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ca77584c934e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ca147437e2284690"/>
    <x:sheet xmlns:r="http://schemas.openxmlformats.org/officeDocument/2006/relationships" name="Dashboard" sheetId="2" r:id="R9173271763ea4f3a"/>
    <x:sheet xmlns:r="http://schemas.openxmlformats.org/officeDocument/2006/relationships" name="Raw Sales" sheetId="3" r:id="R52ac20c8331c4c10"/>
    <x:sheet xmlns:r="http://schemas.openxmlformats.org/officeDocument/2006/relationships" name="Clean Sales" sheetId="4" r:id="Rbccf62473635402b"/>
    <x:sheet xmlns:r="http://schemas.openxmlformats.org/officeDocument/2006/relationships" name="Reference Data" sheetId="5" r:id="Rca7de0d7c19a4072"/>
    <x:sheet xmlns:r="http://schemas.openxmlformats.org/officeDocument/2006/relationships" name="Monthly Analysis" sheetId="6" r:id="R6dc0117ff1034015"/>
    <x:sheet xmlns:r="http://schemas.openxmlformats.org/officeDocument/2006/relationships" name="Category Analysis" sheetId="7" r:id="R905376474a32489c"/>
    <x:sheet xmlns:r="http://schemas.openxmlformats.org/officeDocument/2006/relationships" name="Region Analysis" sheetId="8" r:id="R45ed19247b374a3b"/>
    <x:sheet xmlns:r="http://schemas.openxmlformats.org/officeDocument/2006/relationships" name="Channel Analysis" sheetId="9" r:id="Rf364e475170b4c8b"/>
    <x:sheet xmlns:r="http://schemas.openxmlformats.org/officeDocument/2006/relationships" name="Product Analysis" sheetId="10" r:id="R5a14e9beb01f4086"/>
    <x:sheet xmlns:r="http://schemas.openxmlformats.org/officeDocument/2006/relationships" name="Checks" sheetId="11" r:id="R0f184c6e8d8c42b3"/>
    <x:sheet xmlns:r="http://schemas.openxmlformats.org/officeDocument/2006/relationships" name="Data Dictionary" sheetId="12" r:id="Re68156a6f8634276"/>
    <x:sheet xmlns:r="http://schemas.openxmlformats.org/officeDocument/2006/relationships" name="Portfolio Copy" sheetId="13" r:id="Rc2a7a2d18fbc48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&quot;$&quot;#,##0.00"/>
    <x:numFmt numFmtId="201" formatCode="yyyy-mm-dd"/>
    <x:numFmt numFmtId="202" formatCode="0%"/>
    <x:numFmt numFmtId="203" formatCode="#,##0"/>
    <x:numFmt numFmtId="204" formatCode="mmm yyyy"/>
    <x:numFmt numFmtId="205" formatCode="&quot;$&quot;#,##0.00;[Red](&quot;$&quot;#,##0.00);-"/>
    <x:numFmt numFmtId="206" formatCode="0.0%"/>
    <x:numFmt numFmtId="207" formatCode="&quot;$&quot;#,##0"/>
    <x:numFmt numFmtId="208" formatCode="&quot;$&quot;#,##0;[Red](&quot;$&quot;#,##0);-"/>
    <x:numFmt numFmtId="209" formatCode="#,##0.00;[Red](#,##0.00);-"/>
  </x:numFmts>
  <x:fonts count="18">
    <x:font>
      <x:sz val="11"/>
      <x:name val="Carlito"/>
    </x:font>
    <x:font>
      <x:b/>
      <x:sz val="18"/>
      <x:color rgb="FFFFFFFF"/>
      <x:name val="Aptos Display"/>
    </x:font>
    <x:font>
      <x:i/>
      <x:sz val="10"/>
      <x:color rgb="FF334155"/>
      <x:name val="Aptos"/>
    </x:font>
    <x:font>
      <x:b/>
      <x:sz val="11"/>
      <x:color rgb="FFFFFFFF"/>
      <x:name val="Carlito"/>
    </x:font>
    <x:font>
      <x:b/>
      <x:sz val="11"/>
      <x:color rgb="FF334155"/>
      <x:name val="Carlito"/>
    </x:font>
    <x:font>
      <x:sz val="11"/>
      <x:color rgb="FF0F172A"/>
      <x:name val="Carlito"/>
    </x:font>
    <x:font>
      <x:sz val="11"/>
      <x:color rgb="FF334155"/>
      <x:name val="Carlito"/>
    </x:font>
    <x:font>
      <x:b/>
      <x:sz val="11"/>
      <x:color rgb="FF0F766E"/>
      <x:name val="Carlito"/>
    </x:font>
    <x:font>
      <x:i/>
      <x:sz val="11"/>
      <x:color rgb="FF92400E"/>
      <x:name val="Carlito"/>
    </x:font>
    <x:font>
      <x:b/>
      <x:sz val="10"/>
      <x:color rgb="FFFFFFFF"/>
      <x:name val="Aptos"/>
    </x:font>
    <x:font>
      <x:sz val="10"/>
      <x:color rgb="FF334155"/>
      <x:name val="Aptos"/>
    </x:font>
    <x:font>
      <x:sz val="9"/>
      <x:color rgb="FF334155"/>
      <x:name val="Aptos"/>
    </x:font>
    <x:font>
      <x:b/>
      <x:sz val="10"/>
      <x:color rgb="FF334155"/>
      <x:name val="Aptos"/>
    </x:font>
    <x:font>
      <x:b/>
      <x:sz val="10"/>
      <x:color rgb="FF2563EB"/>
      <x:name val="Aptos"/>
    </x:font>
    <x:font>
      <x:b/>
      <x:i/>
      <x:sz val="10"/>
      <x:color rgb="FF065F46"/>
      <x:name val="Aptos"/>
    </x:font>
    <x:font>
      <x:b/>
      <x:sz val="20"/>
      <x:color rgb="FF0F172A"/>
      <x:name val="Aptos Display"/>
    </x:font>
    <x:font>
      <x:b/>
      <x:sz val="12"/>
      <x:color rgb="FFFFFFFF"/>
      <x:name val="Carlito"/>
    </x:font>
    <x:font>
      <x:b/>
      <x:sz val="14"/>
      <x:color rgb="FF166534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1F5F9"/>
      </x:patternFill>
    </x:fill>
    <x:fill>
      <x:patternFill patternType="solid">
        <x:fgColor rgb="FF0F766E"/>
      </x:patternFill>
    </x:fill>
    <x:fill>
      <x:patternFill patternType="solid">
        <x:fgColor rgb="FF2563EB"/>
      </x:patternFill>
    </x:fill>
    <x:fill>
      <x:patternFill patternType="solid">
        <x:fgColor rgb="FFEFF6FF"/>
      </x:patternFill>
    </x:fill>
    <x:fill>
      <x:patternFill patternType="solid">
        <x:fgColor rgb="FF334155"/>
      </x:patternFill>
    </x:fill>
    <x:fill>
      <x:patternFill patternType="solid">
        <x:fgColor rgb="FFFFFBEB"/>
      </x:patternFill>
    </x:fill>
    <x:fill>
      <x:patternFill patternType="solid">
        <x:fgColor rgb="FFFFFFFF"/>
      </x:patternFill>
    </x:fill>
    <x:fill>
      <x:patternFill patternType="solid">
        <x:fgColor rgb="FFECFDF5"/>
      </x:patternFill>
    </x:fill>
    <x:fill>
      <x:patternFill patternType="solid">
        <x:fgColor rgb="FF10B981"/>
      </x:patternFill>
    </x:fill>
    <x:fill>
      <x:patternFill patternType="solid">
        <x:fgColor rgb="FF7C3AED"/>
      </x:patternFill>
    </x:fill>
    <x:fill>
      <x:patternFill patternType="solid">
        <x:fgColor rgb="FFF59E0B"/>
      </x:patternFill>
    </x:fill>
    <x:fill>
      <x:patternFill patternType="solid">
        <x:fgColor rgb="FFF0FDFA"/>
      </x:patternFill>
    </x:fill>
    <x:fill>
      <x:patternFill patternType="solid">
        <x:fgColor rgb="FFDCFCE7"/>
      </x:patternFill>
    </x:fill>
  </x:fills>
  <x:borders count="31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left style="thin">
        <x:color rgb="FFFCD34D"/>
      </x:left>
      <x:top style="thin">
        <x:color rgb="FFFCD34D"/>
      </x:top>
    </x:border>
    <x:border>
      <x:top style="thin">
        <x:color rgb="FFFCD34D"/>
      </x:top>
    </x:border>
    <x:border>
      <x:right style="thin">
        <x:color rgb="FFFCD34D"/>
      </x:right>
      <x:top style="thin">
        <x:color rgb="FFFCD34D"/>
      </x:top>
    </x:border>
    <x:border>
      <x:left style="thin">
        <x:color rgb="FFFCD34D"/>
      </x:left>
    </x:border>
    <x:border>
      <x:right style="thin">
        <x:color rgb="FFFCD34D"/>
      </x:right>
    </x:border>
    <x:border>
      <x:left style="thin">
        <x:color rgb="FFFCD34D"/>
      </x:left>
      <x:bottom style="thin">
        <x:color rgb="FFFCD34D"/>
      </x:bottom>
    </x:border>
    <x:border>
      <x:bottom style="thin">
        <x:color rgb="FFFCD34D"/>
      </x:bottom>
    </x:border>
    <x:border>
      <x:right style="thin">
        <x:color rgb="FFFCD34D"/>
      </x:right>
      <x:bottom style="thin">
        <x:color rgb="FFFCD34D"/>
      </x:bottom>
    </x:border>
    <x:border>
      <x:left style="thin">
        <x:color rgb="FF334155"/>
      </x:left>
      <x:top style="thin">
        <x:color rgb="FF334155"/>
      </x:top>
      <x:bottom style="thin">
        <x:color rgb="FF334155"/>
      </x:bottom>
    </x:border>
    <x:border>
      <x:top style="thin">
        <x:color rgb="FF334155"/>
      </x:top>
      <x:bottom style="thin">
        <x:color rgb="FF334155"/>
      </x:bottom>
    </x:border>
    <x:border>
      <x:right style="thin">
        <x:color rgb="FF334155"/>
      </x:right>
      <x:top style="thin">
        <x:color rgb="FF334155"/>
      </x:top>
      <x:bottom style="thin">
        <x:color rgb="FF334155"/>
      </x:bottom>
    </x:border>
    <x:border>
      <x:left style="thin">
        <x:color rgb="FF2563EB"/>
      </x:left>
      <x:top style="thin">
        <x:color rgb="FF2563EB"/>
      </x:top>
      <x:bottom style="thin">
        <x:color rgb="FF2563EB"/>
      </x:bottom>
    </x:border>
    <x:border>
      <x:right style="thin">
        <x:color rgb="FF2563EB"/>
      </x:right>
      <x:top style="thin">
        <x:color rgb="FF2563EB"/>
      </x:top>
      <x:bottom style="thin">
        <x:color rgb="FF2563EB"/>
      </x:bottom>
    </x:border>
    <x:border>
      <x:left style="thin">
        <x:color rgb="FF6EE7B7"/>
      </x:left>
      <x:top style="thin">
        <x:color rgb="FF6EE7B7"/>
      </x:top>
      <x:bottom style="thin">
        <x:color rgb="FF6EE7B7"/>
      </x:bottom>
    </x:border>
    <x:border>
      <x:top style="thin">
        <x:color rgb="FF6EE7B7"/>
      </x:top>
      <x:bottom style="thin">
        <x:color rgb="FF6EE7B7"/>
      </x:bottom>
    </x:border>
    <x:border>
      <x:right style="thin">
        <x:color rgb="FF6EE7B7"/>
      </x:right>
      <x:top style="thin">
        <x:color rgb="FF6EE7B7"/>
      </x:top>
      <x:bottom style="thin">
        <x:color rgb="FF6EE7B7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bottom style="thin">
        <x:color rgb="FFCCFBF1"/>
      </x:bottom>
    </x:border>
    <x:border>
      <x:top style="thin">
        <x:color rgb="FFCCFBF1"/>
      </x:top>
      <x:bottom style="thin">
        <x:color rgb="FFCCFBF1"/>
      </x:bottom>
    </x:border>
    <x:border>
      <x:top style="thin">
        <x:color rgb="FFCCFBF1"/>
      </x:top>
    </x:border>
  </x:borders>
  <x:cellStyleXfs count="1">
    <x:xf numFmtId="0" fontId="0" fillId="0" borderId="0"/>
  </x:cellStyleXfs>
  <x:cellXfs count="30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7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2" xfId="0" applyNumberFormat="1" applyFont="1" applyFill="1" applyBorder="1"/>
    <x:xf numFmtId="0" fontId="6" fillId="0" borderId="3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4" xfId="0" applyNumberFormat="1" applyFont="1" applyFill="1" applyBorder="1"/>
    <x:xf numFmtId="0" fontId="8" fillId="8" borderId="5" xfId="0" applyNumberFormat="1" applyFont="1" applyFill="1" applyBorder="1"/>
    <x:xf numFmtId="0" fontId="8" fillId="8" borderId="6" xfId="0" applyNumberFormat="1" applyFont="1" applyFill="1" applyBorder="1"/>
    <x:xf numFmtId="0" fontId="8" fillId="8" borderId="7" xfId="0" applyNumberFormat="1" applyFont="1" applyFill="1" applyBorder="1"/>
    <x:xf numFmtId="0" fontId="8" fillId="8" borderId="8" xfId="0" applyNumberFormat="1" applyFont="1" applyFill="1" applyBorder="1"/>
    <x:xf numFmtId="0" fontId="8" fillId="8" borderId="9" xfId="0" applyNumberFormat="1" applyFont="1" applyFill="1" applyBorder="1"/>
    <x:xf numFmtId="0" fontId="8" fillId="8" borderId="10" xfId="0" applyNumberFormat="1" applyFont="1" applyFill="1" applyBorder="1"/>
    <x:xf numFmtId="0" fontId="8" fillId="8" borderId="11" xfId="0" applyNumberFormat="1" applyFont="1" applyFill="1" applyBorder="1"/>
    <x:xf numFmtId="0" fontId="8" fillId="8" borderId="4" xfId="0" applyNumberFormat="1" applyFont="1" applyFill="1" applyBorder="1" applyAlignment="1">
      <x:alignment wrapText="1"/>
    </x:xf>
    <x:xf numFmtId="0" fontId="8" fillId="8" borderId="5" xfId="0" applyNumberFormat="1" applyFont="1" applyFill="1" applyBorder="1" applyAlignment="1">
      <x:alignment wrapText="1"/>
    </x:xf>
    <x:xf numFmtId="0" fontId="8" fillId="8" borderId="6" xfId="0" applyNumberFormat="1" applyFont="1" applyFill="1" applyBorder="1" applyAlignment="1">
      <x:alignment wrapText="1"/>
    </x:xf>
    <x:xf numFmtId="0" fontId="8" fillId="8" borderId="7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0" fontId="8" fillId="8" borderId="8" xfId="0" applyNumberFormat="1" applyFont="1" applyFill="1" applyBorder="1" applyAlignment="1">
      <x:alignment wrapText="1"/>
    </x:xf>
    <x:xf numFmtId="0" fontId="8" fillId="8" borderId="9" xfId="0" applyNumberFormat="1" applyFont="1" applyFill="1" applyBorder="1" applyAlignment="1">
      <x:alignment wrapText="1"/>
    </x:xf>
    <x:xf numFmtId="0" fontId="8" fillId="8" borderId="10" xfId="0" applyNumberFormat="1" applyFont="1" applyFill="1" applyBorder="1" applyAlignment="1">
      <x:alignment wrapText="1"/>
    </x:xf>
    <x:xf numFmtId="0" fontId="8" fillId="8" borderId="11" xfId="0" applyNumberFormat="1" applyFont="1" applyFill="1" applyBorder="1" applyAlignment="1">
      <x:alignment wrapText="1"/>
    </x:xf>
    <x:xf numFmtId="0" fontId="8" fillId="8" borderId="4" xfId="0" applyNumberFormat="1" applyFont="1" applyFill="1" applyBorder="1" applyAlignment="1">
      <x:alignment vertical="center" wrapText="1"/>
    </x:xf>
    <x:xf numFmtId="0" fontId="8" fillId="8" borderId="5" xfId="0" applyNumberFormat="1" applyFont="1" applyFill="1" applyBorder="1" applyAlignment="1">
      <x:alignment vertical="center" wrapText="1"/>
    </x:xf>
    <x:xf numFmtId="0" fontId="8" fillId="8" borderId="6" xfId="0" applyNumberFormat="1" applyFont="1" applyFill="1" applyBorder="1" applyAlignment="1">
      <x:alignment vertical="center" wrapText="1"/>
    </x:xf>
    <x:xf numFmtId="0" fontId="8" fillId="8" borderId="7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vertical="center" wrapText="1"/>
    </x:xf>
    <x:xf numFmtId="0" fontId="8" fillId="8" borderId="8" xfId="0" applyNumberFormat="1" applyFont="1" applyFill="1" applyBorder="1" applyAlignment="1">
      <x:alignment vertical="center" wrapText="1"/>
    </x:xf>
    <x:xf numFmtId="0" fontId="8" fillId="8" borderId="9" xfId="0" applyNumberFormat="1" applyFont="1" applyFill="1" applyBorder="1" applyAlignment="1">
      <x:alignment vertical="center" wrapText="1"/>
    </x:xf>
    <x:xf numFmtId="0" fontId="8" fillId="8" borderId="10" xfId="0" applyNumberFormat="1" applyFont="1" applyFill="1" applyBorder="1" applyAlignment="1">
      <x:alignment vertical="center" wrapText="1"/>
    </x:xf>
    <x:xf numFmtId="0" fontId="8" fillId="8" borderId="11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/>
    <x:xf numFmtId="0" fontId="9" fillId="7" borderId="12" xfId="0" applyNumberFormat="1" applyFont="1" applyFill="1" applyBorder="1"/>
    <x:xf numFmtId="0" fontId="9" fillId="7" borderId="13" xfId="0" applyNumberFormat="1" applyFont="1" applyFill="1" applyBorder="1"/>
    <x:xf numFmtId="0" fontId="9" fillId="7" borderId="14" xfId="0" applyNumberFormat="1" applyFont="1" applyFill="1" applyBorder="1"/>
    <x:xf numFmtId="0" fontId="9" fillId="7" borderId="12" xfId="0" applyNumberFormat="1" applyFont="1" applyFill="1" applyBorder="1" applyAlignment="1">
      <x:alignment wrapText="1"/>
    </x:xf>
    <x:xf numFmtId="0" fontId="9" fillId="7" borderId="13" xfId="0" applyNumberFormat="1" applyFont="1" applyFill="1" applyBorder="1" applyAlignment="1">
      <x:alignment wrapText="1"/>
    </x:xf>
    <x:xf numFmtId="0" fontId="9" fillId="7" borderId="14" xfId="0" applyNumberFormat="1" applyFont="1" applyFill="1" applyBorder="1" applyAlignment="1">
      <x:alignment wrapText="1"/>
    </x:xf>
    <x:xf numFmtId="0" fontId="9" fillId="7" borderId="12" xfId="0" applyNumberFormat="1" applyFont="1" applyFill="1" applyBorder="1" applyAlignment="1">
      <x:alignment horizontal="center" wrapText="1"/>
    </x:xf>
    <x:xf numFmtId="0" fontId="9" fillId="7" borderId="13" xfId="0" applyNumberFormat="1" applyFont="1" applyFill="1" applyBorder="1" applyAlignment="1">
      <x:alignment horizontal="center" wrapText="1"/>
    </x:xf>
    <x:xf numFmtId="0" fontId="9" fillId="7" borderId="14" xfId="0" applyNumberFormat="1" applyFont="1" applyFill="1" applyBorder="1" applyAlignment="1">
      <x:alignment horizontal="center" wrapText="1"/>
    </x:xf>
    <x:xf numFmtId="0" fontId="9" fillId="7" borderId="12" xfId="0" applyNumberFormat="1" applyFont="1" applyFill="1" applyBorder="1" applyAlignment="1">
      <x:alignment horizontal="center" vertical="center" wrapText="1"/>
    </x:xf>
    <x:xf numFmtId="0" fontId="9" fillId="7" borderId="13" xfId="0" applyNumberFormat="1" applyFont="1" applyFill="1" applyBorder="1" applyAlignment="1">
      <x:alignment horizontal="center" vertical="center" wrapText="1"/>
    </x:xf>
    <x:xf numFmtId="0" fontId="9" fillId="7" borderId="14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10" fillId="0" borderId="0" xfId="0" applyNumberFormat="1" applyFont="1" applyFill="1" applyBorder="1"/>
    <x:xf numFmtId="200" fontId="10" fillId="0" borderId="0" xfId="0" applyNumberFormat="1" applyFont="1" applyFill="1" applyBorder="1"/>
    <x:xf numFmtId="0" fontId="10" fillId="0" borderId="1" xfId="0" applyNumberFormat="1" applyFont="1" applyFill="1" applyBorder="1"/>
    <x:xf numFmtId="200" fontId="10" fillId="0" borderId="1" xfId="0" applyNumberFormat="1" applyFont="1" applyFill="1" applyBorder="1"/>
    <x:xf numFmtId="0" fontId="10" fillId="0" borderId="2" xfId="0" applyNumberFormat="1" applyFont="1" applyFill="1" applyBorder="1"/>
    <x:xf numFmtId="200" fontId="10" fillId="0" borderId="2" xfId="0" applyNumberFormat="1" applyFont="1" applyFill="1" applyBorder="1"/>
    <x:xf numFmtId="0" fontId="10" fillId="0" borderId="3" xfId="0" applyNumberFormat="1" applyFont="1" applyFill="1" applyBorder="1"/>
    <x:xf numFmtId="200" fontId="10" fillId="0" borderId="3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11" fillId="0" borderId="0" xfId="0" applyNumberFormat="1" applyFont="1" applyFill="1" applyBorder="1"/>
    <x:xf numFmtId="201" fontId="11" fillId="0" borderId="0" xfId="0" applyNumberFormat="1" applyFont="1" applyFill="1" applyBorder="1"/>
    <x:xf numFmtId="203" fontId="11" fillId="0" borderId="0" xfId="0" applyNumberFormat="1" applyFont="1" applyFill="1" applyBorder="1"/>
    <x:xf numFmtId="202" fontId="11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204" fontId="11" fillId="0" borderId="0" xfId="0" applyNumberFormat="1" applyFont="1" applyFill="1" applyBorder="1"/>
    <x:xf numFmtId="200" fontId="11" fillId="0" borderId="0" xfId="0" applyNumberFormat="1" applyFont="1" applyFill="1" applyBorder="1"/>
    <x:xf numFmtId="205" fontId="11" fillId="0" borderId="0" xfId="0" applyNumberFormat="1" applyFont="1" applyFill="1" applyBorder="1"/>
    <x:xf numFmtId="206" fontId="11" fillId="0" borderId="0" xfId="0" applyNumberFormat="1" applyFont="1" applyFill="1" applyBorder="1"/>
    <x:xf numFmtId="0" fontId="12" fillId="3" borderId="0" xfId="0" applyNumberFormat="1" applyFont="1" applyFill="1" applyBorder="1"/>
    <x:xf numFmtId="0" fontId="12" fillId="3" borderId="0" xfId="0" applyNumberFormat="1" applyFont="1" applyFill="1" applyBorder="1" applyAlignment="1">
      <x:alignment vertical="center"/>
    </x:xf>
    <x:xf numFmtId="0" fontId="12" fillId="9" borderId="0" xfId="0" applyNumberFormat="1" applyFont="1" applyFill="1" applyBorder="1" applyAlignment="1">
      <x:alignment vertical="center"/>
    </x:xf>
    <x:xf numFmtId="0" fontId="13" fillId="9" borderId="0" xfId="0" applyNumberFormat="1" applyFont="1" applyFill="1" applyBorder="1" applyAlignment="1">
      <x:alignment vertical="center"/>
    </x:xf>
    <x:xf numFmtId="0" fontId="13" fillId="9" borderId="15" xfId="0" applyNumberFormat="1" applyFont="1" applyFill="1" applyBorder="1" applyAlignment="1">
      <x:alignment vertical="center"/>
    </x:xf>
    <x:xf numFmtId="0" fontId="13" fillId="9" borderId="16" xfId="0" applyNumberFormat="1" applyFont="1" applyFill="1" applyBorder="1" applyAlignment="1">
      <x:alignment vertical="center"/>
    </x:xf>
    <x:xf numFmtId="0" fontId="13" fillId="9" borderId="15" xfId="0" applyNumberFormat="1" applyFont="1" applyFill="1" applyBorder="1" applyAlignment="1">
      <x:alignment horizontal="center" vertical="center"/>
    </x:xf>
    <x:xf numFmtId="0" fontId="13" fillId="9" borderId="16" xfId="0" applyNumberFormat="1" applyFont="1" applyFill="1" applyBorder="1" applyAlignment="1">
      <x:alignment horizontal="center" vertical="center"/>
    </x:xf>
    <x:xf numFmtId="0" fontId="12" fillId="10" borderId="0" xfId="0" applyNumberFormat="1" applyFont="1" applyFill="1" applyBorder="1" applyAlignment="1">
      <x:alignment vertical="center"/>
    </x:xf>
    <x:xf numFmtId="0" fontId="14" fillId="10" borderId="0" xfId="0" applyNumberFormat="1" applyFont="1" applyFill="1" applyBorder="1" applyAlignment="1">
      <x:alignment vertical="center"/>
    </x:xf>
    <x:xf numFmtId="0" fontId="14" fillId="10" borderId="17" xfId="0" applyNumberFormat="1" applyFont="1" applyFill="1" applyBorder="1" applyAlignment="1">
      <x:alignment vertical="center"/>
    </x:xf>
    <x:xf numFmtId="0" fontId="14" fillId="10" borderId="18" xfId="0" applyNumberFormat="1" applyFont="1" applyFill="1" applyBorder="1" applyAlignment="1">
      <x:alignment vertical="center"/>
    </x:xf>
    <x:xf numFmtId="0" fontId="14" fillId="10" borderId="19" xfId="0" applyNumberFormat="1" applyFont="1" applyFill="1" applyBorder="1" applyAlignment="1">
      <x:alignment vertical="center"/>
    </x:xf>
    <x:xf numFmtId="0" fontId="14" fillId="10" borderId="17" xfId="0" applyNumberFormat="1" applyFont="1" applyFill="1" applyBorder="1" applyAlignment="1">
      <x:alignment horizontal="center" vertical="center"/>
    </x:xf>
    <x:xf numFmtId="0" fontId="14" fillId="10" borderId="18" xfId="0" applyNumberFormat="1" applyFont="1" applyFill="1" applyBorder="1" applyAlignment="1">
      <x:alignment horizontal="center" vertical="center"/>
    </x:xf>
    <x:xf numFmtId="0" fontId="14" fillId="10" borderId="19" xfId="0" applyNumberFormat="1" applyFont="1" applyFill="1" applyBorder="1" applyAlignment="1">
      <x:alignment horizontal="center" vertical="center"/>
    </x:xf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horizontal="left"/>
    </x:xf>
    <x:xf numFmtId="0" fontId="9" fillId="5" borderId="0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/>
    <x:xf numFmtId="0" fontId="15" fillId="9" borderId="0" xfId="0" applyNumberFormat="1" applyFont="1" applyFill="1" applyBorder="1"/>
    <x:xf numFmtId="0" fontId="15" fillId="9" borderId="20" xfId="0" applyNumberFormat="1" applyFont="1" applyFill="1" applyBorder="1"/>
    <x:xf numFmtId="0" fontId="15" fillId="9" borderId="21" xfId="0" applyNumberFormat="1" applyFont="1" applyFill="1" applyBorder="1"/>
    <x:xf numFmtId="0" fontId="15" fillId="9" borderId="22" xfId="0" applyNumberFormat="1" applyFont="1" applyFill="1" applyBorder="1"/>
    <x:xf numFmtId="0" fontId="15" fillId="9" borderId="23" xfId="0" applyNumberFormat="1" applyFont="1" applyFill="1" applyBorder="1"/>
    <x:xf numFmtId="0" fontId="15" fillId="9" borderId="24" xfId="0" applyNumberFormat="1" applyFont="1" applyFill="1" applyBorder="1"/>
    <x:xf numFmtId="0" fontId="15" fillId="9" borderId="25" xfId="0" applyNumberFormat="1" applyFont="1" applyFill="1" applyBorder="1"/>
    <x:xf numFmtId="0" fontId="15" fillId="9" borderId="26" xfId="0" applyNumberFormat="1" applyFont="1" applyFill="1" applyBorder="1"/>
    <x:xf numFmtId="0" fontId="15" fillId="9" borderId="27" xfId="0" applyNumberFormat="1" applyFont="1" applyFill="1" applyBorder="1"/>
    <x:xf numFmtId="207" fontId="15" fillId="9" borderId="20" xfId="0" applyNumberFormat="1" applyFont="1" applyFill="1" applyBorder="1"/>
    <x:xf numFmtId="207" fontId="15" fillId="9" borderId="21" xfId="0" applyNumberFormat="1" applyFont="1" applyFill="1" applyBorder="1"/>
    <x:xf numFmtId="207" fontId="15" fillId="9" borderId="22" xfId="0" applyNumberFormat="1" applyFont="1" applyFill="1" applyBorder="1"/>
    <x:xf numFmtId="207" fontId="15" fillId="9" borderId="23" xfId="0" applyNumberFormat="1" applyFont="1" applyFill="1" applyBorder="1"/>
    <x:xf numFmtId="207" fontId="15" fillId="9" borderId="0" xfId="0" applyNumberFormat="1" applyFont="1" applyFill="1" applyBorder="1"/>
    <x:xf numFmtId="207" fontId="15" fillId="9" borderId="24" xfId="0" applyNumberFormat="1" applyFont="1" applyFill="1" applyBorder="1"/>
    <x:xf numFmtId="207" fontId="15" fillId="9" borderId="25" xfId="0" applyNumberFormat="1" applyFont="1" applyFill="1" applyBorder="1"/>
    <x:xf numFmtId="207" fontId="15" fillId="9" borderId="26" xfId="0" applyNumberFormat="1" applyFont="1" applyFill="1" applyBorder="1"/>
    <x:xf numFmtId="207" fontId="15" fillId="9" borderId="27" xfId="0" applyNumberFormat="1" applyFont="1" applyFill="1" applyBorder="1"/>
    <x:xf numFmtId="207" fontId="15" fillId="9" borderId="20" xfId="0" applyNumberFormat="1" applyFont="1" applyFill="1" applyBorder="1" applyAlignment="1">
      <x:alignment horizontal="left"/>
    </x:xf>
    <x:xf numFmtId="207" fontId="15" fillId="9" borderId="21" xfId="0" applyNumberFormat="1" applyFont="1" applyFill="1" applyBorder="1" applyAlignment="1">
      <x:alignment horizontal="left"/>
    </x:xf>
    <x:xf numFmtId="207" fontId="15" fillId="9" borderId="22" xfId="0" applyNumberFormat="1" applyFont="1" applyFill="1" applyBorder="1" applyAlignment="1">
      <x:alignment horizontal="left"/>
    </x:xf>
    <x:xf numFmtId="207" fontId="15" fillId="9" borderId="23" xfId="0" applyNumberFormat="1" applyFont="1" applyFill="1" applyBorder="1" applyAlignment="1">
      <x:alignment horizontal="left"/>
    </x:xf>
    <x:xf numFmtId="207" fontId="15" fillId="9" borderId="0" xfId="0" applyNumberFormat="1" applyFont="1" applyFill="1" applyBorder="1" applyAlignment="1">
      <x:alignment horizontal="left"/>
    </x:xf>
    <x:xf numFmtId="207" fontId="15" fillId="9" borderId="24" xfId="0" applyNumberFormat="1" applyFont="1" applyFill="1" applyBorder="1" applyAlignment="1">
      <x:alignment horizontal="left"/>
    </x:xf>
    <x:xf numFmtId="207" fontId="15" fillId="9" borderId="25" xfId="0" applyNumberFormat="1" applyFont="1" applyFill="1" applyBorder="1" applyAlignment="1">
      <x:alignment horizontal="left"/>
    </x:xf>
    <x:xf numFmtId="207" fontId="15" fillId="9" borderId="26" xfId="0" applyNumberFormat="1" applyFont="1" applyFill="1" applyBorder="1" applyAlignment="1">
      <x:alignment horizontal="left"/>
    </x:xf>
    <x:xf numFmtId="207" fontId="15" fillId="9" borderId="27" xfId="0" applyNumberFormat="1" applyFont="1" applyFill="1" applyBorder="1" applyAlignment="1">
      <x:alignment horizontal="left"/>
    </x:xf>
    <x:xf numFmtId="207" fontId="15" fillId="9" borderId="20" xfId="0" applyNumberFormat="1" applyFont="1" applyFill="1" applyBorder="1" applyAlignment="1">
      <x:alignment horizontal="left" vertical="center"/>
    </x:xf>
    <x:xf numFmtId="207" fontId="15" fillId="9" borderId="21" xfId="0" applyNumberFormat="1" applyFont="1" applyFill="1" applyBorder="1" applyAlignment="1">
      <x:alignment horizontal="left" vertical="center"/>
    </x:xf>
    <x:xf numFmtId="207" fontId="15" fillId="9" borderId="22" xfId="0" applyNumberFormat="1" applyFont="1" applyFill="1" applyBorder="1" applyAlignment="1">
      <x:alignment horizontal="left" vertical="center"/>
    </x:xf>
    <x:xf numFmtId="207" fontId="15" fillId="9" borderId="23" xfId="0" applyNumberFormat="1" applyFont="1" applyFill="1" applyBorder="1" applyAlignment="1">
      <x:alignment horizontal="left" vertical="center"/>
    </x:xf>
    <x:xf numFmtId="207" fontId="15" fillId="9" borderId="0" xfId="0" applyNumberFormat="1" applyFont="1" applyFill="1" applyBorder="1" applyAlignment="1">
      <x:alignment horizontal="left" vertical="center"/>
    </x:xf>
    <x:xf numFmtId="207" fontId="15" fillId="9" borderId="24" xfId="0" applyNumberFormat="1" applyFont="1" applyFill="1" applyBorder="1" applyAlignment="1">
      <x:alignment horizontal="left" vertical="center"/>
    </x:xf>
    <x:xf numFmtId="207" fontId="15" fillId="9" borderId="25" xfId="0" applyNumberFormat="1" applyFont="1" applyFill="1" applyBorder="1" applyAlignment="1">
      <x:alignment horizontal="left" vertical="center"/>
    </x:xf>
    <x:xf numFmtId="207" fontId="15" fillId="9" borderId="26" xfId="0" applyNumberFormat="1" applyFont="1" applyFill="1" applyBorder="1" applyAlignment="1">
      <x:alignment horizontal="left" vertical="center"/>
    </x:xf>
    <x:xf numFmtId="207" fontId="15" fillId="9" borderId="27" xfId="0" applyNumberFormat="1" applyFont="1" applyFill="1" applyBorder="1" applyAlignment="1">
      <x:alignment horizontal="left" vertical="center"/>
    </x:xf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0" xfId="0" applyNumberFormat="1" applyFont="1" applyFill="1" applyBorder="1" applyAlignment="1">
      <x:alignment horizontal="left"/>
    </x:xf>
    <x:xf numFmtId="0" fontId="9" fillId="11" borderId="0" xfId="0" applyNumberFormat="1" applyFont="1" applyFill="1" applyBorder="1" applyAlignment="1">
      <x:alignment horizontal="left" vertical="center"/>
    </x:xf>
    <x:xf numFmtId="208" fontId="15" fillId="9" borderId="20" xfId="0" applyNumberFormat="1" applyFont="1" applyFill="1" applyBorder="1"/>
    <x:xf numFmtId="208" fontId="15" fillId="9" borderId="21" xfId="0" applyNumberFormat="1" applyFont="1" applyFill="1" applyBorder="1"/>
    <x:xf numFmtId="208" fontId="15" fillId="9" borderId="22" xfId="0" applyNumberFormat="1" applyFont="1" applyFill="1" applyBorder="1"/>
    <x:xf numFmtId="208" fontId="15" fillId="9" borderId="23" xfId="0" applyNumberFormat="1" applyFont="1" applyFill="1" applyBorder="1"/>
    <x:xf numFmtId="208" fontId="15" fillId="9" borderId="0" xfId="0" applyNumberFormat="1" applyFont="1" applyFill="1" applyBorder="1"/>
    <x:xf numFmtId="208" fontId="15" fillId="9" borderId="24" xfId="0" applyNumberFormat="1" applyFont="1" applyFill="1" applyBorder="1"/>
    <x:xf numFmtId="208" fontId="15" fillId="9" borderId="25" xfId="0" applyNumberFormat="1" applyFont="1" applyFill="1" applyBorder="1"/>
    <x:xf numFmtId="208" fontId="15" fillId="9" borderId="26" xfId="0" applyNumberFormat="1" applyFont="1" applyFill="1" applyBorder="1"/>
    <x:xf numFmtId="208" fontId="15" fillId="9" borderId="27" xfId="0" applyNumberFormat="1" applyFont="1" applyFill="1" applyBorder="1"/>
    <x:xf numFmtId="208" fontId="15" fillId="9" borderId="20" xfId="0" applyNumberFormat="1" applyFont="1" applyFill="1" applyBorder="1" applyAlignment="1">
      <x:alignment horizontal="left"/>
    </x:xf>
    <x:xf numFmtId="208" fontId="15" fillId="9" borderId="21" xfId="0" applyNumberFormat="1" applyFont="1" applyFill="1" applyBorder="1" applyAlignment="1">
      <x:alignment horizontal="left"/>
    </x:xf>
    <x:xf numFmtId="208" fontId="15" fillId="9" borderId="22" xfId="0" applyNumberFormat="1" applyFont="1" applyFill="1" applyBorder="1" applyAlignment="1">
      <x:alignment horizontal="left"/>
    </x:xf>
    <x:xf numFmtId="208" fontId="15" fillId="9" borderId="23" xfId="0" applyNumberFormat="1" applyFont="1" applyFill="1" applyBorder="1" applyAlignment="1">
      <x:alignment horizontal="left"/>
    </x:xf>
    <x:xf numFmtId="208" fontId="15" fillId="9" borderId="0" xfId="0" applyNumberFormat="1" applyFont="1" applyFill="1" applyBorder="1" applyAlignment="1">
      <x:alignment horizontal="left"/>
    </x:xf>
    <x:xf numFmtId="208" fontId="15" fillId="9" borderId="24" xfId="0" applyNumberFormat="1" applyFont="1" applyFill="1" applyBorder="1" applyAlignment="1">
      <x:alignment horizontal="left"/>
    </x:xf>
    <x:xf numFmtId="208" fontId="15" fillId="9" borderId="25" xfId="0" applyNumberFormat="1" applyFont="1" applyFill="1" applyBorder="1" applyAlignment="1">
      <x:alignment horizontal="left"/>
    </x:xf>
    <x:xf numFmtId="208" fontId="15" fillId="9" borderId="26" xfId="0" applyNumberFormat="1" applyFont="1" applyFill="1" applyBorder="1" applyAlignment="1">
      <x:alignment horizontal="left"/>
    </x:xf>
    <x:xf numFmtId="208" fontId="15" fillId="9" borderId="27" xfId="0" applyNumberFormat="1" applyFont="1" applyFill="1" applyBorder="1" applyAlignment="1">
      <x:alignment horizontal="left"/>
    </x:xf>
    <x:xf numFmtId="208" fontId="15" fillId="9" borderId="20" xfId="0" applyNumberFormat="1" applyFont="1" applyFill="1" applyBorder="1" applyAlignment="1">
      <x:alignment horizontal="left" vertical="center"/>
    </x:xf>
    <x:xf numFmtId="208" fontId="15" fillId="9" borderId="21" xfId="0" applyNumberFormat="1" applyFont="1" applyFill="1" applyBorder="1" applyAlignment="1">
      <x:alignment horizontal="left" vertical="center"/>
    </x:xf>
    <x:xf numFmtId="208" fontId="15" fillId="9" borderId="22" xfId="0" applyNumberFormat="1" applyFont="1" applyFill="1" applyBorder="1" applyAlignment="1">
      <x:alignment horizontal="left" vertical="center"/>
    </x:xf>
    <x:xf numFmtId="208" fontId="15" fillId="9" borderId="23" xfId="0" applyNumberFormat="1" applyFont="1" applyFill="1" applyBorder="1" applyAlignment="1">
      <x:alignment horizontal="left" vertical="center"/>
    </x:xf>
    <x:xf numFmtId="208" fontId="15" fillId="9" borderId="0" xfId="0" applyNumberFormat="1" applyFont="1" applyFill="1" applyBorder="1" applyAlignment="1">
      <x:alignment horizontal="left" vertical="center"/>
    </x:xf>
    <x:xf numFmtId="208" fontId="15" fillId="9" borderId="24" xfId="0" applyNumberFormat="1" applyFont="1" applyFill="1" applyBorder="1" applyAlignment="1">
      <x:alignment horizontal="left" vertical="center"/>
    </x:xf>
    <x:xf numFmtId="208" fontId="15" fillId="9" borderId="25" xfId="0" applyNumberFormat="1" applyFont="1" applyFill="1" applyBorder="1" applyAlignment="1">
      <x:alignment horizontal="left" vertical="center"/>
    </x:xf>
    <x:xf numFmtId="208" fontId="15" fillId="9" borderId="26" xfId="0" applyNumberFormat="1" applyFont="1" applyFill="1" applyBorder="1" applyAlignment="1">
      <x:alignment horizontal="left" vertical="center"/>
    </x:xf>
    <x:xf numFmtId="208" fontId="15" fillId="9" borderId="27" xfId="0" applyNumberFormat="1" applyFont="1" applyFill="1" applyBorder="1" applyAlignment="1">
      <x:alignment horizontal="left" vertical="center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horizontal="left"/>
    </x:xf>
    <x:xf numFmtId="0" fontId="9" fillId="4" borderId="0" xfId="0" applyNumberFormat="1" applyFont="1" applyFill="1" applyBorder="1" applyAlignment="1">
      <x:alignment horizontal="left" vertical="center"/>
    </x:xf>
    <x:xf numFmtId="206" fontId="15" fillId="9" borderId="20" xfId="0" applyNumberFormat="1" applyFont="1" applyFill="1" applyBorder="1"/>
    <x:xf numFmtId="206" fontId="15" fillId="9" borderId="21" xfId="0" applyNumberFormat="1" applyFont="1" applyFill="1" applyBorder="1"/>
    <x:xf numFmtId="206" fontId="15" fillId="9" borderId="22" xfId="0" applyNumberFormat="1" applyFont="1" applyFill="1" applyBorder="1"/>
    <x:xf numFmtId="206" fontId="15" fillId="9" borderId="23" xfId="0" applyNumberFormat="1" applyFont="1" applyFill="1" applyBorder="1"/>
    <x:xf numFmtId="206" fontId="15" fillId="9" borderId="0" xfId="0" applyNumberFormat="1" applyFont="1" applyFill="1" applyBorder="1"/>
    <x:xf numFmtId="206" fontId="15" fillId="9" borderId="24" xfId="0" applyNumberFormat="1" applyFont="1" applyFill="1" applyBorder="1"/>
    <x:xf numFmtId="206" fontId="15" fillId="9" borderId="25" xfId="0" applyNumberFormat="1" applyFont="1" applyFill="1" applyBorder="1"/>
    <x:xf numFmtId="206" fontId="15" fillId="9" borderId="26" xfId="0" applyNumberFormat="1" applyFont="1" applyFill="1" applyBorder="1"/>
    <x:xf numFmtId="206" fontId="15" fillId="9" borderId="27" xfId="0" applyNumberFormat="1" applyFont="1" applyFill="1" applyBorder="1"/>
    <x:xf numFmtId="206" fontId="15" fillId="9" borderId="20" xfId="0" applyNumberFormat="1" applyFont="1" applyFill="1" applyBorder="1" applyAlignment="1">
      <x:alignment horizontal="left"/>
    </x:xf>
    <x:xf numFmtId="206" fontId="15" fillId="9" borderId="21" xfId="0" applyNumberFormat="1" applyFont="1" applyFill="1" applyBorder="1" applyAlignment="1">
      <x:alignment horizontal="left"/>
    </x:xf>
    <x:xf numFmtId="206" fontId="15" fillId="9" borderId="22" xfId="0" applyNumberFormat="1" applyFont="1" applyFill="1" applyBorder="1" applyAlignment="1">
      <x:alignment horizontal="left"/>
    </x:xf>
    <x:xf numFmtId="206" fontId="15" fillId="9" borderId="23" xfId="0" applyNumberFormat="1" applyFont="1" applyFill="1" applyBorder="1" applyAlignment="1">
      <x:alignment horizontal="left"/>
    </x:xf>
    <x:xf numFmtId="206" fontId="15" fillId="9" borderId="0" xfId="0" applyNumberFormat="1" applyFont="1" applyFill="1" applyBorder="1" applyAlignment="1">
      <x:alignment horizontal="left"/>
    </x:xf>
    <x:xf numFmtId="206" fontId="15" fillId="9" borderId="24" xfId="0" applyNumberFormat="1" applyFont="1" applyFill="1" applyBorder="1" applyAlignment="1">
      <x:alignment horizontal="left"/>
    </x:xf>
    <x:xf numFmtId="206" fontId="15" fillId="9" borderId="25" xfId="0" applyNumberFormat="1" applyFont="1" applyFill="1" applyBorder="1" applyAlignment="1">
      <x:alignment horizontal="left"/>
    </x:xf>
    <x:xf numFmtId="206" fontId="15" fillId="9" borderId="26" xfId="0" applyNumberFormat="1" applyFont="1" applyFill="1" applyBorder="1" applyAlignment="1">
      <x:alignment horizontal="left"/>
    </x:xf>
    <x:xf numFmtId="206" fontId="15" fillId="9" borderId="27" xfId="0" applyNumberFormat="1" applyFont="1" applyFill="1" applyBorder="1" applyAlignment="1">
      <x:alignment horizontal="left"/>
    </x:xf>
    <x:xf numFmtId="206" fontId="15" fillId="9" borderId="20" xfId="0" applyNumberFormat="1" applyFont="1" applyFill="1" applyBorder="1" applyAlignment="1">
      <x:alignment horizontal="left" vertical="center"/>
    </x:xf>
    <x:xf numFmtId="206" fontId="15" fillId="9" borderId="21" xfId="0" applyNumberFormat="1" applyFont="1" applyFill="1" applyBorder="1" applyAlignment="1">
      <x:alignment horizontal="left" vertical="center"/>
    </x:xf>
    <x:xf numFmtId="206" fontId="15" fillId="9" borderId="22" xfId="0" applyNumberFormat="1" applyFont="1" applyFill="1" applyBorder="1" applyAlignment="1">
      <x:alignment horizontal="left" vertical="center"/>
    </x:xf>
    <x:xf numFmtId="206" fontId="15" fillId="9" borderId="23" xfId="0" applyNumberFormat="1" applyFont="1" applyFill="1" applyBorder="1" applyAlignment="1">
      <x:alignment horizontal="left" vertical="center"/>
    </x:xf>
    <x:xf numFmtId="206" fontId="15" fillId="9" borderId="0" xfId="0" applyNumberFormat="1" applyFont="1" applyFill="1" applyBorder="1" applyAlignment="1">
      <x:alignment horizontal="left" vertical="center"/>
    </x:xf>
    <x:xf numFmtId="206" fontId="15" fillId="9" borderId="24" xfId="0" applyNumberFormat="1" applyFont="1" applyFill="1" applyBorder="1" applyAlignment="1">
      <x:alignment horizontal="left" vertical="center"/>
    </x:xf>
    <x:xf numFmtId="206" fontId="15" fillId="9" borderId="25" xfId="0" applyNumberFormat="1" applyFont="1" applyFill="1" applyBorder="1" applyAlignment="1">
      <x:alignment horizontal="left" vertical="center"/>
    </x:xf>
    <x:xf numFmtId="206" fontId="15" fillId="9" borderId="26" xfId="0" applyNumberFormat="1" applyFont="1" applyFill="1" applyBorder="1" applyAlignment="1">
      <x:alignment horizontal="left" vertical="center"/>
    </x:xf>
    <x:xf numFmtId="206" fontId="15" fillId="9" borderId="27" xfId="0" applyNumberFormat="1" applyFont="1" applyFill="1" applyBorder="1" applyAlignment="1">
      <x:alignment horizontal="left" vertical="center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horizontal="left"/>
    </x:xf>
    <x:xf numFmtId="0" fontId="9" fillId="12" borderId="0" xfId="0" applyNumberFormat="1" applyFont="1" applyFill="1" applyBorder="1" applyAlignment="1">
      <x:alignment horizontal="left" vertical="center"/>
    </x:xf>
    <x:xf numFmtId="203" fontId="15" fillId="9" borderId="20" xfId="0" applyNumberFormat="1" applyFont="1" applyFill="1" applyBorder="1"/>
    <x:xf numFmtId="203" fontId="15" fillId="9" borderId="21" xfId="0" applyNumberFormat="1" applyFont="1" applyFill="1" applyBorder="1"/>
    <x:xf numFmtId="203" fontId="15" fillId="9" borderId="22" xfId="0" applyNumberFormat="1" applyFont="1" applyFill="1" applyBorder="1"/>
    <x:xf numFmtId="203" fontId="15" fillId="9" borderId="23" xfId="0" applyNumberFormat="1" applyFont="1" applyFill="1" applyBorder="1"/>
    <x:xf numFmtId="203" fontId="15" fillId="9" borderId="0" xfId="0" applyNumberFormat="1" applyFont="1" applyFill="1" applyBorder="1"/>
    <x:xf numFmtId="203" fontId="15" fillId="9" borderId="24" xfId="0" applyNumberFormat="1" applyFont="1" applyFill="1" applyBorder="1"/>
    <x:xf numFmtId="203" fontId="15" fillId="9" borderId="25" xfId="0" applyNumberFormat="1" applyFont="1" applyFill="1" applyBorder="1"/>
    <x:xf numFmtId="203" fontId="15" fillId="9" borderId="26" xfId="0" applyNumberFormat="1" applyFont="1" applyFill="1" applyBorder="1"/>
    <x:xf numFmtId="203" fontId="15" fillId="9" borderId="27" xfId="0" applyNumberFormat="1" applyFont="1" applyFill="1" applyBorder="1"/>
    <x:xf numFmtId="203" fontId="15" fillId="9" borderId="20" xfId="0" applyNumberFormat="1" applyFont="1" applyFill="1" applyBorder="1" applyAlignment="1">
      <x:alignment horizontal="left"/>
    </x:xf>
    <x:xf numFmtId="203" fontId="15" fillId="9" borderId="21" xfId="0" applyNumberFormat="1" applyFont="1" applyFill="1" applyBorder="1" applyAlignment="1">
      <x:alignment horizontal="left"/>
    </x:xf>
    <x:xf numFmtId="203" fontId="15" fillId="9" borderId="22" xfId="0" applyNumberFormat="1" applyFont="1" applyFill="1" applyBorder="1" applyAlignment="1">
      <x:alignment horizontal="left"/>
    </x:xf>
    <x:xf numFmtId="203" fontId="15" fillId="9" borderId="23" xfId="0" applyNumberFormat="1" applyFont="1" applyFill="1" applyBorder="1" applyAlignment="1">
      <x:alignment horizontal="left"/>
    </x:xf>
    <x:xf numFmtId="203" fontId="15" fillId="9" borderId="0" xfId="0" applyNumberFormat="1" applyFont="1" applyFill="1" applyBorder="1" applyAlignment="1">
      <x:alignment horizontal="left"/>
    </x:xf>
    <x:xf numFmtId="203" fontId="15" fillId="9" borderId="24" xfId="0" applyNumberFormat="1" applyFont="1" applyFill="1" applyBorder="1" applyAlignment="1">
      <x:alignment horizontal="left"/>
    </x:xf>
    <x:xf numFmtId="203" fontId="15" fillId="9" borderId="25" xfId="0" applyNumberFormat="1" applyFont="1" applyFill="1" applyBorder="1" applyAlignment="1">
      <x:alignment horizontal="left"/>
    </x:xf>
    <x:xf numFmtId="203" fontId="15" fillId="9" borderId="26" xfId="0" applyNumberFormat="1" applyFont="1" applyFill="1" applyBorder="1" applyAlignment="1">
      <x:alignment horizontal="left"/>
    </x:xf>
    <x:xf numFmtId="203" fontId="15" fillId="9" borderId="27" xfId="0" applyNumberFormat="1" applyFont="1" applyFill="1" applyBorder="1" applyAlignment="1">
      <x:alignment horizontal="left"/>
    </x:xf>
    <x:xf numFmtId="203" fontId="15" fillId="9" borderId="20" xfId="0" applyNumberFormat="1" applyFont="1" applyFill="1" applyBorder="1" applyAlignment="1">
      <x:alignment horizontal="left" vertical="center"/>
    </x:xf>
    <x:xf numFmtId="203" fontId="15" fillId="9" borderId="21" xfId="0" applyNumberFormat="1" applyFont="1" applyFill="1" applyBorder="1" applyAlignment="1">
      <x:alignment horizontal="left" vertical="center"/>
    </x:xf>
    <x:xf numFmtId="203" fontId="15" fillId="9" borderId="22" xfId="0" applyNumberFormat="1" applyFont="1" applyFill="1" applyBorder="1" applyAlignment="1">
      <x:alignment horizontal="left" vertical="center"/>
    </x:xf>
    <x:xf numFmtId="203" fontId="15" fillId="9" borderId="23" xfId="0" applyNumberFormat="1" applyFont="1" applyFill="1" applyBorder="1" applyAlignment="1">
      <x:alignment horizontal="left" vertical="center"/>
    </x:xf>
    <x:xf numFmtId="203" fontId="15" fillId="9" borderId="0" xfId="0" applyNumberFormat="1" applyFont="1" applyFill="1" applyBorder="1" applyAlignment="1">
      <x:alignment horizontal="left" vertical="center"/>
    </x:xf>
    <x:xf numFmtId="203" fontId="15" fillId="9" borderId="24" xfId="0" applyNumberFormat="1" applyFont="1" applyFill="1" applyBorder="1" applyAlignment="1">
      <x:alignment horizontal="left" vertical="center"/>
    </x:xf>
    <x:xf numFmtId="203" fontId="15" fillId="9" borderId="25" xfId="0" applyNumberFormat="1" applyFont="1" applyFill="1" applyBorder="1" applyAlignment="1">
      <x:alignment horizontal="left" vertical="center"/>
    </x:xf>
    <x:xf numFmtId="203" fontId="15" fillId="9" borderId="26" xfId="0" applyNumberFormat="1" applyFont="1" applyFill="1" applyBorder="1" applyAlignment="1">
      <x:alignment horizontal="left" vertical="center"/>
    </x:xf>
    <x:xf numFmtId="203" fontId="15" fillId="9" borderId="27" xfId="0" applyNumberFormat="1" applyFont="1" applyFill="1" applyBorder="1" applyAlignment="1">
      <x:alignment horizontal="left" vertical="center"/>
    </x:xf>
    <x:xf numFmtId="0" fontId="9" fillId="7" borderId="0" xfId="0" applyNumberFormat="1" applyFont="1" applyFill="1" applyBorder="1" applyAlignment="1">
      <x:alignment horizontal="left"/>
    </x:xf>
    <x:xf numFmtId="0" fontId="9" fillId="7" borderId="0" xfId="0" applyNumberFormat="1" applyFont="1" applyFill="1" applyBorder="1" applyAlignment="1">
      <x:alignment horizontal="left" vertical="center"/>
    </x:xf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0" xfId="0" applyNumberFormat="1" applyFont="1" applyFill="1" applyBorder="1" applyAlignment="1">
      <x:alignment horizontal="left"/>
    </x:xf>
    <x:xf numFmtId="0" fontId="9" fillId="13" borderId="0" xfId="0" applyNumberFormat="1" applyFont="1" applyFill="1" applyBorder="1" applyAlignment="1">
      <x:alignment horizontal="left" vertical="center"/>
    </x:xf>
    <x:xf numFmtId="207" fontId="6" fillId="0" borderId="1" xfId="0" applyNumberFormat="1" applyFont="1" applyFill="1" applyBorder="1"/>
    <x:xf numFmtId="207" fontId="6" fillId="0" borderId="2" xfId="0" applyNumberFormat="1" applyFont="1" applyFill="1" applyBorder="1"/>
    <x:xf numFmtId="207" fontId="6" fillId="0" borderId="3" xfId="0" applyNumberFormat="1" applyFont="1" applyFill="1" applyBorder="1"/>
    <x:xf numFmtId="206" fontId="6" fillId="0" borderId="1" xfId="0" applyNumberFormat="1" applyFont="1" applyFill="1" applyBorder="1"/>
    <x:xf numFmtId="206" fontId="6" fillId="0" borderId="2" xfId="0" applyNumberFormat="1" applyFont="1" applyFill="1" applyBorder="1"/>
    <x:xf numFmtId="206" fontId="6" fillId="0" borderId="3" xfId="0" applyNumberFormat="1" applyFont="1" applyFill="1" applyBorder="1"/>
    <x:xf numFmtId="0" fontId="0" fillId="14" borderId="0" xfId="0" applyNumberFormat="1" applyFont="1" applyFill="1" applyBorder="1"/>
    <x:xf numFmtId="0" fontId="6" fillId="14" borderId="0" xfId="0" applyNumberFormat="1" applyFont="1" applyFill="1" applyBorder="1"/>
    <x:xf numFmtId="0" fontId="6" fillId="14" borderId="28" xfId="0" applyNumberFormat="1" applyFont="1" applyFill="1" applyBorder="1"/>
    <x:xf numFmtId="0" fontId="6" fillId="14" borderId="29" xfId="0" applyNumberFormat="1" applyFont="1" applyFill="1" applyBorder="1"/>
    <x:xf numFmtId="0" fontId="6" fillId="14" borderId="30" xfId="0" applyNumberFormat="1" applyFont="1" applyFill="1" applyBorder="1"/>
    <x:xf numFmtId="0" fontId="6" fillId="14" borderId="28" xfId="0" applyNumberFormat="1" applyFont="1" applyFill="1" applyBorder="1" applyAlignment="1">
      <x:alignment wrapText="1"/>
    </x:xf>
    <x:xf numFmtId="0" fontId="6" fillId="14" borderId="29" xfId="0" applyNumberFormat="1" applyFont="1" applyFill="1" applyBorder="1" applyAlignment="1">
      <x:alignment wrapText="1"/>
    </x:xf>
    <x:xf numFmtId="0" fontId="6" fillId="14" borderId="30" xfId="0" applyNumberFormat="1" applyFont="1" applyFill="1" applyBorder="1" applyAlignment="1">
      <x:alignment wrapText="1"/>
    </x:xf>
    <x:xf numFmtId="0" fontId="6" fillId="14" borderId="28" xfId="0" applyNumberFormat="1" applyFont="1" applyFill="1" applyBorder="1" applyAlignment="1">
      <x:alignment vertical="center" wrapText="1"/>
    </x:xf>
    <x:xf numFmtId="0" fontId="6" fillId="14" borderId="29" xfId="0" applyNumberFormat="1" applyFont="1" applyFill="1" applyBorder="1" applyAlignment="1">
      <x:alignment vertical="center" wrapText="1"/>
    </x:xf>
    <x:xf numFmtId="0" fontId="6" fillId="14" borderId="30" xfId="0" applyNumberFormat="1" applyFont="1" applyFill="1" applyBorder="1" applyAlignment="1">
      <x:alignment vertical="center" wrapText="1"/>
    </x:xf>
    <x:xf numFmtId="204" fontId="10" fillId="0" borderId="1" xfId="0" applyNumberFormat="1" applyFont="1" applyFill="1" applyBorder="1"/>
    <x:xf numFmtId="204" fontId="10" fillId="0" borderId="2" xfId="0" applyNumberFormat="1" applyFont="1" applyFill="1" applyBorder="1"/>
    <x:xf numFmtId="204" fontId="10" fillId="0" borderId="3" xfId="0" applyNumberFormat="1" applyFont="1" applyFill="1" applyBorder="1"/>
    <x:xf numFmtId="207" fontId="10" fillId="0" borderId="1" xfId="0" applyNumberFormat="1" applyFont="1" applyFill="1" applyBorder="1"/>
    <x:xf numFmtId="207" fontId="10" fillId="0" borderId="2" xfId="0" applyNumberFormat="1" applyFont="1" applyFill="1" applyBorder="1"/>
    <x:xf numFmtId="207" fontId="10" fillId="0" borderId="3" xfId="0" applyNumberFormat="1" applyFont="1" applyFill="1" applyBorder="1"/>
    <x:xf numFmtId="203" fontId="10" fillId="0" borderId="1" xfId="0" applyNumberFormat="1" applyFont="1" applyFill="1" applyBorder="1"/>
    <x:xf numFmtId="203" fontId="10" fillId="0" borderId="2" xfId="0" applyNumberFormat="1" applyFont="1" applyFill="1" applyBorder="1"/>
    <x:xf numFmtId="203" fontId="10" fillId="0" borderId="3" xfId="0" applyNumberFormat="1" applyFont="1" applyFill="1" applyBorder="1"/>
    <x:xf numFmtId="206" fontId="10" fillId="0" borderId="1" xfId="0" applyNumberFormat="1" applyFont="1" applyFill="1" applyBorder="1"/>
    <x:xf numFmtId="206" fontId="10" fillId="0" borderId="2" xfId="0" applyNumberFormat="1" applyFont="1" applyFill="1" applyBorder="1"/>
    <x:xf numFmtId="206" fontId="10" fillId="0" borderId="3" xfId="0" applyNumberFormat="1" applyFont="1" applyFill="1" applyBorder="1"/>
    <x:xf numFmtId="209" fontId="0" fillId="0" borderId="0" xfId="0" applyNumberFormat="1" applyFont="1" applyFill="1" applyBorder="1"/>
    <x:xf numFmtId="0" fontId="16" fillId="2" borderId="0" xfId="0" applyNumberFormat="1" applyFont="1" applyFill="1" applyBorder="1"/>
    <x:xf numFmtId="0" fontId="0" fillId="15" borderId="0" xfId="0" applyNumberFormat="1" applyFont="1" applyFill="1" applyBorder="1"/>
    <x:xf numFmtId="0" fontId="17" fillId="15" borderId="0" xfId="0" applyNumberFormat="1" applyFont="1" applyFill="1" applyBorder="1"/>
    <x:xf numFmtId="0" fontId="17" fillId="15" borderId="0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204" fontId="10" fillId="0" borderId="1" xfId="0" applyNumberFormat="1" applyFont="1" applyFill="1" applyBorder="1" applyAlignment="1">
      <x:alignment vertical="center"/>
    </x:xf>
    <x:xf numFmtId="0" fontId="10" fillId="0" borderId="1" xfId="0" applyNumberFormat="1" applyFont="1" applyFill="1" applyBorder="1" applyAlignment="1">
      <x:alignment vertical="center"/>
    </x:xf>
    <x:xf numFmtId="207" fontId="10" fillId="0" borderId="1" xfId="0" applyNumberFormat="1" applyFont="1" applyFill="1" applyBorder="1" applyAlignment="1">
      <x:alignment vertical="center"/>
    </x:xf>
    <x:xf numFmtId="203" fontId="10" fillId="0" borderId="1" xfId="0" applyNumberFormat="1" applyFont="1" applyFill="1" applyBorder="1" applyAlignment="1">
      <x:alignment vertical="center"/>
    </x:xf>
    <x:xf numFmtId="206" fontId="10" fillId="0" borderId="1" xfId="0" applyNumberFormat="1" applyFont="1" applyFill="1" applyBorder="1" applyAlignment="1">
      <x:alignment vertical="center"/>
    </x:xf>
    <x:xf numFmtId="204" fontId="10" fillId="0" borderId="2" xfId="0" applyNumberFormat="1" applyFont="1" applyFill="1" applyBorder="1" applyAlignment="1">
      <x:alignment vertical="center"/>
    </x:xf>
    <x:xf numFmtId="0" fontId="10" fillId="0" borderId="2" xfId="0" applyNumberFormat="1" applyFont="1" applyFill="1" applyBorder="1" applyAlignment="1">
      <x:alignment vertical="center"/>
    </x:xf>
    <x:xf numFmtId="207" fontId="10" fillId="0" borderId="2" xfId="0" applyNumberFormat="1" applyFont="1" applyFill="1" applyBorder="1" applyAlignment="1">
      <x:alignment vertical="center"/>
    </x:xf>
    <x:xf numFmtId="203" fontId="10" fillId="0" borderId="2" xfId="0" applyNumberFormat="1" applyFont="1" applyFill="1" applyBorder="1" applyAlignment="1">
      <x:alignment vertical="center"/>
    </x:xf>
    <x:xf numFmtId="206" fontId="10" fillId="0" borderId="2" xfId="0" applyNumberFormat="1" applyFont="1" applyFill="1" applyBorder="1" applyAlignment="1">
      <x:alignment vertical="center"/>
    </x:xf>
    <x:xf numFmtId="204" fontId="10" fillId="0" borderId="3" xfId="0" applyNumberFormat="1" applyFont="1" applyFill="1" applyBorder="1" applyAlignment="1">
      <x:alignment vertical="center"/>
    </x:xf>
    <x:xf numFmtId="0" fontId="10" fillId="0" borderId="3" xfId="0" applyNumberFormat="1" applyFont="1" applyFill="1" applyBorder="1" applyAlignment="1">
      <x:alignment vertical="center"/>
    </x:xf>
    <x:xf numFmtId="207" fontId="10" fillId="0" borderId="3" xfId="0" applyNumberFormat="1" applyFont="1" applyFill="1" applyBorder="1" applyAlignment="1">
      <x:alignment vertical="center"/>
    </x:xf>
    <x:xf numFmtId="203" fontId="10" fillId="0" borderId="3" xfId="0" applyNumberFormat="1" applyFont="1" applyFill="1" applyBorder="1" applyAlignment="1">
      <x:alignment vertical="center"/>
    </x:xf>
    <x:xf numFmtId="206" fontId="10" fillId="0" borderId="3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03173b83f6473a" /><Relationship Type="http://schemas.openxmlformats.org/officeDocument/2006/relationships/theme" Target="/xl/theme/theme1.xml" Id="R78d239c5521d4d7d" /><Relationship Type="http://schemas.openxmlformats.org/officeDocument/2006/relationships/sharedStrings" Target="/xl/sharedStrings.xml" Id="Rda7346b2ed464b76" /><Relationship Type="http://schemas.openxmlformats.org/officeDocument/2006/relationships/worksheet" Target="/xl/worksheets/sheet1.xml" Id="Rca147437e2284690" /><Relationship Type="http://schemas.openxmlformats.org/officeDocument/2006/relationships/worksheet" Target="/xl/worksheets/sheet2.xml" Id="R9173271763ea4f3a" /><Relationship Type="http://schemas.openxmlformats.org/officeDocument/2006/relationships/worksheet" Target="/xl/worksheets/sheet3.xml" Id="R52ac20c8331c4c10" /><Relationship Type="http://schemas.openxmlformats.org/officeDocument/2006/relationships/worksheet" Target="/xl/worksheets/sheet4.xml" Id="Rbccf62473635402b" /><Relationship Type="http://schemas.openxmlformats.org/officeDocument/2006/relationships/worksheet" Target="/xl/worksheets/sheet5.xml" Id="Rca7de0d7c19a4072" /><Relationship Type="http://schemas.openxmlformats.org/officeDocument/2006/relationships/worksheet" Target="/xl/worksheets/sheet6.xml" Id="R6dc0117ff1034015" /><Relationship Type="http://schemas.openxmlformats.org/officeDocument/2006/relationships/worksheet" Target="/xl/worksheets/sheet7.xml" Id="R905376474a32489c" /><Relationship Type="http://schemas.openxmlformats.org/officeDocument/2006/relationships/worksheet" Target="/xl/worksheets/sheet8.xml" Id="R45ed19247b374a3b" /><Relationship Type="http://schemas.openxmlformats.org/officeDocument/2006/relationships/worksheet" Target="/xl/worksheets/sheet9.xml" Id="Rf364e475170b4c8b" /><Relationship Type="http://schemas.openxmlformats.org/officeDocument/2006/relationships/worksheet" Target="/xl/worksheets/sheet10.xml" Id="R5a14e9beb01f4086" /><Relationship Type="http://schemas.openxmlformats.org/officeDocument/2006/relationships/worksheet" Target="/xl/worksheets/sheet11.xml" Id="R0f184c6e8d8c42b3" /><Relationship Type="http://schemas.openxmlformats.org/officeDocument/2006/relationships/worksheet" Target="/xl/worksheets/sheet12.xml" Id="Re68156a6f8634276" /><Relationship Type="http://schemas.openxmlformats.org/officeDocument/2006/relationships/worksheet" Target="/xl/worksheets/sheet13.xml" Id="Rc2a7a2d18fbc48b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7d8f7f07dca4b27" /><Relationship Type="http://schemas.openxmlformats.org/officeDocument/2006/relationships/chart" Target="/xl/drawings/charts/chart2.xml" Id="R7bb096cb80c84d83" /><Relationship Type="http://schemas.openxmlformats.org/officeDocument/2006/relationships/chart" Target="/xl/drawings/charts/chart3.xml" Id="Ra081860924764952" /><Relationship Type="http://schemas.openxmlformats.org/officeDocument/2006/relationships/chart" Target="/xl/drawings/charts/chart4.xml" Id="Redb756457dfc4a7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Monthly Revenue and Profit ($)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Net Revenue</c:v>
          </c:tx>
          <c:spPr>
            <a:solidFill xmlns:a="http://schemas.openxmlformats.org/drawingml/2006/main">
              <a:srgbClr val="2563EB"/>
            </a:solidFill>
          </c:spPr>
          <c:marker>
            <c:symbol val="none"/>
          </c:marker>
          <c:cat>
            <c:strRef>
              <c:f>'Monthly Analysis'!$B$5:$B$28</c:f>
              <c:strCache>
                <c:ptCount val="0"/>
              </c:strCache>
            </c:strRef>
          </c:cat>
          <c:val>
            <c:numRef>
              <c:f>'Monthly Analysis'!$C$5:$C$28</c:f>
              <c:numCache>
                <c:formatCode>"$"#,##0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Profit</c:v>
          </c:tx>
          <c:spPr>
            <a:solidFill xmlns:a="http://schemas.openxmlformats.org/drawingml/2006/main">
              <a:srgbClr val="10B981"/>
            </a:solidFill>
          </c:spPr>
          <c:marker>
            <c:symbol val="none"/>
          </c:marker>
          <c:cat>
            <c:strRef>
              <c:f>'Monthly Analysis'!$B$5:$B$28</c:f>
              <c:strCache>
                <c:ptCount val="0"/>
              </c:strCache>
            </c:strRef>
          </c:cat>
          <c:val>
            <c:numRef>
              <c:f>'Monthly Analysis'!$D$5:$D$28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2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$&quot;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Net Revenue by Category ($)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Net Revenue</c:v>
          </c:tx>
          <c:spPr>
            <a:solidFill xmlns:a="http://schemas.openxmlformats.org/drawingml/2006/main">
              <a:srgbClr val="0F766E"/>
            </a:solidFill>
          </c:spPr>
          <c:cat>
            <c:strRef>
              <c:f>'Category Analysis'!$A$5:$A$10</c:f>
              <c:strCache>
                <c:ptCount val="0"/>
              </c:strCache>
            </c:strRef>
          </c:cat>
          <c:val>
            <c:numRef>
              <c:f>'Category Analysis'!$B$5:$B$10</c:f>
              <c:numCache>
                <c:formatCode>"$"#,##0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$&quot;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Profit by Region ($)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Profit</c:v>
          </c:tx>
          <c:spPr>
            <a:solidFill xmlns:a="http://schemas.openxmlformats.org/drawingml/2006/main">
              <a:srgbClr val="7C3AED"/>
            </a:solidFill>
          </c:spPr>
          <c:cat>
            <c:strRef>
              <c:f>'Region Analysis'!$A$5:$A$8</c:f>
              <c:strCache>
                <c:ptCount val="0"/>
              </c:strCache>
            </c:strRef>
          </c:cat>
          <c:val>
            <c:numRef>
              <c:f>'Region Analysis'!$C$5:$C$8</c:f>
              <c:numCache>
                <c:formatCode>"$"#,##0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$&quot;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Revenue Mix by Channel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doughnutChart>
        <c:ser>
          <c:idx val="0"/>
          <c:order val="0"/>
          <c:tx>
            <c:v>Net Revenue</c:v>
          </c:tx>
          <c:cat>
            <c:strRef>
              <c:f>'Channel Analysis'!$A$5:$A$7</c:f>
              <c:strCache>
                <c:ptCount val="0"/>
              </c:strCache>
            </c:strRef>
          </c:cat>
          <c:val>
            <c:numRef>
              <c:f>'Channel Analysis'!$B$5:$B$7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8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7d8f7f07dca4b27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16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b096cb80c84d83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8</xdr:col>
      <xdr:colOff>0</xdr:colOff>
      <xdr:row>50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081860924764952"/>
        </a:graphicData>
      </a:graphic>
    </xdr:graphicFrame>
    <xdr:clientData/>
  </xdr:twoCellAnchor>
  <xdr:twoCellAnchor>
    <xdr:from>
      <xdr:col>8</xdr:col>
      <xdr:colOff>0</xdr:colOff>
      <xdr:row>33</xdr:row>
      <xdr:rowOff>0</xdr:rowOff>
    </xdr:from>
    <xdr:to>
      <xdr:col>16</xdr:col>
      <xdr:colOff>0</xdr:colOff>
      <xdr:row>50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b756457dfc4a7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RawSalesTable" displayName="RawSalesTable" ref="A4:R2428" headerRowCount="1" totalsRowCount="0" totalsRowShown="0">
  <x:tableColumns count="18">
    <x:tableColumn id="1" name="Order_ID"/>
    <x:tableColumn id="2" name="Order_Date"/>
    <x:tableColumn id="3" name="Customer_ID"/>
    <x:tableColumn id="4" name="Customer_Name"/>
    <x:tableColumn id="5" name="Customer_Segment"/>
    <x:tableColumn id="6" name="Region"/>
    <x:tableColumn id="7" name="City"/>
    <x:tableColumn id="8" name="Channel"/>
    <x:tableColumn id="9" name="Product_ID"/>
    <x:tableColumn id="10" name="Quantity"/>
    <x:tableColumn id="11" name="Discount_Rate"/>
    <x:tableColumn id="12" name="Return_Status"/>
    <x:tableColumn id="13" name="Payment_Method"/>
    <x:tableColumn id="14" name="Sales_Rep"/>
    <x:tableColumn id="15" name="Ship_Date"/>
    <x:tableColumn id="16" name="Source_Batch"/>
    <x:tableColumn id="17" name="Raw_Product_Name"/>
    <x:tableColumn id="18" name="Raw_Catego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CleanSalesTable" displayName="CleanSalesTable" ref="A4:AI2428" headerRowCount="1" totalsRowCount="0" totalsRowShown="0">
  <x:tableColumns count="35">
    <x:tableColumn id="1" name="Order_ID"/>
    <x:tableColumn id="2" name="Order_Date"/>
    <x:tableColumn id="3" name="Year"/>
    <x:tableColumn id="4" name="Month_Start"/>
    <x:tableColumn id="5" name="Month"/>
    <x:tableColumn id="6" name="Customer_ID"/>
    <x:tableColumn id="7" name="Customer_Name"/>
    <x:tableColumn id="8" name="Customer_Segment"/>
    <x:tableColumn id="9" name="Region"/>
    <x:tableColumn id="10" name="City"/>
    <x:tableColumn id="11" name="Channel"/>
    <x:tableColumn id="12" name="Product_ID"/>
    <x:tableColumn id="13" name="Product_Name"/>
    <x:tableColumn id="14" name="Category"/>
    <x:tableColumn id="15" name="Subcategory"/>
    <x:tableColumn id="16" name="Unit_Price"/>
    <x:tableColumn id="17" name="Unit_Cost"/>
    <x:tableColumn id="18" name="Quantity"/>
    <x:tableColumn id="19" name="Discount_Rate"/>
    <x:tableColumn id="20" name="Gross_Sales"/>
    <x:tableColumn id="21" name="Discount_Amount"/>
    <x:tableColumn id="22" name="Return_Status"/>
    <x:tableColumn id="23" name="Net_Revenue"/>
    <x:tableColumn id="24" name="COGS"/>
    <x:tableColumn id="25" name="Profit"/>
    <x:tableColumn id="26" name="Profit_Margin"/>
    <x:tableColumn id="27" name="Payment_Method"/>
    <x:tableColumn id="28" name="Sales_Rep"/>
    <x:tableColumn id="29" name="Ship_Date"/>
    <x:tableColumn id="30" name="Fulfillment_Days"/>
    <x:tableColumn id="31" name="Duplicate_Flag"/>
    <x:tableColumn id="32" name="Quality_Flag"/>
    <x:tableColumn id="33" name="Analysis_Flag"/>
    <x:tableColumn id="34" name="Filter_Flag"/>
    <x:tableColumn id="35" name="Filter_No_Yea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ProductMasterTable" displayName="ProductMasterTable" ref="A4:F40" headerRowCount="1" totalsRowCount="0" totalsRowShown="0">
  <x:tableColumns count="6">
    <x:tableColumn id="1" name="Product_ID"/>
    <x:tableColumn id="2" name="Product_Name"/>
    <x:tableColumn id="3" name="Category"/>
    <x:tableColumn id="4" name="Subcategory"/>
    <x:tableColumn id="5" name="List_Price"/>
    <x:tableColumn id="6" name="Unit_Cos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5ff48b3b7bd41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40f8a6421584c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b38a47f919e41e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f0f257ae02a54b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32" customHeight="1">
      <x:c r="A1" s="4" t="str">
        <x:v>Meridian Retail Group — Sales &amp; Profit Analytics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6" customHeight="1">
      <x:c r="A2" s="8" t="str">
        <x:v>Independent portfolio project | Synthetic data | Prepared for Upwork and GitHub presentation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>
      <x:c r="A4" s="11" t="str">
        <x:v>PROJECT OVERVIEW</x:v>
      </x:c>
      <x:c r="B4" s="11"/>
      <x:c r="C4" s="11"/>
      <x:c r="D4" s="11"/>
      <x:c r="E4" s="11"/>
      <x:c r="F4" s="11"/>
      <x:c r="G4" s="11"/>
      <x:c r="H4" s="11"/>
      <x:c r="I4" s="11"/>
      <x:c r="J4" s="11"/>
    </x:row>
    <x:row r="5">
      <x:c r="A5" s="12" t="str">
        <x:v>Business</x:v>
      </x:c>
      <x:c r="B5" s="14" t="str">
        <x:v>Meridian Retail Group</x:v>
      </x:c>
      <x:c r="C5" s="14"/>
      <x:c r="E5" s="16" t="str">
        <x:v>HOW TO USE THIS WORKBOOK</x:v>
      </x:c>
      <x:c r="F5" s="16"/>
      <x:c r="G5" s="16"/>
      <x:c r="H5" s="16"/>
      <x:c r="I5" s="16"/>
      <x:c r="J5" s="16"/>
    </x:row>
    <x:row r="6">
      <x:c r="A6" s="12" t="str">
        <x:v>Period</x:v>
      </x:c>
      <x:c r="B6" s="14" t="str">
        <x:v>January 2024 – December 2025</x:v>
      </x:c>
      <x:c r="C6" s="14"/>
      <x:c r="E6" s="20" t="str">
        <x:v>1. Begin on Dashboard and change the four selector cells.</x:v>
      </x:c>
      <x:c r="F6" s="20"/>
      <x:c r="G6" s="20"/>
      <x:c r="H6" s="20"/>
      <x:c r="I6" s="20"/>
      <x:c r="J6" s="20"/>
    </x:row>
    <x:row r="7">
      <x:c r="A7" s="12" t="str">
        <x:v>Raw records</x:v>
      </x:c>
      <x:c r="B7" s="14" t="n">
        <x:v>2424</x:v>
      </x:c>
      <x:c r="C7" s="14"/>
      <x:c r="E7" s="20" t="str">
        <x:v>2. Review Raw Sales to see deliberate quality problems.</x:v>
      </x:c>
      <x:c r="F7" s="20"/>
      <x:c r="G7" s="20"/>
      <x:c r="H7" s="20"/>
      <x:c r="I7" s="20"/>
      <x:c r="J7" s="20"/>
    </x:row>
    <x:row r="8">
      <x:c r="A8" s="12" t="str">
        <x:v>Unique transactions</x:v>
      </x:c>
      <x:c r="B8" s="14" t="n">
        <x:v>2400</x:v>
      </x:c>
      <x:c r="C8" s="14"/>
      <x:c r="E8" s="20" t="str">
        <x:v>3. Review Clean Sales to audit formula-driven cleaning and calculations.</x:v>
      </x:c>
      <x:c r="F8" s="20"/>
      <x:c r="G8" s="20"/>
      <x:c r="H8" s="20"/>
      <x:c r="I8" s="20"/>
      <x:c r="J8" s="20"/>
    </x:row>
    <x:row r="9">
      <x:c r="A9" s="12" t="str">
        <x:v>Currencies</x:v>
      </x:c>
      <x:c r="B9" s="14" t="str">
        <x:v>USD</x:v>
      </x:c>
      <x:c r="C9" s="14"/>
      <x:c r="E9" s="20" t="str">
        <x:v>4. Use the analysis tabs to trace chart and KPI calculations.</x:v>
      </x:c>
      <x:c r="F9" s="20"/>
      <x:c r="G9" s="20"/>
      <x:c r="H9" s="20"/>
      <x:c r="I9" s="20"/>
      <x:c r="J9" s="20"/>
    </x:row>
    <x:row r="10">
      <x:c r="A10" s="12" t="str">
        <x:v>Project type</x:v>
      </x:c>
      <x:c r="B10" s="14" t="str">
        <x:v>Sales performance, profitability, customer and product analysis</x:v>
      </x:c>
      <x:c r="C10" s="14"/>
      <x:c r="E10" s="20" t="str">
        <x:v>5. Open Checks; MODEL STATUS should remain PASS.</x:v>
      </x:c>
      <x:c r="F10" s="20"/>
      <x:c r="G10" s="20"/>
      <x:c r="H10" s="20"/>
      <x:c r="I10" s="20"/>
      <x:c r="J10" s="20"/>
    </x:row>
    <x:row r="11">
      <x:c r="A11" s="12" t="str">
        <x:v>Data source</x:v>
      </x:c>
      <x:c r="B11" s="14" t="str">
        <x:v>Synthetic, reproducible portfolio data; no real customer information</x:v>
      </x:c>
      <x:c r="C11" s="14"/>
      <x:c r="E11" s="20" t="str">
        <x:v>6. Use Portfolio Copy when publishing the project on Upwork or GitHub.</x:v>
      </x:c>
      <x:c r="F11" s="20"/>
      <x:c r="G11" s="20"/>
      <x:c r="H11" s="20"/>
      <x:c r="I11" s="20"/>
      <x:c r="J11" s="20"/>
    </x:row>
    <x:row r="13">
      <x:c r="A13" s="22" t="str">
        <x:v>WORKBOOK MAP</x:v>
      </x:c>
      <x:c r="B13" s="22"/>
      <x:c r="C13" s="22"/>
      <x:c r="D13" s="22"/>
      <x:c r="E13" s="22"/>
      <x:c r="F13" s="22"/>
      <x:c r="G13" s="22"/>
      <x:c r="H13" s="22"/>
      <x:c r="I13" s="22"/>
      <x:c r="J13" s="22"/>
    </x:row>
    <x:row r="14">
      <x:c r="A14" s="23" t="str">
        <x:v>Dashboard</x:v>
      </x:c>
      <x:c r="B14" s="28" t="str">
        <x:v>Interactive executive dashboard and headline KPIs</x:v>
      </x:c>
      <x:c r="C14" s="28"/>
      <x:c r="D14" s="28"/>
      <x:c r="E14" s="28"/>
      <x:c r="F14" s="28"/>
      <x:c r="G14" s="28"/>
      <x:c r="H14" s="28"/>
      <x:c r="I14" s="28"/>
      <x:c r="J14" s="28"/>
    </x:row>
    <x:row r="15">
      <x:c r="A15" s="23" t="str">
        <x:v>Raw Sales</x:v>
      </x:c>
      <x:c r="B15" s="29" t="str">
        <x:v>Messy transactional source extract</x:v>
      </x:c>
      <x:c r="C15" s="29"/>
      <x:c r="D15" s="29"/>
      <x:c r="E15" s="29"/>
      <x:c r="F15" s="29"/>
      <x:c r="G15" s="29"/>
      <x:c r="H15" s="29"/>
      <x:c r="I15" s="29"/>
      <x:c r="J15" s="29"/>
    </x:row>
    <x:row r="16">
      <x:c r="A16" s="23" t="str">
        <x:v>Clean Sales</x:v>
      </x:c>
      <x:c r="B16" s="29" t="str">
        <x:v>Normalized dimensions, calculated revenue/profit, quality flags and filter logic</x:v>
      </x:c>
      <x:c r="C16" s="29"/>
      <x:c r="D16" s="29"/>
      <x:c r="E16" s="29"/>
      <x:c r="F16" s="29"/>
      <x:c r="G16" s="29"/>
      <x:c r="H16" s="29"/>
      <x:c r="I16" s="29"/>
      <x:c r="J16" s="29"/>
    </x:row>
    <x:row r="17">
      <x:c r="A17" s="23" t="str">
        <x:v>Reference Data</x:v>
      </x:c>
      <x:c r="B17" s="29" t="str">
        <x:v>Product master and clean mapping values</x:v>
      </x:c>
      <x:c r="C17" s="29"/>
      <x:c r="D17" s="29"/>
      <x:c r="E17" s="29"/>
      <x:c r="F17" s="29"/>
      <x:c r="G17" s="29"/>
      <x:c r="H17" s="29"/>
      <x:c r="I17" s="29"/>
      <x:c r="J17" s="29"/>
    </x:row>
    <x:row r="18">
      <x:c r="A18" s="23" t="str">
        <x:v>Monthly Analysis</x:v>
      </x:c>
      <x:c r="B18" s="29" t="str">
        <x:v>Monthly revenue, profit, order and margin calculations</x:v>
      </x:c>
      <x:c r="C18" s="29"/>
      <x:c r="D18" s="29"/>
      <x:c r="E18" s="29"/>
      <x:c r="F18" s="29"/>
      <x:c r="G18" s="29"/>
      <x:c r="H18" s="29"/>
      <x:c r="I18" s="29"/>
      <x:c r="J18" s="29"/>
    </x:row>
    <x:row r="19">
      <x:c r="A19" s="23" t="str">
        <x:v>Category / Region / Channel</x:v>
      </x:c>
      <x:c r="B19" s="29" t="str">
        <x:v>Management cuts used by dashboard charts</x:v>
      </x:c>
      <x:c r="C19" s="29"/>
      <x:c r="D19" s="29"/>
      <x:c r="E19" s="29"/>
      <x:c r="F19" s="29"/>
      <x:c r="G19" s="29"/>
      <x:c r="H19" s="29"/>
      <x:c r="I19" s="29"/>
      <x:c r="J19" s="29"/>
    </x:row>
    <x:row r="20">
      <x:c r="A20" s="23" t="str">
        <x:v>Product Analysis</x:v>
      </x:c>
      <x:c r="B20" s="29" t="str">
        <x:v>Product-level ranking and profitability</x:v>
      </x:c>
      <x:c r="C20" s="29"/>
      <x:c r="D20" s="29"/>
      <x:c r="E20" s="29"/>
      <x:c r="F20" s="29"/>
      <x:c r="G20" s="29"/>
      <x:c r="H20" s="29"/>
      <x:c r="I20" s="29"/>
      <x:c r="J20" s="29"/>
    </x:row>
    <x:row r="21">
      <x:c r="A21" s="23" t="str">
        <x:v>Checks</x:v>
      </x:c>
      <x:c r="B21" s="29" t="str">
        <x:v>Reconciliation controls and source-quality summary</x:v>
      </x:c>
      <x:c r="C21" s="29"/>
      <x:c r="D21" s="29"/>
      <x:c r="E21" s="29"/>
      <x:c r="F21" s="29"/>
      <x:c r="G21" s="29"/>
      <x:c r="H21" s="29"/>
      <x:c r="I21" s="29"/>
      <x:c r="J21" s="29"/>
    </x:row>
    <x:row r="22">
      <x:c r="A22" s="23" t="str">
        <x:v>Data Dictionary</x:v>
      </x:c>
      <x:c r="B22" s="29" t="str">
        <x:v>Field definitions and transformation logic</x:v>
      </x:c>
      <x:c r="C22" s="29"/>
      <x:c r="D22" s="29"/>
      <x:c r="E22" s="29"/>
      <x:c r="F22" s="29"/>
      <x:c r="G22" s="29"/>
      <x:c r="H22" s="29"/>
      <x:c r="I22" s="29"/>
      <x:c r="J22" s="29"/>
    </x:row>
    <x:row r="23">
      <x:c r="A23" s="23" t="str">
        <x:v>Portfolio Copy</x:v>
      </x:c>
      <x:c r="B23" s="30" t="str">
        <x:v>Ready-to-use Upwork and GitHub project descriptions</x:v>
      </x:c>
      <x:c r="C23" s="30"/>
      <x:c r="D23" s="30"/>
      <x:c r="E23" s="30"/>
      <x:c r="F23" s="30"/>
      <x:c r="G23" s="30"/>
      <x:c r="H23" s="30"/>
      <x:c r="I23" s="30"/>
      <x:c r="J23" s="30"/>
    </x:row>
    <x:row r="25">
      <x:c r="A25" s="50" t="str">
        <x:v>Portfolio disclosure: This is an independent project created with synthetic data to demonstrate Excel data cleaning, analytical modelling, dashboard design, business insight generation, and quality-control skills. It is not represented as paid client work.</x:v>
      </x:c>
      <x:c r="B25" s="51"/>
      <x:c r="C25" s="51"/>
      <x:c r="D25" s="51"/>
      <x:c r="E25" s="51"/>
      <x:c r="F25" s="51"/>
      <x:c r="G25" s="51"/>
      <x:c r="H25" s="51"/>
      <x:c r="I25" s="51"/>
      <x:c r="J25" s="52"/>
    </x:row>
    <x:row r="26">
      <x:c r="A26" s="53"/>
      <x:c r="B26" s="54"/>
      <x:c r="C26" s="54"/>
      <x:c r="D26" s="54"/>
      <x:c r="E26" s="54"/>
      <x:c r="F26" s="54"/>
      <x:c r="G26" s="54"/>
      <x:c r="H26" s="54"/>
      <x:c r="I26" s="54"/>
      <x:c r="J26" s="55"/>
    </x:row>
    <x:row r="27">
      <x:c r="A27" s="56"/>
      <x:c r="B27" s="57"/>
      <x:c r="C27" s="57"/>
      <x:c r="D27" s="57"/>
      <x:c r="E27" s="57"/>
      <x:c r="F27" s="57"/>
      <x:c r="G27" s="57"/>
      <x:c r="H27" s="57"/>
      <x:c r="I27" s="57"/>
      <x:c r="J27" s="58"/>
    </x:row>
  </x:sheetData>
  <x:mergeCells>
    <x:mergeCell ref="A1:J1"/>
    <x:mergeCell ref="A2:J2"/>
    <x:mergeCell ref="A4:J4"/>
    <x:mergeCell ref="B5:C5"/>
    <x:mergeCell ref="B6:C6"/>
    <x:mergeCell ref="B7:C7"/>
    <x:mergeCell ref="B8:C8"/>
    <x:mergeCell ref="B9:C9"/>
    <x:mergeCell ref="B10:C10"/>
    <x:mergeCell ref="B11:C11"/>
    <x:mergeCell ref="E5:J5"/>
    <x:mergeCell ref="E6:J6"/>
    <x:mergeCell ref="E7:J7"/>
    <x:mergeCell ref="E8:J8"/>
    <x:mergeCell ref="E9:J9"/>
    <x:mergeCell ref="E10:J10"/>
    <x:mergeCell ref="E11:J11"/>
    <x:mergeCell ref="A13:J13"/>
    <x:mergeCell ref="B14:J14"/>
    <x:mergeCell ref="B15:J15"/>
    <x:mergeCell ref="B16:J16"/>
    <x:mergeCell ref="B17:J17"/>
    <x:mergeCell ref="B18:J18"/>
    <x:mergeCell ref="B19:J19"/>
    <x:mergeCell ref="B20:J20"/>
    <x:mergeCell ref="B21:J21"/>
    <x:mergeCell ref="B22:J22"/>
    <x:mergeCell ref="B23:J23"/>
    <x:mergeCell ref="A25:J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11" hidden="0" customWidth="1"/>
    <x:col min="4" max="4" width="11" hidden="0" customWidth="1"/>
    <x:col min="5" max="5" width="13" hidden="0" customWidth="1"/>
    <x:col min="6" max="6" width="11" hidden="0" customWidth="1"/>
    <x:col min="7" max="7" width="11" hidden="0" customWidth="1"/>
    <x:col min="8" max="8" width="13" hidden="0" customWidth="1"/>
    <x:col min="9" max="9" width="11" hidden="0" customWidth="1"/>
    <x:col min="10" max="10" width="11" hidden="0" customWidth="1"/>
    <x:col min="11" max="11" width="13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</x:cols>
  <x:sheetData>
    <x:row r="1" ht="32" customHeight="1">
      <x:c r="A1" s="4" t="str">
        <x:v>Executive Sales &amp; Profit Dashboard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6" customHeight="1">
      <x:c r="A2" s="8" t="str">
        <x:v>Change the four white selector cells; KPIs, analyses, charts and controls update automatically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</x:row>
    <x:row r="4">
      <x:c r="A4" s="96" t="str">
        <x:v>Region</x:v>
      </x:c>
      <x:c r="B4" s="101" t="str">
        <x:v>All</x:v>
      </x:c>
      <x:c r="C4" s="102"/>
      <x:c r="D4" s="96" t="str">
        <x:v>Category</x:v>
      </x:c>
      <x:c r="E4" s="101" t="str">
        <x:v>All</x:v>
      </x:c>
      <x:c r="F4" s="102"/>
      <x:c r="G4" s="96" t="str">
        <x:v>Channel</x:v>
      </x:c>
      <x:c r="H4" s="101" t="str">
        <x:v>All</x:v>
      </x:c>
      <x:c r="I4" s="102"/>
      <x:c r="J4" s="96" t="str">
        <x:v>Year</x:v>
      </x:c>
      <x:c r="K4" s="101" t="str">
        <x:v>All</x:v>
      </x:c>
      <x:c r="L4" s="102"/>
      <x:c r="M4" s="108" t="str">
        <x:f>"Showing "&amp;TEXT(COUNTIFS('Clean Sales'!$AH$5:$AH$2428,1),"#,##0")&amp;" valid transactions"</x:f>
        <x:v>Showing 2,351 valid transactions</x:v>
      </x:c>
      <x:c r="N4" s="109"/>
      <x:c r="O4" s="109"/>
      <x:c r="P4" s="110"/>
    </x:row>
    <x:row r="6">
      <x:c r="A6" s="113" t="str">
        <x:v>NET REVENUE</x:v>
      </x:c>
      <x:c r="B6" s="113"/>
      <x:c r="C6" s="113"/>
      <x:c r="D6" s="113"/>
      <x:c r="E6" s="154" t="str">
        <x:v>GROSS PROFIT</x:v>
      </x:c>
      <x:c r="F6" s="154"/>
      <x:c r="G6" s="154"/>
      <x:c r="H6" s="154"/>
      <x:c r="I6" s="184" t="str">
        <x:v>PROFIT MARGIN</x:v>
      </x:c>
      <x:c r="J6" s="184"/>
      <x:c r="K6" s="184"/>
      <x:c r="L6" s="184"/>
      <x:c r="M6" s="215" t="str">
        <x:v>TRANSACTIONS</x:v>
      </x:c>
      <x:c r="N6" s="215"/>
      <x:c r="O6" s="215"/>
      <x:c r="P6" s="215"/>
    </x:row>
    <x:row r="7" ht="23" customHeight="1">
      <x:c r="A7" s="142" t="n">
        <x:f>SUMIFS('Clean Sales'!$W$5:$W$2428,'Clean Sales'!$AH$5:$AH$2428,1)</x:f>
        <x:v>360740.3499999988</x:v>
      </x:c>
      <x:c r="B7" s="143"/>
      <x:c r="C7" s="143"/>
      <x:c r="D7" s="144"/>
      <x:c r="E7" s="173" t="n">
        <x:f>SUMIFS('Clean Sales'!$Y$5:$Y$2428,'Clean Sales'!$AH$5:$AH$2428,1)</x:f>
        <x:v>160303.35000000053</x:v>
      </x:c>
      <x:c r="F7" s="174"/>
      <x:c r="G7" s="174"/>
      <x:c r="H7" s="175"/>
      <x:c r="I7" s="203" t="n">
        <x:f>IFERROR(E7/A7,0)</x:f>
        <x:v>0.44437321746791303</x:v>
      </x:c>
      <x:c r="J7" s="204"/>
      <x:c r="K7" s="204"/>
      <x:c r="L7" s="205"/>
      <x:c r="M7" s="234" t="n">
        <x:f>COUNTIFS('Clean Sales'!$AH$5:$AH$2428,1)</x:f>
        <x:v>2351</x:v>
      </x:c>
      <x:c r="N7" s="235"/>
      <x:c r="O7" s="235"/>
      <x:c r="P7" s="236"/>
    </x:row>
    <x:row r="8" ht="23" customHeight="1">
      <x:c r="A8" s="145"/>
      <x:c r="B8" s="146"/>
      <x:c r="C8" s="146"/>
      <x:c r="D8" s="147"/>
      <x:c r="E8" s="176"/>
      <x:c r="F8" s="177"/>
      <x:c r="G8" s="177"/>
      <x:c r="H8" s="178"/>
      <x:c r="I8" s="206"/>
      <x:c r="J8" s="207"/>
      <x:c r="K8" s="207"/>
      <x:c r="L8" s="208"/>
      <x:c r="M8" s="237"/>
      <x:c r="N8" s="238"/>
      <x:c r="O8" s="238"/>
      <x:c r="P8" s="239"/>
    </x:row>
    <x:row r="9" ht="23" customHeight="1">
      <x:c r="A9" s="148"/>
      <x:c r="B9" s="149"/>
      <x:c r="C9" s="149"/>
      <x:c r="D9" s="150"/>
      <x:c r="E9" s="179"/>
      <x:c r="F9" s="180"/>
      <x:c r="G9" s="180"/>
      <x:c r="H9" s="181"/>
      <x:c r="I9" s="209"/>
      <x:c r="J9" s="210"/>
      <x:c r="K9" s="210"/>
      <x:c r="L9" s="211"/>
      <x:c r="M9" s="240"/>
      <x:c r="N9" s="241"/>
      <x:c r="O9" s="241"/>
      <x:c r="P9" s="242"/>
    </x:row>
    <x:row r="11">
      <x:c r="A11" s="244" t="str">
        <x:v>UNITS SOLD</x:v>
      </x:c>
      <x:c r="B11" s="244"/>
      <x:c r="C11" s="244"/>
      <x:c r="D11" s="244"/>
      <x:c r="E11" s="113" t="str">
        <x:v>AVERAGE ORDER VALUE</x:v>
      </x:c>
      <x:c r="F11" s="113"/>
      <x:c r="G11" s="113"/>
      <x:c r="H11" s="113"/>
      <x:c r="I11" s="248" t="str">
        <x:v>RETURN RATE</x:v>
      </x:c>
      <x:c r="J11" s="248"/>
      <x:c r="K11" s="248"/>
      <x:c r="L11" s="248"/>
      <x:c r="M11" s="154" t="str">
        <x:v>2025 VS 2024 REVENUE</x:v>
      </x:c>
      <x:c r="N11" s="154"/>
      <x:c r="O11" s="154"/>
      <x:c r="P11" s="154"/>
    </x:row>
    <x:row r="12" ht="23" customHeight="1">
      <x:c r="A12" s="234" t="n">
        <x:f>SUMIFS('Clean Sales'!$R$5:$R$2428,'Clean Sales'!$AH$5:$AH$2428,1)</x:f>
        <x:v>4801</x:v>
      </x:c>
      <x:c r="B12" s="235"/>
      <x:c r="C12" s="235"/>
      <x:c r="D12" s="236"/>
      <x:c r="E12" s="142" t="n">
        <x:f>IFERROR(A7/M7,0)</x:f>
        <x:v>153.4412377711607</x:v>
      </x:c>
      <x:c r="F12" s="143"/>
      <x:c r="G12" s="143"/>
      <x:c r="H12" s="144"/>
      <x:c r="I12" s="203" t="n">
        <x:f>IFERROR(COUNTIFS('Clean Sales'!$AH$5:$AH$2428,1,'Clean Sales'!$V$5:$V$2428,"Returned")/M7,0)</x:f>
        <x:v>0.052318162484049344</x:v>
      </x:c>
      <x:c r="J12" s="204"/>
      <x:c r="K12" s="204"/>
      <x:c r="L12" s="205"/>
      <x:c r="M12" s="203" t="n">
        <x:f>IFERROR((SUMIFS('Clean Sales'!$W$5:$W$2428,'Clean Sales'!$AI$5:$AI$2428,1,'Clean Sales'!$C$5:$C$2428,2025)-SUMIFS('Clean Sales'!$W$5:$W$2428,'Clean Sales'!$AI$5:$AI$2428,1,'Clean Sales'!$C$5:$C$2428,2024))/SUMIFS('Clean Sales'!$W$5:$W$2428,'Clean Sales'!$AI$5:$AI$2428,1,'Clean Sales'!$C$5:$C$2428,2024),0)</x:f>
        <x:v>0.23918381661478666</x:v>
      </x:c>
      <x:c r="N12" s="204"/>
      <x:c r="O12" s="204"/>
      <x:c r="P12" s="205"/>
    </x:row>
    <x:row r="13" ht="23" customHeight="1">
      <x:c r="A13" s="237"/>
      <x:c r="B13" s="238"/>
      <x:c r="C13" s="238"/>
      <x:c r="D13" s="239"/>
      <x:c r="E13" s="145"/>
      <x:c r="F13" s="146"/>
      <x:c r="G13" s="146"/>
      <x:c r="H13" s="147"/>
      <x:c r="I13" s="206"/>
      <x:c r="J13" s="207"/>
      <x:c r="K13" s="207"/>
      <x:c r="L13" s="208"/>
      <x:c r="M13" s="206"/>
      <x:c r="N13" s="207"/>
      <x:c r="O13" s="207"/>
      <x:c r="P13" s="208"/>
    </x:row>
    <x:row r="14" ht="23" customHeight="1">
      <x:c r="A14" s="240"/>
      <x:c r="B14" s="241"/>
      <x:c r="C14" s="241"/>
      <x:c r="D14" s="242"/>
      <x:c r="E14" s="148"/>
      <x:c r="F14" s="149"/>
      <x:c r="G14" s="149"/>
      <x:c r="H14" s="150"/>
      <x:c r="I14" s="209"/>
      <x:c r="J14" s="210"/>
      <x:c r="K14" s="210"/>
      <x:c r="L14" s="211"/>
      <x:c r="M14" s="209"/>
      <x:c r="N14" s="210"/>
      <x:c r="O14" s="210"/>
      <x:c r="P14" s="211"/>
    </x:row>
    <x:row r="52">
      <x:c r="A52" s="22" t="str">
        <x:v>TOP PRODUCTS BY NET REVENUE</x:v>
      </x:c>
      <x:c r="B52" s="22"/>
      <x:c r="C52" s="22"/>
      <x:c r="D52" s="22"/>
      <x:c r="E52" s="22"/>
      <x:c r="F52" s="22"/>
      <x:c r="G52" s="22"/>
      <x:c r="H52" s="22"/>
      <x:c r="J52" s="10" t="str">
        <x:v>MANAGEMENT TAKEAWAYS — ALL DATA</x:v>
      </x:c>
      <x:c r="K52" s="10"/>
      <x:c r="L52" s="10"/>
      <x:c r="M52" s="10"/>
      <x:c r="N52" s="10"/>
      <x:c r="O52" s="10"/>
      <x:c r="P52" s="10"/>
    </x:row>
    <x:row r="53" ht="30" customHeight="1">
      <x:c r="A53" s="69" t="str">
        <x:v>Rank</x:v>
      </x:c>
      <x:c r="B53" s="70" t="str">
        <x:v>Product</x:v>
      </x:c>
      <x:c r="C53" s="70"/>
      <x:c r="D53" s="70"/>
      <x:c r="E53" s="70"/>
      <x:c r="F53" s="70" t="str">
        <x:v>Revenue</x:v>
      </x:c>
      <x:c r="G53" s="70" t="str">
        <x:v>Profit</x:v>
      </x:c>
      <x:c r="H53" s="71" t="str">
        <x:v>Margin</x:v>
      </x:c>
      <x:c r="J53" s="263" t="str">
        <x:v>• Electronics is the largest category, producing $97,784 in net revenue.</x:v>
      </x:c>
      <x:c r="K53" s="263"/>
      <x:c r="L53" s="263"/>
      <x:c r="M53" s="263"/>
      <x:c r="N53" s="263"/>
      <x:c r="O53" s="263"/>
      <x:c r="P53" s="263"/>
    </x:row>
    <x:row r="54">
      <x:c r="A54" s="25" t="n">
        <x:v>1</x:v>
      </x:c>
      <x:c r="B54" s="25" t="str">
        <x:f>INDEX('Product Analysis'!$A$5:$A$40,MATCH(A54,'Product Analysis'!$G$5:$G$40,0))</x:f>
        <x:v>Standing Desk</x:v>
      </x:c>
      <x:c r="C54" s="25"/>
      <x:c r="D54" s="25"/>
      <x:c r="E54" s="25"/>
      <x:c r="F54" s="249" t="n">
        <x:f>INDEX('Product Analysis'!$B$5:$B$40,MATCH(A54,'Product Analysis'!$G$5:$G$40,0))</x:f>
        <x:v>44807.7</x:v>
      </x:c>
      <x:c r="G54" s="249" t="n">
        <x:f>INDEX('Product Analysis'!$C$5:$C$40,MATCH(A54,'Product Analysis'!$G$5:$G$40,0))</x:f>
        <x:v>16208.2</x:v>
      </x:c>
      <x:c r="H54" s="252" t="n">
        <x:f>IFERROR(G54/F54,0)</x:f>
        <x:v>0.36172800657029935</x:v>
      </x:c>
      <x:c r="J54" s="264" t="str">
        <x:v>• Southeast leads regional revenue at $99,169.</x:v>
      </x:c>
      <x:c r="K54" s="264"/>
      <x:c r="L54" s="264"/>
      <x:c r="M54" s="264"/>
      <x:c r="N54" s="264"/>
      <x:c r="O54" s="264"/>
      <x:c r="P54" s="264"/>
    </x:row>
    <x:row r="55">
      <x:c r="A55" s="26" t="n">
        <x:v>2</x:v>
      </x:c>
      <x:c r="B55" s="26" t="str">
        <x:f>INDEX('Product Analysis'!$A$5:$A$40,MATCH(A55,'Product Analysis'!$G$5:$G$40,0))</x:f>
        <x:v>Ergonomic Chair</x:v>
      </x:c>
      <x:c r="C55" s="26"/>
      <x:c r="D55" s="26"/>
      <x:c r="E55" s="26"/>
      <x:c r="F55" s="250" t="n">
        <x:f>INDEX('Product Analysis'!$B$5:$B$40,MATCH(A55,'Product Analysis'!$G$5:$G$40,0))</x:f>
        <x:v>29718.149999999998</x:v>
      </x:c>
      <x:c r="G55" s="250" t="n">
        <x:f>INDEX('Product Analysis'!$C$5:$C$40,MATCH(A55,'Product Analysis'!$G$5:$G$40,0))</x:f>
        <x:v>11288.650000000005</x:v>
      </x:c>
      <x:c r="H55" s="253" t="n">
        <x:f>IFERROR(G55/F55,0)</x:f>
        <x:v>0.3798570907004644</x:v>
      </x:c>
      <x:c r="J55" s="264" t="str">
        <x:v>• Retail Store is the strongest sales channel, contributing $141,722.</x:v>
      </x:c>
      <x:c r="K55" s="264"/>
      <x:c r="L55" s="264"/>
      <x:c r="M55" s="264"/>
      <x:c r="N55" s="264"/>
      <x:c r="O55" s="264"/>
      <x:c r="P55" s="264"/>
    </x:row>
    <x:row r="56">
      <x:c r="A56" s="26" t="n">
        <x:v>3</x:v>
      </x:c>
      <x:c r="B56" s="26" t="str">
        <x:f>INDEX('Product Analysis'!$A$5:$A$40,MATCH(A56,'Product Analysis'!$G$5:$G$40,0))</x:f>
        <x:v>Smartwatch</x:v>
      </x:c>
      <x:c r="C56" s="26"/>
      <x:c r="D56" s="26"/>
      <x:c r="E56" s="26"/>
      <x:c r="F56" s="250" t="n">
        <x:f>INDEX('Product Analysis'!$B$5:$B$40,MATCH(A56,'Product Analysis'!$G$5:$G$40,0))</x:f>
        <x:v>27363.899999999998</x:v>
      </x:c>
      <x:c r="G56" s="250" t="n">
        <x:f>INDEX('Product Analysis'!$C$5:$C$40,MATCH(A56,'Product Analysis'!$G$5:$G$40,0))</x:f>
        <x:v>10104.700000000003</x:v>
      </x:c>
      <x:c r="H56" s="253" t="n">
        <x:f>IFERROR(G56/F56,0)</x:f>
        <x:v>0.3692711930682397</x:v>
      </x:c>
      <x:c r="J56" s="264" t="str">
        <x:v>• Standing Desk is the highest-revenue product in the portfolio dataset.</x:v>
      </x:c>
      <x:c r="K56" s="264"/>
      <x:c r="L56" s="264"/>
      <x:c r="M56" s="264"/>
      <x:c r="N56" s="264"/>
      <x:c r="O56" s="264"/>
      <x:c r="P56" s="264"/>
    </x:row>
    <x:row r="57">
      <x:c r="A57" s="26" t="n">
        <x:v>4</x:v>
      </x:c>
      <x:c r="B57" s="26" t="str">
        <x:f>INDEX('Product Analysis'!$A$5:$A$40,MATCH(A57,'Product Analysis'!$G$5:$G$40,0))</x:f>
        <x:v>Cordless Vacuum</x:v>
      </x:c>
      <x:c r="C57" s="26"/>
      <x:c r="D57" s="26"/>
      <x:c r="E57" s="26"/>
      <x:c r="F57" s="250" t="n">
        <x:f>INDEX('Product Analysis'!$B$5:$B$40,MATCH(A57,'Product Analysis'!$G$5:$G$40,0))</x:f>
        <x:v>26178.749999999996</x:v>
      </x:c>
      <x:c r="G57" s="250" t="n">
        <x:f>INDEX('Product Analysis'!$C$5:$C$40,MATCH(A57,'Product Analysis'!$G$5:$G$40,0))</x:f>
        <x:v>10134.150000000001</x:v>
      </x:c>
      <x:c r="H57" s="253" t="n">
        <x:f>IFERROR(G57/F57,0)</x:f>
        <x:v>0.38711359404096846</x:v>
      </x:c>
      <x:c r="J57" s="264" t="str">
        <x:v>• Revenue changed +23.9% in 2025 versus 2024.</x:v>
      </x:c>
      <x:c r="K57" s="264"/>
      <x:c r="L57" s="264"/>
      <x:c r="M57" s="264"/>
      <x:c r="N57" s="264"/>
      <x:c r="O57" s="264"/>
      <x:c r="P57" s="264"/>
    </x:row>
    <x:row r="58">
      <x:c r="A58" s="27" t="n">
        <x:v>5</x:v>
      </x:c>
      <x:c r="B58" s="27" t="str">
        <x:f>INDEX('Product Analysis'!$A$5:$A$40,MATCH(A58,'Product Analysis'!$G$5:$G$40,0))</x:f>
        <x:v>Portable SSD</x:v>
      </x:c>
      <x:c r="C58" s="27"/>
      <x:c r="D58" s="27"/>
      <x:c r="E58" s="27"/>
      <x:c r="F58" s="251" t="n">
        <x:f>INDEX('Product Analysis'!$B$5:$B$40,MATCH(A58,'Product Analysis'!$G$5:$G$40,0))</x:f>
        <x:v>24026.249999999996</x:v>
      </x:c>
      <x:c r="G58" s="251" t="n">
        <x:f>INDEX('Product Analysis'!$C$5:$C$40,MATCH(A58,'Product Analysis'!$G$5:$G$40,0))</x:f>
        <x:v>8696.250000000005</x:v>
      </x:c>
      <x:c r="H58" s="254" t="n">
        <x:f>IFERROR(G58/F58,0)</x:f>
        <x:v>0.3619478695177153</x:v>
      </x:c>
      <x:c r="J58" s="265" t="str">
        <x:v>• The overall return rate is 5.2%; returned transactions generate handling losses in the profit model.</x:v>
      </x:c>
      <x:c r="K58" s="265"/>
      <x:c r="L58" s="265"/>
      <x:c r="M58" s="265"/>
      <x:c r="N58" s="265"/>
      <x:c r="O58" s="265"/>
      <x:c r="P58" s="265"/>
    </x:row>
  </x:sheetData>
  <x:mergeCells>
    <x:mergeCell ref="A1:P1"/>
    <x:mergeCell ref="A2:P2"/>
    <x:mergeCell ref="B4:C4"/>
    <x:mergeCell ref="E4:F4"/>
    <x:mergeCell ref="H4:I4"/>
    <x:mergeCell ref="K4:L4"/>
    <x:mergeCell ref="M4:P4"/>
    <x:mergeCell ref="A6:D6"/>
    <x:mergeCell ref="A7:D9"/>
    <x:mergeCell ref="E6:H6"/>
    <x:mergeCell ref="E7:H9"/>
    <x:mergeCell ref="I6:L6"/>
    <x:mergeCell ref="I7:L9"/>
    <x:mergeCell ref="M6:P6"/>
    <x:mergeCell ref="M7:P9"/>
    <x:mergeCell ref="A11:D11"/>
    <x:mergeCell ref="A12:D14"/>
    <x:mergeCell ref="E11:H11"/>
    <x:mergeCell ref="E12:H14"/>
    <x:mergeCell ref="I11:L11"/>
    <x:mergeCell ref="I12:L14"/>
    <x:mergeCell ref="M11:P11"/>
    <x:mergeCell ref="M12:P14"/>
    <x:mergeCell ref="A52:H52"/>
    <x:mergeCell ref="B53:E53"/>
    <x:mergeCell ref="B54:E54"/>
    <x:mergeCell ref="B55:E55"/>
    <x:mergeCell ref="B56:E56"/>
    <x:mergeCell ref="B57:E57"/>
    <x:mergeCell ref="B58:E58"/>
    <x:mergeCell ref="J52:P52"/>
    <x:mergeCell ref="J53:P53"/>
    <x:mergeCell ref="J54:P54"/>
    <x:mergeCell ref="J55:P55"/>
    <x:mergeCell ref="J56:P56"/>
    <x:mergeCell ref="J57:P57"/>
    <x:mergeCell ref="J58:P58"/>
  </x:mergeCells>
  <x:dataValidations count="4">
    <x:dataValidation type="list" sqref="B4:C4">
      <x:formula1>"All,Northeast,Southeast,Midwest,West"</x:formula1>
    </x:dataValidation>
    <x:dataValidation type="list" sqref="E4:F4">
      <x:formula1>"All,Electronics,Home &amp; Kitchen,Office,Fitness,Personal Care,Accessories"</x:formula1>
    </x:dataValidation>
    <x:dataValidation type="list" sqref="H4:I4">
      <x:formula1>"All,Online,Retail Store,Marketplace"</x:formula1>
    </x:dataValidation>
    <x:dataValidation type="list" sqref="K4:L4">
      <x:formula1>"All,2024,2025"</x:formula1>
    </x:dataValidation>
  </x:dataValidations>
  <x:pageMargins left="0.7" right="0.7" top="0.75" bottom="0.75" header="0.3" footer="0.3"/>
  <x:drawing xmlns:r="http://schemas.openxmlformats.org/officeDocument/2006/relationships" r:id="R25ff48b3b7bd41f7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3" hidden="0" customWidth="1"/>
    <x:col min="3" max="3" width="14" hidden="0" customWidth="1"/>
    <x:col min="4" max="4" width="20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4" hidden="0" customWidth="1"/>
    <x:col min="10" max="10" width="13" hidden="0" customWidth="1"/>
    <x:col min="11" max="11" width="13" hidden="0" customWidth="1"/>
    <x:col min="12" max="12" width="18" hidden="0" customWidth="1"/>
    <x:col min="13" max="13" width="18" hidden="0" customWidth="1"/>
    <x:col min="14" max="14" width="18" hidden="0" customWidth="1"/>
    <x:col min="15" max="15" width="13" hidden="0" customWidth="1"/>
    <x:col min="16" max="16" width="19" hidden="0" customWidth="1"/>
    <x:col min="17" max="17" width="24" hidden="0" customWidth="1"/>
    <x:col min="18" max="18" width="24" hidden="0" customWidth="1"/>
  </x:cols>
  <x:sheetData>
    <x:row r="1" ht="32" customHeight="1">
      <x:c r="A1" s="4" t="str">
        <x:v>Raw Sales — Source Extract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26" customHeight="1">
      <x:c r="A2" s="8" t="str">
        <x:v>Messy, realistic transactional data: duplicates, missing segments, inconsistent casing/spacing, invalid quantities and ship-date errors are intentional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</x:row>
    <x:row r="4" ht="30" customHeight="1">
      <x:c r="A4" s="69" t="str">
        <x:v>Order_ID</x:v>
      </x:c>
      <x:c r="B4" s="70" t="str">
        <x:v>Order_Date</x:v>
      </x:c>
      <x:c r="C4" s="70" t="str">
        <x:v>Customer_ID</x:v>
      </x:c>
      <x:c r="D4" s="70" t="str">
        <x:v>Customer_Name</x:v>
      </x:c>
      <x:c r="E4" s="70" t="str">
        <x:v>Customer_Segment</x:v>
      </x:c>
      <x:c r="F4" s="70" t="str">
        <x:v>Region</x:v>
      </x:c>
      <x:c r="G4" s="70" t="str">
        <x:v>City</x:v>
      </x:c>
      <x:c r="H4" s="70" t="str">
        <x:v>Channel</x:v>
      </x:c>
      <x:c r="I4" s="70" t="str">
        <x:v>Product_ID</x:v>
      </x:c>
      <x:c r="J4" s="70" t="str">
        <x:v>Quantity</x:v>
      </x:c>
      <x:c r="K4" s="70" t="str">
        <x:v>Discount_Rate</x:v>
      </x:c>
      <x:c r="L4" s="70" t="str">
        <x:v>Return_Status</x:v>
      </x:c>
      <x:c r="M4" s="70" t="str">
        <x:v>Payment_Method</x:v>
      </x:c>
      <x:c r="N4" s="70" t="str">
        <x:v>Sales_Rep</x:v>
      </x:c>
      <x:c r="O4" s="70" t="str">
        <x:v>Ship_Date</x:v>
      </x:c>
      <x:c r="P4" s="70" t="str">
        <x:v>Source_Batch</x:v>
      </x:c>
      <x:c r="Q4" s="70" t="str">
        <x:v>Raw_Product_Name</x:v>
      </x:c>
      <x:c r="R4" s="71" t="str">
        <x:v>Raw_Category</x:v>
      </x:c>
    </x:row>
    <x:row r="5">
      <x:c r="A5" s="84" t="str">
        <x:v>ORD-2024-01224</x:v>
      </x:c>
      <x:c r="B5" s="85" t="n">
        <x:v>45292</x:v>
      </x:c>
      <x:c r="C5" s="84" t="str">
        <x:v>CUST-0625</x:v>
      </x:c>
      <x:c r="D5" s="84" t="str">
        <x:v>Daniel Patel</x:v>
      </x:c>
      <x:c r="E5" s="84" t="str">
        <x:v> SMALL BUSINESS </x:v>
      </x:c>
      <x:c r="F5" s="84" t="str">
        <x:v>West</x:v>
      </x:c>
      <x:c r="G5" s="84" t="str">
        <x:v>Phoenix</x:v>
      </x:c>
      <x:c r="H5" s="84" t="str">
        <x:v>Retail Store</x:v>
      </x:c>
      <x:c r="I5" s="84" t="str">
        <x:v>FITN-004</x:v>
      </x:c>
      <x:c r="J5" s="86" t="n">
        <x:v>1</x:v>
      </x:c>
      <x:c r="K5" s="87" t="n">
        <x:v>0.05</x:v>
      </x:c>
      <x:c r="L5" s="84" t="str">
        <x:v>Completed </x:v>
      </x:c>
      <x:c r="M5" s="84" t="str">
        <x:v>Credit Card</x:v>
      </x:c>
      <x:c r="N5" s="84" t="str">
        <x:v>Nora Kim</x:v>
      </x:c>
      <x:c r="O5" s="85" t="n">
        <x:v>45292</x:v>
      </x:c>
      <x:c r="P5" s="84" t="str">
        <x:v>POS_2024_01</x:v>
      </x:c>
      <x:c r="Q5" s="84" t="str">
        <x:v>Fitness Tracker</x:v>
      </x:c>
      <x:c r="R5" s="84" t="str">
        <x:v>fitness</x:v>
      </x:c>
    </x:row>
    <x:row r="6">
      <x:c r="A6" s="84" t="str">
        <x:v>ORD-2024-01890</x:v>
      </x:c>
      <x:c r="B6" s="85" t="n">
        <x:v>45292</x:v>
      </x:c>
      <x:c r="C6" s="84" t="str">
        <x:v>CUST-0130</x:v>
      </x:c>
      <x:c r="D6" s="84" t="str">
        <x:v>Maya Lewis</x:v>
      </x:c>
      <x:c r="E6" s="84" t="str">
        <x:v>Consumer </x:v>
      </x:c>
      <x:c r="F6" s="84" t="str">
        <x:v>Southeast</x:v>
      </x:c>
      <x:c r="G6" s="84" t="str">
        <x:v>Nashville </x:v>
      </x:c>
      <x:c r="H6" s="84" t="str">
        <x:v>Retail Store</x:v>
      </x:c>
      <x:c r="I6" s="84" t="str">
        <x:v>OFFC-006</x:v>
      </x:c>
      <x:c r="J6" s="86" t="n">
        <x:v>2</x:v>
      </x:c>
      <x:c r="K6" s="87" t="n">
        <x:v>0</x:v>
      </x:c>
      <x:c r="L6" s="84" t="str">
        <x:v>Completed</x:v>
      </x:c>
      <x:c r="M6" s="84" t="str">
        <x:v>Cash</x:v>
      </x:c>
      <x:c r="N6" s="84" t="str">
        <x:v> LIAM PARKER </x:v>
      </x:c>
      <x:c r="O6" s="85" t="n">
        <x:v>45292</x:v>
      </x:c>
      <x:c r="P6" s="84" t="str">
        <x:v>POS_2024_01</x:v>
      </x:c>
      <x:c r="Q6" s="84" t="str">
        <x:v>monitor stand</x:v>
      </x:c>
      <x:c r="R6" s="84" t="str">
        <x:v>Office</x:v>
      </x:c>
    </x:row>
    <x:row r="7">
      <x:c r="A7" s="84" t="str">
        <x:v>ORD-2024-02006</x:v>
      </x:c>
      <x:c r="B7" s="85" t="n">
        <x:v>45292</x:v>
      </x:c>
      <x:c r="C7" s="84" t="str">
        <x:v>CUST-0292</x:v>
      </x:c>
      <x:c r="D7" s="84" t="str">
        <x:v>Caleb Nelson</x:v>
      </x:c>
      <x:c r="E7" s="84" t="str">
        <x:v> SMALL BUSINESS </x:v>
      </x:c>
      <x:c r="F7" s="84" t="str">
        <x:v>Midwest </x:v>
      </x:c>
      <x:c r="G7" s="84" t="str">
        <x:v>columbus</x:v>
      </x:c>
      <x:c r="H7" s="84" t="str">
        <x:v>Retail Store</x:v>
      </x:c>
      <x:c r="I7" s="84" t="str">
        <x:v>FITN-002</x:v>
      </x:c>
      <x:c r="J7" s="86" t="n">
        <x:v>1</x:v>
      </x:c>
      <x:c r="K7" s="87" t="n">
        <x:v>0</x:v>
      </x:c>
      <x:c r="L7" s="84" t="str">
        <x:v>completed</x:v>
      </x:c>
      <x:c r="M7" s="84" t="str">
        <x:v>Cash</x:v>
      </x:c>
      <x:c r="N7" s="84" t="str">
        <x:v>Zoe Turner </x:v>
      </x:c>
      <x:c r="O7" s="85" t="n">
        <x:v>45292</x:v>
      </x:c>
      <x:c r="P7" s="84" t="str">
        <x:v>POS_2024_01</x:v>
      </x:c>
      <x:c r="Q7" s="84" t="str">
        <x:v>Adjustable Dumbbell Set</x:v>
      </x:c>
      <x:c r="R7" s="84" t="str">
        <x:v>Fitness</x:v>
      </x:c>
    </x:row>
    <x:row r="8">
      <x:c r="A8" s="84" t="str">
        <x:v>ORD-2024-00575</x:v>
      </x:c>
      <x:c r="B8" s="85" t="n">
        <x:v>45293</x:v>
      </x:c>
      <x:c r="C8" s="84" t="str">
        <x:v>CUST-0338</x:v>
      </x:c>
      <x:c r="D8" s="84" t="str">
        <x:v> CALEB IRWIN </x:v>
      </x:c>
      <x:c r="E8" s="84" t="str">
        <x:v>Consumer</x:v>
      </x:c>
      <x:c r="F8" s="84" t="str">
        <x:v> SOUTHEAST </x:v>
      </x:c>
      <x:c r="G8" s="84" t="str">
        <x:v>Miami</x:v>
      </x:c>
      <x:c r="H8" s="84" t="str">
        <x:v>Online</x:v>
      </x:c>
      <x:c r="I8" s="84" t="str">
        <x:v>ELEC-001</x:v>
      </x:c>
      <x:c r="J8" s="86" t="n">
        <x:v>1</x:v>
      </x:c>
      <x:c r="K8" s="87" t="n">
        <x:v>0</x:v>
      </x:c>
      <x:c r="L8" s="84" t="str">
        <x:v>Completed</x:v>
      </x:c>
      <x:c r="M8" s="84" t="str">
        <x:v>Credit Card</x:v>
      </x:c>
      <x:c r="N8" s="84" t="str">
        <x:v>Noah Reed</x:v>
      </x:c>
      <x:c r="O8" s="85" t="n">
        <x:v>45297</x:v>
      </x:c>
      <x:c r="P8" s="84" t="str">
        <x:v>WEB_2024_01</x:v>
      </x:c>
      <x:c r="Q8" s="84" t="str">
        <x:v>Wireless Earbuds </x:v>
      </x:c>
      <x:c r="R8" s="84" t="str">
        <x:v>electronics</x:v>
      </x:c>
    </x:row>
    <x:row r="9">
      <x:c r="A9" s="84" t="str">
        <x:v>ORD-2024-00671</x:v>
      </x:c>
      <x:c r="B9" s="85" t="n">
        <x:v>45293</x:v>
      </x:c>
      <x:c r="C9" s="84" t="str">
        <x:v>CUST-0298</x:v>
      </x:c>
      <x:c r="D9" s="84" t="str">
        <x:v>Jasmine Roberts</x:v>
      </x:c>
      <x:c r="E9" s="84" t="str"/>
      <x:c r="F9" s="84" t="str">
        <x:v>West</x:v>
      </x:c>
      <x:c r="G9" s="84" t="str">
        <x:v>Los Angeles</x:v>
      </x:c>
      <x:c r="H9" s="84" t="str">
        <x:v>retail store</x:v>
      </x:c>
      <x:c r="I9" s="84" t="str">
        <x:v>ACCS-006</x:v>
      </x:c>
      <x:c r="J9" s="86" t="n">
        <x:v>1</x:v>
      </x:c>
      <x:c r="K9" s="87" t="n">
        <x:v>0.05</x:v>
      </x:c>
      <x:c r="L9" s="84" t="str">
        <x:v>Completed </x:v>
      </x:c>
      <x:c r="M9" s="84" t="str">
        <x:v>Cash</x:v>
      </x:c>
      <x:c r="N9" s="84" t="str">
        <x:v>Mia Chen</x:v>
      </x:c>
      <x:c r="O9" s="85" t="n">
        <x:v>45293</x:v>
      </x:c>
      <x:c r="P9" s="84" t="str">
        <x:v>POS_2024_01</x:v>
      </x:c>
      <x:c r="Q9" s="84" t="str">
        <x:v>Insulated Lunch Bag</x:v>
      </x:c>
      <x:c r="R9" s="84" t="str">
        <x:v>Accessories</x:v>
      </x:c>
    </x:row>
    <x:row r="10">
      <x:c r="A10" s="84" t="str">
        <x:v>ORD-2024-01680</x:v>
      </x:c>
      <x:c r="B10" s="85" t="n">
        <x:v>45293</x:v>
      </x:c>
      <x:c r="C10" s="84" t="str">
        <x:v>CUST-0345</x:v>
      </x:c>
      <x:c r="D10" s="84" t="str">
        <x:v> SAMUEL TAYLOR </x:v>
      </x:c>
      <x:c r="E10" s="84" t="str">
        <x:v>Consumer </x:v>
      </x:c>
      <x:c r="F10" s="84" t="str">
        <x:v> SOUTHEAST </x:v>
      </x:c>
      <x:c r="G10" s="84" t="str">
        <x:v>Charlotte </x:v>
      </x:c>
      <x:c r="H10" s="84" t="str">
        <x:v>Retail Store</x:v>
      </x:c>
      <x:c r="I10" s="84" t="str">
        <x:v>ELEC-001</x:v>
      </x:c>
      <x:c r="J10" s="86" t="n">
        <x:v>3</x:v>
      </x:c>
      <x:c r="K10" s="87" t="n">
        <x:v>0</x:v>
      </x:c>
      <x:c r="L10" s="84" t="str">
        <x:v>Completed</x:v>
      </x:c>
      <x:c r="M10" s="84" t="str">
        <x:v>Debit Card</x:v>
      </x:c>
      <x:c r="N10" s="84" t="str">
        <x:v>Ava Mitchell</x:v>
      </x:c>
      <x:c r="O10" s="85" t="n">
        <x:v>45293</x:v>
      </x:c>
      <x:c r="P10" s="84" t="str">
        <x:v>POS_2024_01</x:v>
      </x:c>
      <x:c r="Q10" s="84" t="str">
        <x:v>Wireless Earbuds</x:v>
      </x:c>
      <x:c r="R10" s="84" t="str">
        <x:v>Electronics</x:v>
      </x:c>
    </x:row>
    <x:row r="11">
      <x:c r="A11" s="84" t="str">
        <x:v>ORD-2024-01443</x:v>
      </x:c>
      <x:c r="B11" s="85" t="n">
        <x:v>45294</x:v>
      </x:c>
      <x:c r="C11" s="84" t="str">
        <x:v>CUST-0616</x:v>
      </x:c>
      <x:c r="D11" s="84" t="str">
        <x:v>Samuel Smith</x:v>
      </x:c>
      <x:c r="E11" s="84" t="str">
        <x:v>Small Business</x:v>
      </x:c>
      <x:c r="F11" s="84" t="str">
        <x:v>Northeast</x:v>
      </x:c>
      <x:c r="G11" s="84" t="str">
        <x:v>Philadelphia</x:v>
      </x:c>
      <x:c r="H11" s="84" t="str">
        <x:v>Retail Store</x:v>
      </x:c>
      <x:c r="I11" s="84" t="str">
        <x:v>CARE-001</x:v>
      </x:c>
      <x:c r="J11" s="86" t="n">
        <x:v>2</x:v>
      </x:c>
      <x:c r="K11" s="87" t="n">
        <x:v>0</x:v>
      </x:c>
      <x:c r="L11" s="84" t="str">
        <x:v>Completed</x:v>
      </x:c>
      <x:c r="M11" s="84" t="str">
        <x:v>Cash</x:v>
      </x:c>
      <x:c r="N11" s="84" t="str">
        <x:v>maya brooks</x:v>
      </x:c>
      <x:c r="O11" s="85" t="n">
        <x:v>45295</x:v>
      </x:c>
      <x:c r="P11" s="84" t="str">
        <x:v>POS_2024_01</x:v>
      </x:c>
      <x:c r="Q11" s="84" t="str">
        <x:v>Ionic Hair Dryer </x:v>
      </x:c>
      <x:c r="R11" s="84" t="str">
        <x:v> PERSONAL CARE </x:v>
      </x:c>
    </x:row>
    <x:row r="12">
      <x:c r="A12" s="84" t="str">
        <x:v>ORD-2024-00838</x:v>
      </x:c>
      <x:c r="B12" s="85" t="n">
        <x:v>45295</x:v>
      </x:c>
      <x:c r="C12" s="84" t="str">
        <x:v>CUST-0137</x:v>
      </x:c>
      <x:c r="D12" s="84" t="str">
        <x:v>Owen Adams </x:v>
      </x:c>
      <x:c r="E12" s="84" t="str">
        <x:v>Corporate</x:v>
      </x:c>
      <x:c r="F12" s="84" t="str">
        <x:v>Midwest</x:v>
      </x:c>
      <x:c r="G12" s="84" t="str">
        <x:v>Chicago</x:v>
      </x:c>
      <x:c r="H12" s="84" t="str">
        <x:v>Marketplace</x:v>
      </x:c>
      <x:c r="I12" s="84" t="str">
        <x:v>HOME-003</x:v>
      </x:c>
      <x:c r="J12" s="86" t="n">
        <x:v>3</x:v>
      </x:c>
      <x:c r="K12" s="87" t="n">
        <x:v>0.1</x:v>
      </x:c>
      <x:c r="L12" s="84" t="str">
        <x:v> COMPLETED </x:v>
      </x:c>
      <x:c r="M12" s="84" t="str">
        <x:v>Credit Card </x:v>
      </x:c>
      <x:c r="N12" s="84" t="str">
        <x:v>emma hayes</x:v>
      </x:c>
      <x:c r="O12" s="85" t="n">
        <x:v>45301</x:v>
      </x:c>
      <x:c r="P12" s="84" t="str">
        <x:v>MKT_2024_01</x:v>
      </x:c>
      <x:c r="Q12" s="84" t="str">
        <x:v>Countertop Blender</x:v>
      </x:c>
      <x:c r="R12" s="84" t="str">
        <x:v>Home &amp; Kitchen</x:v>
      </x:c>
    </x:row>
    <x:row r="13">
      <x:c r="A13" s="84" t="str">
        <x:v>ORD-2024-00343</x:v>
      </x:c>
      <x:c r="B13" s="85" t="n">
        <x:v>45296</x:v>
      </x:c>
      <x:c r="C13" s="84" t="str">
        <x:v>CUST-0421</x:v>
      </x:c>
      <x:c r="D13" s="84" t="str">
        <x:v>Daniel Hall</x:v>
      </x:c>
      <x:c r="E13" s="84" t="str">
        <x:v>Consumer </x:v>
      </x:c>
      <x:c r="F13" s="84" t="str">
        <x:v>Northeast</x:v>
      </x:c>
      <x:c r="G13" s="84" t="str">
        <x:v>New York </x:v>
      </x:c>
      <x:c r="H13" s="84" t="str">
        <x:v>Retail Store</x:v>
      </x:c>
      <x:c r="I13" s="84" t="str">
        <x:v>ELEC-005</x:v>
      </x:c>
      <x:c r="J13" s="86" t="n">
        <x:v>1</x:v>
      </x:c>
      <x:c r="K13" s="87" t="n">
        <x:v>0</x:v>
      </x:c>
      <x:c r="L13" s="84" t="str">
        <x:v>Completed</x:v>
      </x:c>
      <x:c r="M13" s="84" t="str">
        <x:v>Mobile Wallet</x:v>
      </x:c>
      <x:c r="N13" s="84" t="str">
        <x:v> MAYA BROOKS </x:v>
      </x:c>
      <x:c r="O13" s="85" t="n">
        <x:v>45296</x:v>
      </x:c>
      <x:c r="P13" s="84" t="str">
        <x:v>POS_2024_01</x:v>
      </x:c>
      <x:c r="Q13" s="84" t="str">
        <x:v>HD Webcam</x:v>
      </x:c>
      <x:c r="R13" s="84" t="str">
        <x:v>Electronics</x:v>
      </x:c>
    </x:row>
    <x:row r="14">
      <x:c r="A14" s="84" t="str">
        <x:v>ORD-2024-00767</x:v>
      </x:c>
      <x:c r="B14" s="85" t="n">
        <x:v>45296</x:v>
      </x:c>
      <x:c r="C14" s="84" t="str">
        <x:v>CUST-0482</x:v>
      </x:c>
      <x:c r="D14" s="84" t="str">
        <x:v>Nathan Young</x:v>
      </x:c>
      <x:c r="E14" s="84" t="str">
        <x:v>Small Business</x:v>
      </x:c>
      <x:c r="F14" s="84" t="str">
        <x:v>midwest</x:v>
      </x:c>
      <x:c r="G14" s="84" t="str">
        <x:v>Chicago</x:v>
      </x:c>
      <x:c r="H14" s="84" t="str">
        <x:v>Retail Store</x:v>
      </x:c>
      <x:c r="I14" s="84" t="str">
        <x:v>HOME-001</x:v>
      </x:c>
      <x:c r="J14" s="86" t="n">
        <x:v>1</x:v>
      </x:c>
      <x:c r="K14" s="87" t="n">
        <x:v>0.05</x:v>
      </x:c>
      <x:c r="L14" s="84" t="str">
        <x:v>Completed</x:v>
      </x:c>
      <x:c r="M14" s="84" t="str">
        <x:v>Cash</x:v>
      </x:c>
      <x:c r="N14" s="84" t="str">
        <x:v>Emma Hayes </x:v>
      </x:c>
      <x:c r="O14" s="85" t="n">
        <x:v>45296</x:v>
      </x:c>
      <x:c r="P14" s="84" t="str">
        <x:v>POS_2024_01</x:v>
      </x:c>
      <x:c r="Q14" s="84" t="str">
        <x:v>Air Fryer</x:v>
      </x:c>
      <x:c r="R14" s="84" t="str">
        <x:v>Home &amp; Kitchen</x:v>
      </x:c>
    </x:row>
    <x:row r="15">
      <x:c r="A15" s="84" t="str">
        <x:v>ORD-2024-00656</x:v>
      </x:c>
      <x:c r="B15" s="85" t="n">
        <x:v>45297</x:v>
      </x:c>
      <x:c r="C15" s="84" t="str">
        <x:v>CUST-0458</x:v>
      </x:c>
      <x:c r="D15" s="84" t="str">
        <x:v>samuel carter</x:v>
      </x:c>
      <x:c r="E15" s="84" t="str">
        <x:v>Consumer</x:v>
      </x:c>
      <x:c r="F15" s="84" t="str">
        <x:v>Southeast</x:v>
      </x:c>
      <x:c r="G15" s="84" t="str">
        <x:v> ATLANTA </x:v>
      </x:c>
      <x:c r="H15" s="84" t="str">
        <x:v>Online</x:v>
      </x:c>
      <x:c r="I15" s="84" t="str">
        <x:v>FITN-001</x:v>
      </x:c>
      <x:c r="J15" s="86" t="n">
        <x:v>1</x:v>
      </x:c>
      <x:c r="K15" s="87" t="n">
        <x:v>0.1</x:v>
      </x:c>
      <x:c r="L15" s="84" t="str">
        <x:v>Completed</x:v>
      </x:c>
      <x:c r="M15" s="84" t="str">
        <x:v>Debit Card </x:v>
      </x:c>
      <x:c r="N15" s="84" t="str">
        <x:v>Noah Reed</x:v>
      </x:c>
      <x:c r="O15" s="85" t="n">
        <x:v>45300</x:v>
      </x:c>
      <x:c r="P15" s="84" t="str">
        <x:v>WEB_2024_01</x:v>
      </x:c>
      <x:c r="Q15" s="84" t="str">
        <x:v>Yoga Mat</x:v>
      </x:c>
      <x:c r="R15" s="84" t="str">
        <x:v>Fitness</x:v>
      </x:c>
    </x:row>
    <x:row r="16">
      <x:c r="A16" s="84" t="str">
        <x:v>ORD-2024-01373</x:v>
      </x:c>
      <x:c r="B16" s="85" t="n">
        <x:v>45297</x:v>
      </x:c>
      <x:c r="C16" s="84" t="str">
        <x:v>CUST-0501</x:v>
      </x:c>
      <x:c r="D16" s="84" t="str">
        <x:v>Priya Garcia</x:v>
      </x:c>
      <x:c r="E16" s="84" t="str">
        <x:v>Consumer</x:v>
      </x:c>
      <x:c r="F16" s="84" t="str">
        <x:v>Northeast</x:v>
      </x:c>
      <x:c r="G16" s="84" t="str">
        <x:v>Boston</x:v>
      </x:c>
      <x:c r="H16" s="84" t="str">
        <x:v>Online</x:v>
      </x:c>
      <x:c r="I16" s="84" t="str">
        <x:v>ACCS-003</x:v>
      </x:c>
      <x:c r="J16" s="86" t="n">
        <x:v>2</x:v>
      </x:c>
      <x:c r="K16" s="87" t="n">
        <x:v>0.05</x:v>
      </x:c>
      <x:c r="L16" s="84" t="str">
        <x:v>Completed</x:v>
      </x:c>
      <x:c r="M16" s="84" t="str">
        <x:v>Debit Card</x:v>
      </x:c>
      <x:c r="N16" s="84" t="str">
        <x:v>Maya Brooks</x:v>
      </x:c>
      <x:c r="O16" s="85" t="n">
        <x:v>45303</x:v>
      </x:c>
      <x:c r="P16" s="84" t="str">
        <x:v>WEB_2024_01</x:v>
      </x:c>
      <x:c r="Q16" s="84" t="str">
        <x:v>polarized sunglasses</x:v>
      </x:c>
      <x:c r="R16" s="84" t="str">
        <x:v>Accessories</x:v>
      </x:c>
    </x:row>
    <x:row r="17">
      <x:c r="A17" s="84" t="str">
        <x:v>ORD-2024-02042</x:v>
      </x:c>
      <x:c r="B17" s="85" t="n">
        <x:v>45297</x:v>
      </x:c>
      <x:c r="C17" s="84" t="str">
        <x:v>CUST-0427</x:v>
      </x:c>
      <x:c r="D17" s="84" t="str">
        <x:v>aiden ortiz</x:v>
      </x:c>
      <x:c r="E17" s="84" t="str">
        <x:v>Consumer</x:v>
      </x:c>
      <x:c r="F17" s="84" t="str">
        <x:v>West</x:v>
      </x:c>
      <x:c r="G17" s="84" t="str">
        <x:v>Los Angeles</x:v>
      </x:c>
      <x:c r="H17" s="84" t="str">
        <x:v>Online</x:v>
      </x:c>
      <x:c r="I17" s="84" t="str">
        <x:v>FITN-002</x:v>
      </x:c>
      <x:c r="J17" s="86" t="n">
        <x:v>4</x:v>
      </x:c>
      <x:c r="K17" s="87" t="n">
        <x:v>0.05</x:v>
      </x:c>
      <x:c r="L17" s="84" t="str">
        <x:v>Completed</x:v>
      </x:c>
      <x:c r="M17" s="84" t="str">
        <x:v>PayPal </x:v>
      </x:c>
      <x:c r="N17" s="84" t="str">
        <x:v>Nora Kim</x:v>
      </x:c>
      <x:c r="O17" s="85" t="n">
        <x:v>45301</x:v>
      </x:c>
      <x:c r="P17" s="84" t="str">
        <x:v>WEB_2024_01</x:v>
      </x:c>
      <x:c r="Q17" s="84" t="str">
        <x:v>Adjustable Dumbbell Set</x:v>
      </x:c>
      <x:c r="R17" s="84" t="str">
        <x:v>Fitness</x:v>
      </x:c>
    </x:row>
    <x:row r="18">
      <x:c r="A18" s="84" t="str">
        <x:v>ORD-2024-00053</x:v>
      </x:c>
      <x:c r="B18" s="85" t="n">
        <x:v>45298</x:v>
      </x:c>
      <x:c r="C18" s="84" t="str">
        <x:v>CUST-0249</x:v>
      </x:c>
      <x:c r="D18" s="84" t="str">
        <x:v>Zara Roberts</x:v>
      </x:c>
      <x:c r="E18" s="84" t="str">
        <x:v>Corporate</x:v>
      </x:c>
      <x:c r="F18" s="84" t="str">
        <x:v>Northeast </x:v>
      </x:c>
      <x:c r="G18" s="84" t="str">
        <x:v>Philadelphia</x:v>
      </x:c>
      <x:c r="H18" s="84" t="str">
        <x:v>Retail Store</x:v>
      </x:c>
      <x:c r="I18" s="84" t="str">
        <x:v>FITN-003</x:v>
      </x:c>
      <x:c r="J18" s="86" t="n">
        <x:v>3</x:v>
      </x:c>
      <x:c r="K18" s="87" t="n">
        <x:v>0.15</x:v>
      </x:c>
      <x:c r="L18" s="84" t="str">
        <x:v>Completed</x:v>
      </x:c>
      <x:c r="M18" s="84" t="str">
        <x:v>Credit Card</x:v>
      </x:c>
      <x:c r="N18" s="84" t="str">
        <x:v>Sofia Bennett </x:v>
      </x:c>
      <x:c r="O18" s="85" t="n">
        <x:v>45298</x:v>
      </x:c>
      <x:c r="P18" s="84" t="str">
        <x:v>POS_2024_01</x:v>
      </x:c>
      <x:c r="Q18" s="84" t="str">
        <x:v>resistance band set</x:v>
      </x:c>
      <x:c r="R18" s="84" t="str">
        <x:v>Fitness</x:v>
      </x:c>
    </x:row>
    <x:row r="19">
      <x:c r="A19" s="84" t="str">
        <x:v>ORD-2024-01249</x:v>
      </x:c>
      <x:c r="B19" s="85" t="n">
        <x:v>45298</x:v>
      </x:c>
      <x:c r="C19" s="84" t="str">
        <x:v>CUST-0333</x:v>
      </x:c>
      <x:c r="D19" s="84" t="str">
        <x:v>Priya Khan</x:v>
      </x:c>
      <x:c r="E19" s="84" t="str">
        <x:v>Consumer</x:v>
      </x:c>
      <x:c r="F19" s="84" t="str">
        <x:v>Southeast</x:v>
      </x:c>
      <x:c r="G19" s="84" t="str">
        <x:v>Charlotte</x:v>
      </x:c>
      <x:c r="H19" s="84" t="str">
        <x:v>Retail Store </x:v>
      </x:c>
      <x:c r="I19" s="84" t="str">
        <x:v>ELEC-001</x:v>
      </x:c>
      <x:c r="J19" s="86" t="n">
        <x:v>1</x:v>
      </x:c>
      <x:c r="K19" s="87" t="n">
        <x:v>0</x:v>
      </x:c>
      <x:c r="L19" s="84" t="str">
        <x:v>Completed</x:v>
      </x:c>
      <x:c r="M19" s="84" t="str">
        <x:v>Credit Card</x:v>
      </x:c>
      <x:c r="N19" s="84" t="str">
        <x:v>Noah Reed</x:v>
      </x:c>
      <x:c r="O19" s="85" t="n">
        <x:v>45298</x:v>
      </x:c>
      <x:c r="P19" s="84" t="str">
        <x:v>POS_2024_01</x:v>
      </x:c>
      <x:c r="Q19" s="84" t="str">
        <x:v>Wireless Earbuds</x:v>
      </x:c>
      <x:c r="R19" s="84" t="str">
        <x:v>Electronics</x:v>
      </x:c>
    </x:row>
    <x:row r="20">
      <x:c r="A20" s="84" t="str">
        <x:v>ORD-2024-00900</x:v>
      </x:c>
      <x:c r="B20" s="85" t="n">
        <x:v>45299</x:v>
      </x:c>
      <x:c r="C20" s="84" t="str">
        <x:v>CUST-0438</x:v>
      </x:c>
      <x:c r="D20" s="84" t="str">
        <x:v>Isaac Ortiz</x:v>
      </x:c>
      <x:c r="E20" s="84" t="str">
        <x:v>Consumer</x:v>
      </x:c>
      <x:c r="F20" s="84" t="str">
        <x:v>Midwest </x:v>
      </x:c>
      <x:c r="G20" s="84" t="str">
        <x:v>Columbus</x:v>
      </x:c>
      <x:c r="H20" s="84" t="str">
        <x:v>Retail Store</x:v>
      </x:c>
      <x:c r="I20" s="84" t="str">
        <x:v>HOME-005</x:v>
      </x:c>
      <x:c r="J20" s="86" t="n">
        <x:v>1</x:v>
      </x:c>
      <x:c r="K20" s="87" t="n">
        <x:v>0</x:v>
      </x:c>
      <x:c r="L20" s="84" t="str">
        <x:v>Completed</x:v>
      </x:c>
      <x:c r="M20" s="84" t="str">
        <x:v>Debit Card</x:v>
      </x:c>
      <x:c r="N20" s="84" t="str">
        <x:v>Lucas Grant </x:v>
      </x:c>
      <x:c r="O20" s="85" t="n">
        <x:v>45299</x:v>
      </x:c>
      <x:c r="P20" s="84" t="str">
        <x:v>POS_2024_01</x:v>
      </x:c>
      <x:c r="Q20" s="84" t="str">
        <x:v>cordless vacuum</x:v>
      </x:c>
      <x:c r="R20" s="84" t="str">
        <x:v>Home &amp; Kitchen</x:v>
      </x:c>
    </x:row>
    <x:row r="21">
      <x:c r="A21" s="84" t="str">
        <x:v>ORD-2024-02089</x:v>
      </x:c>
      <x:c r="B21" s="85" t="n">
        <x:v>45299</x:v>
      </x:c>
      <x:c r="C21" s="84" t="str">
        <x:v>CUST-0607</x:v>
      </x:c>
      <x:c r="D21" s="84" t="str">
        <x:v>Jasmine Roberts</x:v>
      </x:c>
      <x:c r="E21" s="84" t="str">
        <x:v>Consumer</x:v>
      </x:c>
      <x:c r="F21" s="84" t="str">
        <x:v>West</x:v>
      </x:c>
      <x:c r="G21" s="84" t="str">
        <x:v>Denver</x:v>
      </x:c>
      <x:c r="H21" s="84" t="str">
        <x:v>Marketplace </x:v>
      </x:c>
      <x:c r="I21" s="84" t="str">
        <x:v>OFFC-002</x:v>
      </x:c>
      <x:c r="J21" s="86" t="n">
        <x:v>2</x:v>
      </x:c>
      <x:c r="K21" s="87" t="n">
        <x:v>0</x:v>
      </x:c>
      <x:c r="L21" s="84" t="str">
        <x:v>Completed</x:v>
      </x:c>
      <x:c r="M21" s="84" t="str">
        <x:v>credit card</x:v>
      </x:c>
      <x:c r="N21" s="84" t="str">
        <x:v>Leo Martinez</x:v>
      </x:c>
      <x:c r="O21" s="85" t="n">
        <x:v>45306</x:v>
      </x:c>
      <x:c r="P21" s="84" t="str">
        <x:v>MKT_2024_01</x:v>
      </x:c>
      <x:c r="Q21" s="84" t="str">
        <x:v>Standing Desk</x:v>
      </x:c>
      <x:c r="R21" s="84" t="str">
        <x:v> OFFICE </x:v>
      </x:c>
    </x:row>
    <x:row r="22">
      <x:c r="A22" s="84" t="str">
        <x:v>ORD-2024-00152</x:v>
      </x:c>
      <x:c r="B22" s="85" t="n">
        <x:v>45300</x:v>
      </x:c>
      <x:c r="C22" s="84" t="str">
        <x:v>CUST-0420</x:v>
      </x:c>
      <x:c r="D22" s="84" t="str">
        <x:v>William Evans </x:v>
      </x:c>
      <x:c r="E22" s="84" t="str">
        <x:v>Small Business</x:v>
      </x:c>
      <x:c r="F22" s="84" t="str">
        <x:v>Southeast</x:v>
      </x:c>
      <x:c r="G22" s="84" t="str">
        <x:v>Atlanta</x:v>
      </x:c>
      <x:c r="H22" s="84" t="str">
        <x:v>Retail Store</x:v>
      </x:c>
      <x:c r="I22" s="84" t="str">
        <x:v>ELEC-001</x:v>
      </x:c>
      <x:c r="J22" s="86" t="n">
        <x:v>2</x:v>
      </x:c>
      <x:c r="K22" s="87" t="n">
        <x:v>0.1</x:v>
      </x:c>
      <x:c r="L22" s="84" t="str">
        <x:v>Completed</x:v>
      </x:c>
      <x:c r="M22" s="84" t="str">
        <x:v>Debit Card </x:v>
      </x:c>
      <x:c r="N22" s="84" t="str">
        <x:v>Noah Reed</x:v>
      </x:c>
      <x:c r="O22" s="85" t="n">
        <x:v>45300</x:v>
      </x:c>
      <x:c r="P22" s="84" t="str">
        <x:v>POS_2024_01</x:v>
      </x:c>
      <x:c r="Q22" s="84" t="str">
        <x:v>wireless earbuds</x:v>
      </x:c>
      <x:c r="R22" s="84" t="str">
        <x:v>Electronics</x:v>
      </x:c>
    </x:row>
    <x:row r="23">
      <x:c r="A23" s="84" t="str">
        <x:v>ORD-2024-00688</x:v>
      </x:c>
      <x:c r="B23" s="85" t="n">
        <x:v>45300</x:v>
      </x:c>
      <x:c r="C23" s="84" t="str">
        <x:v>CUST-0151</x:v>
      </x:c>
      <x:c r="D23" s="84" t="str">
        <x:v>Theo Davis</x:v>
      </x:c>
      <x:c r="E23" s="84" t="str">
        <x:v>Small Business</x:v>
      </x:c>
      <x:c r="F23" s="84" t="str">
        <x:v>Southeast</x:v>
      </x:c>
      <x:c r="G23" s="84" t="str">
        <x:v>Nashville</x:v>
      </x:c>
      <x:c r="H23" s="84" t="str">
        <x:v>Marketplace</x:v>
      </x:c>
      <x:c r="I23" s="84" t="str">
        <x:v>CARE-001</x:v>
      </x:c>
      <x:c r="J23" s="86" t="n">
        <x:v>1</x:v>
      </x:c>
      <x:c r="K23" s="87" t="n">
        <x:v>0.05</x:v>
      </x:c>
      <x:c r="L23" s="84" t="str">
        <x:v>Completed</x:v>
      </x:c>
      <x:c r="M23" s="84" t="str">
        <x:v>Credit Card</x:v>
      </x:c>
      <x:c r="N23" s="84" t="str">
        <x:v>Noah Reed</x:v>
      </x:c>
      <x:c r="O23" s="85" t="n">
        <x:v>45305</x:v>
      </x:c>
      <x:c r="P23" s="84" t="str">
        <x:v>MKT_2024_01</x:v>
      </x:c>
      <x:c r="Q23" s="84" t="str">
        <x:v>Ionic Hair Dryer</x:v>
      </x:c>
      <x:c r="R23" s="84" t="str">
        <x:v>Personal Care </x:v>
      </x:c>
    </x:row>
    <x:row r="24">
      <x:c r="A24" s="84" t="str">
        <x:v>ORD-2024-00066</x:v>
      </x:c>
      <x:c r="B24" s="85" t="n">
        <x:v>45301</x:v>
      </x:c>
      <x:c r="C24" s="84" t="str">
        <x:v>CUST-0105</x:v>
      </x:c>
      <x:c r="D24" s="84" t="str">
        <x:v>Chloe Ortiz</x:v>
      </x:c>
      <x:c r="E24" s="84" t="str">
        <x:v>corporate</x:v>
      </x:c>
      <x:c r="F24" s="84" t="str">
        <x:v>West</x:v>
      </x:c>
      <x:c r="G24" s="84" t="str">
        <x:v>Phoenix</x:v>
      </x:c>
      <x:c r="H24" s="84" t="str">
        <x:v>marketplace</x:v>
      </x:c>
      <x:c r="I24" s="84" t="str">
        <x:v>ELEC-006</x:v>
      </x:c>
      <x:c r="J24" s="86" t="n">
        <x:v>2</x:v>
      </x:c>
      <x:c r="K24" s="87" t="n">
        <x:v>0.15</x:v>
      </x:c>
      <x:c r="L24" s="84" t="str">
        <x:v>Completed</x:v>
      </x:c>
      <x:c r="M24" s="84" t="str">
        <x:v>PayPal</x:v>
      </x:c>
      <x:c r="N24" s="84" t="str">
        <x:v>Nora Kim</x:v>
      </x:c>
      <x:c r="O24" s="85" t="n">
        <x:v>45305</x:v>
      </x:c>
      <x:c r="P24" s="84" t="str">
        <x:v>MKT_2024_01</x:v>
      </x:c>
      <x:c r="Q24" s="84" t="str">
        <x:v>Portable SSD</x:v>
      </x:c>
      <x:c r="R24" s="84" t="str">
        <x:v> ELECTRONICS </x:v>
      </x:c>
    </x:row>
    <x:row r="25">
      <x:c r="A25" s="84" t="str">
        <x:v>ORD-2024-01678</x:v>
      </x:c>
      <x:c r="B25" s="85" t="n">
        <x:v>45301</x:v>
      </x:c>
      <x:c r="C25" s="84" t="str">
        <x:v>CUST-0603</x:v>
      </x:c>
      <x:c r="D25" s="84" t="str">
        <x:v>Elias Roberts </x:v>
      </x:c>
      <x:c r="E25" s="84" t="str">
        <x:v>Consumer</x:v>
      </x:c>
      <x:c r="F25" s="84" t="str">
        <x:v>Northeast</x:v>
      </x:c>
      <x:c r="G25" s="84" t="str">
        <x:v>Newark</x:v>
      </x:c>
      <x:c r="H25" s="84" t="str">
        <x:v>Online</x:v>
      </x:c>
      <x:c r="I25" s="84" t="str">
        <x:v>ACCS-003</x:v>
      </x:c>
      <x:c r="J25" s="86" t="n">
        <x:v>1</x:v>
      </x:c>
      <x:c r="K25" s="87" t="n">
        <x:v>0.05</x:v>
      </x:c>
      <x:c r="L25" s="84" t="str">
        <x:v>Completed</x:v>
      </x:c>
      <x:c r="M25" s="84" t="str">
        <x:v>PayPal </x:v>
      </x:c>
      <x:c r="N25" s="84" t="str">
        <x:v>Sofia Bennett</x:v>
      </x:c>
      <x:c r="O25" s="85" t="n">
        <x:v>45307</x:v>
      </x:c>
      <x:c r="P25" s="84" t="str">
        <x:v>WEB_2024_01</x:v>
      </x:c>
      <x:c r="Q25" s="84" t="str">
        <x:v>Polarized Sunglasses</x:v>
      </x:c>
      <x:c r="R25" s="84" t="str">
        <x:v>Accessories</x:v>
      </x:c>
    </x:row>
    <x:row r="26">
      <x:c r="A26" s="84" t="str">
        <x:v>ORD-2024-01117</x:v>
      </x:c>
      <x:c r="B26" s="85" t="n">
        <x:v>45302</x:v>
      </x:c>
      <x:c r="C26" s="84" t="str">
        <x:v>CUST-0143</x:v>
      </x:c>
      <x:c r="D26" s="84" t="str">
        <x:v>Owen Foster</x:v>
      </x:c>
      <x:c r="E26" s="84" t="str">
        <x:v>Small Business</x:v>
      </x:c>
      <x:c r="F26" s="84" t="str">
        <x:v>Southeast </x:v>
      </x:c>
      <x:c r="G26" s="84" t="str">
        <x:v>Atlanta</x:v>
      </x:c>
      <x:c r="H26" s="84" t="str">
        <x:v>Retail Store</x:v>
      </x:c>
      <x:c r="I26" s="84" t="str">
        <x:v>ELEC-005</x:v>
      </x:c>
      <x:c r="J26" s="86" t="n">
        <x:v>4</x:v>
      </x:c>
      <x:c r="K26" s="87" t="n">
        <x:v>0</x:v>
      </x:c>
      <x:c r="L26" s="84" t="str">
        <x:v>Completed</x:v>
      </x:c>
      <x:c r="M26" s="84" t="str">
        <x:v>Debit Card</x:v>
      </x:c>
      <x:c r="N26" s="84" t="str">
        <x:v>Noah Reed </x:v>
      </x:c>
      <x:c r="O26" s="85" t="n">
        <x:v>45302</x:v>
      </x:c>
      <x:c r="P26" s="84" t="str">
        <x:v>POS_2024_01</x:v>
      </x:c>
      <x:c r="Q26" s="84" t="str">
        <x:v>HD Webcam</x:v>
      </x:c>
      <x:c r="R26" s="84" t="str">
        <x:v>Electronics</x:v>
      </x:c>
    </x:row>
    <x:row r="27">
      <x:c r="A27" s="84" t="str">
        <x:v>ORD-2024-02148</x:v>
      </x:c>
      <x:c r="B27" s="85" t="n">
        <x:v>45302</x:v>
      </x:c>
      <x:c r="C27" s="84" t="str">
        <x:v>CUST-0332</x:v>
      </x:c>
      <x:c r="D27" s="84" t="str">
        <x:v>Grace Smith</x:v>
      </x:c>
      <x:c r="E27" s="84" t="str">
        <x:v>Small Business</x:v>
      </x:c>
      <x:c r="F27" s="84" t="str">
        <x:v>Midwest</x:v>
      </x:c>
      <x:c r="G27" s="84" t="str">
        <x:v>Chicago</x:v>
      </x:c>
      <x:c r="H27" s="84" t="str">
        <x:v> RETAIL STORE </x:v>
      </x:c>
      <x:c r="I27" s="84" t="str">
        <x:v>ELEC-005</x:v>
      </x:c>
      <x:c r="J27" s="86" t="n">
        <x:v>2</x:v>
      </x:c>
      <x:c r="K27" s="87" t="n">
        <x:v>0.1</x:v>
      </x:c>
      <x:c r="L27" s="84" t="str">
        <x:v>Completed </x:v>
      </x:c>
      <x:c r="M27" s="84" t="str">
        <x:v>Cash</x:v>
      </x:c>
      <x:c r="N27" s="84" t="str">
        <x:v>Emma Hayes</x:v>
      </x:c>
      <x:c r="O27" s="85" t="n">
        <x:v>45302</x:v>
      </x:c>
      <x:c r="P27" s="84" t="str">
        <x:v>POS_2024_01</x:v>
      </x:c>
      <x:c r="Q27" s="84" t="str">
        <x:v>HD Webcam</x:v>
      </x:c>
      <x:c r="R27" s="84" t="str">
        <x:v>electronics</x:v>
      </x:c>
    </x:row>
    <x:row r="28">
      <x:c r="A28" s="84" t="str">
        <x:v>ORD-2024-00709</x:v>
      </x:c>
      <x:c r="B28" s="85" t="n">
        <x:v>45304</x:v>
      </x:c>
      <x:c r="C28" s="84" t="str">
        <x:v>CUST-0079</x:v>
      </x:c>
      <x:c r="D28" s="84" t="str">
        <x:v>Isaac Foster</x:v>
      </x:c>
      <x:c r="E28" s="84" t="str">
        <x:v>Consumer</x:v>
      </x:c>
      <x:c r="F28" s="84" t="str">
        <x:v>Midwest</x:v>
      </x:c>
      <x:c r="G28" s="84" t="str">
        <x:v>Minneapolis</x:v>
      </x:c>
      <x:c r="H28" s="84" t="str">
        <x:v>Online</x:v>
      </x:c>
      <x:c r="I28" s="84" t="str">
        <x:v>CARE-006</x:v>
      </x:c>
      <x:c r="J28" s="86" t="n">
        <x:v>1</x:v>
      </x:c>
      <x:c r="K28" s="87" t="n">
        <x:v>0</x:v>
      </x:c>
      <x:c r="L28" s="84" t="str">
        <x:v>Completed</x:v>
      </x:c>
      <x:c r="M28" s="84" t="str">
        <x:v>Debit Card</x:v>
      </x:c>
      <x:c r="N28" s="84" t="str">
        <x:v>Lucas Grant</x:v>
      </x:c>
      <x:c r="O28" s="85" t="n">
        <x:v>45307</x:v>
      </x:c>
      <x:c r="P28" s="84" t="str">
        <x:v>WEB_2024_01</x:v>
      </x:c>
      <x:c r="Q28" s="84" t="str">
        <x:v>Percussion Massage Gun</x:v>
      </x:c>
      <x:c r="R28" s="84" t="str">
        <x:v>Personal Care </x:v>
      </x:c>
    </x:row>
    <x:row r="29">
      <x:c r="A29" s="84" t="str">
        <x:v>ORD-2024-01858</x:v>
      </x:c>
      <x:c r="B29" s="85" t="n">
        <x:v>45304</x:v>
      </x:c>
      <x:c r="C29" s="84" t="str">
        <x:v>CUST-0487</x:v>
      </x:c>
      <x:c r="D29" s="84" t="str">
        <x:v>Marcus Adams</x:v>
      </x:c>
      <x:c r="E29" s="84" t="str">
        <x:v>Consumer</x:v>
      </x:c>
      <x:c r="F29" s="84" t="str">
        <x:v>Southeast</x:v>
      </x:c>
      <x:c r="G29" s="84" t="str">
        <x:v>Atlanta</x:v>
      </x:c>
      <x:c r="H29" s="84" t="str">
        <x:v>Marketplace </x:v>
      </x:c>
      <x:c r="I29" s="84" t="str">
        <x:v>FITN-004</x:v>
      </x:c>
      <x:c r="J29" s="86" t="n">
        <x:v>1</x:v>
      </x:c>
      <x:c r="K29" s="87" t="n">
        <x:v>0.05</x:v>
      </x:c>
      <x:c r="L29" s="84" t="str">
        <x:v> COMPLETED </x:v>
      </x:c>
      <x:c r="M29" s="84" t="str">
        <x:v>paypal</x:v>
      </x:c>
      <x:c r="N29" s="84" t="str">
        <x:v>Ava Mitchell</x:v>
      </x:c>
      <x:c r="O29" s="85" t="n">
        <x:v>45308</x:v>
      </x:c>
      <x:c r="P29" s="84" t="str">
        <x:v>MKT_2024_01</x:v>
      </x:c>
      <x:c r="Q29" s="84" t="str">
        <x:v>Fitness Tracker</x:v>
      </x:c>
      <x:c r="R29" s="84" t="str">
        <x:v>Fitness</x:v>
      </x:c>
    </x:row>
    <x:row r="30">
      <x:c r="A30" s="84" t="str">
        <x:v>ORD-2024-01874</x:v>
      </x:c>
      <x:c r="B30" s="85" t="n">
        <x:v>45304</x:v>
      </x:c>
      <x:c r="C30" s="84" t="str">
        <x:v>CUST-0045</x:v>
      </x:c>
      <x:c r="D30" s="84" t="str">
        <x:v>Nina Foster </x:v>
      </x:c>
      <x:c r="E30" s="84" t="str">
        <x:v>Small Business</x:v>
      </x:c>
      <x:c r="F30" s="84" t="str">
        <x:v>Northeast</x:v>
      </x:c>
      <x:c r="G30" s="84" t="str">
        <x:v>boston</x:v>
      </x:c>
      <x:c r="H30" s="84" t="str">
        <x:v>Retail Store</x:v>
      </x:c>
      <x:c r="I30" s="84" t="str">
        <x:v>OFFC-002</x:v>
      </x:c>
      <x:c r="J30" s="86" t="n">
        <x:v>2</x:v>
      </x:c>
      <x:c r="K30" s="87" t="n">
        <x:v>0.15</x:v>
      </x:c>
      <x:c r="L30" s="84" t="str">
        <x:v>completed</x:v>
      </x:c>
      <x:c r="M30" s="84" t="str">
        <x:v>Credit Card </x:v>
      </x:c>
      <x:c r="N30" s="84" t="str">
        <x:v>Maya Brooks</x:v>
      </x:c>
      <x:c r="O30" s="85" t="n">
        <x:v>45304</x:v>
      </x:c>
      <x:c r="P30" s="84" t="str">
        <x:v>POS_2024_01</x:v>
      </x:c>
      <x:c r="Q30" s="84" t="str">
        <x:v> STANDING DESK </x:v>
      </x:c>
      <x:c r="R30" s="84" t="str">
        <x:v>Office</x:v>
      </x:c>
    </x:row>
    <x:row r="31">
      <x:c r="A31" s="84" t="str">
        <x:v>ORD-2024-00033</x:v>
      </x:c>
      <x:c r="B31" s="85" t="n">
        <x:v>45305</x:v>
      </x:c>
      <x:c r="C31" s="84" t="str">
        <x:v>CUST-0404</x:v>
      </x:c>
      <x:c r="D31" s="84" t="str">
        <x:v>Nina Baker </x:v>
      </x:c>
      <x:c r="E31" s="84" t="str">
        <x:v>consumer</x:v>
      </x:c>
      <x:c r="F31" s="84" t="str">
        <x:v>West</x:v>
      </x:c>
      <x:c r="G31" s="84" t="str">
        <x:v>Los Angeles</x:v>
      </x:c>
      <x:c r="H31" s="84" t="str">
        <x:v>retail store</x:v>
      </x:c>
      <x:c r="I31" s="84" t="str">
        <x:v>CARE-002</x:v>
      </x:c>
      <x:c r="J31" s="86" t="n">
        <x:v>1</x:v>
      </x:c>
      <x:c r="K31" s="87" t="n">
        <x:v>0.05</x:v>
      </x:c>
      <x:c r="L31" s="84" t="str">
        <x:v>Completed</x:v>
      </x:c>
      <x:c r="M31" s="84" t="str">
        <x:v>Credit Card </x:v>
      </x:c>
      <x:c r="N31" s="84" t="str">
        <x:v>Mia Chen</x:v>
      </x:c>
      <x:c r="O31" s="85" t="n">
        <x:v>45305</x:v>
      </x:c>
      <x:c r="P31" s="84" t="str">
        <x:v>POS_2024_01</x:v>
      </x:c>
      <x:c r="Q31" s="84" t="str">
        <x:v>Rechargeable Trimmer</x:v>
      </x:c>
      <x:c r="R31" s="84" t="str">
        <x:v>Personal Care</x:v>
      </x:c>
    </x:row>
    <x:row r="32">
      <x:c r="A32" s="84" t="str">
        <x:v>ORD-2024-00249</x:v>
      </x:c>
      <x:c r="B32" s="85" t="n">
        <x:v>45305</x:v>
      </x:c>
      <x:c r="C32" s="84" t="str">
        <x:v>CUST-0296</x:v>
      </x:c>
      <x:c r="D32" s="84" t="str">
        <x:v>sara irwin</x:v>
      </x:c>
      <x:c r="E32" s="84" t="str">
        <x:v>Corporate</x:v>
      </x:c>
      <x:c r="F32" s="84" t="str">
        <x:v>Midwest </x:v>
      </x:c>
      <x:c r="G32" s="84" t="str">
        <x:v>Columbus</x:v>
      </x:c>
      <x:c r="H32" s="84" t="str">
        <x:v>Retail Store</x:v>
      </x:c>
      <x:c r="I32" s="84" t="str">
        <x:v>FITN-001</x:v>
      </x:c>
      <x:c r="J32" s="86" t="n">
        <x:v>3</x:v>
      </x:c>
      <x:c r="K32" s="87" t="n">
        <x:v>0.05</x:v>
      </x:c>
      <x:c r="L32" s="84" t="str">
        <x:v>Completed</x:v>
      </x:c>
      <x:c r="M32" s="84" t="str">
        <x:v> MOBILE WALLET </x:v>
      </x:c>
      <x:c r="N32" s="84" t="str">
        <x:v>Zoe Turner </x:v>
      </x:c>
      <x:c r="O32" s="85" t="n">
        <x:v>45306</x:v>
      </x:c>
      <x:c r="P32" s="84" t="str">
        <x:v>POS_2024_01</x:v>
      </x:c>
      <x:c r="Q32" s="84" t="str">
        <x:v>Yoga Mat</x:v>
      </x:c>
      <x:c r="R32" s="84" t="str">
        <x:v>Fitness</x:v>
      </x:c>
    </x:row>
    <x:row r="33">
      <x:c r="A33" s="84" t="str">
        <x:v>ORD-2024-01075</x:v>
      </x:c>
      <x:c r="B33" s="85" t="n">
        <x:v>45305</x:v>
      </x:c>
      <x:c r="C33" s="84" t="str">
        <x:v>CUST-0505</x:v>
      </x:c>
      <x:c r="D33" s="84" t="str">
        <x:v>Daniel Taylor</x:v>
      </x:c>
      <x:c r="E33" s="84" t="str">
        <x:v>Small Business</x:v>
      </x:c>
      <x:c r="F33" s="84" t="str">
        <x:v>northeast</x:v>
      </x:c>
      <x:c r="G33" s="84" t="str">
        <x:v>Boston</x:v>
      </x:c>
      <x:c r="H33" s="84" t="str">
        <x:v>Retail Store</x:v>
      </x:c>
      <x:c r="I33" s="84" t="str">
        <x:v>ELEC-004</x:v>
      </x:c>
      <x:c r="J33" s="86" t="n">
        <x:v>3</x:v>
      </x:c>
      <x:c r="K33" s="87" t="n">
        <x:v>0.05</x:v>
      </x:c>
      <x:c r="L33" s="84" t="str">
        <x:v>Completed</x:v>
      </x:c>
      <x:c r="M33" s="84" t="str">
        <x:v>Debit Card</x:v>
      </x:c>
      <x:c r="N33" s="84" t="str">
        <x:v>Maya Brooks </x:v>
      </x:c>
      <x:c r="O33" s="85" t="n">
        <x:v>45305</x:v>
      </x:c>
      <x:c r="P33" s="84" t="str">
        <x:v>POS_2024_01</x:v>
      </x:c>
      <x:c r="Q33" s="84" t="str">
        <x:v> POWER BANK </x:v>
      </x:c>
      <x:c r="R33" s="84" t="str">
        <x:v>Electronics</x:v>
      </x:c>
    </x:row>
    <x:row r="34">
      <x:c r="A34" s="84" t="str">
        <x:v>ORD-2024-02163</x:v>
      </x:c>
      <x:c r="B34" s="85" t="n">
        <x:v>45306</x:v>
      </x:c>
      <x:c r="C34" s="84" t="str">
        <x:v>CUST-0368</x:v>
      </x:c>
      <x:c r="D34" s="84" t="str">
        <x:v>nathan roberts</x:v>
      </x:c>
      <x:c r="E34" s="84" t="str">
        <x:v>Consumer </x:v>
      </x:c>
      <x:c r="F34" s="84" t="str">
        <x:v>West</x:v>
      </x:c>
      <x:c r="G34" s="84" t="str">
        <x:v>Denver </x:v>
      </x:c>
      <x:c r="H34" s="84" t="str">
        <x:v>Online</x:v>
      </x:c>
      <x:c r="I34" s="84" t="str">
        <x:v>HOME-001</x:v>
      </x:c>
      <x:c r="J34" s="86" t="n">
        <x:v>1</x:v>
      </x:c>
      <x:c r="K34" s="87" t="n">
        <x:v>0.2</x:v>
      </x:c>
      <x:c r="L34" s="84" t="str">
        <x:v>Returned</x:v>
      </x:c>
      <x:c r="M34" s="84" t="str">
        <x:v>Credit Card</x:v>
      </x:c>
      <x:c r="N34" s="84" t="str">
        <x:v>Leo Martinez</x:v>
      </x:c>
      <x:c r="O34" s="85" t="n">
        <x:v>45311</x:v>
      </x:c>
      <x:c r="P34" s="84" t="str">
        <x:v>WEB_2024_01</x:v>
      </x:c>
      <x:c r="Q34" s="84" t="str">
        <x:v> AIR FRYER </x:v>
      </x:c>
      <x:c r="R34" s="84" t="str">
        <x:v>Home &amp; Kitchen</x:v>
      </x:c>
    </x:row>
    <x:row r="35">
      <x:c r="A35" s="84" t="str">
        <x:v>ORD-2024-02362</x:v>
      </x:c>
      <x:c r="B35" s="85" t="n">
        <x:v>45307</x:v>
      </x:c>
      <x:c r="C35" s="84" t="str">
        <x:v>CUST-0271</x:v>
      </x:c>
      <x:c r="D35" s="84" t="str">
        <x:v>Jonah Nelson</x:v>
      </x:c>
      <x:c r="E35" s="84" t="str">
        <x:v>Consumer</x:v>
      </x:c>
      <x:c r="F35" s="84" t="str">
        <x:v>midwest</x:v>
      </x:c>
      <x:c r="G35" s="84" t="str">
        <x:v>Detroit</x:v>
      </x:c>
      <x:c r="H35" s="84" t="str">
        <x:v>Retail Store </x:v>
      </x:c>
      <x:c r="I35" s="84" t="str">
        <x:v>HOME-006</x:v>
      </x:c>
      <x:c r="J35" s="86" t="n">
        <x:v>1</x:v>
      </x:c>
      <x:c r="K35" s="87" t="n">
        <x:v>0.1</x:v>
      </x:c>
      <x:c r="L35" s="84" t="str">
        <x:v>Completed</x:v>
      </x:c>
      <x:c r="M35" s="84" t="str">
        <x:v>Cash</x:v>
      </x:c>
      <x:c r="N35" s="84" t="str">
        <x:v>Zoe Turner</x:v>
      </x:c>
      <x:c r="O35" s="85" t="n">
        <x:v>45307</x:v>
      </x:c>
      <x:c r="P35" s="84" t="str">
        <x:v>POS_2024_01</x:v>
      </x:c>
      <x:c r="Q35" s="84" t="str">
        <x:v>Food Storage Set</x:v>
      </x:c>
      <x:c r="R35" s="84" t="str">
        <x:v>Home &amp; Kitchen</x:v>
      </x:c>
    </x:row>
    <x:row r="36">
      <x:c r="A36" s="84" t="str">
        <x:v>ORD-2024-00340</x:v>
      </x:c>
      <x:c r="B36" s="85" t="n">
        <x:v>45309</x:v>
      </x:c>
      <x:c r="C36" s="84" t="str">
        <x:v>CUST-0128</x:v>
      </x:c>
      <x:c r="D36" s="84" t="str">
        <x:v>Zara Patel</x:v>
      </x:c>
      <x:c r="E36" s="84" t="str">
        <x:v> CONSUMER </x:v>
      </x:c>
      <x:c r="F36" s="84" t="str">
        <x:v>Midwest </x:v>
      </x:c>
      <x:c r="G36" s="84" t="str">
        <x:v>Detroit</x:v>
      </x:c>
      <x:c r="H36" s="84" t="str">
        <x:v>Online</x:v>
      </x:c>
      <x:c r="I36" s="84" t="str">
        <x:v>FITN-006</x:v>
      </x:c>
      <x:c r="J36" s="86" t="n">
        <x:v>2</x:v>
      </x:c>
      <x:c r="K36" s="87" t="n">
        <x:v>0.1</x:v>
      </x:c>
      <x:c r="L36" s="84" t="str">
        <x:v>Completed</x:v>
      </x:c>
      <x:c r="M36" s="84" t="str">
        <x:v>credit card</x:v>
      </x:c>
      <x:c r="N36" s="84" t="str">
        <x:v>Emma Hayes </x:v>
      </x:c>
      <x:c r="O36" s="85" t="n">
        <x:v>45311</x:v>
      </x:c>
      <x:c r="P36" s="84" t="str">
        <x:v>WEB_2024_01</x:v>
      </x:c>
      <x:c r="Q36" s="84" t="str">
        <x:v>Foam Roller</x:v>
      </x:c>
      <x:c r="R36" s="84" t="str">
        <x:v>Fitness</x:v>
      </x:c>
    </x:row>
    <x:row r="37">
      <x:c r="A37" s="84" t="str">
        <x:v>ORD-2024-02193</x:v>
      </x:c>
      <x:c r="B37" s="85" t="n">
        <x:v>45309</x:v>
      </x:c>
      <x:c r="C37" s="84" t="str">
        <x:v>CUST-0305</x:v>
      </x:c>
      <x:c r="D37" s="84" t="str">
        <x:v>Theo Young</x:v>
      </x:c>
      <x:c r="E37" s="84" t="str">
        <x:v> CONSUMER </x:v>
      </x:c>
      <x:c r="F37" s="84" t="str">
        <x:v>Midwest</x:v>
      </x:c>
      <x:c r="G37" s="84" t="str">
        <x:v>minneapolis</x:v>
      </x:c>
      <x:c r="H37" s="84" t="str">
        <x:v>Retail Store</x:v>
      </x:c>
      <x:c r="I37" s="84" t="str">
        <x:v>ACCS-005</x:v>
      </x:c>
      <x:c r="J37" s="86" t="n">
        <x:v>2</x:v>
      </x:c>
      <x:c r="K37" s="87" t="n">
        <x:v>0.05</x:v>
      </x:c>
      <x:c r="L37" s="84" t="str">
        <x:v>completed</x:v>
      </x:c>
      <x:c r="M37" s="84" t="str">
        <x:v>Credit Card</x:v>
      </x:c>
      <x:c r="N37" s="84" t="str">
        <x:v>Emma Hayes</x:v>
      </x:c>
      <x:c r="O37" s="85" t="n">
        <x:v>45309</x:v>
      </x:c>
      <x:c r="P37" s="84" t="str">
        <x:v>POS_2024_01</x:v>
      </x:c>
      <x:c r="Q37" s="84" t="str">
        <x:v>Protective Phone Case</x:v>
      </x:c>
      <x:c r="R37" s="84" t="str">
        <x:v>Accessories </x:v>
      </x:c>
    </x:row>
    <x:row r="38">
      <x:c r="A38" s="84" t="str">
        <x:v>ORD-2024-00262</x:v>
      </x:c>
      <x:c r="B38" s="85" t="n">
        <x:v>45310</x:v>
      </x:c>
      <x:c r="C38" s="84" t="str">
        <x:v>CUST-0066</x:v>
      </x:c>
      <x:c r="D38" s="84" t="str">
        <x:v>Zara Smith</x:v>
      </x:c>
      <x:c r="E38" s="84" t="str">
        <x:v>Consumer</x:v>
      </x:c>
      <x:c r="F38" s="84" t="str">
        <x:v>West</x:v>
      </x:c>
      <x:c r="G38" s="84" t="str">
        <x:v>Phoenix</x:v>
      </x:c>
      <x:c r="H38" s="84" t="str">
        <x:v>Online </x:v>
      </x:c>
      <x:c r="I38" s="84" t="str">
        <x:v>ACCS-001</x:v>
      </x:c>
      <x:c r="J38" s="86" t="n">
        <x:v>1</x:v>
      </x:c>
      <x:c r="K38" s="87" t="n">
        <x:v>0.15</x:v>
      </x:c>
      <x:c r="L38" s="84" t="str">
        <x:v>Completed</x:v>
      </x:c>
      <x:c r="M38" s="84" t="str">
        <x:v>Credit Card</x:v>
      </x:c>
      <x:c r="N38" s="84" t="str">
        <x:v>Nora Kim</x:v>
      </x:c>
      <x:c r="O38" s="85" t="n">
        <x:v>45314</x:v>
      </x:c>
      <x:c r="P38" s="84" t="str">
        <x:v>WEB_2024_01</x:v>
      </x:c>
      <x:c r="Q38" s="84" t="str">
        <x:v>canvas tote bag</x:v>
      </x:c>
      <x:c r="R38" s="84" t="str">
        <x:v>Accessories</x:v>
      </x:c>
    </x:row>
    <x:row r="39">
      <x:c r="A39" s="84" t="str">
        <x:v>ORD-2024-00381</x:v>
      </x:c>
      <x:c r="B39" s="85" t="n">
        <x:v>45310</x:v>
      </x:c>
      <x:c r="C39" s="84" t="str">
        <x:v>CUST-0357</x:v>
      </x:c>
      <x:c r="D39" s="84" t="str">
        <x:v>priya baker</x:v>
      </x:c>
      <x:c r="E39" s="84" t="str">
        <x:v>Consumer</x:v>
      </x:c>
      <x:c r="F39" s="84" t="str">
        <x:v>Southeast</x:v>
      </x:c>
      <x:c r="G39" s="84" t="str">
        <x:v>Atlanta</x:v>
      </x:c>
      <x:c r="H39" s="84" t="str">
        <x:v>Online </x:v>
      </x:c>
      <x:c r="I39" s="84" t="str">
        <x:v>OFFC-002</x:v>
      </x:c>
      <x:c r="J39" s="86" t="n">
        <x:v>1</x:v>
      </x:c>
      <x:c r="K39" s="87" t="n">
        <x:v>0.15</x:v>
      </x:c>
      <x:c r="L39" s="84" t="str">
        <x:v>Completed</x:v>
      </x:c>
      <x:c r="M39" s="84" t="str">
        <x:v>Credit Card</x:v>
      </x:c>
      <x:c r="N39" s="84" t="str">
        <x:v>Liam Parker</x:v>
      </x:c>
      <x:c r="O39" s="85" t="n">
        <x:v>45314</x:v>
      </x:c>
      <x:c r="P39" s="84" t="str">
        <x:v>WEB_2024_01</x:v>
      </x:c>
      <x:c r="Q39" s="84" t="str">
        <x:v>Standing Desk</x:v>
      </x:c>
      <x:c r="R39" s="84" t="str">
        <x:v>Office</x:v>
      </x:c>
    </x:row>
    <x:row r="40">
      <x:c r="A40" s="84" t="str">
        <x:v>ORD-2024-01169</x:v>
      </x:c>
      <x:c r="B40" s="85" t="n">
        <x:v>45310</x:v>
      </x:c>
      <x:c r="C40" s="84" t="str">
        <x:v>CUST-0321</x:v>
      </x:c>
      <x:c r="D40" s="84" t="str">
        <x:v>Grace Smith</x:v>
      </x:c>
      <x:c r="E40" s="84" t="str">
        <x:v>Corporate </x:v>
      </x:c>
      <x:c r="F40" s="84" t="str">
        <x:v>Southeast</x:v>
      </x:c>
      <x:c r="G40" s="84" t="str">
        <x:v>Miami </x:v>
      </x:c>
      <x:c r="H40" s="84" t="str">
        <x:v>Marketplace</x:v>
      </x:c>
      <x:c r="I40" s="84" t="str">
        <x:v>OFFC-006</x:v>
      </x:c>
      <x:c r="J40" s="86" t="n">
        <x:v>2</x:v>
      </x:c>
      <x:c r="K40" s="87" t="n">
        <x:v>0.1</x:v>
      </x:c>
      <x:c r="L40" s="84" t="str">
        <x:v>Completed</x:v>
      </x:c>
      <x:c r="M40" s="84" t="str">
        <x:v>Debit Card</x:v>
      </x:c>
      <x:c r="N40" s="84" t="str">
        <x:v>Noah Reed</x:v>
      </x:c>
      <x:c r="O40" s="85" t="n">
        <x:v>45315</x:v>
      </x:c>
      <x:c r="P40" s="84" t="str">
        <x:v>MKT_2024_01</x:v>
      </x:c>
      <x:c r="Q40" s="84" t="str">
        <x:v>Monitor Stand</x:v>
      </x:c>
      <x:c r="R40" s="84" t="str">
        <x:v>office</x:v>
      </x:c>
    </x:row>
    <x:row r="41">
      <x:c r="A41" s="84" t="str">
        <x:v>ORD-2024-01816</x:v>
      </x:c>
      <x:c r="B41" s="85" t="n">
        <x:v>45310</x:v>
      </x:c>
      <x:c r="C41" s="84" t="str">
        <x:v>CUST-0188</x:v>
      </x:c>
      <x:c r="D41" s="84" t="str">
        <x:v> MARCUS BAKER </x:v>
      </x:c>
      <x:c r="E41" s="84" t="str">
        <x:v>Corporate</x:v>
      </x:c>
      <x:c r="F41" s="84" t="str">
        <x:v> SOUTHEAST </x:v>
      </x:c>
      <x:c r="G41" s="84" t="str">
        <x:v>Atlanta</x:v>
      </x:c>
      <x:c r="H41" s="84" t="str">
        <x:v>Online </x:v>
      </x:c>
      <x:c r="I41" s="84" t="str">
        <x:v>OFFC-001</x:v>
      </x:c>
      <x:c r="J41" s="86" t="n">
        <x:v>1</x:v>
      </x:c>
      <x:c r="K41" s="87" t="n">
        <x:v>0.1</x:v>
      </x:c>
      <x:c r="L41" s="84" t="str">
        <x:v>Completed</x:v>
      </x:c>
      <x:c r="M41" s="84" t="str">
        <x:v>Debit Card</x:v>
      </x:c>
      <x:c r="N41" s="84" t="str">
        <x:v>Noah Reed</x:v>
      </x:c>
      <x:c r="O41" s="85" t="n">
        <x:v>45313</x:v>
      </x:c>
      <x:c r="P41" s="84" t="str">
        <x:v>WEB_2024_01</x:v>
      </x:c>
      <x:c r="Q41" s="84" t="str">
        <x:v>Ergonomic Chair</x:v>
      </x:c>
      <x:c r="R41" s="84" t="str">
        <x:v>Office</x:v>
      </x:c>
    </x:row>
    <x:row r="42">
      <x:c r="A42" s="84" t="str">
        <x:v>ORD-2024-00466</x:v>
      </x:c>
      <x:c r="B42" s="85" t="n">
        <x:v>45311</x:v>
      </x:c>
      <x:c r="C42" s="84" t="str">
        <x:v>CUST-0382</x:v>
      </x:c>
      <x:c r="D42" s="84" t="str">
        <x:v>Samuel Adams</x:v>
      </x:c>
      <x:c r="E42" s="84" t="str">
        <x:v>Corporate</x:v>
      </x:c>
      <x:c r="F42" s="84" t="str">
        <x:v>Northeast </x:v>
      </x:c>
      <x:c r="G42" s="84" t="str">
        <x:v>boston</x:v>
      </x:c>
      <x:c r="H42" s="84" t="str">
        <x:v>Marketplace</x:v>
      </x:c>
      <x:c r="I42" s="84" t="str">
        <x:v>CARE-001</x:v>
      </x:c>
      <x:c r="J42" s="86" t="n">
        <x:v>8</x:v>
      </x:c>
      <x:c r="K42" s="87" t="n">
        <x:v>0.2</x:v>
      </x:c>
      <x:c r="L42" s="84" t="str">
        <x:v>completed</x:v>
      </x:c>
      <x:c r="M42" s="84" t="str">
        <x:v>Debit Card</x:v>
      </x:c>
      <x:c r="N42" s="84" t="str">
        <x:v>Ethan Cole </x:v>
      </x:c>
      <x:c r="O42" s="85" t="n">
        <x:v>45316</x:v>
      </x:c>
      <x:c r="P42" s="84" t="str">
        <x:v>MKT_2024_01</x:v>
      </x:c>
      <x:c r="Q42" s="84" t="str">
        <x:v>Ionic Hair Dryer</x:v>
      </x:c>
      <x:c r="R42" s="84" t="str">
        <x:v>Personal Care</x:v>
      </x:c>
    </x:row>
    <x:row r="43">
      <x:c r="A43" s="84" t="str">
        <x:v>ORD-2024-01436</x:v>
      </x:c>
      <x:c r="B43" s="85" t="n">
        <x:v>45311</x:v>
      </x:c>
      <x:c r="C43" s="84" t="str">
        <x:v>CUST-0249</x:v>
      </x:c>
      <x:c r="D43" s="84" t="str">
        <x:v>Zara Roberts</x:v>
      </x:c>
      <x:c r="E43" s="84" t="str">
        <x:v>Corporate</x:v>
      </x:c>
      <x:c r="F43" s="84" t="str">
        <x:v>Northeast</x:v>
      </x:c>
      <x:c r="G43" s="84" t="str">
        <x:v>Philadelphia</x:v>
      </x:c>
      <x:c r="H43" s="84" t="str">
        <x:v>Online</x:v>
      </x:c>
      <x:c r="I43" s="84" t="str">
        <x:v>ACCS-006</x:v>
      </x:c>
      <x:c r="J43" s="86" t="n">
        <x:v>4</x:v>
      </x:c>
      <x:c r="K43" s="87" t="n">
        <x:v>0</x:v>
      </x:c>
      <x:c r="L43" s="84" t="str">
        <x:v>Completed</x:v>
      </x:c>
      <x:c r="M43" s="84" t="str">
        <x:v>Mobile Wallet</x:v>
      </x:c>
      <x:c r="N43" s="84" t="str">
        <x:v>Sofia Bennett</x:v>
      </x:c>
      <x:c r="O43" s="85" t="n">
        <x:v>45316</x:v>
      </x:c>
      <x:c r="P43" s="84" t="str">
        <x:v>WEB_2024_01</x:v>
      </x:c>
      <x:c r="Q43" s="84" t="str">
        <x:v>Insulated Lunch Bag </x:v>
      </x:c>
      <x:c r="R43" s="84" t="str">
        <x:v>Accessories</x:v>
      </x:c>
    </x:row>
    <x:row r="44">
      <x:c r="A44" s="84" t="str">
        <x:v>ORD-2024-01505</x:v>
      </x:c>
      <x:c r="B44" s="85" t="n">
        <x:v>45312</x:v>
      </x:c>
      <x:c r="C44" s="84" t="str">
        <x:v>CUST-0281</x:v>
      </x:c>
      <x:c r="D44" s="84" t="str">
        <x:v>Jonah Foster</x:v>
      </x:c>
      <x:c r="E44" s="84" t="str">
        <x:v>Consumer </x:v>
      </x:c>
      <x:c r="F44" s="84" t="str">
        <x:v>Midwest</x:v>
      </x:c>
      <x:c r="G44" s="84" t="str">
        <x:v>Detroit </x:v>
      </x:c>
      <x:c r="H44" s="84" t="str">
        <x:v>Marketplace</x:v>
      </x:c>
      <x:c r="I44" s="84" t="str">
        <x:v>CARE-002</x:v>
      </x:c>
      <x:c r="J44" s="86" t="n">
        <x:v>2</x:v>
      </x:c>
      <x:c r="K44" s="87" t="n">
        <x:v>0.05</x:v>
      </x:c>
      <x:c r="L44" s="84" t="str">
        <x:v>Completed</x:v>
      </x:c>
      <x:c r="M44" s="84" t="str">
        <x:v>Mobile Wallet</x:v>
      </x:c>
      <x:c r="N44" s="84" t="str">
        <x:v>Zoe Turner</x:v>
      </x:c>
      <x:c r="O44" s="85" t="n">
        <x:v>45318</x:v>
      </x:c>
      <x:c r="P44" s="84" t="str">
        <x:v>MKT_2024_01</x:v>
      </x:c>
      <x:c r="Q44" s="84" t="str">
        <x:v>rechargeable trimmer</x:v>
      </x:c>
      <x:c r="R44" s="84" t="str">
        <x:v>Personal Care</x:v>
      </x:c>
    </x:row>
    <x:row r="45">
      <x:c r="A45" s="84" t="str">
        <x:v>ORD-2024-01622</x:v>
      </x:c>
      <x:c r="B45" s="85" t="n">
        <x:v>45312</x:v>
      </x:c>
      <x:c r="C45" s="84" t="str">
        <x:v>CUST-0346</x:v>
      </x:c>
      <x:c r="D45" s="84" t="str">
        <x:v>Grace Foster </x:v>
      </x:c>
      <x:c r="E45" s="84" t="str">
        <x:v>Small Business</x:v>
      </x:c>
      <x:c r="F45" s="84" t="str">
        <x:v>West</x:v>
      </x:c>
      <x:c r="G45" s="84" t="str">
        <x:v>Seattle</x:v>
      </x:c>
      <x:c r="H45" s="84" t="str">
        <x:v>Online</x:v>
      </x:c>
      <x:c r="I45" s="84" t="str">
        <x:v>ELEC-001</x:v>
      </x:c>
      <x:c r="J45" s="86" t="n">
        <x:v>1</x:v>
      </x:c>
      <x:c r="K45" s="87" t="n">
        <x:v>0</x:v>
      </x:c>
      <x:c r="L45" s="84" t="str">
        <x:v>Completed</x:v>
      </x:c>
      <x:c r="M45" s="84" t="str">
        <x:v>Mobile Wallet </x:v>
      </x:c>
      <x:c r="N45" s="84" t="str">
        <x:v>Nora Kim</x:v>
      </x:c>
      <x:c r="O45" s="85" t="n">
        <x:v>45316</x:v>
      </x:c>
      <x:c r="P45" s="84" t="str">
        <x:v>WEB_2024_01</x:v>
      </x:c>
      <x:c r="Q45" s="84" t="str">
        <x:v>Wireless Earbuds</x:v>
      </x:c>
      <x:c r="R45" s="84" t="str">
        <x:v>Electronics</x:v>
      </x:c>
    </x:row>
    <x:row r="46">
      <x:c r="A46" s="84" t="str">
        <x:v>ORD-2024-01380</x:v>
      </x:c>
      <x:c r="B46" s="85" t="n">
        <x:v>45313</x:v>
      </x:c>
      <x:c r="C46" s="84" t="str">
        <x:v>CUST-0286</x:v>
      </x:c>
      <x:c r="D46" s="84" t="str">
        <x:v>Isaac Hall</x:v>
      </x:c>
      <x:c r="E46" s="84" t="str">
        <x:v>Consumer</x:v>
      </x:c>
      <x:c r="F46" s="84" t="str">
        <x:v>Midwest</x:v>
      </x:c>
      <x:c r="G46" s="84" t="str">
        <x:v>Chicago</x:v>
      </x:c>
      <x:c r="H46" s="84" t="str">
        <x:v>Online</x:v>
      </x:c>
      <x:c r="I46" s="84" t="str">
        <x:v>ELEC-003</x:v>
      </x:c>
      <x:c r="J46" s="86" t="n">
        <x:v>1</x:v>
      </x:c>
      <x:c r="K46" s="87" t="n">
        <x:v>0.15</x:v>
      </x:c>
      <x:c r="L46" s="84" t="str">
        <x:v>Completed</x:v>
      </x:c>
      <x:c r="M46" s="84" t="str">
        <x:v>PayPal</x:v>
      </x:c>
      <x:c r="N46" s="84" t="str">
        <x:v> ZOE TURNER </x:v>
      </x:c>
      <x:c r="O46" s="85" t="n">
        <x:v>45316</x:v>
      </x:c>
      <x:c r="P46" s="84" t="str">
        <x:v>WEB_2024_01</x:v>
      </x:c>
      <x:c r="Q46" s="84" t="str">
        <x:v>Bluetooth Speaker </x:v>
      </x:c>
      <x:c r="R46" s="84" t="str">
        <x:v>Electronics</x:v>
      </x:c>
    </x:row>
    <x:row r="47">
      <x:c r="A47" s="84" t="str">
        <x:v>ORD-2024-00805</x:v>
      </x:c>
      <x:c r="B47" s="85" t="n">
        <x:v>45314</x:v>
      </x:c>
      <x:c r="C47" s="84" t="str">
        <x:v>CUST-0278</x:v>
      </x:c>
      <x:c r="D47" s="84" t="str">
        <x:v>Sara Ortiz</x:v>
      </x:c>
      <x:c r="E47" s="84" t="str">
        <x:v>Corporate </x:v>
      </x:c>
      <x:c r="F47" s="84" t="str">
        <x:v>Southeast</x:v>
      </x:c>
      <x:c r="G47" s="84" t="str">
        <x:v>Charlotte </x:v>
      </x:c>
      <x:c r="H47" s="84" t="str">
        <x:v> ONLINE </x:v>
      </x:c>
      <x:c r="I47" s="84" t="str">
        <x:v>CARE-006</x:v>
      </x:c>
      <x:c r="J47" s="86" t="n">
        <x:v>6</x:v>
      </x:c>
      <x:c r="K47" s="87" t="n">
        <x:v>0</x:v>
      </x:c>
      <x:c r="L47" s="84" t="str">
        <x:v>Completed</x:v>
      </x:c>
      <x:c r="M47" s="84" t="str">
        <x:v>Credit Card</x:v>
      </x:c>
      <x:c r="N47" s="84" t="str">
        <x:v>ava mitchell</x:v>
      </x:c>
      <x:c r="O47" s="85" t="n">
        <x:v>45317</x:v>
      </x:c>
      <x:c r="P47" s="84" t="str">
        <x:v>WEB_2024_01</x:v>
      </x:c>
      <x:c r="Q47" s="84" t="str">
        <x:v>Percussion Massage Gun</x:v>
      </x:c>
      <x:c r="R47" s="84" t="str">
        <x:v>Personal Care</x:v>
      </x:c>
    </x:row>
    <x:row r="48">
      <x:c r="A48" s="84" t="str">
        <x:v>ORD-2024-00805</x:v>
      </x:c>
      <x:c r="B48" s="85" t="n">
        <x:v>45314</x:v>
      </x:c>
      <x:c r="C48" s="84" t="str">
        <x:v>CUST-0278</x:v>
      </x:c>
      <x:c r="D48" s="84" t="str">
        <x:v>Sara Ortiz</x:v>
      </x:c>
      <x:c r="E48" s="84" t="str">
        <x:v>Corporate </x:v>
      </x:c>
      <x:c r="F48" s="84" t="str">
        <x:v>Southeast</x:v>
      </x:c>
      <x:c r="G48" s="84" t="str">
        <x:v>Charlotte </x:v>
      </x:c>
      <x:c r="H48" s="84" t="str">
        <x:v> ONLINE </x:v>
      </x:c>
      <x:c r="I48" s="84" t="str">
        <x:v>CARE-006</x:v>
      </x:c>
      <x:c r="J48" s="86" t="n">
        <x:v>6</x:v>
      </x:c>
      <x:c r="K48" s="87" t="n">
        <x:v>0</x:v>
      </x:c>
      <x:c r="L48" s="84" t="str">
        <x:v>Completed</x:v>
      </x:c>
      <x:c r="M48" s="84" t="str">
        <x:v>Credit Card</x:v>
      </x:c>
      <x:c r="N48" s="84" t="str">
        <x:v>ava mitchell</x:v>
      </x:c>
      <x:c r="O48" s="85" t="n">
        <x:v>45317</x:v>
      </x:c>
      <x:c r="P48" s="84" t="str">
        <x:v>RELOAD_WEB_2024_01</x:v>
      </x:c>
      <x:c r="Q48" s="84" t="str">
        <x:v>Percussion Massage Gun</x:v>
      </x:c>
      <x:c r="R48" s="84" t="str">
        <x:v>Personal Care</x:v>
      </x:c>
    </x:row>
    <x:row r="49">
      <x:c r="A49" s="84" t="str">
        <x:v>ORD-2024-02003</x:v>
      </x:c>
      <x:c r="B49" s="85" t="n">
        <x:v>45314</x:v>
      </x:c>
      <x:c r="C49" s="84" t="str">
        <x:v>CUST-0521</x:v>
      </x:c>
      <x:c r="D49" s="84" t="str">
        <x:v> THEO GARCIA </x:v>
      </x:c>
      <x:c r="E49" s="84" t="str">
        <x:v>Consumer</x:v>
      </x:c>
      <x:c r="F49" s="84" t="str">
        <x:v> WEST </x:v>
      </x:c>
      <x:c r="G49" s="84" t="str">
        <x:v>Denver</x:v>
      </x:c>
      <x:c r="H49" s="84" t="str">
        <x:v>Online</x:v>
      </x:c>
      <x:c r="I49" s="84" t="str">
        <x:v>CARE-004</x:v>
      </x:c>
      <x:c r="J49" s="86" t="n">
        <x:v>1</x:v>
      </x:c>
      <x:c r="K49" s="87" t="n">
        <x:v>0</x:v>
      </x:c>
      <x:c r="L49" s="84" t="str">
        <x:v>Completed</x:v>
      </x:c>
      <x:c r="M49" s="84" t="str">
        <x:v>PayPal</x:v>
      </x:c>
      <x:c r="N49" s="84" t="str">
        <x:v>Nora Kim</x:v>
      </x:c>
      <x:c r="O49" s="85" t="n">
        <x:v>45319</x:v>
      </x:c>
      <x:c r="P49" s="84" t="str">
        <x:v>WEB_2024_01</x:v>
      </x:c>
      <x:c r="Q49" s="84" t="str">
        <x:v>Electric Toothbrush </x:v>
      </x:c>
      <x:c r="R49" s="84" t="str">
        <x:v>Personal Care</x:v>
      </x:c>
    </x:row>
    <x:row r="50">
      <x:c r="A50" s="84" t="str">
        <x:v>ORD-2024-00756</x:v>
      </x:c>
      <x:c r="B50" s="85" t="n">
        <x:v>45315</x:v>
      </x:c>
      <x:c r="C50" s="84" t="str">
        <x:v>CUST-0578</x:v>
      </x:c>
      <x:c r="D50" s="84" t="str">
        <x:v>Priya Smith</x:v>
      </x:c>
      <x:c r="E50" s="84" t="str">
        <x:v>Corporate </x:v>
      </x:c>
      <x:c r="F50" s="84" t="str">
        <x:v>northeast</x:v>
      </x:c>
      <x:c r="G50" s="84" t="str">
        <x:v>Newark </x:v>
      </x:c>
      <x:c r="H50" s="84" t="str">
        <x:v>Online</x:v>
      </x:c>
      <x:c r="I50" s="84" t="str">
        <x:v>ELEC-006</x:v>
      </x:c>
      <x:c r="J50" s="86" t="n">
        <x:v>4</x:v>
      </x:c>
      <x:c r="K50" s="87" t="n">
        <x:v>0</x:v>
      </x:c>
      <x:c r="L50" s="84" t="str">
        <x:v>Completed</x:v>
      </x:c>
      <x:c r="M50" s="84" t="str">
        <x:v>Credit Card</x:v>
      </x:c>
      <x:c r="N50" s="84" t="str">
        <x:v>Maya Brooks</x:v>
      </x:c>
      <x:c r="O50" s="85" t="n">
        <x:v>45319</x:v>
      </x:c>
      <x:c r="P50" s="84" t="str">
        <x:v>WEB_2024_01</x:v>
      </x:c>
      <x:c r="Q50" s="84" t="str">
        <x:v>Portable SSD</x:v>
      </x:c>
      <x:c r="R50" s="84" t="str">
        <x:v>Electronics</x:v>
      </x:c>
    </x:row>
    <x:row r="51">
      <x:c r="A51" s="84" t="str">
        <x:v>ORD-2024-01755</x:v>
      </x:c>
      <x:c r="B51" s="85" t="n">
        <x:v>45315</x:v>
      </x:c>
      <x:c r="C51" s="84" t="str">
        <x:v>CUST-0279</x:v>
      </x:c>
      <x:c r="D51" s="84" t="str">
        <x:v>Priya Johnson </x:v>
      </x:c>
      <x:c r="E51" s="84" t="str">
        <x:v>Consumer</x:v>
      </x:c>
      <x:c r="F51" s="84" t="str">
        <x:v>West</x:v>
      </x:c>
      <x:c r="G51" s="84" t="str">
        <x:v>Seattle</x:v>
      </x:c>
      <x:c r="H51" s="84" t="str">
        <x:v>Online</x:v>
      </x:c>
      <x:c r="I51" s="84" t="str">
        <x:v>ELEC-002</x:v>
      </x:c>
      <x:c r="J51" s="86" t="n">
        <x:v>1</x:v>
      </x:c>
      <x:c r="K51" s="87" t="n">
        <x:v>0.1</x:v>
      </x:c>
      <x:c r="L51" s="84" t="str">
        <x:v>Completed</x:v>
      </x:c>
      <x:c r="M51" s="84" t="str">
        <x:v>Credit Card </x:v>
      </x:c>
      <x:c r="N51" s="84" t="str">
        <x:v>Nora Kim</x:v>
      </x:c>
      <x:c r="O51" s="85" t="n">
        <x:v>45318</x:v>
      </x:c>
      <x:c r="P51" s="84" t="str">
        <x:v>WEB_2024_01</x:v>
      </x:c>
      <x:c r="Q51" s="84" t="str">
        <x:v> SMARTWATCH </x:v>
      </x:c>
      <x:c r="R51" s="84" t="str">
        <x:v>Electronics</x:v>
      </x:c>
    </x:row>
    <x:row r="52">
      <x:c r="A52" s="84" t="str">
        <x:v>ORD-2024-00294</x:v>
      </x:c>
      <x:c r="B52" s="85" t="n">
        <x:v>45316</x:v>
      </x:c>
      <x:c r="C52" s="84" t="str">
        <x:v>CUST-0399</x:v>
      </x:c>
      <x:c r="D52" s="84" t="str">
        <x:v>Aiden Foster</x:v>
      </x:c>
      <x:c r="E52" s="84" t="str">
        <x:v>Consumer </x:v>
      </x:c>
      <x:c r="F52" s="84" t="str">
        <x:v>midwest</x:v>
      </x:c>
      <x:c r="G52" s="84" t="str">
        <x:v>Detroit </x:v>
      </x:c>
      <x:c r="H52" s="84" t="str">
        <x:v>Retail Store</x:v>
      </x:c>
      <x:c r="I52" s="84" t="str">
        <x:v>FITN-001</x:v>
      </x:c>
      <x:c r="J52" s="86" t="n">
        <x:v>1</x:v>
      </x:c>
      <x:c r="K52" s="87" t="n">
        <x:v>0.05</x:v>
      </x:c>
      <x:c r="L52" s="84" t="str">
        <x:v> COMPLETED </x:v>
      </x:c>
      <x:c r="M52" s="84" t="str">
        <x:v>Cash</x:v>
      </x:c>
      <x:c r="N52" s="84" t="str">
        <x:v>Emma Hayes</x:v>
      </x:c>
      <x:c r="O52" s="85" t="n">
        <x:v>45316</x:v>
      </x:c>
      <x:c r="P52" s="84" t="str">
        <x:v>POS_2024_01</x:v>
      </x:c>
      <x:c r="Q52" s="84" t="str">
        <x:v>Yoga Mat</x:v>
      </x:c>
      <x:c r="R52" s="84" t="str">
        <x:v>Fitness</x:v>
      </x:c>
    </x:row>
    <x:row r="53">
      <x:c r="A53" s="84" t="str">
        <x:v>ORD-2024-01081</x:v>
      </x:c>
      <x:c r="B53" s="85" t="n">
        <x:v>45316</x:v>
      </x:c>
      <x:c r="C53" s="84" t="str">
        <x:v>CUST-0224</x:v>
      </x:c>
      <x:c r="D53" s="84" t="str">
        <x:v>Jonah Nelson</x:v>
      </x:c>
      <x:c r="E53" s="84" t="str">
        <x:v>Consumer</x:v>
      </x:c>
      <x:c r="F53" s="84" t="str">
        <x:v>Southeast</x:v>
      </x:c>
      <x:c r="G53" s="84" t="str">
        <x:v> MIAMI </x:v>
      </x:c>
      <x:c r="H53" s="84" t="str">
        <x:v>Retail Store </x:v>
      </x:c>
      <x:c r="I53" s="84" t="str">
        <x:v>CARE-001</x:v>
      </x:c>
      <x:c r="J53" s="86" t="n">
        <x:v>1</x:v>
      </x:c>
      <x:c r="K53" s="87" t="n">
        <x:v>0.1</x:v>
      </x:c>
      <x:c r="L53" s="84" t="str">
        <x:v>Completed</x:v>
      </x:c>
      <x:c r="M53" s="84" t="str">
        <x:v>Cash</x:v>
      </x:c>
      <x:c r="N53" s="84" t="str">
        <x:v>Ava Mitchell</x:v>
      </x:c>
      <x:c r="O53" s="85" t="n">
        <x:v>45316</x:v>
      </x:c>
      <x:c r="P53" s="84" t="str">
        <x:v>POS_2024_01</x:v>
      </x:c>
      <x:c r="Q53" s="84" t="str">
        <x:v>Ionic Hair Dryer</x:v>
      </x:c>
      <x:c r="R53" s="84" t="str">
        <x:v>personal care</x:v>
      </x:c>
    </x:row>
    <x:row r="54">
      <x:c r="A54" s="84" t="str">
        <x:v>ORD-2024-00175</x:v>
      </x:c>
      <x:c r="B54" s="85" t="n">
        <x:v>45317</x:v>
      </x:c>
      <x:c r="C54" s="84" t="str">
        <x:v>CUST-0514</x:v>
      </x:c>
      <x:c r="D54" s="84" t="str">
        <x:v>Caleb Young</x:v>
      </x:c>
      <x:c r="E54" s="84" t="str">
        <x:v>Consumer </x:v>
      </x:c>
      <x:c r="F54" s="84" t="str">
        <x:v>Northeast</x:v>
      </x:c>
      <x:c r="G54" s="84" t="str">
        <x:v>Boston </x:v>
      </x:c>
      <x:c r="H54" s="84" t="str">
        <x:v>Online</x:v>
      </x:c>
      <x:c r="I54" s="84" t="str">
        <x:v>ELEC-002</x:v>
      </x:c>
      <x:c r="J54" s="86" t="n">
        <x:v>1</x:v>
      </x:c>
      <x:c r="K54" s="87" t="n">
        <x:v>0.05</x:v>
      </x:c>
      <x:c r="L54" s="84" t="str">
        <x:v> COMPLETED </x:v>
      </x:c>
      <x:c r="M54" s="84" t="str">
        <x:v>debit card</x:v>
      </x:c>
      <x:c r="N54" s="84" t="str">
        <x:v>Maya Brooks</x:v>
      </x:c>
      <x:c r="O54" s="85" t="n">
        <x:v>45320</x:v>
      </x:c>
      <x:c r="P54" s="84" t="str">
        <x:v>WEB_2024_01</x:v>
      </x:c>
      <x:c r="Q54" s="84" t="str">
        <x:v>Smartwatch</x:v>
      </x:c>
      <x:c r="R54" s="84" t="str">
        <x:v>Electronics</x:v>
      </x:c>
    </x:row>
    <x:row r="55">
      <x:c r="A55" s="84" t="str">
        <x:v>ORD-2024-00752</x:v>
      </x:c>
      <x:c r="B55" s="85" t="n">
        <x:v>45317</x:v>
      </x:c>
      <x:c r="C55" s="84" t="str">
        <x:v>CUST-0002</x:v>
      </x:c>
      <x:c r="D55" s="84" t="str">
        <x:v>Isaac Ortiz</x:v>
      </x:c>
      <x:c r="E55" s="84" t="str">
        <x:v>Corporate</x:v>
      </x:c>
      <x:c r="F55" s="84" t="str">
        <x:v>Northeast</x:v>
      </x:c>
      <x:c r="G55" s="84" t="str">
        <x:v>new york</x:v>
      </x:c>
      <x:c r="H55" s="84" t="str">
        <x:v>Online </x:v>
      </x:c>
      <x:c r="I55" s="84" t="str">
        <x:v>ELEC-002</x:v>
      </x:c>
      <x:c r="J55" s="86" t="n">
        <x:v>1</x:v>
      </x:c>
      <x:c r="K55" s="87" t="n">
        <x:v>0</x:v>
      </x:c>
      <x:c r="L55" s="84" t="str">
        <x:v>completed</x:v>
      </x:c>
      <x:c r="M55" s="84" t="str">
        <x:v>Credit Card</x:v>
      </x:c>
      <x:c r="N55" s="84" t="str">
        <x:v>Sofia Bennett</x:v>
      </x:c>
      <x:c r="O55" s="85" t="n">
        <x:v>45321</x:v>
      </x:c>
      <x:c r="P55" s="84" t="str">
        <x:v>WEB_2024_01</x:v>
      </x:c>
      <x:c r="Q55" s="84" t="str">
        <x:v> SMARTWATCH </x:v>
      </x:c>
      <x:c r="R55" s="84" t="str">
        <x:v>Electronics</x:v>
      </x:c>
    </x:row>
    <x:row r="56">
      <x:c r="A56" s="84" t="str">
        <x:v>ORD-2024-00942</x:v>
      </x:c>
      <x:c r="B56" s="85" t="n">
        <x:v>45317</x:v>
      </x:c>
      <x:c r="C56" s="84" t="str">
        <x:v>CUST-0074</x:v>
      </x:c>
      <x:c r="D56" s="84" t="str">
        <x:v>grace taylor</x:v>
      </x:c>
      <x:c r="E56" s="84" t="str">
        <x:v>Consumer</x:v>
      </x:c>
      <x:c r="F56" s="84" t="str">
        <x:v>West </x:v>
      </x:c>
      <x:c r="G56" s="84" t="str">
        <x:v>Seattle</x:v>
      </x:c>
      <x:c r="H56" s="84" t="str">
        <x:v>Online</x:v>
      </x:c>
      <x:c r="I56" s="84" t="str">
        <x:v>FITN-002</x:v>
      </x:c>
      <x:c r="J56" s="86" t="n">
        <x:v>3</x:v>
      </x:c>
      <x:c r="K56" s="87" t="n">
        <x:v>0.05</x:v>
      </x:c>
      <x:c r="L56" s="84" t="str">
        <x:v>Completed</x:v>
      </x:c>
      <x:c r="M56" s="84" t="str">
        <x:v>Mobile Wallet</x:v>
      </x:c>
      <x:c r="N56" s="84" t="str">
        <x:v>Nora Kim </x:v>
      </x:c>
      <x:c r="O56" s="85" t="n">
        <x:v>45322</x:v>
      </x:c>
      <x:c r="P56" s="84" t="str">
        <x:v>WEB_2024_01</x:v>
      </x:c>
      <x:c r="Q56" s="84" t="str">
        <x:v>Adjustable Dumbbell Set</x:v>
      </x:c>
      <x:c r="R56" s="84" t="str">
        <x:v>Fitness</x:v>
      </x:c>
    </x:row>
    <x:row r="57">
      <x:c r="A57" s="84" t="str">
        <x:v>ORD-2024-02001</x:v>
      </x:c>
      <x:c r="B57" s="85" t="n">
        <x:v>45317</x:v>
      </x:c>
      <x:c r="C57" s="84" t="str">
        <x:v>CUST-0384</x:v>
      </x:c>
      <x:c r="D57" s="84" t="str">
        <x:v>Priya Smith</x:v>
      </x:c>
      <x:c r="E57" s="84" t="str">
        <x:v>Corporate</x:v>
      </x:c>
      <x:c r="F57" s="84" t="str">
        <x:v>Northeast</x:v>
      </x:c>
      <x:c r="G57" s="84" t="str">
        <x:v>New York</x:v>
      </x:c>
      <x:c r="H57" s="84" t="str">
        <x:v>Marketplace</x:v>
      </x:c>
      <x:c r="I57" s="84" t="str">
        <x:v>OFFC-002</x:v>
      </x:c>
      <x:c r="J57" s="86" t="n">
        <x:v>3</x:v>
      </x:c>
      <x:c r="K57" s="87" t="n">
        <x:v>0.15</x:v>
      </x:c>
      <x:c r="L57" s="84" t="str">
        <x:v>Completed </x:v>
      </x:c>
      <x:c r="M57" s="84" t="str">
        <x:v>paypal</x:v>
      </x:c>
      <x:c r="N57" s="84" t="str">
        <x:v>Maya Brooks</x:v>
      </x:c>
      <x:c r="O57" s="85" t="n">
        <x:v>45321</x:v>
      </x:c>
      <x:c r="P57" s="84" t="str">
        <x:v>MKT_2024_01</x:v>
      </x:c>
      <x:c r="Q57" s="84" t="str">
        <x:v>Standing Desk</x:v>
      </x:c>
      <x:c r="R57" s="84" t="str">
        <x:v>Office</x:v>
      </x:c>
    </x:row>
    <x:row r="58">
      <x:c r="A58" s="84" t="str">
        <x:v>ORD-2024-00036</x:v>
      </x:c>
      <x:c r="B58" s="85" t="n">
        <x:v>45318</x:v>
      </x:c>
      <x:c r="C58" s="84" t="str">
        <x:v>CUST-0516</x:v>
      </x:c>
      <x:c r="D58" s="84" t="str">
        <x:v>Jasmine Ortiz</x:v>
      </x:c>
      <x:c r="E58" s="84" t="str">
        <x:v>Small Business</x:v>
      </x:c>
      <x:c r="F58" s="84" t="str">
        <x:v>Southeast</x:v>
      </x:c>
      <x:c r="G58" s="84" t="str">
        <x:v>Charlotte</x:v>
      </x:c>
      <x:c r="H58" s="84" t="str">
        <x:v>Retail Store</x:v>
      </x:c>
      <x:c r="I58" s="84" t="str">
        <x:v>ACCS-001</x:v>
      </x:c>
      <x:c r="J58" s="86" t="n">
        <x:v>1</x:v>
      </x:c>
      <x:c r="K58" s="87" t="n">
        <x:v>0.1</x:v>
      </x:c>
      <x:c r="L58" s="84" t="str">
        <x:v>Completed</x:v>
      </x:c>
      <x:c r="M58" s="84" t="str">
        <x:v>Cash</x:v>
      </x:c>
      <x:c r="N58" s="84" t="str">
        <x:v>Noah Reed</x:v>
      </x:c>
      <x:c r="O58" s="85" t="n">
        <x:v>45318</x:v>
      </x:c>
      <x:c r="P58" s="84" t="str">
        <x:v>POS_2024_01</x:v>
      </x:c>
      <x:c r="Q58" s="84" t="str">
        <x:v>Canvas Tote Bag </x:v>
      </x:c>
      <x:c r="R58" s="84" t="str">
        <x:v>accessories</x:v>
      </x:c>
    </x:row>
    <x:row r="59">
      <x:c r="A59" s="84" t="str">
        <x:v>ORD-2024-00218</x:v>
      </x:c>
      <x:c r="B59" s="85" t="n">
        <x:v>45318</x:v>
      </x:c>
      <x:c r="C59" s="84" t="str">
        <x:v>CUST-0636</x:v>
      </x:c>
      <x:c r="D59" s="84" t="str">
        <x:v> NINA BAKER </x:v>
      </x:c>
      <x:c r="E59" s="84" t="str">
        <x:v>Small Business</x:v>
      </x:c>
      <x:c r="F59" s="84" t="str">
        <x:v> MIDWEST </x:v>
      </x:c>
      <x:c r="G59" s="84" t="str">
        <x:v>Chicago</x:v>
      </x:c>
      <x:c r="H59" s="84" t="str">
        <x:v>Retail Store</x:v>
      </x:c>
      <x:c r="I59" s="84" t="str">
        <x:v>HOME-004</x:v>
      </x:c>
      <x:c r="J59" s="86" t="n">
        <x:v>1</x:v>
      </x:c>
      <x:c r="K59" s="87" t="n">
        <x:v>0</x:v>
      </x:c>
      <x:c r="L59" s="84" t="str">
        <x:v>Completed</x:v>
      </x:c>
      <x:c r="M59" s="84" t="str">
        <x:v>Debit Card</x:v>
      </x:c>
      <x:c r="N59" s="84" t="str">
        <x:v>Zoe Turner</x:v>
      </x:c>
      <x:c r="O59" s="85" t="n">
        <x:v>45318</x:v>
      </x:c>
      <x:c r="P59" s="84" t="str">
        <x:v>POS_2024_01</x:v>
      </x:c>
      <x:c r="Q59" s="84" t="str">
        <x:v>coffee maker</x:v>
      </x:c>
      <x:c r="R59" s="84" t="str">
        <x:v>Home &amp; Kitchen</x:v>
      </x:c>
    </x:row>
    <x:row r="60">
      <x:c r="A60" s="84" t="str">
        <x:v>ORD-2024-01697</x:v>
      </x:c>
      <x:c r="B60" s="85" t="n">
        <x:v>45318</x:v>
      </x:c>
      <x:c r="C60" s="84" t="str">
        <x:v>CUST-0247</x:v>
      </x:c>
      <x:c r="D60" s="84" t="str">
        <x:v> MAYA YOUNG </x:v>
      </x:c>
      <x:c r="E60" s="84" t="str">
        <x:v>Consumer</x:v>
      </x:c>
      <x:c r="F60" s="84" t="str">
        <x:v> SOUTHEAST </x:v>
      </x:c>
      <x:c r="G60" s="84" t="str">
        <x:v>Nashville</x:v>
      </x:c>
      <x:c r="H60" s="84" t="str">
        <x:v>Retail Store </x:v>
      </x:c>
      <x:c r="I60" s="84" t="str">
        <x:v>CARE-005</x:v>
      </x:c>
      <x:c r="J60" s="86" t="n">
        <x:v>1</x:v>
      </x:c>
      <x:c r="K60" s="87" t="n">
        <x:v>0.05</x:v>
      </x:c>
      <x:c r="L60" s="84" t="str">
        <x:v>Completed</x:v>
      </x:c>
      <x:c r="M60" s="84" t="str">
        <x:v>Debit Card</x:v>
      </x:c>
      <x:c r="N60" s="84" t="str">
        <x:v>Liam Parker</x:v>
      </x:c>
      <x:c r="O60" s="85" t="n">
        <x:v>45318</x:v>
      </x:c>
      <x:c r="P60" s="84" t="str">
        <x:v>POS_2024_01</x:v>
      </x:c>
      <x:c r="Q60" s="84" t="str">
        <x:v>Skin Care Starter Kit</x:v>
      </x:c>
      <x:c r="R60" s="84" t="str">
        <x:v>personal care</x:v>
      </x:c>
    </x:row>
    <x:row r="61">
      <x:c r="A61" s="84" t="str">
        <x:v>ORD-2024-01809</x:v>
      </x:c>
      <x:c r="B61" s="85" t="n">
        <x:v>45318</x:v>
      </x:c>
      <x:c r="C61" s="84" t="str">
        <x:v>CUST-0502</x:v>
      </x:c>
      <x:c r="D61" s="84" t="str">
        <x:v>Owen Lewis</x:v>
      </x:c>
      <x:c r="E61" s="84" t="str">
        <x:v>Consumer</x:v>
      </x:c>
      <x:c r="F61" s="84" t="str">
        <x:v>Midwest</x:v>
      </x:c>
      <x:c r="G61" s="84" t="str">
        <x:v>Detroit</x:v>
      </x:c>
      <x:c r="H61" s="84" t="str">
        <x:v>Online </x:v>
      </x:c>
      <x:c r="I61" s="84" t="str">
        <x:v>ELEC-003</x:v>
      </x:c>
      <x:c r="J61" s="86" t="n">
        <x:v>1</x:v>
      </x:c>
      <x:c r="K61" s="87" t="n">
        <x:v>0</x:v>
      </x:c>
      <x:c r="L61" s="84" t="str">
        <x:v>Completed</x:v>
      </x:c>
      <x:c r="M61" s="84" t="str">
        <x:v>Credit Card</x:v>
      </x:c>
      <x:c r="N61" s="84" t="str">
        <x:v>Zoe Turner</x:v>
      </x:c>
      <x:c r="O61" s="85" t="n">
        <x:v>45321</x:v>
      </x:c>
      <x:c r="P61" s="84" t="str">
        <x:v>WEB_2024_01</x:v>
      </x:c>
      <x:c r="Q61" s="84" t="str">
        <x:v>Bluetooth Speaker</x:v>
      </x:c>
      <x:c r="R61" s="84" t="str">
        <x:v>Electronics</x:v>
      </x:c>
    </x:row>
    <x:row r="62">
      <x:c r="A62" s="84" t="str">
        <x:v>ORD-2024-01541</x:v>
      </x:c>
      <x:c r="B62" s="85" t="n">
        <x:v>45319</x:v>
      </x:c>
      <x:c r="C62" s="84" t="str">
        <x:v>CUST-0493</x:v>
      </x:c>
      <x:c r="D62" s="84" t="str">
        <x:v>Nina Evans</x:v>
      </x:c>
      <x:c r="E62" s="84" t="str">
        <x:v>Corporate</x:v>
      </x:c>
      <x:c r="F62" s="84" t="str">
        <x:v>West</x:v>
      </x:c>
      <x:c r="G62" s="84" t="str">
        <x:v>Denver</x:v>
      </x:c>
      <x:c r="H62" s="84" t="str">
        <x:v>Retail Store</x:v>
      </x:c>
      <x:c r="I62" s="84" t="str">
        <x:v>FITN-003</x:v>
      </x:c>
      <x:c r="J62" s="86" t="n">
        <x:v>3</x:v>
      </x:c>
      <x:c r="K62" s="87" t="n">
        <x:v>0</x:v>
      </x:c>
      <x:c r="L62" s="84" t="str">
        <x:v>Completed</x:v>
      </x:c>
      <x:c r="M62" s="84" t="str">
        <x:v> CASH </x:v>
      </x:c>
      <x:c r="N62" s="84" t="str">
        <x:v>Leo Martinez</x:v>
      </x:c>
      <x:c r="O62" s="85" t="n">
        <x:v>45319</x:v>
      </x:c>
      <x:c r="P62" s="84" t="str">
        <x:v>POS_2024_01</x:v>
      </x:c>
      <x:c r="Q62" s="84" t="str">
        <x:v>Resistance Band Set </x:v>
      </x:c>
      <x:c r="R62" s="84" t="str">
        <x:v>Fitness</x:v>
      </x:c>
    </x:row>
    <x:row r="63">
      <x:c r="A63" s="84" t="str">
        <x:v>ORD-2024-01882</x:v>
      </x:c>
      <x:c r="B63" s="85" t="n">
        <x:v>45319</x:v>
      </x:c>
      <x:c r="C63" s="84" t="str">
        <x:v>CUST-0623</x:v>
      </x:c>
      <x:c r="D63" s="84" t="str">
        <x:v>Theo Roberts</x:v>
      </x:c>
      <x:c r="E63" s="84" t="str">
        <x:v>Small Business</x:v>
      </x:c>
      <x:c r="F63" s="84" t="str">
        <x:v>Midwest</x:v>
      </x:c>
      <x:c r="G63" s="84" t="str">
        <x:v>Detroit</x:v>
      </x:c>
      <x:c r="H63" s="84" t="str">
        <x:v>Retail Store</x:v>
      </x:c>
      <x:c r="I63" s="84" t="str">
        <x:v>ACCS-001</x:v>
      </x:c>
      <x:c r="J63" s="86" t="n">
        <x:v>1</x:v>
      </x:c>
      <x:c r="K63" s="87" t="n">
        <x:v>0.1</x:v>
      </x:c>
      <x:c r="L63" s="84" t="str">
        <x:v>Completed </x:v>
      </x:c>
      <x:c r="M63" s="84" t="str">
        <x:v>Mobile Wallet</x:v>
      </x:c>
      <x:c r="N63" s="84" t="str">
        <x:v>Lucas Grant</x:v>
      </x:c>
      <x:c r="O63" s="85" t="n">
        <x:v>45319</x:v>
      </x:c>
      <x:c r="P63" s="84" t="str">
        <x:v>POS_2024_01</x:v>
      </x:c>
      <x:c r="Q63" s="84" t="str">
        <x:v>Canvas Tote Bag</x:v>
      </x:c>
      <x:c r="R63" s="84" t="str">
        <x:v>Accessories</x:v>
      </x:c>
    </x:row>
    <x:row r="64">
      <x:c r="A64" s="84" t="str">
        <x:v>ORD-2024-02123</x:v>
      </x:c>
      <x:c r="B64" s="85" t="n">
        <x:v>45319</x:v>
      </x:c>
      <x:c r="C64" s="84" t="str">
        <x:v>CUST-0288</x:v>
      </x:c>
      <x:c r="D64" s="84" t="str">
        <x:v>Owen Quinn</x:v>
      </x:c>
      <x:c r="E64" s="84" t="str">
        <x:v>small business</x:v>
      </x:c>
      <x:c r="F64" s="84" t="str">
        <x:v>West</x:v>
      </x:c>
      <x:c r="G64" s="84" t="str">
        <x:v>Seattle</x:v>
      </x:c>
      <x:c r="H64" s="84" t="str">
        <x:v>retail store</x:v>
      </x:c>
      <x:c r="I64" s="84" t="str">
        <x:v>FITN-001</x:v>
      </x:c>
      <x:c r="J64" s="86" t="n">
        <x:v>1</x:v>
      </x:c>
      <x:c r="K64" s="87" t="n">
        <x:v>0</x:v>
      </x:c>
      <x:c r="L64" s="84" t="str">
        <x:v>Completed</x:v>
      </x:c>
      <x:c r="M64" s="84" t="str">
        <x:v>Debit Card</x:v>
      </x:c>
      <x:c r="N64" s="84" t="str">
        <x:v>Leo Martinez</x:v>
      </x:c>
      <x:c r="O64" s="85" t="n">
        <x:v>45319</x:v>
      </x:c>
      <x:c r="P64" s="84" t="str">
        <x:v>POS_2024_01</x:v>
      </x:c>
      <x:c r="Q64" s="84" t="str">
        <x:v>Yoga Mat</x:v>
      </x:c>
      <x:c r="R64" s="84" t="str">
        <x:v> FITNESS </x:v>
      </x:c>
    </x:row>
    <x:row r="65">
      <x:c r="A65" s="84" t="str">
        <x:v>ORD-2024-02068</x:v>
      </x:c>
      <x:c r="B65" s="85" t="n">
        <x:v>45320</x:v>
      </x:c>
      <x:c r="C65" s="84" t="str">
        <x:v>CUST-0166</x:v>
      </x:c>
      <x:c r="D65" s="84" t="str">
        <x:v>Marcus Young</x:v>
      </x:c>
      <x:c r="E65" s="84" t="str">
        <x:v>consumer</x:v>
      </x:c>
      <x:c r="F65" s="84" t="str">
        <x:v>West</x:v>
      </x:c>
      <x:c r="G65" s="84" t="str">
        <x:v>Phoenix</x:v>
      </x:c>
      <x:c r="H65" s="84" t="str">
        <x:v>retail store</x:v>
      </x:c>
      <x:c r="I65" s="84" t="str">
        <x:v>ELEC-004</x:v>
      </x:c>
      <x:c r="J65" s="86" t="n">
        <x:v>3</x:v>
      </x:c>
      <x:c r="K65" s="87" t="n">
        <x:v>0.15</x:v>
      </x:c>
      <x:c r="L65" s="84" t="str">
        <x:v>Completed</x:v>
      </x:c>
      <x:c r="M65" s="84" t="str">
        <x:v> MOBILE WALLET </x:v>
      </x:c>
      <x:c r="N65" s="84" t="str">
        <x:v>Leo Martinez</x:v>
      </x:c>
      <x:c r="O65" s="85" t="n">
        <x:v>45320</x:v>
      </x:c>
      <x:c r="P65" s="84" t="str">
        <x:v>POS_2024_01</x:v>
      </x:c>
      <x:c r="Q65" s="84" t="str">
        <x:v>Power Bank</x:v>
      </x:c>
      <x:c r="R65" s="84" t="str">
        <x:v>Electronics</x:v>
      </x:c>
    </x:row>
    <x:row r="66">
      <x:c r="A66" s="84" t="str">
        <x:v>ORD-2024-00399</x:v>
      </x:c>
      <x:c r="B66" s="85" t="n">
        <x:v>45323</x:v>
      </x:c>
      <x:c r="C66" s="84" t="str">
        <x:v>CUST-0297</x:v>
      </x:c>
      <x:c r="D66" s="84" t="str">
        <x:v>Nathan Davis</x:v>
      </x:c>
      <x:c r="E66" s="84" t="str">
        <x:v>Consumer </x:v>
      </x:c>
      <x:c r="F66" s="84" t="str">
        <x:v>Midwest</x:v>
      </x:c>
      <x:c r="G66" s="84" t="str">
        <x:v>Minneapolis </x:v>
      </x:c>
      <x:c r="H66" s="84" t="str">
        <x:v>Online</x:v>
      </x:c>
      <x:c r="I66" s="84" t="str">
        <x:v>ELEC-005</x:v>
      </x:c>
      <x:c r="J66" s="86" t="n">
        <x:v>1</x:v>
      </x:c>
      <x:c r="K66" s="87" t="n">
        <x:v>0.1</x:v>
      </x:c>
      <x:c r="L66" s="84" t="str">
        <x:v>Completed</x:v>
      </x:c>
      <x:c r="M66" s="84" t="str">
        <x:v>Debit Card</x:v>
      </x:c>
      <x:c r="N66" s="84" t="str">
        <x:v>Lucas Grant</x:v>
      </x:c>
      <x:c r="O66" s="85" t="n">
        <x:v>45329</x:v>
      </x:c>
      <x:c r="P66" s="84" t="str">
        <x:v>WEB_2024_02</x:v>
      </x:c>
      <x:c r="Q66" s="84" t="str">
        <x:v>HD Webcam</x:v>
      </x:c>
      <x:c r="R66" s="84" t="str">
        <x:v>electronics</x:v>
      </x:c>
    </x:row>
    <x:row r="67">
      <x:c r="A67" s="84" t="str">
        <x:v>ORD-2024-00817</x:v>
      </x:c>
      <x:c r="B67" s="85" t="n">
        <x:v>45323</x:v>
      </x:c>
      <x:c r="C67" s="84" t="str">
        <x:v>CUST-0405</x:v>
      </x:c>
      <x:c r="D67" s="84" t="str">
        <x:v>Daniel Irwin </x:v>
      </x:c>
      <x:c r="E67" s="84" t="str">
        <x:v>Corporate</x:v>
      </x:c>
      <x:c r="F67" s="84" t="str">
        <x:v>West</x:v>
      </x:c>
      <x:c r="G67" s="84" t="str">
        <x:v>Seattle</x:v>
      </x:c>
      <x:c r="H67" s="84" t="str">
        <x:v>Online</x:v>
      </x:c>
      <x:c r="I67" s="84" t="str">
        <x:v>CARE-001</x:v>
      </x:c>
      <x:c r="J67" s="86" t="n">
        <x:v>5</x:v>
      </x:c>
      <x:c r="K67" s="87" t="n">
        <x:v>0.1</x:v>
      </x:c>
      <x:c r="L67" s="84" t="str">
        <x:v>Completed</x:v>
      </x:c>
      <x:c r="M67" s="84" t="str">
        <x:v>PayPal </x:v>
      </x:c>
      <x:c r="N67" s="84" t="str">
        <x:v>Leo Martinez</x:v>
      </x:c>
      <x:c r="O67" s="85" t="n">
        <x:v>45326</x:v>
      </x:c>
      <x:c r="P67" s="84" t="str">
        <x:v>WEB_2024_02</x:v>
      </x:c>
      <x:c r="Q67" s="84" t="str">
        <x:v>Ionic Hair Dryer</x:v>
      </x:c>
      <x:c r="R67" s="84" t="str">
        <x:v>personal care</x:v>
      </x:c>
    </x:row>
    <x:row r="68">
      <x:c r="A68" s="84" t="str">
        <x:v>ORD-2024-01288</x:v>
      </x:c>
      <x:c r="B68" s="85" t="n">
        <x:v>45323</x:v>
      </x:c>
      <x:c r="C68" s="84" t="str">
        <x:v>CUST-0296</x:v>
      </x:c>
      <x:c r="D68" s="84" t="str">
        <x:v>Sara Irwin</x:v>
      </x:c>
      <x:c r="E68" s="84" t="str">
        <x:v>Corporate </x:v>
      </x:c>
      <x:c r="F68" s="84" t="str">
        <x:v>Midwest</x:v>
      </x:c>
      <x:c r="G68" s="84" t="str">
        <x:v>Columbus </x:v>
      </x:c>
      <x:c r="H68" s="84" t="str">
        <x:v>Online</x:v>
      </x:c>
      <x:c r="I68" s="84" t="str">
        <x:v>CARE-006</x:v>
      </x:c>
      <x:c r="J68" s="86" t="n">
        <x:v>2</x:v>
      </x:c>
      <x:c r="K68" s="87" t="n">
        <x:v>0</x:v>
      </x:c>
      <x:c r="L68" s="84" t="str">
        <x:v>Completed</x:v>
      </x:c>
      <x:c r="M68" s="84" t="str">
        <x:v>PayPal</x:v>
      </x:c>
      <x:c r="N68" s="84" t="str">
        <x:v>Zoe Turner</x:v>
      </x:c>
      <x:c r="O68" s="85" t="n">
        <x:v>45327</x:v>
      </x:c>
      <x:c r="P68" s="84" t="str">
        <x:v>WEB_2024_02</x:v>
      </x:c>
      <x:c r="Q68" s="84" t="str">
        <x:v>Percussion Massage Gun</x:v>
      </x:c>
      <x:c r="R68" s="84" t="str">
        <x:v>Personal Care</x:v>
      </x:c>
    </x:row>
    <x:row r="69">
      <x:c r="A69" s="84" t="str">
        <x:v>ORD-2024-01783</x:v>
      </x:c>
      <x:c r="B69" s="85" t="n">
        <x:v>45323</x:v>
      </x:c>
      <x:c r="C69" s="84" t="str">
        <x:v>CUST-0322</x:v>
      </x:c>
      <x:c r="D69" s="84" t="str">
        <x:v>Jasmine Khan </x:v>
      </x:c>
      <x:c r="E69" s="84" t="str">
        <x:v>Corporate</x:v>
      </x:c>
      <x:c r="F69" s="84" t="str">
        <x:v>Southeast</x:v>
      </x:c>
      <x:c r="G69" s="84" t="str">
        <x:v>Atlanta</x:v>
      </x:c>
      <x:c r="H69" s="84" t="str">
        <x:v>Retail Store</x:v>
      </x:c>
      <x:c r="I69" s="84" t="str">
        <x:v>ELEC-006</x:v>
      </x:c>
      <x:c r="J69" s="86" t="n">
        <x:v>2</x:v>
      </x:c>
      <x:c r="K69" s="87" t="n">
        <x:v>0</x:v>
      </x:c>
      <x:c r="L69" s="84" t="str">
        <x:v>Returned</x:v>
      </x:c>
      <x:c r="M69" s="84" t="str">
        <x:v>Debit Card </x:v>
      </x:c>
      <x:c r="N69" s="84" t="str">
        <x:v>Ava Mitchell</x:v>
      </x:c>
      <x:c r="O69" s="85" t="n">
        <x:v>45323</x:v>
      </x:c>
      <x:c r="P69" s="84" t="str">
        <x:v>POS_2024_02</x:v>
      </x:c>
      <x:c r="Q69" s="84" t="str">
        <x:v>Portable SSD</x:v>
      </x:c>
      <x:c r="R69" s="84" t="str">
        <x:v> ELECTRONICS </x:v>
      </x:c>
    </x:row>
    <x:row r="70">
      <x:c r="A70" s="84" t="str">
        <x:v>ORD-2024-00188</x:v>
      </x:c>
      <x:c r="B70" s="85" t="n">
        <x:v>45324</x:v>
      </x:c>
      <x:c r="C70" s="84" t="str">
        <x:v>CUST-0251</x:v>
      </x:c>
      <x:c r="D70" s="84" t="str">
        <x:v>Isaac Patel</x:v>
      </x:c>
      <x:c r="E70" s="84" t="str">
        <x:v>Small Business</x:v>
      </x:c>
      <x:c r="F70" s="84" t="str">
        <x:v>Southeast</x:v>
      </x:c>
      <x:c r="G70" s="84" t="str">
        <x:v>Atlanta</x:v>
      </x:c>
      <x:c r="H70" s="84" t="str">
        <x:v>Online</x:v>
      </x:c>
      <x:c r="I70" s="84" t="str">
        <x:v>ACCS-002</x:v>
      </x:c>
      <x:c r="J70" s="86" t="n">
        <x:v>2</x:v>
      </x:c>
      <x:c r="K70" s="87" t="n">
        <x:v>0.15</x:v>
      </x:c>
      <x:c r="L70" s="84" t="str">
        <x:v>Completed </x:v>
      </x:c>
      <x:c r="M70" s="84" t="str">
        <x:v>Mobile Wallet</x:v>
      </x:c>
      <x:c r="N70" s="84" t="str">
        <x:v>Ava Mitchell</x:v>
      </x:c>
      <x:c r="O70" s="85" t="n">
        <x:v>45330</x:v>
      </x:c>
      <x:c r="P70" s="84" t="str">
        <x:v>WEB_2024_02</x:v>
      </x:c>
      <x:c r="Q70" s="84" t="str">
        <x:v>Travel Backpack</x:v>
      </x:c>
      <x:c r="R70" s="84" t="str">
        <x:v>Accessories</x:v>
      </x:c>
    </x:row>
    <x:row r="71">
      <x:c r="A71" s="84" t="str">
        <x:v>ORD-2024-01537</x:v>
      </x:c>
      <x:c r="B71" s="85" t="n">
        <x:v>45324</x:v>
      </x:c>
      <x:c r="C71" s="84" t="str">
        <x:v>CUST-0411</x:v>
      </x:c>
      <x:c r="D71" s="84" t="str">
        <x:v>Daniel Young</x:v>
      </x:c>
      <x:c r="E71" s="84" t="str">
        <x:v>Corporate</x:v>
      </x:c>
      <x:c r="F71" s="84" t="str">
        <x:v>west</x:v>
      </x:c>
      <x:c r="G71" s="84" t="str">
        <x:v>Denver</x:v>
      </x:c>
      <x:c r="H71" s="84" t="str">
        <x:v>Retail Store</x:v>
      </x:c>
      <x:c r="I71" s="84" t="str">
        <x:v>ELEC-003</x:v>
      </x:c>
      <x:c r="J71" s="86" t="n">
        <x:v>1</x:v>
      </x:c>
      <x:c r="K71" s="87" t="n">
        <x:v>0.1</x:v>
      </x:c>
      <x:c r="L71" s="84" t="str">
        <x:v>Completed</x:v>
      </x:c>
      <x:c r="M71" s="84" t="str">
        <x:v>Mobile Wallet</x:v>
      </x:c>
      <x:c r="N71" s="84" t="str">
        <x:v>Leo Martinez </x:v>
      </x:c>
      <x:c r="O71" s="85" t="n">
        <x:v>45324</x:v>
      </x:c>
      <x:c r="P71" s="84" t="str">
        <x:v>POS_2024_02</x:v>
      </x:c>
      <x:c r="Q71" s="84" t="str">
        <x:v>Bluetooth Speaker</x:v>
      </x:c>
      <x:c r="R71" s="84" t="str">
        <x:v>Electronics</x:v>
      </x:c>
    </x:row>
    <x:row r="72">
      <x:c r="A72" s="84" t="str">
        <x:v>ORD-2024-01876</x:v>
      </x:c>
      <x:c r="B72" s="85" t="n">
        <x:v>45324</x:v>
      </x:c>
      <x:c r="C72" s="84" t="str">
        <x:v>CUST-0511</x:v>
      </x:c>
      <x:c r="D72" s="84" t="str">
        <x:v>Marcus Walker</x:v>
      </x:c>
      <x:c r="E72" s="84" t="str">
        <x:v>Corporate </x:v>
      </x:c>
      <x:c r="F72" s="84" t="str">
        <x:v>Northeast</x:v>
      </x:c>
      <x:c r="G72" s="84" t="str">
        <x:v>Newark </x:v>
      </x:c>
      <x:c r="H72" s="84" t="str">
        <x:v> RETAIL STORE </x:v>
      </x:c>
      <x:c r="I72" s="84" t="str">
        <x:v>ELEC-005</x:v>
      </x:c>
      <x:c r="J72" s="86" t="n">
        <x:v>4</x:v>
      </x:c>
      <x:c r="K72" s="87" t="n">
        <x:v>0.1</x:v>
      </x:c>
      <x:c r="L72" s="84" t="str">
        <x:v>Completed</x:v>
      </x:c>
      <x:c r="M72" s="84" t="str">
        <x:v>Debit Card</x:v>
      </x:c>
      <x:c r="N72" s="84" t="str">
        <x:v>Ethan Cole</x:v>
      </x:c>
      <x:c r="O72" s="85" t="n">
        <x:v>45324</x:v>
      </x:c>
      <x:c r="P72" s="84" t="str">
        <x:v>POS_2024_02</x:v>
      </x:c>
      <x:c r="Q72" s="84" t="str">
        <x:v>HD Webcam</x:v>
      </x:c>
      <x:c r="R72" s="84" t="str">
        <x:v>Electronics</x:v>
      </x:c>
    </x:row>
    <x:row r="73">
      <x:c r="A73" s="84" t="str">
        <x:v>ORD-2024-02373</x:v>
      </x:c>
      <x:c r="B73" s="85" t="n">
        <x:v>45324</x:v>
      </x:c>
      <x:c r="C73" s="84" t="str">
        <x:v>CUST-0632</x:v>
      </x:c>
      <x:c r="D73" s="84" t="str">
        <x:v>Caleb Adams</x:v>
      </x:c>
      <x:c r="E73" s="84" t="str">
        <x:v>Consumer </x:v>
      </x:c>
      <x:c r="F73" s="84" t="str">
        <x:v>west</x:v>
      </x:c>
      <x:c r="G73" s="84" t="str">
        <x:v> PHOENIX </x:v>
      </x:c>
      <x:c r="H73" s="84" t="str">
        <x:v>Retail Store</x:v>
      </x:c>
      <x:c r="I73" s="84" t="str">
        <x:v>CARE-005</x:v>
      </x:c>
      <x:c r="J73" s="86" t="n">
        <x:v>4</x:v>
      </x:c>
      <x:c r="K73" s="87" t="n">
        <x:v>0</x:v>
      </x:c>
      <x:c r="L73" s="84" t="str">
        <x:v>Completed</x:v>
      </x:c>
      <x:c r="M73" s="84" t="str">
        <x:v>Debit Card</x:v>
      </x:c>
      <x:c r="N73" s="84" t="str">
        <x:v>Mia Chen</x:v>
      </x:c>
      <x:c r="O73" s="85" t="n">
        <x:v>45324</x:v>
      </x:c>
      <x:c r="P73" s="84" t="str">
        <x:v>POS_2024_02</x:v>
      </x:c>
      <x:c r="Q73" s="84" t="str">
        <x:v>Skin Care Starter Kit</x:v>
      </x:c>
      <x:c r="R73" s="84" t="str">
        <x:v>Personal Care</x:v>
      </x:c>
    </x:row>
    <x:row r="74">
      <x:c r="A74" s="84" t="str">
        <x:v>ORD-2024-01059</x:v>
      </x:c>
      <x:c r="B74" s="85" t="n">
        <x:v>45325</x:v>
      </x:c>
      <x:c r="C74" s="84" t="str">
        <x:v>CUST-0247</x:v>
      </x:c>
      <x:c r="D74" s="84" t="str">
        <x:v>Maya Young</x:v>
      </x:c>
      <x:c r="E74" s="84" t="str">
        <x:v>Consumer</x:v>
      </x:c>
      <x:c r="F74" s="84" t="str">
        <x:v>Southeast</x:v>
      </x:c>
      <x:c r="G74" s="84" t="str">
        <x:v>Nashville</x:v>
      </x:c>
      <x:c r="H74" s="84" t="str">
        <x:v>Online</x:v>
      </x:c>
      <x:c r="I74" s="84" t="str">
        <x:v>ELEC-004</x:v>
      </x:c>
      <x:c r="J74" s="86" t="n">
        <x:v>1</x:v>
      </x:c>
      <x:c r="K74" s="87" t="n">
        <x:v>0</x:v>
      </x:c>
      <x:c r="L74" s="84" t="str">
        <x:v> COMPLETED </x:v>
      </x:c>
      <x:c r="M74" s="84" t="str">
        <x:v>Debit Card</x:v>
      </x:c>
      <x:c r="N74" s="84" t="str">
        <x:v>Ava Mitchell</x:v>
      </x:c>
      <x:c r="O74" s="85" t="n">
        <x:v>45328</x:v>
      </x:c>
      <x:c r="P74" s="84" t="str">
        <x:v>WEB_2024_02</x:v>
      </x:c>
      <x:c r="Q74" s="84" t="str">
        <x:v>Power Bank</x:v>
      </x:c>
      <x:c r="R74" s="84" t="str">
        <x:v>electronics</x:v>
      </x:c>
    </x:row>
    <x:row r="75">
      <x:c r="A75" s="84" t="str">
        <x:v>ORD-2024-01065</x:v>
      </x:c>
      <x:c r="B75" s="85" t="n">
        <x:v>45325</x:v>
      </x:c>
      <x:c r="C75" s="84" t="str">
        <x:v>CUST-0296</x:v>
      </x:c>
      <x:c r="D75" s="84" t="str">
        <x:v>Sara Irwin</x:v>
      </x:c>
      <x:c r="E75" s="84" t="str">
        <x:v>Corporate</x:v>
      </x:c>
      <x:c r="F75" s="84" t="str">
        <x:v>Midwest</x:v>
      </x:c>
      <x:c r="G75" s="84" t="str">
        <x:v>Columbus</x:v>
      </x:c>
      <x:c r="H75" s="84" t="str">
        <x:v>Retail Store</x:v>
      </x:c>
      <x:c r="I75" s="84" t="str">
        <x:v>HOME-004</x:v>
      </x:c>
      <x:c r="J75" s="86" t="n">
        <x:v>6</x:v>
      </x:c>
      <x:c r="K75" s="87" t="n">
        <x:v>0.1</x:v>
      </x:c>
      <x:c r="L75" s="84" t="str">
        <x:v>Completed</x:v>
      </x:c>
      <x:c r="M75" s="84" t="str">
        <x:v> DEBIT CARD </x:v>
      </x:c>
      <x:c r="N75" s="84" t="str">
        <x:v>Lucas Grant</x:v>
      </x:c>
      <x:c r="O75" s="85" t="n">
        <x:v>45325</x:v>
      </x:c>
      <x:c r="P75" s="84" t="str">
        <x:v>POS_2024_02</x:v>
      </x:c>
      <x:c r="Q75" s="84" t="str">
        <x:v>coffee maker</x:v>
      </x:c>
      <x:c r="R75" s="84" t="str">
        <x:v>Home &amp; Kitchen</x:v>
      </x:c>
    </x:row>
    <x:row r="76">
      <x:c r="A76" s="84" t="str">
        <x:v>ORD-2024-01096</x:v>
      </x:c>
      <x:c r="B76" s="85" t="n">
        <x:v>45325</x:v>
      </x:c>
      <x:c r="C76" s="84" t="str">
        <x:v>CUST-0108</x:v>
      </x:c>
      <x:c r="D76" s="84" t="str">
        <x:v>nina ortiz</x:v>
      </x:c>
      <x:c r="E76" s="84" t="str">
        <x:v>Small Business</x:v>
      </x:c>
      <x:c r="F76" s="84" t="str">
        <x:v>West </x:v>
      </x:c>
      <x:c r="G76" s="84" t="str">
        <x:v>Phoenix</x:v>
      </x:c>
      <x:c r="H76" s="84" t="str">
        <x:v>Marketplace</x:v>
      </x:c>
      <x:c r="I76" s="84" t="str">
        <x:v>HOME-004</x:v>
      </x:c>
      <x:c r="J76" s="86" t="n">
        <x:v>1</x:v>
      </x:c>
      <x:c r="K76" s="87" t="n">
        <x:v>0.1</x:v>
      </x:c>
      <x:c r="L76" s="84" t="str">
        <x:v>Returned</x:v>
      </x:c>
      <x:c r="M76" s="84" t="str">
        <x:v>Debit Card</x:v>
      </x:c>
      <x:c r="N76" s="84" t="str">
        <x:v>Nora Kim </x:v>
      </x:c>
      <x:c r="O76" s="85" t="n">
        <x:v>45330</x:v>
      </x:c>
      <x:c r="P76" s="84" t="str">
        <x:v>MKT_2024_02</x:v>
      </x:c>
      <x:c r="Q76" s="84" t="str">
        <x:v>Coffee Maker</x:v>
      </x:c>
      <x:c r="R76" s="84" t="str">
        <x:v>Home &amp; Kitchen</x:v>
      </x:c>
    </x:row>
    <x:row r="77">
      <x:c r="A77" s="84" t="str">
        <x:v>ORD-2024-01532</x:v>
      </x:c>
      <x:c r="B77" s="85" t="n">
        <x:v>45325</x:v>
      </x:c>
      <x:c r="C77" s="84" t="str">
        <x:v>CUST-0323</x:v>
      </x:c>
      <x:c r="D77" s="84" t="str">
        <x:v>Zara Evans</x:v>
      </x:c>
      <x:c r="E77" s="84" t="str">
        <x:v>Small Business</x:v>
      </x:c>
      <x:c r="F77" s="84" t="str">
        <x:v>Midwest</x:v>
      </x:c>
      <x:c r="G77" s="84" t="str">
        <x:v>Minneapolis</x:v>
      </x:c>
      <x:c r="H77" s="84" t="str">
        <x:v>Online</x:v>
      </x:c>
      <x:c r="I77" s="84" t="str">
        <x:v>CARE-001</x:v>
      </x:c>
      <x:c r="J77" s="86" t="n">
        <x:v>2</x:v>
      </x:c>
      <x:c r="K77" s="87" t="n">
        <x:v>0.15</x:v>
      </x:c>
      <x:c r="L77" s="84" t="str">
        <x:v>Completed </x:v>
      </x:c>
      <x:c r="M77" s="84" t="str">
        <x:v>Debit Card</x:v>
      </x:c>
      <x:c r="N77" s="84" t="str">
        <x:v>Lucas Grant</x:v>
      </x:c>
      <x:c r="O77" s="85" t="n">
        <x:v>45327</x:v>
      </x:c>
      <x:c r="P77" s="84" t="str">
        <x:v>WEB_2024_02</x:v>
      </x:c>
      <x:c r="Q77" s="84" t="str">
        <x:v>Ionic Hair Dryer</x:v>
      </x:c>
      <x:c r="R77" s="84" t="str">
        <x:v>personal care</x:v>
      </x:c>
    </x:row>
    <x:row r="78">
      <x:c r="A78" s="84" t="str">
        <x:v>ORD-2024-01847</x:v>
      </x:c>
      <x:c r="B78" s="85" t="n">
        <x:v>45325</x:v>
      </x:c>
      <x:c r="C78" s="84" t="str">
        <x:v>CUST-0099</x:v>
      </x:c>
      <x:c r="D78" s="84" t="str">
        <x:v>Maya Adams</x:v>
      </x:c>
      <x:c r="E78" s="84" t="str">
        <x:v>Consumer</x:v>
      </x:c>
      <x:c r="F78" s="84" t="str">
        <x:v>Southeast</x:v>
      </x:c>
      <x:c r="G78" s="84" t="str">
        <x:v>Miami</x:v>
      </x:c>
      <x:c r="H78" s="84" t="str">
        <x:v>Online</x:v>
      </x:c>
      <x:c r="I78" s="84" t="str">
        <x:v>HOME-001</x:v>
      </x:c>
      <x:c r="J78" s="86" t="n">
        <x:v>2</x:v>
      </x:c>
      <x:c r="K78" s="87" t="n">
        <x:v>0</x:v>
      </x:c>
      <x:c r="L78" s="84" t="str">
        <x:v>Completed </x:v>
      </x:c>
      <x:c r="M78" s="84" t="str">
        <x:v> CREDIT CARD </x:v>
      </x:c>
      <x:c r="N78" s="84" t="str">
        <x:v>Liam Parker</x:v>
      </x:c>
      <x:c r="O78" s="85" t="n">
        <x:v>45329</x:v>
      </x:c>
      <x:c r="P78" s="84" t="str">
        <x:v>WEB_2024_02</x:v>
      </x:c>
      <x:c r="Q78" s="84" t="str">
        <x:v>Air Fryer</x:v>
      </x:c>
      <x:c r="R78" s="84" t="str">
        <x:v>Home &amp; Kitchen</x:v>
      </x:c>
    </x:row>
    <x:row r="79">
      <x:c r="A79" s="84" t="str">
        <x:v>ORD-2024-00771</x:v>
      </x:c>
      <x:c r="B79" s="85" t="n">
        <x:v>45326</x:v>
      </x:c>
      <x:c r="C79" s="84" t="str">
        <x:v>CUST-0305</x:v>
      </x:c>
      <x:c r="D79" s="84" t="str">
        <x:v>Theo Young</x:v>
      </x:c>
      <x:c r="E79" s="84" t="str">
        <x:v>Consumer</x:v>
      </x:c>
      <x:c r="F79" s="84" t="str">
        <x:v>Midwest</x:v>
      </x:c>
      <x:c r="G79" s="84" t="str">
        <x:v>Minneapolis</x:v>
      </x:c>
      <x:c r="H79" s="84" t="str">
        <x:v> ONLINE </x:v>
      </x:c>
      <x:c r="I79" s="84" t="str">
        <x:v>FITN-005</x:v>
      </x:c>
      <x:c r="J79" s="86" t="n">
        <x:v>1</x:v>
      </x:c>
      <x:c r="K79" s="87" t="n">
        <x:v>0.05</x:v>
      </x:c>
      <x:c r="L79" s="84" t="str">
        <x:v>Completed</x:v>
      </x:c>
      <x:c r="M79" s="84" t="str">
        <x:v>Credit Card</x:v>
      </x:c>
      <x:c r="N79" s="84" t="str">
        <x:v>Zoe Turner</x:v>
      </x:c>
      <x:c r="O79" s="85" t="n">
        <x:v>45330</x:v>
      </x:c>
      <x:c r="P79" s="84" t="str">
        <x:v>WEB_2024_02</x:v>
      </x:c>
      <x:c r="Q79" s="84" t="str">
        <x:v>Sports Water Bottle </x:v>
      </x:c>
      <x:c r="R79" s="84" t="str">
        <x:v>Fitness</x:v>
      </x:c>
    </x:row>
    <x:row r="80">
      <x:c r="A80" s="84" t="str">
        <x:v>ORD-2024-01323</x:v>
      </x:c>
      <x:c r="B80" s="85" t="n">
        <x:v>45326</x:v>
      </x:c>
      <x:c r="C80" s="84" t="str">
        <x:v>CUST-0632</x:v>
      </x:c>
      <x:c r="D80" s="84" t="str">
        <x:v> CALEB ADAMS </x:v>
      </x:c>
      <x:c r="E80" s="84" t="str">
        <x:v>Consumer </x:v>
      </x:c>
      <x:c r="F80" s="84" t="str">
        <x:v> WEST </x:v>
      </x:c>
      <x:c r="G80" s="84" t="str">
        <x:v>Phoenix </x:v>
      </x:c>
      <x:c r="H80" s="84" t="str">
        <x:v>Marketplace</x:v>
      </x:c>
      <x:c r="I80" s="84" t="str">
        <x:v>ELEC-005</x:v>
      </x:c>
      <x:c r="J80" s="86" t="n">
        <x:v>1</x:v>
      </x:c>
      <x:c r="K80" s="87" t="n">
        <x:v>0.15</x:v>
      </x:c>
      <x:c r="L80" s="84" t="str">
        <x:v>Completed</x:v>
      </x:c>
      <x:c r="M80" s="84" t="str">
        <x:v>Credit Card</x:v>
      </x:c>
      <x:c r="N80" s="84" t="str">
        <x:v>Nora Kim</x:v>
      </x:c>
      <x:c r="O80" s="85" t="n">
        <x:v>45331</x:v>
      </x:c>
      <x:c r="P80" s="84" t="str">
        <x:v>MKT_2024_02</x:v>
      </x:c>
      <x:c r="Q80" s="84" t="str">
        <x:v>HD Webcam</x:v>
      </x:c>
      <x:c r="R80" s="84" t="str">
        <x:v>electronics</x:v>
      </x:c>
    </x:row>
    <x:row r="81">
      <x:c r="A81" s="84" t="str">
        <x:v>ORD-2024-01491</x:v>
      </x:c>
      <x:c r="B81" s="85" t="n">
        <x:v>45326</x:v>
      </x:c>
      <x:c r="C81" s="84" t="str">
        <x:v>CUST-0446</x:v>
      </x:c>
      <x:c r="D81" s="84" t="str">
        <x:v>Nathan Davis</x:v>
      </x:c>
      <x:c r="E81" s="84" t="str">
        <x:v>Consumer </x:v>
      </x:c>
      <x:c r="F81" s="84" t="str">
        <x:v>Southeast</x:v>
      </x:c>
      <x:c r="G81" s="84" t="str">
        <x:v>Nashville </x:v>
      </x:c>
      <x:c r="H81" s="84" t="str">
        <x:v>Marketplace</x:v>
      </x:c>
      <x:c r="I81" s="84" t="str">
        <x:v>ELEC-003</x:v>
      </x:c>
      <x:c r="J81" s="86" t="n">
        <x:v>2</x:v>
      </x:c>
      <x:c r="K81" s="87" t="n">
        <x:v>0.05</x:v>
      </x:c>
      <x:c r="L81" s="84" t="str">
        <x:v>Completed</x:v>
      </x:c>
      <x:c r="M81" s="84" t="str">
        <x:v>Mobile Wallet</x:v>
      </x:c>
      <x:c r="N81" s="84" t="str">
        <x:v>Ava Mitchell</x:v>
      </x:c>
      <x:c r="O81" s="85" t="n">
        <x:v>45332</x:v>
      </x:c>
      <x:c r="P81" s="84" t="str">
        <x:v>MKT_2024_02</x:v>
      </x:c>
      <x:c r="Q81" s="84" t="str">
        <x:v>Bluetooth Speaker</x:v>
      </x:c>
      <x:c r="R81" s="84" t="str">
        <x:v>Electronics</x:v>
      </x:c>
    </x:row>
    <x:row r="82">
      <x:c r="A82" s="84" t="str">
        <x:v>ORD-2024-01821</x:v>
      </x:c>
      <x:c r="B82" s="85" t="n">
        <x:v>45326</x:v>
      </x:c>
      <x:c r="C82" s="84" t="str">
        <x:v>CUST-0448</x:v>
      </x:c>
      <x:c r="D82" s="84" t="str">
        <x:v>Priya Hall</x:v>
      </x:c>
      <x:c r="E82" s="84" t="str">
        <x:v>Corporate</x:v>
      </x:c>
      <x:c r="F82" s="84" t="str">
        <x:v>Northeast</x:v>
      </x:c>
      <x:c r="G82" s="84" t="str">
        <x:v>Philadelphia</x:v>
      </x:c>
      <x:c r="H82" s="84" t="str">
        <x:v>Online</x:v>
      </x:c>
      <x:c r="I82" s="84" t="str">
        <x:v>FITN-006</x:v>
      </x:c>
      <x:c r="J82" s="86" t="n">
        <x:v>5</x:v>
      </x:c>
      <x:c r="K82" s="87" t="n">
        <x:v>0.1</x:v>
      </x:c>
      <x:c r="L82" s="84" t="str">
        <x:v>Returned</x:v>
      </x:c>
      <x:c r="M82" s="84" t="str">
        <x:v>PayPal</x:v>
      </x:c>
      <x:c r="N82" s="84" t="str">
        <x:v>Sofia Bennett</x:v>
      </x:c>
      <x:c r="O82" s="85" t="n">
        <x:v>45329</x:v>
      </x:c>
      <x:c r="P82" s="84" t="str">
        <x:v>WEB_2024_02</x:v>
      </x:c>
      <x:c r="Q82" s="84" t="str">
        <x:v>Foam Roller </x:v>
      </x:c>
      <x:c r="R82" s="84" t="str">
        <x:v>Fitness</x:v>
      </x:c>
    </x:row>
    <x:row r="83">
      <x:c r="A83" s="84" t="str">
        <x:v>ORD-2024-01480</x:v>
      </x:c>
      <x:c r="B83" s="85" t="n">
        <x:v>45327</x:v>
      </x:c>
      <x:c r="C83" s="84" t="str">
        <x:v>CUST-0527</x:v>
      </x:c>
      <x:c r="D83" s="84" t="str">
        <x:v>Theo Hall</x:v>
      </x:c>
      <x:c r="E83" s="84" t="str">
        <x:v>Consumer</x:v>
      </x:c>
      <x:c r="F83" s="84" t="str">
        <x:v>Southeast</x:v>
      </x:c>
      <x:c r="G83" s="84" t="str">
        <x:v>Nashville</x:v>
      </x:c>
      <x:c r="H83" s="84" t="str">
        <x:v>Retail Store </x:v>
      </x:c>
      <x:c r="I83" s="84" t="str">
        <x:v>ACCS-001</x:v>
      </x:c>
      <x:c r="J83" s="86" t="n">
        <x:v>2</x:v>
      </x:c>
      <x:c r="K83" s="87" t="n">
        <x:v>0.05</x:v>
      </x:c>
      <x:c r="L83" s="84" t="str">
        <x:v>Completed</x:v>
      </x:c>
      <x:c r="M83" s="84" t="str">
        <x:v>Credit Card</x:v>
      </x:c>
      <x:c r="N83" s="84" t="str">
        <x:v>Liam Parker</x:v>
      </x:c>
      <x:c r="O83" s="85" t="n">
        <x:v>45327</x:v>
      </x:c>
      <x:c r="P83" s="84" t="str">
        <x:v>POS_2024_02</x:v>
      </x:c>
      <x:c r="Q83" s="84" t="str">
        <x:v>Canvas Tote Bag</x:v>
      </x:c>
      <x:c r="R83" s="84" t="str">
        <x:v>Accessories</x:v>
      </x:c>
    </x:row>
    <x:row r="84">
      <x:c r="A84" s="84" t="str">
        <x:v>ORD-2024-02106</x:v>
      </x:c>
      <x:c r="B84" s="85" t="n">
        <x:v>45327</x:v>
      </x:c>
      <x:c r="C84" s="84" t="str">
        <x:v>CUST-0171</x:v>
      </x:c>
      <x:c r="D84" s="84" t="str">
        <x:v>Jonah Nelson</x:v>
      </x:c>
      <x:c r="E84" s="84" t="str">
        <x:v>Small Business</x:v>
      </x:c>
      <x:c r="F84" s="84" t="str">
        <x:v>Southeast</x:v>
      </x:c>
      <x:c r="G84" s="84" t="str">
        <x:v>Atlanta</x:v>
      </x:c>
      <x:c r="H84" s="84" t="str">
        <x:v>Retail Store</x:v>
      </x:c>
      <x:c r="I84" s="84" t="str">
        <x:v>ELEC-003</x:v>
      </x:c>
      <x:c r="J84" s="86" t="n">
        <x:v>2</x:v>
      </x:c>
      <x:c r="K84" s="87" t="n">
        <x:v>0.15</x:v>
      </x:c>
      <x:c r="L84" s="84" t="str">
        <x:v>Returned </x:v>
      </x:c>
      <x:c r="M84" s="84" t="str">
        <x:v>Debit Card</x:v>
      </x:c>
      <x:c r="N84" s="84" t="str">
        <x:v>Liam Parker</x:v>
      </x:c>
      <x:c r="O84" s="85" t="n">
        <x:v>45327</x:v>
      </x:c>
      <x:c r="P84" s="84" t="str">
        <x:v>POS_2024_02</x:v>
      </x:c>
      <x:c r="Q84" s="84" t="str">
        <x:v>Bluetooth Speaker</x:v>
      </x:c>
      <x:c r="R84" s="84" t="str">
        <x:v> ELECTRONICS </x:v>
      </x:c>
    </x:row>
    <x:row r="85">
      <x:c r="A85" s="84" t="str">
        <x:v>ORD-2024-02242</x:v>
      </x:c>
      <x:c r="B85" s="85" t="n">
        <x:v>45327</x:v>
      </x:c>
      <x:c r="C85" s="84" t="str">
        <x:v>CUST-0108</x:v>
      </x:c>
      <x:c r="D85" s="84" t="str">
        <x:v>Nina Ortiz</x:v>
      </x:c>
      <x:c r="E85" s="84" t="str">
        <x:v>Small Business</x:v>
      </x:c>
      <x:c r="F85" s="84" t="str">
        <x:v>West</x:v>
      </x:c>
      <x:c r="G85" s="84" t="str">
        <x:v>Phoenix</x:v>
      </x:c>
      <x:c r="H85" s="84" t="str">
        <x:v>Online</x:v>
      </x:c>
      <x:c r="I85" s="84" t="str">
        <x:v>ACCS-001</x:v>
      </x:c>
      <x:c r="J85" s="86" t="n">
        <x:v>1</x:v>
      </x:c>
      <x:c r="K85" s="87" t="n">
        <x:v>0</x:v>
      </x:c>
      <x:c r="L85" s="84" t="str">
        <x:v>Completed</x:v>
      </x:c>
      <x:c r="M85" s="84" t="str">
        <x:v>PayPal</x:v>
      </x:c>
      <x:c r="N85" s="84" t="str">
        <x:v>Mia Chen</x:v>
      </x:c>
      <x:c r="O85" s="85" t="n">
        <x:v>45332</x:v>
      </x:c>
      <x:c r="P85" s="84" t="str">
        <x:v>WEB_2024_02</x:v>
      </x:c>
      <x:c r="Q85" s="84" t="str">
        <x:v>canvas tote bag</x:v>
      </x:c>
      <x:c r="R85" s="84" t="str">
        <x:v> ACCESSORIES </x:v>
      </x:c>
    </x:row>
    <x:row r="86">
      <x:c r="A86" s="84" t="str">
        <x:v>ORD-2024-02378</x:v>
      </x:c>
      <x:c r="B86" s="85" t="n">
        <x:v>45327</x:v>
      </x:c>
      <x:c r="C86" s="84" t="str">
        <x:v>CUST-0323</x:v>
      </x:c>
      <x:c r="D86" s="84" t="str">
        <x:v>Zara Evans </x:v>
      </x:c>
      <x:c r="E86" s="84" t="str">
        <x:v>Small Business</x:v>
      </x:c>
      <x:c r="F86" s="84" t="str">
        <x:v>Midwest</x:v>
      </x:c>
      <x:c r="G86" s="84" t="str">
        <x:v>Minneapolis</x:v>
      </x:c>
      <x:c r="H86" s="84" t="str">
        <x:v>Marketplace</x:v>
      </x:c>
      <x:c r="I86" s="84" t="str">
        <x:v>ELEC-005</x:v>
      </x:c>
      <x:c r="J86" s="86" t="n">
        <x:v>3</x:v>
      </x:c>
      <x:c r="K86" s="87" t="n">
        <x:v>0</x:v>
      </x:c>
      <x:c r="L86" s="84" t="str">
        <x:v>Completed</x:v>
      </x:c>
      <x:c r="M86" s="84" t="str">
        <x:v>Credit Card </x:v>
      </x:c>
      <x:c r="N86" s="84" t="str">
        <x:v>emma hayes</x:v>
      </x:c>
      <x:c r="O86" s="85" t="n">
        <x:v>45332</x:v>
      </x:c>
      <x:c r="P86" s="84" t="str">
        <x:v>MKT_2024_02</x:v>
      </x:c>
      <x:c r="Q86" s="84" t="str">
        <x:v>HD Webcam</x:v>
      </x:c>
      <x:c r="R86" s="84" t="str">
        <x:v> ELECTRONICS </x:v>
      </x:c>
    </x:row>
    <x:row r="87">
      <x:c r="A87" s="84" t="str">
        <x:v>ORD-2024-00300</x:v>
      </x:c>
      <x:c r="B87" s="85" t="n">
        <x:v>45329</x:v>
      </x:c>
      <x:c r="C87" s="84" t="str">
        <x:v>CUST-0532</x:v>
      </x:c>
      <x:c r="D87" s="84" t="str">
        <x:v>Elena Hall</x:v>
      </x:c>
      <x:c r="E87" s="84" t="str">
        <x:v>Small Business</x:v>
      </x:c>
      <x:c r="F87" s="84" t="str">
        <x:v>Southeast</x:v>
      </x:c>
      <x:c r="G87" s="84" t="str">
        <x:v>Charlotte</x:v>
      </x:c>
      <x:c r="H87" s="84" t="str">
        <x:v>Retail Store</x:v>
      </x:c>
      <x:c r="I87" s="84" t="str">
        <x:v>ELEC-005</x:v>
      </x:c>
      <x:c r="J87" s="86" t="n">
        <x:v>1</x:v>
      </x:c>
      <x:c r="K87" s="87" t="n">
        <x:v>0.1</x:v>
      </x:c>
      <x:c r="L87" s="84" t="str">
        <x:v>Completed </x:v>
      </x:c>
      <x:c r="M87" s="84" t="str">
        <x:v> CASH </x:v>
      </x:c>
      <x:c r="N87" s="84" t="str">
        <x:v>Liam Parker</x:v>
      </x:c>
      <x:c r="O87" s="85" t="n">
        <x:v>45330</x:v>
      </x:c>
      <x:c r="P87" s="84" t="str">
        <x:v>POS_2024_02</x:v>
      </x:c>
      <x:c r="Q87" s="84" t="str">
        <x:v>HD Webcam</x:v>
      </x:c>
      <x:c r="R87" s="84" t="str">
        <x:v>electronics</x:v>
      </x:c>
    </x:row>
    <x:row r="88">
      <x:c r="A88" s="84" t="str">
        <x:v>ORD-2024-00686</x:v>
      </x:c>
      <x:c r="B88" s="85" t="n">
        <x:v>45329</x:v>
      </x:c>
      <x:c r="C88" s="84" t="str">
        <x:v>CUST-0363</x:v>
      </x:c>
      <x:c r="D88" s="84" t="str">
        <x:v>Jasmine Baker</x:v>
      </x:c>
      <x:c r="E88" s="84" t="str">
        <x:v>Corporate </x:v>
      </x:c>
      <x:c r="F88" s="84" t="str">
        <x:v>Midwest</x:v>
      </x:c>
      <x:c r="G88" s="84" t="str">
        <x:v>minneapolis</x:v>
      </x:c>
      <x:c r="H88" s="84" t="str">
        <x:v> ONLINE </x:v>
      </x:c>
      <x:c r="I88" s="84" t="str">
        <x:v>HOME-004</x:v>
      </x:c>
      <x:c r="J88" s="86" t="n">
        <x:v>4</x:v>
      </x:c>
      <x:c r="K88" s="87" t="n">
        <x:v>0</x:v>
      </x:c>
      <x:c r="L88" s="84" t="str">
        <x:v>completed</x:v>
      </x:c>
      <x:c r="M88" s="84" t="str">
        <x:v>Credit Card</x:v>
      </x:c>
      <x:c r="N88" s="84" t="str">
        <x:v>Lucas Grant</x:v>
      </x:c>
      <x:c r="O88" s="85" t="n">
        <x:v>45334</x:v>
      </x:c>
      <x:c r="P88" s="84" t="str">
        <x:v>WEB_2024_02</x:v>
      </x:c>
      <x:c r="Q88" s="84" t="str">
        <x:v>Coffee Maker</x:v>
      </x:c>
      <x:c r="R88" s="84" t="str">
        <x:v>Home &amp; Kitchen</x:v>
      </x:c>
    </x:row>
    <x:row r="89">
      <x:c r="A89" s="84" t="str">
        <x:v>ORD-2024-00753</x:v>
      </x:c>
      <x:c r="B89" s="85" t="n">
        <x:v>45329</x:v>
      </x:c>
      <x:c r="C89" s="84" t="str">
        <x:v>CUST-0382</x:v>
      </x:c>
      <x:c r="D89" s="84" t="str">
        <x:v>Samuel Adams</x:v>
      </x:c>
      <x:c r="E89" s="84" t="str">
        <x:v>Corporate</x:v>
      </x:c>
      <x:c r="F89" s="84" t="str">
        <x:v>Northeast </x:v>
      </x:c>
      <x:c r="G89" s="84" t="str">
        <x:v>Boston</x:v>
      </x:c>
      <x:c r="H89" s="84" t="str">
        <x:v>Marketplace</x:v>
      </x:c>
      <x:c r="I89" s="84" t="str">
        <x:v>FITN-006</x:v>
      </x:c>
      <x:c r="J89" s="86" t="n">
        <x:v>3</x:v>
      </x:c>
      <x:c r="K89" s="87" t="n">
        <x:v>0</x:v>
      </x:c>
      <x:c r="L89" s="84" t="str">
        <x:v> COMPLETED </x:v>
      </x:c>
      <x:c r="M89" s="84" t="str">
        <x:v>Debit Card</x:v>
      </x:c>
      <x:c r="N89" s="84" t="str">
        <x:v>Sofia Bennett </x:v>
      </x:c>
      <x:c r="O89" s="85" t="n">
        <x:v>45337</x:v>
      </x:c>
      <x:c r="P89" s="84" t="str">
        <x:v>MKT_2024_02</x:v>
      </x:c>
      <x:c r="Q89" s="84" t="str">
        <x:v>Foam Roller</x:v>
      </x:c>
      <x:c r="R89" s="84" t="str">
        <x:v>Fitness</x:v>
      </x:c>
    </x:row>
    <x:row r="90">
      <x:c r="A90" s="84" t="str">
        <x:v>ORD-2024-01220</x:v>
      </x:c>
      <x:c r="B90" s="85" t="n">
        <x:v>45329</x:v>
      </x:c>
      <x:c r="C90" s="84" t="str">
        <x:v>CUST-0244</x:v>
      </x:c>
      <x:c r="D90" s="84" t="str">
        <x:v>Caleb Nelson</x:v>
      </x:c>
      <x:c r="E90" s="84" t="str"/>
      <x:c r="F90" s="84" t="str">
        <x:v>Midwest</x:v>
      </x:c>
      <x:c r="G90" s="84" t="str">
        <x:v>Detroit</x:v>
      </x:c>
      <x:c r="H90" s="84" t="str">
        <x:v>Retail Store</x:v>
      </x:c>
      <x:c r="I90" s="84" t="str">
        <x:v>HOME-001</x:v>
      </x:c>
      <x:c r="J90" s="86" t="n">
        <x:v>1</x:v>
      </x:c>
      <x:c r="K90" s="87" t="n">
        <x:v>0.05</x:v>
      </x:c>
      <x:c r="L90" s="84" t="str">
        <x:v>Completed</x:v>
      </x:c>
      <x:c r="M90" s="84" t="str">
        <x:v>cash</x:v>
      </x:c>
      <x:c r="N90" s="84" t="str">
        <x:v>Zoe Turner</x:v>
      </x:c>
      <x:c r="O90" s="85" t="n">
        <x:v>45329</x:v>
      </x:c>
      <x:c r="P90" s="84" t="str">
        <x:v>POS_2024_02</x:v>
      </x:c>
      <x:c r="Q90" s="84" t="str">
        <x:v>Air Fryer</x:v>
      </x:c>
      <x:c r="R90" s="84" t="str">
        <x:v>Home &amp; Kitchen </x:v>
      </x:c>
    </x:row>
    <x:row r="91">
      <x:c r="A91" s="84" t="str">
        <x:v>ORD-2024-02146</x:v>
      </x:c>
      <x:c r="B91" s="85" t="n">
        <x:v>45329</x:v>
      </x:c>
      <x:c r="C91" s="84" t="str">
        <x:v>CUST-0114</x:v>
      </x:c>
      <x:c r="D91" s="84" t="str">
        <x:v>Amelia Smith</x:v>
      </x:c>
      <x:c r="E91" s="84" t="str">
        <x:v>Corporate</x:v>
      </x:c>
      <x:c r="F91" s="84" t="str">
        <x:v>Midwest </x:v>
      </x:c>
      <x:c r="G91" s="84" t="str">
        <x:v>Minneapolis</x:v>
      </x:c>
      <x:c r="H91" s="84" t="str">
        <x:v>Marketplace</x:v>
      </x:c>
      <x:c r="I91" s="84" t="str">
        <x:v>OFFC-005</x:v>
      </x:c>
      <x:c r="J91" s="86" t="n">
        <x:v>3</x:v>
      </x:c>
      <x:c r="K91" s="87" t="n">
        <x:v>0.05</x:v>
      </x:c>
      <x:c r="L91" s="84" t="str">
        <x:v>Completed</x:v>
      </x:c>
      <x:c r="M91" s="84" t="str">
        <x:v>Credit Card</x:v>
      </x:c>
      <x:c r="N91" s="84" t="str">
        <x:v>Zoe Turner </x:v>
      </x:c>
      <x:c r="O91" s="85" t="n">
        <x:v>45335</x:v>
      </x:c>
      <x:c r="P91" s="84" t="str">
        <x:v>MKT_2024_02</x:v>
      </x:c>
      <x:c r="Q91" s="84" t="str">
        <x:v> WIRELESS KEYBOARD </x:v>
      </x:c>
      <x:c r="R91" s="84" t="str">
        <x:v>Office</x:v>
      </x:c>
    </x:row>
    <x:row r="92">
      <x:c r="A92" s="84" t="str">
        <x:v>ORD-2024-00196</x:v>
      </x:c>
      <x:c r="B92" s="85" t="n">
        <x:v>45330</x:v>
      </x:c>
      <x:c r="C92" s="84" t="str">
        <x:v>CUST-0334</x:v>
      </x:c>
      <x:c r="D92" s="84" t="str">
        <x:v>Maya Lewis</x:v>
      </x:c>
      <x:c r="E92" s="84" t="str">
        <x:v>Corporate </x:v>
      </x:c>
      <x:c r="F92" s="84" t="str">
        <x:v>Southeast</x:v>
      </x:c>
      <x:c r="G92" s="84" t="str">
        <x:v>Miami </x:v>
      </x:c>
      <x:c r="H92" s="84" t="str">
        <x:v>Marketplace</x:v>
      </x:c>
      <x:c r="I92" s="84" t="str">
        <x:v>HOME-001</x:v>
      </x:c>
      <x:c r="J92" s="86" t="n">
        <x:v>3</x:v>
      </x:c>
      <x:c r="K92" s="87" t="n">
        <x:v>0.2</x:v>
      </x:c>
      <x:c r="L92" s="84" t="str">
        <x:v>Completed</x:v>
      </x:c>
      <x:c r="M92" s="84" t="str">
        <x:v>Mobile Wallet</x:v>
      </x:c>
      <x:c r="N92" s="84" t="str">
        <x:v>Noah Reed</x:v>
      </x:c>
      <x:c r="O92" s="85" t="n">
        <x:v>45334</x:v>
      </x:c>
      <x:c r="P92" s="84" t="str">
        <x:v>MKT_2024_02</x:v>
      </x:c>
      <x:c r="Q92" s="84" t="str">
        <x:v>air fryer</x:v>
      </x:c>
      <x:c r="R92" s="84" t="str">
        <x:v>Home &amp; Kitchen</x:v>
      </x:c>
    </x:row>
    <x:row r="93">
      <x:c r="A93" s="84" t="str">
        <x:v>ORD-2024-00204</x:v>
      </x:c>
      <x:c r="B93" s="85" t="n">
        <x:v>45330</x:v>
      </x:c>
      <x:c r="C93" s="84" t="str">
        <x:v>CUST-0286</x:v>
      </x:c>
      <x:c r="D93" s="84" t="str">
        <x:v>Isaac Hall</x:v>
      </x:c>
      <x:c r="E93" s="84" t="str">
        <x:v> CONSUMER </x:v>
      </x:c>
      <x:c r="F93" s="84" t="str">
        <x:v>Midwest</x:v>
      </x:c>
      <x:c r="G93" s="84" t="str">
        <x:v>Chicago</x:v>
      </x:c>
      <x:c r="H93" s="84" t="str">
        <x:v>Retail Store</x:v>
      </x:c>
      <x:c r="I93" s="84" t="str">
        <x:v>ELEC-001</x:v>
      </x:c>
      <x:c r="J93" s="86" t="n">
        <x:v>1</x:v>
      </x:c>
      <x:c r="K93" s="87" t="n">
        <x:v>0.05</x:v>
      </x:c>
      <x:c r="L93" s="84" t="str">
        <x:v>Completed</x:v>
      </x:c>
      <x:c r="M93" s="84" t="str">
        <x:v>Debit Card</x:v>
      </x:c>
      <x:c r="N93" s="84" t="str">
        <x:v>Lucas Grant</x:v>
      </x:c>
      <x:c r="O93" s="85" t="n">
        <x:v>45330</x:v>
      </x:c>
      <x:c r="P93" s="84" t="str">
        <x:v>POS_2024_02</x:v>
      </x:c>
      <x:c r="Q93" s="84" t="str">
        <x:v>Wireless Earbuds </x:v>
      </x:c>
      <x:c r="R93" s="84" t="str">
        <x:v>Electronics</x:v>
      </x:c>
    </x:row>
    <x:row r="94">
      <x:c r="A94" s="84" t="str">
        <x:v>ORD-2024-01940</x:v>
      </x:c>
      <x:c r="B94" s="85" t="n">
        <x:v>45330</x:v>
      </x:c>
      <x:c r="C94" s="84" t="str">
        <x:v>CUST-0479</x:v>
      </x:c>
      <x:c r="D94" s="84" t="str">
        <x:v>Zara Taylor</x:v>
      </x:c>
      <x:c r="E94" s="84" t="str">
        <x:v>Consumer</x:v>
      </x:c>
      <x:c r="F94" s="84" t="str">
        <x:v>West</x:v>
      </x:c>
      <x:c r="G94" s="84" t="str">
        <x:v>phoenix</x:v>
      </x:c>
      <x:c r="H94" s="84" t="str">
        <x:v>Retail Store</x:v>
      </x:c>
      <x:c r="I94" s="84" t="str">
        <x:v>HOME-002</x:v>
      </x:c>
      <x:c r="J94" s="86" t="n">
        <x:v>1</x:v>
      </x:c>
      <x:c r="K94" s="87" t="n">
        <x:v>0</x:v>
      </x:c>
      <x:c r="L94" s="84" t="str">
        <x:v>completed</x:v>
      </x:c>
      <x:c r="M94" s="84" t="str">
        <x:v>Mobile Wallet</x:v>
      </x:c>
      <x:c r="N94" s="84" t="str">
        <x:v>Nora Kim</x:v>
      </x:c>
      <x:c r="O94" s="85" t="n">
        <x:v>45330</x:v>
      </x:c>
      <x:c r="P94" s="84" t="str">
        <x:v>POS_2024_02</x:v>
      </x:c>
      <x:c r="Q94" s="84" t="str">
        <x:v>Electric Kettle </x:v>
      </x:c>
      <x:c r="R94" s="84" t="str">
        <x:v>Home &amp; Kitchen</x:v>
      </x:c>
    </x:row>
    <x:row r="95">
      <x:c r="A95" s="84" t="str">
        <x:v>ORD-2024-00680</x:v>
      </x:c>
      <x:c r="B95" s="85" t="n">
        <x:v>45331</x:v>
      </x:c>
      <x:c r="C95" s="84" t="str">
        <x:v>CUST-0109</x:v>
      </x:c>
      <x:c r="D95" s="84" t="str">
        <x:v>Maya Evans</x:v>
      </x:c>
      <x:c r="E95" s="84" t="str">
        <x:v> CONSUMER </x:v>
      </x:c>
      <x:c r="F95" s="84" t="str">
        <x:v>West</x:v>
      </x:c>
      <x:c r="G95" s="84" t="str">
        <x:v>Seattle</x:v>
      </x:c>
      <x:c r="H95" s="84" t="str">
        <x:v>Retail Store</x:v>
      </x:c>
      <x:c r="I95" s="84" t="str">
        <x:v>ELEC-005</x:v>
      </x:c>
      <x:c r="J95" s="86" t="n">
        <x:v>2</x:v>
      </x:c>
      <x:c r="K95" s="87" t="n">
        <x:v>0.05</x:v>
      </x:c>
      <x:c r="L95" s="84" t="str">
        <x:v>Completed</x:v>
      </x:c>
      <x:c r="M95" s="84" t="str">
        <x:v>Cash</x:v>
      </x:c>
      <x:c r="N95" s="84" t="str">
        <x:v>Nora Kim</x:v>
      </x:c>
      <x:c r="O95" s="85" t="n">
        <x:v>45331</x:v>
      </x:c>
      <x:c r="P95" s="84" t="str">
        <x:v>POS_2024_02</x:v>
      </x:c>
      <x:c r="Q95" s="84" t="str">
        <x:v>hd webcam</x:v>
      </x:c>
      <x:c r="R95" s="84" t="str">
        <x:v>Electronics</x:v>
      </x:c>
    </x:row>
    <x:row r="96">
      <x:c r="A96" s="84" t="str">
        <x:v>ORD-2024-00961</x:v>
      </x:c>
      <x:c r="B96" s="85" t="n">
        <x:v>45331</x:v>
      </x:c>
      <x:c r="C96" s="84" t="str">
        <x:v>CUST-0072</x:v>
      </x:c>
      <x:c r="D96" s="84" t="str">
        <x:v>Nina Roberts</x:v>
      </x:c>
      <x:c r="E96" s="84" t="str">
        <x:v>Corporate</x:v>
      </x:c>
      <x:c r="F96" s="84" t="str">
        <x:v>Northeast</x:v>
      </x:c>
      <x:c r="G96" s="84" t="str">
        <x:v>new york</x:v>
      </x:c>
      <x:c r="H96" s="84" t="str">
        <x:v>Online</x:v>
      </x:c>
      <x:c r="I96" s="84" t="str">
        <x:v>ELEC-002</x:v>
      </x:c>
      <x:c r="J96" s="86" t="n">
        <x:v>1</x:v>
      </x:c>
      <x:c r="K96" s="87" t="n">
        <x:v>0.05</x:v>
      </x:c>
      <x:c r="L96" s="84" t="str">
        <x:v>completed</x:v>
      </x:c>
      <x:c r="M96" s="84" t="str">
        <x:v>Credit Card</x:v>
      </x:c>
      <x:c r="N96" s="84" t="str">
        <x:v>Maya Brooks</x:v>
      </x:c>
      <x:c r="O96" s="85" t="n">
        <x:v>45337</x:v>
      </x:c>
      <x:c r="P96" s="84" t="str">
        <x:v>WEB_2024_02</x:v>
      </x:c>
      <x:c r="Q96" s="84" t="str">
        <x:v>Smartwatch</x:v>
      </x:c>
      <x:c r="R96" s="84" t="str">
        <x:v>Electronics </x:v>
      </x:c>
    </x:row>
    <x:row r="97">
      <x:c r="A97" s="84" t="str">
        <x:v>ORD-2024-02179</x:v>
      </x:c>
      <x:c r="B97" s="85" t="n">
        <x:v>45331</x:v>
      </x:c>
      <x:c r="C97" s="84" t="str">
        <x:v>CUST-0440</x:v>
      </x:c>
      <x:c r="D97" s="84" t="str">
        <x:v>Chloe Roberts</x:v>
      </x:c>
      <x:c r="E97" s="84" t="str">
        <x:v>Consumer</x:v>
      </x:c>
      <x:c r="F97" s="84" t="str">
        <x:v>Midwest</x:v>
      </x:c>
      <x:c r="G97" s="84" t="str">
        <x:v>Minneapolis</x:v>
      </x:c>
      <x:c r="H97" s="84" t="str">
        <x:v>Retail Store</x:v>
      </x:c>
      <x:c r="I97" s="84" t="str">
        <x:v>ELEC-001</x:v>
      </x:c>
      <x:c r="J97" s="86" t="n">
        <x:v>1</x:v>
      </x:c>
      <x:c r="K97" s="87" t="n">
        <x:v>0.05</x:v>
      </x:c>
      <x:c r="L97" s="84" t="str">
        <x:v>Completed</x:v>
      </x:c>
      <x:c r="M97" s="84" t="str">
        <x:v>Cash</x:v>
      </x:c>
      <x:c r="N97" s="84" t="str">
        <x:v> LUCAS GRANT </x:v>
      </x:c>
      <x:c r="O97" s="85" t="n">
        <x:v>45331</x:v>
      </x:c>
      <x:c r="P97" s="84" t="str">
        <x:v>POS_2024_02</x:v>
      </x:c>
      <x:c r="Q97" s="84" t="str">
        <x:v>Wireless Earbuds</x:v>
      </x:c>
      <x:c r="R97" s="84" t="str">
        <x:v>Electronics </x:v>
      </x:c>
    </x:row>
    <x:row r="98">
      <x:c r="A98" s="84" t="str">
        <x:v>ORD-2024-01581</x:v>
      </x:c>
      <x:c r="B98" s="85" t="n">
        <x:v>45332</x:v>
      </x:c>
      <x:c r="C98" s="84" t="str">
        <x:v>CUST-0445</x:v>
      </x:c>
      <x:c r="D98" s="84" t="str">
        <x:v>Owen Khan</x:v>
      </x:c>
      <x:c r="E98" s="84" t="str">
        <x:v> CORPORATE </x:v>
      </x:c>
      <x:c r="F98" s="84" t="str">
        <x:v>southeast</x:v>
      </x:c>
      <x:c r="G98" s="84" t="str">
        <x:v>Atlanta</x:v>
      </x:c>
      <x:c r="H98" s="84" t="str">
        <x:v>Retail Store</x:v>
      </x:c>
      <x:c r="I98" s="84" t="str">
        <x:v>HOME-005</x:v>
      </x:c>
      <x:c r="J98" s="86" t="n">
        <x:v>1</x:v>
      </x:c>
      <x:c r="K98" s="87" t="n">
        <x:v>0.05</x:v>
      </x:c>
      <x:c r="L98" s="84" t="str">
        <x:v>Completed </x:v>
      </x:c>
      <x:c r="M98" s="84" t="str">
        <x:v>Debit Card</x:v>
      </x:c>
      <x:c r="N98" s="84" t="str">
        <x:v>Liam Parker</x:v>
      </x:c>
      <x:c r="O98" s="85" t="n">
        <x:v>45332</x:v>
      </x:c>
      <x:c r="P98" s="84" t="str">
        <x:v>POS_2024_02</x:v>
      </x:c>
      <x:c r="Q98" s="84" t="str">
        <x:v>Cordless Vacuum</x:v>
      </x:c>
      <x:c r="R98" s="84" t="str">
        <x:v>Home &amp; Kitchen</x:v>
      </x:c>
    </x:row>
    <x:row r="99">
      <x:c r="A99" s="84" t="str">
        <x:v>ORD-2024-01515</x:v>
      </x:c>
      <x:c r="B99" s="85" t="n">
        <x:v>45333</x:v>
      </x:c>
      <x:c r="C99" s="84" t="str">
        <x:v>CUST-0018</x:v>
      </x:c>
      <x:c r="D99" s="84" t="str">
        <x:v>Priya Nelson</x:v>
      </x:c>
      <x:c r="E99" s="84" t="str">
        <x:v>Consumer</x:v>
      </x:c>
      <x:c r="F99" s="84" t="str">
        <x:v>southeast</x:v>
      </x:c>
      <x:c r="G99" s="84" t="str">
        <x:v>Miami</x:v>
      </x:c>
      <x:c r="H99" s="84" t="str">
        <x:v>Retail Store </x:v>
      </x:c>
      <x:c r="I99" s="84" t="str">
        <x:v>HOME-001</x:v>
      </x:c>
      <x:c r="J99" s="86" t="n">
        <x:v>1</x:v>
      </x:c>
      <x:c r="K99" s="87" t="n">
        <x:v>0</x:v>
      </x:c>
      <x:c r="L99" s="84" t="str">
        <x:v>Completed</x:v>
      </x:c>
      <x:c r="M99" s="84" t="str">
        <x:v>Debit Card</x:v>
      </x:c>
      <x:c r="N99" s="84" t="str">
        <x:v>Ava Mitchell</x:v>
      </x:c>
      <x:c r="O99" s="85" t="n">
        <x:v>45334</x:v>
      </x:c>
      <x:c r="P99" s="84" t="str">
        <x:v>POS_2024_02</x:v>
      </x:c>
      <x:c r="Q99" s="84" t="str">
        <x:v>Air Fryer</x:v>
      </x:c>
      <x:c r="R99" s="84" t="str">
        <x:v>Home &amp; Kitchen</x:v>
      </x:c>
    </x:row>
    <x:row r="100">
      <x:c r="A100" s="84" t="str">
        <x:v>ORD-2024-02288</x:v>
      </x:c>
      <x:c r="B100" s="85" t="n">
        <x:v>45333</x:v>
      </x:c>
      <x:c r="C100" s="84" t="str">
        <x:v>CUST-0615</x:v>
      </x:c>
      <x:c r="D100" s="84" t="str">
        <x:v>Jonah Quinn</x:v>
      </x:c>
      <x:c r="E100" s="84" t="str">
        <x:v>consumer</x:v>
      </x:c>
      <x:c r="F100" s="84" t="str">
        <x:v>Midwest</x:v>
      </x:c>
      <x:c r="G100" s="84" t="str">
        <x:v> MINNEAPOLIS </x:v>
      </x:c>
      <x:c r="H100" s="84" t="str">
        <x:v>retail store</x:v>
      </x:c>
      <x:c r="I100" s="84" t="str">
        <x:v>HOME-005</x:v>
      </x:c>
      <x:c r="J100" s="86" t="n">
        <x:v>1</x:v>
      </x:c>
      <x:c r="K100" s="87" t="n">
        <x:v>0</x:v>
      </x:c>
      <x:c r="L100" s="84" t="str">
        <x:v>Completed </x:v>
      </x:c>
      <x:c r="M100" s="84" t="str">
        <x:v>Cash</x:v>
      </x:c>
      <x:c r="N100" s="84" t="str">
        <x:v>Zoe Turner</x:v>
      </x:c>
      <x:c r="O100" s="85" t="n">
        <x:v>45333</x:v>
      </x:c>
      <x:c r="P100" s="84" t="str">
        <x:v>POS_2024_02</x:v>
      </x:c>
      <x:c r="Q100" s="84" t="str">
        <x:v>Cordless Vacuum</x:v>
      </x:c>
      <x:c r="R100" s="84" t="str">
        <x:v>Home &amp; Kitchen</x:v>
      </x:c>
    </x:row>
    <x:row r="101">
      <x:c r="A101" s="84" t="str">
        <x:v>ORD-2024-00085</x:v>
      </x:c>
      <x:c r="B101" s="85" t="n">
        <x:v>45334</x:v>
      </x:c>
      <x:c r="C101" s="84" t="str">
        <x:v>CUST-0549</x:v>
      </x:c>
      <x:c r="D101" s="84" t="str">
        <x:v>Marcus Patel</x:v>
      </x:c>
      <x:c r="E101" s="84" t="str">
        <x:v> SMALL BUSINESS </x:v>
      </x:c>
      <x:c r="F101" s="84" t="str">
        <x:v>northeast</x:v>
      </x:c>
      <x:c r="G101" s="84" t="str">
        <x:v>Boston</x:v>
      </x:c>
      <x:c r="H101" s="84" t="str">
        <x:v>Marketplace</x:v>
      </x:c>
      <x:c r="I101" s="84" t="str">
        <x:v>OFFC-004</x:v>
      </x:c>
      <x:c r="J101" s="86" t="n">
        <x:v>2</x:v>
      </x:c>
      <x:c r="K101" s="87" t="n">
        <x:v>0.15</x:v>
      </x:c>
      <x:c r="L101" s="84" t="str">
        <x:v>Completed</x:v>
      </x:c>
      <x:c r="M101" s="84" t="str">
        <x:v>Debit Card</x:v>
      </x:c>
      <x:c r="N101" s="84" t="str">
        <x:v>Sofia Bennett</x:v>
      </x:c>
      <x:c r="O101" s="85" t="n">
        <x:v>45338</x:v>
      </x:c>
      <x:c r="P101" s="84" t="str">
        <x:v>MKT_2024_02</x:v>
      </x:c>
      <x:c r="Q101" s="84" t="str">
        <x:v>Premium Notebook Pack </x:v>
      </x:c>
      <x:c r="R101" s="84" t="str">
        <x:v>Office</x:v>
      </x:c>
    </x:row>
    <x:row r="102">
      <x:c r="A102" s="84" t="str">
        <x:v>ORD-2024-02043</x:v>
      </x:c>
      <x:c r="B102" s="85" t="n">
        <x:v>45334</x:v>
      </x:c>
      <x:c r="C102" s="84" t="str">
        <x:v>CUST-0188</x:v>
      </x:c>
      <x:c r="D102" s="84" t="str">
        <x:v>Marcus Baker</x:v>
      </x:c>
      <x:c r="E102" s="84" t="str">
        <x:v>Corporate</x:v>
      </x:c>
      <x:c r="F102" s="84" t="str">
        <x:v>southeast</x:v>
      </x:c>
      <x:c r="G102" s="84" t="str">
        <x:v>Atlanta</x:v>
      </x:c>
      <x:c r="H102" s="84" t="str">
        <x:v>Retail Store</x:v>
      </x:c>
      <x:c r="I102" s="84" t="str">
        <x:v>ELEC-005</x:v>
      </x:c>
      <x:c r="J102" s="86" t="n">
        <x:v>3</x:v>
      </x:c>
      <x:c r="K102" s="87" t="n">
        <x:v>0.05</x:v>
      </x:c>
      <x:c r="L102" s="84" t="str">
        <x:v>Completed </x:v>
      </x:c>
      <x:c r="M102" s="84" t="str">
        <x:v>Credit Card</x:v>
      </x:c>
      <x:c r="N102" s="84" t="str">
        <x:v> AVA MITCHELL </x:v>
      </x:c>
      <x:c r="O102" s="85" t="n">
        <x:v>45334</x:v>
      </x:c>
      <x:c r="P102" s="84" t="str">
        <x:v>POS_2024_02</x:v>
      </x:c>
      <x:c r="Q102" s="84" t="str">
        <x:v>HD Webcam</x:v>
      </x:c>
      <x:c r="R102" s="84" t="str">
        <x:v>Electronics</x:v>
      </x:c>
    </x:row>
    <x:row r="103">
      <x:c r="A103" s="84" t="str">
        <x:v>ORD-2024-00798</x:v>
      </x:c>
      <x:c r="B103" s="85" t="n">
        <x:v>45335</x:v>
      </x:c>
      <x:c r="C103" s="84" t="str">
        <x:v>CUST-0230</x:v>
      </x:c>
      <x:c r="D103" s="84" t="str">
        <x:v>Elias Evans</x:v>
      </x:c>
      <x:c r="E103" s="84" t="str">
        <x:v>Small Business </x:v>
      </x:c>
      <x:c r="F103" s="84" t="str">
        <x:v>Southeast</x:v>
      </x:c>
      <x:c r="G103" s="84" t="str">
        <x:v>Miami </x:v>
      </x:c>
      <x:c r="H103" s="84" t="str">
        <x:v>Marketplace</x:v>
      </x:c>
      <x:c r="I103" s="84" t="str">
        <x:v>OFFC-003</x:v>
      </x:c>
      <x:c r="J103" s="86" t="n">
        <x:v>1</x:v>
      </x:c>
      <x:c r="K103" s="87" t="n">
        <x:v>0.05</x:v>
      </x:c>
      <x:c r="L103" s="84" t="str">
        <x:v>Returned</x:v>
      </x:c>
      <x:c r="M103" s="84" t="str">
        <x:v>Mobile Wallet</x:v>
      </x:c>
      <x:c r="N103" s="84" t="str">
        <x:v>Noah Reed</x:v>
      </x:c>
      <x:c r="O103" s="85" t="n">
        <x:v>45341</x:v>
      </x:c>
      <x:c r="P103" s="84" t="str">
        <x:v>MKT_2024_02</x:v>
      </x:c>
      <x:c r="Q103" s="84" t="str">
        <x:v>LED Desk Lamp</x:v>
      </x:c>
      <x:c r="R103" s="84" t="str">
        <x:v>Office</x:v>
      </x:c>
    </x:row>
    <x:row r="104">
      <x:c r="A104" s="84" t="str">
        <x:v>ORD-2024-00904</x:v>
      </x:c>
      <x:c r="B104" s="85" t="n">
        <x:v>45336</x:v>
      </x:c>
      <x:c r="C104" s="84" t="str">
        <x:v>CUST-0218</x:v>
      </x:c>
      <x:c r="D104" s="84" t="str">
        <x:v>Grace Walker</x:v>
      </x:c>
      <x:c r="E104" s="84" t="str">
        <x:v>Consumer</x:v>
      </x:c>
      <x:c r="F104" s="84" t="str">
        <x:v>Northeast</x:v>
      </x:c>
      <x:c r="G104" s="84" t="str">
        <x:v>Philadelphia</x:v>
      </x:c>
      <x:c r="H104" s="84" t="str">
        <x:v>Marketplace</x:v>
      </x:c>
      <x:c r="I104" s="84" t="str">
        <x:v>HOME-002</x:v>
      </x:c>
      <x:c r="J104" s="86" t="n">
        <x:v>1</x:v>
      </x:c>
      <x:c r="K104" s="87" t="n">
        <x:v>0.15</x:v>
      </x:c>
      <x:c r="L104" s="84" t="str">
        <x:v>Completed</x:v>
      </x:c>
      <x:c r="M104" s="84" t="str">
        <x:v>Credit Card</x:v>
      </x:c>
      <x:c r="N104" s="84" t="str">
        <x:v> MAYA BROOKS </x:v>
      </x:c>
      <x:c r="O104" s="85" t="n">
        <x:v>45342</x:v>
      </x:c>
      <x:c r="P104" s="84" t="str">
        <x:v>MKT_2024_02</x:v>
      </x:c>
      <x:c r="Q104" s="84" t="str">
        <x:v>Electric Kettle </x:v>
      </x:c>
      <x:c r="R104" s="84" t="str">
        <x:v>Home &amp; Kitchen</x:v>
      </x:c>
    </x:row>
    <x:row r="105">
      <x:c r="A105" s="84" t="str">
        <x:v>ORD-2024-01111</x:v>
      </x:c>
      <x:c r="B105" s="85" t="n">
        <x:v>45337</x:v>
      </x:c>
      <x:c r="C105" s="84" t="str">
        <x:v>CUST-0418</x:v>
      </x:c>
      <x:c r="D105" s="84" t="str">
        <x:v>Grace Ortiz </x:v>
      </x:c>
      <x:c r="E105" s="84" t="str">
        <x:v>small business</x:v>
      </x:c>
      <x:c r="F105" s="84" t="str">
        <x:v>West</x:v>
      </x:c>
      <x:c r="G105" s="84" t="str">
        <x:v>Seattle</x:v>
      </x:c>
      <x:c r="H105" s="84" t="str">
        <x:v> ONLINE </x:v>
      </x:c>
      <x:c r="I105" s="84" t="str">
        <x:v>ACCS-001</x:v>
      </x:c>
      <x:c r="J105" s="86" t="n">
        <x:v>1</x:v>
      </x:c>
      <x:c r="K105" s="87" t="n">
        <x:v>0.1</x:v>
      </x:c>
      <x:c r="L105" s="84" t="str">
        <x:v>Completed</x:v>
      </x:c>
      <x:c r="M105" s="84" t="str">
        <x:v>Credit Card </x:v>
      </x:c>
      <x:c r="N105" s="84" t="str">
        <x:v>Nora Kim</x:v>
      </x:c>
      <x:c r="O105" s="85" t="n">
        <x:v>45340</x:v>
      </x:c>
      <x:c r="P105" s="84" t="str">
        <x:v>WEB_2024_02</x:v>
      </x:c>
      <x:c r="Q105" s="84" t="str">
        <x:v>Canvas Tote Bag</x:v>
      </x:c>
      <x:c r="R105" s="84" t="str">
        <x:v>Accessories</x:v>
      </x:c>
    </x:row>
    <x:row r="106">
      <x:c r="A106" s="84" t="str">
        <x:v>ORD-2024-00454</x:v>
      </x:c>
      <x:c r="B106" s="85" t="n">
        <x:v>45339</x:v>
      </x:c>
      <x:c r="C106" s="84" t="str">
        <x:v>CUST-0296</x:v>
      </x:c>
      <x:c r="D106" s="84" t="str">
        <x:v>Sara Irwin</x:v>
      </x:c>
      <x:c r="E106" s="84" t="str">
        <x:v>Corporate</x:v>
      </x:c>
      <x:c r="F106" s="84" t="str">
        <x:v>Midwest</x:v>
      </x:c>
      <x:c r="G106" s="84" t="str">
        <x:v>Columbus</x:v>
      </x:c>
      <x:c r="H106" s="84" t="str">
        <x:v>Marketplace</x:v>
      </x:c>
      <x:c r="I106" s="84" t="str">
        <x:v>CARE-002</x:v>
      </x:c>
      <x:c r="J106" s="86" t="n">
        <x:v>2</x:v>
      </x:c>
      <x:c r="K106" s="87" t="n">
        <x:v>0.05</x:v>
      </x:c>
      <x:c r="L106" s="84" t="str">
        <x:v>Returned </x:v>
      </x:c>
      <x:c r="M106" s="84" t="str">
        <x:v>Debit Card</x:v>
      </x:c>
      <x:c r="N106" s="84" t="str">
        <x:v>Emma Hayes</x:v>
      </x:c>
      <x:c r="O106" s="85" t="n">
        <x:v>45343</x:v>
      </x:c>
      <x:c r="P106" s="84" t="str">
        <x:v>MKT_2024_02</x:v>
      </x:c>
      <x:c r="Q106" s="84" t="str">
        <x:v>Rechargeable Trimmer</x:v>
      </x:c>
      <x:c r="R106" s="84" t="str">
        <x:v>personal care</x:v>
      </x:c>
    </x:row>
    <x:row r="107">
      <x:c r="A107" s="84" t="str">
        <x:v>ORD-2024-02398</x:v>
      </x:c>
      <x:c r="B107" s="85" t="n">
        <x:v>45339</x:v>
      </x:c>
      <x:c r="C107" s="84" t="str">
        <x:v>CUST-0231</x:v>
      </x:c>
      <x:c r="D107" s="84" t="str">
        <x:v>Elias Quinn</x:v>
      </x:c>
      <x:c r="E107" s="84" t="str">
        <x:v>consumer</x:v>
      </x:c>
      <x:c r="F107" s="84" t="str">
        <x:v>Southeast </x:v>
      </x:c>
      <x:c r="G107" s="84" t="str">
        <x:v>Nashville</x:v>
      </x:c>
      <x:c r="H107" s="84" t="str">
        <x:v>retail store</x:v>
      </x:c>
      <x:c r="I107" s="84" t="str">
        <x:v>HOME-003</x:v>
      </x:c>
      <x:c r="J107" s="86" t="n">
        <x:v>1</x:v>
      </x:c>
      <x:c r="K107" s="87" t="n">
        <x:v>0</x:v>
      </x:c>
      <x:c r="L107" s="84" t="str">
        <x:v>Completed</x:v>
      </x:c>
      <x:c r="M107" s="84" t="str">
        <x:v>Debit Card</x:v>
      </x:c>
      <x:c r="N107" s="84" t="str">
        <x:v>Noah Reed </x:v>
      </x:c>
      <x:c r="O107" s="85" t="n">
        <x:v>45339</x:v>
      </x:c>
      <x:c r="P107" s="84" t="str">
        <x:v>POS_2024_02</x:v>
      </x:c>
      <x:c r="Q107" s="84" t="str">
        <x:v>Countertop Blender</x:v>
      </x:c>
      <x:c r="R107" s="84" t="str">
        <x:v>Home &amp; Kitchen</x:v>
      </x:c>
    </x:row>
    <x:row r="108">
      <x:c r="A108" s="84" t="str">
        <x:v>ORD-2024-00510</x:v>
      </x:c>
      <x:c r="B108" s="85" t="n">
        <x:v>45340</x:v>
      </x:c>
      <x:c r="C108" s="84" t="str">
        <x:v>CUST-0447</x:v>
      </x:c>
      <x:c r="D108" s="84" t="str">
        <x:v>Elena Patel</x:v>
      </x:c>
      <x:c r="E108" s="84" t="str">
        <x:v> CORPORATE </x:v>
      </x:c>
      <x:c r="F108" s="84" t="str">
        <x:v>Midwest</x:v>
      </x:c>
      <x:c r="G108" s="84" t="str">
        <x:v>chicago</x:v>
      </x:c>
      <x:c r="H108" s="84" t="str">
        <x:v>Retail Store</x:v>
      </x:c>
      <x:c r="I108" s="84" t="str">
        <x:v>HOME-006</x:v>
      </x:c>
      <x:c r="J108" s="86" t="n">
        <x:v>1</x:v>
      </x:c>
      <x:c r="K108" s="87" t="n">
        <x:v>0</x:v>
      </x:c>
      <x:c r="L108" s="84" t="str">
        <x:v>completed</x:v>
      </x:c>
      <x:c r="M108" s="84" t="str">
        <x:v>Cash</x:v>
      </x:c>
      <x:c r="N108" s="84" t="str">
        <x:v>Zoe Turner</x:v>
      </x:c>
      <x:c r="O108" s="85" t="n">
        <x:v>45340</x:v>
      </x:c>
      <x:c r="P108" s="84" t="str">
        <x:v>POS_2024_02</x:v>
      </x:c>
      <x:c r="Q108" s="84" t="str">
        <x:v>Food Storage Set</x:v>
      </x:c>
      <x:c r="R108" s="84" t="str">
        <x:v>Home &amp; Kitchen</x:v>
      </x:c>
    </x:row>
    <x:row r="109">
      <x:c r="A109" s="84" t="str">
        <x:v>ORD-2024-00915</x:v>
      </x:c>
      <x:c r="B109" s="85" t="n">
        <x:v>45340</x:v>
      </x:c>
      <x:c r="C109" s="84" t="str">
        <x:v>CUST-0549</x:v>
      </x:c>
      <x:c r="D109" s="84" t="str">
        <x:v> MARCUS PATEL </x:v>
      </x:c>
      <x:c r="E109" s="84" t="str"/>
      <x:c r="F109" s="84" t="str">
        <x:v> NORTHEAST </x:v>
      </x:c>
      <x:c r="G109" s="84" t="str">
        <x:v>Boston</x:v>
      </x:c>
      <x:c r="H109" s="84" t="str">
        <x:v>Marketplace</x:v>
      </x:c>
      <x:c r="I109" s="84" t="str">
        <x:v>ELEC-005</x:v>
      </x:c>
      <x:c r="J109" s="86" t="n">
        <x:v>1</x:v>
      </x:c>
      <x:c r="K109" s="87" t="n">
        <x:v>0.1</x:v>
      </x:c>
      <x:c r="L109" s="84" t="str">
        <x:v>Completed</x:v>
      </x:c>
      <x:c r="M109" s="84" t="str">
        <x:v>Credit Card </x:v>
      </x:c>
      <x:c r="N109" s="84" t="str">
        <x:v>sofia bennett</x:v>
      </x:c>
      <x:c r="O109" s="85" t="n">
        <x:v>45344</x:v>
      </x:c>
      <x:c r="P109" s="84" t="str">
        <x:v>MKT_2024_02</x:v>
      </x:c>
      <x:c r="Q109" s="84" t="str">
        <x:v>HD Webcam</x:v>
      </x:c>
      <x:c r="R109" s="84" t="str">
        <x:v>Electronics</x:v>
      </x:c>
    </x:row>
    <x:row r="110">
      <x:c r="A110" s="84" t="str">
        <x:v>ORD-2024-01430</x:v>
      </x:c>
      <x:c r="B110" s="85" t="n">
        <x:v>45341</x:v>
      </x:c>
      <x:c r="C110" s="84" t="str">
        <x:v>CUST-0474</x:v>
      </x:c>
      <x:c r="D110" s="84" t="str">
        <x:v>Aiden Foster</x:v>
      </x:c>
      <x:c r="E110" s="84" t="str">
        <x:v>consumer</x:v>
      </x:c>
      <x:c r="F110" s="84" t="str">
        <x:v>Southeast</x:v>
      </x:c>
      <x:c r="G110" s="84" t="str">
        <x:v>Miami</x:v>
      </x:c>
      <x:c r="H110" s="84" t="str">
        <x:v>marketplace</x:v>
      </x:c>
      <x:c r="I110" s="84" t="str">
        <x:v>ELEC-002</x:v>
      </x:c>
      <x:c r="J110" s="86" t="n">
        <x:v>1</x:v>
      </x:c>
      <x:c r="K110" s="87" t="n">
        <x:v>0.15</x:v>
      </x:c>
      <x:c r="L110" s="84" t="str">
        <x:v>Returned</x:v>
      </x:c>
      <x:c r="M110" s="84" t="str">
        <x:v>Credit Card</x:v>
      </x:c>
      <x:c r="N110" s="84" t="str">
        <x:v>Liam Parker</x:v>
      </x:c>
      <x:c r="O110" s="85" t="n">
        <x:v>45348</x:v>
      </x:c>
      <x:c r="P110" s="84" t="str">
        <x:v>MKT_2024_02</x:v>
      </x:c>
      <x:c r="Q110" s="84" t="str">
        <x:v>Smartwatch</x:v>
      </x:c>
      <x:c r="R110" s="84" t="str">
        <x:v>Electronics </x:v>
      </x:c>
    </x:row>
    <x:row r="111">
      <x:c r="A111" s="84" t="str">
        <x:v>ORD-2024-01639</x:v>
      </x:c>
      <x:c r="B111" s="85" t="n">
        <x:v>45341</x:v>
      </x:c>
      <x:c r="C111" s="84" t="str">
        <x:v>CUST-0439</x:v>
      </x:c>
      <x:c r="D111" s="84" t="str">
        <x:v>Aiden Irwin</x:v>
      </x:c>
      <x:c r="E111" s="84" t="str">
        <x:v>consumer</x:v>
      </x:c>
      <x:c r="F111" s="84" t="str">
        <x:v>West</x:v>
      </x:c>
      <x:c r="G111" s="84" t="str">
        <x:v>Los Angeles</x:v>
      </x:c>
      <x:c r="H111" s="84" t="str">
        <x:v>retail store</x:v>
      </x:c>
      <x:c r="I111" s="84" t="str">
        <x:v>HOME-002</x:v>
      </x:c>
      <x:c r="J111" s="86" t="n">
        <x:v>3</x:v>
      </x:c>
      <x:c r="K111" s="87" t="n">
        <x:v>0.05</x:v>
      </x:c>
      <x:c r="L111" s="84" t="str">
        <x:v>Completed</x:v>
      </x:c>
      <x:c r="M111" s="84" t="str">
        <x:v>Credit Card</x:v>
      </x:c>
      <x:c r="N111" s="84" t="str">
        <x:v>Nora Kim</x:v>
      </x:c>
      <x:c r="O111" s="85" t="n">
        <x:v>45341</x:v>
      </x:c>
      <x:c r="P111" s="84" t="str">
        <x:v>POS_2024_02</x:v>
      </x:c>
      <x:c r="Q111" s="84" t="str">
        <x:v>Electric Kettle </x:v>
      </x:c>
      <x:c r="R111" s="84" t="str">
        <x:v>Home &amp; Kitchen</x:v>
      </x:c>
    </x:row>
    <x:row r="112">
      <x:c r="A112" s="84" t="str">
        <x:v>ORD-2024-01641</x:v>
      </x:c>
      <x:c r="B112" s="85" t="n">
        <x:v>45341</x:v>
      </x:c>
      <x:c r="C112" s="84" t="str">
        <x:v>CUST-0301</x:v>
      </x:c>
      <x:c r="D112" s="84" t="str">
        <x:v>Elias Smith</x:v>
      </x:c>
      <x:c r="E112" s="84" t="str">
        <x:v>Consumer</x:v>
      </x:c>
      <x:c r="F112" s="84" t="str">
        <x:v>Southeast</x:v>
      </x:c>
      <x:c r="G112" s="84" t="str">
        <x:v>Charlotte</x:v>
      </x:c>
      <x:c r="H112" s="84" t="str">
        <x:v>Marketplace </x:v>
      </x:c>
      <x:c r="I112" s="84" t="str">
        <x:v>HOME-004</x:v>
      </x:c>
      <x:c r="J112" s="86" t="n">
        <x:v>3</x:v>
      </x:c>
      <x:c r="K112" s="87" t="n">
        <x:v>0.1</x:v>
      </x:c>
      <x:c r="L112" s="84" t="str">
        <x:v>Completed</x:v>
      </x:c>
      <x:c r="M112" s="84" t="str">
        <x:v>Mobile Wallet</x:v>
      </x:c>
      <x:c r="N112" s="84" t="str">
        <x:v>ava mitchell</x:v>
      </x:c>
      <x:c r="O112" s="85" t="n">
        <x:v>45348</x:v>
      </x:c>
      <x:c r="P112" s="84" t="str">
        <x:v>MKT_2024_02</x:v>
      </x:c>
      <x:c r="Q112" s="84" t="str">
        <x:v>Coffee Maker</x:v>
      </x:c>
      <x:c r="R112" s="84" t="str">
        <x:v>Home &amp; Kitchen</x:v>
      </x:c>
    </x:row>
    <x:row r="113">
      <x:c r="A113" s="84" t="str">
        <x:v>ORD-2024-00569</x:v>
      </x:c>
      <x:c r="B113" s="85" t="n">
        <x:v>45342</x:v>
      </x:c>
      <x:c r="C113" s="84" t="str">
        <x:v>CUST-0566</x:v>
      </x:c>
      <x:c r="D113" s="84" t="str">
        <x:v>Jonah Quinn</x:v>
      </x:c>
      <x:c r="E113" s="84" t="str">
        <x:v>Small Business</x:v>
      </x:c>
      <x:c r="F113" s="84" t="str">
        <x:v>northeast</x:v>
      </x:c>
      <x:c r="G113" s="84" t="str">
        <x:v>New York</x:v>
      </x:c>
      <x:c r="H113" s="84" t="str">
        <x:v>Retail Store</x:v>
      </x:c>
      <x:c r="I113" s="84" t="str">
        <x:v>ELEC-005</x:v>
      </x:c>
      <x:c r="J113" s="86" t="n">
        <x:v>1</x:v>
      </x:c>
      <x:c r="K113" s="87" t="n">
        <x:v>0.1</x:v>
      </x:c>
      <x:c r="L113" s="84" t="str">
        <x:v>Completed</x:v>
      </x:c>
      <x:c r="M113" s="84" t="str">
        <x:v>Credit Card</x:v>
      </x:c>
      <x:c r="N113" s="84" t="str">
        <x:v>Maya Brooks</x:v>
      </x:c>
      <x:c r="O113" s="85" t="n">
        <x:v>45342</x:v>
      </x:c>
      <x:c r="P113" s="84" t="str">
        <x:v>POS_2024_02</x:v>
      </x:c>
      <x:c r="Q113" s="84" t="str">
        <x:v>HD Webcam</x:v>
      </x:c>
      <x:c r="R113" s="84" t="str">
        <x:v>Electronics </x:v>
      </x:c>
    </x:row>
    <x:row r="114">
      <x:c r="A114" s="84" t="str">
        <x:v>ORD-2024-00746</x:v>
      </x:c>
      <x:c r="B114" s="85" t="n">
        <x:v>45342</x:v>
      </x:c>
      <x:c r="C114" s="84" t="str">
        <x:v>CUST-0385</x:v>
      </x:c>
      <x:c r="D114" s="84" t="str">
        <x:v>Elias Garcia</x:v>
      </x:c>
      <x:c r="E114" s="84" t="str">
        <x:v>Corporate</x:v>
      </x:c>
      <x:c r="F114" s="84" t="str">
        <x:v>Southeast </x:v>
      </x:c>
      <x:c r="G114" s="84" t="str">
        <x:v>Atlanta</x:v>
      </x:c>
      <x:c r="H114" s="84" t="str">
        <x:v>Retail Store</x:v>
      </x:c>
      <x:c r="I114" s="84" t="str">
        <x:v>HOME-005</x:v>
      </x:c>
      <x:c r="J114" s="86" t="n">
        <x:v>2</x:v>
      </x:c>
      <x:c r="K114" s="87" t="n">
        <x:v>0.15</x:v>
      </x:c>
      <x:c r="L114" s="84" t="str">
        <x:v>Completed</x:v>
      </x:c>
      <x:c r="M114" s="84" t="str">
        <x:v>Credit Card</x:v>
      </x:c>
      <x:c r="N114" s="84" t="str">
        <x:v>Liam Parker </x:v>
      </x:c>
      <x:c r="O114" s="85" t="n">
        <x:v>45342</x:v>
      </x:c>
      <x:c r="P114" s="84" t="str">
        <x:v>POS_2024_02</x:v>
      </x:c>
      <x:c r="Q114" s="84" t="str">
        <x:v>cordless vacuum</x:v>
      </x:c>
      <x:c r="R114" s="84" t="str">
        <x:v> HOME &amp; KITCHEN </x:v>
      </x:c>
    </x:row>
    <x:row r="115">
      <x:c r="A115" s="84" t="str">
        <x:v>ORD-2024-00974</x:v>
      </x:c>
      <x:c r="B115" s="85" t="n">
        <x:v>45342</x:v>
      </x:c>
      <x:c r="C115" s="84" t="str">
        <x:v>CUST-0145</x:v>
      </x:c>
      <x:c r="D115" s="84" t="str">
        <x:v>Samuel Adams</x:v>
      </x:c>
      <x:c r="E115" s="84" t="str">
        <x:v>Consumer</x:v>
      </x:c>
      <x:c r="F115" s="84" t="str">
        <x:v>Southeast</x:v>
      </x:c>
      <x:c r="G115" s="84" t="str">
        <x:v>Nashville</x:v>
      </x:c>
      <x:c r="H115" s="84" t="str">
        <x:v>Online</x:v>
      </x:c>
      <x:c r="I115" s="84" t="str">
        <x:v>ELEC-006</x:v>
      </x:c>
      <x:c r="J115" s="86" t="n">
        <x:v>1</x:v>
      </x:c>
      <x:c r="K115" s="87" t="n">
        <x:v>0</x:v>
      </x:c>
      <x:c r="L115" s="84" t="str">
        <x:v> COMPLETED </x:v>
      </x:c>
      <x:c r="M115" s="84" t="str">
        <x:v>Debit Card</x:v>
      </x:c>
      <x:c r="N115" s="84" t="str">
        <x:v>Liam Parker</x:v>
      </x:c>
      <x:c r="O115" s="85" t="n">
        <x:v>45344</x:v>
      </x:c>
      <x:c r="P115" s="84" t="str">
        <x:v>WEB_2024_02</x:v>
      </x:c>
      <x:c r="Q115" s="84" t="str">
        <x:v>Portable SSD </x:v>
      </x:c>
      <x:c r="R115" s="84" t="str">
        <x:v>Electronics</x:v>
      </x:c>
    </x:row>
    <x:row r="116">
      <x:c r="A116" s="84" t="str">
        <x:v>ORD-2024-01278</x:v>
      </x:c>
      <x:c r="B116" s="85" t="n">
        <x:v>45342</x:v>
      </x:c>
      <x:c r="C116" s="84" t="str">
        <x:v>CUST-0497</x:v>
      </x:c>
      <x:c r="D116" s="84" t="str">
        <x:v>Theo Foster</x:v>
      </x:c>
      <x:c r="E116" s="84" t="str">
        <x:v>Consumer</x:v>
      </x:c>
      <x:c r="F116" s="84" t="str">
        <x:v>Midwest </x:v>
      </x:c>
      <x:c r="G116" s="84" t="str">
        <x:v>Chicago</x:v>
      </x:c>
      <x:c r="H116" s="84" t="str">
        <x:v>Online</x:v>
      </x:c>
      <x:c r="I116" s="84" t="str">
        <x:v>CARE-001</x:v>
      </x:c>
      <x:c r="J116" s="86" t="n">
        <x:v>2</x:v>
      </x:c>
      <x:c r="K116" s="87" t="n">
        <x:v>0.1</x:v>
      </x:c>
      <x:c r="L116" s="84" t="str">
        <x:v>Completed</x:v>
      </x:c>
      <x:c r="M116" s="84" t="str">
        <x:v>Mobile Wallet</x:v>
      </x:c>
      <x:c r="N116" s="84" t="str">
        <x:v> LUCAS GRANT </x:v>
      </x:c>
      <x:c r="O116" s="85" t="n">
        <x:v>45346</x:v>
      </x:c>
      <x:c r="P116" s="84" t="str">
        <x:v>WEB_2024_02</x:v>
      </x:c>
      <x:c r="Q116" s="84" t="str">
        <x:v>Ionic Hair Dryer</x:v>
      </x:c>
      <x:c r="R116" s="84" t="str">
        <x:v>Personal Care</x:v>
      </x:c>
    </x:row>
    <x:row r="117">
      <x:c r="A117" s="84" t="str">
        <x:v>ORD-2024-01839</x:v>
      </x:c>
      <x:c r="B117" s="85" t="n">
        <x:v>45342</x:v>
      </x:c>
      <x:c r="C117" s="84" t="str">
        <x:v>CUST-0517</x:v>
      </x:c>
      <x:c r="D117" s="84" t="str">
        <x:v>Layla Irwin </x:v>
      </x:c>
      <x:c r="E117" s="84" t="str">
        <x:v>Corporate</x:v>
      </x:c>
      <x:c r="F117" s="84" t="str">
        <x:v>Northeast</x:v>
      </x:c>
      <x:c r="G117" s="84" t="str">
        <x:v>Newark</x:v>
      </x:c>
      <x:c r="H117" s="84" t="str">
        <x:v>Online</x:v>
      </x:c>
      <x:c r="I117" s="84" t="str">
        <x:v>HOME-001</x:v>
      </x:c>
      <x:c r="J117" s="86" t="n">
        <x:v>5</x:v>
      </x:c>
      <x:c r="K117" s="87" t="n">
        <x:v>0.1</x:v>
      </x:c>
      <x:c r="L117" s="84" t="str">
        <x:v>Completed</x:v>
      </x:c>
      <x:c r="M117" s="84" t="str">
        <x:v>Debit Card </x:v>
      </x:c>
      <x:c r="N117" s="84" t="str">
        <x:v> ETHAN COLE </x:v>
      </x:c>
      <x:c r="O117" s="85" t="n">
        <x:v>45345</x:v>
      </x:c>
      <x:c r="P117" s="84" t="str">
        <x:v>WEB_2024_02</x:v>
      </x:c>
      <x:c r="Q117" s="84" t="str">
        <x:v>Air Fryer</x:v>
      </x:c>
      <x:c r="R117" s="84" t="str">
        <x:v>Home &amp; Kitchen</x:v>
      </x:c>
    </x:row>
    <x:row r="118">
      <x:c r="A118" s="84" t="str">
        <x:v>ORD-2024-02125</x:v>
      </x:c>
      <x:c r="B118" s="85" t="n">
        <x:v>45342</x:v>
      </x:c>
      <x:c r="C118" s="84" t="str">
        <x:v>CUST-0476</x:v>
      </x:c>
      <x:c r="D118" s="84" t="str">
        <x:v>Victoria Irwin</x:v>
      </x:c>
      <x:c r="E118" s="84" t="str">
        <x:v> SMALL BUSINESS </x:v>
      </x:c>
      <x:c r="F118" s="84" t="str">
        <x:v>Southeast </x:v>
      </x:c>
      <x:c r="G118" s="84" t="str">
        <x:v>Charlotte</x:v>
      </x:c>
      <x:c r="H118" s="84" t="str">
        <x:v>Online</x:v>
      </x:c>
      <x:c r="I118" s="84" t="str">
        <x:v>CARE-001</x:v>
      </x:c>
      <x:c r="J118" s="86" t="n">
        <x:v>1</x:v>
      </x:c>
      <x:c r="K118" s="87" t="n">
        <x:v>0.1</x:v>
      </x:c>
      <x:c r="L118" s="84" t="str">
        <x:v>Completed</x:v>
      </x:c>
      <x:c r="M118" s="84" t="str">
        <x:v>Credit Card</x:v>
      </x:c>
      <x:c r="N118" s="84" t="str">
        <x:v>liam parker</x:v>
      </x:c>
      <x:c r="O118" s="85" t="n">
        <x:v>45348</x:v>
      </x:c>
      <x:c r="P118" s="84" t="str">
        <x:v>WEB_2024_02</x:v>
      </x:c>
      <x:c r="Q118" s="84" t="str">
        <x:v>Ionic Hair Dryer</x:v>
      </x:c>
      <x:c r="R118" s="84" t="str">
        <x:v>Personal Care</x:v>
      </x:c>
    </x:row>
    <x:row r="119">
      <x:c r="A119" s="84" t="str">
        <x:v>ORD-2024-00377</x:v>
      </x:c>
      <x:c r="B119" s="85" t="n">
        <x:v>45344</x:v>
      </x:c>
      <x:c r="C119" s="84" t="str">
        <x:v>CUST-0126</x:v>
      </x:c>
      <x:c r="D119" s="84" t="str">
        <x:v>Sara Patel</x:v>
      </x:c>
      <x:c r="E119" s="84" t="str">
        <x:v>Consumer</x:v>
      </x:c>
      <x:c r="F119" s="84" t="str">
        <x:v>Southeast</x:v>
      </x:c>
      <x:c r="G119" s="84" t="str">
        <x:v>Nashville</x:v>
      </x:c>
      <x:c r="H119" s="84" t="str">
        <x:v>Online</x:v>
      </x:c>
      <x:c r="I119" s="84" t="str">
        <x:v>ELEC-005</x:v>
      </x:c>
      <x:c r="J119" s="86" t="n">
        <x:v>3</x:v>
      </x:c>
      <x:c r="K119" s="87" t="n">
        <x:v>0.15</x:v>
      </x:c>
      <x:c r="L119" s="84" t="str">
        <x:v>Completed </x:v>
      </x:c>
      <x:c r="M119" s="84" t="str">
        <x:v>PayPal</x:v>
      </x:c>
      <x:c r="N119" s="84" t="str">
        <x:v> NOAH REED </x:v>
      </x:c>
      <x:c r="O119" s="85" t="n">
        <x:v>45346</x:v>
      </x:c>
      <x:c r="P119" s="84" t="str">
        <x:v>WEB_2024_02</x:v>
      </x:c>
      <x:c r="Q119" s="84" t="str">
        <x:v>HD Webcam</x:v>
      </x:c>
      <x:c r="R119" s="84" t="str">
        <x:v>electronics</x:v>
      </x:c>
    </x:row>
    <x:row r="120">
      <x:c r="A120" s="84" t="str">
        <x:v>ORD-2024-00545</x:v>
      </x:c>
      <x:c r="B120" s="85" t="n">
        <x:v>45344</x:v>
      </x:c>
      <x:c r="C120" s="84" t="str">
        <x:v>CUST-0229</x:v>
      </x:c>
      <x:c r="D120" s="84" t="str">
        <x:v>Maya Evans</x:v>
      </x:c>
      <x:c r="E120" s="84" t="str">
        <x:v>Small Business</x:v>
      </x:c>
      <x:c r="F120" s="84" t="str">
        <x:v>Southeast</x:v>
      </x:c>
      <x:c r="G120" s="84" t="str">
        <x:v>Miami</x:v>
      </x:c>
      <x:c r="H120" s="84" t="str">
        <x:v>Marketplace</x:v>
      </x:c>
      <x:c r="I120" s="84" t="str">
        <x:v>FITN-005</x:v>
      </x:c>
      <x:c r="J120" s="86" t="n">
        <x:v>2</x:v>
      </x:c>
      <x:c r="K120" s="87" t="n">
        <x:v>0</x:v>
      </x:c>
      <x:c r="L120" s="84" t="str">
        <x:v>Returned </x:v>
      </x:c>
      <x:c r="M120" s="84" t="str">
        <x:v>Credit Card</x:v>
      </x:c>
      <x:c r="N120" s="84" t="str">
        <x:v>Noah Reed</x:v>
      </x:c>
      <x:c r="O120" s="85" t="n">
        <x:v>45347</x:v>
      </x:c>
      <x:c r="P120" s="84" t="str">
        <x:v>MKT_2024_02</x:v>
      </x:c>
      <x:c r="Q120" s="84" t="str">
        <x:v>Sports Water Bottle</x:v>
      </x:c>
      <x:c r="R120" s="84" t="str">
        <x:v>Fitness</x:v>
      </x:c>
    </x:row>
    <x:row r="121">
      <x:c r="A121" s="84" t="str">
        <x:v>ORD-2024-02258</x:v>
      </x:c>
      <x:c r="B121" s="85" t="n">
        <x:v>45344</x:v>
      </x:c>
      <x:c r="C121" s="84" t="str">
        <x:v>CUST-0556</x:v>
      </x:c>
      <x:c r="D121" s="84" t="str">
        <x:v> GRACE KHAN </x:v>
      </x:c>
      <x:c r="E121" s="84" t="str">
        <x:v>Corporate</x:v>
      </x:c>
      <x:c r="F121" s="84" t="str">
        <x:v> WEST </x:v>
      </x:c>
      <x:c r="G121" s="84" t="str">
        <x:v>Los Angeles</x:v>
      </x:c>
      <x:c r="H121" s="84" t="str">
        <x:v>Retail Store</x:v>
      </x:c>
      <x:c r="I121" s="84" t="str">
        <x:v>HOME-004</x:v>
      </x:c>
      <x:c r="J121" s="86" t="n">
        <x:v>8</x:v>
      </x:c>
      <x:c r="K121" s="87" t="n">
        <x:v>0.05</x:v>
      </x:c>
      <x:c r="L121" s="84" t="str">
        <x:v>Completed</x:v>
      </x:c>
      <x:c r="M121" s="84" t="str">
        <x:v>Debit Card</x:v>
      </x:c>
      <x:c r="N121" s="84" t="str">
        <x:v>Mia Chen </x:v>
      </x:c>
      <x:c r="O121" s="85" t="n">
        <x:v>45344</x:v>
      </x:c>
      <x:c r="P121" s="84" t="str">
        <x:v>POS_2024_02</x:v>
      </x:c>
      <x:c r="Q121" s="84" t="str">
        <x:v>Coffee Maker</x:v>
      </x:c>
      <x:c r="R121" s="84" t="str">
        <x:v>home &amp; kitchen</x:v>
      </x:c>
    </x:row>
    <x:row r="122">
      <x:c r="A122" s="84" t="str">
        <x:v>ORD-2024-01606</x:v>
      </x:c>
      <x:c r="B122" s="85" t="n">
        <x:v>45345</x:v>
      </x:c>
      <x:c r="C122" s="84" t="str">
        <x:v>CUST-0165</x:v>
      </x:c>
      <x:c r="D122" s="84" t="str">
        <x:v>Amelia Lewis</x:v>
      </x:c>
      <x:c r="E122" s="84" t="str">
        <x:v>consumer</x:v>
      </x:c>
      <x:c r="F122" s="84" t="str">
        <x:v>Northeast</x:v>
      </x:c>
      <x:c r="G122" s="84" t="str">
        <x:v>Philadelphia</x:v>
      </x:c>
      <x:c r="H122" s="84" t="str">
        <x:v>online</x:v>
      </x:c>
      <x:c r="I122" s="84" t="str">
        <x:v>ACCS-002</x:v>
      </x:c>
      <x:c r="J122" s="86" t="n">
        <x:v>4</x:v>
      </x:c>
      <x:c r="K122" s="87" t="n">
        <x:v>0</x:v>
      </x:c>
      <x:c r="L122" s="84" t="str">
        <x:v>Completed</x:v>
      </x:c>
      <x:c r="M122" s="84" t="str">
        <x:v>Credit Card</x:v>
      </x:c>
      <x:c r="N122" s="84" t="str">
        <x:v>Ethan Cole</x:v>
      </x:c>
      <x:c r="O122" s="85" t="n">
        <x:v>45349</x:v>
      </x:c>
      <x:c r="P122" s="84" t="str">
        <x:v>WEB_2024_02</x:v>
      </x:c>
      <x:c r="Q122" s="84" t="str">
        <x:v>Travel Backpack</x:v>
      </x:c>
      <x:c r="R122" s="84" t="str">
        <x:v>Accessories</x:v>
      </x:c>
    </x:row>
    <x:row r="123">
      <x:c r="A123" s="84" t="str">
        <x:v>ORD-2024-02375</x:v>
      </x:c>
      <x:c r="B123" s="85" t="n">
        <x:v>45345</x:v>
      </x:c>
      <x:c r="C123" s="84" t="str">
        <x:v>CUST-0570</x:v>
      </x:c>
      <x:c r="D123" s="84" t="str">
        <x:v>Daniel Patel</x:v>
      </x:c>
      <x:c r="E123" s="84" t="str">
        <x:v>Consumer</x:v>
      </x:c>
      <x:c r="F123" s="84" t="str">
        <x:v>Southeast</x:v>
      </x:c>
      <x:c r="G123" s="84" t="str">
        <x:v>Charlotte</x:v>
      </x:c>
      <x:c r="H123" s="84" t="str">
        <x:v>Retail Store</x:v>
      </x:c>
      <x:c r="I123" s="84" t="str">
        <x:v>HOME-006</x:v>
      </x:c>
      <x:c r="J123" s="86" t="n">
        <x:v>1</x:v>
      </x:c>
      <x:c r="K123" s="87" t="n">
        <x:v>0.05</x:v>
      </x:c>
      <x:c r="L123" s="84" t="str">
        <x:v>Completed</x:v>
      </x:c>
      <x:c r="M123" s="84" t="str">
        <x:v>debit card</x:v>
      </x:c>
      <x:c r="N123" s="84" t="str">
        <x:v>Ava Mitchell</x:v>
      </x:c>
      <x:c r="O123" s="85" t="n">
        <x:v>45345</x:v>
      </x:c>
      <x:c r="P123" s="84" t="str">
        <x:v>POS_2024_02</x:v>
      </x:c>
      <x:c r="Q123" s="84" t="str">
        <x:v>Food Storage Set</x:v>
      </x:c>
      <x:c r="R123" s="84" t="str">
        <x:v>Home &amp; Kitchen </x:v>
      </x:c>
    </x:row>
    <x:row r="124">
      <x:c r="A124" s="84" t="str">
        <x:v>ORD-2024-02375</x:v>
      </x:c>
      <x:c r="B124" s="85" t="n">
        <x:v>45345</x:v>
      </x:c>
      <x:c r="C124" s="84" t="str">
        <x:v>CUST-0570</x:v>
      </x:c>
      <x:c r="D124" s="84" t="str">
        <x:v>Daniel Patel</x:v>
      </x:c>
      <x:c r="E124" s="84" t="str">
        <x:v>Consumer</x:v>
      </x:c>
      <x:c r="F124" s="84" t="str">
        <x:v>Southeast</x:v>
      </x:c>
      <x:c r="G124" s="84" t="str">
        <x:v>Charlotte</x:v>
      </x:c>
      <x:c r="H124" s="84" t="str">
        <x:v>Retail Store</x:v>
      </x:c>
      <x:c r="I124" s="84" t="str">
        <x:v>HOME-006</x:v>
      </x:c>
      <x:c r="J124" s="86" t="n">
        <x:v>1</x:v>
      </x:c>
      <x:c r="K124" s="87" t="n">
        <x:v>0.05</x:v>
      </x:c>
      <x:c r="L124" s="84" t="str">
        <x:v>Completed</x:v>
      </x:c>
      <x:c r="M124" s="84" t="str">
        <x:v>debit card</x:v>
      </x:c>
      <x:c r="N124" s="84" t="str">
        <x:v>Ava Mitchell</x:v>
      </x:c>
      <x:c r="O124" s="85" t="n">
        <x:v>45345</x:v>
      </x:c>
      <x:c r="P124" s="84" t="str">
        <x:v>RELOAD_POS_2024_02</x:v>
      </x:c>
      <x:c r="Q124" s="84" t="str">
        <x:v>Food Storage Set</x:v>
      </x:c>
      <x:c r="R124" s="84" t="str">
        <x:v>Home &amp; Kitchen </x:v>
      </x:c>
    </x:row>
    <x:row r="125">
      <x:c r="A125" s="84" t="str">
        <x:v>ORD-2024-01153</x:v>
      </x:c>
      <x:c r="B125" s="85" t="n">
        <x:v>45346</x:v>
      </x:c>
      <x:c r="C125" s="84" t="str">
        <x:v>CUST-0008</x:v>
      </x:c>
      <x:c r="D125" s="84" t="str">
        <x:v> NATHAN FOSTER </x:v>
      </x:c>
      <x:c r="E125" s="84" t="str">
        <x:v>Consumer</x:v>
      </x:c>
      <x:c r="F125" s="84" t="str">
        <x:v> WEST </x:v>
      </x:c>
      <x:c r="G125" s="84" t="str">
        <x:v>Denver</x:v>
      </x:c>
      <x:c r="H125" s="84" t="str">
        <x:v>Retail Store</x:v>
      </x:c>
      <x:c r="I125" s="84" t="str">
        <x:v>FITN-006</x:v>
      </x:c>
      <x:c r="J125" s="86" t="n">
        <x:v>1</x:v>
      </x:c>
      <x:c r="K125" s="87" t="n">
        <x:v>0.1</x:v>
      </x:c>
      <x:c r="L125" s="84" t="str">
        <x:v>Completed</x:v>
      </x:c>
      <x:c r="M125" s="84" t="str">
        <x:v>Credit Card </x:v>
      </x:c>
      <x:c r="N125" s="84" t="str">
        <x:v>Mia Chen</x:v>
      </x:c>
      <x:c r="O125" s="85" t="n">
        <x:v>45347</x:v>
      </x:c>
      <x:c r="P125" s="84" t="str">
        <x:v>POS_2024_02</x:v>
      </x:c>
      <x:c r="Q125" s="84" t="str">
        <x:v>foam roller</x:v>
      </x:c>
      <x:c r="R125" s="84" t="str">
        <x:v>Fitness</x:v>
      </x:c>
    </x:row>
    <x:row r="126">
      <x:c r="A126" s="84" t="str">
        <x:v>ORD-2024-02372</x:v>
      </x:c>
      <x:c r="B126" s="85" t="n">
        <x:v>45346</x:v>
      </x:c>
      <x:c r="C126" s="84" t="str">
        <x:v>CUST-0167</x:v>
      </x:c>
      <x:c r="D126" s="84" t="str">
        <x:v>nathan taylor</x:v>
      </x:c>
      <x:c r="E126" s="84" t="str">
        <x:v>Corporate</x:v>
      </x:c>
      <x:c r="F126" s="84" t="str">
        <x:v>Northeast</x:v>
      </x:c>
      <x:c r="G126" s="84" t="str">
        <x:v>New York</x:v>
      </x:c>
      <x:c r="H126" s="84" t="str">
        <x:v>Retail Store</x:v>
      </x:c>
      <x:c r="I126" s="84" t="str">
        <x:v>FITN-001</x:v>
      </x:c>
      <x:c r="J126" s="86" t="n">
        <x:v>4</x:v>
      </x:c>
      <x:c r="K126" s="87" t="n">
        <x:v>0</x:v>
      </x:c>
      <x:c r="L126" s="84" t="str">
        <x:v>Completed </x:v>
      </x:c>
      <x:c r="M126" s="84" t="str">
        <x:v>Debit Card</x:v>
      </x:c>
      <x:c r="N126" s="84" t="str">
        <x:v>Maya Brooks</x:v>
      </x:c>
      <x:c r="O126" s="85" t="n">
        <x:v>45346</x:v>
      </x:c>
      <x:c r="P126" s="84" t="str">
        <x:v>POS_2024_02</x:v>
      </x:c>
      <x:c r="Q126" s="84" t="str">
        <x:v>Yoga Mat</x:v>
      </x:c>
      <x:c r="R126" s="84" t="str">
        <x:v>Fitness</x:v>
      </x:c>
    </x:row>
    <x:row r="127">
      <x:c r="A127" s="84" t="str">
        <x:v>ORD-2024-01503</x:v>
      </x:c>
      <x:c r="B127" s="85" t="n">
        <x:v>45347</x:v>
      </x:c>
      <x:c r="C127" s="84" t="str">
        <x:v>CUST-0402</x:v>
      </x:c>
      <x:c r="D127" s="84" t="str">
        <x:v>zara carter</x:v>
      </x:c>
      <x:c r="E127" s="84" t="str">
        <x:v>Small Business</x:v>
      </x:c>
      <x:c r="F127" s="84" t="str">
        <x:v>Northeast</x:v>
      </x:c>
      <x:c r="G127" s="84" t="str">
        <x:v>Philadelphia</x:v>
      </x:c>
      <x:c r="H127" s="84" t="str">
        <x:v>Retail Store</x:v>
      </x:c>
      <x:c r="I127" s="84" t="str">
        <x:v>OFFC-003</x:v>
      </x:c>
      <x:c r="J127" s="86" t="n">
        <x:v>1</x:v>
      </x:c>
      <x:c r="K127" s="87" t="n">
        <x:v>0</x:v>
      </x:c>
      <x:c r="L127" s="84" t="str">
        <x:v>Completed</x:v>
      </x:c>
      <x:c r="M127" s="84" t="str">
        <x:v>Cash </x:v>
      </x:c>
      <x:c r="N127" s="84" t="str">
        <x:v>Maya Brooks</x:v>
      </x:c>
      <x:c r="O127" s="85" t="n">
        <x:v>45347</x:v>
      </x:c>
      <x:c r="P127" s="84" t="str">
        <x:v>POS_2024_02</x:v>
      </x:c>
      <x:c r="Q127" s="84" t="str">
        <x:v>LED Desk Lamp</x:v>
      </x:c>
      <x:c r="R127" s="84" t="str">
        <x:v>Office</x:v>
      </x:c>
    </x:row>
    <x:row r="128">
      <x:c r="A128" s="84" t="str">
        <x:v>ORD-2024-01543</x:v>
      </x:c>
      <x:c r="B128" s="85" t="n">
        <x:v>45347</x:v>
      </x:c>
      <x:c r="C128" s="84" t="str">
        <x:v>CUST-0348</x:v>
      </x:c>
      <x:c r="D128" s="84" t="str">
        <x:v>Jonah Taylor</x:v>
      </x:c>
      <x:c r="E128" s="84" t="str">
        <x:v>Consumer</x:v>
      </x:c>
      <x:c r="F128" s="84" t="str">
        <x:v>Northeast</x:v>
      </x:c>
      <x:c r="G128" s="84" t="str">
        <x:v>Boston</x:v>
      </x:c>
      <x:c r="H128" s="84" t="str">
        <x:v>Retail Store </x:v>
      </x:c>
      <x:c r="I128" s="84" t="str">
        <x:v>ACCS-003</x:v>
      </x:c>
      <x:c r="J128" s="86" t="n">
        <x:v>1</x:v>
      </x:c>
      <x:c r="K128" s="87" t="n">
        <x:v>0</x:v>
      </x:c>
      <x:c r="L128" s="84" t="str">
        <x:v>Completed</x:v>
      </x:c>
      <x:c r="M128" s="84" t="str">
        <x:v>Debit Card</x:v>
      </x:c>
      <x:c r="N128" s="84" t="str">
        <x:v>Sofia Bennett</x:v>
      </x:c>
      <x:c r="O128" s="85" t="n">
        <x:v>45347</x:v>
      </x:c>
      <x:c r="P128" s="84" t="str">
        <x:v>POS_2024_02</x:v>
      </x:c>
      <x:c r="Q128" s="84" t="str">
        <x:v>Polarized Sunglasses</x:v>
      </x:c>
      <x:c r="R128" s="84" t="str">
        <x:v>accessories</x:v>
      </x:c>
    </x:row>
    <x:row r="129">
      <x:c r="A129" s="84" t="str">
        <x:v>ORD-2024-01737</x:v>
      </x:c>
      <x:c r="B129" s="85" t="n">
        <x:v>45347</x:v>
      </x:c>
      <x:c r="C129" s="84" t="str">
        <x:v>CUST-0374</x:v>
      </x:c>
      <x:c r="D129" s="84" t="str">
        <x:v>Priya Lewis</x:v>
      </x:c>
      <x:c r="E129" s="84" t="str">
        <x:v>Corporate</x:v>
      </x:c>
      <x:c r="F129" s="84" t="str">
        <x:v>Southeast</x:v>
      </x:c>
      <x:c r="G129" s="84" t="str">
        <x:v>Miami</x:v>
      </x:c>
      <x:c r="H129" s="84" t="str">
        <x:v>Marketplace</x:v>
      </x:c>
      <x:c r="I129" s="84" t="str">
        <x:v>CARE-001</x:v>
      </x:c>
      <x:c r="J129" s="86" t="n">
        <x:v>4</x:v>
      </x:c>
      <x:c r="K129" s="87" t="n">
        <x:v>0.05</x:v>
      </x:c>
      <x:c r="L129" s="84" t="str">
        <x:v>Completed</x:v>
      </x:c>
      <x:c r="M129" s="84" t="str">
        <x:v>credit card</x:v>
      </x:c>
      <x:c r="N129" s="84" t="str">
        <x:v> LIAM PARKER </x:v>
      </x:c>
      <x:c r="O129" s="85" t="n">
        <x:v>45352</x:v>
      </x:c>
      <x:c r="P129" s="84" t="str">
        <x:v>MKT_2024_02</x:v>
      </x:c>
      <x:c r="Q129" s="84" t="str">
        <x:v>Ionic Hair Dryer </x:v>
      </x:c>
      <x:c r="R129" s="84" t="str">
        <x:v>Personal Care</x:v>
      </x:c>
    </x:row>
    <x:row r="130">
      <x:c r="A130" s="84" t="str">
        <x:v>ORD-2024-02286</x:v>
      </x:c>
      <x:c r="B130" s="85" t="n">
        <x:v>45347</x:v>
      </x:c>
      <x:c r="C130" s="84" t="str">
        <x:v>CUST-0603</x:v>
      </x:c>
      <x:c r="D130" s="84" t="str">
        <x:v>Elias Roberts</x:v>
      </x:c>
      <x:c r="E130" s="84" t="str">
        <x:v>Consumer</x:v>
      </x:c>
      <x:c r="F130" s="84" t="str">
        <x:v>Northeast </x:v>
      </x:c>
      <x:c r="G130" s="84" t="str">
        <x:v>Newark</x:v>
      </x:c>
      <x:c r="H130" s="84" t="str">
        <x:v>Retail Store</x:v>
      </x:c>
      <x:c r="I130" s="84" t="str">
        <x:v>HOME-006</x:v>
      </x:c>
      <x:c r="J130" s="86" t="n">
        <x:v>1</x:v>
      </x:c>
      <x:c r="K130" s="87" t="n">
        <x:v>0.05</x:v>
      </x:c>
      <x:c r="L130" s="84" t="str">
        <x:v>Completed</x:v>
      </x:c>
      <x:c r="M130" s="84" t="str">
        <x:v>Cash</x:v>
      </x:c>
      <x:c r="N130" s="84" t="str">
        <x:v>Maya Brooks </x:v>
      </x:c>
      <x:c r="O130" s="85" t="n">
        <x:v>45348</x:v>
      </x:c>
      <x:c r="P130" s="84" t="str">
        <x:v>POS_2024_02</x:v>
      </x:c>
      <x:c r="Q130" s="84" t="str">
        <x:v>food storage set</x:v>
      </x:c>
      <x:c r="R130" s="84" t="str">
        <x:v>Home &amp; Kitchen</x:v>
      </x:c>
    </x:row>
    <x:row r="131">
      <x:c r="A131" s="84" t="str">
        <x:v>ORD-2024-00608</x:v>
      </x:c>
      <x:c r="B131" s="85" t="n">
        <x:v>45348</x:v>
      </x:c>
      <x:c r="C131" s="84" t="str">
        <x:v>CUST-0493</x:v>
      </x:c>
      <x:c r="D131" s="84" t="str">
        <x:v>Nina Evans</x:v>
      </x:c>
      <x:c r="E131" s="84" t="str">
        <x:v>Corporate</x:v>
      </x:c>
      <x:c r="F131" s="84" t="str">
        <x:v>West</x:v>
      </x:c>
      <x:c r="G131" s="84" t="str">
        <x:v>Denver</x:v>
      </x:c>
      <x:c r="H131" s="84" t="str">
        <x:v>Online</x:v>
      </x:c>
      <x:c r="I131" s="84" t="str">
        <x:v>ELEC-001</x:v>
      </x:c>
      <x:c r="J131" s="86" t="n">
        <x:v>2</x:v>
      </x:c>
      <x:c r="K131" s="87" t="n">
        <x:v>0</x:v>
      </x:c>
      <x:c r="L131" s="84" t="str">
        <x:v>Completed </x:v>
      </x:c>
      <x:c r="M131" s="84" t="str">
        <x:v>Debit Card</x:v>
      </x:c>
      <x:c r="N131" s="84" t="str">
        <x:v>Nora Kim</x:v>
      </x:c>
      <x:c r="O131" s="85" t="n">
        <x:v>45351</x:v>
      </x:c>
      <x:c r="P131" s="84" t="str">
        <x:v>WEB_2024_02</x:v>
      </x:c>
      <x:c r="Q131" s="84" t="str">
        <x:v>Wireless Earbuds</x:v>
      </x:c>
      <x:c r="R131" s="84" t="str">
        <x:v>electronics</x:v>
      </x:c>
    </x:row>
    <x:row r="132">
      <x:c r="A132" s="84" t="str">
        <x:v>ORD-2024-01934</x:v>
      </x:c>
      <x:c r="B132" s="85" t="n">
        <x:v>45348</x:v>
      </x:c>
      <x:c r="C132" s="84" t="str">
        <x:v>CUST-0483</x:v>
      </x:c>
      <x:c r="D132" s="84" t="str">
        <x:v>Daniel Carter</x:v>
      </x:c>
      <x:c r="E132" s="84" t="str">
        <x:v>Consumer</x:v>
      </x:c>
      <x:c r="F132" s="84" t="str">
        <x:v>West</x:v>
      </x:c>
      <x:c r="G132" s="84" t="str">
        <x:v>Denver</x:v>
      </x:c>
      <x:c r="H132" s="84" t="str">
        <x:v>Online</x:v>
      </x:c>
      <x:c r="I132" s="84" t="str">
        <x:v>ELEC-006</x:v>
      </x:c>
      <x:c r="J132" s="86" t="n">
        <x:v>1</x:v>
      </x:c>
      <x:c r="K132" s="87" t="n">
        <x:v>0</x:v>
      </x:c>
      <x:c r="L132" s="84" t="str">
        <x:v>Completed</x:v>
      </x:c>
      <x:c r="M132" s="84" t="str">
        <x:v>Credit Card</x:v>
      </x:c>
      <x:c r="N132" s="84" t="str">
        <x:v>Mia Chen</x:v>
      </x:c>
      <x:c r="O132" s="85" t="n">
        <x:v>45352</x:v>
      </x:c>
      <x:c r="P132" s="84" t="str">
        <x:v>WEB_2024_02</x:v>
      </x:c>
      <x:c r="Q132" s="84" t="str">
        <x:v>portable ssd</x:v>
      </x:c>
      <x:c r="R132" s="84" t="str">
        <x:v>Electronics </x:v>
      </x:c>
    </x:row>
    <x:row r="133">
      <x:c r="A133" s="84" t="str">
        <x:v>ORD-2024-00023</x:v>
      </x:c>
      <x:c r="B133" s="85" t="n">
        <x:v>45351</x:v>
      </x:c>
      <x:c r="C133" s="84" t="str">
        <x:v>CUST-0280</x:v>
      </x:c>
      <x:c r="D133" s="84" t="str">
        <x:v>Theo Taylor</x:v>
      </x:c>
      <x:c r="E133" s="84" t="str">
        <x:v>Corporate</x:v>
      </x:c>
      <x:c r="F133" s="84" t="str">
        <x:v>Southeast</x:v>
      </x:c>
      <x:c r="G133" s="84" t="str">
        <x:v>Charlotte</x:v>
      </x:c>
      <x:c r="H133" s="84" t="str">
        <x:v> MARKETPLACE </x:v>
      </x:c>
      <x:c r="I133" s="84" t="str">
        <x:v>FITN-002</x:v>
      </x:c>
      <x:c r="J133" s="86" t="n">
        <x:v>3</x:v>
      </x:c>
      <x:c r="K133" s="87" t="n">
        <x:v>0.1</x:v>
      </x:c>
      <x:c r="L133" s="84" t="str">
        <x:v>Completed</x:v>
      </x:c>
      <x:c r="M133" s="84" t="str">
        <x:v>Credit Card</x:v>
      </x:c>
      <x:c r="N133" s="84" t="str">
        <x:v>Ava Mitchell</x:v>
      </x:c>
      <x:c r="O133" s="85" t="n">
        <x:v>45358</x:v>
      </x:c>
      <x:c r="P133" s="84" t="str">
        <x:v>MKT_2024_02</x:v>
      </x:c>
      <x:c r="Q133" s="84" t="str">
        <x:v>Adjustable Dumbbell Set</x:v>
      </x:c>
      <x:c r="R133" s="84" t="str">
        <x:v>Fitness </x:v>
      </x:c>
    </x:row>
    <x:row r="134">
      <x:c r="A134" s="84" t="str">
        <x:v>ORD-2024-00858</x:v>
      </x:c>
      <x:c r="B134" s="85" t="n">
        <x:v>45351</x:v>
      </x:c>
      <x:c r="C134" s="84" t="str">
        <x:v>CUST-0239</x:v>
      </x:c>
      <x:c r="D134" s="84" t="str">
        <x:v>Nathan Roberts</x:v>
      </x:c>
      <x:c r="E134" s="84" t="str">
        <x:v>small business</x:v>
      </x:c>
      <x:c r="F134" s="84" t="str">
        <x:v>Midwest </x:v>
      </x:c>
      <x:c r="G134" s="84" t="str">
        <x:v>Detroit</x:v>
      </x:c>
      <x:c r="H134" s="84" t="str">
        <x:v>retail store</x:v>
      </x:c>
      <x:c r="I134" s="84" t="str">
        <x:v>ELEC-006</x:v>
      </x:c>
      <x:c r="J134" s="86" t="n">
        <x:v>2</x:v>
      </x:c>
      <x:c r="K134" s="87" t="n">
        <x:v>0.1</x:v>
      </x:c>
      <x:c r="L134" s="84" t="str">
        <x:v>Completed</x:v>
      </x:c>
      <x:c r="M134" s="84" t="str">
        <x:v>Credit Card</x:v>
      </x:c>
      <x:c r="N134" s="84" t="str">
        <x:v>Emma Hayes </x:v>
      </x:c>
      <x:c r="O134" s="85" t="n">
        <x:v>45351</x:v>
      </x:c>
      <x:c r="P134" s="84" t="str">
        <x:v>POS_2024_02</x:v>
      </x:c>
      <x:c r="Q134" s="84" t="str">
        <x:v>Portable SSD</x:v>
      </x:c>
      <x:c r="R134" s="84" t="str">
        <x:v>Electronics</x:v>
      </x:c>
    </x:row>
    <x:row r="135">
      <x:c r="A135" s="84" t="str">
        <x:v>ORD-2024-00922</x:v>
      </x:c>
      <x:c r="B135" s="85" t="n">
        <x:v>45351</x:v>
      </x:c>
      <x:c r="C135" s="84" t="str">
        <x:v>CUST-0495</x:v>
      </x:c>
      <x:c r="D135" s="84" t="str">
        <x:v>Victoria Walker </x:v>
      </x:c>
      <x:c r="E135" s="84" t="str">
        <x:v>Consumer</x:v>
      </x:c>
      <x:c r="F135" s="84" t="str">
        <x:v>West</x:v>
      </x:c>
      <x:c r="G135" s="84" t="str">
        <x:v>Denver</x:v>
      </x:c>
      <x:c r="H135" s="84" t="str">
        <x:v>Online</x:v>
      </x:c>
      <x:c r="I135" s="84" t="str">
        <x:v>ACCS-001</x:v>
      </x:c>
      <x:c r="J135" s="86" t="n">
        <x:v>1</x:v>
      </x:c>
      <x:c r="K135" s="87" t="n">
        <x:v>0.05</x:v>
      </x:c>
      <x:c r="L135" s="84" t="str">
        <x:v>Completed</x:v>
      </x:c>
      <x:c r="M135" s="84" t="str">
        <x:v>PayPal </x:v>
      </x:c>
      <x:c r="N135" s="84" t="str">
        <x:v>Nora Kim</x:v>
      </x:c>
      <x:c r="O135" s="85" t="n">
        <x:v>45353</x:v>
      </x:c>
      <x:c r="P135" s="84" t="str">
        <x:v>WEB_2024_02</x:v>
      </x:c>
      <x:c r="Q135" s="84" t="str">
        <x:v> CANVAS TOTE BAG </x:v>
      </x:c>
      <x:c r="R135" s="84" t="str">
        <x:v>Accessories</x:v>
      </x:c>
    </x:row>
    <x:row r="136">
      <x:c r="A136" s="84" t="str">
        <x:v>ORD-2024-00951</x:v>
      </x:c>
      <x:c r="B136" s="85" t="n">
        <x:v>45351</x:v>
      </x:c>
      <x:c r="C136" s="84" t="str">
        <x:v>CUST-0630</x:v>
      </x:c>
      <x:c r="D136" s="84" t="str">
        <x:v>Jasmine Foster</x:v>
      </x:c>
      <x:c r="E136" s="84" t="str">
        <x:v>Consumer</x:v>
      </x:c>
      <x:c r="F136" s="84" t="str">
        <x:v>Southeast</x:v>
      </x:c>
      <x:c r="G136" s="84" t="str">
        <x:v>Miami</x:v>
      </x:c>
      <x:c r="H136" s="84" t="str">
        <x:v>Online</x:v>
      </x:c>
      <x:c r="I136" s="84" t="str">
        <x:v>FITN-003</x:v>
      </x:c>
      <x:c r="J136" s="86" t="n">
        <x:v>1</x:v>
      </x:c>
      <x:c r="K136" s="87" t="n">
        <x:v>0.15</x:v>
      </x:c>
      <x:c r="L136" s="84" t="str">
        <x:v>Completed </x:v>
      </x:c>
      <x:c r="M136" s="84" t="str">
        <x:v>Debit Card</x:v>
      </x:c>
      <x:c r="N136" s="84" t="str">
        <x:v>Ava Mitchell</x:v>
      </x:c>
      <x:c r="O136" s="85" t="n">
        <x:v>45356</x:v>
      </x:c>
      <x:c r="P136" s="84" t="str">
        <x:v>WEB_2024_02</x:v>
      </x:c>
      <x:c r="Q136" s="84" t="str">
        <x:v>Resistance Band Set</x:v>
      </x:c>
      <x:c r="R136" s="84" t="str">
        <x:v>Fitness</x:v>
      </x:c>
    </x:row>
    <x:row r="137">
      <x:c r="A137" s="84" t="str">
        <x:v>ORD-2024-01640</x:v>
      </x:c>
      <x:c r="B137" s="85" t="n">
        <x:v>45351</x:v>
      </x:c>
      <x:c r="C137" s="84" t="str">
        <x:v>CUST-0582</x:v>
      </x:c>
      <x:c r="D137" s="84" t="str">
        <x:v>Maya Lewis</x:v>
      </x:c>
      <x:c r="E137" s="84" t="str">
        <x:v>Consumer</x:v>
      </x:c>
      <x:c r="F137" s="84" t="str">
        <x:v>Midwest</x:v>
      </x:c>
      <x:c r="G137" s="84" t="str">
        <x:v>Columbus</x:v>
      </x:c>
      <x:c r="H137" s="84" t="str">
        <x:v>Online</x:v>
      </x:c>
      <x:c r="I137" s="84" t="str">
        <x:v>FITN-002</x:v>
      </x:c>
      <x:c r="J137" s="86" t="n">
        <x:v>1</x:v>
      </x:c>
      <x:c r="K137" s="87" t="n">
        <x:v>0.15</x:v>
      </x:c>
      <x:c r="L137" s="84" t="str">
        <x:v>Completed</x:v>
      </x:c>
      <x:c r="M137" s="84" t="str">
        <x:v>PayPal</x:v>
      </x:c>
      <x:c r="N137" s="84" t="str">
        <x:v>Zoe Turner</x:v>
      </x:c>
      <x:c r="O137" s="85" t="n">
        <x:v>45354</x:v>
      </x:c>
      <x:c r="P137" s="84" t="str">
        <x:v>WEB_2024_02</x:v>
      </x:c>
      <x:c r="Q137" s="84" t="str">
        <x:v>Adjustable Dumbbell Set</x:v>
      </x:c>
      <x:c r="R137" s="84" t="str">
        <x:v>Fitness </x:v>
      </x:c>
    </x:row>
    <x:row r="138">
      <x:c r="A138" s="84" t="str">
        <x:v>ORD-2024-00070</x:v>
      </x:c>
      <x:c r="B138" s="85" t="n">
        <x:v>45352</x:v>
      </x:c>
      <x:c r="C138" s="84" t="str">
        <x:v>CUST-0021</x:v>
      </x:c>
      <x:c r="D138" s="84" t="str">
        <x:v>Elena Adams</x:v>
      </x:c>
      <x:c r="E138" s="84" t="str">
        <x:v>Consumer </x:v>
      </x:c>
      <x:c r="F138" s="84" t="str">
        <x:v>West</x:v>
      </x:c>
      <x:c r="G138" s="84" t="str">
        <x:v>denver</x:v>
      </x:c>
      <x:c r="H138" s="84" t="str">
        <x:v>Retail Store</x:v>
      </x:c>
      <x:c r="I138" s="84" t="str">
        <x:v>ELEC-002</x:v>
      </x:c>
      <x:c r="J138" s="86" t="n">
        <x:v>1</x:v>
      </x:c>
      <x:c r="K138" s="87" t="n">
        <x:v>0.05</x:v>
      </x:c>
      <x:c r="L138" s="84" t="str">
        <x:v>completed</x:v>
      </x:c>
      <x:c r="M138" s="84" t="str">
        <x:v>Debit Card</x:v>
      </x:c>
      <x:c r="N138" s="84" t="str">
        <x:v>Mia Chen</x:v>
      </x:c>
      <x:c r="O138" s="85" t="n">
        <x:v>45353</x:v>
      </x:c>
      <x:c r="P138" s="84" t="str">
        <x:v>POS_2024_03</x:v>
      </x:c>
      <x:c r="Q138" s="84" t="str">
        <x:v>Smartwatch</x:v>
      </x:c>
      <x:c r="R138" s="84" t="str">
        <x:v>Electronics</x:v>
      </x:c>
    </x:row>
    <x:row r="139">
      <x:c r="A139" s="84" t="str">
        <x:v>ORD-2024-01199</x:v>
      </x:c>
      <x:c r="B139" s="85" t="n">
        <x:v>45352</x:v>
      </x:c>
      <x:c r="C139" s="84" t="str">
        <x:v>CUST-0366</x:v>
      </x:c>
      <x:c r="D139" s="84" t="str">
        <x:v>Priya Foster</x:v>
      </x:c>
      <x:c r="E139" s="84" t="str">
        <x:v>corporate</x:v>
      </x:c>
      <x:c r="F139" s="84" t="str">
        <x:v>Southeast</x:v>
      </x:c>
      <x:c r="G139" s="84" t="str">
        <x:v>Charlotte</x:v>
      </x:c>
      <x:c r="H139" s="84" t="str">
        <x:v>marketplace</x:v>
      </x:c>
      <x:c r="I139" s="84" t="str">
        <x:v>ELEC-001</x:v>
      </x:c>
      <x:c r="J139" s="86" t="n">
        <x:v>1</x:v>
      </x:c>
      <x:c r="K139" s="87" t="n">
        <x:v>0.15</x:v>
      </x:c>
      <x:c r="L139" s="84" t="str">
        <x:v>Completed</x:v>
      </x:c>
      <x:c r="M139" s="84" t="str">
        <x:v>Mobile Wallet</x:v>
      </x:c>
      <x:c r="N139" s="84" t="str">
        <x:v>Liam Parker</x:v>
      </x:c>
      <x:c r="O139" s="85" t="n">
        <x:v>45359</x:v>
      </x:c>
      <x:c r="P139" s="84" t="str">
        <x:v>MKT_2024_03</x:v>
      </x:c>
      <x:c r="Q139" s="84" t="str">
        <x:v>Wireless Earbuds</x:v>
      </x:c>
      <x:c r="R139" s="84" t="str">
        <x:v>Electronics </x:v>
      </x:c>
    </x:row>
    <x:row r="140">
      <x:c r="A140" s="84" t="str">
        <x:v>ORD-2024-00604</x:v>
      </x:c>
      <x:c r="B140" s="85" t="n">
        <x:v>45353</x:v>
      </x:c>
      <x:c r="C140" s="84" t="str">
        <x:v>CUST-0361</x:v>
      </x:c>
      <x:c r="D140" s="84" t="str">
        <x:v>Priya Moore</x:v>
      </x:c>
      <x:c r="E140" s="84" t="str">
        <x:v>Corporate</x:v>
      </x:c>
      <x:c r="F140" s="84" t="str">
        <x:v>West</x:v>
      </x:c>
      <x:c r="G140" s="84" t="str">
        <x:v>Phoenix</x:v>
      </x:c>
      <x:c r="H140" s="84" t="str">
        <x:v>Retail Store</x:v>
      </x:c>
      <x:c r="I140" s="84" t="str">
        <x:v>ELEC-001</x:v>
      </x:c>
      <x:c r="J140" s="86" t="n">
        <x:v>1</x:v>
      </x:c>
      <x:c r="K140" s="87" t="n">
        <x:v>0</x:v>
      </x:c>
      <x:c r="L140" s="84" t="str">
        <x:v>Completed</x:v>
      </x:c>
      <x:c r="M140" s="84" t="str">
        <x:v>cash</x:v>
      </x:c>
      <x:c r="N140" s="84" t="str">
        <x:v>Nora Kim</x:v>
      </x:c>
      <x:c r="O140" s="85" t="n">
        <x:v>45353</x:v>
      </x:c>
      <x:c r="P140" s="84" t="str">
        <x:v>POS_2024_03</x:v>
      </x:c>
      <x:c r="Q140" s="84" t="str">
        <x:v>Wireless Earbuds</x:v>
      </x:c>
      <x:c r="R140" s="84" t="str">
        <x:v>Electronics </x:v>
      </x:c>
    </x:row>
    <x:row r="141">
      <x:c r="A141" s="84" t="str">
        <x:v>ORD-2024-00604</x:v>
      </x:c>
      <x:c r="B141" s="85" t="n">
        <x:v>45353</x:v>
      </x:c>
      <x:c r="C141" s="84" t="str">
        <x:v>CUST-0361</x:v>
      </x:c>
      <x:c r="D141" s="84" t="str">
        <x:v>Priya Moore</x:v>
      </x:c>
      <x:c r="E141" s="84" t="str">
        <x:v>Corporate</x:v>
      </x:c>
      <x:c r="F141" s="84" t="str">
        <x:v>West</x:v>
      </x:c>
      <x:c r="G141" s="84" t="str">
        <x:v>Phoenix</x:v>
      </x:c>
      <x:c r="H141" s="84" t="str">
        <x:v>Retail Store</x:v>
      </x:c>
      <x:c r="I141" s="84" t="str">
        <x:v>ELEC-001</x:v>
      </x:c>
      <x:c r="J141" s="86" t="n">
        <x:v>1</x:v>
      </x:c>
      <x:c r="K141" s="87" t="n">
        <x:v>0</x:v>
      </x:c>
      <x:c r="L141" s="84" t="str">
        <x:v>Completed</x:v>
      </x:c>
      <x:c r="M141" s="84" t="str">
        <x:v>cash</x:v>
      </x:c>
      <x:c r="N141" s="84" t="str">
        <x:v>Nora Kim</x:v>
      </x:c>
      <x:c r="O141" s="85" t="n">
        <x:v>45353</x:v>
      </x:c>
      <x:c r="P141" s="84" t="str">
        <x:v>RELOAD_POS_2024_03</x:v>
      </x:c>
      <x:c r="Q141" s="84" t="str">
        <x:v>Wireless Earbuds</x:v>
      </x:c>
      <x:c r="R141" s="84" t="str">
        <x:v>Electronics </x:v>
      </x:c>
    </x:row>
    <x:row r="142">
      <x:c r="A142" s="84" t="str">
        <x:v>ORD-2024-02090</x:v>
      </x:c>
      <x:c r="B142" s="85" t="n">
        <x:v>45353</x:v>
      </x:c>
      <x:c r="C142" s="84" t="str">
        <x:v>CUST-0441</x:v>
      </x:c>
      <x:c r="D142" s="84" t="str">
        <x:v>Maya Roberts</x:v>
      </x:c>
      <x:c r="E142" s="84" t="str">
        <x:v>consumer</x:v>
      </x:c>
      <x:c r="F142" s="84" t="str">
        <x:v>Southeast </x:v>
      </x:c>
      <x:c r="G142" s="84" t="str">
        <x:v>Atlanta</x:v>
      </x:c>
      <x:c r="H142" s="84" t="str">
        <x:v>online</x:v>
      </x:c>
      <x:c r="I142" s="84" t="str">
        <x:v>HOME-002</x:v>
      </x:c>
      <x:c r="J142" s="86" t="n">
        <x:v>2</x:v>
      </x:c>
      <x:c r="K142" s="87" t="n">
        <x:v>0.05</x:v>
      </x:c>
      <x:c r="L142" s="84" t="str">
        <x:v>Completed</x:v>
      </x:c>
      <x:c r="M142" s="84" t="str">
        <x:v>Mobile Wallet</x:v>
      </x:c>
      <x:c r="N142" s="84" t="str">
        <x:v>Liam Parker </x:v>
      </x:c>
      <x:c r="O142" s="85" t="n">
        <x:v>45357</x:v>
      </x:c>
      <x:c r="P142" s="84" t="str">
        <x:v>WEB_2024_03</x:v>
      </x:c>
      <x:c r="Q142" s="84" t="str">
        <x:v>Electric Kettle</x:v>
      </x:c>
      <x:c r="R142" s="84" t="str">
        <x:v>Home &amp; Kitchen</x:v>
      </x:c>
    </x:row>
    <x:row r="143">
      <x:c r="A143" s="84" t="str">
        <x:v>ORD-2024-02257</x:v>
      </x:c>
      <x:c r="B143" s="85" t="n">
        <x:v>45353</x:v>
      </x:c>
      <x:c r="C143" s="84" t="str">
        <x:v>CUST-0633</x:v>
      </x:c>
      <x:c r="D143" s="84" t="str">
        <x:v>Jonah Taylor</x:v>
      </x:c>
      <x:c r="E143" s="84" t="str"/>
      <x:c r="F143" s="84" t="str">
        <x:v>West</x:v>
      </x:c>
      <x:c r="G143" s="84" t="str">
        <x:v>Phoenix</x:v>
      </x:c>
      <x:c r="H143" s="84" t="str">
        <x:v>Online </x:v>
      </x:c>
      <x:c r="I143" s="84" t="str">
        <x:v>OFFC-001</x:v>
      </x:c>
      <x:c r="J143" s="86" t="n">
        <x:v>2</x:v>
      </x:c>
      <x:c r="K143" s="87" t="n">
        <x:v>0.1</x:v>
      </x:c>
      <x:c r="L143" s="84" t="str">
        <x:v>Completed</x:v>
      </x:c>
      <x:c r="M143" s="84" t="str">
        <x:v>Credit Card</x:v>
      </x:c>
      <x:c r="N143" s="84" t="str">
        <x:v>nora kim</x:v>
      </x:c>
      <x:c r="O143" s="85" t="n">
        <x:v>45356</x:v>
      </x:c>
      <x:c r="P143" s="84" t="str">
        <x:v>WEB_2024_03</x:v>
      </x:c>
      <x:c r="Q143" s="84" t="str">
        <x:v>Ergonomic Chair</x:v>
      </x:c>
      <x:c r="R143" s="84" t="str">
        <x:v>Office</x:v>
      </x:c>
    </x:row>
    <x:row r="144">
      <x:c r="A144" s="84" t="str">
        <x:v>ORD-2024-00276</x:v>
      </x:c>
      <x:c r="B144" s="85" t="n">
        <x:v>45354</x:v>
      </x:c>
      <x:c r="C144" s="84" t="str">
        <x:v>CUST-0510</x:v>
      </x:c>
      <x:c r="D144" s="84" t="str">
        <x:v>Theo Smith</x:v>
      </x:c>
      <x:c r="E144" s="84" t="str">
        <x:v>Consumer</x:v>
      </x:c>
      <x:c r="F144" s="84" t="str">
        <x:v>West</x:v>
      </x:c>
      <x:c r="G144" s="84" t="str">
        <x:v>Seattle</x:v>
      </x:c>
      <x:c r="H144" s="84" t="str">
        <x:v>Online </x:v>
      </x:c>
      <x:c r="I144" s="84" t="str">
        <x:v>CARE-001</x:v>
      </x:c>
      <x:c r="J144" s="86" t="n">
        <x:v>1</x:v>
      </x:c>
      <x:c r="K144" s="87" t="n">
        <x:v>0</x:v>
      </x:c>
      <x:c r="L144" s="84" t="str">
        <x:v>Completed</x:v>
      </x:c>
      <x:c r="M144" s="84" t="str">
        <x:v>Debit Card</x:v>
      </x:c>
      <x:c r="N144" s="84" t="str">
        <x:v>Mia Chen</x:v>
      </x:c>
      <x:c r="O144" s="85" t="n">
        <x:v>45357</x:v>
      </x:c>
      <x:c r="P144" s="84" t="str">
        <x:v>WEB_2024_03</x:v>
      </x:c>
      <x:c r="Q144" s="84" t="str">
        <x:v> IONIC HAIR DRYER </x:v>
      </x:c>
      <x:c r="R144" s="84" t="str">
        <x:v>Personal Care</x:v>
      </x:c>
    </x:row>
    <x:row r="145">
      <x:c r="A145" s="84" t="str">
        <x:v>ORD-2024-00644</x:v>
      </x:c>
      <x:c r="B145" s="85" t="n">
        <x:v>45354</x:v>
      </x:c>
      <x:c r="C145" s="84" t="str">
        <x:v>CUST-0416</x:v>
      </x:c>
      <x:c r="D145" s="84" t="str">
        <x:v>Isaac Garcia</x:v>
      </x:c>
      <x:c r="E145" s="84" t="str">
        <x:v>Consumer </x:v>
      </x:c>
      <x:c r="F145" s="84" t="str">
        <x:v>Midwest</x:v>
      </x:c>
      <x:c r="G145" s="84" t="str">
        <x:v>Chicago </x:v>
      </x:c>
      <x:c r="H145" s="84" t="str">
        <x:v>Retail Store</x:v>
      </x:c>
      <x:c r="I145" s="84" t="str">
        <x:v>ELEC-001</x:v>
      </x:c>
      <x:c r="J145" s="86" t="n">
        <x:v>1</x:v>
      </x:c>
      <x:c r="K145" s="87" t="n">
        <x:v>0.1</x:v>
      </x:c>
      <x:c r="L145" s="84" t="str">
        <x:v>Returned</x:v>
      </x:c>
      <x:c r="M145" s="84" t="str">
        <x:v>Credit Card</x:v>
      </x:c>
      <x:c r="N145" s="84" t="str">
        <x:v>Zoe Turner</x:v>
      </x:c>
      <x:c r="O145" s="85" t="n">
        <x:v>45355</x:v>
      </x:c>
      <x:c r="P145" s="84" t="str">
        <x:v>POS_2024_03</x:v>
      </x:c>
      <x:c r="Q145" s="84" t="str">
        <x:v>Wireless Earbuds</x:v>
      </x:c>
      <x:c r="R145" s="84" t="str">
        <x:v> ELECTRONICS </x:v>
      </x:c>
    </x:row>
    <x:row r="146">
      <x:c r="A146" s="84" t="str">
        <x:v>ORD-2024-00960</x:v>
      </x:c>
      <x:c r="B146" s="85" t="n">
        <x:v>45354</x:v>
      </x:c>
      <x:c r="C146" s="84" t="str">
        <x:v>CUST-0634</x:v>
      </x:c>
      <x:c r="D146" s="84" t="str">
        <x:v>Daniel Nelson</x:v>
      </x:c>
      <x:c r="E146" s="84" t="str">
        <x:v>Consumer</x:v>
      </x:c>
      <x:c r="F146" s="84" t="str">
        <x:v>Southeast</x:v>
      </x:c>
      <x:c r="G146" s="84" t="str">
        <x:v>Atlanta</x:v>
      </x:c>
      <x:c r="H146" s="84" t="str">
        <x:v>Online</x:v>
      </x:c>
      <x:c r="I146" s="84" t="str">
        <x:v>HOME-005</x:v>
      </x:c>
      <x:c r="J146" s="86" t="n">
        <x:v>3</x:v>
      </x:c>
      <x:c r="K146" s="87" t="n">
        <x:v>0</x:v>
      </x:c>
      <x:c r="L146" s="84" t="str">
        <x:v>Completed</x:v>
      </x:c>
      <x:c r="M146" s="84" t="str">
        <x:v>Credit Card</x:v>
      </x:c>
      <x:c r="N146" s="84" t="str">
        <x:v>Noah Reed</x:v>
      </x:c>
      <x:c r="O146" s="85" t="n">
        <x:v>45357</x:v>
      </x:c>
      <x:c r="P146" s="84" t="str">
        <x:v>WEB_2024_03</x:v>
      </x:c>
      <x:c r="Q146" s="84" t="str">
        <x:v>Cordless Vacuum </x:v>
      </x:c>
      <x:c r="R146" s="84" t="str">
        <x:v>home &amp; kitchen</x:v>
      </x:c>
    </x:row>
    <x:row r="147">
      <x:c r="A147" s="84" t="str">
        <x:v>ORD-2024-01944</x:v>
      </x:c>
      <x:c r="B147" s="85" t="n">
        <x:v>45354</x:v>
      </x:c>
      <x:c r="C147" s="84" t="str">
        <x:v>CUST-0569</x:v>
      </x:c>
      <x:c r="D147" s="84" t="str">
        <x:v>Daniel Walker </x:v>
      </x:c>
      <x:c r="E147" s="84" t="str">
        <x:v>Consumer</x:v>
      </x:c>
      <x:c r="F147" s="84" t="str">
        <x:v>midwest</x:v>
      </x:c>
      <x:c r="G147" s="84" t="str">
        <x:v>Chicago</x:v>
      </x:c>
      <x:c r="H147" s="84" t="str">
        <x:v> ONLINE </x:v>
      </x:c>
      <x:c r="I147" s="84" t="str">
        <x:v>HOME-001</x:v>
      </x:c>
      <x:c r="J147" s="86" t="n">
        <x:v>2</x:v>
      </x:c>
      <x:c r="K147" s="87" t="n">
        <x:v>0.2</x:v>
      </x:c>
      <x:c r="L147" s="84" t="str">
        <x:v>Completed</x:v>
      </x:c>
      <x:c r="M147" s="84" t="str">
        <x:v>PayPal </x:v>
      </x:c>
      <x:c r="N147" s="84" t="str">
        <x:v>Lucas Grant</x:v>
      </x:c>
      <x:c r="O147" s="85" t="n">
        <x:v>45356</x:v>
      </x:c>
      <x:c r="P147" s="84" t="str">
        <x:v>WEB_2024_03</x:v>
      </x:c>
      <x:c r="Q147" s="84" t="str">
        <x:v>Air Fryer</x:v>
      </x:c>
      <x:c r="R147" s="84" t="str">
        <x:v>Home &amp; Kitchen</x:v>
      </x:c>
    </x:row>
    <x:row r="148">
      <x:c r="A148" s="84" t="str">
        <x:v>ORD-2024-00206</x:v>
      </x:c>
      <x:c r="B148" s="85" t="n">
        <x:v>45355</x:v>
      </x:c>
      <x:c r="C148" s="84" t="str">
        <x:v>CUST-0068</x:v>
      </x:c>
      <x:c r="D148" s="84" t="str">
        <x:v>Grace Ortiz</x:v>
      </x:c>
      <x:c r="E148" s="84" t="str">
        <x:v>Consumer</x:v>
      </x:c>
      <x:c r="F148" s="84" t="str">
        <x:v>west</x:v>
      </x:c>
      <x:c r="G148" s="84" t="str">
        <x:v>Los Angeles</x:v>
      </x:c>
      <x:c r="H148" s="84" t="str">
        <x:v>Online </x:v>
      </x:c>
      <x:c r="I148" s="84" t="str">
        <x:v>ELEC-006</x:v>
      </x:c>
      <x:c r="J148" s="86" t="n">
        <x:v>1</x:v>
      </x:c>
      <x:c r="K148" s="87" t="n">
        <x:v>0</x:v>
      </x:c>
      <x:c r="L148" s="84" t="str">
        <x:v>Completed</x:v>
      </x:c>
      <x:c r="M148" s="84" t="str">
        <x:v>PayPal</x:v>
      </x:c>
      <x:c r="N148" s="84" t="str">
        <x:v>Nora Kim</x:v>
      </x:c>
      <x:c r="O148" s="85" t="n">
        <x:v>45360</x:v>
      </x:c>
      <x:c r="P148" s="84" t="str">
        <x:v>WEB_2024_03</x:v>
      </x:c>
      <x:c r="Q148" s="84" t="str">
        <x:v>Portable SSD</x:v>
      </x:c>
      <x:c r="R148" s="84" t="str">
        <x:v>Electronics</x:v>
      </x:c>
    </x:row>
    <x:row r="149">
      <x:c r="A149" s="84" t="str">
        <x:v>ORD-2024-00243</x:v>
      </x:c>
      <x:c r="B149" s="85" t="n">
        <x:v>45355</x:v>
      </x:c>
      <x:c r="C149" s="84" t="str">
        <x:v>CUST-0511</x:v>
      </x:c>
      <x:c r="D149" s="84" t="str">
        <x:v>Marcus Walker </x:v>
      </x:c>
      <x:c r="E149" s="84" t="str">
        <x:v>Corporate</x:v>
      </x:c>
      <x:c r="F149" s="84" t="str">
        <x:v>Northeast</x:v>
      </x:c>
      <x:c r="G149" s="84" t="str">
        <x:v>Newark</x:v>
      </x:c>
      <x:c r="H149" s="84" t="str">
        <x:v>Online</x:v>
      </x:c>
      <x:c r="I149" s="84" t="str">
        <x:v>HOME-006</x:v>
      </x:c>
      <x:c r="J149" s="86" t="n">
        <x:v>3</x:v>
      </x:c>
      <x:c r="K149" s="87" t="n">
        <x:v>0.1</x:v>
      </x:c>
      <x:c r="L149" s="84" t="str">
        <x:v> COMPLETED </x:v>
      </x:c>
      <x:c r="M149" s="84" t="str">
        <x:v>Credit Card </x:v>
      </x:c>
      <x:c r="N149" s="84" t="str">
        <x:v>Sofia Bennett</x:v>
      </x:c>
      <x:c r="O149" s="85" t="n">
        <x:v>45358</x:v>
      </x:c>
      <x:c r="P149" s="84" t="str">
        <x:v>WEB_2024_03</x:v>
      </x:c>
      <x:c r="Q149" s="84" t="str">
        <x:v>Food Storage Set</x:v>
      </x:c>
      <x:c r="R149" s="84" t="str">
        <x:v>Home &amp; Kitchen</x:v>
      </x:c>
    </x:row>
    <x:row r="150">
      <x:c r="A150" s="84" t="str">
        <x:v>ORD-2024-00522</x:v>
      </x:c>
      <x:c r="B150" s="85" t="n">
        <x:v>45355</x:v>
      </x:c>
      <x:c r="C150" s="84" t="str">
        <x:v>CUST-0254</x:v>
      </x:c>
      <x:c r="D150" s="84" t="str">
        <x:v>Marcus Carter</x:v>
      </x:c>
      <x:c r="E150" s="84" t="str">
        <x:v>Consumer</x:v>
      </x:c>
      <x:c r="F150" s="84" t="str">
        <x:v>Northeast </x:v>
      </x:c>
      <x:c r="G150" s="84" t="str">
        <x:v>Boston</x:v>
      </x:c>
      <x:c r="H150" s="84" t="str">
        <x:v>Online</x:v>
      </x:c>
      <x:c r="I150" s="84" t="str">
        <x:v>ELEC-004</x:v>
      </x:c>
      <x:c r="J150" s="86" t="n">
        <x:v>1</x:v>
      </x:c>
      <x:c r="K150" s="87" t="n">
        <x:v>0.05</x:v>
      </x:c>
      <x:c r="L150" s="84" t="str">
        <x:v>Returned</x:v>
      </x:c>
      <x:c r="M150" s="84" t="str">
        <x:v>Credit Card</x:v>
      </x:c>
      <x:c r="N150" s="84" t="str">
        <x:v>Ethan Cole </x:v>
      </x:c>
      <x:c r="O150" s="85" t="n">
        <x:v>45357</x:v>
      </x:c>
      <x:c r="P150" s="84" t="str">
        <x:v>WEB_2024_03</x:v>
      </x:c>
      <x:c r="Q150" s="84" t="str">
        <x:v>Power Bank</x:v>
      </x:c>
      <x:c r="R150" s="84" t="str">
        <x:v>Electronics</x:v>
      </x:c>
    </x:row>
    <x:row r="151">
      <x:c r="A151" s="84" t="str">
        <x:v>ORD-2024-01671</x:v>
      </x:c>
      <x:c r="B151" s="85" t="n">
        <x:v>45355</x:v>
      </x:c>
      <x:c r="C151" s="84" t="str">
        <x:v>CUST-0396</x:v>
      </x:c>
      <x:c r="D151" s="84" t="str">
        <x:v>Victoria Carter </x:v>
      </x:c>
      <x:c r="E151" s="84" t="str">
        <x:v>Consumer</x:v>
      </x:c>
      <x:c r="F151" s="84" t="str">
        <x:v>Southeast</x:v>
      </x:c>
      <x:c r="G151" s="84" t="str">
        <x:v>Nashville</x:v>
      </x:c>
      <x:c r="H151" s="84" t="str">
        <x:v>Marketplace</x:v>
      </x:c>
      <x:c r="I151" s="84" t="str">
        <x:v>HOME-004</x:v>
      </x:c>
      <x:c r="J151" s="86" t="n">
        <x:v>1</x:v>
      </x:c>
      <x:c r="K151" s="87" t="n">
        <x:v>0.15</x:v>
      </x:c>
      <x:c r="L151" s="84" t="str">
        <x:v> COMPLETED </x:v>
      </x:c>
      <x:c r="M151" s="84" t="str">
        <x:v>credit card</x:v>
      </x:c>
      <x:c r="N151" s="84" t="str">
        <x:v>Liam Parker</x:v>
      </x:c>
      <x:c r="O151" s="85" t="n">
        <x:v>45362</x:v>
      </x:c>
      <x:c r="P151" s="84" t="str">
        <x:v>MKT_2024_03</x:v>
      </x:c>
      <x:c r="Q151" s="84" t="str">
        <x:v>Coffee Maker</x:v>
      </x:c>
      <x:c r="R151" s="84" t="str">
        <x:v>Home &amp; Kitchen</x:v>
      </x:c>
    </x:row>
    <x:row r="152">
      <x:c r="A152" s="84" t="str">
        <x:v>ORD-2024-02206</x:v>
      </x:c>
      <x:c r="B152" s="85" t="n">
        <x:v>45355</x:v>
      </x:c>
      <x:c r="C152" s="84" t="str">
        <x:v>CUST-0545</x:v>
      </x:c>
      <x:c r="D152" s="84" t="str">
        <x:v>William Young</x:v>
      </x:c>
      <x:c r="E152" s="84" t="str">
        <x:v>Consumer</x:v>
      </x:c>
      <x:c r="F152" s="84" t="str">
        <x:v>Southeast</x:v>
      </x:c>
      <x:c r="G152" s="84" t="str">
        <x:v>Nashville</x:v>
      </x:c>
      <x:c r="H152" s="84" t="str">
        <x:v>Retail Store</x:v>
      </x:c>
      <x:c r="I152" s="84" t="str">
        <x:v>ACCS-002</x:v>
      </x:c>
      <x:c r="J152" s="86" t="n">
        <x:v>1</x:v>
      </x:c>
      <x:c r="K152" s="87" t="n">
        <x:v>0.1</x:v>
      </x:c>
      <x:c r="L152" s="84" t="str">
        <x:v>Completed</x:v>
      </x:c>
      <x:c r="M152" s="84" t="str">
        <x:v>Credit Card</x:v>
      </x:c>
      <x:c r="N152" s="84" t="str">
        <x:v>Ava Mitchell</x:v>
      </x:c>
      <x:c r="O152" s="85" t="n">
        <x:v>45356</x:v>
      </x:c>
      <x:c r="P152" s="84" t="str">
        <x:v>POS_2024_03</x:v>
      </x:c>
      <x:c r="Q152" s="84" t="str">
        <x:v>Travel Backpack </x:v>
      </x:c>
      <x:c r="R152" s="84" t="str">
        <x:v>Accessories</x:v>
      </x:c>
    </x:row>
    <x:row r="153">
      <x:c r="A153" s="84" t="str">
        <x:v>ORD-2024-01673</x:v>
      </x:c>
      <x:c r="B153" s="85" t="n">
        <x:v>45356</x:v>
      </x:c>
      <x:c r="C153" s="84" t="str">
        <x:v>CUST-0141</x:v>
      </x:c>
      <x:c r="D153" s="84" t="str">
        <x:v>Victoria Taylor</x:v>
      </x:c>
      <x:c r="E153" s="84" t="str">
        <x:v>Consumer </x:v>
      </x:c>
      <x:c r="F153" s="84" t="str">
        <x:v>Midwest</x:v>
      </x:c>
      <x:c r="G153" s="84" t="str">
        <x:v>Minneapolis </x:v>
      </x:c>
      <x:c r="H153" s="84" t="str">
        <x:v>Retail Store</x:v>
      </x:c>
      <x:c r="I153" s="84" t="str">
        <x:v>ACCS-005</x:v>
      </x:c>
      <x:c r="J153" s="86" t="n">
        <x:v>3</x:v>
      </x:c>
      <x:c r="K153" s="87" t="n">
        <x:v>0.15</x:v>
      </x:c>
      <x:c r="L153" s="84" t="str">
        <x:v>Returned</x:v>
      </x:c>
      <x:c r="M153" s="84" t="str">
        <x:v>Credit Card</x:v>
      </x:c>
      <x:c r="N153" s="84" t="str">
        <x:v>Lucas Grant</x:v>
      </x:c>
      <x:c r="O153" s="85" t="n">
        <x:v>45356</x:v>
      </x:c>
      <x:c r="P153" s="84" t="str">
        <x:v>POS_2024_03</x:v>
      </x:c>
      <x:c r="Q153" s="84" t="str">
        <x:v>Protective Phone Case</x:v>
      </x:c>
      <x:c r="R153" s="84" t="str">
        <x:v>Accessories</x:v>
      </x:c>
    </x:row>
    <x:row r="154">
      <x:c r="A154" s="84" t="str">
        <x:v>ORD-2024-02331</x:v>
      </x:c>
      <x:c r="B154" s="85" t="n">
        <x:v>45356</x:v>
      </x:c>
      <x:c r="C154" s="84" t="str">
        <x:v>CUST-0113</x:v>
      </x:c>
      <x:c r="D154" s="84" t="str">
        <x:v>Amelia Patel</x:v>
      </x:c>
      <x:c r="E154" s="84" t="str">
        <x:v>Consumer </x:v>
      </x:c>
      <x:c r="F154" s="84" t="str">
        <x:v>Southeast</x:v>
      </x:c>
      <x:c r="G154" s="84" t="str">
        <x:v>Atlanta </x:v>
      </x:c>
      <x:c r="H154" s="84" t="str">
        <x:v>Online</x:v>
      </x:c>
      <x:c r="I154" s="84" t="str">
        <x:v>FITN-005</x:v>
      </x:c>
      <x:c r="J154" s="86" t="n">
        <x:v>1</x:v>
      </x:c>
      <x:c r="K154" s="87" t="n">
        <x:v>0.05</x:v>
      </x:c>
      <x:c r="L154" s="84" t="str">
        <x:v>Completed</x:v>
      </x:c>
      <x:c r="M154" s="84" t="str">
        <x:v>credit card</x:v>
      </x:c>
      <x:c r="N154" s="84" t="str">
        <x:v>Ava Mitchell</x:v>
      </x:c>
      <x:c r="O154" s="85" t="n">
        <x:v>45360</x:v>
      </x:c>
      <x:c r="P154" s="84" t="str">
        <x:v>WEB_2024_03</x:v>
      </x:c>
      <x:c r="Q154" s="84" t="str">
        <x:v>Sports Water Bottle</x:v>
      </x:c>
      <x:c r="R154" s="84" t="str">
        <x:v>Fitness</x:v>
      </x:c>
    </x:row>
    <x:row r="155">
      <x:c r="A155" s="84" t="str">
        <x:v>ORD-2024-00551</x:v>
      </x:c>
      <x:c r="B155" s="85" t="n">
        <x:v>45357</x:v>
      </x:c>
      <x:c r="C155" s="84" t="str">
        <x:v>CUST-0600</x:v>
      </x:c>
      <x:c r="D155" s="84" t="str">
        <x:v>Theo Walker </x:v>
      </x:c>
      <x:c r="E155" s="84" t="str">
        <x:v>Consumer</x:v>
      </x:c>
      <x:c r="F155" s="84" t="str">
        <x:v>Southeast</x:v>
      </x:c>
      <x:c r="G155" s="84" t="str">
        <x:v>Charlotte</x:v>
      </x:c>
      <x:c r="H155" s="84" t="str">
        <x:v>Online</x:v>
      </x:c>
      <x:c r="I155" s="84" t="str">
        <x:v>ELEC-003</x:v>
      </x:c>
      <x:c r="J155" s="86" t="n">
        <x:v>2</x:v>
      </x:c>
      <x:c r="K155" s="87" t="n">
        <x:v>0.2</x:v>
      </x:c>
      <x:c r="L155" s="84" t="str">
        <x:v>Completed</x:v>
      </x:c>
      <x:c r="M155" s="84" t="str">
        <x:v>PayPal </x:v>
      </x:c>
      <x:c r="N155" s="84" t="str">
        <x:v>Ava Mitchell</x:v>
      </x:c>
      <x:c r="O155" s="85" t="n">
        <x:v>45360</x:v>
      </x:c>
      <x:c r="P155" s="84" t="str">
        <x:v>WEB_2024_03</x:v>
      </x:c>
      <x:c r="Q155" s="84" t="str">
        <x:v>Bluetooth Speaker</x:v>
      </x:c>
      <x:c r="R155" s="84" t="str">
        <x:v>Electronics</x:v>
      </x:c>
    </x:row>
    <x:row r="156">
      <x:c r="A156" s="84" t="str">
        <x:v>ORD-2024-01978</x:v>
      </x:c>
      <x:c r="B156" s="85" t="n">
        <x:v>45357</x:v>
      </x:c>
      <x:c r="C156" s="84" t="str">
        <x:v>CUST-0394</x:v>
      </x:c>
      <x:c r="D156" s="84" t="str">
        <x:v>Priya Nelson</x:v>
      </x:c>
      <x:c r="E156" s="84" t="str">
        <x:v>Corporate</x:v>
      </x:c>
      <x:c r="F156" s="84" t="str">
        <x:v>West </x:v>
      </x:c>
      <x:c r="G156" s="84" t="str">
        <x:v>Denver</x:v>
      </x:c>
      <x:c r="H156" s="84" t="str">
        <x:v> ONLINE </x:v>
      </x:c>
      <x:c r="I156" s="84" t="str">
        <x:v>ACCS-003</x:v>
      </x:c>
      <x:c r="J156" s="86" t="n">
        <x:v>3</x:v>
      </x:c>
      <x:c r="K156" s="87" t="n">
        <x:v>0</x:v>
      </x:c>
      <x:c r="L156" s="84" t="str">
        <x:v>Completed</x:v>
      </x:c>
      <x:c r="M156" s="84" t="str">
        <x:v>Credit Card</x:v>
      </x:c>
      <x:c r="N156" s="84" t="str">
        <x:v>Leo Martinez </x:v>
      </x:c>
      <x:c r="O156" s="85" t="n">
        <x:v>45360</x:v>
      </x:c>
      <x:c r="P156" s="84" t="str">
        <x:v>WEB_2024_03</x:v>
      </x:c>
      <x:c r="Q156" s="84" t="str">
        <x:v>polarized sunglasses</x:v>
      </x:c>
      <x:c r="R156" s="84" t="str">
        <x:v>Accessories</x:v>
      </x:c>
    </x:row>
    <x:row r="157">
      <x:c r="A157" s="84" t="str">
        <x:v>ORD-2024-02053</x:v>
      </x:c>
      <x:c r="B157" s="85" t="n">
        <x:v>45357</x:v>
      </x:c>
      <x:c r="C157" s="84" t="str">
        <x:v>CUST-0125</x:v>
      </x:c>
      <x:c r="D157" s="84" t="str">
        <x:v>marcus carter</x:v>
      </x:c>
      <x:c r="E157" s="84" t="str">
        <x:v>Consumer</x:v>
      </x:c>
      <x:c r="F157" s="84" t="str">
        <x:v>West</x:v>
      </x:c>
      <x:c r="G157" s="84" t="str">
        <x:v>Phoenix</x:v>
      </x:c>
      <x:c r="H157" s="84" t="str">
        <x:v>Online</x:v>
      </x:c>
      <x:c r="I157" s="84" t="str">
        <x:v>HOME-002</x:v>
      </x:c>
      <x:c r="J157" s="86" t="n">
        <x:v>1</x:v>
      </x:c>
      <x:c r="K157" s="87" t="n">
        <x:v>0</x:v>
      </x:c>
      <x:c r="L157" s="84" t="str">
        <x:v>Returned</x:v>
      </x:c>
      <x:c r="M157" s="84" t="str">
        <x:v>Credit Card</x:v>
      </x:c>
      <x:c r="N157" s="84" t="str">
        <x:v>Leo Martinez</x:v>
      </x:c>
      <x:c r="O157" s="85" t="n">
        <x:v>45361</x:v>
      </x:c>
      <x:c r="P157" s="84" t="str">
        <x:v>WEB_2024_03</x:v>
      </x:c>
      <x:c r="Q157" s="84" t="str">
        <x:v>Electric Kettle</x:v>
      </x:c>
      <x:c r="R157" s="84" t="str">
        <x:v>Home &amp; Kitchen </x:v>
      </x:c>
    </x:row>
    <x:row r="158">
      <x:c r="A158" s="84" t="str">
        <x:v>ORD-2024-01246</x:v>
      </x:c>
      <x:c r="B158" s="85" t="n">
        <x:v>45358</x:v>
      </x:c>
      <x:c r="C158" s="84" t="str">
        <x:v>CUST-0021</x:v>
      </x:c>
      <x:c r="D158" s="84" t="str">
        <x:v>Elena Adams</x:v>
      </x:c>
      <x:c r="E158" s="84" t="str">
        <x:v>Consumer </x:v>
      </x:c>
      <x:c r="F158" s="84" t="str">
        <x:v>West</x:v>
      </x:c>
      <x:c r="G158" s="84" t="str">
        <x:v>Denver </x:v>
      </x:c>
      <x:c r="H158" s="84" t="str">
        <x:v>Retail Store</x:v>
      </x:c>
      <x:c r="I158" s="84" t="str">
        <x:v>FITN-006</x:v>
      </x:c>
      <x:c r="J158" s="86" t="n">
        <x:v>1</x:v>
      </x:c>
      <x:c r="K158" s="87" t="n">
        <x:v>0</x:v>
      </x:c>
      <x:c r="L158" s="84" t="str">
        <x:v> COMPLETED </x:v>
      </x:c>
      <x:c r="M158" s="84" t="str">
        <x:v>Mobile Wallet</x:v>
      </x:c>
      <x:c r="N158" s="84" t="str">
        <x:v>Nora Kim</x:v>
      </x:c>
      <x:c r="O158" s="85" t="n">
        <x:v>45359</x:v>
      </x:c>
      <x:c r="P158" s="84" t="str">
        <x:v>POS_2024_03</x:v>
      </x:c>
      <x:c r="Q158" s="84" t="str">
        <x:v>Foam Roller</x:v>
      </x:c>
      <x:c r="R158" s="84" t="str">
        <x:v>fitness</x:v>
      </x:c>
    </x:row>
    <x:row r="159">
      <x:c r="A159" s="84" t="str">
        <x:v>ORD-2024-00719</x:v>
      </x:c>
      <x:c r="B159" s="85" t="n">
        <x:v>45359</x:v>
      </x:c>
      <x:c r="C159" s="84" t="str">
        <x:v>CUST-0358</x:v>
      </x:c>
      <x:c r="D159" s="84" t="str">
        <x:v>Grace Roberts </x:v>
      </x:c>
      <x:c r="E159" s="84" t="str">
        <x:v>Consumer</x:v>
      </x:c>
      <x:c r="F159" s="84" t="str">
        <x:v>West</x:v>
      </x:c>
      <x:c r="G159" s="84" t="str">
        <x:v>seattle</x:v>
      </x:c>
      <x:c r="H159" s="84" t="str">
        <x:v>Online</x:v>
      </x:c>
      <x:c r="I159" s="84" t="str">
        <x:v>ACCS-001</x:v>
      </x:c>
      <x:c r="J159" s="86" t="n">
        <x:v>1</x:v>
      </x:c>
      <x:c r="K159" s="87" t="n">
        <x:v>0.1</x:v>
      </x:c>
      <x:c r="L159" s="84" t="str">
        <x:v> COMPLETED </x:v>
      </x:c>
      <x:c r="M159" s="84" t="str">
        <x:v>PayPal </x:v>
      </x:c>
      <x:c r="N159" s="84" t="str">
        <x:v>Leo Martinez</x:v>
      </x:c>
      <x:c r="O159" s="85" t="n">
        <x:v>45361</x:v>
      </x:c>
      <x:c r="P159" s="84" t="str">
        <x:v>WEB_2024_03</x:v>
      </x:c>
      <x:c r="Q159" s="84" t="str">
        <x:v>Canvas Tote Bag</x:v>
      </x:c>
      <x:c r="R159" s="84" t="str">
        <x:v>Accessories</x:v>
      </x:c>
    </x:row>
    <x:row r="160">
      <x:c r="A160" s="84" t="str">
        <x:v>ORD-2024-00719</x:v>
      </x:c>
      <x:c r="B160" s="85" t="n">
        <x:v>45359</x:v>
      </x:c>
      <x:c r="C160" s="84" t="str">
        <x:v>CUST-0358</x:v>
      </x:c>
      <x:c r="D160" s="84" t="str">
        <x:v>Grace Roberts </x:v>
      </x:c>
      <x:c r="E160" s="84" t="str">
        <x:v>Consumer</x:v>
      </x:c>
      <x:c r="F160" s="84" t="str">
        <x:v>West</x:v>
      </x:c>
      <x:c r="G160" s="84" t="str">
        <x:v>seattle</x:v>
      </x:c>
      <x:c r="H160" s="84" t="str">
        <x:v>Online</x:v>
      </x:c>
      <x:c r="I160" s="84" t="str">
        <x:v>ACCS-001</x:v>
      </x:c>
      <x:c r="J160" s="86" t="n">
        <x:v>1</x:v>
      </x:c>
      <x:c r="K160" s="87" t="n">
        <x:v>0.1</x:v>
      </x:c>
      <x:c r="L160" s="84" t="str">
        <x:v> COMPLETED </x:v>
      </x:c>
      <x:c r="M160" s="84" t="str">
        <x:v>PayPal </x:v>
      </x:c>
      <x:c r="N160" s="84" t="str">
        <x:v>Leo Martinez</x:v>
      </x:c>
      <x:c r="O160" s="85" t="n">
        <x:v>45361</x:v>
      </x:c>
      <x:c r="P160" s="84" t="str">
        <x:v>RELOAD_WEB_2024_03</x:v>
      </x:c>
      <x:c r="Q160" s="84" t="str">
        <x:v>Canvas Tote Bag</x:v>
      </x:c>
      <x:c r="R160" s="84" t="str">
        <x:v>Accessories</x:v>
      </x:c>
    </x:row>
    <x:row r="161">
      <x:c r="A161" s="84" t="str">
        <x:v>ORD-2024-00897</x:v>
      </x:c>
      <x:c r="B161" s="85" t="n">
        <x:v>45359</x:v>
      </x:c>
      <x:c r="C161" s="84" t="str">
        <x:v>CUST-0577</x:v>
      </x:c>
      <x:c r="D161" s="84" t="str">
        <x:v>Grace Young</x:v>
      </x:c>
      <x:c r="E161" s="84" t="str">
        <x:v>Consumer</x:v>
      </x:c>
      <x:c r="F161" s="84" t="str">
        <x:v>Southeast</x:v>
      </x:c>
      <x:c r="G161" s="84" t="str">
        <x:v>Charlotte</x:v>
      </x:c>
      <x:c r="H161" s="84" t="str">
        <x:v>Marketplace</x:v>
      </x:c>
      <x:c r="I161" s="84" t="str">
        <x:v>FITN-003</x:v>
      </x:c>
      <x:c r="J161" s="86" t="n">
        <x:v>3</x:v>
      </x:c>
      <x:c r="K161" s="87" t="n">
        <x:v>0.15</x:v>
      </x:c>
      <x:c r="L161" s="84" t="str">
        <x:v>Completed</x:v>
      </x:c>
      <x:c r="M161" s="84" t="str">
        <x:v>Credit Card</x:v>
      </x:c>
      <x:c r="N161" s="84" t="str">
        <x:v>Ava Mitchell</x:v>
      </x:c>
      <x:c r="O161" s="85" t="n">
        <x:v>45362</x:v>
      </x:c>
      <x:c r="P161" s="84" t="str">
        <x:v>MKT_2024_03</x:v>
      </x:c>
      <x:c r="Q161" s="84" t="str">
        <x:v>Resistance Band Set </x:v>
      </x:c>
      <x:c r="R161" s="84" t="str">
        <x:v>Fitness</x:v>
      </x:c>
    </x:row>
    <x:row r="162">
      <x:c r="A162" s="84" t="str">
        <x:v>ORD-2024-01244</x:v>
      </x:c>
      <x:c r="B162" s="85" t="n">
        <x:v>45359</x:v>
      </x:c>
      <x:c r="C162" s="84" t="str">
        <x:v>CUST-0527</x:v>
      </x:c>
      <x:c r="D162" s="84" t="str">
        <x:v>Theo Hall </x:v>
      </x:c>
      <x:c r="E162" s="84" t="str">
        <x:v>Consumer</x:v>
      </x:c>
      <x:c r="F162" s="84" t="str">
        <x:v>Southeast</x:v>
      </x:c>
      <x:c r="G162" s="84" t="str">
        <x:v>Nashville</x:v>
      </x:c>
      <x:c r="H162" s="84" t="str">
        <x:v>Marketplace</x:v>
      </x:c>
      <x:c r="I162" s="84" t="str">
        <x:v>ELEC-006</x:v>
      </x:c>
      <x:c r="J162" s="86" t="n">
        <x:v>1</x:v>
      </x:c>
      <x:c r="K162" s="87" t="n">
        <x:v>0.2</x:v>
      </x:c>
      <x:c r="L162" s="84" t="str">
        <x:v>Completed</x:v>
      </x:c>
      <x:c r="M162" s="84" t="str">
        <x:v>Credit Card </x:v>
      </x:c>
      <x:c r="N162" s="84" t="str">
        <x:v> AVA MITCHELL </x:v>
      </x:c>
      <x:c r="O162" s="85" t="n">
        <x:v>45363</x:v>
      </x:c>
      <x:c r="P162" s="84" t="str">
        <x:v>MKT_2024_03</x:v>
      </x:c>
      <x:c r="Q162" s="84" t="str">
        <x:v>Portable SSD</x:v>
      </x:c>
      <x:c r="R162" s="84" t="str">
        <x:v>Electronics</x:v>
      </x:c>
    </x:row>
    <x:row r="163">
      <x:c r="A163" s="84" t="str">
        <x:v>ORD-2024-02341</x:v>
      </x:c>
      <x:c r="B163" s="85" t="n">
        <x:v>45359</x:v>
      </x:c>
      <x:c r="C163" s="84" t="str">
        <x:v>CUST-0353</x:v>
      </x:c>
      <x:c r="D163" s="84" t="str">
        <x:v>Elias Hall</x:v>
      </x:c>
      <x:c r="E163" s="84" t="str">
        <x:v>Consumer</x:v>
      </x:c>
      <x:c r="F163" s="84" t="str">
        <x:v>Northeast</x:v>
      </x:c>
      <x:c r="G163" s="84" t="str">
        <x:v>New York</x:v>
      </x:c>
      <x:c r="H163" s="84" t="str">
        <x:v>Retail Store </x:v>
      </x:c>
      <x:c r="I163" s="84" t="str">
        <x:v>HOME-005</x:v>
      </x:c>
      <x:c r="J163" s="86" t="n">
        <x:v>4</x:v>
      </x:c>
      <x:c r="K163" s="87" t="n">
        <x:v>0.1</x:v>
      </x:c>
      <x:c r="L163" s="84" t="str">
        <x:v>Completed</x:v>
      </x:c>
      <x:c r="M163" s="84" t="str">
        <x:v>Credit Card</x:v>
      </x:c>
      <x:c r="N163" s="84" t="str">
        <x:v>Sofia Bennett</x:v>
      </x:c>
      <x:c r="O163" s="85" t="n">
        <x:v>45359</x:v>
      </x:c>
      <x:c r="P163" s="84" t="str">
        <x:v>POS_2024_03</x:v>
      </x:c>
      <x:c r="Q163" s="84" t="str">
        <x:v>cordless vacuum</x:v>
      </x:c>
      <x:c r="R163" s="84" t="str">
        <x:v>Home &amp; Kitchen</x:v>
      </x:c>
    </x:row>
    <x:row r="164">
      <x:c r="A164" s="84" t="str">
        <x:v>ORD-2024-01941</x:v>
      </x:c>
      <x:c r="B164" s="85" t="n">
        <x:v>45360</x:v>
      </x:c>
      <x:c r="C164" s="84" t="str">
        <x:v>CUST-0457</x:v>
      </x:c>
      <x:c r="D164" s="84" t="str">
        <x:v>Amelia Carter</x:v>
      </x:c>
      <x:c r="E164" s="84" t="str">
        <x:v>Small Business</x:v>
      </x:c>
      <x:c r="F164" s="84" t="str">
        <x:v>Midwest</x:v>
      </x:c>
      <x:c r="G164" s="84" t="str">
        <x:v>Columbus</x:v>
      </x:c>
      <x:c r="H164" s="84" t="str">
        <x:v>Retail Store</x:v>
      </x:c>
      <x:c r="I164" s="84" t="str">
        <x:v>CARE-002</x:v>
      </x:c>
      <x:c r="J164" s="86" t="n">
        <x:v>1</x:v>
      </x:c>
      <x:c r="K164" s="87" t="n">
        <x:v>0.15</x:v>
      </x:c>
      <x:c r="L164" s="84" t="str">
        <x:v>Completed</x:v>
      </x:c>
      <x:c r="M164" s="84" t="str">
        <x:v>Credit Card</x:v>
      </x:c>
      <x:c r="N164" s="84" t="str">
        <x:v> ZOE TURNER </x:v>
      </x:c>
      <x:c r="O164" s="85" t="n">
        <x:v>45361</x:v>
      </x:c>
      <x:c r="P164" s="84" t="str">
        <x:v>POS_2024_03</x:v>
      </x:c>
      <x:c r="Q164" s="84" t="str">
        <x:v>Rechargeable Trimmer</x:v>
      </x:c>
      <x:c r="R164" s="84" t="str">
        <x:v>Personal Care </x:v>
      </x:c>
    </x:row>
    <x:row r="165">
      <x:c r="A165" s="84" t="str">
        <x:v>ORD-2024-01231</x:v>
      </x:c>
      <x:c r="B165" s="85" t="n">
        <x:v>45361</x:v>
      </x:c>
      <x:c r="C165" s="84" t="str">
        <x:v>CUST-0481</x:v>
      </x:c>
      <x:c r="D165" s="84" t="str">
        <x:v>Marcus Hall</x:v>
      </x:c>
      <x:c r="E165" s="84" t="str">
        <x:v>Small Business</x:v>
      </x:c>
      <x:c r="F165" s="84" t="str">
        <x:v>Northeast</x:v>
      </x:c>
      <x:c r="G165" s="84" t="str">
        <x:v>Newark</x:v>
      </x:c>
      <x:c r="H165" s="84" t="str">
        <x:v>Online</x:v>
      </x:c>
      <x:c r="I165" s="84" t="str">
        <x:v>ELEC-006</x:v>
      </x:c>
      <x:c r="J165" s="86" t="n">
        <x:v>3</x:v>
      </x:c>
      <x:c r="K165" s="87" t="n">
        <x:v>0</x:v>
      </x:c>
      <x:c r="L165" s="84" t="str">
        <x:v>Returned </x:v>
      </x:c>
      <x:c r="M165" s="84" t="str">
        <x:v>debit card</x:v>
      </x:c>
      <x:c r="N165" s="84" t="str">
        <x:v>Sofia Bennett</x:v>
      </x:c>
      <x:c r="O165" s="85" t="n">
        <x:v>45365</x:v>
      </x:c>
      <x:c r="P165" s="84" t="str">
        <x:v>WEB_2024_03</x:v>
      </x:c>
      <x:c r="Q165" s="84" t="str">
        <x:v>Portable SSD</x:v>
      </x:c>
      <x:c r="R165" s="84" t="str">
        <x:v>Electronics</x:v>
      </x:c>
    </x:row>
    <x:row r="166">
      <x:c r="A166" s="84" t="str">
        <x:v>ORD-2024-01327</x:v>
      </x:c>
      <x:c r="B166" s="85" t="n">
        <x:v>45361</x:v>
      </x:c>
      <x:c r="C166" s="84" t="str">
        <x:v>CUST-0631</x:v>
      </x:c>
      <x:c r="D166" s="84" t="str">
        <x:v>amelia adams</x:v>
      </x:c>
      <x:c r="E166" s="84" t="str">
        <x:v>Consumer</x:v>
      </x:c>
      <x:c r="F166" s="84" t="str">
        <x:v>Midwest </x:v>
      </x:c>
      <x:c r="G166" s="84" t="str">
        <x:v>Minneapolis</x:v>
      </x:c>
      <x:c r="H166" s="84" t="str">
        <x:v>Retail Store</x:v>
      </x:c>
      <x:c r="I166" s="84" t="str">
        <x:v>ELEC-006</x:v>
      </x:c>
      <x:c r="J166" s="86" t="n">
        <x:v>1</x:v>
      </x:c>
      <x:c r="K166" s="87" t="n">
        <x:v>0.1</x:v>
      </x:c>
      <x:c r="L166" s="84" t="str">
        <x:v>Completed</x:v>
      </x:c>
      <x:c r="M166" s="84" t="str">
        <x:v>Credit Card</x:v>
      </x:c>
      <x:c r="N166" s="84" t="str">
        <x:v>Emma Hayes </x:v>
      </x:c>
      <x:c r="O166" s="85" t="n">
        <x:v>45361</x:v>
      </x:c>
      <x:c r="P166" s="84" t="str">
        <x:v>POS_2024_03</x:v>
      </x:c>
      <x:c r="Q166" s="84" t="str">
        <x:v>Portable SSD</x:v>
      </x:c>
      <x:c r="R166" s="84" t="str">
        <x:v>Electronics</x:v>
      </x:c>
    </x:row>
    <x:row r="167">
      <x:c r="A167" s="84" t="str">
        <x:v>ORD-2024-00684</x:v>
      </x:c>
      <x:c r="B167" s="85" t="n">
        <x:v>45362</x:v>
      </x:c>
      <x:c r="C167" s="84" t="str">
        <x:v>CUST-0403</x:v>
      </x:c>
      <x:c r="D167" s="84" t="str">
        <x:v>Grace Quinn </x:v>
      </x:c>
      <x:c r="E167" s="84" t="str">
        <x:v>Corporate</x:v>
      </x:c>
      <x:c r="F167" s="84" t="str">
        <x:v>West</x:v>
      </x:c>
      <x:c r="G167" s="84" t="str">
        <x:v>Seattle</x:v>
      </x:c>
      <x:c r="H167" s="84" t="str">
        <x:v>Online</x:v>
      </x:c>
      <x:c r="I167" s="84" t="str">
        <x:v>OFFC-003</x:v>
      </x:c>
      <x:c r="J167" s="86" t="n">
        <x:v>2</x:v>
      </x:c>
      <x:c r="K167" s="87" t="n">
        <x:v>0.05</x:v>
      </x:c>
      <x:c r="L167" s="84" t="str">
        <x:v>Completed</x:v>
      </x:c>
      <x:c r="M167" s="84" t="str">
        <x:v>Credit Card </x:v>
      </x:c>
      <x:c r="N167" s="84" t="str">
        <x:v>leo martinez</x:v>
      </x:c>
      <x:c r="O167" s="85" t="n">
        <x:v>45366</x:v>
      </x:c>
      <x:c r="P167" s="84" t="str">
        <x:v>WEB_2024_03</x:v>
      </x:c>
      <x:c r="Q167" s="84" t="str">
        <x:v> LED DESK LAMP </x:v>
      </x:c>
      <x:c r="R167" s="84" t="str">
        <x:v>Office</x:v>
      </x:c>
    </x:row>
    <x:row r="168">
      <x:c r="A168" s="84" t="str">
        <x:v>ORD-2024-01053</x:v>
      </x:c>
      <x:c r="B168" s="85" t="n">
        <x:v>45362</x:v>
      </x:c>
      <x:c r="C168" s="84" t="str">
        <x:v>CUST-0224</x:v>
      </x:c>
      <x:c r="D168" s="84" t="str">
        <x:v>Jonah Nelson</x:v>
      </x:c>
      <x:c r="E168" s="84" t="str">
        <x:v>Consumer</x:v>
      </x:c>
      <x:c r="F168" s="84" t="str">
        <x:v>southeast</x:v>
      </x:c>
      <x:c r="G168" s="84" t="str">
        <x:v>Miami</x:v>
      </x:c>
      <x:c r="H168" s="84" t="str">
        <x:v>Retail Store </x:v>
      </x:c>
      <x:c r="I168" s="84" t="str">
        <x:v>ELEC-003</x:v>
      </x:c>
      <x:c r="J168" s="86" t="n">
        <x:v>1</x:v>
      </x:c>
      <x:c r="K168" s="87" t="n">
        <x:v>0.1</x:v>
      </x:c>
      <x:c r="L168" s="84" t="str">
        <x:v>Completed</x:v>
      </x:c>
      <x:c r="M168" s="84" t="str">
        <x:v>Debit Card</x:v>
      </x:c>
      <x:c r="N168" s="84" t="str">
        <x:v>Liam Parker</x:v>
      </x:c>
      <x:c r="O168" s="85" t="n">
        <x:v>45362</x:v>
      </x:c>
      <x:c r="P168" s="84" t="str">
        <x:v>POS_2024_03</x:v>
      </x:c>
      <x:c r="Q168" s="84" t="str">
        <x:v>Bluetooth Speaker</x:v>
      </x:c>
      <x:c r="R168" s="84" t="str">
        <x:v>Electronics</x:v>
      </x:c>
    </x:row>
    <x:row r="169">
      <x:c r="A169" s="84" t="str">
        <x:v>ORD-2024-02122</x:v>
      </x:c>
      <x:c r="B169" s="85" t="n">
        <x:v>45362</x:v>
      </x:c>
      <x:c r="C169" s="84" t="str">
        <x:v>CUST-0093</x:v>
      </x:c>
      <x:c r="D169" s="84" t="str">
        <x:v> PRIYA LEWIS </x:v>
      </x:c>
      <x:c r="E169" s="84" t="str">
        <x:v>Corporate</x:v>
      </x:c>
      <x:c r="F169" s="84" t="str">
        <x:v> SOUTHEAST </x:v>
      </x:c>
      <x:c r="G169" s="84" t="str">
        <x:v>Charlotte</x:v>
      </x:c>
      <x:c r="H169" s="84" t="str">
        <x:v>Online</x:v>
      </x:c>
      <x:c r="I169" s="84" t="str">
        <x:v>ACCS-001</x:v>
      </x:c>
      <x:c r="J169" s="86" t="n">
        <x:v>6</x:v>
      </x:c>
      <x:c r="K169" s="87" t="n">
        <x:v>0.15</x:v>
      </x:c>
      <x:c r="L169" s="84" t="str">
        <x:v>Completed</x:v>
      </x:c>
      <x:c r="M169" s="84" t="str">
        <x:v>mobile wallet</x:v>
      </x:c>
      <x:c r="N169" s="84" t="str">
        <x:v>Liam Parker</x:v>
      </x:c>
      <x:c r="O169" s="85" t="n">
        <x:v>45367</x:v>
      </x:c>
      <x:c r="P169" s="84" t="str">
        <x:v>WEB_2024_03</x:v>
      </x:c>
      <x:c r="Q169" s="84" t="str">
        <x:v>Canvas Tote Bag </x:v>
      </x:c>
      <x:c r="R169" s="84" t="str">
        <x:v>Accessories</x:v>
      </x:c>
    </x:row>
    <x:row r="170">
      <x:c r="A170" s="84" t="str">
        <x:v>ORD-2024-01677</x:v>
      </x:c>
      <x:c r="B170" s="85" t="n">
        <x:v>45363</x:v>
      </x:c>
      <x:c r="C170" s="84" t="str">
        <x:v>CUST-0376</x:v>
      </x:c>
      <x:c r="D170" s="84" t="str">
        <x:v>Nina Foster</x:v>
      </x:c>
      <x:c r="E170" s="84" t="str">
        <x:v>Consumer</x:v>
      </x:c>
      <x:c r="F170" s="84" t="str">
        <x:v>West </x:v>
      </x:c>
      <x:c r="G170" s="84" t="str">
        <x:v>Denver</x:v>
      </x:c>
      <x:c r="H170" s="84" t="str">
        <x:v>Retail Store</x:v>
      </x:c>
      <x:c r="I170" s="84" t="str">
        <x:v>ELEC-006</x:v>
      </x:c>
      <x:c r="J170" s="86" t="n">
        <x:v>1</x:v>
      </x:c>
      <x:c r="K170" s="87" t="n">
        <x:v>0</x:v>
      </x:c>
      <x:c r="L170" s="84" t="str">
        <x:v>Completed</x:v>
      </x:c>
      <x:c r="M170" s="84" t="str">
        <x:v> DEBIT CARD </x:v>
      </x:c>
      <x:c r="N170" s="84" t="str">
        <x:v>Nora Kim </x:v>
      </x:c>
      <x:c r="O170" s="85" t="n">
        <x:v>45364</x:v>
      </x:c>
      <x:c r="P170" s="84" t="str">
        <x:v>POS_2024_03</x:v>
      </x:c>
      <x:c r="Q170" s="84" t="str">
        <x:v>Portable SSD</x:v>
      </x:c>
      <x:c r="R170" s="84" t="str">
        <x:v>Electronics</x:v>
      </x:c>
    </x:row>
    <x:row r="171">
      <x:c r="A171" s="84" t="str">
        <x:v>ORD-2024-01741</x:v>
      </x:c>
      <x:c r="B171" s="85" t="n">
        <x:v>45363</x:v>
      </x:c>
      <x:c r="C171" s="84" t="str">
        <x:v>CUST-0076</x:v>
      </x:c>
      <x:c r="D171" s="84" t="str">
        <x:v>Jonah Patel </x:v>
      </x:c>
      <x:c r="E171" s="84" t="str">
        <x:v>Small Business</x:v>
      </x:c>
      <x:c r="F171" s="84" t="str">
        <x:v>Southeast</x:v>
      </x:c>
      <x:c r="G171" s="84" t="str">
        <x:v>Charlotte</x:v>
      </x:c>
      <x:c r="H171" s="84" t="str">
        <x:v>Online</x:v>
      </x:c>
      <x:c r="I171" s="84" t="str">
        <x:v>HOME-005</x:v>
      </x:c>
      <x:c r="J171" s="86" t="n">
        <x:v>1</x:v>
      </x:c>
      <x:c r="K171" s="87" t="n">
        <x:v>0.1</x:v>
      </x:c>
      <x:c r="L171" s="84" t="str">
        <x:v>Completed</x:v>
      </x:c>
      <x:c r="M171" s="84" t="str">
        <x:v>Credit Card </x:v>
      </x:c>
      <x:c r="N171" s="84" t="str">
        <x:v>Liam Parker</x:v>
      </x:c>
      <x:c r="O171" s="85" t="n">
        <x:v>45366</x:v>
      </x:c>
      <x:c r="P171" s="84" t="str">
        <x:v>WEB_2024_03</x:v>
      </x:c>
      <x:c r="Q171" s="84" t="str">
        <x:v>Cordless Vacuum</x:v>
      </x:c>
      <x:c r="R171" s="84" t="str">
        <x:v>home &amp; kitchen</x:v>
      </x:c>
    </x:row>
    <x:row r="172">
      <x:c r="A172" s="84" t="str">
        <x:v>ORD-2024-00482</x:v>
      </x:c>
      <x:c r="B172" s="85" t="n">
        <x:v>45364</x:v>
      </x:c>
      <x:c r="C172" s="84" t="str">
        <x:v>CUST-0144</x:v>
      </x:c>
      <x:c r="D172" s="84" t="str">
        <x:v>Grace Patel</x:v>
      </x:c>
      <x:c r="E172" s="84" t="str">
        <x:v>Corporate</x:v>
      </x:c>
      <x:c r="F172" s="84" t="str">
        <x:v>West</x:v>
      </x:c>
      <x:c r="G172" s="84" t="str">
        <x:v>Phoenix</x:v>
      </x:c>
      <x:c r="H172" s="84" t="str">
        <x:v> ONLINE </x:v>
      </x:c>
      <x:c r="I172" s="84" t="str">
        <x:v>OFFC-005</x:v>
      </x:c>
      <x:c r="J172" s="86" t="n">
        <x:v>8</x:v>
      </x:c>
      <x:c r="K172" s="87" t="n">
        <x:v>0</x:v>
      </x:c>
      <x:c r="L172" s="84" t="str">
        <x:v>Completed </x:v>
      </x:c>
      <x:c r="M172" s="84" t="str">
        <x:v>PayPal</x:v>
      </x:c>
      <x:c r="N172" s="84" t="str">
        <x:v>Mia Chen</x:v>
      </x:c>
      <x:c r="O172" s="85" t="n">
        <x:v>45366</x:v>
      </x:c>
      <x:c r="P172" s="84" t="str">
        <x:v>WEB_2024_03</x:v>
      </x:c>
      <x:c r="Q172" s="84" t="str">
        <x:v>wireless keyboard</x:v>
      </x:c>
      <x:c r="R172" s="84" t="str">
        <x:v>Office</x:v>
      </x:c>
    </x:row>
    <x:row r="173">
      <x:c r="A173" s="84" t="str">
        <x:v>ORD-2024-01302</x:v>
      </x:c>
      <x:c r="B173" s="85" t="n">
        <x:v>45364</x:v>
      </x:c>
      <x:c r="C173" s="84" t="str">
        <x:v>CUST-0062</x:v>
      </x:c>
      <x:c r="D173" s="84" t="str">
        <x:v>Caleb Davis</x:v>
      </x:c>
      <x:c r="E173" s="84" t="str">
        <x:v>Consumer </x:v>
      </x:c>
      <x:c r="F173" s="84" t="str">
        <x:v>Northeast</x:v>
      </x:c>
      <x:c r="G173" s="84" t="str">
        <x:v> NEW YORK </x:v>
      </x:c>
      <x:c r="H173" s="84" t="str">
        <x:v>Retail Store</x:v>
      </x:c>
      <x:c r="I173" s="84" t="str">
        <x:v>HOME-003</x:v>
      </x:c>
      <x:c r="J173" s="86" t="n">
        <x:v>1</x:v>
      </x:c>
      <x:c r="K173" s="87" t="n">
        <x:v>0</x:v>
      </x:c>
      <x:c r="L173" s="84" t="str">
        <x:v>completed</x:v>
      </x:c>
      <x:c r="M173" s="84" t="str">
        <x:v>Credit Card</x:v>
      </x:c>
      <x:c r="N173" s="84" t="str">
        <x:v>Ethan Cole</x:v>
      </x:c>
      <x:c r="O173" s="85" t="n">
        <x:v>45364</x:v>
      </x:c>
      <x:c r="P173" s="84" t="str">
        <x:v>POS_2024_03</x:v>
      </x:c>
      <x:c r="Q173" s="84" t="str">
        <x:v>Countertop Blender</x:v>
      </x:c>
      <x:c r="R173" s="84" t="str">
        <x:v>Home &amp; Kitchen</x:v>
      </x:c>
    </x:row>
    <x:row r="174">
      <x:c r="A174" s="84" t="str">
        <x:v>ORD-2024-01895</x:v>
      </x:c>
      <x:c r="B174" s="85" t="n">
        <x:v>45364</x:v>
      </x:c>
      <x:c r="C174" s="84" t="str">
        <x:v>CUST-0151</x:v>
      </x:c>
      <x:c r="D174" s="84" t="str">
        <x:v>Theo Davis </x:v>
      </x:c>
      <x:c r="E174" s="84" t="str">
        <x:v>Small Business</x:v>
      </x:c>
      <x:c r="F174" s="84" t="str">
        <x:v>Southeast</x:v>
      </x:c>
      <x:c r="G174" s="84" t="str">
        <x:v>Nashville</x:v>
      </x:c>
      <x:c r="H174" s="84" t="str">
        <x:v>Online</x:v>
      </x:c>
      <x:c r="I174" s="84" t="str">
        <x:v>FITN-004</x:v>
      </x:c>
      <x:c r="J174" s="86" t="n">
        <x:v>1</x:v>
      </x:c>
      <x:c r="K174" s="87" t="n">
        <x:v>0</x:v>
      </x:c>
      <x:c r="L174" s="84" t="str">
        <x:v>Completed</x:v>
      </x:c>
      <x:c r="M174" s="84" t="str">
        <x:v>Credit Card </x:v>
      </x:c>
      <x:c r="N174" s="84" t="str">
        <x:v>Noah Reed</x:v>
      </x:c>
      <x:c r="O174" s="85" t="n">
        <x:v>45366</x:v>
      </x:c>
      <x:c r="P174" s="84" t="str">
        <x:v>WEB_2024_03</x:v>
      </x:c>
      <x:c r="Q174" s="84" t="str">
        <x:v>Fitness Tracker</x:v>
      </x:c>
      <x:c r="R174" s="84" t="str">
        <x:v>fitness</x:v>
      </x:c>
    </x:row>
    <x:row r="175">
      <x:c r="A175" s="84" t="str">
        <x:v>ORD-2024-01918</x:v>
      </x:c>
      <x:c r="B175" s="85" t="n">
        <x:v>45364</x:v>
      </x:c>
      <x:c r="C175" s="84" t="str">
        <x:v>CUST-0252</x:v>
      </x:c>
      <x:c r="D175" s="84" t="str">
        <x:v> THEO CARTER </x:v>
      </x:c>
      <x:c r="E175" s="84" t="str">
        <x:v>Consumer </x:v>
      </x:c>
      <x:c r="F175" s="84" t="str">
        <x:v> MIDWEST </x:v>
      </x:c>
      <x:c r="G175" s="84" t="str">
        <x:v>columbus</x:v>
      </x:c>
      <x:c r="H175" s="84" t="str">
        <x:v>Online</x:v>
      </x:c>
      <x:c r="I175" s="84" t="str">
        <x:v>HOME-001</x:v>
      </x:c>
      <x:c r="J175" s="86" t="n">
        <x:v>1</x:v>
      </x:c>
      <x:c r="K175" s="87" t="n">
        <x:v>0.05</x:v>
      </x:c>
      <x:c r="L175" s="84" t="str">
        <x:v>completed</x:v>
      </x:c>
      <x:c r="M175" s="84" t="str">
        <x:v>Debit Card</x:v>
      </x:c>
      <x:c r="N175" s="84" t="str">
        <x:v>Emma Hayes</x:v>
      </x:c>
      <x:c r="O175" s="85" t="n">
        <x:v>45368</x:v>
      </x:c>
      <x:c r="P175" s="84" t="str">
        <x:v>WEB_2024_03</x:v>
      </x:c>
      <x:c r="Q175" s="84" t="str">
        <x:v>Air Fryer</x:v>
      </x:c>
      <x:c r="R175" s="84" t="str">
        <x:v>Home &amp; Kitchen</x:v>
      </x:c>
    </x:row>
    <x:row r="176">
      <x:c r="A176" s="84" t="str">
        <x:v>ORD-2024-01995</x:v>
      </x:c>
      <x:c r="B176" s="85" t="n">
        <x:v>45364</x:v>
      </x:c>
      <x:c r="C176" s="84" t="str">
        <x:v>CUST-0533</x:v>
      </x:c>
      <x:c r="D176" s="84" t="str">
        <x:v>Daniel Irwin</x:v>
      </x:c>
      <x:c r="E176" s="84" t="str">
        <x:v>Small Business </x:v>
      </x:c>
      <x:c r="F176" s="84" t="str">
        <x:v>Midwest</x:v>
      </x:c>
      <x:c r="G176" s="84" t="str">
        <x:v>detroit</x:v>
      </x:c>
      <x:c r="H176" s="84" t="str">
        <x:v> RETAIL STORE </x:v>
      </x:c>
      <x:c r="I176" s="84" t="str">
        <x:v>FITN-004</x:v>
      </x:c>
      <x:c r="J176" s="86" t="n">
        <x:v>1</x:v>
      </x:c>
      <x:c r="K176" s="87" t="n">
        <x:v>0.15</x:v>
      </x:c>
      <x:c r="L176" s="84" t="str">
        <x:v>completed</x:v>
      </x:c>
      <x:c r="M176" s="84" t="str">
        <x:v>Credit Card</x:v>
      </x:c>
      <x:c r="N176" s="84" t="str">
        <x:v>Emma Hayes</x:v>
      </x:c>
      <x:c r="O176" s="85" t="n">
        <x:v>45364</x:v>
      </x:c>
      <x:c r="P176" s="84" t="str">
        <x:v>POS_2024_03</x:v>
      </x:c>
      <x:c r="Q176" s="84" t="str">
        <x:v>Fitness Tracker</x:v>
      </x:c>
      <x:c r="R176" s="84" t="str">
        <x:v>Fitness</x:v>
      </x:c>
    </x:row>
    <x:row r="177">
      <x:c r="A177" s="84" t="str">
        <x:v>ORD-2024-00303</x:v>
      </x:c>
      <x:c r="B177" s="85" t="n">
        <x:v>45365</x:v>
      </x:c>
      <x:c r="C177" s="84" t="str">
        <x:v>CUST-0434</x:v>
      </x:c>
      <x:c r="D177" s="84" t="str">
        <x:v> AIDEN SMITH </x:v>
      </x:c>
      <x:c r="E177" s="84" t="str">
        <x:v>Corporate</x:v>
      </x:c>
      <x:c r="F177" s="84" t="str">
        <x:v> NORTHEAST </x:v>
      </x:c>
      <x:c r="G177" s="84" t="str">
        <x:v>New York</x:v>
      </x:c>
      <x:c r="H177" s="84" t="str">
        <x:v>Retail Store</x:v>
      </x:c>
      <x:c r="I177" s="84" t="str">
        <x:v>HOME-004</x:v>
      </x:c>
      <x:c r="J177" s="86" t="n">
        <x:v>2</x:v>
      </x:c>
      <x:c r="K177" s="87" t="n">
        <x:v>0</x:v>
      </x:c>
      <x:c r="L177" s="84" t="str">
        <x:v>Completed</x:v>
      </x:c>
      <x:c r="M177" s="84" t="str">
        <x:v>Cash</x:v>
      </x:c>
      <x:c r="N177" s="84" t="str">
        <x:v>Maya Brooks</x:v>
      </x:c>
      <x:c r="O177" s="85" t="n">
        <x:v>45365</x:v>
      </x:c>
      <x:c r="P177" s="84" t="str">
        <x:v>POS_2024_03</x:v>
      </x:c>
      <x:c r="Q177" s="84" t="str">
        <x:v>Coffee Maker</x:v>
      </x:c>
      <x:c r="R177" s="84" t="str">
        <x:v>Home &amp; Kitchen </x:v>
      </x:c>
    </x:row>
    <x:row r="178">
      <x:c r="A178" s="84" t="str">
        <x:v>ORD-2024-00662</x:v>
      </x:c>
      <x:c r="B178" s="85" t="n">
        <x:v>45365</x:v>
      </x:c>
      <x:c r="C178" s="84" t="str">
        <x:v>CUST-0465</x:v>
      </x:c>
      <x:c r="D178" s="84" t="str">
        <x:v>Owen Irwin</x:v>
      </x:c>
      <x:c r="E178" s="84" t="str">
        <x:v>Consumer</x:v>
      </x:c>
      <x:c r="F178" s="84" t="str">
        <x:v>Midwest </x:v>
      </x:c>
      <x:c r="G178" s="84" t="str">
        <x:v>Columbus</x:v>
      </x:c>
      <x:c r="H178" s="84" t="str">
        <x:v>Online</x:v>
      </x:c>
      <x:c r="I178" s="84" t="str">
        <x:v>FITN-006</x:v>
      </x:c>
      <x:c r="J178" s="86" t="n">
        <x:v>3</x:v>
      </x:c>
      <x:c r="K178" s="87" t="n">
        <x:v>0.05</x:v>
      </x:c>
      <x:c r="L178" s="84" t="str">
        <x:v>Completed</x:v>
      </x:c>
      <x:c r="M178" s="84" t="str">
        <x:v>Credit Card</x:v>
      </x:c>
      <x:c r="N178" s="84" t="str">
        <x:v>emma hayes</x:v>
      </x:c>
      <x:c r="O178" s="85" t="n">
        <x:v>45371</x:v>
      </x:c>
      <x:c r="P178" s="84" t="str">
        <x:v>WEB_2024_03</x:v>
      </x:c>
      <x:c r="Q178" s="84" t="str">
        <x:v>Foam Roller</x:v>
      </x:c>
      <x:c r="R178" s="84" t="str">
        <x:v>Fitness</x:v>
      </x:c>
    </x:row>
    <x:row r="179">
      <x:c r="A179" s="84" t="str">
        <x:v>ORD-2024-01022</x:v>
      </x:c>
      <x:c r="B179" s="85" t="n">
        <x:v>45365</x:v>
      </x:c>
      <x:c r="C179" s="84" t="str">
        <x:v>CUST-0027</x:v>
      </x:c>
      <x:c r="D179" s="84" t="str">
        <x:v>Samuel Hall</x:v>
      </x:c>
      <x:c r="E179" s="84" t="str">
        <x:v>Consumer </x:v>
      </x:c>
      <x:c r="F179" s="84" t="str">
        <x:v>Northeast</x:v>
      </x:c>
      <x:c r="G179" s="84" t="str">
        <x:v>Philadelphia </x:v>
      </x:c>
      <x:c r="H179" s="84" t="str">
        <x:v>Marketplace</x:v>
      </x:c>
      <x:c r="I179" s="84" t="str">
        <x:v>ELEC-002</x:v>
      </x:c>
      <x:c r="J179" s="86" t="n">
        <x:v>1</x:v>
      </x:c>
      <x:c r="K179" s="87" t="n">
        <x:v>0.1</x:v>
      </x:c>
      <x:c r="L179" s="84" t="str">
        <x:v>Completed</x:v>
      </x:c>
      <x:c r="M179" s="84" t="str">
        <x:v>paypal</x:v>
      </x:c>
      <x:c r="N179" s="84" t="str">
        <x:v>Maya Brooks</x:v>
      </x:c>
      <x:c r="O179" s="85" t="n">
        <x:v>45370</x:v>
      </x:c>
      <x:c r="P179" s="84" t="str">
        <x:v>MKT_2024_03</x:v>
      </x:c>
      <x:c r="Q179" s="84" t="str">
        <x:v>Smartwatch</x:v>
      </x:c>
      <x:c r="R179" s="84" t="str">
        <x:v>Electronics</x:v>
      </x:c>
    </x:row>
    <x:row r="180">
      <x:c r="A180" s="84" t="str">
        <x:v>ORD-2024-02038</x:v>
      </x:c>
      <x:c r="B180" s="85" t="n">
        <x:v>45365</x:v>
      </x:c>
      <x:c r="C180" s="84" t="str">
        <x:v>CUST-0321</x:v>
      </x:c>
      <x:c r="D180" s="84" t="str">
        <x:v>Grace Smith</x:v>
      </x:c>
      <x:c r="E180" s="84" t="str">
        <x:v>Corporate</x:v>
      </x:c>
      <x:c r="F180" s="84" t="str">
        <x:v>Southeast</x:v>
      </x:c>
      <x:c r="G180" s="84" t="str">
        <x:v>Miami</x:v>
      </x:c>
      <x:c r="H180" s="84" t="str">
        <x:v>Online</x:v>
      </x:c>
      <x:c r="I180" s="84" t="str">
        <x:v>ACCS-005</x:v>
      </x:c>
      <x:c r="J180" s="86" t="n">
        <x:v>4</x:v>
      </x:c>
      <x:c r="K180" s="87" t="n">
        <x:v>0.1</x:v>
      </x:c>
      <x:c r="L180" s="84" t="str">
        <x:v>Completed</x:v>
      </x:c>
      <x:c r="M180" s="84" t="str">
        <x:v>PayPal</x:v>
      </x:c>
      <x:c r="N180" s="84" t="str">
        <x:v>Liam Parker</x:v>
      </x:c>
      <x:c r="O180" s="85" t="n">
        <x:v>45367</x:v>
      </x:c>
      <x:c r="P180" s="84" t="str">
        <x:v>WEB_2024_03</x:v>
      </x:c>
      <x:c r="Q180" s="84" t="str">
        <x:v>Protective Phone Case </x:v>
      </x:c>
      <x:c r="R180" s="84" t="str">
        <x:v> ACCESSORIES </x:v>
      </x:c>
    </x:row>
    <x:row r="181">
      <x:c r="A181" s="84" t="str">
        <x:v>ORD-2024-01778</x:v>
      </x:c>
      <x:c r="B181" s="85" t="n">
        <x:v>45366</x:v>
      </x:c>
      <x:c r="C181" s="84" t="str">
        <x:v>CUST-0177</x:v>
      </x:c>
      <x:c r="D181" s="84" t="str">
        <x:v>elena quinn</x:v>
      </x:c>
      <x:c r="E181" s="84" t="str">
        <x:v>Consumer </x:v>
      </x:c>
      <x:c r="F181" s="84" t="str">
        <x:v>Southeast</x:v>
      </x:c>
      <x:c r="G181" s="84" t="str">
        <x:v> NASHVILLE </x:v>
      </x:c>
      <x:c r="H181" s="84" t="str">
        <x:v>Online</x:v>
      </x:c>
      <x:c r="I181" s="84" t="str">
        <x:v>ELEC-001</x:v>
      </x:c>
      <x:c r="J181" s="86" t="n">
        <x:v>1</x:v>
      </x:c>
      <x:c r="K181" s="87" t="n">
        <x:v>0</x:v>
      </x:c>
      <x:c r="L181" s="84" t="str">
        <x:v>Completed</x:v>
      </x:c>
      <x:c r="M181" s="84" t="str">
        <x:v>PayPal</x:v>
      </x:c>
      <x:c r="N181" s="84" t="str">
        <x:v>Noah Reed</x:v>
      </x:c>
      <x:c r="O181" s="85" t="n">
        <x:v>45370</x:v>
      </x:c>
      <x:c r="P181" s="84" t="str">
        <x:v>WEB_2024_03</x:v>
      </x:c>
      <x:c r="Q181" s="84" t="str">
        <x:v>Wireless Earbuds</x:v>
      </x:c>
      <x:c r="R181" s="84" t="str">
        <x:v>Electronics</x:v>
      </x:c>
    </x:row>
    <x:row r="182">
      <x:c r="A182" s="84" t="str">
        <x:v>ORD-2024-01778</x:v>
      </x:c>
      <x:c r="B182" s="85" t="n">
        <x:v>45366</x:v>
      </x:c>
      <x:c r="C182" s="84" t="str">
        <x:v>CUST-0177</x:v>
      </x:c>
      <x:c r="D182" s="84" t="str">
        <x:v>elena quinn</x:v>
      </x:c>
      <x:c r="E182" s="84" t="str">
        <x:v>Consumer </x:v>
      </x:c>
      <x:c r="F182" s="84" t="str">
        <x:v>Southeast</x:v>
      </x:c>
      <x:c r="G182" s="84" t="str">
        <x:v> NASHVILLE </x:v>
      </x:c>
      <x:c r="H182" s="84" t="str">
        <x:v>Online</x:v>
      </x:c>
      <x:c r="I182" s="84" t="str">
        <x:v>ELEC-001</x:v>
      </x:c>
      <x:c r="J182" s="86" t="n">
        <x:v>1</x:v>
      </x:c>
      <x:c r="K182" s="87" t="n">
        <x:v>0</x:v>
      </x:c>
      <x:c r="L182" s="84" t="str">
        <x:v>Completed</x:v>
      </x:c>
      <x:c r="M182" s="84" t="str">
        <x:v>PayPal</x:v>
      </x:c>
      <x:c r="N182" s="84" t="str">
        <x:v>Noah Reed</x:v>
      </x:c>
      <x:c r="O182" s="85" t="n">
        <x:v>45370</x:v>
      </x:c>
      <x:c r="P182" s="84" t="str">
        <x:v>RELOAD_WEB_2024_03</x:v>
      </x:c>
      <x:c r="Q182" s="84" t="str">
        <x:v>Wireless Earbuds</x:v>
      </x:c>
      <x:c r="R182" s="84" t="str">
        <x:v>Electronics</x:v>
      </x:c>
    </x:row>
    <x:row r="183">
      <x:c r="A183" s="84" t="str">
        <x:v>ORD-2024-01790</x:v>
      </x:c>
      <x:c r="B183" s="85" t="n">
        <x:v>45366</x:v>
      </x:c>
      <x:c r="C183" s="84" t="str">
        <x:v>CUST-0219</x:v>
      </x:c>
      <x:c r="D183" s="84" t="str">
        <x:v>Caleb Quinn </x:v>
      </x:c>
      <x:c r="E183" s="84" t="str">
        <x:v>Small Business</x:v>
      </x:c>
      <x:c r="F183" s="84" t="str">
        <x:v>west</x:v>
      </x:c>
      <x:c r="G183" s="84" t="str">
        <x:v>Los Angeles</x:v>
      </x:c>
      <x:c r="H183" s="84" t="str">
        <x:v>Online</x:v>
      </x:c>
      <x:c r="I183" s="84" t="str">
        <x:v>FITN-006</x:v>
      </x:c>
      <x:c r="J183" s="86" t="n">
        <x:v>3</x:v>
      </x:c>
      <x:c r="K183" s="87" t="n">
        <x:v>0.05</x:v>
      </x:c>
      <x:c r="L183" s="84" t="str">
        <x:v> COMPLETED </x:v>
      </x:c>
      <x:c r="M183" s="84" t="str">
        <x:v>PayPal </x:v>
      </x:c>
      <x:c r="N183" s="84" t="str">
        <x:v>Leo Martinez</x:v>
      </x:c>
      <x:c r="O183" s="85" t="n">
        <x:v>45371</x:v>
      </x:c>
      <x:c r="P183" s="84" t="str">
        <x:v>WEB_2024_03</x:v>
      </x:c>
      <x:c r="Q183" s="84" t="str">
        <x:v>Foam Roller</x:v>
      </x:c>
      <x:c r="R183" s="84" t="str">
        <x:v>Fitness</x:v>
      </x:c>
    </x:row>
    <x:row r="184">
      <x:c r="A184" s="84" t="str">
        <x:v>ORD-2024-00880</x:v>
      </x:c>
      <x:c r="B184" s="85" t="n">
        <x:v>45367</x:v>
      </x:c>
      <x:c r="C184" s="84" t="str">
        <x:v>CUST-0490</x:v>
      </x:c>
      <x:c r="D184" s="84" t="str">
        <x:v>Maya Nelson </x:v>
      </x:c>
      <x:c r="E184" s="84" t="str">
        <x:v>small business</x:v>
      </x:c>
      <x:c r="F184" s="84" t="str">
        <x:v>Northeast</x:v>
      </x:c>
      <x:c r="G184" s="84" t="str">
        <x:v>Philadelphia</x:v>
      </x:c>
      <x:c r="H184" s="84" t="str">
        <x:v>retail store</x:v>
      </x:c>
      <x:c r="I184" s="84" t="str">
        <x:v>OFFC-001</x:v>
      </x:c>
      <x:c r="J184" s="86" t="n">
        <x:v>1</x:v>
      </x:c>
      <x:c r="K184" s="87" t="n">
        <x:v>0</x:v>
      </x:c>
      <x:c r="L184" s="84" t="str">
        <x:v>Completed</x:v>
      </x:c>
      <x:c r="M184" s="84" t="str">
        <x:v>Debit Card </x:v>
      </x:c>
      <x:c r="N184" s="84" t="str">
        <x:v>Sofia Bennett</x:v>
      </x:c>
      <x:c r="O184" s="85" t="n">
        <x:v>45367</x:v>
      </x:c>
      <x:c r="P184" s="84" t="str">
        <x:v>POS_2024_03</x:v>
      </x:c>
      <x:c r="Q184" s="84" t="str">
        <x:v>Ergonomic Chair</x:v>
      </x:c>
      <x:c r="R184" s="84" t="str">
        <x:v>Office</x:v>
      </x:c>
    </x:row>
    <x:row r="185">
      <x:c r="A185" s="84" t="str">
        <x:v>ORD-2024-01642</x:v>
      </x:c>
      <x:c r="B185" s="85" t="n">
        <x:v>45367</x:v>
      </x:c>
      <x:c r="C185" s="84" t="str">
        <x:v>CUST-0268</x:v>
      </x:c>
      <x:c r="D185" s="84" t="str">
        <x:v>Aiden Moore</x:v>
      </x:c>
      <x:c r="E185" s="84" t="str">
        <x:v>Small Business</x:v>
      </x:c>
      <x:c r="F185" s="84" t="str">
        <x:v>Midwest </x:v>
      </x:c>
      <x:c r="G185" s="84" t="str">
        <x:v> CHICAGO </x:v>
      </x:c>
      <x:c r="H185" s="84" t="str">
        <x:v>Marketplace</x:v>
      </x:c>
      <x:c r="I185" s="84" t="str">
        <x:v>ELEC-005</x:v>
      </x:c>
      <x:c r="J185" s="86" t="n">
        <x:v>1</x:v>
      </x:c>
      <x:c r="K185" s="87" t="n">
        <x:v>0</x:v>
      </x:c>
      <x:c r="L185" s="84" t="str">
        <x:v>Completed</x:v>
      </x:c>
      <x:c r="M185" s="84" t="str">
        <x:v>Credit Card</x:v>
      </x:c>
      <x:c r="N185" s="84" t="str">
        <x:v>Lucas Grant </x:v>
      </x:c>
      <x:c r="O185" s="85" t="n">
        <x:v>45373</x:v>
      </x:c>
      <x:c r="P185" s="84" t="str">
        <x:v>MKT_2024_03</x:v>
      </x:c>
      <x:c r="Q185" s="84" t="str">
        <x:v>HD Webcam</x:v>
      </x:c>
      <x:c r="R185" s="84" t="str">
        <x:v>electronics</x:v>
      </x:c>
    </x:row>
    <x:row r="186">
      <x:c r="A186" s="84" t="str">
        <x:v>ORD-2024-02023</x:v>
      </x:c>
      <x:c r="B186" s="85" t="n">
        <x:v>45367</x:v>
      </x:c>
      <x:c r="C186" s="84" t="str">
        <x:v>CUST-0222</x:v>
      </x:c>
      <x:c r="D186" s="84" t="str">
        <x:v>Priya Nelson</x:v>
      </x:c>
      <x:c r="E186" s="84" t="str">
        <x:v> CONSUMER </x:v>
      </x:c>
      <x:c r="F186" s="84" t="str">
        <x:v>Midwest</x:v>
      </x:c>
      <x:c r="G186" s="84" t="str">
        <x:v>Minneapolis </x:v>
      </x:c>
      <x:c r="H186" s="84" t="str">
        <x:v>Marketplace</x:v>
      </x:c>
      <x:c r="I186" s="84" t="str">
        <x:v>OFFC-003</x:v>
      </x:c>
      <x:c r="J186" s="86" t="n">
        <x:v>4</x:v>
      </x:c>
      <x:c r="K186" s="87" t="n">
        <x:v>0</x:v>
      </x:c>
      <x:c r="L186" s="84" t="str">
        <x:v>Completed</x:v>
      </x:c>
      <x:c r="M186" s="84" t="str">
        <x:v>credit card</x:v>
      </x:c>
      <x:c r="N186" s="84" t="str">
        <x:v>Lucas Grant</x:v>
      </x:c>
      <x:c r="O186" s="85" t="n">
        <x:v>45375</x:v>
      </x:c>
      <x:c r="P186" s="84" t="str">
        <x:v>MKT_2024_03</x:v>
      </x:c>
      <x:c r="Q186" s="84" t="str">
        <x:v>LED Desk Lamp</x:v>
      </x:c>
      <x:c r="R186" s="84" t="str">
        <x:v>Office</x:v>
      </x:c>
    </x:row>
    <x:row r="187">
      <x:c r="A187" s="84" t="str">
        <x:v>ORD-2024-02145</x:v>
      </x:c>
      <x:c r="B187" s="85" t="n">
        <x:v>45367</x:v>
      </x:c>
      <x:c r="C187" s="84" t="str">
        <x:v>CUST-0591</x:v>
      </x:c>
      <x:c r="D187" s="84" t="str">
        <x:v>Grace Quinn</x:v>
      </x:c>
      <x:c r="E187" s="84" t="str">
        <x:v>consumer</x:v>
      </x:c>
      <x:c r="F187" s="84" t="str">
        <x:v>Northeast</x:v>
      </x:c>
      <x:c r="G187" s="84" t="str">
        <x:v>Philadelphia</x:v>
      </x:c>
      <x:c r="H187" s="84" t="str">
        <x:v>online</x:v>
      </x:c>
      <x:c r="I187" s="84" t="str">
        <x:v>HOME-005</x:v>
      </x:c>
      <x:c r="J187" s="86" t="n">
        <x:v>2</x:v>
      </x:c>
      <x:c r="K187" s="87" t="n">
        <x:v>0.2</x:v>
      </x:c>
      <x:c r="L187" s="84" t="str">
        <x:v>Completed</x:v>
      </x:c>
      <x:c r="M187" s="84" t="str">
        <x:v>Debit Card</x:v>
      </x:c>
      <x:c r="N187" s="84" t="str">
        <x:v> SOFIA BENNETT </x:v>
      </x:c>
      <x:c r="O187" s="85" t="n">
        <x:v>45371</x:v>
      </x:c>
      <x:c r="P187" s="84" t="str">
        <x:v>WEB_2024_03</x:v>
      </x:c>
      <x:c r="Q187" s="84" t="str">
        <x:v>Cordless Vacuum</x:v>
      </x:c>
      <x:c r="R187" s="84" t="str">
        <x:v>Home &amp; Kitchen</x:v>
      </x:c>
    </x:row>
    <x:row r="188">
      <x:c r="A188" s="84" t="str">
        <x:v>ORD-2024-00124</x:v>
      </x:c>
      <x:c r="B188" s="85" t="n">
        <x:v>45368</x:v>
      </x:c>
      <x:c r="C188" s="84" t="str">
        <x:v>CUST-0203</x:v>
      </x:c>
      <x:c r="D188" s="84" t="str">
        <x:v>Jasmine Carter </x:v>
      </x:c>
      <x:c r="E188" s="84" t="str">
        <x:v>Consumer</x:v>
      </x:c>
      <x:c r="F188" s="84" t="str">
        <x:v>Midwest</x:v>
      </x:c>
      <x:c r="G188" s="84" t="str">
        <x:v>Detroit</x:v>
      </x:c>
      <x:c r="H188" s="84" t="str">
        <x:v>Retail Store</x:v>
      </x:c>
      <x:c r="I188" s="84" t="str">
        <x:v>ACCS-002</x:v>
      </x:c>
      <x:c r="J188" s="86" t="n">
        <x:v>1</x:v>
      </x:c>
      <x:c r="K188" s="87" t="n">
        <x:v>0.15</x:v>
      </x:c>
      <x:c r="L188" s="84" t="str">
        <x:v> COMPLETED </x:v>
      </x:c>
      <x:c r="M188" s="84" t="str">
        <x:v>Debit Card </x:v>
      </x:c>
      <x:c r="N188" s="84" t="str">
        <x:v>Lucas Grant</x:v>
      </x:c>
      <x:c r="O188" s="85" t="n">
        <x:v>45368</x:v>
      </x:c>
      <x:c r="P188" s="84" t="str">
        <x:v>POS_2024_03</x:v>
      </x:c>
      <x:c r="Q188" s="84" t="str">
        <x:v>Travel Backpack</x:v>
      </x:c>
      <x:c r="R188" s="84" t="str">
        <x:v>accessories</x:v>
      </x:c>
    </x:row>
    <x:row r="189">
      <x:c r="A189" s="84" t="str">
        <x:v>ORD-2024-00732</x:v>
      </x:c>
      <x:c r="B189" s="85" t="n">
        <x:v>45368</x:v>
      </x:c>
      <x:c r="C189" s="84" t="str">
        <x:v>CUST-0635</x:v>
      </x:c>
      <x:c r="D189" s="84" t="str">
        <x:v>Owen Patel</x:v>
      </x:c>
      <x:c r="E189" s="84" t="str"/>
      <x:c r="F189" s="84" t="str">
        <x:v>Northeast </x:v>
      </x:c>
      <x:c r="G189" s="84" t="str">
        <x:v>Philadelphia</x:v>
      </x:c>
      <x:c r="H189" s="84" t="str">
        <x:v>Online</x:v>
      </x:c>
      <x:c r="I189" s="84" t="str">
        <x:v>FITN-006</x:v>
      </x:c>
      <x:c r="J189" s="86" t="n">
        <x:v>2</x:v>
      </x:c>
      <x:c r="K189" s="87" t="n">
        <x:v>0</x:v>
      </x:c>
      <x:c r="L189" s="84" t="str">
        <x:v>Completed</x:v>
      </x:c>
      <x:c r="M189" s="84" t="str">
        <x:v>Debit Card</x:v>
      </x:c>
      <x:c r="N189" s="84" t="str">
        <x:v>Maya Brooks </x:v>
      </x:c>
      <x:c r="O189" s="85" t="n">
        <x:v>45372</x:v>
      </x:c>
      <x:c r="P189" s="84" t="str">
        <x:v>WEB_2024_03</x:v>
      </x:c>
      <x:c r="Q189" s="84" t="str">
        <x:v>Foam Roller</x:v>
      </x:c>
      <x:c r="R189" s="84" t="str">
        <x:v>Fitness</x:v>
      </x:c>
    </x:row>
    <x:row r="190">
      <x:c r="A190" s="84" t="str">
        <x:v>ORD-2024-01013</x:v>
      </x:c>
      <x:c r="B190" s="85" t="n">
        <x:v>45368</x:v>
      </x:c>
      <x:c r="C190" s="84" t="str">
        <x:v>CUST-0183</x:v>
      </x:c>
      <x:c r="D190" s="84" t="str">
        <x:v>Jasmine Taylor </x:v>
      </x:c>
      <x:c r="E190" s="84" t="str">
        <x:v>Corporate</x:v>
      </x:c>
      <x:c r="F190" s="84" t="str">
        <x:v>West</x:v>
      </x:c>
      <x:c r="G190" s="84" t="str">
        <x:v> DENVER </x:v>
      </x:c>
      <x:c r="H190" s="84" t="str">
        <x:v>Retail Store</x:v>
      </x:c>
      <x:c r="I190" s="84" t="str">
        <x:v>ACCS-002</x:v>
      </x:c>
      <x:c r="J190" s="86" t="n">
        <x:v>5</x:v>
      </x:c>
      <x:c r="K190" s="87" t="n">
        <x:v>0</x:v>
      </x:c>
      <x:c r="L190" s="84" t="str">
        <x:v>Completed</x:v>
      </x:c>
      <x:c r="M190" s="84" t="str">
        <x:v>Debit Card </x:v>
      </x:c>
      <x:c r="N190" s="84" t="str">
        <x:v>Leo Martinez</x:v>
      </x:c>
      <x:c r="O190" s="85" t="n">
        <x:v>45368</x:v>
      </x:c>
      <x:c r="P190" s="84" t="str">
        <x:v>POS_2024_03</x:v>
      </x:c>
      <x:c r="Q190" s="84" t="str">
        <x:v>Travel Backpack</x:v>
      </x:c>
      <x:c r="R190" s="84" t="str">
        <x:v>Accessories</x:v>
      </x:c>
    </x:row>
    <x:row r="191">
      <x:c r="A191" s="84" t="str">
        <x:v>ORD-2024-02387</x:v>
      </x:c>
      <x:c r="B191" s="85" t="n">
        <x:v>45369</x:v>
      </x:c>
      <x:c r="C191" s="84" t="str">
        <x:v>CUST-0486</x:v>
      </x:c>
      <x:c r="D191" s="84" t="str">
        <x:v>Zara Evans</x:v>
      </x:c>
      <x:c r="E191" s="84" t="str">
        <x:v>consumer</x:v>
      </x:c>
      <x:c r="F191" s="84" t="str">
        <x:v>Southeast</x:v>
      </x:c>
      <x:c r="G191" s="84" t="str">
        <x:v>Nashville </x:v>
      </x:c>
      <x:c r="H191" s="84" t="str">
        <x:v>retail store</x:v>
      </x:c>
      <x:c r="I191" s="84" t="str">
        <x:v>ELEC-004</x:v>
      </x:c>
      <x:c r="J191" s="86" t="n">
        <x:v>2</x:v>
      </x:c>
      <x:c r="K191" s="87" t="n">
        <x:v>0.2</x:v>
      </x:c>
      <x:c r="L191" s="84" t="str">
        <x:v>Completed</x:v>
      </x:c>
      <x:c r="M191" s="84" t="str">
        <x:v>Cash</x:v>
      </x:c>
      <x:c r="N191" s="84" t="str">
        <x:v>Ava Mitchell</x:v>
      </x:c>
      <x:c r="O191" s="85" t="n">
        <x:v>45369</x:v>
      </x:c>
      <x:c r="P191" s="84" t="str">
        <x:v>POS_2024_03</x:v>
      </x:c>
      <x:c r="Q191" s="84" t="str">
        <x:v>Power Bank</x:v>
      </x:c>
      <x:c r="R191" s="84" t="str">
        <x:v>Electronics</x:v>
      </x:c>
    </x:row>
    <x:row r="192">
      <x:c r="A192" s="84" t="str">
        <x:v>ORD-2024-00594</x:v>
      </x:c>
      <x:c r="B192" s="85" t="n">
        <x:v>45370</x:v>
      </x:c>
      <x:c r="C192" s="84" t="str">
        <x:v>CUST-0224</x:v>
      </x:c>
      <x:c r="D192" s="84" t="str">
        <x:v>Jonah Nelson</x:v>
      </x:c>
      <x:c r="E192" s="84" t="str">
        <x:v>consumer</x:v>
      </x:c>
      <x:c r="F192" s="84" t="str">
        <x:v>Southeast</x:v>
      </x:c>
      <x:c r="G192" s="84" t="str">
        <x:v>Miami</x:v>
      </x:c>
      <x:c r="H192" s="84" t="str">
        <x:v>online</x:v>
      </x:c>
      <x:c r="I192" s="84" t="str">
        <x:v>ELEC-006</x:v>
      </x:c>
      <x:c r="J192" s="86" t="n">
        <x:v>2</x:v>
      </x:c>
      <x:c r="K192" s="87" t="n">
        <x:v>0.1</x:v>
      </x:c>
      <x:c r="L192" s="84" t="str">
        <x:v>Completed </x:v>
      </x:c>
      <x:c r="M192" s="84" t="str">
        <x:v>Mobile Wallet</x:v>
      </x:c>
      <x:c r="N192" s="84" t="str">
        <x:v>Ava Mitchell</x:v>
      </x:c>
      <x:c r="O192" s="85" t="n">
        <x:v>45374</x:v>
      </x:c>
      <x:c r="P192" s="84" t="str">
        <x:v>WEB_2024_03</x:v>
      </x:c>
      <x:c r="Q192" s="84" t="str">
        <x:v>Portable SSD</x:v>
      </x:c>
      <x:c r="R192" s="84" t="str">
        <x:v>Electronics</x:v>
      </x:c>
    </x:row>
    <x:row r="193">
      <x:c r="A193" s="84" t="str">
        <x:v>ORD-2024-00902</x:v>
      </x:c>
      <x:c r="B193" s="85" t="n">
        <x:v>45370</x:v>
      </x:c>
      <x:c r="C193" s="84" t="str">
        <x:v>CUST-0570</x:v>
      </x:c>
      <x:c r="D193" s="84" t="str">
        <x:v>Daniel Patel</x:v>
      </x:c>
      <x:c r="E193" s="84" t="str">
        <x:v>consumer</x:v>
      </x:c>
      <x:c r="F193" s="84" t="str">
        <x:v>Southeast</x:v>
      </x:c>
      <x:c r="G193" s="84" t="str">
        <x:v>Charlotte</x:v>
      </x:c>
      <x:c r="H193" s="84" t="str">
        <x:v>marketplace</x:v>
      </x:c>
      <x:c r="I193" s="84" t="str">
        <x:v>HOME-003</x:v>
      </x:c>
      <x:c r="J193" s="86" t="n">
        <x:v>2</x:v>
      </x:c>
      <x:c r="K193" s="87" t="n">
        <x:v>0.05</x:v>
      </x:c>
      <x:c r="L193" s="84" t="str">
        <x:v>Completed </x:v>
      </x:c>
      <x:c r="M193" s="84" t="str">
        <x:v>PayPal</x:v>
      </x:c>
      <x:c r="N193" s="84" t="str">
        <x:v>Liam Parker</x:v>
      </x:c>
      <x:c r="O193" s="85" t="n">
        <x:v>45376</x:v>
      </x:c>
      <x:c r="P193" s="84" t="str">
        <x:v>MKT_2024_03</x:v>
      </x:c>
      <x:c r="Q193" s="84" t="str">
        <x:v>Countertop Blender</x:v>
      </x:c>
      <x:c r="R193" s="84" t="str">
        <x:v>Home &amp; Kitchen</x:v>
      </x:c>
    </x:row>
    <x:row r="194">
      <x:c r="A194" s="84" t="str">
        <x:v>ORD-2024-00941</x:v>
      </x:c>
      <x:c r="B194" s="85" t="n">
        <x:v>45370</x:v>
      </x:c>
      <x:c r="C194" s="84" t="str">
        <x:v>CUST-0006</x:v>
      </x:c>
      <x:c r="D194" s="84" t="str">
        <x:v>Chloe Adams</x:v>
      </x:c>
      <x:c r="E194" s="84" t="str">
        <x:v>Consumer</x:v>
      </x:c>
      <x:c r="F194" s="84" t="str">
        <x:v>Midwest</x:v>
      </x:c>
      <x:c r="G194" s="84" t="str">
        <x:v>Columbus</x:v>
      </x:c>
      <x:c r="H194" s="84" t="str">
        <x:v> ONLINE </x:v>
      </x:c>
      <x:c r="I194" s="84" t="str">
        <x:v>FITN-003</x:v>
      </x:c>
      <x:c r="J194" s="86" t="n">
        <x:v>1</x:v>
      </x:c>
      <x:c r="K194" s="87" t="n">
        <x:v>0.15</x:v>
      </x:c>
      <x:c r="L194" s="84" t="str">
        <x:v>Completed</x:v>
      </x:c>
      <x:c r="M194" s="84" t="str">
        <x:v>Debit Card</x:v>
      </x:c>
      <x:c r="N194" s="84" t="str">
        <x:v>Zoe Turner</x:v>
      </x:c>
      <x:c r="O194" s="85" t="n">
        <x:v>45374</x:v>
      </x:c>
      <x:c r="P194" s="84" t="str">
        <x:v>WEB_2024_03</x:v>
      </x:c>
      <x:c r="Q194" s="84" t="str">
        <x:v>Resistance Band Set</x:v>
      </x:c>
      <x:c r="R194" s="84" t="str">
        <x:v>Fitness</x:v>
      </x:c>
    </x:row>
    <x:row r="195">
      <x:c r="A195" s="84" t="str">
        <x:v>ORD-2024-01435</x:v>
      </x:c>
      <x:c r="B195" s="85" t="n">
        <x:v>45370</x:v>
      </x:c>
      <x:c r="C195" s="84" t="str">
        <x:v>CUST-0451</x:v>
      </x:c>
      <x:c r="D195" s="84" t="str">
        <x:v>Theo Roberts</x:v>
      </x:c>
      <x:c r="E195" s="84" t="str">
        <x:v>Small Business </x:v>
      </x:c>
      <x:c r="F195" s="84" t="str">
        <x:v>West</x:v>
      </x:c>
      <x:c r="G195" s="84" t="str">
        <x:v>Phoenix </x:v>
      </x:c>
      <x:c r="H195" s="84" t="str">
        <x:v>Marketplace</x:v>
      </x:c>
      <x:c r="I195" s="84" t="str">
        <x:v>ELEC-005</x:v>
      </x:c>
      <x:c r="J195" s="86" t="n">
        <x:v>1</x:v>
      </x:c>
      <x:c r="K195" s="87" t="n">
        <x:v>0.2</x:v>
      </x:c>
      <x:c r="L195" s="84" t="str">
        <x:v>Completed</x:v>
      </x:c>
      <x:c r="M195" s="84" t="str">
        <x:v>Credit Card</x:v>
      </x:c>
      <x:c r="N195" s="84" t="str">
        <x:v>Leo Martinez</x:v>
      </x:c>
      <x:c r="O195" s="85" t="n">
        <x:v>45376</x:v>
      </x:c>
      <x:c r="P195" s="84" t="str">
        <x:v>MKT_2024_03</x:v>
      </x:c>
      <x:c r="Q195" s="84" t="str">
        <x:v>HD Webcam</x:v>
      </x:c>
      <x:c r="R195" s="84" t="str">
        <x:v>Electronics</x:v>
      </x:c>
    </x:row>
    <x:row r="196">
      <x:c r="A196" s="84" t="str">
        <x:v>ORD-2024-02313</x:v>
      </x:c>
      <x:c r="B196" s="85" t="n">
        <x:v>45370</x:v>
      </x:c>
      <x:c r="C196" s="84" t="str">
        <x:v>CUST-0295</x:v>
      </x:c>
      <x:c r="D196" s="84" t="str">
        <x:v>Nina Garcia</x:v>
      </x:c>
      <x:c r="E196" s="84" t="str">
        <x:v>Consumer</x:v>
      </x:c>
      <x:c r="F196" s="84" t="str">
        <x:v>Northeast</x:v>
      </x:c>
      <x:c r="G196" s="84" t="str">
        <x:v>Boston</x:v>
      </x:c>
      <x:c r="H196" s="84" t="str">
        <x:v>Online </x:v>
      </x:c>
      <x:c r="I196" s="84" t="str">
        <x:v>HOME-006</x:v>
      </x:c>
      <x:c r="J196" s="86" t="n">
        <x:v>2</x:v>
      </x:c>
      <x:c r="K196" s="87" t="n">
        <x:v>0.1</x:v>
      </x:c>
      <x:c r="L196" s="84" t="str">
        <x:v>Returned</x:v>
      </x:c>
      <x:c r="M196" s="84" t="str">
        <x:v>Credit Card</x:v>
      </x:c>
      <x:c r="N196" s="84" t="str">
        <x:v>Maya Brooks</x:v>
      </x:c>
      <x:c r="O196" s="85" t="n">
        <x:v>45376</x:v>
      </x:c>
      <x:c r="P196" s="84" t="str">
        <x:v>WEB_2024_03</x:v>
      </x:c>
      <x:c r="Q196" s="84" t="str">
        <x:v>Food Storage Set</x:v>
      </x:c>
      <x:c r="R196" s="84" t="str">
        <x:v>home &amp; kitchen</x:v>
      </x:c>
    </x:row>
    <x:row r="197">
      <x:c r="A197" s="84" t="str">
        <x:v>ORD-2024-00513</x:v>
      </x:c>
      <x:c r="B197" s="85" t="n">
        <x:v>45371</x:v>
      </x:c>
      <x:c r="C197" s="84" t="str">
        <x:v>CUST-0252</x:v>
      </x:c>
      <x:c r="D197" s="84" t="str">
        <x:v>theo carter</x:v>
      </x:c>
      <x:c r="E197" s="84" t="str">
        <x:v>Consumer</x:v>
      </x:c>
      <x:c r="F197" s="84" t="str">
        <x:v>Midwest</x:v>
      </x:c>
      <x:c r="G197" s="84" t="str">
        <x:v>Columbus</x:v>
      </x:c>
      <x:c r="H197" s="84" t="str">
        <x:v>Online</x:v>
      </x:c>
      <x:c r="I197" s="84" t="str">
        <x:v>FITN-003</x:v>
      </x:c>
      <x:c r="J197" s="86" t="n">
        <x:v>1</x:v>
      </x:c>
      <x:c r="K197" s="87" t="n">
        <x:v>0.15</x:v>
      </x:c>
      <x:c r="L197" s="84" t="str">
        <x:v>Returned</x:v>
      </x:c>
      <x:c r="M197" s="84" t="str">
        <x:v>Credit Card</x:v>
      </x:c>
      <x:c r="N197" s="84" t="str">
        <x:v> LUCAS GRANT </x:v>
      </x:c>
      <x:c r="O197" s="85" t="n">
        <x:v>45376</x:v>
      </x:c>
      <x:c r="P197" s="84" t="str">
        <x:v>WEB_2024_03</x:v>
      </x:c>
      <x:c r="Q197" s="84" t="str">
        <x:v>Resistance Band Set</x:v>
      </x:c>
      <x:c r="R197" s="84" t="str">
        <x:v>Fitness </x:v>
      </x:c>
    </x:row>
    <x:row r="198">
      <x:c r="A198" s="84" t="str">
        <x:v>ORD-2024-00641</x:v>
      </x:c>
      <x:c r="B198" s="85" t="n">
        <x:v>45371</x:v>
      </x:c>
      <x:c r="C198" s="84" t="str">
        <x:v>CUST-0540</x:v>
      </x:c>
      <x:c r="D198" s="84" t="str">
        <x:v>Elias Patel</x:v>
      </x:c>
      <x:c r="E198" s="84" t="str">
        <x:v>Consumer</x:v>
      </x:c>
      <x:c r="F198" s="84" t="str">
        <x:v>Midwest </x:v>
      </x:c>
      <x:c r="G198" s="84" t="str">
        <x:v>Columbus</x:v>
      </x:c>
      <x:c r="H198" s="84" t="str">
        <x:v>Retail Store</x:v>
      </x:c>
      <x:c r="I198" s="84" t="str">
        <x:v>ACCS-004</x:v>
      </x:c>
      <x:c r="J198" s="86" t="n">
        <x:v>1</x:v>
      </x:c>
      <x:c r="K198" s="87" t="n">
        <x:v>0.1</x:v>
      </x:c>
      <x:c r="L198" s="84" t="str">
        <x:v>Completed</x:v>
      </x:c>
      <x:c r="M198" s="84" t="str">
        <x:v>Debit Card</x:v>
      </x:c>
      <x:c r="N198" s="84" t="str">
        <x:v>Lucas Grant </x:v>
      </x:c>
      <x:c r="O198" s="85" t="n">
        <x:v>45372</x:v>
      </x:c>
      <x:c r="P198" s="84" t="str">
        <x:v>POS_2024_03</x:v>
      </x:c>
      <x:c r="Q198" s="84" t="str">
        <x:v>Leather Wallet</x:v>
      </x:c>
      <x:c r="R198" s="84" t="str">
        <x:v>accessories</x:v>
      </x:c>
    </x:row>
    <x:row r="199">
      <x:c r="A199" s="84" t="str">
        <x:v>ORD-2024-01565</x:v>
      </x:c>
      <x:c r="B199" s="85" t="n">
        <x:v>45371</x:v>
      </x:c>
      <x:c r="C199" s="84" t="str">
        <x:v>CUST-0190</x:v>
      </x:c>
      <x:c r="D199" s="84" t="str">
        <x:v>Samuel Evans</x:v>
      </x:c>
      <x:c r="E199" s="84" t="str">
        <x:v>Consumer</x:v>
      </x:c>
      <x:c r="F199" s="84" t="str">
        <x:v>Midwest </x:v>
      </x:c>
      <x:c r="G199" s="84" t="str">
        <x:v>Detroit</x:v>
      </x:c>
      <x:c r="H199" s="84" t="str">
        <x:v>Online</x:v>
      </x:c>
      <x:c r="I199" s="84" t="str">
        <x:v>HOME-005</x:v>
      </x:c>
      <x:c r="J199" s="86" t="n">
        <x:v>1</x:v>
      </x:c>
      <x:c r="K199" s="87" t="n">
        <x:v>0.1</x:v>
      </x:c>
      <x:c r="L199" s="84" t="str">
        <x:v>Completed</x:v>
      </x:c>
      <x:c r="M199" s="84" t="str">
        <x:v>Debit Card</x:v>
      </x:c>
      <x:c r="N199" s="84" t="str">
        <x:v>Lucas Grant </x:v>
      </x:c>
      <x:c r="O199" s="85" t="n">
        <x:v>45375</x:v>
      </x:c>
      <x:c r="P199" s="84" t="str">
        <x:v>WEB_2024_03</x:v>
      </x:c>
      <x:c r="Q199" s="84" t="str">
        <x:v>Cordless Vacuum</x:v>
      </x:c>
      <x:c r="R199" s="84" t="str">
        <x:v>home &amp; kitchen</x:v>
      </x:c>
    </x:row>
    <x:row r="200">
      <x:c r="A200" s="84" t="str">
        <x:v>ORD-2024-00882</x:v>
      </x:c>
      <x:c r="B200" s="85" t="n">
        <x:v>45372</x:v>
      </x:c>
      <x:c r="C200" s="84" t="str">
        <x:v>CUST-0227</x:v>
      </x:c>
      <x:c r="D200" s="84" t="str">
        <x:v>Maya Foster</x:v>
      </x:c>
      <x:c r="E200" s="84" t="str">
        <x:v>Consumer </x:v>
      </x:c>
      <x:c r="F200" s="84" t="str">
        <x:v>West</x:v>
      </x:c>
      <x:c r="G200" s="84" t="str">
        <x:v>Phoenix </x:v>
      </x:c>
      <x:c r="H200" s="84" t="str">
        <x:v>Retail Store</x:v>
      </x:c>
      <x:c r="I200" s="84" t="str">
        <x:v>ELEC-003</x:v>
      </x:c>
      <x:c r="J200" s="86" t="n">
        <x:v>1</x:v>
      </x:c>
      <x:c r="K200" s="87" t="n">
        <x:v>0.05</x:v>
      </x:c>
      <x:c r="L200" s="84" t="str">
        <x:v>Completed</x:v>
      </x:c>
      <x:c r="M200" s="84" t="str">
        <x:v>Debit Card</x:v>
      </x:c>
      <x:c r="N200" s="84" t="str">
        <x:v>leo martinez</x:v>
      </x:c>
      <x:c r="O200" s="85" t="n">
        <x:v>45372</x:v>
      </x:c>
      <x:c r="P200" s="84" t="str">
        <x:v>POS_2024_03</x:v>
      </x:c>
      <x:c r="Q200" s="84" t="str">
        <x:v>Bluetooth Speaker</x:v>
      </x:c>
      <x:c r="R200" s="84" t="str">
        <x:v> ELECTRONICS </x:v>
      </x:c>
    </x:row>
    <x:row r="201">
      <x:c r="A201" s="84" t="str">
        <x:v>ORD-2024-00976</x:v>
      </x:c>
      <x:c r="B201" s="85" t="n">
        <x:v>45372</x:v>
      </x:c>
      <x:c r="C201" s="84" t="str">
        <x:v>CUST-0626</x:v>
      </x:c>
      <x:c r="D201" s="84" t="str">
        <x:v>Theo Irwin</x:v>
      </x:c>
      <x:c r="E201" s="84" t="str"/>
      <x:c r="F201" s="84" t="str">
        <x:v>midwest</x:v>
      </x:c>
      <x:c r="G201" s="84" t="str">
        <x:v>Minneapolis</x:v>
      </x:c>
      <x:c r="H201" s="84" t="str">
        <x:v>Marketplace </x:v>
      </x:c>
      <x:c r="I201" s="84" t="str">
        <x:v>HOME-006</x:v>
      </x:c>
      <x:c r="J201" s="86" t="n">
        <x:v>3</x:v>
      </x:c>
      <x:c r="K201" s="87" t="n">
        <x:v>0</x:v>
      </x:c>
      <x:c r="L201" s="84" t="str">
        <x:v>Completed</x:v>
      </x:c>
      <x:c r="M201" s="84" t="str">
        <x:v>Credit Card</x:v>
      </x:c>
      <x:c r="N201" s="84" t="str">
        <x:v>Zoe Turner</x:v>
      </x:c>
      <x:c r="O201" s="85" t="n">
        <x:v>45377</x:v>
      </x:c>
      <x:c r="P201" s="84" t="str">
        <x:v>MKT_2024_03</x:v>
      </x:c>
      <x:c r="Q201" s="84" t="str">
        <x:v>Food Storage Set</x:v>
      </x:c>
      <x:c r="R201" s="84" t="str">
        <x:v>Home &amp; Kitchen</x:v>
      </x:c>
    </x:row>
    <x:row r="202">
      <x:c r="A202" s="84" t="str">
        <x:v>ORD-2024-01490</x:v>
      </x:c>
      <x:c r="B202" s="85" t="n">
        <x:v>45372</x:v>
      </x:c>
      <x:c r="C202" s="84" t="str">
        <x:v>CUST-0299</x:v>
      </x:c>
      <x:c r="D202" s="84" t="str">
        <x:v>Caleb Lewis</x:v>
      </x:c>
      <x:c r="E202" s="84" t="str">
        <x:v>Consumer</x:v>
      </x:c>
      <x:c r="F202" s="84" t="str">
        <x:v>Northeast</x:v>
      </x:c>
      <x:c r="G202" s="84" t="str">
        <x:v>New York</x:v>
      </x:c>
      <x:c r="H202" s="84" t="str">
        <x:v>Retail Store</x:v>
      </x:c>
      <x:c r="I202" s="84" t="str">
        <x:v>ELEC-005</x:v>
      </x:c>
      <x:c r="J202" s="86" t="n">
        <x:v>2</x:v>
      </x:c>
      <x:c r="K202" s="87" t="n">
        <x:v>0</x:v>
      </x:c>
      <x:c r="L202" s="84" t="str">
        <x:v>Completed </x:v>
      </x:c>
      <x:c r="M202" s="84" t="str">
        <x:v> DEBIT CARD </x:v>
      </x:c>
      <x:c r="N202" s="84" t="str">
        <x:v>Maya Brooks</x:v>
      </x:c>
      <x:c r="O202" s="85" t="n">
        <x:v>45373</x:v>
      </x:c>
      <x:c r="P202" s="84" t="str">
        <x:v>POS_2024_03</x:v>
      </x:c>
      <x:c r="Q202" s="84" t="str">
        <x:v>HD Webcam</x:v>
      </x:c>
      <x:c r="R202" s="84" t="str">
        <x:v>Electronics</x:v>
      </x:c>
    </x:row>
    <x:row r="203">
      <x:c r="A203" s="84" t="str">
        <x:v>ORD-2024-01564</x:v>
      </x:c>
      <x:c r="B203" s="85" t="n">
        <x:v>45372</x:v>
      </x:c>
      <x:c r="C203" s="84" t="str">
        <x:v>CUST-0310</x:v>
      </x:c>
      <x:c r="D203" s="84" t="str">
        <x:v>Marcus Patel</x:v>
      </x:c>
      <x:c r="E203" s="84" t="str">
        <x:v> CONSUMER </x:v>
      </x:c>
      <x:c r="F203" s="84" t="str">
        <x:v>Midwest</x:v>
      </x:c>
      <x:c r="G203" s="84" t="str">
        <x:v>Columbus</x:v>
      </x:c>
      <x:c r="H203" s="84" t="str">
        <x:v>Retail Store </x:v>
      </x:c>
      <x:c r="I203" s="84" t="str">
        <x:v>OFFC-004</x:v>
      </x:c>
      <x:c r="J203" s="86" t="n">
        <x:v>1</x:v>
      </x:c>
      <x:c r="K203" s="87" t="n">
        <x:v>0.05</x:v>
      </x:c>
      <x:c r="L203" s="84" t="str">
        <x:v>Completed</x:v>
      </x:c>
      <x:c r="M203" s="84" t="str">
        <x:v>Mobile Wallet</x:v>
      </x:c>
      <x:c r="N203" s="84" t="str">
        <x:v>emma hayes</x:v>
      </x:c>
      <x:c r="O203" s="85" t="n">
        <x:v>45372</x:v>
      </x:c>
      <x:c r="P203" s="84" t="str">
        <x:v>POS_2024_03</x:v>
      </x:c>
      <x:c r="Q203" s="84" t="str">
        <x:v>Premium Notebook Pack</x:v>
      </x:c>
      <x:c r="R203" s="84" t="str">
        <x:v>Office</x:v>
      </x:c>
    </x:row>
    <x:row r="204">
      <x:c r="A204" s="84" t="str">
        <x:v>ORD-2024-02115</x:v>
      </x:c>
      <x:c r="B204" s="85" t="n">
        <x:v>45372</x:v>
      </x:c>
      <x:c r="C204" s="84" t="str">
        <x:v>CUST-0555</x:v>
      </x:c>
      <x:c r="D204" s="84" t="str">
        <x:v>Marcus Nelson</x:v>
      </x:c>
      <x:c r="E204" s="84" t="str">
        <x:v>Corporate</x:v>
      </x:c>
      <x:c r="F204" s="84" t="str">
        <x:v>West</x:v>
      </x:c>
      <x:c r="G204" s="84" t="str">
        <x:v>Seattle</x:v>
      </x:c>
      <x:c r="H204" s="84" t="str">
        <x:v>Retail Store</x:v>
      </x:c>
      <x:c r="I204" s="84" t="str">
        <x:v>FITN-003</x:v>
      </x:c>
      <x:c r="J204" s="86" t="n">
        <x:v>2</x:v>
      </x:c>
      <x:c r="K204" s="87" t="n">
        <x:v>0</x:v>
      </x:c>
      <x:c r="L204" s="84" t="str">
        <x:v>Completed</x:v>
      </x:c>
      <x:c r="M204" s="84" t="str">
        <x:v>Mobile Wallet</x:v>
      </x:c>
      <x:c r="N204" s="84" t="str">
        <x:v>Nora Kim</x:v>
      </x:c>
      <x:c r="O204" s="85" t="n">
        <x:v>45372</x:v>
      </x:c>
      <x:c r="P204" s="84" t="str">
        <x:v>POS_2024_03</x:v>
      </x:c>
      <x:c r="Q204" s="84" t="str">
        <x:v>Resistance Band Set </x:v>
      </x:c>
      <x:c r="R204" s="84" t="str">
        <x:v>fitness</x:v>
      </x:c>
    </x:row>
    <x:row r="205">
      <x:c r="A205" s="84" t="str">
        <x:v>ORD-2024-00439</x:v>
      </x:c>
      <x:c r="B205" s="85" t="n">
        <x:v>45373</x:v>
      </x:c>
      <x:c r="C205" s="84" t="str">
        <x:v>CUST-0255</x:v>
      </x:c>
      <x:c r="D205" s="84" t="str">
        <x:v> LAYLA SMITH </x:v>
      </x:c>
      <x:c r="E205" s="84" t="str">
        <x:v>Consumer</x:v>
      </x:c>
      <x:c r="F205" s="84" t="str">
        <x:v> WEST </x:v>
      </x:c>
      <x:c r="G205" s="84" t="str">
        <x:v>Seattle</x:v>
      </x:c>
      <x:c r="H205" s="84" t="str">
        <x:v>Online</x:v>
      </x:c>
      <x:c r="I205" s="84" t="str">
        <x:v>FITN-001</x:v>
      </x:c>
      <x:c r="J205" s="86" t="n">
        <x:v>1</x:v>
      </x:c>
      <x:c r="K205" s="87" t="n">
        <x:v>0.1</x:v>
      </x:c>
      <x:c r="L205" s="84" t="str">
        <x:v>Completed</x:v>
      </x:c>
      <x:c r="M205" s="84" t="str">
        <x:v>credit card</x:v>
      </x:c>
      <x:c r="N205" s="84" t="str">
        <x:v>Mia Chen</x:v>
      </x:c>
      <x:c r="O205" s="85" t="n">
        <x:v>45377</x:v>
      </x:c>
      <x:c r="P205" s="84" t="str">
        <x:v>WEB_2024_03</x:v>
      </x:c>
      <x:c r="Q205" s="84" t="str">
        <x:v>Yoga Mat</x:v>
      </x:c>
      <x:c r="R205" s="84" t="str">
        <x:v>Fitness</x:v>
      </x:c>
    </x:row>
    <x:row r="206">
      <x:c r="A206" s="84" t="str">
        <x:v>ORD-2024-01751</x:v>
      </x:c>
      <x:c r="B206" s="85" t="n">
        <x:v>45374</x:v>
      </x:c>
      <x:c r="C206" s="84" t="str">
        <x:v>CUST-0557</x:v>
      </x:c>
      <x:c r="D206" s="84" t="str">
        <x:v>Isaac Smith</x:v>
      </x:c>
      <x:c r="E206" s="84" t="str">
        <x:v> CONSUMER </x:v>
      </x:c>
      <x:c r="F206" s="84" t="str">
        <x:v>Northeast</x:v>
      </x:c>
      <x:c r="G206" s="84" t="str">
        <x:v>Boston</x:v>
      </x:c>
      <x:c r="H206" s="84" t="str">
        <x:v>Online</x:v>
      </x:c>
      <x:c r="I206" s="84" t="str">
        <x:v>ELEC-003</x:v>
      </x:c>
      <x:c r="J206" s="86" t="n">
        <x:v>3</x:v>
      </x:c>
      <x:c r="K206" s="87" t="n">
        <x:v>0.05</x:v>
      </x:c>
      <x:c r="L206" s="84" t="str">
        <x:v>Completed</x:v>
      </x:c>
      <x:c r="M206" s="84" t="str">
        <x:v>Credit Card</x:v>
      </x:c>
      <x:c r="N206" s="84" t="str">
        <x:v>sofia bennett</x:v>
      </x:c>
      <x:c r="O206" s="85" t="n">
        <x:v>45378</x:v>
      </x:c>
      <x:c r="P206" s="84" t="str">
        <x:v>WEB_2024_03</x:v>
      </x:c>
      <x:c r="Q206" s="84" t="str">
        <x:v>Bluetooth Speaker </x:v>
      </x:c>
      <x:c r="R206" s="84" t="str">
        <x:v>Electronics</x:v>
      </x:c>
    </x:row>
    <x:row r="207">
      <x:c r="A207" s="84" t="str">
        <x:v>ORD-2024-00114</x:v>
      </x:c>
      <x:c r="B207" s="85" t="n">
        <x:v>45375</x:v>
      </x:c>
      <x:c r="C207" s="84" t="str">
        <x:v>CUST-0193</x:v>
      </x:c>
      <x:c r="D207" s="84" t="str">
        <x:v>Marcus Davis</x:v>
      </x:c>
      <x:c r="E207" s="84" t="str">
        <x:v>Corporate</x:v>
      </x:c>
      <x:c r="F207" s="84" t="str">
        <x:v>Midwest</x:v>
      </x:c>
      <x:c r="G207" s="84" t="str">
        <x:v>columbus</x:v>
      </x:c>
      <x:c r="H207" s="84" t="str">
        <x:v>Marketplace</x:v>
      </x:c>
      <x:c r="I207" s="84" t="str">
        <x:v>FITN-002</x:v>
      </x:c>
      <x:c r="J207" s="86" t="n">
        <x:v>2</x:v>
      </x:c>
      <x:c r="K207" s="87" t="n">
        <x:v>0.1</x:v>
      </x:c>
      <x:c r="L207" s="84" t="str">
        <x:v>completed</x:v>
      </x:c>
      <x:c r="M207" s="84" t="str">
        <x:v>Mobile Wallet</x:v>
      </x:c>
      <x:c r="N207" s="84" t="str">
        <x:v>Emma Hayes</x:v>
      </x:c>
      <x:c r="O207" s="85" t="n">
        <x:v>45379</x:v>
      </x:c>
      <x:c r="P207" s="84" t="str">
        <x:v>MKT_2024_03</x:v>
      </x:c>
      <x:c r="Q207" s="84" t="str">
        <x:v>Adjustable Dumbbell Set</x:v>
      </x:c>
      <x:c r="R207" s="84" t="str">
        <x:v>Fitness </x:v>
      </x:c>
    </x:row>
    <x:row r="208">
      <x:c r="A208" s="84" t="str">
        <x:v>ORD-2024-00500</x:v>
      </x:c>
      <x:c r="B208" s="85" t="n">
        <x:v>45375</x:v>
      </x:c>
      <x:c r="C208" s="84" t="str">
        <x:v>CUST-0153</x:v>
      </x:c>
      <x:c r="D208" s="84" t="str">
        <x:v>Marcus Evans</x:v>
      </x:c>
      <x:c r="E208" s="84" t="str">
        <x:v>Corporate</x:v>
      </x:c>
      <x:c r="F208" s="84" t="str">
        <x:v>Northeast</x:v>
      </x:c>
      <x:c r="G208" s="84" t="str">
        <x:v>Philadelphia</x:v>
      </x:c>
      <x:c r="H208" s="84" t="str">
        <x:v>Marketplace </x:v>
      </x:c>
      <x:c r="I208" s="84" t="str">
        <x:v>ELEC-005</x:v>
      </x:c>
      <x:c r="J208" s="86" t="n">
        <x:v>2</x:v>
      </x:c>
      <x:c r="K208" s="87" t="n">
        <x:v>0.05</x:v>
      </x:c>
      <x:c r="L208" s="84" t="str">
        <x:v>Completed</x:v>
      </x:c>
      <x:c r="M208" s="84" t="str">
        <x:v>PayPal</x:v>
      </x:c>
      <x:c r="N208" s="84" t="str">
        <x:v>Sofia Bennett</x:v>
      </x:c>
      <x:c r="O208" s="85" t="n">
        <x:v>45378</x:v>
      </x:c>
      <x:c r="P208" s="84" t="str">
        <x:v>MKT_2024_03</x:v>
      </x:c>
      <x:c r="Q208" s="84" t="str">
        <x:v>HD Webcam</x:v>
      </x:c>
      <x:c r="R208" s="84" t="str">
        <x:v>Electronics</x:v>
      </x:c>
    </x:row>
    <x:row r="209">
      <x:c r="A209" s="84" t="str">
        <x:v>ORD-2024-00784</x:v>
      </x:c>
      <x:c r="B209" s="85" t="n">
        <x:v>45375</x:v>
      </x:c>
      <x:c r="C209" s="84" t="str">
        <x:v>CUST-0132</x:v>
      </x:c>
      <x:c r="D209" s="84" t="str">
        <x:v>Chloe Taylor</x:v>
      </x:c>
      <x:c r="E209" s="84" t="str">
        <x:v>Corporate </x:v>
      </x:c>
      <x:c r="F209" s="84" t="str">
        <x:v>Southeast</x:v>
      </x:c>
      <x:c r="G209" s="84" t="str">
        <x:v>Atlanta </x:v>
      </x:c>
      <x:c r="H209" s="84" t="str">
        <x:v>Retail Store</x:v>
      </x:c>
      <x:c r="I209" s="84" t="str">
        <x:v>HOME-005</x:v>
      </x:c>
      <x:c r="J209" s="86" t="n">
        <x:v>2</x:v>
      </x:c>
      <x:c r="K209" s="87" t="n">
        <x:v>0.1</x:v>
      </x:c>
      <x:c r="L209" s="84" t="str">
        <x:v>Completed</x:v>
      </x:c>
      <x:c r="M209" s="84" t="str">
        <x:v>Credit Card</x:v>
      </x:c>
      <x:c r="N209" s="84" t="str">
        <x:v>Ava Mitchell</x:v>
      </x:c>
      <x:c r="O209" s="85" t="n">
        <x:v>45375</x:v>
      </x:c>
      <x:c r="P209" s="84" t="str">
        <x:v>POS_2024_03</x:v>
      </x:c>
      <x:c r="Q209" s="84" t="str">
        <x:v>Cordless Vacuum</x:v>
      </x:c>
      <x:c r="R209" s="84" t="str">
        <x:v>home &amp; kitchen</x:v>
      </x:c>
    </x:row>
    <x:row r="210">
      <x:c r="A210" s="84" t="str">
        <x:v>ORD-2024-01264</x:v>
      </x:c>
      <x:c r="B210" s="85" t="n">
        <x:v>45375</x:v>
      </x:c>
      <x:c r="C210" s="84" t="str">
        <x:v>CUST-0455</x:v>
      </x:c>
      <x:c r="D210" s="84" t="str">
        <x:v>Nathan Carter</x:v>
      </x:c>
      <x:c r="E210" s="84" t="str">
        <x:v>Consumer</x:v>
      </x:c>
      <x:c r="F210" s="84" t="str">
        <x:v>West </x:v>
      </x:c>
      <x:c r="G210" s="84" t="str">
        <x:v>Seattle</x:v>
      </x:c>
      <x:c r="H210" s="84" t="str">
        <x:v> ONLINE </x:v>
      </x:c>
      <x:c r="I210" s="84" t="str">
        <x:v>HOME-005</x:v>
      </x:c>
      <x:c r="J210" s="86" t="n">
        <x:v>1</x:v>
      </x:c>
      <x:c r="K210" s="87" t="n">
        <x:v>0</x:v>
      </x:c>
      <x:c r="L210" s="84" t="str">
        <x:v>Completed</x:v>
      </x:c>
      <x:c r="M210" s="84" t="str">
        <x:v>credit card</x:v>
      </x:c>
      <x:c r="N210" s="84" t="str">
        <x:v>Leo Martinez </x:v>
      </x:c>
      <x:c r="O210" s="85" t="n">
        <x:v>45377</x:v>
      </x:c>
      <x:c r="P210" s="84" t="str">
        <x:v>WEB_2024_03</x:v>
      </x:c>
      <x:c r="Q210" s="84" t="str">
        <x:v>Cordless Vacuum</x:v>
      </x:c>
      <x:c r="R210" s="84" t="str">
        <x:v>Home &amp; Kitchen</x:v>
      </x:c>
    </x:row>
    <x:row r="211">
      <x:c r="A211" s="84" t="str">
        <x:v>ORD-2024-01897</x:v>
      </x:c>
      <x:c r="B211" s="85" t="n">
        <x:v>45375</x:v>
      </x:c>
      <x:c r="C211" s="84" t="str">
        <x:v>CUST-0283</x:v>
      </x:c>
      <x:c r="D211" s="84" t="str">
        <x:v>Priya Adams</x:v>
      </x:c>
      <x:c r="E211" s="84" t="str">
        <x:v>Consumer </x:v>
      </x:c>
      <x:c r="F211" s="84" t="str">
        <x:v>West</x:v>
      </x:c>
      <x:c r="G211" s="84" t="str">
        <x:v> DENVER </x:v>
      </x:c>
      <x:c r="H211" s="84" t="str">
        <x:v>Marketplace</x:v>
      </x:c>
      <x:c r="I211" s="84" t="str">
        <x:v>ACCS-002</x:v>
      </x:c>
      <x:c r="J211" s="86" t="n">
        <x:v>1</x:v>
      </x:c>
      <x:c r="K211" s="87" t="n">
        <x:v>0.1</x:v>
      </x:c>
      <x:c r="L211" s="84" t="str">
        <x:v>Completed</x:v>
      </x:c>
      <x:c r="M211" s="84" t="str">
        <x:v>Mobile Wallet</x:v>
      </x:c>
      <x:c r="N211" s="84" t="str">
        <x:v>Mia Chen</x:v>
      </x:c>
      <x:c r="O211" s="85" t="n">
        <x:v>45382</x:v>
      </x:c>
      <x:c r="P211" s="84" t="str">
        <x:v>MKT_2024_03</x:v>
      </x:c>
      <x:c r="Q211" s="84" t="str">
        <x:v>Travel Backpack</x:v>
      </x:c>
      <x:c r="R211" s="84" t="str">
        <x:v>Accessories</x:v>
      </x:c>
    </x:row>
    <x:row r="212">
      <x:c r="A212" s="84" t="str">
        <x:v>ORD-2024-00346</x:v>
      </x:c>
      <x:c r="B212" s="85" t="n">
        <x:v>45376</x:v>
      </x:c>
      <x:c r="C212" s="84" t="str">
        <x:v>CUST-0586</x:v>
      </x:c>
      <x:c r="D212" s="84" t="str">
        <x:v>Isaac Adams</x:v>
      </x:c>
      <x:c r="E212" s="84" t="str">
        <x:v>Small Business</x:v>
      </x:c>
      <x:c r="F212" s="84" t="str">
        <x:v>Midwest</x:v>
      </x:c>
      <x:c r="G212" s="84" t="str">
        <x:v>Detroit</x:v>
      </x:c>
      <x:c r="H212" s="84" t="str">
        <x:v> MARKETPLACE </x:v>
      </x:c>
      <x:c r="I212" s="84" t="str">
        <x:v>HOME-001</x:v>
      </x:c>
      <x:c r="J212" s="86" t="n">
        <x:v>4</x:v>
      </x:c>
      <x:c r="K212" s="87" t="n">
        <x:v>0.1</x:v>
      </x:c>
      <x:c r="L212" s="84" t="str">
        <x:v>Completed</x:v>
      </x:c>
      <x:c r="M212" s="84" t="str">
        <x:v>Mobile Wallet</x:v>
      </x:c>
      <x:c r="N212" s="84" t="str">
        <x:v>Zoe Turner</x:v>
      </x:c>
      <x:c r="O212" s="85" t="n">
        <x:v>45384</x:v>
      </x:c>
      <x:c r="P212" s="84" t="str">
        <x:v>MKT_2024_03</x:v>
      </x:c>
      <x:c r="Q212" s="84" t="str">
        <x:v>Air Fryer</x:v>
      </x:c>
      <x:c r="R212" s="84" t="str">
        <x:v>Home &amp; Kitchen</x:v>
      </x:c>
    </x:row>
    <x:row r="213">
      <x:c r="A213" s="84" t="str">
        <x:v>ORD-2024-00874</x:v>
      </x:c>
      <x:c r="B213" s="85" t="n">
        <x:v>45376</x:v>
      </x:c>
      <x:c r="C213" s="84" t="str">
        <x:v>CUST-0053</x:v>
      </x:c>
      <x:c r="D213" s="84" t="str">
        <x:v>Theo Patel</x:v>
      </x:c>
      <x:c r="E213" s="84" t="str">
        <x:v>Small Business</x:v>
      </x:c>
      <x:c r="F213" s="84" t="str">
        <x:v>West</x:v>
      </x:c>
      <x:c r="G213" s="84" t="str">
        <x:v>Los Angeles</x:v>
      </x:c>
      <x:c r="H213" s="84" t="str">
        <x:v>Retail Store</x:v>
      </x:c>
      <x:c r="I213" s="84" t="str">
        <x:v>HOME-003</x:v>
      </x:c>
      <x:c r="J213" s="86" t="n">
        <x:v>1</x:v>
      </x:c>
      <x:c r="K213" s="87" t="n">
        <x:v>0.05</x:v>
      </x:c>
      <x:c r="L213" s="84" t="str">
        <x:v>Completed </x:v>
      </x:c>
      <x:c r="M213" s="84" t="str">
        <x:v>Debit Card</x:v>
      </x:c>
      <x:c r="N213" s="84" t="str">
        <x:v>Nora Kim</x:v>
      </x:c>
      <x:c r="O213" s="85" t="n">
        <x:v>45376</x:v>
      </x:c>
      <x:c r="P213" s="84" t="str">
        <x:v>POS_2024_03</x:v>
      </x:c>
      <x:c r="Q213" s="84" t="str">
        <x:v>Countertop Blender</x:v>
      </x:c>
      <x:c r="R213" s="84" t="str">
        <x:v>Home &amp; Kitchen</x:v>
      </x:c>
    </x:row>
    <x:row r="214">
      <x:c r="A214" s="84" t="str">
        <x:v>ORD-2024-01030</x:v>
      </x:c>
      <x:c r="B214" s="85" t="n">
        <x:v>45376</x:v>
      </x:c>
      <x:c r="C214" s="84" t="str">
        <x:v>CUST-0114</x:v>
      </x:c>
      <x:c r="D214" s="84" t="str">
        <x:v>amelia smith</x:v>
      </x:c>
      <x:c r="E214" s="84" t="str">
        <x:v>Corporate</x:v>
      </x:c>
      <x:c r="F214" s="84" t="str">
        <x:v>Midwest</x:v>
      </x:c>
      <x:c r="G214" s="84" t="str">
        <x:v> MINNEAPOLIS </x:v>
      </x:c>
      <x:c r="H214" s="84" t="str">
        <x:v>Online</x:v>
      </x:c>
      <x:c r="I214" s="84" t="str">
        <x:v>CARE-003</x:v>
      </x:c>
      <x:c r="J214" s="86" t="n">
        <x:v>3</x:v>
      </x:c>
      <x:c r="K214" s="87" t="n">
        <x:v>0.1</x:v>
      </x:c>
      <x:c r="L214" s="84" t="str">
        <x:v>Completed</x:v>
      </x:c>
      <x:c r="M214" s="84" t="str">
        <x:v>Debit Card</x:v>
      </x:c>
      <x:c r="N214" s="84" t="str">
        <x:v>Emma Hayes</x:v>
      </x:c>
      <x:c r="O214" s="85" t="n">
        <x:v>45382</x:v>
      </x:c>
      <x:c r="P214" s="84" t="str">
        <x:v>WEB_2024_03</x:v>
      </x:c>
      <x:c r="Q214" s="84" t="str">
        <x:v>Facial Cleanser </x:v>
      </x:c>
      <x:c r="R214" s="84" t="str">
        <x:v>Personal Care</x:v>
      </x:c>
    </x:row>
    <x:row r="215">
      <x:c r="A215" s="84" t="str">
        <x:v>ORD-2024-01584</x:v>
      </x:c>
      <x:c r="B215" s="85" t="n">
        <x:v>45377</x:v>
      </x:c>
      <x:c r="C215" s="84" t="str">
        <x:v>CUST-0052</x:v>
      </x:c>
      <x:c r="D215" s="84" t="str">
        <x:v>Elias Adams</x:v>
      </x:c>
      <x:c r="E215" s="84" t="str">
        <x:v>consumer</x:v>
      </x:c>
      <x:c r="F215" s="84" t="str">
        <x:v>Southeast</x:v>
      </x:c>
      <x:c r="G215" s="84" t="str">
        <x:v>Atlanta</x:v>
      </x:c>
      <x:c r="H215" s="84" t="str">
        <x:v>online</x:v>
      </x:c>
      <x:c r="I215" s="84" t="str">
        <x:v>CARE-004</x:v>
      </x:c>
      <x:c r="J215" s="86" t="n">
        <x:v>1</x:v>
      </x:c>
      <x:c r="K215" s="87" t="n">
        <x:v>0</x:v>
      </x:c>
      <x:c r="L215" s="84" t="str">
        <x:v>Completed</x:v>
      </x:c>
      <x:c r="M215" s="84" t="str">
        <x:v>Mobile Wallet</x:v>
      </x:c>
      <x:c r="N215" s="84" t="str">
        <x:v> LIAM PARKER </x:v>
      </x:c>
      <x:c r="O215" s="85" t="n">
        <x:v>45380</x:v>
      </x:c>
      <x:c r="P215" s="84" t="str">
        <x:v>WEB_2024_03</x:v>
      </x:c>
      <x:c r="Q215" s="84" t="str">
        <x:v>Electric Toothbrush</x:v>
      </x:c>
      <x:c r="R215" s="84" t="str">
        <x:v>Personal Care </x:v>
      </x:c>
    </x:row>
    <x:row r="216">
      <x:c r="A216" s="84" t="str">
        <x:v>ORD-2024-01736</x:v>
      </x:c>
      <x:c r="B216" s="85" t="n">
        <x:v>45377</x:v>
      </x:c>
      <x:c r="C216" s="84" t="str">
        <x:v>CUST-0523</x:v>
      </x:c>
      <x:c r="D216" s="84" t="str">
        <x:v>Chloe Foster</x:v>
      </x:c>
      <x:c r="E216" s="84" t="str">
        <x:v>Consumer </x:v>
      </x:c>
      <x:c r="F216" s="84" t="str">
        <x:v>Northeast</x:v>
      </x:c>
      <x:c r="G216" s="84" t="str">
        <x:v>Boston </x:v>
      </x:c>
      <x:c r="H216" s="84" t="str">
        <x:v>Online</x:v>
      </x:c>
      <x:c r="I216" s="84" t="str">
        <x:v>HOME-002</x:v>
      </x:c>
      <x:c r="J216" s="86" t="n">
        <x:v>1</x:v>
      </x:c>
      <x:c r="K216" s="87" t="n">
        <x:v>0.15</x:v>
      </x:c>
      <x:c r="L216" s="84" t="str">
        <x:v>Completed</x:v>
      </x:c>
      <x:c r="M216" s="84" t="str">
        <x:v>Debit Card</x:v>
      </x:c>
      <x:c r="N216" s="84" t="str">
        <x:v>Ethan Cole</x:v>
      </x:c>
      <x:c r="O216" s="85" t="n">
        <x:v>45379</x:v>
      </x:c>
      <x:c r="P216" s="84" t="str">
        <x:v>WEB_2024_03</x:v>
      </x:c>
      <x:c r="Q216" s="84" t="str">
        <x:v>electric kettle</x:v>
      </x:c>
      <x:c r="R216" s="84" t="str">
        <x:v>Home &amp; Kitchen</x:v>
      </x:c>
    </x:row>
    <x:row r="217">
      <x:c r="A217" s="84" t="str">
        <x:v>ORD-2024-01840</x:v>
      </x:c>
      <x:c r="B217" s="85" t="n">
        <x:v>45377</x:v>
      </x:c>
      <x:c r="C217" s="84" t="str">
        <x:v>CUST-0146</x:v>
      </x:c>
      <x:c r="D217" s="84" t="str">
        <x:v>Elena Quinn</x:v>
      </x:c>
      <x:c r="E217" s="84" t="str">
        <x:v>Consumer</x:v>
      </x:c>
      <x:c r="F217" s="84" t="str">
        <x:v>West</x:v>
      </x:c>
      <x:c r="G217" s="84" t="str">
        <x:v>Seattle</x:v>
      </x:c>
      <x:c r="H217" s="84" t="str">
        <x:v>Marketplace</x:v>
      </x:c>
      <x:c r="I217" s="84" t="str">
        <x:v>OFFC-005</x:v>
      </x:c>
      <x:c r="J217" s="86" t="n">
        <x:v>2</x:v>
      </x:c>
      <x:c r="K217" s="87" t="n">
        <x:v>0.05</x:v>
      </x:c>
      <x:c r="L217" s="84" t="str">
        <x:v>Completed </x:v>
      </x:c>
      <x:c r="M217" s="84" t="str">
        <x:v>PayPal</x:v>
      </x:c>
      <x:c r="N217" s="84" t="str">
        <x:v>Mia Chen</x:v>
      </x:c>
      <x:c r="O217" s="85" t="n">
        <x:v>45382</x:v>
      </x:c>
      <x:c r="P217" s="84" t="str">
        <x:v>MKT_2024_03</x:v>
      </x:c>
      <x:c r="Q217" s="84" t="str">
        <x:v> WIRELESS KEYBOARD </x:v>
      </x:c>
      <x:c r="R217" s="84" t="str">
        <x:v>office</x:v>
      </x:c>
    </x:row>
    <x:row r="218">
      <x:c r="A218" s="84" t="str">
        <x:v>ORD-2024-00840</x:v>
      </x:c>
      <x:c r="B218" s="85" t="n">
        <x:v>45378</x:v>
      </x:c>
      <x:c r="C218" s="84" t="str">
        <x:v>CUST-0394</x:v>
      </x:c>
      <x:c r="D218" s="84" t="str">
        <x:v>Priya Nelson</x:v>
      </x:c>
      <x:c r="E218" s="84" t="str">
        <x:v>Corporate </x:v>
      </x:c>
      <x:c r="F218" s="84" t="str">
        <x:v>West</x:v>
      </x:c>
      <x:c r="G218" s="84" t="str">
        <x:v>denver</x:v>
      </x:c>
      <x:c r="H218" s="84" t="str">
        <x:v>Online</x:v>
      </x:c>
      <x:c r="I218" s="84" t="str">
        <x:v>OFFC-002</x:v>
      </x:c>
      <x:c r="J218" s="86" t="n">
        <x:v>2</x:v>
      </x:c>
      <x:c r="K218" s="87" t="n">
        <x:v>0.05</x:v>
      </x:c>
      <x:c r="L218" s="84" t="str">
        <x:v>completed</x:v>
      </x:c>
      <x:c r="M218" s="84" t="str">
        <x:v>Debit Card</x:v>
      </x:c>
      <x:c r="N218" s="84" t="str">
        <x:v>Nora Kim</x:v>
      </x:c>
      <x:c r="O218" s="85" t="n">
        <x:v>45380</x:v>
      </x:c>
      <x:c r="P218" s="84" t="str">
        <x:v>WEB_2024_03</x:v>
      </x:c>
      <x:c r="Q218" s="84" t="str">
        <x:v>Standing Desk</x:v>
      </x:c>
      <x:c r="R218" s="84" t="str">
        <x:v>Office</x:v>
      </x:c>
    </x:row>
    <x:row r="219">
      <x:c r="A219" s="84" t="str">
        <x:v>ORD-2024-01139</x:v>
      </x:c>
      <x:c r="B219" s="85" t="n">
        <x:v>45378</x:v>
      </x:c>
      <x:c r="C219" s="84" t="str">
        <x:v>CUST-0002</x:v>
      </x:c>
      <x:c r="D219" s="84" t="str">
        <x:v>Isaac Ortiz </x:v>
      </x:c>
      <x:c r="E219" s="84" t="str">
        <x:v> CORPORATE </x:v>
      </x:c>
      <x:c r="F219" s="84" t="str">
        <x:v>Northeast</x:v>
      </x:c>
      <x:c r="G219" s="84" t="str">
        <x:v>New York</x:v>
      </x:c>
      <x:c r="H219" s="84" t="str">
        <x:v>Marketplace</x:v>
      </x:c>
      <x:c r="I219" s="84" t="str">
        <x:v>ACCS-001</x:v>
      </x:c>
      <x:c r="J219" s="86" t="n">
        <x:v>8</x:v>
      </x:c>
      <x:c r="K219" s="87" t="n">
        <x:v>0.2</x:v>
      </x:c>
      <x:c r="L219" s="84" t="str">
        <x:v>Completed</x:v>
      </x:c>
      <x:c r="M219" s="84" t="str">
        <x:v>Credit Card </x:v>
      </x:c>
      <x:c r="N219" s="84" t="str">
        <x:v>Ethan Cole</x:v>
      </x:c>
      <x:c r="O219" s="85" t="n">
        <x:v>45384</x:v>
      </x:c>
      <x:c r="P219" s="84" t="str">
        <x:v>MKT_2024_03</x:v>
      </x:c>
      <x:c r="Q219" s="84" t="str">
        <x:v>Canvas Tote Bag</x:v>
      </x:c>
      <x:c r="R219" s="84" t="str">
        <x:v>Accessories</x:v>
      </x:c>
    </x:row>
    <x:row r="220">
      <x:c r="A220" s="84" t="str">
        <x:v>ORD-2024-01334</x:v>
      </x:c>
      <x:c r="B220" s="85" t="n">
        <x:v>45378</x:v>
      </x:c>
      <x:c r="C220" s="84" t="str">
        <x:v>CUST-0163</x:v>
      </x:c>
      <x:c r="D220" s="84" t="str">
        <x:v>Aiden Davis</x:v>
      </x:c>
      <x:c r="E220" s="84" t="str">
        <x:v>Consumer</x:v>
      </x:c>
      <x:c r="F220" s="84" t="str">
        <x:v>Midwest </x:v>
      </x:c>
      <x:c r="G220" s="84" t="str">
        <x:v>Chicago</x:v>
      </x:c>
      <x:c r="H220" s="84" t="str">
        <x:v>Retail Store</x:v>
      </x:c>
      <x:c r="I220" s="84" t="str">
        <x:v>HOME-003</x:v>
      </x:c>
      <x:c r="J220" s="86" t="n">
        <x:v>1</x:v>
      </x:c>
      <x:c r="K220" s="87" t="n">
        <x:v>0.1</x:v>
      </x:c>
      <x:c r="L220" s="84" t="str">
        <x:v>Completed</x:v>
      </x:c>
      <x:c r="M220" s="84" t="str">
        <x:v>Cash</x:v>
      </x:c>
      <x:c r="N220" s="84" t="str">
        <x:v>Zoe Turner </x:v>
      </x:c>
      <x:c r="O220" s="85" t="n">
        <x:v>45378</x:v>
      </x:c>
      <x:c r="P220" s="84" t="str">
        <x:v>POS_2024_03</x:v>
      </x:c>
      <x:c r="Q220" s="84" t="str">
        <x:v>Countertop Blender</x:v>
      </x:c>
      <x:c r="R220" s="84" t="str">
        <x:v>home &amp; kitchen</x:v>
      </x:c>
    </x:row>
    <x:row r="221">
      <x:c r="A221" s="84" t="str">
        <x:v>ORD-2024-00426</x:v>
      </x:c>
      <x:c r="B221" s="85" t="n">
        <x:v>45379</x:v>
      </x:c>
      <x:c r="C221" s="84" t="str">
        <x:v>CUST-0136</x:v>
      </x:c>
      <x:c r="D221" s="84" t="str">
        <x:v>Elena Roberts</x:v>
      </x:c>
      <x:c r="E221" s="84" t="str">
        <x:v>Consumer</x:v>
      </x:c>
      <x:c r="F221" s="84" t="str">
        <x:v>southeast</x:v>
      </x:c>
      <x:c r="G221" s="84" t="str">
        <x:v>Atlanta</x:v>
      </x:c>
      <x:c r="H221" s="84" t="str">
        <x:v>Online</x:v>
      </x:c>
      <x:c r="I221" s="84" t="str">
        <x:v>HOME-003</x:v>
      </x:c>
      <x:c r="J221" s="86" t="n">
        <x:v>1</x:v>
      </x:c>
      <x:c r="K221" s="87" t="n">
        <x:v>0</x:v>
      </x:c>
      <x:c r="L221" s="84" t="str">
        <x:v>Completed </x:v>
      </x:c>
      <x:c r="M221" s="84" t="str">
        <x:v>Debit Card</x:v>
      </x:c>
      <x:c r="N221" s="84" t="str">
        <x:v>Liam Parker</x:v>
      </x:c>
      <x:c r="O221" s="85" t="n">
        <x:v>45382</x:v>
      </x:c>
      <x:c r="P221" s="84" t="str">
        <x:v>WEB_2024_03</x:v>
      </x:c>
      <x:c r="Q221" s="84" t="str">
        <x:v>Countertop Blender</x:v>
      </x:c>
      <x:c r="R221" s="84" t="str">
        <x:v>Home &amp; Kitchen</x:v>
      </x:c>
    </x:row>
    <x:row r="222">
      <x:c r="A222" s="84" t="str">
        <x:v>ORD-2024-01687</x:v>
      </x:c>
      <x:c r="B222" s="85" t="n">
        <x:v>45379</x:v>
      </x:c>
      <x:c r="C222" s="84" t="str">
        <x:v>CUST-0145</x:v>
      </x:c>
      <x:c r="D222" s="84" t="str">
        <x:v>Samuel Adams</x:v>
      </x:c>
      <x:c r="E222" s="84" t="str">
        <x:v>Consumer </x:v>
      </x:c>
      <x:c r="F222" s="84" t="str">
        <x:v>Southeast</x:v>
      </x:c>
      <x:c r="G222" s="84" t="str">
        <x:v>nashville</x:v>
      </x:c>
      <x:c r="H222" s="84" t="str">
        <x:v>Online</x:v>
      </x:c>
      <x:c r="I222" s="84" t="str">
        <x:v>ACCS-005</x:v>
      </x:c>
      <x:c r="J222" s="86" t="n">
        <x:v>4</x:v>
      </x:c>
      <x:c r="K222" s="87" t="n">
        <x:v>0</x:v>
      </x:c>
      <x:c r="L222" s="84" t="str">
        <x:v>completed</x:v>
      </x:c>
      <x:c r="M222" s="84" t="str">
        <x:v>PayPal</x:v>
      </x:c>
      <x:c r="N222" s="84" t="str">
        <x:v>Liam Parker</x:v>
      </x:c>
      <x:c r="O222" s="85" t="n">
        <x:v>45383</x:v>
      </x:c>
      <x:c r="P222" s="84" t="str">
        <x:v>WEB_2024_03</x:v>
      </x:c>
      <x:c r="Q222" s="84" t="str">
        <x:v> PROTECTIVE PHONE CASE </x:v>
      </x:c>
      <x:c r="R222" s="84" t="str">
        <x:v>Accessories</x:v>
      </x:c>
    </x:row>
    <x:row r="223">
      <x:c r="A223" s="84" t="str">
        <x:v>ORD-2024-02268</x:v>
      </x:c>
      <x:c r="B223" s="85" t="n">
        <x:v>45379</x:v>
      </x:c>
      <x:c r="C223" s="84" t="str">
        <x:v>CUST-0629</x:v>
      </x:c>
      <x:c r="D223" s="84" t="str">
        <x:v>Nina Garcia</x:v>
      </x:c>
      <x:c r="E223" s="84" t="str">
        <x:v>Consumer </x:v>
      </x:c>
      <x:c r="F223" s="84" t="str">
        <x:v>Southeast</x:v>
      </x:c>
      <x:c r="G223" s="84" t="str">
        <x:v>Charlotte </x:v>
      </x:c>
      <x:c r="H223" s="84" t="str">
        <x:v>Online</x:v>
      </x:c>
      <x:c r="I223" s="84" t="str">
        <x:v>FITN-001</x:v>
      </x:c>
      <x:c r="J223" s="86" t="n">
        <x:v>1</x:v>
      </x:c>
      <x:c r="K223" s="87" t="n">
        <x:v>0.05</x:v>
      </x:c>
      <x:c r="L223" s="84" t="str">
        <x:v>Completed</x:v>
      </x:c>
      <x:c r="M223" s="84" t="str">
        <x:v>PayPal</x:v>
      </x:c>
      <x:c r="N223" s="84" t="str">
        <x:v>liam parker</x:v>
      </x:c>
      <x:c r="O223" s="85" t="n">
        <x:v>45382</x:v>
      </x:c>
      <x:c r="P223" s="84" t="str">
        <x:v>WEB_2024_03</x:v>
      </x:c>
      <x:c r="Q223" s="84" t="str">
        <x:v>Yoga Mat</x:v>
      </x:c>
      <x:c r="R223" s="84" t="str">
        <x:v>Fitness</x:v>
      </x:c>
    </x:row>
    <x:row r="224">
      <x:c r="A224" s="84" t="str">
        <x:v>ORD-2024-00184</x:v>
      </x:c>
      <x:c r="B224" s="85" t="n">
        <x:v>45380</x:v>
      </x:c>
      <x:c r="C224" s="84" t="str">
        <x:v>CUST-0628</x:v>
      </x:c>
      <x:c r="D224" s="84" t="str">
        <x:v> ISAAC YOUNG </x:v>
      </x:c>
      <x:c r="E224" s="84" t="str">
        <x:v>Small Business</x:v>
      </x:c>
      <x:c r="F224" s="84" t="str">
        <x:v> WEST </x:v>
      </x:c>
      <x:c r="G224" s="84" t="str">
        <x:v>Denver</x:v>
      </x:c>
      <x:c r="H224" s="84" t="str">
        <x:v>Marketplace</x:v>
      </x:c>
      <x:c r="I224" s="84" t="str">
        <x:v>HOME-004</x:v>
      </x:c>
      <x:c r="J224" s="86" t="n">
        <x:v>3</x:v>
      </x:c>
      <x:c r="K224" s="87" t="n">
        <x:v>0.05</x:v>
      </x:c>
      <x:c r="L224" s="84" t="str">
        <x:v>Completed</x:v>
      </x:c>
      <x:c r="M224" s="84" t="str">
        <x:v>Debit Card</x:v>
      </x:c>
      <x:c r="N224" s="84" t="str">
        <x:v>Leo Martinez</x:v>
      </x:c>
      <x:c r="O224" s="85" t="n">
        <x:v>45388</x:v>
      </x:c>
      <x:c r="P224" s="84" t="str">
        <x:v>MKT_2024_03</x:v>
      </x:c>
      <x:c r="Q224" s="84" t="str">
        <x:v>Coffee Maker</x:v>
      </x:c>
      <x:c r="R224" s="84" t="str">
        <x:v>Home &amp; Kitchen </x:v>
      </x:c>
    </x:row>
    <x:row r="225">
      <x:c r="A225" s="84" t="str">
        <x:v>ORD-2024-00265</x:v>
      </x:c>
      <x:c r="B225" s="85" t="n">
        <x:v>45380</x:v>
      </x:c>
      <x:c r="C225" s="84" t="str">
        <x:v>CUST-0427</x:v>
      </x:c>
      <x:c r="D225" s="84" t="str">
        <x:v>Aiden Ortiz</x:v>
      </x:c>
      <x:c r="E225" s="84" t="str">
        <x:v>Consumer</x:v>
      </x:c>
      <x:c r="F225" s="84" t="str">
        <x:v>West</x:v>
      </x:c>
      <x:c r="G225" s="84" t="str">
        <x:v> LOS ANGELES </x:v>
      </x:c>
      <x:c r="H225" s="84" t="str">
        <x:v>Retail Store</x:v>
      </x:c>
      <x:c r="I225" s="84" t="str">
        <x:v>OFFC-006</x:v>
      </x:c>
      <x:c r="J225" s="86" t="n">
        <x:v>1</x:v>
      </x:c>
      <x:c r="K225" s="87" t="n">
        <x:v>0</x:v>
      </x:c>
      <x:c r="L225" s="84" t="str">
        <x:v>Completed </x:v>
      </x:c>
      <x:c r="M225" s="84" t="str">
        <x:v>Cash</x:v>
      </x:c>
      <x:c r="N225" s="84" t="str">
        <x:v>Leo Martinez</x:v>
      </x:c>
      <x:c r="O225" s="85" t="n">
        <x:v>45381</x:v>
      </x:c>
      <x:c r="P225" s="84" t="str">
        <x:v>POS_2024_03</x:v>
      </x:c>
      <x:c r="Q225" s="84" t="str">
        <x:v>Monitor Stand</x:v>
      </x:c>
      <x:c r="R225" s="84" t="str">
        <x:v>Office</x:v>
      </x:c>
    </x:row>
    <x:row r="226">
      <x:c r="A226" s="84" t="str">
        <x:v>ORD-2024-02367</x:v>
      </x:c>
      <x:c r="B226" s="85" t="n">
        <x:v>45380</x:v>
      </x:c>
      <x:c r="C226" s="84" t="str">
        <x:v>CUST-0209</x:v>
      </x:c>
      <x:c r="D226" s="84" t="str">
        <x:v>Sara Walker</x:v>
      </x:c>
      <x:c r="E226" s="84" t="str">
        <x:v>Consumer</x:v>
      </x:c>
      <x:c r="F226" s="84" t="str">
        <x:v>Midwest</x:v>
      </x:c>
      <x:c r="G226" s="84" t="str">
        <x:v>Chicago</x:v>
      </x:c>
      <x:c r="H226" s="84" t="str">
        <x:v>Online</x:v>
      </x:c>
      <x:c r="I226" s="84" t="str">
        <x:v>FITN-002</x:v>
      </x:c>
      <x:c r="J226" s="86" t="n">
        <x:v>2</x:v>
      </x:c>
      <x:c r="K226" s="87" t="n">
        <x:v>0.05</x:v>
      </x:c>
      <x:c r="L226" s="84" t="str">
        <x:v>Returned</x:v>
      </x:c>
      <x:c r="M226" s="84" t="str">
        <x:v>Credit Card</x:v>
      </x:c>
      <x:c r="N226" s="84" t="str">
        <x:v>zoe turner</x:v>
      </x:c>
      <x:c r="O226" s="85" t="n">
        <x:v>45383</x:v>
      </x:c>
      <x:c r="P226" s="84" t="str">
        <x:v>WEB_2024_03</x:v>
      </x:c>
      <x:c r="Q226" s="84" t="str">
        <x:v> ADJUSTABLE DUMBBELL SET </x:v>
      </x:c>
      <x:c r="R226" s="84" t="str">
        <x:v>Fitness</x:v>
      </x:c>
    </x:row>
    <x:row r="227">
      <x:c r="A227" s="84" t="str">
        <x:v>ORD-2024-00063</x:v>
      </x:c>
      <x:c r="B227" s="85" t="n">
        <x:v>45381</x:v>
      </x:c>
      <x:c r="C227" s="84" t="str">
        <x:v>CUST-0610</x:v>
      </x:c>
      <x:c r="D227" s="84" t="str">
        <x:v>Grace Taylor</x:v>
      </x:c>
      <x:c r="E227" s="84" t="str">
        <x:v>Consumer </x:v>
      </x:c>
      <x:c r="F227" s="84" t="str">
        <x:v>southeast</x:v>
      </x:c>
      <x:c r="G227" s="84" t="str">
        <x:v>Miami </x:v>
      </x:c>
      <x:c r="H227" s="84" t="str">
        <x:v>Marketplace</x:v>
      </x:c>
      <x:c r="I227" s="84" t="str">
        <x:v>FITN-001</x:v>
      </x:c>
      <x:c r="J227" s="86" t="n">
        <x:v>1</x:v>
      </x:c>
      <x:c r="K227" s="87" t="n">
        <x:v>0</x:v>
      </x:c>
      <x:c r="L227" s="84" t="str">
        <x:v>Completed</x:v>
      </x:c>
      <x:c r="M227" s="84" t="str">
        <x:v>Mobile Wallet</x:v>
      </x:c>
      <x:c r="N227" s="84" t="str">
        <x:v>Liam Parker</x:v>
      </x:c>
      <x:c r="O227" s="85" t="n">
        <x:v>45386</x:v>
      </x:c>
      <x:c r="P227" s="84" t="str">
        <x:v>MKT_2024_03</x:v>
      </x:c>
      <x:c r="Q227" s="84" t="str">
        <x:v>Yoga Mat</x:v>
      </x:c>
      <x:c r="R227" s="84" t="str">
        <x:v>Fitness</x:v>
      </x:c>
    </x:row>
    <x:row r="228">
      <x:c r="A228" s="84" t="str">
        <x:v>ORD-2024-02400</x:v>
      </x:c>
      <x:c r="B228" s="85" t="n">
        <x:v>45381</x:v>
      </x:c>
      <x:c r="C228" s="84" t="str">
        <x:v>CUST-0523</x:v>
      </x:c>
      <x:c r="D228" s="84" t="str">
        <x:v>Chloe Foster</x:v>
      </x:c>
      <x:c r="E228" s="84" t="str">
        <x:v>Consumer</x:v>
      </x:c>
      <x:c r="F228" s="84" t="str">
        <x:v>Northeast</x:v>
      </x:c>
      <x:c r="G228" s="84" t="str">
        <x:v>Boston</x:v>
      </x:c>
      <x:c r="H228" s="84" t="str">
        <x:v>Retail Store</x:v>
      </x:c>
      <x:c r="I228" s="84" t="str">
        <x:v>HOME-004</x:v>
      </x:c>
      <x:c r="J228" s="86" t="n">
        <x:v>1</x:v>
      </x:c>
      <x:c r="K228" s="87" t="n">
        <x:v>0.05</x:v>
      </x:c>
      <x:c r="L228" s="84" t="str">
        <x:v>Completed </x:v>
      </x:c>
      <x:c r="M228" s="84" t="str">
        <x:v>Mobile Wallet</x:v>
      </x:c>
      <x:c r="N228" s="84" t="str">
        <x:v> SOFIA BENNETT </x:v>
      </x:c>
      <x:c r="O228" s="85" t="n">
        <x:v>45381</x:v>
      </x:c>
      <x:c r="P228" s="84" t="str">
        <x:v>POS_2024_03</x:v>
      </x:c>
      <x:c r="Q228" s="84" t="str">
        <x:v>Coffee Maker</x:v>
      </x:c>
      <x:c r="R228" s="84" t="str">
        <x:v>Home &amp; Kitchen</x:v>
      </x:c>
    </x:row>
    <x:row r="229">
      <x:c r="A229" s="84" t="str">
        <x:v>ORD-2024-01649</x:v>
      </x:c>
      <x:c r="B229" s="85" t="n">
        <x:v>45382</x:v>
      </x:c>
      <x:c r="C229" s="84" t="str">
        <x:v>CUST-0401</x:v>
      </x:c>
      <x:c r="D229" s="84" t="str">
        <x:v>Priya Hall</x:v>
      </x:c>
      <x:c r="E229" s="84" t="str">
        <x:v> CONSUMER </x:v>
      </x:c>
      <x:c r="F229" s="84" t="str">
        <x:v>Northeast </x:v>
      </x:c>
      <x:c r="G229" s="84" t="str">
        <x:v>Newark</x:v>
      </x:c>
      <x:c r="H229" s="84" t="str">
        <x:v>Retail Store</x:v>
      </x:c>
      <x:c r="I229" s="84" t="str">
        <x:v>ACCS-003</x:v>
      </x:c>
      <x:c r="J229" s="86" t="n">
        <x:v>1</x:v>
      </x:c>
      <x:c r="K229" s="87" t="n">
        <x:v>0.05</x:v>
      </x:c>
      <x:c r="L229" s="84" t="str">
        <x:v>Completed</x:v>
      </x:c>
      <x:c r="M229" s="84" t="str">
        <x:v>cash</x:v>
      </x:c>
      <x:c r="N229" s="84" t="str">
        <x:v>Maya Brooks </x:v>
      </x:c>
      <x:c r="O229" s="85" t="n">
        <x:v>45382</x:v>
      </x:c>
      <x:c r="P229" s="84" t="str">
        <x:v>POS_2024_03</x:v>
      </x:c>
      <x:c r="Q229" s="84" t="str">
        <x:v>Polarized Sunglasses</x:v>
      </x:c>
      <x:c r="R229" s="84" t="str">
        <x:v>Accessories</x:v>
      </x:c>
    </x:row>
    <x:row r="230">
      <x:c r="A230" s="84" t="str">
        <x:v>ORD-2024-00458</x:v>
      </x:c>
      <x:c r="B230" s="85" t="n">
        <x:v>45383</x:v>
      </x:c>
      <x:c r="C230" s="84" t="str">
        <x:v>CUST-0566</x:v>
      </x:c>
      <x:c r="D230" s="84" t="str">
        <x:v>jonah quinn</x:v>
      </x:c>
      <x:c r="E230" s="84" t="str">
        <x:v>Small Business</x:v>
      </x:c>
      <x:c r="F230" s="84" t="str">
        <x:v>Northeast</x:v>
      </x:c>
      <x:c r="G230" s="84" t="str">
        <x:v>New York</x:v>
      </x:c>
      <x:c r="H230" s="84" t="str">
        <x:v>Retail Store </x:v>
      </x:c>
      <x:c r="I230" s="84" t="str">
        <x:v>ELEC-001</x:v>
      </x:c>
      <x:c r="J230" s="86" t="n">
        <x:v>1</x:v>
      </x:c>
      <x:c r="K230" s="87" t="n">
        <x:v>0.15</x:v>
      </x:c>
      <x:c r="L230" s="84" t="str">
        <x:v>Completed</x:v>
      </x:c>
      <x:c r="M230" s="84" t="str">
        <x:v>Cash</x:v>
      </x:c>
      <x:c r="N230" s="84" t="str">
        <x:v>Maya Brooks</x:v>
      </x:c>
      <x:c r="O230" s="85" t="n">
        <x:v>45383</x:v>
      </x:c>
      <x:c r="P230" s="84" t="str">
        <x:v>POS_2024_04</x:v>
      </x:c>
      <x:c r="Q230" s="84" t="str">
        <x:v>Wireless Earbuds</x:v>
      </x:c>
      <x:c r="R230" s="84" t="str">
        <x:v>Electronics</x:v>
      </x:c>
    </x:row>
    <x:row r="231">
      <x:c r="A231" s="84" t="str">
        <x:v>ORD-2024-00995</x:v>
      </x:c>
      <x:c r="B231" s="85" t="n">
        <x:v>45383</x:v>
      </x:c>
      <x:c r="C231" s="84" t="str">
        <x:v>CUST-0085</x:v>
      </x:c>
      <x:c r="D231" s="84" t="str">
        <x:v>Amelia Adams</x:v>
      </x:c>
      <x:c r="E231" s="84" t="str">
        <x:v>Small Business</x:v>
      </x:c>
      <x:c r="F231" s="84" t="str">
        <x:v>West</x:v>
      </x:c>
      <x:c r="G231" s="84" t="str">
        <x:v>Phoenix</x:v>
      </x:c>
      <x:c r="H231" s="84" t="str">
        <x:v>Retail Store</x:v>
      </x:c>
      <x:c r="I231" s="84" t="str">
        <x:v>CARE-002</x:v>
      </x:c>
      <x:c r="J231" s="86" t="n">
        <x:v>1</x:v>
      </x:c>
      <x:c r="K231" s="87" t="n">
        <x:v>0.05</x:v>
      </x:c>
      <x:c r="L231" s="84" t="str">
        <x:v>Returned</x:v>
      </x:c>
      <x:c r="M231" s="84" t="str">
        <x:v>Cash</x:v>
      </x:c>
      <x:c r="N231" s="84" t="str">
        <x:v>Nora Kim</x:v>
      </x:c>
      <x:c r="O231" s="85" t="n">
        <x:v>45384</x:v>
      </x:c>
      <x:c r="P231" s="84" t="str">
        <x:v>POS_2024_04</x:v>
      </x:c>
      <x:c r="Q231" s="84" t="str">
        <x:v>Rechargeable Trimmer </x:v>
      </x:c>
      <x:c r="R231" s="84" t="str">
        <x:v>Personal Care</x:v>
      </x:c>
    </x:row>
    <x:row r="232">
      <x:c r="A232" s="84" t="str">
        <x:v>ORD-2024-01453</x:v>
      </x:c>
      <x:c r="B232" s="85" t="n">
        <x:v>45383</x:v>
      </x:c>
      <x:c r="C232" s="84" t="str">
        <x:v>CUST-0434</x:v>
      </x:c>
      <x:c r="D232" s="84" t="str">
        <x:v>Aiden Smith</x:v>
      </x:c>
      <x:c r="E232" s="84" t="str">
        <x:v>Corporate</x:v>
      </x:c>
      <x:c r="F232" s="84" t="str">
        <x:v>Northeast </x:v>
      </x:c>
      <x:c r="G232" s="84" t="str">
        <x:v>New York</x:v>
      </x:c>
      <x:c r="H232" s="84" t="str">
        <x:v>Online</x:v>
      </x:c>
      <x:c r="I232" s="84" t="str">
        <x:v>HOME-001</x:v>
      </x:c>
      <x:c r="J232" s="86" t="n">
        <x:v>2</x:v>
      </x:c>
      <x:c r="K232" s="87" t="n">
        <x:v>0</x:v>
      </x:c>
      <x:c r="L232" s="84" t="str">
        <x:v>Completed</x:v>
      </x:c>
      <x:c r="M232" s="84" t="str">
        <x:v>Credit Card</x:v>
      </x:c>
      <x:c r="N232" s="84" t="str">
        <x:v>Sofia Bennett </x:v>
      </x:c>
      <x:c r="O232" s="85" t="n">
        <x:v>45389</x:v>
      </x:c>
      <x:c r="P232" s="84" t="str">
        <x:v>WEB_2024_04</x:v>
      </x:c>
      <x:c r="Q232" s="84" t="str">
        <x:v>Air Fryer</x:v>
      </x:c>
      <x:c r="R232" s="84" t="str">
        <x:v>Home &amp; Kitchen</x:v>
      </x:c>
    </x:row>
    <x:row r="233">
      <x:c r="A233" s="84" t="str">
        <x:v>ORD-2024-01714</x:v>
      </x:c>
      <x:c r="B233" s="85" t="n">
        <x:v>45383</x:v>
      </x:c>
      <x:c r="C233" s="84" t="str">
        <x:v>CUST-0118</x:v>
      </x:c>
      <x:c r="D233" s="84" t="str">
        <x:v> DANIEL DAVIS </x:v>
      </x:c>
      <x:c r="E233" s="84" t="str">
        <x:v>Consumer</x:v>
      </x:c>
      <x:c r="F233" s="84" t="str">
        <x:v> MIDWEST </x:v>
      </x:c>
      <x:c r="G233" s="84" t="str">
        <x:v>Minneapolis</x:v>
      </x:c>
      <x:c r="H233" s="84" t="str">
        <x:v>Online</x:v>
      </x:c>
      <x:c r="I233" s="84" t="str">
        <x:v>FITN-006</x:v>
      </x:c>
      <x:c r="J233" s="86" t="n">
        <x:v>1</x:v>
      </x:c>
      <x:c r="K233" s="87" t="n">
        <x:v>0.1</x:v>
      </x:c>
      <x:c r="L233" s="84" t="str">
        <x:v>Completed </x:v>
      </x:c>
      <x:c r="M233" s="84" t="str">
        <x:v>Credit Card</x:v>
      </x:c>
      <x:c r="N233" s="84" t="str">
        <x:v>Lucas Grant</x:v>
      </x:c>
      <x:c r="O233" s="85" t="n">
        <x:v>45389</x:v>
      </x:c>
      <x:c r="P233" s="84" t="str">
        <x:v>WEB_2024_04</x:v>
      </x:c>
      <x:c r="Q233" s="84" t="str">
        <x:v>foam roller</x:v>
      </x:c>
      <x:c r="R233" s="84" t="str">
        <x:v>Fitness</x:v>
      </x:c>
    </x:row>
    <x:row r="234">
      <x:c r="A234" s="84" t="str">
        <x:v>ORD-2024-01029</x:v>
      </x:c>
      <x:c r="B234" s="85" t="n">
        <x:v>45384</x:v>
      </x:c>
      <x:c r="C234" s="84" t="str">
        <x:v>CUST-0170</x:v>
      </x:c>
      <x:c r="D234" s="84" t="str">
        <x:v>Victoria Garcia</x:v>
      </x:c>
      <x:c r="E234" s="84" t="str">
        <x:v>Small Business </x:v>
      </x:c>
      <x:c r="F234" s="84" t="str">
        <x:v>West</x:v>
      </x:c>
      <x:c r="G234" s="84" t="str">
        <x:v>Seattle </x:v>
      </x:c>
      <x:c r="H234" s="84" t="str">
        <x:v>Online</x:v>
      </x:c>
      <x:c r="I234" s="84" t="str">
        <x:v>ELEC-001</x:v>
      </x:c>
      <x:c r="J234" s="86" t="n">
        <x:v>3</x:v>
      </x:c>
      <x:c r="K234" s="87" t="n">
        <x:v>0.1</x:v>
      </x:c>
      <x:c r="L234" s="84" t="str">
        <x:v>Completed</x:v>
      </x:c>
      <x:c r="M234" s="84" t="str">
        <x:v>Credit Card</x:v>
      </x:c>
      <x:c r="N234" s="84" t="str">
        <x:v>Leo Martinez</x:v>
      </x:c>
      <x:c r="O234" s="85" t="n">
        <x:v>45389</x:v>
      </x:c>
      <x:c r="P234" s="84" t="str">
        <x:v>WEB_2024_04</x:v>
      </x:c>
      <x:c r="Q234" s="84" t="str">
        <x:v>Wireless Earbuds</x:v>
      </x:c>
      <x:c r="R234" s="84" t="str">
        <x:v>Electronics</x:v>
      </x:c>
    </x:row>
    <x:row r="235">
      <x:c r="A235" s="84" t="str">
        <x:v>ORD-2024-00110</x:v>
      </x:c>
      <x:c r="B235" s="85" t="n">
        <x:v>45385</x:v>
      </x:c>
      <x:c r="C235" s="84" t="str">
        <x:v>CUST-0425</x:v>
      </x:c>
      <x:c r="D235" s="84" t="str">
        <x:v>Elena Baker </x:v>
      </x:c>
      <x:c r="E235" s="84" t="str">
        <x:v>corporate</x:v>
      </x:c>
      <x:c r="F235" s="84" t="str">
        <x:v>Midwest</x:v>
      </x:c>
      <x:c r="G235" s="84" t="str">
        <x:v>Chicago</x:v>
      </x:c>
      <x:c r="H235" s="84" t="str">
        <x:v>retail store</x:v>
      </x:c>
      <x:c r="I235" s="84" t="str">
        <x:v>HOME-001</x:v>
      </x:c>
      <x:c r="J235" s="86" t="n">
        <x:v>3</x:v>
      </x:c>
      <x:c r="K235" s="87" t="n">
        <x:v>0.15</x:v>
      </x:c>
      <x:c r="L235" s="84" t="str">
        <x:v>Completed</x:v>
      </x:c>
      <x:c r="M235" s="84" t="str">
        <x:v>Credit Card </x:v>
      </x:c>
      <x:c r="N235" s="84" t="str">
        <x:v>Lucas Grant</x:v>
      </x:c>
      <x:c r="O235" s="85" t="n">
        <x:v>45385</x:v>
      </x:c>
      <x:c r="P235" s="84" t="str">
        <x:v>POS_2024_04</x:v>
      </x:c>
      <x:c r="Q235" s="84" t="str">
        <x:v>Air Fryer</x:v>
      </x:c>
      <x:c r="R235" s="84" t="str">
        <x:v>Home &amp; Kitchen</x:v>
      </x:c>
    </x:row>
    <x:row r="236">
      <x:c r="A236" s="84" t="str">
        <x:v>ORD-2024-02144</x:v>
      </x:c>
      <x:c r="B236" s="85" t="n">
        <x:v>45385</x:v>
      </x:c>
      <x:c r="C236" s="84" t="str">
        <x:v>CUST-0467</x:v>
      </x:c>
      <x:c r="D236" s="84" t="str">
        <x:v>Owen Khan</x:v>
      </x:c>
      <x:c r="E236" s="84" t="str">
        <x:v>Consumer</x:v>
      </x:c>
      <x:c r="F236" s="84" t="str">
        <x:v>Northeast</x:v>
      </x:c>
      <x:c r="G236" s="84" t="str">
        <x:v>New York</x:v>
      </x:c>
      <x:c r="H236" s="84" t="str">
        <x:v>Retail Store</x:v>
      </x:c>
      <x:c r="I236" s="84" t="str">
        <x:v>OFFC-002</x:v>
      </x:c>
      <x:c r="J236" s="86" t="n">
        <x:v>1</x:v>
      </x:c>
      <x:c r="K236" s="87" t="n">
        <x:v>0.05</x:v>
      </x:c>
      <x:c r="L236" s="84" t="str">
        <x:v>Completed</x:v>
      </x:c>
      <x:c r="M236" s="84" t="str">
        <x:v>credit card</x:v>
      </x:c>
      <x:c r="N236" s="84" t="str">
        <x:v>Maya Brooks</x:v>
      </x:c>
      <x:c r="O236" s="85" t="n">
        <x:v>45386</x:v>
      </x:c>
      <x:c r="P236" s="84" t="str">
        <x:v>POS_2024_04</x:v>
      </x:c>
      <x:c r="Q236" s="84" t="str">
        <x:v>Standing Desk</x:v>
      </x:c>
      <x:c r="R236" s="84" t="str">
        <x:v>Office </x:v>
      </x:c>
    </x:row>
    <x:row r="237">
      <x:c r="A237" s="84" t="str">
        <x:v>ORD-2024-00677</x:v>
      </x:c>
      <x:c r="B237" s="85" t="n">
        <x:v>45386</x:v>
      </x:c>
      <x:c r="C237" s="84" t="str">
        <x:v>CUST-0321</x:v>
      </x:c>
      <x:c r="D237" s="84" t="str">
        <x:v> GRACE SMITH </x:v>
      </x:c>
      <x:c r="E237" s="84" t="str">
        <x:v>Corporate</x:v>
      </x:c>
      <x:c r="F237" s="84" t="str">
        <x:v> SOUTHEAST </x:v>
      </x:c>
      <x:c r="G237" s="84" t="str">
        <x:v>Miami</x:v>
      </x:c>
      <x:c r="H237" s="84" t="str">
        <x:v>Marketplace</x:v>
      </x:c>
      <x:c r="I237" s="84" t="str">
        <x:v>ELEC-006</x:v>
      </x:c>
      <x:c r="J237" s="86" t="n">
        <x:v>8</x:v>
      </x:c>
      <x:c r="K237" s="87" t="n">
        <x:v>0.05</x:v>
      </x:c>
      <x:c r="L237" s="84" t="str">
        <x:v>Completed</x:v>
      </x:c>
      <x:c r="M237" s="84" t="str">
        <x:v>Credit Card </x:v>
      </x:c>
      <x:c r="N237" s="84" t="str">
        <x:v>Ava Mitchell</x:v>
      </x:c>
      <x:c r="O237" s="85" t="n">
        <x:v>45391</x:v>
      </x:c>
      <x:c r="P237" s="84" t="str">
        <x:v>MKT_2024_04</x:v>
      </x:c>
      <x:c r="Q237" s="84" t="str">
        <x:v>Portable SSD</x:v>
      </x:c>
      <x:c r="R237" s="84" t="str">
        <x:v>Electronics</x:v>
      </x:c>
    </x:row>
    <x:row r="238">
      <x:c r="A238" s="84" t="str">
        <x:v>ORD-2024-01601</x:v>
      </x:c>
      <x:c r="B238" s="85" t="n">
        <x:v>45386</x:v>
      </x:c>
      <x:c r="C238" s="84" t="str">
        <x:v>CUST-0118</x:v>
      </x:c>
      <x:c r="D238" s="84" t="str">
        <x:v>Daniel Davis </x:v>
      </x:c>
      <x:c r="E238" s="84" t="str">
        <x:v>Consumer</x:v>
      </x:c>
      <x:c r="F238" s="84" t="str">
        <x:v>Midwest</x:v>
      </x:c>
      <x:c r="G238" s="84" t="str">
        <x:v>Minneapolis</x:v>
      </x:c>
      <x:c r="H238" s="84" t="str">
        <x:v>Marketplace</x:v>
      </x:c>
      <x:c r="I238" s="84" t="str">
        <x:v>OFFC-004</x:v>
      </x:c>
      <x:c r="J238" s="86" t="n">
        <x:v>2</x:v>
      </x:c>
      <x:c r="K238" s="87" t="n">
        <x:v>0.1</x:v>
      </x:c>
      <x:c r="L238" s="84" t="str">
        <x:v>Completed</x:v>
      </x:c>
      <x:c r="M238" s="84" t="str">
        <x:v>Credit Card </x:v>
      </x:c>
      <x:c r="N238" s="84" t="str">
        <x:v> ZOE TURNER </x:v>
      </x:c>
      <x:c r="O238" s="85" t="n">
        <x:v>45391</x:v>
      </x:c>
      <x:c r="P238" s="84" t="str">
        <x:v>MKT_2024_04</x:v>
      </x:c>
      <x:c r="Q238" s="84" t="str">
        <x:v>Premium Notebook Pack</x:v>
      </x:c>
      <x:c r="R238" s="84" t="str">
        <x:v>Office</x:v>
      </x:c>
    </x:row>
    <x:row r="239">
      <x:c r="A239" s="84" t="str">
        <x:v>ORD-2024-00026</x:v>
      </x:c>
      <x:c r="B239" s="85" t="n">
        <x:v>45387</x:v>
      </x:c>
      <x:c r="C239" s="84" t="str">
        <x:v>CUST-0543</x:v>
      </x:c>
      <x:c r="D239" s="84" t="str">
        <x:v>Marcus Quinn </x:v>
      </x:c>
      <x:c r="E239" s="84" t="str">
        <x:v>Consumer</x:v>
      </x:c>
      <x:c r="F239" s="84" t="str">
        <x:v>Southeast</x:v>
      </x:c>
      <x:c r="G239" s="84" t="str">
        <x:v>charlotte</x:v>
      </x:c>
      <x:c r="H239" s="84" t="str">
        <x:v>Online</x:v>
      </x:c>
      <x:c r="I239" s="84" t="str">
        <x:v>HOME-005</x:v>
      </x:c>
      <x:c r="J239" s="86" t="n">
        <x:v>2</x:v>
      </x:c>
      <x:c r="K239" s="87" t="n">
        <x:v>0.05</x:v>
      </x:c>
      <x:c r="L239" s="84" t="str">
        <x:v>completed</x:v>
      </x:c>
      <x:c r="M239" s="84" t="str">
        <x:v>PayPal </x:v>
      </x:c>
      <x:c r="N239" s="84" t="str">
        <x:v>Liam Parker</x:v>
      </x:c>
      <x:c r="O239" s="85" t="n">
        <x:v>45390</x:v>
      </x:c>
      <x:c r="P239" s="84" t="str">
        <x:v>WEB_2024_04</x:v>
      </x:c>
      <x:c r="Q239" s="84" t="str">
        <x:v>Cordless Vacuum</x:v>
      </x:c>
      <x:c r="R239" s="84" t="str">
        <x:v>Home &amp; Kitchen</x:v>
      </x:c>
    </x:row>
    <x:row r="240">
      <x:c r="A240" s="84" t="str">
        <x:v>ORD-2024-00936</x:v>
      </x:c>
      <x:c r="B240" s="85" t="n">
        <x:v>45389</x:v>
      </x:c>
      <x:c r="C240" s="84" t="str">
        <x:v>CUST-0294</x:v>
      </x:c>
      <x:c r="D240" s="84" t="str">
        <x:v>Aiden Evans </x:v>
      </x:c>
      <x:c r="E240" s="84" t="str">
        <x:v>Consumer</x:v>
      </x:c>
      <x:c r="F240" s="84" t="str">
        <x:v>Northeast</x:v>
      </x:c>
      <x:c r="G240" s="84" t="str">
        <x:v>Newark</x:v>
      </x:c>
      <x:c r="H240" s="84" t="str">
        <x:v>Online</x:v>
      </x:c>
      <x:c r="I240" s="84" t="str">
        <x:v>OFFC-001</x:v>
      </x:c>
      <x:c r="J240" s="86" t="n">
        <x:v>1</x:v>
      </x:c>
      <x:c r="K240" s="87" t="n">
        <x:v>0.15</x:v>
      </x:c>
      <x:c r="L240" s="84" t="str">
        <x:v>Completed</x:v>
      </x:c>
      <x:c r="M240" s="84" t="str">
        <x:v>Credit Card </x:v>
      </x:c>
      <x:c r="N240" s="84" t="str">
        <x:v>Maya Brooks</x:v>
      </x:c>
      <x:c r="O240" s="85" t="n">
        <x:v>45394</x:v>
      </x:c>
      <x:c r="P240" s="84" t="str">
        <x:v>WEB_2024_04</x:v>
      </x:c>
      <x:c r="Q240" s="84" t="str">
        <x:v>Ergonomic Chair</x:v>
      </x:c>
      <x:c r="R240" s="84" t="str">
        <x:v>Office</x:v>
      </x:c>
    </x:row>
    <x:row r="241">
      <x:c r="A241" s="84" t="str">
        <x:v>ORD-2024-01052</x:v>
      </x:c>
      <x:c r="B241" s="85" t="n">
        <x:v>45389</x:v>
      </x:c>
      <x:c r="C241" s="84" t="str">
        <x:v>CUST-0207</x:v>
      </x:c>
      <x:c r="D241" s="84" t="str">
        <x:v>marcus khan</x:v>
      </x:c>
      <x:c r="E241" s="84" t="str">
        <x:v>Consumer</x:v>
      </x:c>
      <x:c r="F241" s="84" t="str">
        <x:v>Southeast</x:v>
      </x:c>
      <x:c r="G241" s="84" t="str">
        <x:v>Atlanta</x:v>
      </x:c>
      <x:c r="H241" s="84" t="str">
        <x:v>Marketplace</x:v>
      </x:c>
      <x:c r="I241" s="84" t="str">
        <x:v>OFFC-006</x:v>
      </x:c>
      <x:c r="J241" s="86" t="n">
        <x:v>1</x:v>
      </x:c>
      <x:c r="K241" s="87" t="n">
        <x:v>0.15</x:v>
      </x:c>
      <x:c r="L241" s="84" t="str">
        <x:v>Completed</x:v>
      </x:c>
      <x:c r="M241" s="84" t="str">
        <x:v>Credit Card</x:v>
      </x:c>
      <x:c r="N241" s="84" t="str">
        <x:v>Liam Parker</x:v>
      </x:c>
      <x:c r="O241" s="85" t="n">
        <x:v>45396</x:v>
      </x:c>
      <x:c r="P241" s="84" t="str">
        <x:v>MKT_2024_04</x:v>
      </x:c>
      <x:c r="Q241" s="84" t="str">
        <x:v>Monitor Stand</x:v>
      </x:c>
      <x:c r="R241" s="84" t="str">
        <x:v> OFFICE </x:v>
      </x:c>
    </x:row>
    <x:row r="242">
      <x:c r="A242" s="84" t="str">
        <x:v>ORD-2024-01518</x:v>
      </x:c>
      <x:c r="B242" s="85" t="n">
        <x:v>45389</x:v>
      </x:c>
      <x:c r="C242" s="84" t="str">
        <x:v>CUST-0287</x:v>
      </x:c>
      <x:c r="D242" s="84" t="str">
        <x:v>Chloe Patel</x:v>
      </x:c>
      <x:c r="E242" s="84" t="str">
        <x:v>small business</x:v>
      </x:c>
      <x:c r="F242" s="84" t="str">
        <x:v>West</x:v>
      </x:c>
      <x:c r="G242" s="84" t="str">
        <x:v>Denver</x:v>
      </x:c>
      <x:c r="H242" s="84" t="str">
        <x:v>marketplace</x:v>
      </x:c>
      <x:c r="I242" s="84" t="str">
        <x:v>ELEC-004</x:v>
      </x:c>
      <x:c r="J242" s="86" t="n">
        <x:v>3</x:v>
      </x:c>
      <x:c r="K242" s="87" t="n">
        <x:v>0.15</x:v>
      </x:c>
      <x:c r="L242" s="84" t="str">
        <x:v> COMPLETED </x:v>
      </x:c>
      <x:c r="M242" s="84" t="str">
        <x:v>Mobile Wallet</x:v>
      </x:c>
      <x:c r="N242" s="84" t="str">
        <x:v>Mia Chen</x:v>
      </x:c>
      <x:c r="O242" s="85" t="n">
        <x:v>45394</x:v>
      </x:c>
      <x:c r="P242" s="84" t="str">
        <x:v>MKT_2024_04</x:v>
      </x:c>
      <x:c r="Q242" s="84" t="str">
        <x:v>Power Bank</x:v>
      </x:c>
      <x:c r="R242" s="84" t="str">
        <x:v>Electronics</x:v>
      </x:c>
    </x:row>
    <x:row r="243">
      <x:c r="A243" s="84" t="str">
        <x:v>ORD-2024-02133</x:v>
      </x:c>
      <x:c r="B243" s="85" t="n">
        <x:v>45389</x:v>
      </x:c>
      <x:c r="C243" s="84" t="str">
        <x:v>CUST-0141</x:v>
      </x:c>
      <x:c r="D243" s="84" t="str">
        <x:v>Victoria Taylor </x:v>
      </x:c>
      <x:c r="E243" s="84" t="str">
        <x:v>Consumer</x:v>
      </x:c>
      <x:c r="F243" s="84" t="str">
        <x:v>Midwest</x:v>
      </x:c>
      <x:c r="G243" s="84" t="str">
        <x:v>Minneapolis</x:v>
      </x:c>
      <x:c r="H243" s="84" t="str">
        <x:v>Online</x:v>
      </x:c>
      <x:c r="I243" s="84" t="str">
        <x:v>CARE-001</x:v>
      </x:c>
      <x:c r="J243" s="86" t="n">
        <x:v>1</x:v>
      </x:c>
      <x:c r="K243" s="87" t="n">
        <x:v>0</x:v>
      </x:c>
      <x:c r="L243" s="84" t="str">
        <x:v>Completed</x:v>
      </x:c>
      <x:c r="M243" s="84" t="str">
        <x:v>paypal</x:v>
      </x:c>
      <x:c r="N243" s="84" t="str">
        <x:v>Zoe Turner</x:v>
      </x:c>
      <x:c r="O243" s="85" t="n">
        <x:v>45392</x:v>
      </x:c>
      <x:c r="P243" s="84" t="str">
        <x:v>WEB_2024_04</x:v>
      </x:c>
      <x:c r="Q243" s="84" t="str">
        <x:v>Ionic Hair Dryer</x:v>
      </x:c>
      <x:c r="R243" s="84" t="str">
        <x:v>Personal Care</x:v>
      </x:c>
    </x:row>
    <x:row r="244">
      <x:c r="A244" s="84" t="str">
        <x:v>ORD-2024-01159</x:v>
      </x:c>
      <x:c r="B244" s="85" t="n">
        <x:v>45390</x:v>
      </x:c>
      <x:c r="C244" s="84" t="str">
        <x:v>CUST-0542</x:v>
      </x:c>
      <x:c r="D244" s="84" t="str">
        <x:v>Zara Roberts</x:v>
      </x:c>
      <x:c r="E244" s="84" t="str"/>
      <x:c r="F244" s="84" t="str">
        <x:v>Northeast </x:v>
      </x:c>
      <x:c r="G244" s="84" t="str">
        <x:v>new york</x:v>
      </x:c>
      <x:c r="H244" s="84" t="str">
        <x:v>Retail Store</x:v>
      </x:c>
      <x:c r="I244" s="84" t="str">
        <x:v>ELEC-002</x:v>
      </x:c>
      <x:c r="J244" s="86" t="n">
        <x:v>3</x:v>
      </x:c>
      <x:c r="K244" s="87" t="n">
        <x:v>0</x:v>
      </x:c>
      <x:c r="L244" s="84" t="str">
        <x:v>completed</x:v>
      </x:c>
      <x:c r="M244" s="84" t="str">
        <x:v>Cash</x:v>
      </x:c>
      <x:c r="N244" s="84" t="str">
        <x:v> SOFIA BENNETT </x:v>
      </x:c>
      <x:c r="O244" s="85" t="n">
        <x:v>45390</x:v>
      </x:c>
      <x:c r="P244" s="84" t="str">
        <x:v>POS_2024_04</x:v>
      </x:c>
      <x:c r="Q244" s="84" t="str">
        <x:v>Smartwatch</x:v>
      </x:c>
      <x:c r="R244" s="84" t="str">
        <x:v>Electronics</x:v>
      </x:c>
    </x:row>
    <x:row r="245">
      <x:c r="A245" s="84" t="str">
        <x:v>ORD-2024-01782</x:v>
      </x:c>
      <x:c r="B245" s="85" t="n">
        <x:v>45390</x:v>
      </x:c>
      <x:c r="C245" s="84" t="str">
        <x:v>CUST-0423</x:v>
      </x:c>
      <x:c r="D245" s="84" t="str">
        <x:v> MARCUS SMITH </x:v>
      </x:c>
      <x:c r="E245" s="84" t="str">
        <x:v>small business</x:v>
      </x:c>
      <x:c r="F245" s="84" t="str">
        <x:v> NORTHEAST </x:v>
      </x:c>
      <x:c r="G245" s="84" t="str">
        <x:v>Philadelphia</x:v>
      </x:c>
      <x:c r="H245" s="84" t="str">
        <x:v>online</x:v>
      </x:c>
      <x:c r="I245" s="84" t="str">
        <x:v>HOME-001</x:v>
      </x:c>
      <x:c r="J245" s="86" t="n">
        <x:v>1</x:v>
      </x:c>
      <x:c r="K245" s="87" t="n">
        <x:v>0.15</x:v>
      </x:c>
      <x:c r="L245" s="84" t="str">
        <x:v>Completed</x:v>
      </x:c>
      <x:c r="M245" s="84" t="str">
        <x:v>Mobile Wallet</x:v>
      </x:c>
      <x:c r="N245" s="84" t="str">
        <x:v>Maya Brooks </x:v>
      </x:c>
      <x:c r="O245" s="85" t="n">
        <x:v>45396</x:v>
      </x:c>
      <x:c r="P245" s="84" t="str">
        <x:v>WEB_2024_04</x:v>
      </x:c>
      <x:c r="Q245" s="84" t="str">
        <x:v>Air Fryer</x:v>
      </x:c>
      <x:c r="R245" s="84" t="str">
        <x:v>Home &amp; Kitchen</x:v>
      </x:c>
    </x:row>
    <x:row r="246">
      <x:c r="A246" s="84" t="str">
        <x:v>ORD-2024-02009</x:v>
      </x:c>
      <x:c r="B246" s="85" t="n">
        <x:v>45390</x:v>
      </x:c>
      <x:c r="C246" s="84" t="str">
        <x:v>CUST-0392</x:v>
      </x:c>
      <x:c r="D246" s="84" t="str">
        <x:v>elias nelson</x:v>
      </x:c>
      <x:c r="E246" s="84" t="str">
        <x:v>Consumer </x:v>
      </x:c>
      <x:c r="F246" s="84" t="str">
        <x:v>Northeast</x:v>
      </x:c>
      <x:c r="G246" s="84" t="str">
        <x:v>Newark </x:v>
      </x:c>
      <x:c r="H246" s="84" t="str">
        <x:v>Retail Store</x:v>
      </x:c>
      <x:c r="I246" s="84" t="str">
        <x:v>OFFC-005</x:v>
      </x:c>
      <x:c r="J246" s="86" t="n">
        <x:v>1</x:v>
      </x:c>
      <x:c r="K246" s="87" t="n">
        <x:v>0</x:v>
      </x:c>
      <x:c r="L246" s="84" t="str">
        <x:v>Completed</x:v>
      </x:c>
      <x:c r="M246" s="84" t="str">
        <x:v>Credit Card</x:v>
      </x:c>
      <x:c r="N246" s="84" t="str">
        <x:v> MAYA BROOKS </x:v>
      </x:c>
      <x:c r="O246" s="85" t="n">
        <x:v>45390</x:v>
      </x:c>
      <x:c r="P246" s="84" t="str">
        <x:v>POS_2024_04</x:v>
      </x:c>
      <x:c r="Q246" s="84" t="str">
        <x:v>Wireless Keyboard</x:v>
      </x:c>
      <x:c r="R246" s="84" t="str">
        <x:v>Office</x:v>
      </x:c>
    </x:row>
    <x:row r="247">
      <x:c r="A247" s="84" t="str">
        <x:v>ORD-2024-00093</x:v>
      </x:c>
      <x:c r="B247" s="85" t="n">
        <x:v>45391</x:v>
      </x:c>
      <x:c r="C247" s="84" t="str">
        <x:v>CUST-0284</x:v>
      </x:c>
      <x:c r="D247" s="84" t="str">
        <x:v>Marcus Foster</x:v>
      </x:c>
      <x:c r="E247" s="84" t="str">
        <x:v>Consumer</x:v>
      </x:c>
      <x:c r="F247" s="84" t="str">
        <x:v>Midwest</x:v>
      </x:c>
      <x:c r="G247" s="84" t="str">
        <x:v>Detroit</x:v>
      </x:c>
      <x:c r="H247" s="84" t="str">
        <x:v>Marketplace</x:v>
      </x:c>
      <x:c r="I247" s="84" t="str">
        <x:v>ELEC-001</x:v>
      </x:c>
      <x:c r="J247" s="86" t="n">
        <x:v>2</x:v>
      </x:c>
      <x:c r="K247" s="87" t="n">
        <x:v>0.2</x:v>
      </x:c>
      <x:c r="L247" s="84" t="str">
        <x:v>Completed</x:v>
      </x:c>
      <x:c r="M247" s="84" t="str">
        <x:v>Mobile Wallet</x:v>
      </x:c>
      <x:c r="N247" s="84" t="str">
        <x:v>Emma Hayes</x:v>
      </x:c>
      <x:c r="O247" s="85" t="n">
        <x:v>45397</x:v>
      </x:c>
      <x:c r="P247" s="84" t="str">
        <x:v>MKT_2024_04</x:v>
      </x:c>
      <x:c r="Q247" s="84" t="str">
        <x:v>Wireless Earbuds</x:v>
      </x:c>
      <x:c r="R247" s="84" t="str">
        <x:v>Electronics </x:v>
      </x:c>
    </x:row>
    <x:row r="248">
      <x:c r="A248" s="84" t="str">
        <x:v>ORD-2024-00392</x:v>
      </x:c>
      <x:c r="B248" s="85" t="n">
        <x:v>45392</x:v>
      </x:c>
      <x:c r="C248" s="84" t="str">
        <x:v>CUST-0380</x:v>
      </x:c>
      <x:c r="D248" s="84" t="str">
        <x:v>caleb patel</x:v>
      </x:c>
      <x:c r="E248" s="84" t="str">
        <x:v>Consumer </x:v>
      </x:c>
      <x:c r="F248" s="84" t="str">
        <x:v>Southeast</x:v>
      </x:c>
      <x:c r="G248" s="84" t="str">
        <x:v>Nashville </x:v>
      </x:c>
      <x:c r="H248" s="84" t="str">
        <x:v>Online</x:v>
      </x:c>
      <x:c r="I248" s="84" t="str">
        <x:v>ELEC-001</x:v>
      </x:c>
      <x:c r="J248" s="86" t="n">
        <x:v>1</x:v>
      </x:c>
      <x:c r="K248" s="87" t="n">
        <x:v>0.1</x:v>
      </x:c>
      <x:c r="L248" s="84" t="str">
        <x:v>Completed</x:v>
      </x:c>
      <x:c r="M248" s="84" t="str">
        <x:v>Credit Card</x:v>
      </x:c>
      <x:c r="N248" s="84" t="str">
        <x:v>Ava Mitchell</x:v>
      </x:c>
      <x:c r="O248" s="85" t="n">
        <x:v>45394</x:v>
      </x:c>
      <x:c r="P248" s="84" t="str">
        <x:v>WEB_2024_04</x:v>
      </x:c>
      <x:c r="Q248" s="84" t="str">
        <x:v>Wireless Earbuds</x:v>
      </x:c>
      <x:c r="R248" s="84" t="str">
        <x:v>Electronics</x:v>
      </x:c>
    </x:row>
    <x:row r="249">
      <x:c r="A249" s="84" t="str">
        <x:v>ORD-2024-00440</x:v>
      </x:c>
      <x:c r="B249" s="85" t="n">
        <x:v>45392</x:v>
      </x:c>
      <x:c r="C249" s="84" t="str">
        <x:v>CUST-0635</x:v>
      </x:c>
      <x:c r="D249" s="84" t="str">
        <x:v>Owen Patel</x:v>
      </x:c>
      <x:c r="E249" s="84" t="str">
        <x:v>consumer</x:v>
      </x:c>
      <x:c r="F249" s="84" t="str">
        <x:v>Northeast</x:v>
      </x:c>
      <x:c r="G249" s="84" t="str">
        <x:v>Philadelphia</x:v>
      </x:c>
      <x:c r="H249" s="84" t="str">
        <x:v>marketplace</x:v>
      </x:c>
      <x:c r="I249" s="84" t="str">
        <x:v>ELEC-004</x:v>
      </x:c>
      <x:c r="J249" s="86" t="n">
        <x:v>1</x:v>
      </x:c>
      <x:c r="K249" s="87" t="n">
        <x:v>0.2</x:v>
      </x:c>
      <x:c r="L249" s="84" t="str">
        <x:v>Completed </x:v>
      </x:c>
      <x:c r="M249" s="84" t="str">
        <x:v>Debit Card</x:v>
      </x:c>
      <x:c r="N249" s="84" t="str">
        <x:v>Ethan Cole</x:v>
      </x:c>
      <x:c r="O249" s="85" t="n">
        <x:v>45396</x:v>
      </x:c>
      <x:c r="P249" s="84" t="str">
        <x:v>MKT_2024_04</x:v>
      </x:c>
      <x:c r="Q249" s="84" t="str">
        <x:v>Power Bank</x:v>
      </x:c>
      <x:c r="R249" s="84" t="str">
        <x:v> ELECTRONICS </x:v>
      </x:c>
    </x:row>
    <x:row r="250">
      <x:c r="A250" s="84" t="str">
        <x:v>ORD-2024-00909</x:v>
      </x:c>
      <x:c r="B250" s="85" t="n">
        <x:v>45392</x:v>
      </x:c>
      <x:c r="C250" s="84" t="str">
        <x:v>CUST-0159</x:v>
      </x:c>
      <x:c r="D250" s="84" t="str">
        <x:v>caleb khan</x:v>
      </x:c>
      <x:c r="E250" s="84" t="str">
        <x:v>Consumer</x:v>
      </x:c>
      <x:c r="F250" s="84" t="str">
        <x:v>Southeast</x:v>
      </x:c>
      <x:c r="G250" s="84" t="str">
        <x:v>Nashville</x:v>
      </x:c>
      <x:c r="H250" s="84" t="str">
        <x:v>Retail Store</x:v>
      </x:c>
      <x:c r="I250" s="84" t="str">
        <x:v>ACCS-006</x:v>
      </x:c>
      <x:c r="J250" s="86" t="n">
        <x:v>3</x:v>
      </x:c>
      <x:c r="K250" s="87" t="n">
        <x:v>0</x:v>
      </x:c>
      <x:c r="L250" s="84" t="str">
        <x:v>Completed </x:v>
      </x:c>
      <x:c r="M250" s="84" t="str">
        <x:v>Credit Card</x:v>
      </x:c>
      <x:c r="N250" s="84" t="str">
        <x:v>Ava Mitchell</x:v>
      </x:c>
      <x:c r="O250" s="85" t="n">
        <x:v>45393</x:v>
      </x:c>
      <x:c r="P250" s="84" t="str">
        <x:v>POS_2024_04</x:v>
      </x:c>
      <x:c r="Q250" s="84" t="str">
        <x:v>Insulated Lunch Bag</x:v>
      </x:c>
      <x:c r="R250" s="84" t="str">
        <x:v>Accessories</x:v>
      </x:c>
    </x:row>
    <x:row r="251">
      <x:c r="A251" s="84" t="str">
        <x:v>ORD-2024-01283</x:v>
      </x:c>
      <x:c r="B251" s="85" t="n">
        <x:v>45392</x:v>
      </x:c>
      <x:c r="C251" s="84" t="str">
        <x:v>CUST-0296</x:v>
      </x:c>
      <x:c r="D251" s="84" t="str">
        <x:v>sara irwin</x:v>
      </x:c>
      <x:c r="E251" s="84" t="str">
        <x:v>Corporate</x:v>
      </x:c>
      <x:c r="F251" s="84" t="str">
        <x:v>Midwest</x:v>
      </x:c>
      <x:c r="G251" s="84" t="str">
        <x:v>Columbus</x:v>
      </x:c>
      <x:c r="H251" s="84" t="str">
        <x:v>Online</x:v>
      </x:c>
      <x:c r="I251" s="84" t="str">
        <x:v>HOME-005</x:v>
      </x:c>
      <x:c r="J251" s="86" t="n">
        <x:v>5</x:v>
      </x:c>
      <x:c r="K251" s="87" t="n">
        <x:v>0</x:v>
      </x:c>
      <x:c r="L251" s="84" t="str">
        <x:v>Completed</x:v>
      </x:c>
      <x:c r="M251" s="84" t="str">
        <x:v>Debit Card</x:v>
      </x:c>
      <x:c r="N251" s="84" t="str">
        <x:v>Lucas Grant</x:v>
      </x:c>
      <x:c r="O251" s="85" t="n">
        <x:v>45396</x:v>
      </x:c>
      <x:c r="P251" s="84" t="str">
        <x:v>WEB_2024_04</x:v>
      </x:c>
      <x:c r="Q251" s="84" t="str">
        <x:v>Cordless Vacuum</x:v>
      </x:c>
      <x:c r="R251" s="84" t="str">
        <x:v>Home &amp; Kitchen </x:v>
      </x:c>
    </x:row>
    <x:row r="252">
      <x:c r="A252" s="84" t="str">
        <x:v>ORD-2024-02323</x:v>
      </x:c>
      <x:c r="B252" s="85" t="n">
        <x:v>45392</x:v>
      </x:c>
      <x:c r="C252" s="84" t="str">
        <x:v>CUST-0059</x:v>
      </x:c>
      <x:c r="D252" s="84" t="str">
        <x:v>Samuel Lewis</x:v>
      </x:c>
      <x:c r="E252" s="84" t="str">
        <x:v>Consumer</x:v>
      </x:c>
      <x:c r="F252" s="84" t="str">
        <x:v>Midwest</x:v>
      </x:c>
      <x:c r="G252" s="84" t="str">
        <x:v>Minneapolis</x:v>
      </x:c>
      <x:c r="H252" s="84" t="str">
        <x:v>Marketplace</x:v>
      </x:c>
      <x:c r="I252" s="84" t="str">
        <x:v>ACCS-003</x:v>
      </x:c>
      <x:c r="J252" s="86" t="n">
        <x:v>1</x:v>
      </x:c>
      <x:c r="K252" s="87" t="n">
        <x:v>0</x:v>
      </x:c>
      <x:c r="L252" s="84" t="str">
        <x:v>Completed </x:v>
      </x:c>
      <x:c r="M252" s="84" t="str">
        <x:v> PAYPAL </x:v>
      </x:c>
      <x:c r="N252" s="84" t="str">
        <x:v>emma hayes</x:v>
      </x:c>
      <x:c r="O252" s="85" t="n">
        <x:v>45398</x:v>
      </x:c>
      <x:c r="P252" s="84" t="str">
        <x:v>MKT_2024_04</x:v>
      </x:c>
      <x:c r="Q252" s="84" t="str">
        <x:v>Polarized Sunglasses</x:v>
      </x:c>
      <x:c r="R252" s="84" t="str">
        <x:v>Accessories</x:v>
      </x:c>
    </x:row>
    <x:row r="253">
      <x:c r="A253" s="84" t="str">
        <x:v>ORD-2024-00082</x:v>
      </x:c>
      <x:c r="B253" s="85" t="n">
        <x:v>45393</x:v>
      </x:c>
      <x:c r="C253" s="84" t="str">
        <x:v>CUST-0063</x:v>
      </x:c>
      <x:c r="D253" s="84" t="str">
        <x:v> JONAH IRWIN </x:v>
      </x:c>
      <x:c r="E253" s="84" t="str">
        <x:v>Small Business</x:v>
      </x:c>
      <x:c r="F253" s="84" t="str">
        <x:v> MIDWEST </x:v>
      </x:c>
      <x:c r="G253" s="84" t="str">
        <x:v>Detroit</x:v>
      </x:c>
      <x:c r="H253" s="84" t="str">
        <x:v>Online</x:v>
      </x:c>
      <x:c r="I253" s="84" t="str">
        <x:v>OFFC-004</x:v>
      </x:c>
      <x:c r="J253" s="86" t="n">
        <x:v>1</x:v>
      </x:c>
      <x:c r="K253" s="87" t="n">
        <x:v>0.1</x:v>
      </x:c>
      <x:c r="L253" s="84" t="str">
        <x:v>Completed</x:v>
      </x:c>
      <x:c r="M253" s="84" t="str">
        <x:v>Credit Card </x:v>
      </x:c>
      <x:c r="N253" s="84" t="str">
        <x:v>Lucas Grant</x:v>
      </x:c>
      <x:c r="O253" s="85" t="n">
        <x:v>45399</x:v>
      </x:c>
      <x:c r="P253" s="84" t="str">
        <x:v>WEB_2024_04</x:v>
      </x:c>
      <x:c r="Q253" s="84" t="str">
        <x:v>Premium Notebook Pack</x:v>
      </x:c>
      <x:c r="R253" s="84" t="str">
        <x:v>Office</x:v>
      </x:c>
    </x:row>
    <x:row r="254">
      <x:c r="A254" s="84" t="str">
        <x:v>ORD-2024-00766</x:v>
      </x:c>
      <x:c r="B254" s="85" t="n">
        <x:v>45393</x:v>
      </x:c>
      <x:c r="C254" s="84" t="str">
        <x:v>CUST-0240</x:v>
      </x:c>
      <x:c r="D254" s="84" t="str">
        <x:v>elena garcia</x:v>
      </x:c>
      <x:c r="E254" s="84" t="str">
        <x:v>Consumer</x:v>
      </x:c>
      <x:c r="F254" s="84" t="str">
        <x:v>Midwest</x:v>
      </x:c>
      <x:c r="G254" s="84" t="str">
        <x:v>Detroit</x:v>
      </x:c>
      <x:c r="H254" s="84" t="str">
        <x:v>Online </x:v>
      </x:c>
      <x:c r="I254" s="84" t="str">
        <x:v>OFFC-001</x:v>
      </x:c>
      <x:c r="J254" s="86" t="n">
        <x:v>1</x:v>
      </x:c>
      <x:c r="K254" s="87" t="n">
        <x:v>0.15</x:v>
      </x:c>
      <x:c r="L254" s="84" t="str">
        <x:v>Completed</x:v>
      </x:c>
      <x:c r="M254" s="84" t="str">
        <x:v>Credit Card</x:v>
      </x:c>
      <x:c r="N254" s="84" t="str">
        <x:v>Lucas Grant</x:v>
      </x:c>
      <x:c r="O254" s="85" t="n">
        <x:v>45395</x:v>
      </x:c>
      <x:c r="P254" s="84" t="str">
        <x:v>WEB_2024_04</x:v>
      </x:c>
      <x:c r="Q254" s="84" t="str">
        <x:v>Ergonomic Chair</x:v>
      </x:c>
      <x:c r="R254" s="84" t="str">
        <x:v>Office</x:v>
      </x:c>
    </x:row>
    <x:row r="255">
      <x:c r="A255" s="84" t="str">
        <x:v>ORD-2024-01474</x:v>
      </x:c>
      <x:c r="B255" s="85" t="n">
        <x:v>45393</x:v>
      </x:c>
      <x:c r="C255" s="84" t="str">
        <x:v>CUST-0371</x:v>
      </x:c>
      <x:c r="D255" s="84" t="str">
        <x:v>Sara Moore</x:v>
      </x:c>
      <x:c r="E255" s="84" t="str">
        <x:v>small business</x:v>
      </x:c>
      <x:c r="F255" s="84" t="str">
        <x:v>West </x:v>
      </x:c>
      <x:c r="G255" s="84" t="str">
        <x:v>Seattle</x:v>
      </x:c>
      <x:c r="H255" s="84" t="str">
        <x:v>online</x:v>
      </x:c>
      <x:c r="I255" s="84" t="str">
        <x:v>OFFC-004</x:v>
      </x:c>
      <x:c r="J255" s="86" t="n">
        <x:v>2</x:v>
      </x:c>
      <x:c r="K255" s="87" t="n">
        <x:v>0.2</x:v>
      </x:c>
      <x:c r="L255" s="84" t="str">
        <x:v>Completed</x:v>
      </x:c>
      <x:c r="M255" s="84" t="str">
        <x:v>Debit Card</x:v>
      </x:c>
      <x:c r="N255" s="84" t="str">
        <x:v>Leo Martinez </x:v>
      </x:c>
      <x:c r="O255" s="85" t="n">
        <x:v>45396</x:v>
      </x:c>
      <x:c r="P255" s="84" t="str">
        <x:v>WEB_2024_04</x:v>
      </x:c>
      <x:c r="Q255" s="84" t="str">
        <x:v>Premium Notebook Pack</x:v>
      </x:c>
      <x:c r="R255" s="84" t="str">
        <x:v>Office</x:v>
      </x:c>
    </x:row>
    <x:row r="256">
      <x:c r="A256" s="84" t="str">
        <x:v>ORD-2024-00832</x:v>
      </x:c>
      <x:c r="B256" s="85" t="n">
        <x:v>45394</x:v>
      </x:c>
      <x:c r="C256" s="84" t="str">
        <x:v>CUST-0354</x:v>
      </x:c>
      <x:c r="D256" s="84" t="str">
        <x:v>jasmine quinn</x:v>
      </x:c>
      <x:c r="E256" s="84" t="str">
        <x:v>Consumer</x:v>
      </x:c>
      <x:c r="F256" s="84" t="str">
        <x:v>Northeast</x:v>
      </x:c>
      <x:c r="G256" s="84" t="str">
        <x:v>Philadelphia</x:v>
      </x:c>
      <x:c r="H256" s="84" t="str">
        <x:v>Online</x:v>
      </x:c>
      <x:c r="I256" s="84" t="str">
        <x:v>HOME-005</x:v>
      </x:c>
      <x:c r="J256" s="86" t="n">
        <x:v>1</x:v>
      </x:c>
      <x:c r="K256" s="87" t="n">
        <x:v>0</x:v>
      </x:c>
      <x:c r="L256" s="84" t="str">
        <x:v>Completed </x:v>
      </x:c>
      <x:c r="M256" s="84" t="str">
        <x:v>Credit Card</x:v>
      </x:c>
      <x:c r="N256" s="84" t="str">
        <x:v>Sofia Bennett</x:v>
      </x:c>
      <x:c r="O256" s="85" t="n">
        <x:v>45396</x:v>
      </x:c>
      <x:c r="P256" s="84" t="str">
        <x:v>WEB_2024_04</x:v>
      </x:c>
      <x:c r="Q256" s="84" t="str">
        <x:v>Cordless Vacuum</x:v>
      </x:c>
      <x:c r="R256" s="84" t="str">
        <x:v>Home &amp; Kitchen</x:v>
      </x:c>
    </x:row>
    <x:row r="257">
      <x:c r="A257" s="84" t="str">
        <x:v>ORD-2024-00852</x:v>
      </x:c>
      <x:c r="B257" s="85" t="n">
        <x:v>45394</x:v>
      </x:c>
      <x:c r="C257" s="84" t="str">
        <x:v>CUST-0198</x:v>
      </x:c>
      <x:c r="D257" s="84" t="str">
        <x:v>Jonah Baker </x:v>
      </x:c>
      <x:c r="E257" s="84" t="str">
        <x:v>Consumer</x:v>
      </x:c>
      <x:c r="F257" s="84" t="str">
        <x:v>Southeast</x:v>
      </x:c>
      <x:c r="G257" s="84" t="str">
        <x:v>Atlanta</x:v>
      </x:c>
      <x:c r="H257" s="84" t="str">
        <x:v>Online</x:v>
      </x:c>
      <x:c r="I257" s="84" t="str">
        <x:v>ELEC-004</x:v>
      </x:c>
      <x:c r="J257" s="86" t="n">
        <x:v>4</x:v>
      </x:c>
      <x:c r="K257" s="87" t="n">
        <x:v>0.05</x:v>
      </x:c>
      <x:c r="L257" s="84" t="str">
        <x:v>Completed</x:v>
      </x:c>
      <x:c r="M257" s="84" t="str">
        <x:v>Debit Card </x:v>
      </x:c>
      <x:c r="N257" s="84" t="str">
        <x:v>Liam Parker</x:v>
      </x:c>
      <x:c r="O257" s="85" t="n">
        <x:v>45398</x:v>
      </x:c>
      <x:c r="P257" s="84" t="str">
        <x:v>WEB_2024_04</x:v>
      </x:c>
      <x:c r="Q257" s="84" t="str">
        <x:v>Power Bank</x:v>
      </x:c>
      <x:c r="R257" s="84" t="str">
        <x:v>Electronics</x:v>
      </x:c>
    </x:row>
    <x:row r="258">
      <x:c r="A258" s="84" t="str">
        <x:v>ORD-2024-02233</x:v>
      </x:c>
      <x:c r="B258" s="85" t="n">
        <x:v>45394</x:v>
      </x:c>
      <x:c r="C258" s="84" t="str">
        <x:v>CUST-0446</x:v>
      </x:c>
      <x:c r="D258" s="84" t="str">
        <x:v>Nathan Davis</x:v>
      </x:c>
      <x:c r="E258" s="84" t="str">
        <x:v>consumer</x:v>
      </x:c>
      <x:c r="F258" s="84" t="str">
        <x:v>Southeast</x:v>
      </x:c>
      <x:c r="G258" s="84" t="str">
        <x:v>Nashville </x:v>
      </x:c>
      <x:c r="H258" s="84" t="str">
        <x:v> RETAIL STORE </x:v>
      </x:c>
      <x:c r="I258" s="84" t="str">
        <x:v>ELEC-003</x:v>
      </x:c>
      <x:c r="J258" s="86" t="n">
        <x:v>1</x:v>
      </x:c>
      <x:c r="K258" s="87" t="n">
        <x:v>0.1</x:v>
      </x:c>
      <x:c r="L258" s="84" t="str">
        <x:v>Completed</x:v>
      </x:c>
      <x:c r="M258" s="84" t="str">
        <x:v>Cash</x:v>
      </x:c>
      <x:c r="N258" s="84" t="str">
        <x:v>Liam Parker</x:v>
      </x:c>
      <x:c r="O258" s="85" t="n">
        <x:v>45394</x:v>
      </x:c>
      <x:c r="P258" s="84" t="str">
        <x:v>POS_2024_04</x:v>
      </x:c>
      <x:c r="Q258" s="84" t="str">
        <x:v>Bluetooth Speaker</x:v>
      </x:c>
      <x:c r="R258" s="84" t="str">
        <x:v>Electronics</x:v>
      </x:c>
    </x:row>
    <x:row r="259">
      <x:c r="A259" s="84" t="str">
        <x:v>ORD-2024-00967</x:v>
      </x:c>
      <x:c r="B259" s="85" t="n">
        <x:v>45395</x:v>
      </x:c>
      <x:c r="C259" s="84" t="str">
        <x:v>CUST-0329</x:v>
      </x:c>
      <x:c r="D259" s="84" t="str">
        <x:v>Theo Nelson</x:v>
      </x:c>
      <x:c r="E259" s="84" t="str">
        <x:v>Consumer</x:v>
      </x:c>
      <x:c r="F259" s="84" t="str">
        <x:v>Southeast</x:v>
      </x:c>
      <x:c r="G259" s="84" t="str">
        <x:v>Atlanta</x:v>
      </x:c>
      <x:c r="H259" s="84" t="str">
        <x:v>Online</x:v>
      </x:c>
      <x:c r="I259" s="84" t="str">
        <x:v>ELEC-004</x:v>
      </x:c>
      <x:c r="J259" s="86" t="n">
        <x:v>1</x:v>
      </x:c>
      <x:c r="K259" s="87" t="n">
        <x:v>0.05</x:v>
      </x:c>
      <x:c r="L259" s="84" t="str">
        <x:v>Completed</x:v>
      </x:c>
      <x:c r="M259" s="84" t="str">
        <x:v>credit card</x:v>
      </x:c>
      <x:c r="N259" s="84" t="str">
        <x:v>Noah Reed</x:v>
      </x:c>
      <x:c r="O259" s="85" t="n">
        <x:v>45398</x:v>
      </x:c>
      <x:c r="P259" s="84" t="str">
        <x:v>WEB_2024_04</x:v>
      </x:c>
      <x:c r="Q259" s="84" t="str">
        <x:v>Power Bank </x:v>
      </x:c>
      <x:c r="R259" s="84" t="str">
        <x:v> ELECTRONICS </x:v>
      </x:c>
    </x:row>
    <x:row r="260">
      <x:c r="A260" s="84" t="str">
        <x:v>ORD-2024-01129</x:v>
      </x:c>
      <x:c r="B260" s="85" t="n">
        <x:v>45395</x:v>
      </x:c>
      <x:c r="C260" s="84" t="str">
        <x:v>CUST-0564</x:v>
      </x:c>
      <x:c r="D260" s="84" t="str">
        <x:v>amelia khan</x:v>
      </x:c>
      <x:c r="E260" s="84" t="str">
        <x:v>Corporate</x:v>
      </x:c>
      <x:c r="F260" s="84" t="str">
        <x:v>Southeast</x:v>
      </x:c>
      <x:c r="G260" s="84" t="str">
        <x:v>Miami</x:v>
      </x:c>
      <x:c r="H260" s="84" t="str">
        <x:v>Retail Store</x:v>
      </x:c>
      <x:c r="I260" s="84" t="str">
        <x:v>FITN-001</x:v>
      </x:c>
      <x:c r="J260" s="86" t="n">
        <x:v>2</x:v>
      </x:c>
      <x:c r="K260" s="87" t="n">
        <x:v>0</x:v>
      </x:c>
      <x:c r="L260" s="84" t="str">
        <x:v>Completed</x:v>
      </x:c>
      <x:c r="M260" s="84" t="str">
        <x:v>Debit Card</x:v>
      </x:c>
      <x:c r="N260" s="84" t="str">
        <x:v>Ava Mitchell</x:v>
      </x:c>
      <x:c r="O260" s="85" t="n">
        <x:v>45395</x:v>
      </x:c>
      <x:c r="P260" s="84" t="str">
        <x:v>POS_2024_04</x:v>
      </x:c>
      <x:c r="Q260" s="84" t="str">
        <x:v>Yoga Mat</x:v>
      </x:c>
      <x:c r="R260" s="84" t="str">
        <x:v>Fitness </x:v>
      </x:c>
    </x:row>
    <x:row r="261">
      <x:c r="A261" s="84" t="str">
        <x:v>ORD-2024-01129</x:v>
      </x:c>
      <x:c r="B261" s="85" t="n">
        <x:v>45395</x:v>
      </x:c>
      <x:c r="C261" s="84" t="str">
        <x:v>CUST-0564</x:v>
      </x:c>
      <x:c r="D261" s="84" t="str">
        <x:v>amelia khan</x:v>
      </x:c>
      <x:c r="E261" s="84" t="str">
        <x:v>Corporate</x:v>
      </x:c>
      <x:c r="F261" s="84" t="str">
        <x:v>Southeast</x:v>
      </x:c>
      <x:c r="G261" s="84" t="str">
        <x:v>Miami</x:v>
      </x:c>
      <x:c r="H261" s="84" t="str">
        <x:v>Retail Store</x:v>
      </x:c>
      <x:c r="I261" s="84" t="str">
        <x:v>FITN-001</x:v>
      </x:c>
      <x:c r="J261" s="86" t="n">
        <x:v>2</x:v>
      </x:c>
      <x:c r="K261" s="87" t="n">
        <x:v>0</x:v>
      </x:c>
      <x:c r="L261" s="84" t="str">
        <x:v>Completed</x:v>
      </x:c>
      <x:c r="M261" s="84" t="str">
        <x:v>Debit Card</x:v>
      </x:c>
      <x:c r="N261" s="84" t="str">
        <x:v>Ava Mitchell</x:v>
      </x:c>
      <x:c r="O261" s="85" t="n">
        <x:v>45395</x:v>
      </x:c>
      <x:c r="P261" s="84" t="str">
        <x:v>RELOAD_POS_2024_04</x:v>
      </x:c>
      <x:c r="Q261" s="84" t="str">
        <x:v>Yoga Mat</x:v>
      </x:c>
      <x:c r="R261" s="84" t="str">
        <x:v>Fitness </x:v>
      </x:c>
    </x:row>
    <x:row r="262">
      <x:c r="A262" s="84" t="str">
        <x:v>ORD-2024-01501</x:v>
      </x:c>
      <x:c r="B262" s="85" t="n">
        <x:v>45395</x:v>
      </x:c>
      <x:c r="C262" s="84" t="str">
        <x:v>CUST-0298</x:v>
      </x:c>
      <x:c r="D262" s="84" t="str">
        <x:v>Jasmine Roberts</x:v>
      </x:c>
      <x:c r="E262" s="84" t="str">
        <x:v>Consumer</x:v>
      </x:c>
      <x:c r="F262" s="84" t="str">
        <x:v>West</x:v>
      </x:c>
      <x:c r="G262" s="84" t="str">
        <x:v>Los Angeles</x:v>
      </x:c>
      <x:c r="H262" s="84" t="str">
        <x:v>Retail Store </x:v>
      </x:c>
      <x:c r="I262" s="84" t="str">
        <x:v>ELEC-002</x:v>
      </x:c>
      <x:c r="J262" s="86" t="n">
        <x:v>1</x:v>
      </x:c>
      <x:c r="K262" s="87" t="n">
        <x:v>0.05</x:v>
      </x:c>
      <x:c r="L262" s="84" t="str">
        <x:v> COMPLETED </x:v>
      </x:c>
      <x:c r="M262" s="84" t="str">
        <x:v>Debit Card</x:v>
      </x:c>
      <x:c r="N262" s="84" t="str">
        <x:v>Mia Chen</x:v>
      </x:c>
      <x:c r="O262" s="85" t="n">
        <x:v>45395</x:v>
      </x:c>
      <x:c r="P262" s="84" t="str">
        <x:v>POS_2024_04</x:v>
      </x:c>
      <x:c r="Q262" s="84" t="str">
        <x:v>Smartwatch</x:v>
      </x:c>
      <x:c r="R262" s="84" t="str">
        <x:v>Electronics</x:v>
      </x:c>
    </x:row>
    <x:row r="263">
      <x:c r="A263" s="84" t="str">
        <x:v>ORD-2024-02235</x:v>
      </x:c>
      <x:c r="B263" s="85" t="n">
        <x:v>45395</x:v>
      </x:c>
      <x:c r="C263" s="84" t="str">
        <x:v>CUST-0474</x:v>
      </x:c>
      <x:c r="D263" s="84" t="str">
        <x:v>Aiden Foster</x:v>
      </x:c>
      <x:c r="E263" s="84" t="str">
        <x:v>Consumer</x:v>
      </x:c>
      <x:c r="F263" s="84" t="str">
        <x:v>Southeast</x:v>
      </x:c>
      <x:c r="G263" s="84" t="str">
        <x:v>Miami</x:v>
      </x:c>
      <x:c r="H263" s="84" t="str">
        <x:v>Online</x:v>
      </x:c>
      <x:c r="I263" s="84" t="str">
        <x:v>FITN-004</x:v>
      </x:c>
      <x:c r="J263" s="86" t="n">
        <x:v>2</x:v>
      </x:c>
      <x:c r="K263" s="87" t="n">
        <x:v>0</x:v>
      </x:c>
      <x:c r="L263" s="84" t="str">
        <x:v>Completed</x:v>
      </x:c>
      <x:c r="M263" s="84" t="str">
        <x:v>Debit Card</x:v>
      </x:c>
      <x:c r="N263" s="84" t="str">
        <x:v>ava mitchell</x:v>
      </x:c>
      <x:c r="O263" s="85" t="n">
        <x:v>45399</x:v>
      </x:c>
      <x:c r="P263" s="84" t="str">
        <x:v>WEB_2024_04</x:v>
      </x:c>
      <x:c r="Q263" s="84" t="str">
        <x:v>Fitness Tracker</x:v>
      </x:c>
      <x:c r="R263" s="84" t="str">
        <x:v>Fitness </x:v>
      </x:c>
    </x:row>
    <x:row r="264">
      <x:c r="A264" s="84" t="str">
        <x:v>ORD-2024-00080</x:v>
      </x:c>
      <x:c r="B264" s="85" t="n">
        <x:v>45396</x:v>
      </x:c>
      <x:c r="C264" s="84" t="str">
        <x:v>CUST-0008</x:v>
      </x:c>
      <x:c r="D264" s="84" t="str">
        <x:v>Nathan Foster</x:v>
      </x:c>
      <x:c r="E264" s="84" t="str">
        <x:v>Consumer</x:v>
      </x:c>
      <x:c r="F264" s="84" t="str">
        <x:v>West</x:v>
      </x:c>
      <x:c r="G264" s="84" t="str">
        <x:v>Denver</x:v>
      </x:c>
      <x:c r="H264" s="84" t="str">
        <x:v>Online </x:v>
      </x:c>
      <x:c r="I264" s="84" t="str">
        <x:v>HOME-001</x:v>
      </x:c>
      <x:c r="J264" s="86" t="n">
        <x:v>1</x:v>
      </x:c>
      <x:c r="K264" s="87" t="n">
        <x:v>0.1</x:v>
      </x:c>
      <x:c r="L264" s="84" t="str">
        <x:v>Completed</x:v>
      </x:c>
      <x:c r="M264" s="84" t="str">
        <x:v>Mobile Wallet</x:v>
      </x:c>
      <x:c r="N264" s="84" t="str">
        <x:v>Nora Kim</x:v>
      </x:c>
      <x:c r="O264" s="85" t="n">
        <x:v>45401</x:v>
      </x:c>
      <x:c r="P264" s="84" t="str">
        <x:v>WEB_2024_04</x:v>
      </x:c>
      <x:c r="Q264" s="84" t="str">
        <x:v>Air Fryer</x:v>
      </x:c>
      <x:c r="R264" s="84" t="str">
        <x:v>home &amp; kitchen</x:v>
      </x:c>
    </x:row>
    <x:row r="265">
      <x:c r="A265" s="84" t="str">
        <x:v>ORD-2024-00733</x:v>
      </x:c>
      <x:c r="B265" s="85" t="n">
        <x:v>45396</x:v>
      </x:c>
      <x:c r="C265" s="84" t="str">
        <x:v>CUST-0179</x:v>
      </x:c>
      <x:c r="D265" s="84" t="str">
        <x:v>jasmine garcia</x:v>
      </x:c>
      <x:c r="E265" s="84" t="str">
        <x:v>Consumer</x:v>
      </x:c>
      <x:c r="F265" s="84" t="str">
        <x:v>West</x:v>
      </x:c>
      <x:c r="G265" s="84" t="str">
        <x:v>Phoenix</x:v>
      </x:c>
      <x:c r="H265" s="84" t="str">
        <x:v>Marketplace</x:v>
      </x:c>
      <x:c r="I265" s="84" t="str">
        <x:v>OFFC-003</x:v>
      </x:c>
      <x:c r="J265" s="86" t="n">
        <x:v>1</x:v>
      </x:c>
      <x:c r="K265" s="87" t="n">
        <x:v>0.05</x:v>
      </x:c>
      <x:c r="L265" s="84" t="str">
        <x:v>Completed</x:v>
      </x:c>
      <x:c r="M265" s="84" t="str">
        <x:v>PayPal </x:v>
      </x:c>
      <x:c r="N265" s="84" t="str">
        <x:v>Leo Martinez</x:v>
      </x:c>
      <x:c r="O265" s="85" t="n">
        <x:v>45403</x:v>
      </x:c>
      <x:c r="P265" s="84" t="str">
        <x:v>MKT_2024_04</x:v>
      </x:c>
      <x:c r="Q265" s="84" t="str">
        <x:v>LED Desk Lamp</x:v>
      </x:c>
      <x:c r="R265" s="84" t="str">
        <x:v>Office</x:v>
      </x:c>
    </x:row>
    <x:row r="266">
      <x:c r="A266" s="84" t="str">
        <x:v>ORD-2024-00906</x:v>
      </x:c>
      <x:c r="B266" s="85" t="n">
        <x:v>45396</x:v>
      </x:c>
      <x:c r="C266" s="84" t="str">
        <x:v>CUST-0203</x:v>
      </x:c>
      <x:c r="D266" s="84" t="str">
        <x:v>Jasmine Carter</x:v>
      </x:c>
      <x:c r="E266" s="84" t="str">
        <x:v>Consumer</x:v>
      </x:c>
      <x:c r="F266" s="84" t="str">
        <x:v>Midwest</x:v>
      </x:c>
      <x:c r="G266" s="84" t="str">
        <x:v>detroit</x:v>
      </x:c>
      <x:c r="H266" s="84" t="str">
        <x:v>Retail Store </x:v>
      </x:c>
      <x:c r="I266" s="84" t="str">
        <x:v>ACCS-003</x:v>
      </x:c>
      <x:c r="J266" s="86" t="n">
        <x:v>1</x:v>
      </x:c>
      <x:c r="K266" s="87" t="n">
        <x:v>0</x:v>
      </x:c>
      <x:c r="L266" s="84" t="str">
        <x:v> COMPLETED </x:v>
      </x:c>
      <x:c r="M266" s="84" t="str">
        <x:v>Credit Card</x:v>
      </x:c>
      <x:c r="N266" s="84" t="str">
        <x:v>Lucas Grant</x:v>
      </x:c>
      <x:c r="O266" s="85" t="n">
        <x:v>45396</x:v>
      </x:c>
      <x:c r="P266" s="84" t="str">
        <x:v>POS_2024_04</x:v>
      </x:c>
      <x:c r="Q266" s="84" t="str">
        <x:v>Polarized Sunglasses</x:v>
      </x:c>
      <x:c r="R266" s="84" t="str">
        <x:v>Accessories</x:v>
      </x:c>
    </x:row>
    <x:row r="267">
      <x:c r="A267" s="84" t="str">
        <x:v>ORD-2024-00436</x:v>
      </x:c>
      <x:c r="B267" s="85" t="n">
        <x:v>45398</x:v>
      </x:c>
      <x:c r="C267" s="84" t="str">
        <x:v>CUST-0029</x:v>
      </x:c>
      <x:c r="D267" s="84" t="str">
        <x:v>theo ortiz</x:v>
      </x:c>
      <x:c r="E267" s="84" t="str">
        <x:v>Corporate</x:v>
      </x:c>
      <x:c r="F267" s="84" t="str">
        <x:v>Northeast</x:v>
      </x:c>
      <x:c r="G267" s="84" t="str">
        <x:v>Philadelphia</x:v>
      </x:c>
      <x:c r="H267" s="84" t="str">
        <x:v>Retail Store</x:v>
      </x:c>
      <x:c r="I267" s="84" t="str">
        <x:v>CARE-001</x:v>
      </x:c>
      <x:c r="J267" s="86" t="n">
        <x:v>3</x:v>
      </x:c>
      <x:c r="K267" s="87" t="n">
        <x:v>0.1</x:v>
      </x:c>
      <x:c r="L267" s="84" t="str">
        <x:v>Completed</x:v>
      </x:c>
      <x:c r="M267" s="84" t="str">
        <x:v> DEBIT CARD </x:v>
      </x:c>
      <x:c r="N267" s="84" t="str">
        <x:v>Maya Brooks</x:v>
      </x:c>
      <x:c r="O267" s="85" t="n">
        <x:v>45398</x:v>
      </x:c>
      <x:c r="P267" s="84" t="str">
        <x:v>POS_2024_04</x:v>
      </x:c>
      <x:c r="Q267" s="84" t="str">
        <x:v>Ionic Hair Dryer</x:v>
      </x:c>
      <x:c r="R267" s="84" t="str">
        <x:v>Personal Care </x:v>
      </x:c>
    </x:row>
    <x:row r="268">
      <x:c r="A268" s="84" t="str">
        <x:v>ORD-2024-00448</x:v>
      </x:c>
      <x:c r="B268" s="85" t="n">
        <x:v>45400</x:v>
      </x:c>
      <x:c r="C268" s="84" t="str">
        <x:v>CUST-0510</x:v>
      </x:c>
      <x:c r="D268" s="84" t="str">
        <x:v>Theo Smith</x:v>
      </x:c>
      <x:c r="E268" s="84" t="str">
        <x:v>Consumer </x:v>
      </x:c>
      <x:c r="F268" s="84" t="str">
        <x:v>west</x:v>
      </x:c>
      <x:c r="G268" s="84" t="str">
        <x:v>Seattle </x:v>
      </x:c>
      <x:c r="H268" s="84" t="str">
        <x:v> ONLINE </x:v>
      </x:c>
      <x:c r="I268" s="84" t="str">
        <x:v>ELEC-006</x:v>
      </x:c>
      <x:c r="J268" s="86" t="n">
        <x:v>2</x:v>
      </x:c>
      <x:c r="K268" s="87" t="n">
        <x:v>0.05</x:v>
      </x:c>
      <x:c r="L268" s="84" t="str">
        <x:v>Completed</x:v>
      </x:c>
      <x:c r="M268" s="84" t="str">
        <x:v>Debit Card</x:v>
      </x:c>
      <x:c r="N268" s="84" t="str">
        <x:v>Mia Chen</x:v>
      </x:c>
      <x:c r="O268" s="85" t="n">
        <x:v>45403</x:v>
      </x:c>
      <x:c r="P268" s="84" t="str">
        <x:v>WEB_2024_04</x:v>
      </x:c>
      <x:c r="Q268" s="84" t="str">
        <x:v>Portable SSD</x:v>
      </x:c>
      <x:c r="R268" s="84" t="str">
        <x:v>Electronics</x:v>
      </x:c>
    </x:row>
    <x:row r="269">
      <x:c r="A269" s="84" t="str">
        <x:v>ORD-2024-00778</x:v>
      </x:c>
      <x:c r="B269" s="85" t="n">
        <x:v>45400</x:v>
      </x:c>
      <x:c r="C269" s="84" t="str">
        <x:v>CUST-0303</x:v>
      </x:c>
      <x:c r="D269" s="84" t="str">
        <x:v>Caleb Roberts</x:v>
      </x:c>
      <x:c r="E269" s="84" t="str">
        <x:v>Corporate</x:v>
      </x:c>
      <x:c r="F269" s="84" t="str">
        <x:v>west</x:v>
      </x:c>
      <x:c r="G269" s="84" t="str">
        <x:v>Seattle</x:v>
      </x:c>
      <x:c r="H269" s="84" t="str">
        <x:v>Retail Store</x:v>
      </x:c>
      <x:c r="I269" s="84" t="str">
        <x:v>HOME-004</x:v>
      </x:c>
      <x:c r="J269" s="86" t="n">
        <x:v>2</x:v>
      </x:c>
      <x:c r="K269" s="87" t="n">
        <x:v>0.1</x:v>
      </x:c>
      <x:c r="L269" s="84" t="str">
        <x:v>Completed</x:v>
      </x:c>
      <x:c r="M269" s="84" t="str">
        <x:v>Mobile Wallet</x:v>
      </x:c>
      <x:c r="N269" s="84" t="str">
        <x:v>Mia Chen</x:v>
      </x:c>
      <x:c r="O269" s="85" t="n">
        <x:v>45400</x:v>
      </x:c>
      <x:c r="P269" s="84" t="str">
        <x:v>POS_2024_04</x:v>
      </x:c>
      <x:c r="Q269" s="84" t="str">
        <x:v>Coffee Maker </x:v>
      </x:c>
      <x:c r="R269" s="84" t="str">
        <x:v>Home &amp; Kitchen</x:v>
      </x:c>
    </x:row>
    <x:row r="270">
      <x:c r="A270" s="84" t="str">
        <x:v>ORD-2024-01268</x:v>
      </x:c>
      <x:c r="B270" s="85" t="n">
        <x:v>45400</x:v>
      </x:c>
      <x:c r="C270" s="84" t="str">
        <x:v>CUST-0477</x:v>
      </x:c>
      <x:c r="D270" s="84" t="str">
        <x:v>William Adams</x:v>
      </x:c>
      <x:c r="E270" s="84" t="str">
        <x:v>Small Business</x:v>
      </x:c>
      <x:c r="F270" s="84" t="str">
        <x:v>Southeast</x:v>
      </x:c>
      <x:c r="G270" s="84" t="str">
        <x:v> NASHVILLE </x:v>
      </x:c>
      <x:c r="H270" s="84" t="str">
        <x:v>Marketplace</x:v>
      </x:c>
      <x:c r="I270" s="84" t="str">
        <x:v>HOME-002</x:v>
      </x:c>
      <x:c r="J270" s="86" t="n">
        <x:v>1</x:v>
      </x:c>
      <x:c r="K270" s="87" t="n">
        <x:v>0.1</x:v>
      </x:c>
      <x:c r="L270" s="84" t="str">
        <x:v>Completed</x:v>
      </x:c>
      <x:c r="M270" s="84" t="str">
        <x:v>PayPal</x:v>
      </x:c>
      <x:c r="N270" s="84" t="str">
        <x:v>Ava Mitchell</x:v>
      </x:c>
      <x:c r="O270" s="85" t="n">
        <x:v>45405</x:v>
      </x:c>
      <x:c r="P270" s="84" t="str">
        <x:v>MKT_2024_04</x:v>
      </x:c>
      <x:c r="Q270" s="84" t="str">
        <x:v>Electric Kettle </x:v>
      </x:c>
      <x:c r="R270" s="84" t="str">
        <x:v>home &amp; kitchen</x:v>
      </x:c>
    </x:row>
    <x:row r="271">
      <x:c r="A271" s="84" t="str">
        <x:v>ORD-2024-01617</x:v>
      </x:c>
      <x:c r="B271" s="85" t="n">
        <x:v>45400</x:v>
      </x:c>
      <x:c r="C271" s="84" t="str">
        <x:v>CUST-0541</x:v>
      </x:c>
      <x:c r="D271" s="84" t="str">
        <x:v>Caleb Adams</x:v>
      </x:c>
      <x:c r="E271" s="84" t="str">
        <x:v>small business</x:v>
      </x:c>
      <x:c r="F271" s="84" t="str">
        <x:v>Northeast</x:v>
      </x:c>
      <x:c r="G271" s="84" t="str">
        <x:v>Newark </x:v>
      </x:c>
      <x:c r="H271" s="84" t="str">
        <x:v>online</x:v>
      </x:c>
      <x:c r="I271" s="84" t="str">
        <x:v>ELEC-004</x:v>
      </x:c>
      <x:c r="J271" s="86" t="n">
        <x:v>1</x:v>
      </x:c>
      <x:c r="K271" s="87" t="n">
        <x:v>0.15</x:v>
      </x:c>
      <x:c r="L271" s="84" t="str">
        <x:v>Completed</x:v>
      </x:c>
      <x:c r="M271" s="84" t="str">
        <x:v>PayPal</x:v>
      </x:c>
      <x:c r="N271" s="84" t="str">
        <x:v>Sofia Bennett</x:v>
      </x:c>
      <x:c r="O271" s="85" t="n">
        <x:v>45403</x:v>
      </x:c>
      <x:c r="P271" s="84" t="str">
        <x:v>WEB_2024_04</x:v>
      </x:c>
      <x:c r="Q271" s="84" t="str">
        <x:v>Power Bank</x:v>
      </x:c>
      <x:c r="R271" s="84" t="str">
        <x:v>Electronics</x:v>
      </x:c>
    </x:row>
    <x:row r="272">
      <x:c r="A272" s="84" t="str">
        <x:v>ORD-2024-01807</x:v>
      </x:c>
      <x:c r="B272" s="85" t="n">
        <x:v>45400</x:v>
      </x:c>
      <x:c r="C272" s="84" t="str">
        <x:v>CUST-0225</x:v>
      </x:c>
      <x:c r="D272" s="84" t="str">
        <x:v>Sara Ortiz</x:v>
      </x:c>
      <x:c r="E272" s="84" t="str">
        <x:v>Small Business</x:v>
      </x:c>
      <x:c r="F272" s="84" t="str">
        <x:v>Southeast</x:v>
      </x:c>
      <x:c r="G272" s="84" t="str">
        <x:v>Atlanta</x:v>
      </x:c>
      <x:c r="H272" s="84" t="str">
        <x:v>Online</x:v>
      </x:c>
      <x:c r="I272" s="84" t="str">
        <x:v>HOME-005</x:v>
      </x:c>
      <x:c r="J272" s="86" t="n">
        <x:v>1</x:v>
      </x:c>
      <x:c r="K272" s="87" t="n">
        <x:v>0.15</x:v>
      </x:c>
      <x:c r="L272" s="84" t="str">
        <x:v> COMPLETED </x:v>
      </x:c>
      <x:c r="M272" s="84" t="str">
        <x:v>Debit Card</x:v>
      </x:c>
      <x:c r="N272" s="84" t="str">
        <x:v>Liam Parker</x:v>
      </x:c>
      <x:c r="O272" s="85" t="n">
        <x:v>45402</x:v>
      </x:c>
      <x:c r="P272" s="84" t="str">
        <x:v>WEB_2024_04</x:v>
      </x:c>
      <x:c r="Q272" s="84" t="str">
        <x:v>Cordless Vacuum </x:v>
      </x:c>
      <x:c r="R272" s="84" t="str">
        <x:v>home &amp; kitchen</x:v>
      </x:c>
    </x:row>
    <x:row r="273">
      <x:c r="A273" s="84" t="str">
        <x:v>ORD-2024-02263</x:v>
      </x:c>
      <x:c r="B273" s="85" t="n">
        <x:v>45400</x:v>
      </x:c>
      <x:c r="C273" s="84" t="str">
        <x:v>CUST-0094</x:v>
      </x:c>
      <x:c r="D273" s="84" t="str">
        <x:v>William Patel</x:v>
      </x:c>
      <x:c r="E273" s="84" t="str">
        <x:v>Consumer</x:v>
      </x:c>
      <x:c r="F273" s="84" t="str">
        <x:v>west</x:v>
      </x:c>
      <x:c r="G273" s="84" t="str">
        <x:v>Denver</x:v>
      </x:c>
      <x:c r="H273" s="84" t="str">
        <x:v>Marketplace</x:v>
      </x:c>
      <x:c r="I273" s="84" t="str">
        <x:v>CARE-001</x:v>
      </x:c>
      <x:c r="J273" s="86" t="n">
        <x:v>1</x:v>
      </x:c>
      <x:c r="K273" s="87" t="n">
        <x:v>0.15</x:v>
      </x:c>
      <x:c r="L273" s="84" t="str">
        <x:v>Completed</x:v>
      </x:c>
      <x:c r="M273" s="84" t="str">
        <x:v>Credit Card</x:v>
      </x:c>
      <x:c r="N273" s="84" t="str">
        <x:v>Mia Chen</x:v>
      </x:c>
      <x:c r="O273" s="85" t="n">
        <x:v>45404</x:v>
      </x:c>
      <x:c r="P273" s="84" t="str">
        <x:v>MKT_2024_04</x:v>
      </x:c>
      <x:c r="Q273" s="84" t="str">
        <x:v>Ionic Hair Dryer</x:v>
      </x:c>
      <x:c r="R273" s="84" t="str">
        <x:v>Personal Care </x:v>
      </x:c>
    </x:row>
    <x:row r="274">
      <x:c r="A274" s="84" t="str">
        <x:v>ORD-2024-00057</x:v>
      </x:c>
      <x:c r="B274" s="85" t="n">
        <x:v>45401</x:v>
      </x:c>
      <x:c r="C274" s="84" t="str">
        <x:v>CUST-0204</x:v>
      </x:c>
      <x:c r="D274" s="84" t="str">
        <x:v>Jasmine Nelson</x:v>
      </x:c>
      <x:c r="E274" s="84" t="str">
        <x:v>Consumer</x:v>
      </x:c>
      <x:c r="F274" s="84" t="str">
        <x:v>Midwest</x:v>
      </x:c>
      <x:c r="G274" s="84" t="str">
        <x:v>Minneapolis</x:v>
      </x:c>
      <x:c r="H274" s="84" t="str">
        <x:v> RETAIL STORE </x:v>
      </x:c>
      <x:c r="I274" s="84" t="str">
        <x:v>HOME-004</x:v>
      </x:c>
      <x:c r="J274" s="86" t="n">
        <x:v>2</x:v>
      </x:c>
      <x:c r="K274" s="87" t="n">
        <x:v>0.1</x:v>
      </x:c>
      <x:c r="L274" s="84" t="str">
        <x:v>Returned</x:v>
      </x:c>
      <x:c r="M274" s="84" t="str">
        <x:v>Cash</x:v>
      </x:c>
      <x:c r="N274" s="84" t="str">
        <x:v>emma hayes</x:v>
      </x:c>
      <x:c r="O274" s="85" t="n">
        <x:v>45401</x:v>
      </x:c>
      <x:c r="P274" s="84" t="str">
        <x:v>POS_2024_04</x:v>
      </x:c>
      <x:c r="Q274" s="84" t="str">
        <x:v>Coffee Maker </x:v>
      </x:c>
      <x:c r="R274" s="84" t="str">
        <x:v>Home &amp; Kitchen</x:v>
      </x:c>
    </x:row>
    <x:row r="275">
      <x:c r="A275" s="84" t="str">
        <x:v>ORD-2024-00534</x:v>
      </x:c>
      <x:c r="B275" s="85" t="n">
        <x:v>45401</x:v>
      </x:c>
      <x:c r="C275" s="84" t="str">
        <x:v>CUST-0548</x:v>
      </x:c>
      <x:c r="D275" s="84" t="str">
        <x:v>Maya Foster</x:v>
      </x:c>
      <x:c r="E275" s="84" t="str">
        <x:v>Consumer</x:v>
      </x:c>
      <x:c r="F275" s="84" t="str">
        <x:v>Southeast</x:v>
      </x:c>
      <x:c r="G275" s="84" t="str">
        <x:v>Miami</x:v>
      </x:c>
      <x:c r="H275" s="84" t="str">
        <x:v>Retail Store</x:v>
      </x:c>
      <x:c r="I275" s="84" t="str">
        <x:v>HOME-006</x:v>
      </x:c>
      <x:c r="J275" s="86" t="n">
        <x:v>2</x:v>
      </x:c>
      <x:c r="K275" s="87" t="n">
        <x:v>0</x:v>
      </x:c>
      <x:c r="L275" s="84" t="str">
        <x:v>Returned</x:v>
      </x:c>
      <x:c r="M275" s="84" t="str">
        <x:v>Cash</x:v>
      </x:c>
      <x:c r="N275" s="84" t="str">
        <x:v>Ava Mitchell</x:v>
      </x:c>
      <x:c r="O275" s="85" t="n">
        <x:v>45401</x:v>
      </x:c>
      <x:c r="P275" s="84" t="str">
        <x:v>POS_2024_04</x:v>
      </x:c>
      <x:c r="Q275" s="84" t="str">
        <x:v>Food Storage Set</x:v>
      </x:c>
      <x:c r="R275" s="84" t="str">
        <x:v>Home &amp; Kitchen </x:v>
      </x:c>
    </x:row>
    <x:row r="276">
      <x:c r="A276" s="84" t="str">
        <x:v>ORD-2024-00737</x:v>
      </x:c>
      <x:c r="B276" s="85" t="n">
        <x:v>45401</x:v>
      </x:c>
      <x:c r="C276" s="84" t="str">
        <x:v>CUST-0035</x:v>
      </x:c>
      <x:c r="D276" s="84" t="str">
        <x:v>Nathan Ortiz</x:v>
      </x:c>
      <x:c r="E276" s="84" t="str">
        <x:v>corporate</x:v>
      </x:c>
      <x:c r="F276" s="84" t="str">
        <x:v>Southeast</x:v>
      </x:c>
      <x:c r="G276" s="84" t="str">
        <x:v>Charlotte</x:v>
      </x:c>
      <x:c r="H276" s="84" t="str">
        <x:v> MARKETPLACE </x:v>
      </x:c>
      <x:c r="I276" s="84" t="str">
        <x:v>OFFC-001</x:v>
      </x:c>
      <x:c r="J276" s="86" t="n">
        <x:v>6</x:v>
      </x:c>
      <x:c r="K276" s="87" t="n">
        <x:v>0.15</x:v>
      </x:c>
      <x:c r="L276" s="84" t="str">
        <x:v>Completed</x:v>
      </x:c>
      <x:c r="M276" s="84" t="str">
        <x:v>PayPal</x:v>
      </x:c>
      <x:c r="N276" s="84" t="str">
        <x:v>Liam Parker</x:v>
      </x:c>
      <x:c r="O276" s="85" t="n">
        <x:v>45407</x:v>
      </x:c>
      <x:c r="P276" s="84" t="str">
        <x:v>MKT_2024_04</x:v>
      </x:c>
      <x:c r="Q276" s="84" t="str">
        <x:v>Ergonomic Chair</x:v>
      </x:c>
      <x:c r="R276" s="84" t="str">
        <x:v>Office </x:v>
      </x:c>
    </x:row>
    <x:row r="277">
      <x:c r="A277" s="84" t="str">
        <x:v>ORD-2024-02252</x:v>
      </x:c>
      <x:c r="B277" s="85" t="n">
        <x:v>45401</x:v>
      </x:c>
      <x:c r="C277" s="84" t="str">
        <x:v>CUST-0036</x:v>
      </x:c>
      <x:c r="D277" s="84" t="str">
        <x:v>Victoria Ortiz </x:v>
      </x:c>
      <x:c r="E277" s="84" t="str">
        <x:v>Small Business</x:v>
      </x:c>
      <x:c r="F277" s="84" t="str">
        <x:v>northeast</x:v>
      </x:c>
      <x:c r="G277" s="84" t="str">
        <x:v>Philadelphia</x:v>
      </x:c>
      <x:c r="H277" s="84" t="str">
        <x:v>Retail Store</x:v>
      </x:c>
      <x:c r="I277" s="84" t="str">
        <x:v>ACCS-006</x:v>
      </x:c>
      <x:c r="J277" s="86" t="n">
        <x:v>2</x:v>
      </x:c>
      <x:c r="K277" s="87" t="n">
        <x:v>0.05</x:v>
      </x:c>
      <x:c r="L277" s="84" t="str">
        <x:v>Completed</x:v>
      </x:c>
      <x:c r="M277" s="84" t="str">
        <x:v>Credit Card </x:v>
      </x:c>
      <x:c r="N277" s="84" t="str">
        <x:v>Ethan Cole</x:v>
      </x:c>
      <x:c r="O277" s="85" t="n">
        <x:v>45401</x:v>
      </x:c>
      <x:c r="P277" s="84" t="str">
        <x:v>POS_2024_04</x:v>
      </x:c>
      <x:c r="Q277" s="84" t="str">
        <x:v>Insulated Lunch Bag</x:v>
      </x:c>
      <x:c r="R277" s="84" t="str">
        <x:v>Accessories</x:v>
      </x:c>
    </x:row>
    <x:row r="278">
      <x:c r="A278" s="84" t="str">
        <x:v>ORD-2024-00298</x:v>
      </x:c>
      <x:c r="B278" s="85" t="n">
        <x:v>45402</x:v>
      </x:c>
      <x:c r="C278" s="84" t="str">
        <x:v>CUST-0043</x:v>
      </x:c>
      <x:c r="D278" s="84" t="str">
        <x:v>Nina Hall</x:v>
      </x:c>
      <x:c r="E278" s="84" t="str">
        <x:v>Consumer</x:v>
      </x:c>
      <x:c r="F278" s="84" t="str">
        <x:v>Northeast </x:v>
      </x:c>
      <x:c r="G278" s="84" t="str">
        <x:v>Philadelphia</x:v>
      </x:c>
      <x:c r="H278" s="84" t="str">
        <x:v>Online</x:v>
      </x:c>
      <x:c r="I278" s="84" t="str">
        <x:v>OFFC-003</x:v>
      </x:c>
      <x:c r="J278" s="86" t="n">
        <x:v>3</x:v>
      </x:c>
      <x:c r="K278" s="87" t="n">
        <x:v>0</x:v>
      </x:c>
      <x:c r="L278" s="84" t="str">
        <x:v>Completed</x:v>
      </x:c>
      <x:c r="M278" s="84" t="str">
        <x:v>Debit Card</x:v>
      </x:c>
      <x:c r="N278" s="84" t="str">
        <x:v>Sofia Bennett </x:v>
      </x:c>
      <x:c r="O278" s="85" t="n">
        <x:v>45404</x:v>
      </x:c>
      <x:c r="P278" s="84" t="str">
        <x:v>WEB_2024_04</x:v>
      </x:c>
      <x:c r="Q278" s="84" t="str">
        <x:v>LED Desk Lamp</x:v>
      </x:c>
      <x:c r="R278" s="84" t="str">
        <x:v>Office</x:v>
      </x:c>
    </x:row>
    <x:row r="279">
      <x:c r="A279" s="84" t="str">
        <x:v>ORD-2024-01587</x:v>
      </x:c>
      <x:c r="B279" s="85" t="n">
        <x:v>45402</x:v>
      </x:c>
      <x:c r="C279" s="84" t="str">
        <x:v>CUST-0039</x:v>
      </x:c>
      <x:c r="D279" s="84" t="str">
        <x:v>Amelia Patel </x:v>
      </x:c>
      <x:c r="E279" s="84" t="str">
        <x:v>Consumer</x:v>
      </x:c>
      <x:c r="F279" s="84" t="str">
        <x:v>West</x:v>
      </x:c>
      <x:c r="G279" s="84" t="str">
        <x:v>Denver</x:v>
      </x:c>
      <x:c r="H279" s="84" t="str">
        <x:v> MARKETPLACE </x:v>
      </x:c>
      <x:c r="I279" s="84" t="str">
        <x:v>HOME-004</x:v>
      </x:c>
      <x:c r="J279" s="86" t="n">
        <x:v>2</x:v>
      </x:c>
      <x:c r="K279" s="87" t="n">
        <x:v>0.2</x:v>
      </x:c>
      <x:c r="L279" s="84" t="str">
        <x:v>Completed</x:v>
      </x:c>
      <x:c r="M279" s="84" t="str">
        <x:v>PayPal </x:v>
      </x:c>
      <x:c r="N279" s="84" t="str">
        <x:v>Mia Chen</x:v>
      </x:c>
      <x:c r="O279" s="85" t="n">
        <x:v>45406</x:v>
      </x:c>
      <x:c r="P279" s="84" t="str">
        <x:v>MKT_2024_04</x:v>
      </x:c>
      <x:c r="Q279" s="84" t="str">
        <x:v>Coffee Maker</x:v>
      </x:c>
      <x:c r="R279" s="84" t="str">
        <x:v>home &amp; kitchen</x:v>
      </x:c>
    </x:row>
    <x:row r="280">
      <x:c r="A280" s="84" t="str">
        <x:v>ORD-2024-01862</x:v>
      </x:c>
      <x:c r="B280" s="85" t="n">
        <x:v>45402</x:v>
      </x:c>
      <x:c r="C280" s="84" t="str">
        <x:v>CUST-0483</x:v>
      </x:c>
      <x:c r="D280" s="84" t="str">
        <x:v>Daniel Carter</x:v>
      </x:c>
      <x:c r="E280" s="84" t="str">
        <x:v>Consumer </x:v>
      </x:c>
      <x:c r="F280" s="84" t="str">
        <x:v>West</x:v>
      </x:c>
      <x:c r="G280" s="84" t="str">
        <x:v>Denver </x:v>
      </x:c>
      <x:c r="H280" s="84" t="str">
        <x:v>Retail Store</x:v>
      </x:c>
      <x:c r="I280" s="84" t="str">
        <x:v>OFFC-004</x:v>
      </x:c>
      <x:c r="J280" s="86" t="n">
        <x:v>2</x:v>
      </x:c>
      <x:c r="K280" s="87" t="n">
        <x:v>0</x:v>
      </x:c>
      <x:c r="L280" s="84" t="str">
        <x:v>Completed</x:v>
      </x:c>
      <x:c r="M280" s="84" t="str">
        <x:v>Credit Card</x:v>
      </x:c>
      <x:c r="N280" s="84" t="str">
        <x:v>Mia Chen</x:v>
      </x:c>
      <x:c r="O280" s="85" t="n">
        <x:v>45402</x:v>
      </x:c>
      <x:c r="P280" s="84" t="str">
        <x:v>POS_2024_04</x:v>
      </x:c>
      <x:c r="Q280" s="84" t="str">
        <x:v>Premium Notebook Pack</x:v>
      </x:c>
      <x:c r="R280" s="84" t="str">
        <x:v>office</x:v>
      </x:c>
    </x:row>
    <x:row r="281">
      <x:c r="A281" s="84" t="str">
        <x:v>ORD-2024-02081</x:v>
      </x:c>
      <x:c r="B281" s="85" t="n">
        <x:v>45402</x:v>
      </x:c>
      <x:c r="C281" s="84" t="str">
        <x:v>CUST-0118</x:v>
      </x:c>
      <x:c r="D281" s="84" t="str">
        <x:v>Daniel Davis</x:v>
      </x:c>
      <x:c r="E281" s="84" t="str">
        <x:v>Consumer</x:v>
      </x:c>
      <x:c r="F281" s="84" t="str">
        <x:v>Midwest</x:v>
      </x:c>
      <x:c r="G281" s="84" t="str">
        <x:v>Minneapolis</x:v>
      </x:c>
      <x:c r="H281" s="84" t="str">
        <x:v>Online</x:v>
      </x:c>
      <x:c r="I281" s="84" t="str">
        <x:v>ELEC-003</x:v>
      </x:c>
      <x:c r="J281" s="86" t="n">
        <x:v>1</x:v>
      </x:c>
      <x:c r="K281" s="87" t="n">
        <x:v>0</x:v>
      </x:c>
      <x:c r="L281" s="84" t="str">
        <x:v>Completed</x:v>
      </x:c>
      <x:c r="M281" s="84" t="str">
        <x:v>PayPal</x:v>
      </x:c>
      <x:c r="N281" s="84" t="str">
        <x:v>lucas grant</x:v>
      </x:c>
      <x:c r="O281" s="85" t="n">
        <x:v>45406</x:v>
      </x:c>
      <x:c r="P281" s="84" t="str">
        <x:v>WEB_2024_04</x:v>
      </x:c>
      <x:c r="Q281" s="84" t="str">
        <x:v>Bluetooth Speaker</x:v>
      </x:c>
      <x:c r="R281" s="84" t="str">
        <x:v>Electronics </x:v>
      </x:c>
    </x:row>
    <x:row r="282">
      <x:c r="A282" s="84" t="str">
        <x:v>ORD-2024-02241</x:v>
      </x:c>
      <x:c r="B282" s="85" t="n">
        <x:v>45402</x:v>
      </x:c>
      <x:c r="C282" s="84" t="str">
        <x:v>CUST-0598</x:v>
      </x:c>
      <x:c r="D282" s="84" t="str">
        <x:v> AMELIA EVANS </x:v>
      </x:c>
      <x:c r="E282" s="84" t="str">
        <x:v>Corporate</x:v>
      </x:c>
      <x:c r="F282" s="84" t="str">
        <x:v> SOUTHEAST </x:v>
      </x:c>
      <x:c r="G282" s="84" t="str">
        <x:v>Nashville</x:v>
      </x:c>
      <x:c r="H282" s="84" t="str">
        <x:v>Retail Store</x:v>
      </x:c>
      <x:c r="I282" s="84" t="str">
        <x:v>HOME-001</x:v>
      </x:c>
      <x:c r="J282" s="86" t="n">
        <x:v>5</x:v>
      </x:c>
      <x:c r="K282" s="87" t="n">
        <x:v>0.05</x:v>
      </x:c>
      <x:c r="L282" s="84" t="str">
        <x:v>Completed</x:v>
      </x:c>
      <x:c r="M282" s="84" t="str">
        <x:v>Cash</x:v>
      </x:c>
      <x:c r="N282" s="84" t="str">
        <x:v>Noah Reed</x:v>
      </x:c>
      <x:c r="O282" s="85" t="n">
        <x:v>45402</x:v>
      </x:c>
      <x:c r="P282" s="84" t="str">
        <x:v>POS_2024_04</x:v>
      </x:c>
      <x:c r="Q282" s="84" t="str">
        <x:v>Air Fryer </x:v>
      </x:c>
      <x:c r="R282" s="84" t="str">
        <x:v>Home &amp; Kitchen</x:v>
      </x:c>
    </x:row>
    <x:row r="283">
      <x:c r="A283" s="84" t="str">
        <x:v>ORD-2024-00971</x:v>
      </x:c>
      <x:c r="B283" s="85" t="n">
        <x:v>45403</x:v>
      </x:c>
      <x:c r="C283" s="84" t="str">
        <x:v>CUST-0629</x:v>
      </x:c>
      <x:c r="D283" s="84" t="str">
        <x:v>Nina Garcia </x:v>
      </x:c>
      <x:c r="E283" s="84" t="str">
        <x:v>Consumer</x:v>
      </x:c>
      <x:c r="F283" s="84" t="str">
        <x:v>Southeast</x:v>
      </x:c>
      <x:c r="G283" s="84" t="str">
        <x:v>Charlotte</x:v>
      </x:c>
      <x:c r="H283" s="84" t="str">
        <x:v>Online</x:v>
      </x:c>
      <x:c r="I283" s="84" t="str">
        <x:v>FITN-001</x:v>
      </x:c>
      <x:c r="J283" s="86" t="n">
        <x:v>1</x:v>
      </x:c>
      <x:c r="K283" s="87" t="n">
        <x:v>0.05</x:v>
      </x:c>
      <x:c r="L283" s="84" t="str">
        <x:v>Completed</x:v>
      </x:c>
      <x:c r="M283" s="84" t="str">
        <x:v>Credit Card </x:v>
      </x:c>
      <x:c r="N283" s="84" t="str">
        <x:v>Ava Mitchell</x:v>
      </x:c>
      <x:c r="O283" s="85" t="n">
        <x:v>45407</x:v>
      </x:c>
      <x:c r="P283" s="84" t="str">
        <x:v>WEB_2024_04</x:v>
      </x:c>
      <x:c r="Q283" s="84" t="str">
        <x:v>Yoga Mat</x:v>
      </x:c>
      <x:c r="R283" s="84" t="str">
        <x:v>fitness</x:v>
      </x:c>
    </x:row>
    <x:row r="284">
      <x:c r="A284" s="84" t="str">
        <x:v>ORD-2024-01366</x:v>
      </x:c>
      <x:c r="B284" s="85" t="n">
        <x:v>45403</x:v>
      </x:c>
      <x:c r="C284" s="84" t="str">
        <x:v>CUST-0494</x:v>
      </x:c>
      <x:c r="D284" s="84" t="str">
        <x:v>Zara Taylor</x:v>
      </x:c>
      <x:c r="E284" s="84" t="str">
        <x:v>Consumer</x:v>
      </x:c>
      <x:c r="F284" s="84" t="str">
        <x:v>Southeast</x:v>
      </x:c>
      <x:c r="G284" s="84" t="str">
        <x:v>Atlanta</x:v>
      </x:c>
      <x:c r="H284" s="84" t="str">
        <x:v> ONLINE </x:v>
      </x:c>
      <x:c r="I284" s="84" t="str">
        <x:v>ACCS-004</x:v>
      </x:c>
      <x:c r="J284" s="86" t="n">
        <x:v>1</x:v>
      </x:c>
      <x:c r="K284" s="87" t="n">
        <x:v>0</x:v>
      </x:c>
      <x:c r="L284" s="84" t="str">
        <x:v>Completed</x:v>
      </x:c>
      <x:c r="M284" s="84" t="str">
        <x:v>Credit Card</x:v>
      </x:c>
      <x:c r="N284" s="84" t="str">
        <x:v>ava mitchell</x:v>
      </x:c>
      <x:c r="O284" s="85" t="n">
        <x:v>45407</x:v>
      </x:c>
      <x:c r="P284" s="84" t="str">
        <x:v>WEB_2024_04</x:v>
      </x:c>
      <x:c r="Q284" s="84" t="str">
        <x:v>Leather Wallet </x:v>
      </x:c>
      <x:c r="R284" s="84" t="str">
        <x:v>Accessories</x:v>
      </x:c>
    </x:row>
    <x:row r="285">
      <x:c r="A285" s="84" t="str">
        <x:v>ORD-2024-02280</x:v>
      </x:c>
      <x:c r="B285" s="85" t="n">
        <x:v>45403</x:v>
      </x:c>
      <x:c r="C285" s="84" t="str">
        <x:v>CUST-0395</x:v>
      </x:c>
      <x:c r="D285" s="84" t="str">
        <x:v>Sara Baker </x:v>
      </x:c>
      <x:c r="E285" s="84" t="str">
        <x:v>Consumer</x:v>
      </x:c>
      <x:c r="F285" s="84" t="str">
        <x:v>West</x:v>
      </x:c>
      <x:c r="G285" s="84" t="str">
        <x:v>Denver</x:v>
      </x:c>
      <x:c r="H285" s="84" t="str">
        <x:v>Online</x:v>
      </x:c>
      <x:c r="I285" s="84" t="str">
        <x:v>ACCS-002</x:v>
      </x:c>
      <x:c r="J285" s="86" t="n">
        <x:v>1</x:v>
      </x:c>
      <x:c r="K285" s="87" t="n">
        <x:v>0</x:v>
      </x:c>
      <x:c r="L285" s="84" t="str">
        <x:v>Completed</x:v>
      </x:c>
      <x:c r="M285" s="84" t="str">
        <x:v>Debit Card </x:v>
      </x:c>
      <x:c r="N285" s="84" t="str">
        <x:v>Mia Chen</x:v>
      </x:c>
      <x:c r="O285" s="85" t="n">
        <x:v>45406</x:v>
      </x:c>
      <x:c r="P285" s="84" t="str">
        <x:v>WEB_2024_04</x:v>
      </x:c>
      <x:c r="Q285" s="84" t="str">
        <x:v>Travel Backpack</x:v>
      </x:c>
      <x:c r="R285" s="84" t="str">
        <x:v>accessories</x:v>
      </x:c>
    </x:row>
    <x:row r="286">
      <x:c r="A286" s="84" t="str">
        <x:v>ORD-2024-02368</x:v>
      </x:c>
      <x:c r="B286" s="85" t="n">
        <x:v>45403</x:v>
      </x:c>
      <x:c r="C286" s="84" t="str">
        <x:v>CUST-0549</x:v>
      </x:c>
      <x:c r="D286" s="84" t="str">
        <x:v>Marcus Patel</x:v>
      </x:c>
      <x:c r="E286" s="84" t="str">
        <x:v>Small Business</x:v>
      </x:c>
      <x:c r="F286" s="84" t="str">
        <x:v>Northeast</x:v>
      </x:c>
      <x:c r="G286" s="84" t="str">
        <x:v>Boston</x:v>
      </x:c>
      <x:c r="H286" s="84" t="str">
        <x:v>Online</x:v>
      </x:c>
      <x:c r="I286" s="84" t="str">
        <x:v>ACCS-003</x:v>
      </x:c>
      <x:c r="J286" s="86" t="n">
        <x:v>1</x:v>
      </x:c>
      <x:c r="K286" s="87" t="n">
        <x:v>0</x:v>
      </x:c>
      <x:c r="L286" s="84" t="str">
        <x:v> COMPLETED </x:v>
      </x:c>
      <x:c r="M286" s="84" t="str">
        <x:v>Credit Card</x:v>
      </x:c>
      <x:c r="N286" s="84" t="str">
        <x:v>Ethan Cole</x:v>
      </x:c>
      <x:c r="O286" s="85" t="n">
        <x:v>45407</x:v>
      </x:c>
      <x:c r="P286" s="84" t="str">
        <x:v>WEB_2024_04</x:v>
      </x:c>
      <x:c r="Q286" s="84" t="str">
        <x:v>Polarized Sunglasses</x:v>
      </x:c>
      <x:c r="R286" s="84" t="str">
        <x:v>accessories</x:v>
      </x:c>
    </x:row>
    <x:row r="287">
      <x:c r="A287" s="84" t="str">
        <x:v>ORD-2024-01107</x:v>
      </x:c>
      <x:c r="B287" s="85" t="n">
        <x:v>45404</x:v>
      </x:c>
      <x:c r="C287" s="84" t="str">
        <x:v>CUST-0534</x:v>
      </x:c>
      <x:c r="D287" s="84" t="str">
        <x:v>chloe evans</x:v>
      </x:c>
      <x:c r="E287" s="84" t="str">
        <x:v>Corporate</x:v>
      </x:c>
      <x:c r="F287" s="84" t="str">
        <x:v>West</x:v>
      </x:c>
      <x:c r="G287" s="84" t="str">
        <x:v>Phoenix</x:v>
      </x:c>
      <x:c r="H287" s="84" t="str">
        <x:v>Marketplace</x:v>
      </x:c>
      <x:c r="I287" s="84" t="str">
        <x:v>ELEC-005</x:v>
      </x:c>
      <x:c r="J287" s="86" t="n">
        <x:v>3</x:v>
      </x:c>
      <x:c r="K287" s="87" t="n">
        <x:v>0.15</x:v>
      </x:c>
      <x:c r="L287" s="84" t="str">
        <x:v>Completed</x:v>
      </x:c>
      <x:c r="M287" s="84" t="str">
        <x:v>Credit Card</x:v>
      </x:c>
      <x:c r="N287" s="84" t="str">
        <x:v>Leo Martinez</x:v>
      </x:c>
      <x:c r="O287" s="85" t="n">
        <x:v>45410</x:v>
      </x:c>
      <x:c r="P287" s="84" t="str">
        <x:v>MKT_2024_04</x:v>
      </x:c>
      <x:c r="Q287" s="84" t="str">
        <x:v>HD Webcam </x:v>
      </x:c>
      <x:c r="R287" s="84" t="str">
        <x:v>Electronics</x:v>
      </x:c>
    </x:row>
    <x:row r="288">
      <x:c r="A288" s="84" t="str">
        <x:v>ORD-2024-01696</x:v>
      </x:c>
      <x:c r="B288" s="85" t="n">
        <x:v>45405</x:v>
      </x:c>
      <x:c r="C288" s="84" t="str">
        <x:v>CUST-0157</x:v>
      </x:c>
      <x:c r="D288" s="84" t="str">
        <x:v>Isaac Smith</x:v>
      </x:c>
      <x:c r="E288" s="84" t="str">
        <x:v>Corporate</x:v>
      </x:c>
      <x:c r="F288" s="84" t="str">
        <x:v>West</x:v>
      </x:c>
      <x:c r="G288" s="84" t="str">
        <x:v>Los Angeles</x:v>
      </x:c>
      <x:c r="H288" s="84" t="str">
        <x:v>Retail Store</x:v>
      </x:c>
      <x:c r="I288" s="84" t="str">
        <x:v>ELEC-004</x:v>
      </x:c>
      <x:c r="J288" s="86" t="n">
        <x:v>3</x:v>
      </x:c>
      <x:c r="K288" s="87" t="n">
        <x:v>0</x:v>
      </x:c>
      <x:c r="L288" s="84" t="str">
        <x:v>Completed</x:v>
      </x:c>
      <x:c r="M288" s="84" t="str">
        <x:v>Credit Card</x:v>
      </x:c>
      <x:c r="N288" s="84" t="str">
        <x:v>leo martinez</x:v>
      </x:c>
      <x:c r="O288" s="85" t="n">
        <x:v>45405</x:v>
      </x:c>
      <x:c r="P288" s="84" t="str">
        <x:v>POS_2024_04</x:v>
      </x:c>
      <x:c r="Q288" s="84" t="str">
        <x:v>Power Bank</x:v>
      </x:c>
      <x:c r="R288" s="84" t="str">
        <x:v>Electronics </x:v>
      </x:c>
    </x:row>
    <x:row r="289">
      <x:c r="A289" s="84" t="str">
        <x:v>ORD-2024-02008</x:v>
      </x:c>
      <x:c r="B289" s="85" t="n">
        <x:v>45405</x:v>
      </x:c>
      <x:c r="C289" s="84" t="str">
        <x:v>CUST-0628</x:v>
      </x:c>
      <x:c r="D289" s="84" t="str">
        <x:v>Isaac Young</x:v>
      </x:c>
      <x:c r="E289" s="84" t="str">
        <x:v>Small Business</x:v>
      </x:c>
      <x:c r="F289" s="84" t="str">
        <x:v>West</x:v>
      </x:c>
      <x:c r="G289" s="84" t="str">
        <x:v>Denver</x:v>
      </x:c>
      <x:c r="H289" s="84" t="str">
        <x:v>Retail Store</x:v>
      </x:c>
      <x:c r="I289" s="84" t="str">
        <x:v>HOME-005</x:v>
      </x:c>
      <x:c r="J289" s="86" t="n">
        <x:v>1</x:v>
      </x:c>
      <x:c r="K289" s="87" t="n">
        <x:v>0.15</x:v>
      </x:c>
      <x:c r="L289" s="84" t="str">
        <x:v>Completed </x:v>
      </x:c>
      <x:c r="M289" s="84" t="str">
        <x:v>Credit Card</x:v>
      </x:c>
      <x:c r="N289" s="84" t="str">
        <x:v>Leo Martinez</x:v>
      </x:c>
      <x:c r="O289" s="85" t="n">
        <x:v>45406</x:v>
      </x:c>
      <x:c r="P289" s="84" t="str">
        <x:v>POS_2024_04</x:v>
      </x:c>
      <x:c r="Q289" s="84" t="str">
        <x:v>Cordless Vacuum</x:v>
      </x:c>
      <x:c r="R289" s="84" t="str">
        <x:v>Home &amp; Kitchen</x:v>
      </x:c>
    </x:row>
    <x:row r="290">
      <x:c r="A290" s="84" t="str">
        <x:v>ORD-2024-01023</x:v>
      </x:c>
      <x:c r="B290" s="85" t="n">
        <x:v>45406</x:v>
      </x:c>
      <x:c r="C290" s="84" t="str">
        <x:v>CUST-0363</x:v>
      </x:c>
      <x:c r="D290" s="84" t="str">
        <x:v>Jasmine Baker</x:v>
      </x:c>
      <x:c r="E290" s="84" t="str">
        <x:v>corporate</x:v>
      </x:c>
      <x:c r="F290" s="84" t="str">
        <x:v>Midwest</x:v>
      </x:c>
      <x:c r="G290" s="84" t="str">
        <x:v>Minneapolis</x:v>
      </x:c>
      <x:c r="H290" s="84" t="str">
        <x:v>marketplace</x:v>
      </x:c>
      <x:c r="I290" s="84" t="str">
        <x:v>ELEC-004</x:v>
      </x:c>
      <x:c r="J290" s="86" t="n">
        <x:v>4</x:v>
      </x:c>
      <x:c r="K290" s="87" t="n">
        <x:v>0</x:v>
      </x:c>
      <x:c r="L290" s="84" t="str">
        <x:v>Completed</x:v>
      </x:c>
      <x:c r="M290" s="84" t="str">
        <x:v>Credit Card</x:v>
      </x:c>
      <x:c r="N290" s="84" t="str">
        <x:v> ZOE TURNER </x:v>
      </x:c>
      <x:c r="O290" s="85" t="n">
        <x:v>45411</x:v>
      </x:c>
      <x:c r="P290" s="84" t="str">
        <x:v>MKT_2024_04</x:v>
      </x:c>
      <x:c r="Q290" s="84" t="str">
        <x:v>Power Bank </x:v>
      </x:c>
      <x:c r="R290" s="84" t="str">
        <x:v>Electronics</x:v>
      </x:c>
    </x:row>
    <x:row r="291">
      <x:c r="A291" s="84" t="str">
        <x:v>ORD-2024-01668</x:v>
      </x:c>
      <x:c r="B291" s="85" t="n">
        <x:v>45406</x:v>
      </x:c>
      <x:c r="C291" s="84" t="str">
        <x:v>CUST-0274</x:v>
      </x:c>
      <x:c r="D291" s="84" t="str">
        <x:v>daniel nelson</x:v>
      </x:c>
      <x:c r="E291" s="84" t="str">
        <x:v>Corporate</x:v>
      </x:c>
      <x:c r="F291" s="84" t="str">
        <x:v>Northeast</x:v>
      </x:c>
      <x:c r="G291" s="84" t="str">
        <x:v>Boston</x:v>
      </x:c>
      <x:c r="H291" s="84" t="str">
        <x:v>Online</x:v>
      </x:c>
      <x:c r="I291" s="84" t="str">
        <x:v>HOME-003</x:v>
      </x:c>
      <x:c r="J291" s="86" t="n">
        <x:v>3</x:v>
      </x:c>
      <x:c r="K291" s="87" t="n">
        <x:v>0.1</x:v>
      </x:c>
      <x:c r="L291" s="84" t="str">
        <x:v>Completed</x:v>
      </x:c>
      <x:c r="M291" s="84" t="str">
        <x:v>Mobile Wallet</x:v>
      </x:c>
      <x:c r="N291" s="84" t="str">
        <x:v>Ethan Cole</x:v>
      </x:c>
      <x:c r="O291" s="85" t="n">
        <x:v>45409</x:v>
      </x:c>
      <x:c r="P291" s="84" t="str">
        <x:v>WEB_2024_04</x:v>
      </x:c>
      <x:c r="Q291" s="84" t="str">
        <x:v>Countertop Blender</x:v>
      </x:c>
      <x:c r="R291" s="84" t="str">
        <x:v>Home &amp; Kitchen </x:v>
      </x:c>
    </x:row>
    <x:row r="292">
      <x:c r="A292" s="84" t="str">
        <x:v>ORD-2024-01500</x:v>
      </x:c>
      <x:c r="B292" s="85" t="n">
        <x:v>45407</x:v>
      </x:c>
      <x:c r="C292" s="84" t="str">
        <x:v>CUST-0230</x:v>
      </x:c>
      <x:c r="D292" s="84" t="str">
        <x:v>Elias Evans</x:v>
      </x:c>
      <x:c r="E292" s="84" t="str">
        <x:v>Small Business</x:v>
      </x:c>
      <x:c r="F292" s="84" t="str">
        <x:v>Southeast</x:v>
      </x:c>
      <x:c r="G292" s="84" t="str">
        <x:v>miami</x:v>
      </x:c>
      <x:c r="H292" s="84" t="str">
        <x:v>Retail Store</x:v>
      </x:c>
      <x:c r="I292" s="84" t="str">
        <x:v>ACCS-002</x:v>
      </x:c>
      <x:c r="J292" s="86" t="n">
        <x:v>2</x:v>
      </x:c>
      <x:c r="K292" s="87" t="n">
        <x:v>0.1</x:v>
      </x:c>
      <x:c r="L292" s="84" t="str">
        <x:v>completed</x:v>
      </x:c>
      <x:c r="M292" s="84" t="str">
        <x:v>Debit Card</x:v>
      </x:c>
      <x:c r="N292" s="84" t="str">
        <x:v>Liam Parker</x:v>
      </x:c>
      <x:c r="O292" s="85" t="n">
        <x:v>45407</x:v>
      </x:c>
      <x:c r="P292" s="84" t="str">
        <x:v>POS_2024_04</x:v>
      </x:c>
      <x:c r="Q292" s="84" t="str">
        <x:v> TRAVEL BACKPACK </x:v>
      </x:c>
      <x:c r="R292" s="84" t="str">
        <x:v>Accessories </x:v>
      </x:c>
    </x:row>
    <x:row r="293">
      <x:c r="A293" s="84" t="str">
        <x:v>ORD-2024-02134</x:v>
      </x:c>
      <x:c r="B293" s="85" t="n">
        <x:v>45408</x:v>
      </x:c>
      <x:c r="C293" s="84" t="str">
        <x:v>CUST-0184</x:v>
      </x:c>
      <x:c r="D293" s="84" t="str">
        <x:v>Elena Patel</x:v>
      </x:c>
      <x:c r="E293" s="84" t="str">
        <x:v>consumer</x:v>
      </x:c>
      <x:c r="F293" s="84" t="str">
        <x:v>Southeast</x:v>
      </x:c>
      <x:c r="G293" s="84" t="str">
        <x:v>Miami</x:v>
      </x:c>
      <x:c r="H293" s="84" t="str">
        <x:v>retail store</x:v>
      </x:c>
      <x:c r="I293" s="84" t="str">
        <x:v>HOME-005</x:v>
      </x:c>
      <x:c r="J293" s="86" t="n">
        <x:v>2</x:v>
      </x:c>
      <x:c r="K293" s="87" t="n">
        <x:v>0.15</x:v>
      </x:c>
      <x:c r="L293" s="84" t="str">
        <x:v>Completed </x:v>
      </x:c>
      <x:c r="M293" s="84" t="str">
        <x:v>Cash</x:v>
      </x:c>
      <x:c r="N293" s="84" t="str">
        <x:v>Noah Reed</x:v>
      </x:c>
      <x:c r="O293" s="85" t="n">
        <x:v>45408</x:v>
      </x:c>
      <x:c r="P293" s="84" t="str">
        <x:v>POS_2024_04</x:v>
      </x:c>
      <x:c r="Q293" s="84" t="str">
        <x:v>Cordless Vacuum</x:v>
      </x:c>
      <x:c r="R293" s="84" t="str">
        <x:v>Home &amp; Kitchen</x:v>
      </x:c>
    </x:row>
    <x:row r="294">
      <x:c r="A294" s="84" t="str">
        <x:v>ORD-2024-01064</x:v>
      </x:c>
      <x:c r="B294" s="85" t="n">
        <x:v>45409</x:v>
      </x:c>
      <x:c r="C294" s="84" t="str">
        <x:v>CUST-0437</x:v>
      </x:c>
      <x:c r="D294" s="84" t="str">
        <x:v>Nathan Garcia</x:v>
      </x:c>
      <x:c r="E294" s="84" t="str">
        <x:v>Corporate </x:v>
      </x:c>
      <x:c r="F294" s="84" t="str">
        <x:v>northeast</x:v>
      </x:c>
      <x:c r="G294" s="84" t="str">
        <x:v> PHILADELPHIA </x:v>
      </x:c>
      <x:c r="H294" s="84" t="str">
        <x:v>Retail Store</x:v>
      </x:c>
      <x:c r="I294" s="84" t="str">
        <x:v>FITN-003</x:v>
      </x:c>
      <x:c r="J294" s="86" t="n">
        <x:v>2</x:v>
      </x:c>
      <x:c r="K294" s="87" t="n">
        <x:v>0.05</x:v>
      </x:c>
      <x:c r="L294" s="84" t="str">
        <x:v>Completed</x:v>
      </x:c>
      <x:c r="M294" s="84" t="str">
        <x:v>Credit Card</x:v>
      </x:c>
      <x:c r="N294" s="84" t="str">
        <x:v>Maya Brooks</x:v>
      </x:c>
      <x:c r="O294" s="85" t="n">
        <x:v>45409</x:v>
      </x:c>
      <x:c r="P294" s="84" t="str">
        <x:v>POS_2024_04</x:v>
      </x:c>
      <x:c r="Q294" s="84" t="str">
        <x:v>Resistance Band Set</x:v>
      </x:c>
      <x:c r="R294" s="84" t="str">
        <x:v>Fitness</x:v>
      </x:c>
    </x:row>
    <x:row r="295">
      <x:c r="A295" s="84" t="str">
        <x:v>ORD-2024-01784</x:v>
      </x:c>
      <x:c r="B295" s="85" t="n">
        <x:v>45409</x:v>
      </x:c>
      <x:c r="C295" s="84" t="str">
        <x:v>CUST-0062</x:v>
      </x:c>
      <x:c r="D295" s="84" t="str">
        <x:v>Caleb Davis</x:v>
      </x:c>
      <x:c r="E295" s="84" t="str">
        <x:v>Consumer</x:v>
      </x:c>
      <x:c r="F295" s="84" t="str">
        <x:v>Northeast</x:v>
      </x:c>
      <x:c r="G295" s="84" t="str">
        <x:v>New York</x:v>
      </x:c>
      <x:c r="H295" s="84" t="str">
        <x:v>Marketplace</x:v>
      </x:c>
      <x:c r="I295" s="84" t="str">
        <x:v>HOME-005</x:v>
      </x:c>
      <x:c r="J295" s="86" t="n">
        <x:v>1</x:v>
      </x:c>
      <x:c r="K295" s="87" t="n">
        <x:v>0</x:v>
      </x:c>
      <x:c r="L295" s="84" t="str">
        <x:v>Completed </x:v>
      </x:c>
      <x:c r="M295" s="84" t="str">
        <x:v>Mobile Wallet</x:v>
      </x:c>
      <x:c r="N295" s="84" t="str">
        <x:v>maya brooks</x:v>
      </x:c>
      <x:c r="O295" s="85" t="n">
        <x:v>45416</x:v>
      </x:c>
      <x:c r="P295" s="84" t="str">
        <x:v>MKT_2024_04</x:v>
      </x:c>
      <x:c r="Q295" s="84" t="str">
        <x:v>Cordless Vacuum</x:v>
      </x:c>
      <x:c r="R295" s="84" t="str">
        <x:v>Home &amp; Kitchen</x:v>
      </x:c>
    </x:row>
    <x:row r="296">
      <x:c r="A296" s="84" t="str">
        <x:v>ORD-2024-02337</x:v>
      </x:c>
      <x:c r="B296" s="85" t="n">
        <x:v>45409</x:v>
      </x:c>
      <x:c r="C296" s="84" t="str">
        <x:v>CUST-0585</x:v>
      </x:c>
      <x:c r="D296" s="84" t="str">
        <x:v>Isaac Patel</x:v>
      </x:c>
      <x:c r="E296" s="84" t="str">
        <x:v>Consumer</x:v>
      </x:c>
      <x:c r="F296" s="84" t="str">
        <x:v>Northeast</x:v>
      </x:c>
      <x:c r="G296" s="84" t="str">
        <x:v>New York</x:v>
      </x:c>
      <x:c r="H296" s="84" t="str">
        <x:v>Online</x:v>
      </x:c>
      <x:c r="I296" s="84" t="str">
        <x:v>HOME-005</x:v>
      </x:c>
      <x:c r="J296" s="86" t="n">
        <x:v>2</x:v>
      </x:c>
      <x:c r="K296" s="87" t="n">
        <x:v>0.05</x:v>
      </x:c>
      <x:c r="L296" s="84" t="str">
        <x:v>Completed </x:v>
      </x:c>
      <x:c r="M296" s="84" t="str">
        <x:v>Mobile Wallet</x:v>
      </x:c>
      <x:c r="N296" s="84" t="str">
        <x:v>Ethan Cole</x:v>
      </x:c>
      <x:c r="O296" s="85" t="n">
        <x:v>45413</x:v>
      </x:c>
      <x:c r="P296" s="84" t="str">
        <x:v>WEB_2024_04</x:v>
      </x:c>
      <x:c r="Q296" s="84" t="str">
        <x:v>Cordless Vacuum</x:v>
      </x:c>
      <x:c r="R296" s="84" t="str">
        <x:v>Home &amp; Kitchen</x:v>
      </x:c>
    </x:row>
    <x:row r="297">
      <x:c r="A297" s="84" t="str">
        <x:v>ORD-2024-00744</x:v>
      </x:c>
      <x:c r="B297" s="85" t="n">
        <x:v>45410</x:v>
      </x:c>
      <x:c r="C297" s="84" t="str">
        <x:v>CUST-0271</x:v>
      </x:c>
      <x:c r="D297" s="84" t="str">
        <x:v>jonah nelson</x:v>
      </x:c>
      <x:c r="E297" s="84" t="str">
        <x:v>Consumer</x:v>
      </x:c>
      <x:c r="F297" s="84" t="str">
        <x:v>Midwest</x:v>
      </x:c>
      <x:c r="G297" s="84" t="str">
        <x:v>Detroit</x:v>
      </x:c>
      <x:c r="H297" s="84" t="str">
        <x:v>Retail Store</x:v>
      </x:c>
      <x:c r="I297" s="84" t="str">
        <x:v>HOME-003</x:v>
      </x:c>
      <x:c r="J297" s="86" t="n">
        <x:v>1</x:v>
      </x:c>
      <x:c r="K297" s="87" t="n">
        <x:v>0</x:v>
      </x:c>
      <x:c r="L297" s="84" t="str">
        <x:v>Completed</x:v>
      </x:c>
      <x:c r="M297" s="84" t="str">
        <x:v>Mobile Wallet</x:v>
      </x:c>
      <x:c r="N297" s="84" t="str">
        <x:v>Emma Hayes</x:v>
      </x:c>
      <x:c r="O297" s="85" t="n">
        <x:v>45410</x:v>
      </x:c>
      <x:c r="P297" s="84" t="str">
        <x:v>POS_2024_04</x:v>
      </x:c>
      <x:c r="Q297" s="84" t="str">
        <x:v>Countertop Blender</x:v>
      </x:c>
      <x:c r="R297" s="84" t="str">
        <x:v>Home &amp; Kitchen </x:v>
      </x:c>
    </x:row>
    <x:row r="298">
      <x:c r="A298" s="84" t="str">
        <x:v>ORD-2024-00757</x:v>
      </x:c>
      <x:c r="B298" s="85" t="n">
        <x:v>45410</x:v>
      </x:c>
      <x:c r="C298" s="84" t="str">
        <x:v>CUST-0462</x:v>
      </x:c>
      <x:c r="D298" s="84" t="str">
        <x:v>Grace Johnson</x:v>
      </x:c>
      <x:c r="E298" s="84" t="str">
        <x:v>Consumer</x:v>
      </x:c>
      <x:c r="F298" s="84" t="str">
        <x:v>Northeast</x:v>
      </x:c>
      <x:c r="G298" s="84" t="str">
        <x:v>Philadelphia</x:v>
      </x:c>
      <x:c r="H298" s="84" t="str">
        <x:v>Retail Store</x:v>
      </x:c>
      <x:c r="I298" s="84" t="str">
        <x:v>OFFC-003</x:v>
      </x:c>
      <x:c r="J298" s="86" t="n">
        <x:v>1</x:v>
      </x:c>
      <x:c r="K298" s="87" t="n">
        <x:v>0.15</x:v>
      </x:c>
      <x:c r="L298" s="84" t="str">
        <x:v>Completed</x:v>
      </x:c>
      <x:c r="M298" s="84" t="str">
        <x:v>Credit Card</x:v>
      </x:c>
      <x:c r="N298" s="84" t="str">
        <x:v>Sofia Bennett</x:v>
      </x:c>
      <x:c r="O298" s="85" t="n">
        <x:v>45410</x:v>
      </x:c>
      <x:c r="P298" s="84" t="str">
        <x:v>POS_2024_04</x:v>
      </x:c>
      <x:c r="Q298" s="84" t="str">
        <x:v>led desk lamp</x:v>
      </x:c>
      <x:c r="R298" s="84" t="str">
        <x:v>Office</x:v>
      </x:c>
    </x:row>
    <x:row r="299">
      <x:c r="A299" s="84" t="str">
        <x:v>ORD-2024-00867</x:v>
      </x:c>
      <x:c r="B299" s="85" t="n">
        <x:v>45411</x:v>
      </x:c>
      <x:c r="C299" s="84" t="str">
        <x:v>CUST-0508</x:v>
      </x:c>
      <x:c r="D299" s="84" t="str">
        <x:v>Nina Smith</x:v>
      </x:c>
      <x:c r="E299" s="84" t="str">
        <x:v> CONSUMER </x:v>
      </x:c>
      <x:c r="F299" s="84" t="str">
        <x:v>West</x:v>
      </x:c>
      <x:c r="G299" s="84" t="str">
        <x:v>Denver</x:v>
      </x:c>
      <x:c r="H299" s="84" t="str">
        <x:v>Online</x:v>
      </x:c>
      <x:c r="I299" s="84" t="str">
        <x:v>ELEC-002</x:v>
      </x:c>
      <x:c r="J299" s="86" t="n">
        <x:v>3</x:v>
      </x:c>
      <x:c r="K299" s="87" t="n">
        <x:v>0</x:v>
      </x:c>
      <x:c r="L299" s="84" t="str">
        <x:v>Completed </x:v>
      </x:c>
      <x:c r="M299" s="84" t="str">
        <x:v>Debit Card</x:v>
      </x:c>
      <x:c r="N299" s="84" t="str">
        <x:v>Mia Chen</x:v>
      </x:c>
      <x:c r="O299" s="85" t="n">
        <x:v>45415</x:v>
      </x:c>
      <x:c r="P299" s="84" t="str">
        <x:v>WEB_2024_04</x:v>
      </x:c>
      <x:c r="Q299" s="84" t="str">
        <x:v>smartwatch</x:v>
      </x:c>
      <x:c r="R299" s="84" t="str">
        <x:v>Electronics</x:v>
      </x:c>
    </x:row>
    <x:row r="300">
      <x:c r="A300" s="84" t="str">
        <x:v>ORD-2024-01156</x:v>
      </x:c>
      <x:c r="B300" s="85" t="n">
        <x:v>45411</x:v>
      </x:c>
      <x:c r="C300" s="84" t="str">
        <x:v>CUST-0124</x:v>
      </x:c>
      <x:c r="D300" s="84" t="str">
        <x:v>Priya Lewis</x:v>
      </x:c>
      <x:c r="E300" s="84" t="str">
        <x:v> CONSUMER </x:v>
      </x:c>
      <x:c r="F300" s="84" t="str">
        <x:v>Midwest</x:v>
      </x:c>
      <x:c r="G300" s="84" t="str">
        <x:v>Chicago</x:v>
      </x:c>
      <x:c r="H300" s="84" t="str">
        <x:v>Marketplace</x:v>
      </x:c>
      <x:c r="I300" s="84" t="str">
        <x:v>HOME-005</x:v>
      </x:c>
      <x:c r="J300" s="86" t="n">
        <x:v>1</x:v>
      </x:c>
      <x:c r="K300" s="87" t="n">
        <x:v>0</x:v>
      </x:c>
      <x:c r="L300" s="84" t="str">
        <x:v>Completed</x:v>
      </x:c>
      <x:c r="M300" s="84" t="str">
        <x:v>Mobile Wallet</x:v>
      </x:c>
      <x:c r="N300" s="84" t="str">
        <x:v>Emma Hayes</x:v>
      </x:c>
      <x:c r="O300" s="85" t="n">
        <x:v>45415</x:v>
      </x:c>
      <x:c r="P300" s="84" t="str">
        <x:v>MKT_2024_04</x:v>
      </x:c>
      <x:c r="Q300" s="84" t="str">
        <x:v>Cordless Vacuum </x:v>
      </x:c>
      <x:c r="R300" s="84" t="str">
        <x:v>Home &amp; Kitchen</x:v>
      </x:c>
    </x:row>
    <x:row r="301">
      <x:c r="A301" s="84" t="str">
        <x:v>ORD-2024-00610</x:v>
      </x:c>
      <x:c r="B301" s="85" t="n">
        <x:v>45412</x:v>
      </x:c>
      <x:c r="C301" s="84" t="str">
        <x:v>CUST-0183</x:v>
      </x:c>
      <x:c r="D301" s="84" t="str">
        <x:v>Jasmine Taylor</x:v>
      </x:c>
      <x:c r="E301" s="84" t="str"/>
      <x:c r="F301" s="84" t="str">
        <x:v>West</x:v>
      </x:c>
      <x:c r="G301" s="84" t="str">
        <x:v>Denver</x:v>
      </x:c>
      <x:c r="H301" s="84" t="str">
        <x:v>Online</x:v>
      </x:c>
      <x:c r="I301" s="84" t="str">
        <x:v>FITN-006</x:v>
      </x:c>
      <x:c r="J301" s="86" t="n">
        <x:v>2</x:v>
      </x:c>
      <x:c r="K301" s="87" t="n">
        <x:v>0.05</x:v>
      </x:c>
      <x:c r="L301" s="84" t="str">
        <x:v>Completed</x:v>
      </x:c>
      <x:c r="M301" s="84" t="str">
        <x:v>Credit Card</x:v>
      </x:c>
      <x:c r="N301" s="84" t="str">
        <x:v>Leo Martinez</x:v>
      </x:c>
      <x:c r="O301" s="85" t="n">
        <x:v>45415</x:v>
      </x:c>
      <x:c r="P301" s="84" t="str">
        <x:v>WEB_2024_04</x:v>
      </x:c>
      <x:c r="Q301" s="84" t="str">
        <x:v>Foam Roller </x:v>
      </x:c>
      <x:c r="R301" s="84" t="str">
        <x:v> FITNESS </x:v>
      </x:c>
    </x:row>
    <x:row r="302">
      <x:c r="A302" s="84" t="str">
        <x:v>ORD-2024-02187</x:v>
      </x:c>
      <x:c r="B302" s="85" t="n">
        <x:v>45412</x:v>
      </x:c>
      <x:c r="C302" s="84" t="str">
        <x:v>CUST-0078</x:v>
      </x:c>
      <x:c r="D302" s="84" t="str">
        <x:v>Grace Carter</x:v>
      </x:c>
      <x:c r="E302" s="84" t="str">
        <x:v>Small Business</x:v>
      </x:c>
      <x:c r="F302" s="84" t="str">
        <x:v>Southeast</x:v>
      </x:c>
      <x:c r="G302" s="84" t="str">
        <x:v>Atlanta</x:v>
      </x:c>
      <x:c r="H302" s="84" t="str">
        <x:v>Retail Store </x:v>
      </x:c>
      <x:c r="I302" s="84" t="str">
        <x:v>HOME-001</x:v>
      </x:c>
      <x:c r="J302" s="86" t="n">
        <x:v>1</x:v>
      </x:c>
      <x:c r="K302" s="87" t="n">
        <x:v>0</x:v>
      </x:c>
      <x:c r="L302" s="84" t="str">
        <x:v>Completed</x:v>
      </x:c>
      <x:c r="M302" s="84" t="str">
        <x:v> DEBIT CARD </x:v>
      </x:c>
      <x:c r="N302" s="84" t="str">
        <x:v>Noah Reed</x:v>
      </x:c>
      <x:c r="O302" s="85" t="n">
        <x:v>45412</x:v>
      </x:c>
      <x:c r="P302" s="84" t="str">
        <x:v>POS_2024_04</x:v>
      </x:c>
      <x:c r="Q302" s="84" t="str">
        <x:v>air fryer</x:v>
      </x:c>
      <x:c r="R302" s="84" t="str">
        <x:v>Home &amp; Kitchen</x:v>
      </x:c>
    </x:row>
    <x:row r="303">
      <x:c r="A303" s="84" t="str">
        <x:v>ORD-2024-00116</x:v>
      </x:c>
      <x:c r="B303" s="85" t="n">
        <x:v>45413</x:v>
      </x:c>
      <x:c r="C303" s="84" t="str">
        <x:v>CUST-0531</x:v>
      </x:c>
      <x:c r="D303" s="84" t="str">
        <x:v> GRACE ORTIZ </x:v>
      </x:c>
      <x:c r="E303" s="84" t="str">
        <x:v>Small Business</x:v>
      </x:c>
      <x:c r="F303" s="84" t="str">
        <x:v> NORTHEAST </x:v>
      </x:c>
      <x:c r="G303" s="84" t="str">
        <x:v>Newark</x:v>
      </x:c>
      <x:c r="H303" s="84" t="str">
        <x:v>Online</x:v>
      </x:c>
      <x:c r="I303" s="84" t="str">
        <x:v>FITN-002</x:v>
      </x:c>
      <x:c r="J303" s="86" t="n">
        <x:v>1</x:v>
      </x:c>
      <x:c r="K303" s="87" t="n">
        <x:v>0.05</x:v>
      </x:c>
      <x:c r="L303" s="84" t="str">
        <x:v>Completed</x:v>
      </x:c>
      <x:c r="M303" s="84" t="str">
        <x:v>Mobile Wallet</x:v>
      </x:c>
      <x:c r="N303" s="84" t="str">
        <x:v>Maya Brooks </x:v>
      </x:c>
      <x:c r="O303" s="85" t="n">
        <x:v>45416</x:v>
      </x:c>
      <x:c r="P303" s="84" t="str">
        <x:v>WEB_2024_05</x:v>
      </x:c>
      <x:c r="Q303" s="84" t="str">
        <x:v>Adjustable Dumbbell Set</x:v>
      </x:c>
      <x:c r="R303" s="84" t="str">
        <x:v>Fitness</x:v>
      </x:c>
    </x:row>
    <x:row r="304">
      <x:c r="A304" s="84" t="str">
        <x:v>ORD-2024-00593</x:v>
      </x:c>
      <x:c r="B304" s="85" t="n">
        <x:v>45413</x:v>
      </x:c>
      <x:c r="C304" s="84" t="str">
        <x:v>CUST-0464</x:v>
      </x:c>
      <x:c r="D304" s="84" t="str">
        <x:v>Sara Moore </x:v>
      </x:c>
      <x:c r="E304" s="84" t="str">
        <x:v>Consumer</x:v>
      </x:c>
      <x:c r="F304" s="84" t="str">
        <x:v>Midwest</x:v>
      </x:c>
      <x:c r="G304" s="84" t="str">
        <x:v>Chicago</x:v>
      </x:c>
      <x:c r="H304" s="84" t="str">
        <x:v>Online</x:v>
      </x:c>
      <x:c r="I304" s="84" t="str">
        <x:v>FITN-005</x:v>
      </x:c>
      <x:c r="J304" s="86" t="n">
        <x:v>1</x:v>
      </x:c>
      <x:c r="K304" s="87" t="n">
        <x:v>0</x:v>
      </x:c>
      <x:c r="L304" s="84" t="str">
        <x:v>Completed</x:v>
      </x:c>
      <x:c r="M304" s="84" t="str">
        <x:v>mobile wallet</x:v>
      </x:c>
      <x:c r="N304" s="84" t="str">
        <x:v>Zoe Turner</x:v>
      </x:c>
      <x:c r="O304" s="85" t="n">
        <x:v>45416</x:v>
      </x:c>
      <x:c r="P304" s="84" t="str">
        <x:v>WEB_2024_05</x:v>
      </x:c>
      <x:c r="Q304" s="84" t="str">
        <x:v>Sports Water Bottle</x:v>
      </x:c>
      <x:c r="R304" s="84" t="str">
        <x:v> FITNESS </x:v>
      </x:c>
    </x:row>
    <x:row r="305">
      <x:c r="A305" s="84" t="str">
        <x:v>ORD-2024-00759</x:v>
      </x:c>
      <x:c r="B305" s="85" t="n">
        <x:v>45413</x:v>
      </x:c>
      <x:c r="C305" s="84" t="str">
        <x:v>CUST-0475</x:v>
      </x:c>
      <x:c r="D305" s="84" t="str">
        <x:v>Samuel Walker</x:v>
      </x:c>
      <x:c r="E305" s="84" t="str">
        <x:v>corporate</x:v>
      </x:c>
      <x:c r="F305" s="84" t="str">
        <x:v>Northeast</x:v>
      </x:c>
      <x:c r="G305" s="84" t="str">
        <x:v>Boston</x:v>
      </x:c>
      <x:c r="H305" s="84" t="str">
        <x:v>marketplace</x:v>
      </x:c>
      <x:c r="I305" s="84" t="str">
        <x:v>HOME-001</x:v>
      </x:c>
      <x:c r="J305" s="86" t="n">
        <x:v>1</x:v>
      </x:c>
      <x:c r="K305" s="87" t="n">
        <x:v>0.05</x:v>
      </x:c>
      <x:c r="L305" s="84" t="str">
        <x:v>Completed</x:v>
      </x:c>
      <x:c r="M305" s="84" t="str">
        <x:v> PAYPAL </x:v>
      </x:c>
      <x:c r="N305" s="84" t="str">
        <x:v>Ethan Cole</x:v>
      </x:c>
      <x:c r="O305" s="85" t="n">
        <x:v>45417</x:v>
      </x:c>
      <x:c r="P305" s="84" t="str">
        <x:v>MKT_2024_05</x:v>
      </x:c>
      <x:c r="Q305" s="84" t="str">
        <x:v>Air Fryer</x:v>
      </x:c>
      <x:c r="R305" s="84" t="str">
        <x:v>Home &amp; Kitchen</x:v>
      </x:c>
    </x:row>
    <x:row r="306">
      <x:c r="A306" s="84" t="str">
        <x:v>ORD-2024-01528</x:v>
      </x:c>
      <x:c r="B306" s="85" t="n">
        <x:v>45413</x:v>
      </x:c>
      <x:c r="C306" s="84" t="str">
        <x:v>CUST-0381</x:v>
      </x:c>
      <x:c r="D306" s="84" t="str">
        <x:v>William Lewis</x:v>
      </x:c>
      <x:c r="E306" s="84" t="str">
        <x:v>Corporate</x:v>
      </x:c>
      <x:c r="F306" s="84" t="str">
        <x:v>Midwest</x:v>
      </x:c>
      <x:c r="G306" s="84" t="str">
        <x:v>Columbus</x:v>
      </x:c>
      <x:c r="H306" s="84" t="str">
        <x:v>Retail Store</x:v>
      </x:c>
      <x:c r="I306" s="84" t="str">
        <x:v>HOME-003</x:v>
      </x:c>
      <x:c r="J306" s="86" t="n">
        <x:v>2</x:v>
      </x:c>
      <x:c r="K306" s="87" t="n">
        <x:v>0</x:v>
      </x:c>
      <x:c r="L306" s="84" t="str">
        <x:v>Completed</x:v>
      </x:c>
      <x:c r="M306" s="84" t="str">
        <x:v>cash</x:v>
      </x:c>
      <x:c r="N306" s="84" t="str">
        <x:v>Zoe Turner</x:v>
      </x:c>
      <x:c r="O306" s="85" t="n">
        <x:v>45413</x:v>
      </x:c>
      <x:c r="P306" s="84" t="str">
        <x:v>POS_2024_05</x:v>
      </x:c>
      <x:c r="Q306" s="84" t="str">
        <x:v>Countertop Blender</x:v>
      </x:c>
      <x:c r="R306" s="84" t="str">
        <x:v> HOME &amp; KITCHEN </x:v>
      </x:c>
    </x:row>
    <x:row r="307">
      <x:c r="A307" s="84" t="str">
        <x:v>ORD-2024-01917</x:v>
      </x:c>
      <x:c r="B307" s="85" t="n">
        <x:v>45413</x:v>
      </x:c>
      <x:c r="C307" s="84" t="str">
        <x:v>CUST-0480</x:v>
      </x:c>
      <x:c r="D307" s="84" t="str">
        <x:v>Samuel Baker</x:v>
      </x:c>
      <x:c r="E307" s="84" t="str">
        <x:v>Consumer</x:v>
      </x:c>
      <x:c r="F307" s="84" t="str">
        <x:v>West</x:v>
      </x:c>
      <x:c r="G307" s="84" t="str">
        <x:v>Denver</x:v>
      </x:c>
      <x:c r="H307" s="84" t="str">
        <x:v>Online</x:v>
      </x:c>
      <x:c r="I307" s="84" t="str">
        <x:v>HOME-003</x:v>
      </x:c>
      <x:c r="J307" s="86" t="n">
        <x:v>1</x:v>
      </x:c>
      <x:c r="K307" s="87" t="n">
        <x:v>0</x:v>
      </x:c>
      <x:c r="L307" s="84" t="str">
        <x:v>Completed </x:v>
      </x:c>
      <x:c r="M307" s="84" t="str">
        <x:v>Mobile Wallet</x:v>
      </x:c>
      <x:c r="N307" s="84" t="str">
        <x:v>Nora Kim</x:v>
      </x:c>
      <x:c r="O307" s="85" t="n">
        <x:v>45418</x:v>
      </x:c>
      <x:c r="P307" s="84" t="str">
        <x:v>WEB_2024_05</x:v>
      </x:c>
      <x:c r="Q307" s="84" t="str">
        <x:v>Countertop Blender</x:v>
      </x:c>
      <x:c r="R307" s="84" t="str">
        <x:v>home &amp; kitchen</x:v>
      </x:c>
    </x:row>
    <x:row r="308">
      <x:c r="A308" s="84" t="str">
        <x:v>ORD-2024-02034</x:v>
      </x:c>
      <x:c r="B308" s="85" t="n">
        <x:v>45413</x:v>
      </x:c>
      <x:c r="C308" s="84" t="str">
        <x:v>CUST-0340</x:v>
      </x:c>
      <x:c r="D308" s="84" t="str">
        <x:v>Nina Moore</x:v>
      </x:c>
      <x:c r="E308" s="84" t="str">
        <x:v>Consumer</x:v>
      </x:c>
      <x:c r="F308" s="84" t="str">
        <x:v>West </x:v>
      </x:c>
      <x:c r="G308" s="84" t="str">
        <x:v>Los Angeles</x:v>
      </x:c>
      <x:c r="H308" s="84" t="str">
        <x:v>Retail Store</x:v>
      </x:c>
      <x:c r="I308" s="84" t="str">
        <x:v>ACCS-004</x:v>
      </x:c>
      <x:c r="J308" s="86" t="n">
        <x:v>2</x:v>
      </x:c>
      <x:c r="K308" s="87" t="n">
        <x:v>0.1</x:v>
      </x:c>
      <x:c r="L308" s="84" t="str">
        <x:v>Completed</x:v>
      </x:c>
      <x:c r="M308" s="84" t="str">
        <x:v> CREDIT CARD </x:v>
      </x:c>
      <x:c r="N308" s="84" t="str">
        <x:v>Mia Chen </x:v>
      </x:c>
      <x:c r="O308" s="85" t="n">
        <x:v>45413</x:v>
      </x:c>
      <x:c r="P308" s="84" t="str">
        <x:v>POS_2024_05</x:v>
      </x:c>
      <x:c r="Q308" s="84" t="str">
        <x:v>Leather Wallet</x:v>
      </x:c>
      <x:c r="R308" s="84" t="str">
        <x:v>Accessories</x:v>
      </x:c>
    </x:row>
    <x:row r="309">
      <x:c r="A309" s="84" t="str">
        <x:v>ORD-2024-00115</x:v>
      </x:c>
      <x:c r="B309" s="85" t="n">
        <x:v>45414</x:v>
      </x:c>
      <x:c r="C309" s="84" t="str">
        <x:v>CUST-0022</x:v>
      </x:c>
      <x:c r="D309" s="84" t="str">
        <x:v>Amelia Nelson</x:v>
      </x:c>
      <x:c r="E309" s="84" t="str">
        <x:v>Corporate</x:v>
      </x:c>
      <x:c r="F309" s="84" t="str">
        <x:v>Northeast</x:v>
      </x:c>
      <x:c r="G309" s="84" t="str">
        <x:v>New York</x:v>
      </x:c>
      <x:c r="H309" s="84" t="str">
        <x:v>Retail Store </x:v>
      </x:c>
      <x:c r="I309" s="84" t="str">
        <x:v>CARE-001</x:v>
      </x:c>
      <x:c r="J309" s="86" t="n">
        <x:v>2</x:v>
      </x:c>
      <x:c r="K309" s="87" t="n">
        <x:v>0</x:v>
      </x:c>
      <x:c r="L309" s="84" t="str">
        <x:v>Completed</x:v>
      </x:c>
      <x:c r="M309" s="84" t="str">
        <x:v>Debit Card</x:v>
      </x:c>
      <x:c r="N309" s="84" t="str">
        <x:v>Ethan Cole</x:v>
      </x:c>
      <x:c r="O309" s="85" t="n">
        <x:v>45414</x:v>
      </x:c>
      <x:c r="P309" s="84" t="str">
        <x:v>POS_2024_05</x:v>
      </x:c>
      <x:c r="Q309" s="84" t="str">
        <x:v>Ionic Hair Dryer</x:v>
      </x:c>
      <x:c r="R309" s="84" t="str">
        <x:v>Personal Care</x:v>
      </x:c>
    </x:row>
    <x:row r="310">
      <x:c r="A310" s="84" t="str">
        <x:v>ORD-2024-00613</x:v>
      </x:c>
      <x:c r="B310" s="85" t="n">
        <x:v>45414</x:v>
      </x:c>
      <x:c r="C310" s="84" t="str">
        <x:v>CUST-0391</x:v>
      </x:c>
      <x:c r="D310" s="84" t="str">
        <x:v>Amelia Taylor</x:v>
      </x:c>
      <x:c r="E310" s="84" t="str">
        <x:v>Corporate</x:v>
      </x:c>
      <x:c r="F310" s="84" t="str">
        <x:v>northeast</x:v>
      </x:c>
      <x:c r="G310" s="84" t="str">
        <x:v>New York</x:v>
      </x:c>
      <x:c r="H310" s="84" t="str">
        <x:v>Retail Store</x:v>
      </x:c>
      <x:c r="I310" s="84" t="str">
        <x:v>CARE-006</x:v>
      </x:c>
      <x:c r="J310" s="86" t="n">
        <x:v>2</x:v>
      </x:c>
      <x:c r="K310" s="87" t="n">
        <x:v>0.05</x:v>
      </x:c>
      <x:c r="L310" s="84" t="str">
        <x:v>Completed</x:v>
      </x:c>
      <x:c r="M310" s="84" t="str">
        <x:v>Cash</x:v>
      </x:c>
      <x:c r="N310" s="84" t="str">
        <x:v>Ethan Cole </x:v>
      </x:c>
      <x:c r="O310" s="85" t="n">
        <x:v>45414</x:v>
      </x:c>
      <x:c r="P310" s="84" t="str">
        <x:v>POS_2024_05</x:v>
      </x:c>
      <x:c r="Q310" s="84" t="str">
        <x:v>Percussion Massage Gun</x:v>
      </x:c>
      <x:c r="R310" s="84" t="str">
        <x:v>Personal Care</x:v>
      </x:c>
    </x:row>
    <x:row r="311">
      <x:c r="A311" s="84" t="str">
        <x:v>ORD-2024-00675</x:v>
      </x:c>
      <x:c r="B311" s="85" t="n">
        <x:v>45414</x:v>
      </x:c>
      <x:c r="C311" s="84" t="str">
        <x:v>CUST-0064</x:v>
      </x:c>
      <x:c r="D311" s="84" t="str">
        <x:v>Nina Walker</x:v>
      </x:c>
      <x:c r="E311" s="84" t="str">
        <x:v>Consumer</x:v>
      </x:c>
      <x:c r="F311" s="84" t="str">
        <x:v>Midwest</x:v>
      </x:c>
      <x:c r="G311" s="84" t="str">
        <x:v>columbus</x:v>
      </x:c>
      <x:c r="H311" s="84" t="str">
        <x:v>Retail Store </x:v>
      </x:c>
      <x:c r="I311" s="84" t="str">
        <x:v>CARE-001</x:v>
      </x:c>
      <x:c r="J311" s="86" t="n">
        <x:v>2</x:v>
      </x:c>
      <x:c r="K311" s="87" t="n">
        <x:v>0</x:v>
      </x:c>
      <x:c r="L311" s="84" t="str">
        <x:v>completed</x:v>
      </x:c>
      <x:c r="M311" s="84" t="str">
        <x:v>Credit Card</x:v>
      </x:c>
      <x:c r="N311" s="84" t="str">
        <x:v>Zoe Turner</x:v>
      </x:c>
      <x:c r="O311" s="85" t="n">
        <x:v>45415</x:v>
      </x:c>
      <x:c r="P311" s="84" t="str">
        <x:v>POS_2024_05</x:v>
      </x:c>
      <x:c r="Q311" s="84" t="str">
        <x:v>Ionic Hair Dryer</x:v>
      </x:c>
      <x:c r="R311" s="84" t="str">
        <x:v>Personal Care</x:v>
      </x:c>
    </x:row>
    <x:row r="312">
      <x:c r="A312" s="84" t="str">
        <x:v>ORD-2024-01281</x:v>
      </x:c>
      <x:c r="B312" s="85" t="n">
        <x:v>45414</x:v>
      </x:c>
      <x:c r="C312" s="84" t="str">
        <x:v>CUST-0637</x:v>
      </x:c>
      <x:c r="D312" s="84" t="str">
        <x:v>Amelia Adams</x:v>
      </x:c>
      <x:c r="E312" s="84" t="str"/>
      <x:c r="F312" s="84" t="str">
        <x:v>Northeast</x:v>
      </x:c>
      <x:c r="G312" s="84" t="str">
        <x:v>New York </x:v>
      </x:c>
      <x:c r="H312" s="84" t="str">
        <x:v> RETAIL STORE </x:v>
      </x:c>
      <x:c r="I312" s="84" t="str">
        <x:v>OFFC-005</x:v>
      </x:c>
      <x:c r="J312" s="86" t="n">
        <x:v>1</x:v>
      </x:c>
      <x:c r="K312" s="87" t="n">
        <x:v>0.1</x:v>
      </x:c>
      <x:c r="L312" s="84" t="str">
        <x:v>Completed</x:v>
      </x:c>
      <x:c r="M312" s="84" t="str">
        <x:v>Credit Card</x:v>
      </x:c>
      <x:c r="N312" s="84" t="str">
        <x:v>Ethan Cole</x:v>
      </x:c>
      <x:c r="O312" s="85" t="n">
        <x:v>45414</x:v>
      </x:c>
      <x:c r="P312" s="84" t="str">
        <x:v>POS_2024_05</x:v>
      </x:c>
      <x:c r="Q312" s="84" t="str">
        <x:v>Wireless Keyboard</x:v>
      </x:c>
      <x:c r="R312" s="84" t="str">
        <x:v>Office</x:v>
      </x:c>
    </x:row>
    <x:row r="313">
      <x:c r="A313" s="84" t="str">
        <x:v>ORD-2024-00566</x:v>
      </x:c>
      <x:c r="B313" s="85" t="n">
        <x:v>45415</x:v>
      </x:c>
      <x:c r="C313" s="84" t="str">
        <x:v>CUST-0419</x:v>
      </x:c>
      <x:c r="D313" s="84" t="str">
        <x:v>Isaac Nelson</x:v>
      </x:c>
      <x:c r="E313" s="84" t="str">
        <x:v>Consumer</x:v>
      </x:c>
      <x:c r="F313" s="84" t="str">
        <x:v>Northeast</x:v>
      </x:c>
      <x:c r="G313" s="84" t="str">
        <x:v>New York</x:v>
      </x:c>
      <x:c r="H313" s="84" t="str">
        <x:v>Retail Store</x:v>
      </x:c>
      <x:c r="I313" s="84" t="str">
        <x:v>HOME-004</x:v>
      </x:c>
      <x:c r="J313" s="86" t="n">
        <x:v>1</x:v>
      </x:c>
      <x:c r="K313" s="87" t="n">
        <x:v>0.2</x:v>
      </x:c>
      <x:c r="L313" s="84" t="str">
        <x:v> COMPLETED </x:v>
      </x:c>
      <x:c r="M313" s="84" t="str">
        <x:v>Debit Card</x:v>
      </x:c>
      <x:c r="N313" s="84" t="str">
        <x:v>Sofia Bennett</x:v>
      </x:c>
      <x:c r="O313" s="85" t="n">
        <x:v>45416</x:v>
      </x:c>
      <x:c r="P313" s="84" t="str">
        <x:v>POS_2024_05</x:v>
      </x:c>
      <x:c r="Q313" s="84" t="str">
        <x:v>Coffee Maker</x:v>
      </x:c>
      <x:c r="R313" s="84" t="str">
        <x:v>Home &amp; Kitchen</x:v>
      </x:c>
    </x:row>
    <x:row r="314">
      <x:c r="A314" s="84" t="str">
        <x:v>ORD-2024-01175</x:v>
      </x:c>
      <x:c r="B314" s="85" t="n">
        <x:v>45416</x:v>
      </x:c>
      <x:c r="C314" s="84" t="str">
        <x:v>CUST-0089</x:v>
      </x:c>
      <x:c r="D314" s="84" t="str">
        <x:v>Priya Johnson</x:v>
      </x:c>
      <x:c r="E314" s="84" t="str">
        <x:v>Corporate</x:v>
      </x:c>
      <x:c r="F314" s="84" t="str">
        <x:v>West</x:v>
      </x:c>
      <x:c r="G314" s="84" t="str">
        <x:v>Denver</x:v>
      </x:c>
      <x:c r="H314" s="84" t="str">
        <x:v>Online</x:v>
      </x:c>
      <x:c r="I314" s="84" t="str">
        <x:v>OFFC-004</x:v>
      </x:c>
      <x:c r="J314" s="86" t="n">
        <x:v>3</x:v>
      </x:c>
      <x:c r="K314" s="87" t="n">
        <x:v>0.05</x:v>
      </x:c>
      <x:c r="L314" s="84" t="str">
        <x:v>Completed </x:v>
      </x:c>
      <x:c r="M314" s="84" t="str">
        <x:v>Debit Card</x:v>
      </x:c>
      <x:c r="N314" s="84" t="str">
        <x:v>Leo Martinez</x:v>
      </x:c>
      <x:c r="O314" s="85" t="n">
        <x:v>45422</x:v>
      </x:c>
      <x:c r="P314" s="84" t="str">
        <x:v>WEB_2024_05</x:v>
      </x:c>
      <x:c r="Q314" s="84" t="str">
        <x:v>premium notebook pack</x:v>
      </x:c>
      <x:c r="R314" s="84" t="str">
        <x:v>Office</x:v>
      </x:c>
    </x:row>
    <x:row r="315">
      <x:c r="A315" s="84" t="str">
        <x:v>ORD-2024-01762</x:v>
      </x:c>
      <x:c r="B315" s="85" t="n">
        <x:v>45416</x:v>
      </x:c>
      <x:c r="C315" s="84" t="str">
        <x:v>CUST-0614</x:v>
      </x:c>
      <x:c r="D315" s="84" t="str">
        <x:v>Theo Carter </x:v>
      </x:c>
      <x:c r="E315" s="84" t="str">
        <x:v>Corporate</x:v>
      </x:c>
      <x:c r="F315" s="84" t="str">
        <x:v>Midwest</x:v>
      </x:c>
      <x:c r="G315" s="84" t="str">
        <x:v>Detroit</x:v>
      </x:c>
      <x:c r="H315" s="84" t="str">
        <x:v>Marketplace</x:v>
      </x:c>
      <x:c r="I315" s="84" t="str">
        <x:v>CARE-003</x:v>
      </x:c>
      <x:c r="J315" s="86" t="n">
        <x:v>2</x:v>
      </x:c>
      <x:c r="K315" s="87" t="n">
        <x:v>0.15</x:v>
      </x:c>
      <x:c r="L315" s="84" t="str">
        <x:v>Completed</x:v>
      </x:c>
      <x:c r="M315" s="84" t="str">
        <x:v> MOBILE WALLET </x:v>
      </x:c>
      <x:c r="N315" s="84" t="str">
        <x:v>emma hayes</x:v>
      </x:c>
      <x:c r="O315" s="85" t="n">
        <x:v>45422</x:v>
      </x:c>
      <x:c r="P315" s="84" t="str">
        <x:v>MKT_2024_05</x:v>
      </x:c>
      <x:c r="Q315" s="84" t="str">
        <x:v>Facial Cleanser</x:v>
      </x:c>
      <x:c r="R315" s="84" t="str">
        <x:v>Personal Care</x:v>
      </x:c>
    </x:row>
    <x:row r="316">
      <x:c r="A316" s="84" t="str">
        <x:v>ORD-2024-01953</x:v>
      </x:c>
      <x:c r="B316" s="85" t="n">
        <x:v>45416</x:v>
      </x:c>
      <x:c r="C316" s="84" t="str">
        <x:v>CUST-0431</x:v>
      </x:c>
      <x:c r="D316" s="84" t="str">
        <x:v>Jonah Garcia</x:v>
      </x:c>
      <x:c r="E316" s="84" t="str">
        <x:v>Corporate </x:v>
      </x:c>
      <x:c r="F316" s="84" t="str">
        <x:v>West</x:v>
      </x:c>
      <x:c r="G316" s="84" t="str">
        <x:v>Denver </x:v>
      </x:c>
      <x:c r="H316" s="84" t="str">
        <x:v>Retail Store</x:v>
      </x:c>
      <x:c r="I316" s="84" t="str">
        <x:v>FITN-005</x:v>
      </x:c>
      <x:c r="J316" s="86" t="n">
        <x:v>2</x:v>
      </x:c>
      <x:c r="K316" s="87" t="n">
        <x:v>0.05</x:v>
      </x:c>
      <x:c r="L316" s="84" t="str">
        <x:v>Completed</x:v>
      </x:c>
      <x:c r="M316" s="84" t="str">
        <x:v>Mobile Wallet</x:v>
      </x:c>
      <x:c r="N316" s="84" t="str">
        <x:v>Nora Kim</x:v>
      </x:c>
      <x:c r="O316" s="85" t="n">
        <x:v>45416</x:v>
      </x:c>
      <x:c r="P316" s="84" t="str">
        <x:v>POS_2024_05</x:v>
      </x:c>
      <x:c r="Q316" s="84" t="str">
        <x:v>Sports Water Bottle</x:v>
      </x:c>
      <x:c r="R316" s="84" t="str">
        <x:v> FITNESS </x:v>
      </x:c>
    </x:row>
    <x:row r="317">
      <x:c r="A317" s="84" t="str">
        <x:v>ORD-2024-00179</x:v>
      </x:c>
      <x:c r="B317" s="85" t="n">
        <x:v>45417</x:v>
      </x:c>
      <x:c r="C317" s="84" t="str">
        <x:v>CUST-0579</x:v>
      </x:c>
      <x:c r="D317" s="84" t="str">
        <x:v>Sara Garcia</x:v>
      </x:c>
      <x:c r="E317" s="84" t="str">
        <x:v>Consumer</x:v>
      </x:c>
      <x:c r="F317" s="84" t="str">
        <x:v>West </x:v>
      </x:c>
      <x:c r="G317" s="84" t="str">
        <x:v>Phoenix</x:v>
      </x:c>
      <x:c r="H317" s="84" t="str">
        <x:v>Marketplace</x:v>
      </x:c>
      <x:c r="I317" s="84" t="str">
        <x:v>OFFC-001</x:v>
      </x:c>
      <x:c r="J317" s="86" t="n">
        <x:v>1</x:v>
      </x:c>
      <x:c r="K317" s="87" t="n">
        <x:v>0.2</x:v>
      </x:c>
      <x:c r="L317" s="84" t="str">
        <x:v>Completed</x:v>
      </x:c>
      <x:c r="M317" s="84" t="str">
        <x:v>Debit Card</x:v>
      </x:c>
      <x:c r="N317" s="84" t="str">
        <x:v>Nora Kim </x:v>
      </x:c>
      <x:c r="O317" s="85" t="n">
        <x:v>45423</x:v>
      </x:c>
      <x:c r="P317" s="84" t="str">
        <x:v>MKT_2024_05</x:v>
      </x:c>
      <x:c r="Q317" s="84" t="str">
        <x:v>Ergonomic Chair</x:v>
      </x:c>
      <x:c r="R317" s="84" t="str">
        <x:v>office</x:v>
      </x:c>
    </x:row>
    <x:row r="318">
      <x:c r="A318" s="84" t="str">
        <x:v>ORD-2024-02185</x:v>
      </x:c>
      <x:c r="B318" s="85" t="n">
        <x:v>45417</x:v>
      </x:c>
      <x:c r="C318" s="84" t="str">
        <x:v>CUST-0540</x:v>
      </x:c>
      <x:c r="D318" s="84" t="str">
        <x:v>elias patel</x:v>
      </x:c>
      <x:c r="E318" s="84" t="str">
        <x:v>Consumer</x:v>
      </x:c>
      <x:c r="F318" s="84" t="str">
        <x:v>Midwest</x:v>
      </x:c>
      <x:c r="G318" s="84" t="str">
        <x:v>Columbus</x:v>
      </x:c>
      <x:c r="H318" s="84" t="str">
        <x:v>Retail Store</x:v>
      </x:c>
      <x:c r="I318" s="84" t="str">
        <x:v>ELEC-002</x:v>
      </x:c>
      <x:c r="J318" s="86" t="n">
        <x:v>1</x:v>
      </x:c>
      <x:c r="K318" s="87" t="n">
        <x:v>0</x:v>
      </x:c>
      <x:c r="L318" s="84" t="str">
        <x:v>Completed</x:v>
      </x:c>
      <x:c r="M318" s="84" t="str">
        <x:v>Credit Card</x:v>
      </x:c>
      <x:c r="N318" s="84" t="str">
        <x:v>Emma Hayes</x:v>
      </x:c>
      <x:c r="O318" s="85" t="n">
        <x:v>45417</x:v>
      </x:c>
      <x:c r="P318" s="84" t="str">
        <x:v>POS_2024_05</x:v>
      </x:c>
      <x:c r="Q318" s="84" t="str">
        <x:v>Smartwatch </x:v>
      </x:c>
      <x:c r="R318" s="84" t="str">
        <x:v>Electronics</x:v>
      </x:c>
    </x:row>
    <x:row r="319">
      <x:c r="A319" s="84" t="str">
        <x:v>ORD-2024-00075</x:v>
      </x:c>
      <x:c r="B319" s="85" t="n">
        <x:v>45418</x:v>
      </x:c>
      <x:c r="C319" s="84" t="str">
        <x:v>CUST-0595</x:v>
      </x:c>
      <x:c r="D319" s="84" t="str">
        <x:v>Daniel Evans </x:v>
      </x:c>
      <x:c r="E319" s="84" t="str">
        <x:v>Corporate</x:v>
      </x:c>
      <x:c r="F319" s="84" t="str">
        <x:v>Northeast</x:v>
      </x:c>
      <x:c r="G319" s="84" t="str">
        <x:v>Newark</x:v>
      </x:c>
      <x:c r="H319" s="84" t="str">
        <x:v>Marketplace</x:v>
      </x:c>
      <x:c r="I319" s="84" t="str">
        <x:v>ELEC-004</x:v>
      </x:c>
      <x:c r="J319" s="86" t="n">
        <x:v>2</x:v>
      </x:c>
      <x:c r="K319" s="87" t="n">
        <x:v>0</x:v>
      </x:c>
      <x:c r="L319" s="84" t="str">
        <x:v>Completed</x:v>
      </x:c>
      <x:c r="M319" s="84" t="str">
        <x:v>Credit Card </x:v>
      </x:c>
      <x:c r="N319" s="84" t="str">
        <x:v>Maya Brooks</x:v>
      </x:c>
      <x:c r="O319" s="85" t="n">
        <x:v>45422</x:v>
      </x:c>
      <x:c r="P319" s="84" t="str">
        <x:v>MKT_2024_05</x:v>
      </x:c>
      <x:c r="Q319" s="84" t="str">
        <x:v>power bank</x:v>
      </x:c>
      <x:c r="R319" s="84" t="str">
        <x:v>Electronics</x:v>
      </x:c>
    </x:row>
    <x:row r="320">
      <x:c r="A320" s="84" t="str">
        <x:v>ORD-2024-00167</x:v>
      </x:c>
      <x:c r="B320" s="85" t="n">
        <x:v>45418</x:v>
      </x:c>
      <x:c r="C320" s="84" t="str">
        <x:v>CUST-0303</x:v>
      </x:c>
      <x:c r="D320" s="84" t="str">
        <x:v> CALEB ROBERTS </x:v>
      </x:c>
      <x:c r="E320" s="84" t="str">
        <x:v>Corporate</x:v>
      </x:c>
      <x:c r="F320" s="84" t="str">
        <x:v> WEST </x:v>
      </x:c>
      <x:c r="G320" s="84" t="str">
        <x:v>Seattle</x:v>
      </x:c>
      <x:c r="H320" s="84" t="str">
        <x:v>Retail Store</x:v>
      </x:c>
      <x:c r="I320" s="84" t="str">
        <x:v>ACCS-001</x:v>
      </x:c>
      <x:c r="J320" s="86" t="n">
        <x:v>2</x:v>
      </x:c>
      <x:c r="K320" s="87" t="n">
        <x:v>0.1</x:v>
      </x:c>
      <x:c r="L320" s="84" t="str">
        <x:v>Completed </x:v>
      </x:c>
      <x:c r="M320" s="84" t="str">
        <x:v>Debit Card</x:v>
      </x:c>
      <x:c r="N320" s="84" t="str">
        <x:v>leo martinez</x:v>
      </x:c>
      <x:c r="O320" s="85" t="n">
        <x:v>45418</x:v>
      </x:c>
      <x:c r="P320" s="84" t="str">
        <x:v>POS_2024_05</x:v>
      </x:c>
      <x:c r="Q320" s="84" t="str">
        <x:v>Canvas Tote Bag</x:v>
      </x:c>
      <x:c r="R320" s="84" t="str">
        <x:v>Accessories</x:v>
      </x:c>
    </x:row>
    <x:row r="321">
      <x:c r="A321" s="84" t="str">
        <x:v>ORD-2024-00650</x:v>
      </x:c>
      <x:c r="B321" s="85" t="n">
        <x:v>45418</x:v>
      </x:c>
      <x:c r="C321" s="84" t="str">
        <x:v>CUST-0483</x:v>
      </x:c>
      <x:c r="D321" s="84" t="str">
        <x:v>Daniel Carter</x:v>
      </x:c>
      <x:c r="E321" s="84" t="str">
        <x:v>Consumer</x:v>
      </x:c>
      <x:c r="F321" s="84" t="str">
        <x:v>West</x:v>
      </x:c>
      <x:c r="G321" s="84" t="str">
        <x:v>Denver</x:v>
      </x:c>
      <x:c r="H321" s="84" t="str">
        <x:v>Online</x:v>
      </x:c>
      <x:c r="I321" s="84" t="str">
        <x:v>ELEC-004</x:v>
      </x:c>
      <x:c r="J321" s="86" t="n">
        <x:v>2</x:v>
      </x:c>
      <x:c r="K321" s="87" t="n">
        <x:v>0</x:v>
      </x:c>
      <x:c r="L321" s="84" t="str">
        <x:v>Completed </x:v>
      </x:c>
      <x:c r="M321" s="84" t="str">
        <x:v>Credit Card</x:v>
      </x:c>
      <x:c r="N321" s="84" t="str">
        <x:v>Mia Chen</x:v>
      </x:c>
      <x:c r="O321" s="85" t="n">
        <x:v>45423</x:v>
      </x:c>
      <x:c r="P321" s="84" t="str">
        <x:v>WEB_2024_05</x:v>
      </x:c>
      <x:c r="Q321" s="84" t="str">
        <x:v> POWER BANK </x:v>
      </x:c>
      <x:c r="R321" s="84" t="str">
        <x:v>Electronics</x:v>
      </x:c>
    </x:row>
    <x:row r="322">
      <x:c r="A322" s="84" t="str">
        <x:v>ORD-2024-01354</x:v>
      </x:c>
      <x:c r="B322" s="85" t="n">
        <x:v>45418</x:v>
      </x:c>
      <x:c r="C322" s="84" t="str">
        <x:v>CUST-0129</x:v>
      </x:c>
      <x:c r="D322" s="84" t="str">
        <x:v>Owen Walker</x:v>
      </x:c>
      <x:c r="E322" s="84" t="str">
        <x:v>Corporate</x:v>
      </x:c>
      <x:c r="F322" s="84" t="str">
        <x:v>Midwest</x:v>
      </x:c>
      <x:c r="G322" s="84" t="str">
        <x:v>Chicago</x:v>
      </x:c>
      <x:c r="H322" s="84" t="str">
        <x:v>Retail Store </x:v>
      </x:c>
      <x:c r="I322" s="84" t="str">
        <x:v>ELEC-004</x:v>
      </x:c>
      <x:c r="J322" s="86" t="n">
        <x:v>1</x:v>
      </x:c>
      <x:c r="K322" s="87" t="n">
        <x:v>0.05</x:v>
      </x:c>
      <x:c r="L322" s="84" t="str">
        <x:v>Completed</x:v>
      </x:c>
      <x:c r="M322" s="84" t="str">
        <x:v> DEBIT CARD </x:v>
      </x:c>
      <x:c r="N322" s="84" t="str">
        <x:v>Zoe Turner</x:v>
      </x:c>
      <x:c r="O322" s="85" t="n">
        <x:v>45418</x:v>
      </x:c>
      <x:c r="P322" s="84" t="str">
        <x:v>POS_2024_05</x:v>
      </x:c>
      <x:c r="Q322" s="84" t="str">
        <x:v>Power Bank</x:v>
      </x:c>
      <x:c r="R322" s="84" t="str">
        <x:v>Electronics</x:v>
      </x:c>
    </x:row>
    <x:row r="323">
      <x:c r="A323" s="84" t="str">
        <x:v>ORD-2024-00601</x:v>
      </x:c>
      <x:c r="B323" s="85" t="n">
        <x:v>45419</x:v>
      </x:c>
      <x:c r="C323" s="84" t="str">
        <x:v>CUST-0252</x:v>
      </x:c>
      <x:c r="D323" s="84" t="str">
        <x:v>theo carter</x:v>
      </x:c>
      <x:c r="E323" s="84" t="str">
        <x:v>Consumer</x:v>
      </x:c>
      <x:c r="F323" s="84" t="str">
        <x:v>Midwest</x:v>
      </x:c>
      <x:c r="G323" s="84" t="str">
        <x:v>Columbus</x:v>
      </x:c>
      <x:c r="H323" s="84" t="str">
        <x:v> ONLINE </x:v>
      </x:c>
      <x:c r="I323" s="84" t="str">
        <x:v>ELEC-003</x:v>
      </x:c>
      <x:c r="J323" s="86" t="n">
        <x:v>1</x:v>
      </x:c>
      <x:c r="K323" s="87" t="n">
        <x:v>0.1</x:v>
      </x:c>
      <x:c r="L323" s="84" t="str">
        <x:v>Completed </x:v>
      </x:c>
      <x:c r="M323" s="84" t="str">
        <x:v>Credit Card</x:v>
      </x:c>
      <x:c r="N323" s="84" t="str">
        <x:v>Emma Hayes</x:v>
      </x:c>
      <x:c r="O323" s="85" t="n">
        <x:v>45425</x:v>
      </x:c>
      <x:c r="P323" s="84" t="str">
        <x:v>WEB_2024_05</x:v>
      </x:c>
      <x:c r="Q323" s="84" t="str">
        <x:v>Bluetooth Speaker</x:v>
      </x:c>
      <x:c r="R323" s="84" t="str">
        <x:v>Electronics</x:v>
      </x:c>
    </x:row>
    <x:row r="324">
      <x:c r="A324" s="84" t="str">
        <x:v>ORD-2024-00916</x:v>
      </x:c>
      <x:c r="B324" s="85" t="n">
        <x:v>45419</x:v>
      </x:c>
      <x:c r="C324" s="84" t="str">
        <x:v>CUST-0265</x:v>
      </x:c>
      <x:c r="D324" s="84" t="str">
        <x:v>Sara Adams</x:v>
      </x:c>
      <x:c r="E324" s="84" t="str">
        <x:v>Consumer</x:v>
      </x:c>
      <x:c r="F324" s="84" t="str">
        <x:v>Southeast</x:v>
      </x:c>
      <x:c r="G324" s="84" t="str">
        <x:v>Nashville</x:v>
      </x:c>
      <x:c r="H324" s="84" t="str">
        <x:v>Retail Store</x:v>
      </x:c>
      <x:c r="I324" s="84" t="str">
        <x:v>OFFC-003</x:v>
      </x:c>
      <x:c r="J324" s="86" t="n">
        <x:v>1</x:v>
      </x:c>
      <x:c r="K324" s="87" t="n">
        <x:v>0</x:v>
      </x:c>
      <x:c r="L324" s="84" t="str">
        <x:v>Completed </x:v>
      </x:c>
      <x:c r="M324" s="84" t="str">
        <x:v>Cash</x:v>
      </x:c>
      <x:c r="N324" s="84" t="str">
        <x:v>Liam Parker</x:v>
      </x:c>
      <x:c r="O324" s="85" t="n">
        <x:v>45419</x:v>
      </x:c>
      <x:c r="P324" s="84" t="str">
        <x:v>POS_2024_05</x:v>
      </x:c>
      <x:c r="Q324" s="84" t="str">
        <x:v>LED Desk Lamp</x:v>
      </x:c>
      <x:c r="R324" s="84" t="str">
        <x:v> OFFICE </x:v>
      </x:c>
    </x:row>
    <x:row r="325">
      <x:c r="A325" s="84" t="str">
        <x:v>ORD-2024-01090</x:v>
      </x:c>
      <x:c r="B325" s="85" t="n">
        <x:v>45419</x:v>
      </x:c>
      <x:c r="C325" s="84" t="str">
        <x:v>CUST-0568</x:v>
      </x:c>
      <x:c r="D325" s="84" t="str">
        <x:v>Owen Carter </x:v>
      </x:c>
      <x:c r="E325" s="84" t="str">
        <x:v>Consumer</x:v>
      </x:c>
      <x:c r="F325" s="84" t="str">
        <x:v>Southeast</x:v>
      </x:c>
      <x:c r="G325" s="84" t="str">
        <x:v>Miami</x:v>
      </x:c>
      <x:c r="H325" s="84" t="str">
        <x:v>Retail Store</x:v>
      </x:c>
      <x:c r="I325" s="84" t="str">
        <x:v>ACCS-002</x:v>
      </x:c>
      <x:c r="J325" s="86" t="n">
        <x:v>2</x:v>
      </x:c>
      <x:c r="K325" s="87" t="n">
        <x:v>0.05</x:v>
      </x:c>
      <x:c r="L325" s="84" t="str">
        <x:v>Completed</x:v>
      </x:c>
      <x:c r="M325" s="84" t="str">
        <x:v>Credit Card </x:v>
      </x:c>
      <x:c r="N325" s="84" t="str">
        <x:v>Ava Mitchell</x:v>
      </x:c>
      <x:c r="O325" s="85" t="n">
        <x:v>45419</x:v>
      </x:c>
      <x:c r="P325" s="84" t="str">
        <x:v>POS_2024_05</x:v>
      </x:c>
      <x:c r="Q325" s="84" t="str">
        <x:v>Travel Backpack</x:v>
      </x:c>
      <x:c r="R325" s="84" t="str">
        <x:v>Accessories</x:v>
      </x:c>
    </x:row>
    <x:row r="326">
      <x:c r="A326" s="84" t="str">
        <x:v>ORD-2024-01377</x:v>
      </x:c>
      <x:c r="B326" s="85" t="n">
        <x:v>45419</x:v>
      </x:c>
      <x:c r="C326" s="84" t="str">
        <x:v>CUST-0550</x:v>
      </x:c>
      <x:c r="D326" s="84" t="str">
        <x:v>Samuel Young </x:v>
      </x:c>
      <x:c r="E326" s="84" t="str">
        <x:v> CONSUMER </x:v>
      </x:c>
      <x:c r="F326" s="84" t="str">
        <x:v>Midwest</x:v>
      </x:c>
      <x:c r="G326" s="84" t="str">
        <x:v>Minneapolis</x:v>
      </x:c>
      <x:c r="H326" s="84" t="str">
        <x:v>Online</x:v>
      </x:c>
      <x:c r="I326" s="84" t="str">
        <x:v>CARE-002</x:v>
      </x:c>
      <x:c r="J326" s="86" t="n">
        <x:v>2</x:v>
      </x:c>
      <x:c r="K326" s="87" t="n">
        <x:v>0.05</x:v>
      </x:c>
      <x:c r="L326" s="84" t="str">
        <x:v>Completed</x:v>
      </x:c>
      <x:c r="M326" s="84" t="str">
        <x:v>Credit Card </x:v>
      </x:c>
      <x:c r="N326" s="84" t="str">
        <x:v>emma hayes</x:v>
      </x:c>
      <x:c r="O326" s="85" t="n">
        <x:v>45424</x:v>
      </x:c>
      <x:c r="P326" s="84" t="str">
        <x:v>WEB_2024_05</x:v>
      </x:c>
      <x:c r="Q326" s="84" t="str">
        <x:v>Rechargeable Trimmer</x:v>
      </x:c>
      <x:c r="R326" s="84" t="str">
        <x:v>Personal Care</x:v>
      </x:c>
    </x:row>
    <x:row r="327">
      <x:c r="A327" s="84" t="str">
        <x:v>ORD-2024-01647</x:v>
      </x:c>
      <x:c r="B327" s="85" t="n">
        <x:v>45419</x:v>
      </x:c>
      <x:c r="C327" s="84" t="str">
        <x:v>CUST-0072</x:v>
      </x:c>
      <x:c r="D327" s="84" t="str">
        <x:v>Nina Roberts</x:v>
      </x:c>
      <x:c r="E327" s="84" t="str"/>
      <x:c r="F327" s="84" t="str">
        <x:v>northeast</x:v>
      </x:c>
      <x:c r="G327" s="84" t="str">
        <x:v>New York</x:v>
      </x:c>
      <x:c r="H327" s="84" t="str">
        <x:v>Marketplace</x:v>
      </x:c>
      <x:c r="I327" s="84" t="str">
        <x:v>HOME-005</x:v>
      </x:c>
      <x:c r="J327" s="86" t="n">
        <x:v>2</x:v>
      </x:c>
      <x:c r="K327" s="87" t="n">
        <x:v>0.1</x:v>
      </x:c>
      <x:c r="L327" s="84" t="str">
        <x:v>Completed</x:v>
      </x:c>
      <x:c r="M327" s="84" t="str">
        <x:v>PayPal</x:v>
      </x:c>
      <x:c r="N327" s="84" t="str">
        <x:v>Sofia Bennett</x:v>
      </x:c>
      <x:c r="O327" s="85" t="n">
        <x:v>45424</x:v>
      </x:c>
      <x:c r="P327" s="84" t="str">
        <x:v>MKT_2024_05</x:v>
      </x:c>
      <x:c r="Q327" s="84" t="str">
        <x:v>Cordless Vacuum</x:v>
      </x:c>
      <x:c r="R327" s="84" t="str">
        <x:v> HOME &amp; KITCHEN </x:v>
      </x:c>
    </x:row>
    <x:row r="328">
      <x:c r="A328" s="84" t="str">
        <x:v>ORD-2024-01810</x:v>
      </x:c>
      <x:c r="B328" s="85" t="n">
        <x:v>45419</x:v>
      </x:c>
      <x:c r="C328" s="84" t="str">
        <x:v>CUST-0095</x:v>
      </x:c>
      <x:c r="D328" s="84" t="str">
        <x:v>Elena Irwin</x:v>
      </x:c>
      <x:c r="E328" s="84" t="str">
        <x:v>Corporate</x:v>
      </x:c>
      <x:c r="F328" s="84" t="str">
        <x:v>Northeast </x:v>
      </x:c>
      <x:c r="G328" s="84" t="str">
        <x:v>Newark</x:v>
      </x:c>
      <x:c r="H328" s="84" t="str">
        <x:v>Retail Store</x:v>
      </x:c>
      <x:c r="I328" s="84" t="str">
        <x:v>CARE-002</x:v>
      </x:c>
      <x:c r="J328" s="86" t="n">
        <x:v>1</x:v>
      </x:c>
      <x:c r="K328" s="87" t="n">
        <x:v>0</x:v>
      </x:c>
      <x:c r="L328" s="84" t="str">
        <x:v>Completed</x:v>
      </x:c>
      <x:c r="M328" s="84" t="str">
        <x:v>Mobile Wallet</x:v>
      </x:c>
      <x:c r="N328" s="84" t="str">
        <x:v>Sofia Bennett </x:v>
      </x:c>
      <x:c r="O328" s="85" t="n">
        <x:v>45419</x:v>
      </x:c>
      <x:c r="P328" s="84" t="str">
        <x:v>POS_2024_05</x:v>
      </x:c>
      <x:c r="Q328" s="84" t="str">
        <x:v>Rechargeable Trimmer</x:v>
      </x:c>
      <x:c r="R328" s="84" t="str">
        <x:v>Personal Care</x:v>
      </x:c>
    </x:row>
    <x:row r="329">
      <x:c r="A329" s="84" t="str">
        <x:v>ORD-2024-02190</x:v>
      </x:c>
      <x:c r="B329" s="85" t="n">
        <x:v>45419</x:v>
      </x:c>
      <x:c r="C329" s="84" t="str">
        <x:v>CUST-0279</x:v>
      </x:c>
      <x:c r="D329" s="84" t="str">
        <x:v> PRIYA JOHNSON </x:v>
      </x:c>
      <x:c r="E329" s="84" t="str">
        <x:v>Consumer</x:v>
      </x:c>
      <x:c r="F329" s="84" t="str">
        <x:v> WEST </x:v>
      </x:c>
      <x:c r="G329" s="84" t="str">
        <x:v>Seattle</x:v>
      </x:c>
      <x:c r="H329" s="84" t="str">
        <x:v>Retail Store</x:v>
      </x:c>
      <x:c r="I329" s="84" t="str">
        <x:v>OFFC-003</x:v>
      </x:c>
      <x:c r="J329" s="86" t="n">
        <x:v>4</x:v>
      </x:c>
      <x:c r="K329" s="87" t="n">
        <x:v>0</x:v>
      </x:c>
      <x:c r="L329" s="84" t="str">
        <x:v>Completed </x:v>
      </x:c>
      <x:c r="M329" s="84" t="str">
        <x:v>Cash</x:v>
      </x:c>
      <x:c r="N329" s="84" t="str">
        <x:v>Mia Chen</x:v>
      </x:c>
      <x:c r="O329" s="85" t="n">
        <x:v>45419</x:v>
      </x:c>
      <x:c r="P329" s="84" t="str">
        <x:v>POS_2024_05</x:v>
      </x:c>
      <x:c r="Q329" s="84" t="str">
        <x:v>LED Desk Lamp</x:v>
      </x:c>
      <x:c r="R329" s="84" t="str">
        <x:v>Office</x:v>
      </x:c>
    </x:row>
    <x:row r="330">
      <x:c r="A330" s="84" t="str">
        <x:v>ORD-2024-02396</x:v>
      </x:c>
      <x:c r="B330" s="85" t="n">
        <x:v>45419</x:v>
      </x:c>
      <x:c r="C330" s="84" t="str">
        <x:v>CUST-0260</x:v>
      </x:c>
      <x:c r="D330" s="84" t="str">
        <x:v>Caleb Ortiz</x:v>
      </x:c>
      <x:c r="E330" s="84" t="str">
        <x:v>Corporate</x:v>
      </x:c>
      <x:c r="F330" s="84" t="str">
        <x:v>West</x:v>
      </x:c>
      <x:c r="G330" s="84" t="str">
        <x:v>Los Angeles</x:v>
      </x:c>
      <x:c r="H330" s="84" t="str">
        <x:v>Retail Store</x:v>
      </x:c>
      <x:c r="I330" s="84" t="str">
        <x:v>ELEC-005</x:v>
      </x:c>
      <x:c r="J330" s="86" t="n">
        <x:v>1</x:v>
      </x:c>
      <x:c r="K330" s="87" t="n">
        <x:v>0</x:v>
      </x:c>
      <x:c r="L330" s="84" t="str">
        <x:v>Completed</x:v>
      </x:c>
      <x:c r="M330" s="84" t="str">
        <x:v>Debit Card</x:v>
      </x:c>
      <x:c r="N330" s="84" t="str">
        <x:v>Mia Chen</x:v>
      </x:c>
      <x:c r="O330" s="85" t="n">
        <x:v>45420</x:v>
      </x:c>
      <x:c r="P330" s="84" t="str">
        <x:v>POS_2024_05</x:v>
      </x:c>
      <x:c r="Q330" s="84" t="str">
        <x:v>hd webcam</x:v>
      </x:c>
      <x:c r="R330" s="84" t="str">
        <x:v>Electronics </x:v>
      </x:c>
    </x:row>
    <x:row r="331">
      <x:c r="A331" s="84" t="str">
        <x:v>ORD-2024-00345</x:v>
      </x:c>
      <x:c r="B331" s="85" t="n">
        <x:v>45421</x:v>
      </x:c>
      <x:c r="C331" s="84" t="str">
        <x:v>CUST-0176</x:v>
      </x:c>
      <x:c r="D331" s="84" t="str">
        <x:v>Grace Smith</x:v>
      </x:c>
      <x:c r="E331" s="84" t="str">
        <x:v>Corporate</x:v>
      </x:c>
      <x:c r="F331" s="84" t="str">
        <x:v>Northeast</x:v>
      </x:c>
      <x:c r="G331" s="84" t="str">
        <x:v>new york</x:v>
      </x:c>
      <x:c r="H331" s="84" t="str">
        <x:v>Online</x:v>
      </x:c>
      <x:c r="I331" s="84" t="str">
        <x:v>HOME-006</x:v>
      </x:c>
      <x:c r="J331" s="86" t="n">
        <x:v>5</x:v>
      </x:c>
      <x:c r="K331" s="87" t="n">
        <x:v>0.1</x:v>
      </x:c>
      <x:c r="L331" s="84" t="str">
        <x:v> RETURNED </x:v>
      </x:c>
      <x:c r="M331" s="84" t="str">
        <x:v>Mobile Wallet</x:v>
      </x:c>
      <x:c r="N331" s="84" t="str">
        <x:v>Sofia Bennett</x:v>
      </x:c>
      <x:c r="O331" s="85" t="n">
        <x:v>45423</x:v>
      </x:c>
      <x:c r="P331" s="84" t="str">
        <x:v>WEB_2024_05</x:v>
      </x:c>
      <x:c r="Q331" s="84" t="str">
        <x:v>Food Storage Set</x:v>
      </x:c>
      <x:c r="R331" s="84" t="str">
        <x:v>Home &amp; Kitchen </x:v>
      </x:c>
    </x:row>
    <x:row r="332">
      <x:c r="A332" s="84" t="str">
        <x:v>ORD-2024-01611</x:v>
      </x:c>
      <x:c r="B332" s="85" t="n">
        <x:v>45422</x:v>
      </x:c>
      <x:c r="C332" s="84" t="str">
        <x:v>CUST-0438</x:v>
      </x:c>
      <x:c r="D332" s="84" t="str">
        <x:v>Isaac Ortiz</x:v>
      </x:c>
      <x:c r="E332" s="84" t="str">
        <x:v>Consumer</x:v>
      </x:c>
      <x:c r="F332" s="84" t="str">
        <x:v>Midwest</x:v>
      </x:c>
      <x:c r="G332" s="84" t="str">
        <x:v>Columbus</x:v>
      </x:c>
      <x:c r="H332" s="84" t="str">
        <x:v>Retail Store</x:v>
      </x:c>
      <x:c r="I332" s="84" t="str">
        <x:v>FITN-003</x:v>
      </x:c>
      <x:c r="J332" s="86" t="n">
        <x:v>1</x:v>
      </x:c>
      <x:c r="K332" s="87" t="n">
        <x:v>0</x:v>
      </x:c>
      <x:c r="L332" s="84" t="str">
        <x:v>Completed</x:v>
      </x:c>
      <x:c r="M332" s="84" t="str">
        <x:v>Credit Card</x:v>
      </x:c>
      <x:c r="N332" s="84" t="str">
        <x:v>Emma Hayes</x:v>
      </x:c>
      <x:c r="O332" s="85" t="n">
        <x:v>45422</x:v>
      </x:c>
      <x:c r="P332" s="84" t="str">
        <x:v>POS_2024_05</x:v>
      </x:c>
      <x:c r="Q332" s="84" t="str">
        <x:v>Resistance Band Set </x:v>
      </x:c>
      <x:c r="R332" s="84" t="str">
        <x:v>Fitness</x:v>
      </x:c>
    </x:row>
    <x:row r="333">
      <x:c r="A333" s="84" t="str">
        <x:v>ORD-2024-00645</x:v>
      </x:c>
      <x:c r="B333" s="85" t="n">
        <x:v>45423</x:v>
      </x:c>
      <x:c r="C333" s="84" t="str">
        <x:v>CUST-0052</x:v>
      </x:c>
      <x:c r="D333" s="84" t="str">
        <x:v>elias adams</x:v>
      </x:c>
      <x:c r="E333" s="84" t="str">
        <x:v>Consumer</x:v>
      </x:c>
      <x:c r="F333" s="84" t="str">
        <x:v>Southeast</x:v>
      </x:c>
      <x:c r="G333" s="84" t="str">
        <x:v>Atlanta</x:v>
      </x:c>
      <x:c r="H333" s="84" t="str">
        <x:v>Marketplace</x:v>
      </x:c>
      <x:c r="I333" s="84" t="str">
        <x:v>FITN-003</x:v>
      </x:c>
      <x:c r="J333" s="86" t="n">
        <x:v>3</x:v>
      </x:c>
      <x:c r="K333" s="87" t="n">
        <x:v>0.1</x:v>
      </x:c>
      <x:c r="L333" s="84" t="str">
        <x:v>Returned</x:v>
      </x:c>
      <x:c r="M333" s="84" t="str">
        <x:v>PayPal</x:v>
      </x:c>
      <x:c r="N333" s="84" t="str">
        <x:v>Liam Parker</x:v>
      </x:c>
      <x:c r="O333" s="85" t="n">
        <x:v>45426</x:v>
      </x:c>
      <x:c r="P333" s="84" t="str">
        <x:v>MKT_2024_05</x:v>
      </x:c>
      <x:c r="Q333" s="84" t="str">
        <x:v>Resistance Band Set </x:v>
      </x:c>
      <x:c r="R333" s="84" t="str">
        <x:v>Fitness</x:v>
      </x:c>
    </x:row>
    <x:row r="334">
      <x:c r="A334" s="84" t="str">
        <x:v>ORD-2024-01228</x:v>
      </x:c>
      <x:c r="B334" s="85" t="n">
        <x:v>45423</x:v>
      </x:c>
      <x:c r="C334" s="84" t="str">
        <x:v>CUST-0354</x:v>
      </x:c>
      <x:c r="D334" s="84" t="str">
        <x:v>jasmine quinn</x:v>
      </x:c>
      <x:c r="E334" s="84" t="str">
        <x:v>Consumer</x:v>
      </x:c>
      <x:c r="F334" s="84" t="str">
        <x:v>Northeast</x:v>
      </x:c>
      <x:c r="G334" s="84" t="str">
        <x:v>Philadelphia</x:v>
      </x:c>
      <x:c r="H334" s="84" t="str">
        <x:v>Online </x:v>
      </x:c>
      <x:c r="I334" s="84" t="str">
        <x:v>HOME-004</x:v>
      </x:c>
      <x:c r="J334" s="86" t="n">
        <x:v>1</x:v>
      </x:c>
      <x:c r="K334" s="87" t="n">
        <x:v>0</x:v>
      </x:c>
      <x:c r="L334" s="84" t="str">
        <x:v>Returned</x:v>
      </x:c>
      <x:c r="M334" s="84" t="str">
        <x:v>Mobile Wallet</x:v>
      </x:c>
      <x:c r="N334" s="84" t="str">
        <x:v>Ethan Cole</x:v>
      </x:c>
      <x:c r="O334" s="85" t="n">
        <x:v>45425</x:v>
      </x:c>
      <x:c r="P334" s="84" t="str">
        <x:v>WEB_2024_05</x:v>
      </x:c>
      <x:c r="Q334" s="84" t="str">
        <x:v> COFFEE MAKER </x:v>
      </x:c>
      <x:c r="R334" s="84" t="str">
        <x:v>Home &amp; Kitchen</x:v>
      </x:c>
    </x:row>
    <x:row r="335">
      <x:c r="A335" s="84" t="str">
        <x:v>ORD-2024-01572</x:v>
      </x:c>
      <x:c r="B335" s="85" t="n">
        <x:v>45423</x:v>
      </x:c>
      <x:c r="C335" s="84" t="str">
        <x:v>CUST-0544</x:v>
      </x:c>
      <x:c r="D335" s="84" t="str">
        <x:v>Victoria Garcia</x:v>
      </x:c>
      <x:c r="E335" s="84" t="str">
        <x:v>Consumer</x:v>
      </x:c>
      <x:c r="F335" s="84" t="str">
        <x:v>West </x:v>
      </x:c>
      <x:c r="G335" s="84" t="str">
        <x:v>Seattle</x:v>
      </x:c>
      <x:c r="H335" s="84" t="str">
        <x:v>Online</x:v>
      </x:c>
      <x:c r="I335" s="84" t="str">
        <x:v>ELEC-001</x:v>
      </x:c>
      <x:c r="J335" s="86" t="n">
        <x:v>1</x:v>
      </x:c>
      <x:c r="K335" s="87" t="n">
        <x:v>0.1</x:v>
      </x:c>
      <x:c r="L335" s="84" t="str">
        <x:v>Returned</x:v>
      </x:c>
      <x:c r="M335" s="84" t="str">
        <x:v>debit card</x:v>
      </x:c>
      <x:c r="N335" s="84" t="str">
        <x:v>Mia Chen </x:v>
      </x:c>
      <x:c r="O335" s="85" t="n">
        <x:v>45426</x:v>
      </x:c>
      <x:c r="P335" s="84" t="str">
        <x:v>WEB_2024_05</x:v>
      </x:c>
      <x:c r="Q335" s="84" t="str">
        <x:v>Wireless Earbuds</x:v>
      </x:c>
      <x:c r="R335" s="84" t="str">
        <x:v>Electronics</x:v>
      </x:c>
    </x:row>
    <x:row r="336">
      <x:c r="A336" s="84" t="str">
        <x:v>ORD-2024-02153</x:v>
      </x:c>
      <x:c r="B336" s="85" t="n">
        <x:v>45423</x:v>
      </x:c>
      <x:c r="C336" s="84" t="str">
        <x:v>CUST-0317</x:v>
      </x:c>
      <x:c r="D336" s="84" t="str">
        <x:v>Owen Garcia</x:v>
      </x:c>
      <x:c r="E336" s="84" t="str">
        <x:v>Consumer</x:v>
      </x:c>
      <x:c r="F336" s="84" t="str">
        <x:v>west</x:v>
      </x:c>
      <x:c r="G336" s="84" t="str">
        <x:v>Seattle</x:v>
      </x:c>
      <x:c r="H336" s="84" t="str">
        <x:v>Online</x:v>
      </x:c>
      <x:c r="I336" s="84" t="str">
        <x:v>OFFC-006</x:v>
      </x:c>
      <x:c r="J336" s="86" t="n">
        <x:v>2</x:v>
      </x:c>
      <x:c r="K336" s="87" t="n">
        <x:v>0</x:v>
      </x:c>
      <x:c r="L336" s="84" t="str">
        <x:v>Completed</x:v>
      </x:c>
      <x:c r="M336" s="84" t="str">
        <x:v> PAYPAL </x:v>
      </x:c>
      <x:c r="N336" s="84" t="str">
        <x:v>Leo Martinez </x:v>
      </x:c>
      <x:c r="O336" s="85" t="n">
        <x:v>45429</x:v>
      </x:c>
      <x:c r="P336" s="84" t="str">
        <x:v>WEB_2024_05</x:v>
      </x:c>
      <x:c r="Q336" s="84" t="str">
        <x:v>Monitor Stand</x:v>
      </x:c>
      <x:c r="R336" s="84" t="str">
        <x:v>Office</x:v>
      </x:c>
    </x:row>
    <x:row r="337">
      <x:c r="A337" s="84" t="str">
        <x:v>ORD-2024-02173</x:v>
      </x:c>
      <x:c r="B337" s="85" t="n">
        <x:v>45423</x:v>
      </x:c>
      <x:c r="C337" s="84" t="str">
        <x:v>CUST-0401</x:v>
      </x:c>
      <x:c r="D337" s="84" t="str">
        <x:v> PRIYA HALL </x:v>
      </x:c>
      <x:c r="E337" s="84" t="str">
        <x:v>Consumer</x:v>
      </x:c>
      <x:c r="F337" s="84" t="str">
        <x:v> NORTHEAST </x:v>
      </x:c>
      <x:c r="G337" s="84" t="str">
        <x:v>Newark</x:v>
      </x:c>
      <x:c r="H337" s="84" t="str">
        <x:v>Retail Store </x:v>
      </x:c>
      <x:c r="I337" s="84" t="str">
        <x:v>ELEC-004</x:v>
      </x:c>
      <x:c r="J337" s="86" t="n">
        <x:v>1</x:v>
      </x:c>
      <x:c r="K337" s="87" t="n">
        <x:v>0</x:v>
      </x:c>
      <x:c r="L337" s="84" t="str">
        <x:v>Completed</x:v>
      </x:c>
      <x:c r="M337" s="84" t="str">
        <x:v>Mobile Wallet</x:v>
      </x:c>
      <x:c r="N337" s="84" t="str">
        <x:v>Ethan Cole</x:v>
      </x:c>
      <x:c r="O337" s="85" t="n">
        <x:v>45423</x:v>
      </x:c>
      <x:c r="P337" s="84" t="str">
        <x:v>POS_2024_05</x:v>
      </x:c>
      <x:c r="Q337" s="84" t="str">
        <x:v>Power Bank</x:v>
      </x:c>
      <x:c r="R337" s="84" t="str">
        <x:v>Electronics</x:v>
      </x:c>
    </x:row>
    <x:row r="338">
      <x:c r="A338" s="84" t="str">
        <x:v>ORD-2024-01883</x:v>
      </x:c>
      <x:c r="B338" s="85" t="n">
        <x:v>45424</x:v>
      </x:c>
      <x:c r="C338" s="84" t="str">
        <x:v>CUST-0574</x:v>
      </x:c>
      <x:c r="D338" s="84" t="str">
        <x:v>Grace Quinn</x:v>
      </x:c>
      <x:c r="E338" s="84" t="str">
        <x:v>Corporate </x:v>
      </x:c>
      <x:c r="F338" s="84" t="str">
        <x:v>Northeast</x:v>
      </x:c>
      <x:c r="G338" s="84" t="str">
        <x:v>New York </x:v>
      </x:c>
      <x:c r="H338" s="84" t="str">
        <x:v>Marketplace</x:v>
      </x:c>
      <x:c r="I338" s="84" t="str">
        <x:v>HOME-004</x:v>
      </x:c>
      <x:c r="J338" s="86" t="n">
        <x:v>5</x:v>
      </x:c>
      <x:c r="K338" s="87" t="n">
        <x:v>0</x:v>
      </x:c>
      <x:c r="L338" s="84" t="str">
        <x:v>Completed</x:v>
      </x:c>
      <x:c r="M338" s="84" t="str">
        <x:v>Credit Card</x:v>
      </x:c>
      <x:c r="N338" s="84" t="str">
        <x:v>sofia bennett</x:v>
      </x:c>
      <x:c r="O338" s="85" t="n">
        <x:v>45430</x:v>
      </x:c>
      <x:c r="P338" s="84" t="str">
        <x:v>MKT_2024_05</x:v>
      </x:c>
      <x:c r="Q338" s="84" t="str">
        <x:v>Coffee Maker</x:v>
      </x:c>
      <x:c r="R338" s="84" t="str">
        <x:v>Home &amp; Kitchen</x:v>
      </x:c>
    </x:row>
    <x:row r="339">
      <x:c r="A339" s="84" t="str">
        <x:v>ORD-2024-02077</x:v>
      </x:c>
      <x:c r="B339" s="85" t="n">
        <x:v>45424</x:v>
      </x:c>
      <x:c r="C339" s="84" t="str">
        <x:v>CUST-0586</x:v>
      </x:c>
      <x:c r="D339" s="84" t="str">
        <x:v>Isaac Adams </x:v>
      </x:c>
      <x:c r="E339" s="84" t="str">
        <x:v>Small Business</x:v>
      </x:c>
      <x:c r="F339" s="84" t="str">
        <x:v>Midwest</x:v>
      </x:c>
      <x:c r="G339" s="84" t="str">
        <x:v>Detroit</x:v>
      </x:c>
      <x:c r="H339" s="84" t="str">
        <x:v>Online</x:v>
      </x:c>
      <x:c r="I339" s="84" t="str">
        <x:v>HOME-001</x:v>
      </x:c>
      <x:c r="J339" s="86" t="n">
        <x:v>1</x:v>
      </x:c>
      <x:c r="K339" s="87" t="n">
        <x:v>0.05</x:v>
      </x:c>
      <x:c r="L339" s="84" t="str">
        <x:v>Completed</x:v>
      </x:c>
      <x:c r="M339" s="84" t="str">
        <x:v>PayPal </x:v>
      </x:c>
      <x:c r="N339" s="84" t="str">
        <x:v> ZOE TURNER </x:v>
      </x:c>
      <x:c r="O339" s="85" t="n">
        <x:v>45429</x:v>
      </x:c>
      <x:c r="P339" s="84" t="str">
        <x:v>WEB_2024_05</x:v>
      </x:c>
      <x:c r="Q339" s="84" t="str">
        <x:v>air fryer</x:v>
      </x:c>
      <x:c r="R339" s="84" t="str">
        <x:v>Home &amp; Kitchen</x:v>
      </x:c>
    </x:row>
    <x:row r="340">
      <x:c r="A340" s="84" t="str">
        <x:v>ORD-2024-01355</x:v>
      </x:c>
      <x:c r="B340" s="85" t="n">
        <x:v>45425</x:v>
      </x:c>
      <x:c r="C340" s="84" t="str">
        <x:v>CUST-0077</x:v>
      </x:c>
      <x:c r="D340" s="84" t="str">
        <x:v>Layla Foster</x:v>
      </x:c>
      <x:c r="E340" s="84" t="str">
        <x:v>Corporate</x:v>
      </x:c>
      <x:c r="F340" s="84" t="str">
        <x:v>Northeast </x:v>
      </x:c>
      <x:c r="G340" s="84" t="str">
        <x:v>Philadelphia</x:v>
      </x:c>
      <x:c r="H340" s="84" t="str">
        <x:v>Retail Store</x:v>
      </x:c>
      <x:c r="I340" s="84" t="str">
        <x:v>ELEC-001</x:v>
      </x:c>
      <x:c r="J340" s="86" t="n">
        <x:v>2</x:v>
      </x:c>
      <x:c r="K340" s="87" t="n">
        <x:v>0.05</x:v>
      </x:c>
      <x:c r="L340" s="84" t="str">
        <x:v>Completed</x:v>
      </x:c>
      <x:c r="M340" s="84" t="str">
        <x:v>Credit Card</x:v>
      </x:c>
      <x:c r="N340" s="84" t="str">
        <x:v>ethan cole</x:v>
      </x:c>
      <x:c r="O340" s="85" t="n">
        <x:v>45425</x:v>
      </x:c>
      <x:c r="P340" s="84" t="str">
        <x:v>POS_2024_05</x:v>
      </x:c>
      <x:c r="Q340" s="84" t="str">
        <x:v>Wireless Earbuds</x:v>
      </x:c>
      <x:c r="R340" s="84" t="str">
        <x:v>Electronics</x:v>
      </x:c>
    </x:row>
    <x:row r="341">
      <x:c r="A341" s="84" t="str">
        <x:v>ORD-2024-01590</x:v>
      </x:c>
      <x:c r="B341" s="85" t="n">
        <x:v>45425</x:v>
      </x:c>
      <x:c r="C341" s="84" t="str">
        <x:v>CUST-0582</x:v>
      </x:c>
      <x:c r="D341" s="84" t="str">
        <x:v>Maya Lewis</x:v>
      </x:c>
      <x:c r="E341" s="84" t="str">
        <x:v>Consumer</x:v>
      </x:c>
      <x:c r="F341" s="84" t="str">
        <x:v>Midwest</x:v>
      </x:c>
      <x:c r="G341" s="84" t="str">
        <x:v>Columbus</x:v>
      </x:c>
      <x:c r="H341" s="84" t="str">
        <x:v>Online</x:v>
      </x:c>
      <x:c r="I341" s="84" t="str">
        <x:v>ELEC-005</x:v>
      </x:c>
      <x:c r="J341" s="86" t="n">
        <x:v>1</x:v>
      </x:c>
      <x:c r="K341" s="87" t="n">
        <x:v>0</x:v>
      </x:c>
      <x:c r="L341" s="84" t="str">
        <x:v>Completed</x:v>
      </x:c>
      <x:c r="M341" s="84" t="str">
        <x:v>Credit Card</x:v>
      </x:c>
      <x:c r="N341" s="84" t="str">
        <x:v>Emma Hayes</x:v>
      </x:c>
      <x:c r="O341" s="85" t="n">
        <x:v>45429</x:v>
      </x:c>
      <x:c r="P341" s="84" t="str">
        <x:v>WEB_2024_05</x:v>
      </x:c>
      <x:c r="Q341" s="84" t="str">
        <x:v>HD Webcam </x:v>
      </x:c>
      <x:c r="R341" s="84" t="str">
        <x:v>Electronics</x:v>
      </x:c>
    </x:row>
    <x:row r="342">
      <x:c r="A342" s="84" t="str">
        <x:v>ORD-2024-00841</x:v>
      </x:c>
      <x:c r="B342" s="85" t="n">
        <x:v>45426</x:v>
      </x:c>
      <x:c r="C342" s="84" t="str">
        <x:v>CUST-0423</x:v>
      </x:c>
      <x:c r="D342" s="84" t="str">
        <x:v>Marcus Smith</x:v>
      </x:c>
      <x:c r="E342" s="84" t="str">
        <x:v>Small Business</x:v>
      </x:c>
      <x:c r="F342" s="84" t="str">
        <x:v>Northeast</x:v>
      </x:c>
      <x:c r="G342" s="84" t="str">
        <x:v>Philadelphia</x:v>
      </x:c>
      <x:c r="H342" s="84" t="str">
        <x:v>Retail Store</x:v>
      </x:c>
      <x:c r="I342" s="84" t="str">
        <x:v>OFFC-004</x:v>
      </x:c>
      <x:c r="J342" s="86" t="n">
        <x:v>3</x:v>
      </x:c>
      <x:c r="K342" s="87" t="n">
        <x:v>0.1</x:v>
      </x:c>
      <x:c r="L342" s="84" t="str">
        <x:v>Completed</x:v>
      </x:c>
      <x:c r="M342" s="84" t="str">
        <x:v>Cash</x:v>
      </x:c>
      <x:c r="N342" s="84" t="str">
        <x:v>Ethan Cole</x:v>
      </x:c>
      <x:c r="O342" s="85" t="n">
        <x:v>45426</x:v>
      </x:c>
      <x:c r="P342" s="84" t="str">
        <x:v>POS_2024_05</x:v>
      </x:c>
      <x:c r="Q342" s="84" t="str">
        <x:v>Premium Notebook Pack </x:v>
      </x:c>
      <x:c r="R342" s="84" t="str">
        <x:v>Office</x:v>
      </x:c>
    </x:row>
    <x:row r="343">
      <x:c r="A343" s="84" t="str">
        <x:v>ORD-2024-02119</x:v>
      </x:c>
      <x:c r="B343" s="85" t="n">
        <x:v>45426</x:v>
      </x:c>
      <x:c r="C343" s="84" t="str">
        <x:v>CUST-0227</x:v>
      </x:c>
      <x:c r="D343" s="84" t="str">
        <x:v>maya foster</x:v>
      </x:c>
      <x:c r="E343" s="84" t="str">
        <x:v>Consumer</x:v>
      </x:c>
      <x:c r="F343" s="84" t="str">
        <x:v>West</x:v>
      </x:c>
      <x:c r="G343" s="84" t="str">
        <x:v>Phoenix</x:v>
      </x:c>
      <x:c r="H343" s="84" t="str">
        <x:v>Online</x:v>
      </x:c>
      <x:c r="I343" s="84" t="str">
        <x:v>ACCS-001</x:v>
      </x:c>
      <x:c r="J343" s="86" t="n">
        <x:v>3</x:v>
      </x:c>
      <x:c r="K343" s="87" t="n">
        <x:v>0.05</x:v>
      </x:c>
      <x:c r="L343" s="84" t="str">
        <x:v>Completed</x:v>
      </x:c>
      <x:c r="M343" s="84" t="str">
        <x:v> CREDIT CARD </x:v>
      </x:c>
      <x:c r="N343" s="84" t="str">
        <x:v>Nora Kim</x:v>
      </x:c>
      <x:c r="O343" s="85" t="n">
        <x:v>45429</x:v>
      </x:c>
      <x:c r="P343" s="84" t="str">
        <x:v>WEB_2024_05</x:v>
      </x:c>
      <x:c r="Q343" s="84" t="str">
        <x:v>Canvas Tote Bag</x:v>
      </x:c>
      <x:c r="R343" s="84" t="str">
        <x:v>Accessories</x:v>
      </x:c>
    </x:row>
    <x:row r="344">
      <x:c r="A344" s="84" t="str">
        <x:v>ORD-2024-00444</x:v>
      </x:c>
      <x:c r="B344" s="85" t="n">
        <x:v>45427</x:v>
      </x:c>
      <x:c r="C344" s="84" t="str">
        <x:v>CUST-0485</x:v>
      </x:c>
      <x:c r="D344" s="84" t="str">
        <x:v>Elias Ortiz</x:v>
      </x:c>
      <x:c r="E344" s="84" t="str">
        <x:v>Consumer</x:v>
      </x:c>
      <x:c r="F344" s="84" t="str">
        <x:v>Southeast</x:v>
      </x:c>
      <x:c r="G344" s="84" t="str">
        <x:v>atlanta</x:v>
      </x:c>
      <x:c r="H344" s="84" t="str">
        <x:v>Retail Store </x:v>
      </x:c>
      <x:c r="I344" s="84" t="str">
        <x:v>FITN-004</x:v>
      </x:c>
      <x:c r="J344" s="86" t="n">
        <x:v>2</x:v>
      </x:c>
      <x:c r="K344" s="87" t="n">
        <x:v>0</x:v>
      </x:c>
      <x:c r="L344" s="84" t="str">
        <x:v>completed</x:v>
      </x:c>
      <x:c r="M344" s="84" t="str">
        <x:v>Credit Card</x:v>
      </x:c>
      <x:c r="N344" s="84" t="str">
        <x:v>Noah Reed</x:v>
      </x:c>
      <x:c r="O344" s="85" t="n">
        <x:v>45427</x:v>
      </x:c>
      <x:c r="P344" s="84" t="str">
        <x:v>POS_2024_05</x:v>
      </x:c>
      <x:c r="Q344" s="84" t="str">
        <x:v>Fitness Tracker</x:v>
      </x:c>
      <x:c r="R344" s="84" t="str">
        <x:v>Fitness</x:v>
      </x:c>
    </x:row>
    <x:row r="345">
      <x:c r="A345" s="84" t="str">
        <x:v>ORD-2024-01051</x:v>
      </x:c>
      <x:c r="B345" s="85" t="n">
        <x:v>45427</x:v>
      </x:c>
      <x:c r="C345" s="84" t="str">
        <x:v>CUST-0408</x:v>
      </x:c>
      <x:c r="D345" s="84" t="str">
        <x:v> CALEB SMITH </x:v>
      </x:c>
      <x:c r="E345" s="84" t="str">
        <x:v>Small Business</x:v>
      </x:c>
      <x:c r="F345" s="84" t="str">
        <x:v> SOUTHEAST </x:v>
      </x:c>
      <x:c r="G345" s="84" t="str">
        <x:v>Miami</x:v>
      </x:c>
      <x:c r="H345" s="84" t="str">
        <x:v>Online</x:v>
      </x:c>
      <x:c r="I345" s="84" t="str">
        <x:v>FITN-006</x:v>
      </x:c>
      <x:c r="J345" s="86" t="n">
        <x:v>1</x:v>
      </x:c>
      <x:c r="K345" s="87" t="n">
        <x:v>0.15</x:v>
      </x:c>
      <x:c r="L345" s="84" t="str">
        <x:v>Completed</x:v>
      </x:c>
      <x:c r="M345" s="84" t="str">
        <x:v>PayPal</x:v>
      </x:c>
      <x:c r="N345" s="84" t="str">
        <x:v>Ava Mitchell</x:v>
      </x:c>
      <x:c r="O345" s="85" t="n">
        <x:v>45429</x:v>
      </x:c>
      <x:c r="P345" s="84" t="str">
        <x:v>WEB_2024_05</x:v>
      </x:c>
      <x:c r="Q345" s="84" t="str">
        <x:v>Foam Roller </x:v>
      </x:c>
      <x:c r="R345" s="84" t="str">
        <x:v>Fitness</x:v>
      </x:c>
    </x:row>
    <x:row r="346">
      <x:c r="A346" s="84" t="str">
        <x:v>ORD-2024-01291</x:v>
      </x:c>
      <x:c r="B346" s="85" t="n">
        <x:v>45427</x:v>
      </x:c>
      <x:c r="C346" s="84" t="str">
        <x:v>CUST-0125</x:v>
      </x:c>
      <x:c r="D346" s="84" t="str">
        <x:v>Marcus Carter</x:v>
      </x:c>
      <x:c r="E346" s="84" t="str">
        <x:v>Consumer</x:v>
      </x:c>
      <x:c r="F346" s="84" t="str">
        <x:v>West</x:v>
      </x:c>
      <x:c r="G346" s="84" t="str">
        <x:v>phoenix</x:v>
      </x:c>
      <x:c r="H346" s="84" t="str">
        <x:v>Marketplace </x:v>
      </x:c>
      <x:c r="I346" s="84" t="str">
        <x:v>CARE-005</x:v>
      </x:c>
      <x:c r="J346" s="86" t="n">
        <x:v>1</x:v>
      </x:c>
      <x:c r="K346" s="87" t="n">
        <x:v>0</x:v>
      </x:c>
      <x:c r="L346" s="84" t="str">
        <x:v>completed</x:v>
      </x:c>
      <x:c r="M346" s="84" t="str">
        <x:v>Credit Card</x:v>
      </x:c>
      <x:c r="N346" s="84" t="str">
        <x:v>Mia Chen</x:v>
      </x:c>
      <x:c r="O346" s="85" t="n">
        <x:v>45433</x:v>
      </x:c>
      <x:c r="P346" s="84" t="str">
        <x:v>MKT_2024_05</x:v>
      </x:c>
      <x:c r="Q346" s="84" t="str">
        <x:v>Skin Care Starter Kit</x:v>
      </x:c>
      <x:c r="R346" s="84" t="str">
        <x:v>Personal Care</x:v>
      </x:c>
    </x:row>
    <x:row r="347">
      <x:c r="A347" s="84" t="str">
        <x:v>ORD-2024-00741</x:v>
      </x:c>
      <x:c r="B347" s="85" t="n">
        <x:v>45428</x:v>
      </x:c>
      <x:c r="C347" s="84" t="str">
        <x:v>CUST-0025</x:v>
      </x:c>
      <x:c r="D347" s="84" t="str">
        <x:v>William Young</x:v>
      </x:c>
      <x:c r="E347" s="84" t="str">
        <x:v>Consumer</x:v>
      </x:c>
      <x:c r="F347" s="84" t="str">
        <x:v>Southeast</x:v>
      </x:c>
      <x:c r="G347" s="84" t="str">
        <x:v> ATLANTA </x:v>
      </x:c>
      <x:c r="H347" s="84" t="str">
        <x:v>Marketplace</x:v>
      </x:c>
      <x:c r="I347" s="84" t="str">
        <x:v>ELEC-002</x:v>
      </x:c>
      <x:c r="J347" s="86" t="n">
        <x:v>3</x:v>
      </x:c>
      <x:c r="K347" s="87" t="n">
        <x:v>0.2</x:v>
      </x:c>
      <x:c r="L347" s="84" t="str">
        <x:v>completed</x:v>
      </x:c>
      <x:c r="M347" s="84" t="str">
        <x:v>Mobile Wallet</x:v>
      </x:c>
      <x:c r="N347" s="84" t="str">
        <x:v>Noah Reed</x:v>
      </x:c>
      <x:c r="O347" s="85" t="n">
        <x:v>45435</x:v>
      </x:c>
      <x:c r="P347" s="84" t="str">
        <x:v>MKT_2024_05</x:v>
      </x:c>
      <x:c r="Q347" s="84" t="str">
        <x:v>Smartwatch</x:v>
      </x:c>
      <x:c r="R347" s="84" t="str">
        <x:v>Electronics</x:v>
      </x:c>
    </x:row>
    <x:row r="348">
      <x:c r="A348" s="84" t="str">
        <x:v>ORD-2024-01483</x:v>
      </x:c>
      <x:c r="B348" s="85" t="n">
        <x:v>45428</x:v>
      </x:c>
      <x:c r="C348" s="84" t="str">
        <x:v>CUST-0031</x:v>
      </x:c>
      <x:c r="D348" s="84" t="str">
        <x:v>Theo Smith</x:v>
      </x:c>
      <x:c r="E348" s="84" t="str">
        <x:v>Consumer</x:v>
      </x:c>
      <x:c r="F348" s="84" t="str">
        <x:v>Southeast</x:v>
      </x:c>
      <x:c r="G348" s="84" t="str">
        <x:v>Atlanta</x:v>
      </x:c>
      <x:c r="H348" s="84" t="str">
        <x:v>Retail Store</x:v>
      </x:c>
      <x:c r="I348" s="84" t="str">
        <x:v>ACCS-005</x:v>
      </x:c>
      <x:c r="J348" s="86" t="n">
        <x:v>2</x:v>
      </x:c>
      <x:c r="K348" s="87" t="n">
        <x:v>0.05</x:v>
      </x:c>
      <x:c r="L348" s="84" t="str">
        <x:v>Completed </x:v>
      </x:c>
      <x:c r="M348" s="84" t="str">
        <x:v>Debit Card</x:v>
      </x:c>
      <x:c r="N348" s="84" t="str">
        <x:v>Liam Parker</x:v>
      </x:c>
      <x:c r="O348" s="85" t="n">
        <x:v>45428</x:v>
      </x:c>
      <x:c r="P348" s="84" t="str">
        <x:v>POS_2024_05</x:v>
      </x:c>
      <x:c r="Q348" s="84" t="str">
        <x:v> PROTECTIVE PHONE CASE </x:v>
      </x:c>
      <x:c r="R348" s="84" t="str">
        <x:v>Accessories</x:v>
      </x:c>
    </x:row>
    <x:row r="349">
      <x:c r="A349" s="84" t="str">
        <x:v>ORD-2024-02082</x:v>
      </x:c>
      <x:c r="B349" s="85" t="n">
        <x:v>45428</x:v>
      </x:c>
      <x:c r="C349" s="84" t="str">
        <x:v>CUST-0534</x:v>
      </x:c>
      <x:c r="D349" s="84" t="str">
        <x:v>Chloe Evans</x:v>
      </x:c>
      <x:c r="E349" s="84" t="str">
        <x:v>Corporate</x:v>
      </x:c>
      <x:c r="F349" s="84" t="str">
        <x:v>West</x:v>
      </x:c>
      <x:c r="G349" s="84" t="str">
        <x:v>Phoenix</x:v>
      </x:c>
      <x:c r="H349" s="84" t="str">
        <x:v>Marketplace </x:v>
      </x:c>
      <x:c r="I349" s="84" t="str">
        <x:v>ELEC-002</x:v>
      </x:c>
      <x:c r="J349" s="86" t="n">
        <x:v>3</x:v>
      </x:c>
      <x:c r="K349" s="87" t="n">
        <x:v>0.05</x:v>
      </x:c>
      <x:c r="L349" s="84" t="str">
        <x:v>Completed</x:v>
      </x:c>
      <x:c r="M349" s="84" t="str">
        <x:v>Debit Card</x:v>
      </x:c>
      <x:c r="N349" s="84" t="str">
        <x:v>Nora Kim</x:v>
      </x:c>
      <x:c r="O349" s="85" t="n">
        <x:v>45433</x:v>
      </x:c>
      <x:c r="P349" s="84" t="str">
        <x:v>MKT_2024_05</x:v>
      </x:c>
      <x:c r="Q349" s="84" t="str">
        <x:v>Smartwatch</x:v>
      </x:c>
      <x:c r="R349" s="84" t="str">
        <x:v>electronics</x:v>
      </x:c>
    </x:row>
    <x:row r="350">
      <x:c r="A350" s="84" t="str">
        <x:v>ORD-2024-00225</x:v>
      </x:c>
      <x:c r="B350" s="85" t="n">
        <x:v>45429</x:v>
      </x:c>
      <x:c r="C350" s="84" t="str">
        <x:v>CUST-0382</x:v>
      </x:c>
      <x:c r="D350" s="84" t="str">
        <x:v>Samuel Adams</x:v>
      </x:c>
      <x:c r="E350" s="84" t="str">
        <x:v>Corporate</x:v>
      </x:c>
      <x:c r="F350" s="84" t="str">
        <x:v>Northeast</x:v>
      </x:c>
      <x:c r="G350" s="84" t="str">
        <x:v>Boston</x:v>
      </x:c>
      <x:c r="H350" s="84" t="str">
        <x:v>Marketplace</x:v>
      </x:c>
      <x:c r="I350" s="84" t="str">
        <x:v>FITN-001</x:v>
      </x:c>
      <x:c r="J350" s="86" t="n">
        <x:v>2</x:v>
      </x:c>
      <x:c r="K350" s="87" t="n">
        <x:v>0.15</x:v>
      </x:c>
      <x:c r="L350" s="84" t="str">
        <x:v>Completed</x:v>
      </x:c>
      <x:c r="M350" s="84" t="str">
        <x:v>Credit Card</x:v>
      </x:c>
      <x:c r="N350" s="84" t="str">
        <x:v>Maya Brooks</x:v>
      </x:c>
      <x:c r="O350" s="85" t="n">
        <x:v>45433</x:v>
      </x:c>
      <x:c r="P350" s="84" t="str">
        <x:v>MKT_2024_05</x:v>
      </x:c>
      <x:c r="Q350" s="84" t="str">
        <x:v> YOGA MAT </x:v>
      </x:c>
      <x:c r="R350" s="84" t="str">
        <x:v>Fitness</x:v>
      </x:c>
    </x:row>
    <x:row r="351">
      <x:c r="A351" s="84" t="str">
        <x:v>ORD-2024-01124</x:v>
      </x:c>
      <x:c r="B351" s="85" t="n">
        <x:v>45429</x:v>
      </x:c>
      <x:c r="C351" s="84" t="str">
        <x:v>CUST-0309</x:v>
      </x:c>
      <x:c r="D351" s="84" t="str">
        <x:v>Jasmine Garcia</x:v>
      </x:c>
      <x:c r="E351" s="84" t="str">
        <x:v>Consumer</x:v>
      </x:c>
      <x:c r="F351" s="84" t="str">
        <x:v>Northeast </x:v>
      </x:c>
      <x:c r="G351" s="84" t="str">
        <x:v>Boston</x:v>
      </x:c>
      <x:c r="H351" s="84" t="str">
        <x:v>Retail Store</x:v>
      </x:c>
      <x:c r="I351" s="84" t="str">
        <x:v>ELEC-005</x:v>
      </x:c>
      <x:c r="J351" s="86" t="n">
        <x:v>2</x:v>
      </x:c>
      <x:c r="K351" s="87" t="n">
        <x:v>0.05</x:v>
      </x:c>
      <x:c r="L351" s="84" t="str">
        <x:v>Completed</x:v>
      </x:c>
      <x:c r="M351" s="84" t="str">
        <x:v>Debit Card</x:v>
      </x:c>
      <x:c r="N351" s="84" t="str">
        <x:v>maya brooks</x:v>
      </x:c>
      <x:c r="O351" s="85" t="n">
        <x:v>45430</x:v>
      </x:c>
      <x:c r="P351" s="84" t="str">
        <x:v>POS_2024_05</x:v>
      </x:c>
      <x:c r="Q351" s="84" t="str">
        <x:v>HD Webcam</x:v>
      </x:c>
      <x:c r="R351" s="84" t="str">
        <x:v>Electronics</x:v>
      </x:c>
    </x:row>
    <x:row r="352">
      <x:c r="A352" s="84" t="str">
        <x:v>ORD-2024-01162</x:v>
      </x:c>
      <x:c r="B352" s="85" t="n">
        <x:v>45429</x:v>
      </x:c>
      <x:c r="C352" s="84" t="str">
        <x:v>CUST-0529</x:v>
      </x:c>
      <x:c r="D352" s="84" t="str">
        <x:v>grace hall</x:v>
      </x:c>
      <x:c r="E352" s="84" t="str">
        <x:v>Consumer </x:v>
      </x:c>
      <x:c r="F352" s="84" t="str">
        <x:v>Northeast</x:v>
      </x:c>
      <x:c r="G352" s="84" t="str">
        <x:v>Newark </x:v>
      </x:c>
      <x:c r="H352" s="84" t="str">
        <x:v> ONLINE </x:v>
      </x:c>
      <x:c r="I352" s="84" t="str">
        <x:v>ELEC-003</x:v>
      </x:c>
      <x:c r="J352" s="86" t="n">
        <x:v>1</x:v>
      </x:c>
      <x:c r="K352" s="87" t="n">
        <x:v>0</x:v>
      </x:c>
      <x:c r="L352" s="84" t="str">
        <x:v>Completed</x:v>
      </x:c>
      <x:c r="M352" s="84" t="str">
        <x:v>PayPal</x:v>
      </x:c>
      <x:c r="N352" s="84" t="str">
        <x:v>Maya Brooks</x:v>
      </x:c>
      <x:c r="O352" s="85" t="n">
        <x:v>45433</x:v>
      </x:c>
      <x:c r="P352" s="84" t="str">
        <x:v>WEB_2024_05</x:v>
      </x:c>
      <x:c r="Q352" s="84" t="str">
        <x:v>Bluetooth Speaker</x:v>
      </x:c>
      <x:c r="R352" s="84" t="str">
        <x:v>Electronics</x:v>
      </x:c>
    </x:row>
    <x:row r="353">
      <x:c r="A353" s="84" t="str">
        <x:v>ORD-2024-00035</x:v>
      </x:c>
      <x:c r="B353" s="85" t="n">
        <x:v>45430</x:v>
      </x:c>
      <x:c r="C353" s="84" t="str">
        <x:v>CUST-0452</x:v>
      </x:c>
      <x:c r="D353" s="84" t="str">
        <x:v>Aiden Moore</x:v>
      </x:c>
      <x:c r="E353" s="84" t="str">
        <x:v>Corporate </x:v>
      </x:c>
      <x:c r="F353" s="84" t="str">
        <x:v>Northeast</x:v>
      </x:c>
      <x:c r="G353" s="84" t="str">
        <x:v>Philadelphia </x:v>
      </x:c>
      <x:c r="H353" s="84" t="str">
        <x:v>Online</x:v>
      </x:c>
      <x:c r="I353" s="84" t="str">
        <x:v>HOME-003</x:v>
      </x:c>
      <x:c r="J353" s="86" t="n">
        <x:v>4</x:v>
      </x:c>
      <x:c r="K353" s="87" t="n">
        <x:v>0.1</x:v>
      </x:c>
      <x:c r="L353" s="84" t="str">
        <x:v>Completed</x:v>
      </x:c>
      <x:c r="M353" s="84" t="str">
        <x:v>Credit Card</x:v>
      </x:c>
      <x:c r="N353" s="84" t="str">
        <x:v>ethan cole</x:v>
      </x:c>
      <x:c r="O353" s="85" t="n">
        <x:v>45435</x:v>
      </x:c>
      <x:c r="P353" s="84" t="str">
        <x:v>WEB_2024_05</x:v>
      </x:c>
      <x:c r="Q353" s="84" t="str">
        <x:v>Countertop Blender</x:v>
      </x:c>
      <x:c r="R353" s="84" t="str">
        <x:v>Home &amp; Kitchen</x:v>
      </x:c>
    </x:row>
    <x:row r="354">
      <x:c r="A354" s="84" t="str">
        <x:v>ORD-2024-00191</x:v>
      </x:c>
      <x:c r="B354" s="85" t="n">
        <x:v>45430</x:v>
      </x:c>
      <x:c r="C354" s="84" t="str">
        <x:v>CUST-0442</x:v>
      </x:c>
      <x:c r="D354" s="84" t="str">
        <x:v>Elena Irwin</x:v>
      </x:c>
      <x:c r="E354" s="84" t="str">
        <x:v>Consumer</x:v>
      </x:c>
      <x:c r="F354" s="84" t="str">
        <x:v>Northeast</x:v>
      </x:c>
      <x:c r="G354" s="84" t="str">
        <x:v>boston</x:v>
      </x:c>
      <x:c r="H354" s="84" t="str">
        <x:v>Online</x:v>
      </x:c>
      <x:c r="I354" s="84" t="str">
        <x:v>OFFC-001</x:v>
      </x:c>
      <x:c r="J354" s="86" t="n">
        <x:v>1</x:v>
      </x:c>
      <x:c r="K354" s="87" t="n">
        <x:v>0.1</x:v>
      </x:c>
      <x:c r="L354" s="84" t="str">
        <x:v>completed</x:v>
      </x:c>
      <x:c r="M354" s="84" t="str">
        <x:v>PayPal</x:v>
      </x:c>
      <x:c r="N354" s="84" t="str">
        <x:v>Ethan Cole</x:v>
      </x:c>
      <x:c r="O354" s="85" t="n">
        <x:v>45433</x:v>
      </x:c>
      <x:c r="P354" s="84" t="str">
        <x:v>WEB_2024_05</x:v>
      </x:c>
      <x:c r="Q354" s="84" t="str">
        <x:v> ERGONOMIC CHAIR </x:v>
      </x:c>
      <x:c r="R354" s="84" t="str">
        <x:v>Office </x:v>
      </x:c>
    </x:row>
    <x:row r="355">
      <x:c r="A355" s="84" t="str">
        <x:v>ORD-2024-01204</x:v>
      </x:c>
      <x:c r="B355" s="85" t="n">
        <x:v>45430</x:v>
      </x:c>
      <x:c r="C355" s="84" t="str">
        <x:v>CUST-0147</x:v>
      </x:c>
      <x:c r="D355" s="84" t="str">
        <x:v> ISAAC KHAN </x:v>
      </x:c>
      <x:c r="E355" s="84" t="str">
        <x:v>Corporate </x:v>
      </x:c>
      <x:c r="F355" s="84" t="str">
        <x:v> NORTHEAST </x:v>
      </x:c>
      <x:c r="G355" s="84" t="str">
        <x:v>Boston </x:v>
      </x:c>
      <x:c r="H355" s="84" t="str">
        <x:v>Marketplace</x:v>
      </x:c>
      <x:c r="I355" s="84" t="str">
        <x:v>OFFC-001</x:v>
      </x:c>
      <x:c r="J355" s="86" t="n">
        <x:v>4</x:v>
      </x:c>
      <x:c r="K355" s="87" t="n">
        <x:v>0</x:v>
      </x:c>
      <x:c r="L355" s="84" t="str">
        <x:v>Completed</x:v>
      </x:c>
      <x:c r="M355" s="84" t="str">
        <x:v>Debit Card</x:v>
      </x:c>
      <x:c r="N355" s="84" t="str">
        <x:v>Ethan Cole</x:v>
      </x:c>
      <x:c r="O355" s="85" t="n">
        <x:v>45434</x:v>
      </x:c>
      <x:c r="P355" s="84" t="str">
        <x:v>MKT_2024_05</x:v>
      </x:c>
      <x:c r="Q355" s="84" t="str">
        <x:v>Ergonomic Chair</x:v>
      </x:c>
      <x:c r="R355" s="84" t="str">
        <x:v>Office</x:v>
      </x:c>
    </x:row>
    <x:row r="356">
      <x:c r="A356" s="84" t="str">
        <x:v>ORD-2024-01624</x:v>
      </x:c>
      <x:c r="B356" s="85" t="n">
        <x:v>45430</x:v>
      </x:c>
      <x:c r="C356" s="84" t="str">
        <x:v>CUST-0092</x:v>
      </x:c>
      <x:c r="D356" s="84" t="str">
        <x:v>jasmine smith</x:v>
      </x:c>
      <x:c r="E356" s="84" t="str">
        <x:v>Corporate </x:v>
      </x:c>
      <x:c r="F356" s="84" t="str">
        <x:v>Midwest</x:v>
      </x:c>
      <x:c r="G356" s="84" t="str">
        <x:v>Detroit </x:v>
      </x:c>
      <x:c r="H356" s="84" t="str">
        <x:v>Retail Store</x:v>
      </x:c>
      <x:c r="I356" s="84" t="str">
        <x:v>ELEC-003</x:v>
      </x:c>
      <x:c r="J356" s="86" t="n">
        <x:v>2</x:v>
      </x:c>
      <x:c r="K356" s="87" t="n">
        <x:v>0.15</x:v>
      </x:c>
      <x:c r="L356" s="84" t="str">
        <x:v>Completed</x:v>
      </x:c>
      <x:c r="M356" s="84" t="str">
        <x:v>Mobile Wallet</x:v>
      </x:c>
      <x:c r="N356" s="84" t="str">
        <x:v>Emma Hayes</x:v>
      </x:c>
      <x:c r="O356" s="85" t="n">
        <x:v>45430</x:v>
      </x:c>
      <x:c r="P356" s="84" t="str">
        <x:v>POS_2024_05</x:v>
      </x:c>
      <x:c r="Q356" s="84" t="str">
        <x:v>Bluetooth Speaker</x:v>
      </x:c>
      <x:c r="R356" s="84" t="str">
        <x:v>Electronics</x:v>
      </x:c>
    </x:row>
    <x:row r="357">
      <x:c r="A357" s="84" t="str">
        <x:v>ORD-2024-00419</x:v>
      </x:c>
      <x:c r="B357" s="85" t="n">
        <x:v>45431</x:v>
      </x:c>
      <x:c r="C357" s="84" t="str">
        <x:v>CUST-0340</x:v>
      </x:c>
      <x:c r="D357" s="84" t="str">
        <x:v>Nina Moore</x:v>
      </x:c>
      <x:c r="E357" s="84" t="str">
        <x:v>Consumer</x:v>
      </x:c>
      <x:c r="F357" s="84" t="str">
        <x:v>West</x:v>
      </x:c>
      <x:c r="G357" s="84" t="str">
        <x:v>Los Angeles</x:v>
      </x:c>
      <x:c r="H357" s="84" t="str">
        <x:v>Online</x:v>
      </x:c>
      <x:c r="I357" s="84" t="str">
        <x:v>ELEC-006</x:v>
      </x:c>
      <x:c r="J357" s="86" t="n">
        <x:v>2</x:v>
      </x:c>
      <x:c r="K357" s="87" t="n">
        <x:v>0.1</x:v>
      </x:c>
      <x:c r="L357" s="84" t="str">
        <x:v>Completed </x:v>
      </x:c>
      <x:c r="M357" s="84" t="str">
        <x:v> CREDIT CARD </x:v>
      </x:c>
      <x:c r="N357" s="84" t="str">
        <x:v>Nora Kim</x:v>
      </x:c>
      <x:c r="O357" s="85" t="n">
        <x:v>45437</x:v>
      </x:c>
      <x:c r="P357" s="84" t="str">
        <x:v>WEB_2024_05</x:v>
      </x:c>
      <x:c r="Q357" s="84" t="str">
        <x:v>Portable SSD</x:v>
      </x:c>
      <x:c r="R357" s="84" t="str">
        <x:v>Electronics</x:v>
      </x:c>
    </x:row>
    <x:row r="358">
      <x:c r="A358" s="84" t="str">
        <x:v>ORD-2024-00472</x:v>
      </x:c>
      <x:c r="B358" s="85" t="n">
        <x:v>45431</x:v>
      </x:c>
      <x:c r="C358" s="84" t="str">
        <x:v>CUST-0603</x:v>
      </x:c>
      <x:c r="D358" s="84" t="str">
        <x:v>Elias Roberts</x:v>
      </x:c>
      <x:c r="E358" s="84" t="str">
        <x:v>Consumer</x:v>
      </x:c>
      <x:c r="F358" s="84" t="str">
        <x:v>Northeast</x:v>
      </x:c>
      <x:c r="G358" s="84" t="str">
        <x:v>Newark</x:v>
      </x:c>
      <x:c r="H358" s="84" t="str">
        <x:v>Retail Store </x:v>
      </x:c>
      <x:c r="I358" s="84" t="str">
        <x:v>ACCS-006</x:v>
      </x:c>
      <x:c r="J358" s="86" t="n">
        <x:v>1</x:v>
      </x:c>
      <x:c r="K358" s="87" t="n">
        <x:v>0.15</x:v>
      </x:c>
      <x:c r="L358" s="84" t="str">
        <x:v>Completed</x:v>
      </x:c>
      <x:c r="M358" s="84" t="str">
        <x:v>credit card</x:v>
      </x:c>
      <x:c r="N358" s="84" t="str">
        <x:v>Maya Brooks</x:v>
      </x:c>
      <x:c r="O358" s="85" t="n">
        <x:v>45431</x:v>
      </x:c>
      <x:c r="P358" s="84" t="str">
        <x:v>POS_2024_05</x:v>
      </x:c>
      <x:c r="Q358" s="84" t="str">
        <x:v>Insulated Lunch Bag</x:v>
      </x:c>
      <x:c r="R358" s="84" t="str">
        <x:v>Accessories</x:v>
      </x:c>
    </x:row>
    <x:row r="359">
      <x:c r="A359" s="84" t="str">
        <x:v>ORD-2024-01060</x:v>
      </x:c>
      <x:c r="B359" s="85" t="n">
        <x:v>45431</x:v>
      </x:c>
      <x:c r="C359" s="84" t="str">
        <x:v>CUST-0123</x:v>
      </x:c>
      <x:c r="D359" s="84" t="str">
        <x:v>Jasmine Patel</x:v>
      </x:c>
      <x:c r="E359" s="84" t="str">
        <x:v>Consumer</x:v>
      </x:c>
      <x:c r="F359" s="84" t="str">
        <x:v>Southeast</x:v>
      </x:c>
      <x:c r="G359" s="84" t="str">
        <x:v>nashville</x:v>
      </x:c>
      <x:c r="H359" s="84" t="str">
        <x:v> RETAIL STORE </x:v>
      </x:c>
      <x:c r="I359" s="84" t="str">
        <x:v>CARE-003</x:v>
      </x:c>
      <x:c r="J359" s="86" t="n">
        <x:v>1</x:v>
      </x:c>
      <x:c r="K359" s="87" t="n">
        <x:v>0.15</x:v>
      </x:c>
      <x:c r="L359" s="84" t="str">
        <x:v>completed</x:v>
      </x:c>
      <x:c r="M359" s="84" t="str">
        <x:v>Credit Card</x:v>
      </x:c>
      <x:c r="N359" s="84" t="str">
        <x:v>Noah Reed</x:v>
      </x:c>
      <x:c r="O359" s="85" t="n">
        <x:v>45431</x:v>
      </x:c>
      <x:c r="P359" s="84" t="str">
        <x:v>POS_2024_05</x:v>
      </x:c>
      <x:c r="Q359" s="84" t="str">
        <x:v>Facial Cleanser</x:v>
      </x:c>
      <x:c r="R359" s="84" t="str">
        <x:v>Personal Care</x:v>
      </x:c>
    </x:row>
    <x:row r="360">
      <x:c r="A360" s="84" t="str">
        <x:v>ORD-2024-01748</x:v>
      </x:c>
      <x:c r="B360" s="85" t="n">
        <x:v>45431</x:v>
      </x:c>
      <x:c r="C360" s="84" t="str">
        <x:v>CUST-0395</x:v>
      </x:c>
      <x:c r="D360" s="84" t="str">
        <x:v> SARA BAKER </x:v>
      </x:c>
      <x:c r="E360" s="84" t="str">
        <x:v>Consumer</x:v>
      </x:c>
      <x:c r="F360" s="84" t="str">
        <x:v> WEST </x:v>
      </x:c>
      <x:c r="G360" s="84" t="str">
        <x:v>Denver</x:v>
      </x:c>
      <x:c r="H360" s="84" t="str">
        <x:v>Online</x:v>
      </x:c>
      <x:c r="I360" s="84" t="str">
        <x:v>CARE-004</x:v>
      </x:c>
      <x:c r="J360" s="86" t="n">
        <x:v>2</x:v>
      </x:c>
      <x:c r="K360" s="87" t="n">
        <x:v>0.05</x:v>
      </x:c>
      <x:c r="L360" s="84" t="str">
        <x:v>Completed</x:v>
      </x:c>
      <x:c r="M360" s="84" t="str">
        <x:v>paypal</x:v>
      </x:c>
      <x:c r="N360" s="84" t="str">
        <x:v>Mia Chen</x:v>
      </x:c>
      <x:c r="O360" s="85" t="n">
        <x:v>45434</x:v>
      </x:c>
      <x:c r="P360" s="84" t="str">
        <x:v>WEB_2024_05</x:v>
      </x:c>
      <x:c r="Q360" s="84" t="str">
        <x:v>Electric Toothbrush</x:v>
      </x:c>
      <x:c r="R360" s="84" t="str">
        <x:v>Personal Care</x:v>
      </x:c>
    </x:row>
    <x:row r="361">
      <x:c r="A361" s="84" t="str">
        <x:v>ORD-2024-02135</x:v>
      </x:c>
      <x:c r="B361" s="85" t="n">
        <x:v>45431</x:v>
      </x:c>
      <x:c r="C361" s="84" t="str">
        <x:v>CUST-0152</x:v>
      </x:c>
      <x:c r="D361" s="84" t="str">
        <x:v>Aiden Ortiz</x:v>
      </x:c>
      <x:c r="E361" s="84" t="str"/>
      <x:c r="F361" s="84" t="str">
        <x:v>West</x:v>
      </x:c>
      <x:c r="G361" s="84" t="str">
        <x:v> DENVER </x:v>
      </x:c>
      <x:c r="H361" s="84" t="str">
        <x:v>Retail Store</x:v>
      </x:c>
      <x:c r="I361" s="84" t="str">
        <x:v>CARE-006</x:v>
      </x:c>
      <x:c r="J361" s="86" t="n">
        <x:v>1</x:v>
      </x:c>
      <x:c r="K361" s="87" t="n">
        <x:v>0.05</x:v>
      </x:c>
      <x:c r="L361" s="84" t="str">
        <x:v>Completed</x:v>
      </x:c>
      <x:c r="M361" s="84" t="str">
        <x:v>Mobile Wallet</x:v>
      </x:c>
      <x:c r="N361" s="84" t="str">
        <x:v>Leo Martinez</x:v>
      </x:c>
      <x:c r="O361" s="85" t="n">
        <x:v>45431</x:v>
      </x:c>
      <x:c r="P361" s="84" t="str">
        <x:v>POS_2024_05</x:v>
      </x:c>
      <x:c r="Q361" s="84" t="str">
        <x:v>Percussion Massage Gun</x:v>
      </x:c>
      <x:c r="R361" s="84" t="str">
        <x:v>Personal Care</x:v>
      </x:c>
    </x:row>
    <x:row r="362">
      <x:c r="A362" s="84" t="str">
        <x:v>ORD-2024-00639</x:v>
      </x:c>
      <x:c r="B362" s="85" t="n">
        <x:v>45432</x:v>
      </x:c>
      <x:c r="C362" s="84" t="str">
        <x:v>CUST-0071</x:v>
      </x:c>
      <x:c r="D362" s="84" t="str">
        <x:v>Owen Foster</x:v>
      </x:c>
      <x:c r="E362" s="84" t="str">
        <x:v>Consumer</x:v>
      </x:c>
      <x:c r="F362" s="84" t="str">
        <x:v>Midwest</x:v>
      </x:c>
      <x:c r="G362" s="84" t="str">
        <x:v> DETROIT </x:v>
      </x:c>
      <x:c r="H362" s="84" t="str">
        <x:v>Marketplace</x:v>
      </x:c>
      <x:c r="I362" s="84" t="str">
        <x:v>HOME-005</x:v>
      </x:c>
      <x:c r="J362" s="86" t="n">
        <x:v>1</x:v>
      </x:c>
      <x:c r="K362" s="87" t="n">
        <x:v>0.1</x:v>
      </x:c>
      <x:c r="L362" s="84" t="str">
        <x:v>Completed</x:v>
      </x:c>
      <x:c r="M362" s="84" t="str">
        <x:v>Credit Card</x:v>
      </x:c>
      <x:c r="N362" s="84" t="str">
        <x:v>Lucas Grant</x:v>
      </x:c>
      <x:c r="O362" s="85" t="n">
        <x:v>45435</x:v>
      </x:c>
      <x:c r="P362" s="84" t="str">
        <x:v>MKT_2024_05</x:v>
      </x:c>
      <x:c r="Q362" s="84" t="str">
        <x:v>Cordless Vacuum</x:v>
      </x:c>
      <x:c r="R362" s="84" t="str">
        <x:v>Home &amp; Kitchen </x:v>
      </x:c>
    </x:row>
    <x:row r="363">
      <x:c r="A363" s="84" t="str">
        <x:v>ORD-2024-00725</x:v>
      </x:c>
      <x:c r="B363" s="85" t="n">
        <x:v>45432</x:v>
      </x:c>
      <x:c r="C363" s="84" t="str">
        <x:v>CUST-0550</x:v>
      </x:c>
      <x:c r="D363" s="84" t="str">
        <x:v>Samuel Young</x:v>
      </x:c>
      <x:c r="E363" s="84" t="str">
        <x:v>Consumer</x:v>
      </x:c>
      <x:c r="F363" s="84" t="str">
        <x:v>Midwest </x:v>
      </x:c>
      <x:c r="G363" s="84" t="str">
        <x:v>Minneapolis</x:v>
      </x:c>
      <x:c r="H363" s="84" t="str">
        <x:v>Online</x:v>
      </x:c>
      <x:c r="I363" s="84" t="str">
        <x:v>HOME-001</x:v>
      </x:c>
      <x:c r="J363" s="86" t="n">
        <x:v>1</x:v>
      </x:c>
      <x:c r="K363" s="87" t="n">
        <x:v>0</x:v>
      </x:c>
      <x:c r="L363" s="84" t="str">
        <x:v>Returned</x:v>
      </x:c>
      <x:c r="M363" s="84" t="str">
        <x:v> CREDIT CARD </x:v>
      </x:c>
      <x:c r="N363" s="84" t="str">
        <x:v>Zoe Turner </x:v>
      </x:c>
      <x:c r="O363" s="85" t="n">
        <x:v>45435</x:v>
      </x:c>
      <x:c r="P363" s="84" t="str">
        <x:v>WEB_2024_05</x:v>
      </x:c>
      <x:c r="Q363" s="84" t="str">
        <x:v>Air Fryer</x:v>
      </x:c>
      <x:c r="R363" s="84" t="str">
        <x:v>Home &amp; Kitchen</x:v>
      </x:c>
    </x:row>
    <x:row r="364">
      <x:c r="A364" s="84" t="str">
        <x:v>ORD-2024-00749</x:v>
      </x:c>
      <x:c r="B364" s="85" t="n">
        <x:v>45433</x:v>
      </x:c>
      <x:c r="C364" s="84" t="str">
        <x:v>CUST-0273</x:v>
      </x:c>
      <x:c r="D364" s="84" t="str">
        <x:v>Chloe Ortiz</x:v>
      </x:c>
      <x:c r="E364" s="84" t="str">
        <x:v>Consumer </x:v>
      </x:c>
      <x:c r="F364" s="84" t="str">
        <x:v>Northeast</x:v>
      </x:c>
      <x:c r="G364" s="84" t="str">
        <x:v>Newark </x:v>
      </x:c>
      <x:c r="H364" s="84" t="str">
        <x:v>Online</x:v>
      </x:c>
      <x:c r="I364" s="84" t="str">
        <x:v>HOME-003</x:v>
      </x:c>
      <x:c r="J364" s="86" t="n">
        <x:v>2</x:v>
      </x:c>
      <x:c r="K364" s="87" t="n">
        <x:v>0</x:v>
      </x:c>
      <x:c r="L364" s="84" t="str">
        <x:v>Completed</x:v>
      </x:c>
      <x:c r="M364" s="84" t="str">
        <x:v>PayPal</x:v>
      </x:c>
      <x:c r="N364" s="84" t="str">
        <x:v>Maya Brooks</x:v>
      </x:c>
      <x:c r="O364" s="85" t="n">
        <x:v>45435</x:v>
      </x:c>
      <x:c r="P364" s="84" t="str">
        <x:v>WEB_2024_05</x:v>
      </x:c>
      <x:c r="Q364" s="84" t="str">
        <x:v>Countertop Blender</x:v>
      </x:c>
      <x:c r="R364" s="84" t="str">
        <x:v>Home &amp; Kitchen</x:v>
      </x:c>
    </x:row>
    <x:row r="365">
      <x:c r="A365" s="84" t="str">
        <x:v>ORD-2024-01166</x:v>
      </x:c>
      <x:c r="B365" s="85" t="n">
        <x:v>45433</x:v>
      </x:c>
      <x:c r="C365" s="84" t="str">
        <x:v>CUST-0525</x:v>
      </x:c>
      <x:c r="D365" s="84" t="str">
        <x:v>Daniel Carter</x:v>
      </x:c>
      <x:c r="E365" s="84" t="str">
        <x:v>small business</x:v>
      </x:c>
      <x:c r="F365" s="84" t="str">
        <x:v>Midwest </x:v>
      </x:c>
      <x:c r="G365" s="84" t="str">
        <x:v> COLUMBUS </x:v>
      </x:c>
      <x:c r="H365" s="84" t="str">
        <x:v>retail store</x:v>
      </x:c>
      <x:c r="I365" s="84" t="str">
        <x:v>CARE-001</x:v>
      </x:c>
      <x:c r="J365" s="86" t="n">
        <x:v>1</x:v>
      </x:c>
      <x:c r="K365" s="87" t="n">
        <x:v>0.05</x:v>
      </x:c>
      <x:c r="L365" s="84" t="str">
        <x:v>Completed</x:v>
      </x:c>
      <x:c r="M365" s="84" t="str">
        <x:v>Mobile Wallet</x:v>
      </x:c>
      <x:c r="N365" s="84" t="str">
        <x:v>Lucas Grant </x:v>
      </x:c>
      <x:c r="O365" s="85" t="n">
        <x:v>45433</x:v>
      </x:c>
      <x:c r="P365" s="84" t="str">
        <x:v>POS_2024_05</x:v>
      </x:c>
      <x:c r="Q365" s="84" t="str">
        <x:v>Ionic Hair Dryer</x:v>
      </x:c>
      <x:c r="R365" s="84" t="str">
        <x:v>Personal Care</x:v>
      </x:c>
    </x:row>
    <x:row r="366">
      <x:c r="A366" s="84" t="str">
        <x:v>ORD-2024-01509</x:v>
      </x:c>
      <x:c r="B366" s="85" t="n">
        <x:v>45433</x:v>
      </x:c>
      <x:c r="C366" s="84" t="str">
        <x:v>CUST-0065</x:v>
      </x:c>
      <x:c r="D366" s="84" t="str">
        <x:v>Marcus Young</x:v>
      </x:c>
      <x:c r="E366" s="84" t="str">
        <x:v>Small Business</x:v>
      </x:c>
      <x:c r="F366" s="84" t="str">
        <x:v>West </x:v>
      </x:c>
      <x:c r="G366" s="84" t="str">
        <x:v>Seattle</x:v>
      </x:c>
      <x:c r="H366" s="84" t="str">
        <x:v>Online</x:v>
      </x:c>
      <x:c r="I366" s="84" t="str">
        <x:v>CARE-004</x:v>
      </x:c>
      <x:c r="J366" s="86" t="n">
        <x:v>1</x:v>
      </x:c>
      <x:c r="K366" s="87" t="n">
        <x:v>0.15</x:v>
      </x:c>
      <x:c r="L366" s="84" t="str">
        <x:v>Completed</x:v>
      </x:c>
      <x:c r="M366" s="84" t="str">
        <x:v>Credit Card</x:v>
      </x:c>
      <x:c r="N366" s="84" t="str">
        <x:v>mia chen</x:v>
      </x:c>
      <x:c r="O366" s="85" t="n">
        <x:v>45436</x:v>
      </x:c>
      <x:c r="P366" s="84" t="str">
        <x:v>WEB_2024_05</x:v>
      </x:c>
      <x:c r="Q366" s="84" t="str">
        <x:v>Electric Toothbrush</x:v>
      </x:c>
      <x:c r="R366" s="84" t="str">
        <x:v>Personal Care</x:v>
      </x:c>
    </x:row>
    <x:row r="367">
      <x:c r="A367" s="84" t="str">
        <x:v>ORD-2024-01626</x:v>
      </x:c>
      <x:c r="B367" s="85" t="n">
        <x:v>45433</x:v>
      </x:c>
      <x:c r="C367" s="84" t="str">
        <x:v>CUST-0136</x:v>
      </x:c>
      <x:c r="D367" s="84" t="str">
        <x:v>Elena Roberts</x:v>
      </x:c>
      <x:c r="E367" s="84" t="str">
        <x:v>Consumer</x:v>
      </x:c>
      <x:c r="F367" s="84" t="str">
        <x:v>Southeast</x:v>
      </x:c>
      <x:c r="G367" s="84" t="str">
        <x:v>Atlanta</x:v>
      </x:c>
      <x:c r="H367" s="84" t="str">
        <x:v>Retail Store</x:v>
      </x:c>
      <x:c r="I367" s="84" t="str">
        <x:v>ACCS-002</x:v>
      </x:c>
      <x:c r="J367" s="86" t="n">
        <x:v>3</x:v>
      </x:c>
      <x:c r="K367" s="87" t="n">
        <x:v>0</x:v>
      </x:c>
      <x:c r="L367" s="84" t="str">
        <x:v>Returned</x:v>
      </x:c>
      <x:c r="M367" s="84" t="str">
        <x:v> CREDIT CARD </x:v>
      </x:c>
      <x:c r="N367" s="84" t="str">
        <x:v>Liam Parker</x:v>
      </x:c>
      <x:c r="O367" s="85" t="n">
        <x:v>45433</x:v>
      </x:c>
      <x:c r="P367" s="84" t="str">
        <x:v>POS_2024_05</x:v>
      </x:c>
      <x:c r="Q367" s="84" t="str">
        <x:v>travel backpack</x:v>
      </x:c>
      <x:c r="R367" s="84" t="str">
        <x:v>Accessories </x:v>
      </x:c>
    </x:row>
    <x:row r="368">
      <x:c r="A368" s="84" t="str">
        <x:v>ORD-2024-00515</x:v>
      </x:c>
      <x:c r="B368" s="85" t="n">
        <x:v>45434</x:v>
      </x:c>
      <x:c r="C368" s="84" t="str">
        <x:v>CUST-0064</x:v>
      </x:c>
      <x:c r="D368" s="84" t="str">
        <x:v>Nina Walker</x:v>
      </x:c>
      <x:c r="E368" s="84" t="str">
        <x:v>Consumer</x:v>
      </x:c>
      <x:c r="F368" s="84" t="str">
        <x:v>Midwest </x:v>
      </x:c>
      <x:c r="G368" s="84" t="str">
        <x:v>Columbus</x:v>
      </x:c>
      <x:c r="H368" s="84" t="str">
        <x:v>Retail Store</x:v>
      </x:c>
      <x:c r="I368" s="84" t="str">
        <x:v>HOME-001</x:v>
      </x:c>
      <x:c r="J368" s="86" t="n">
        <x:v>1</x:v>
      </x:c>
      <x:c r="K368" s="87" t="n">
        <x:v>0</x:v>
      </x:c>
      <x:c r="L368" s="84" t="str">
        <x:v> COMPLETED </x:v>
      </x:c>
      <x:c r="M368" s="84" t="str">
        <x:v>Mobile Wallet</x:v>
      </x:c>
      <x:c r="N368" s="84" t="str">
        <x:v>Zoe Turner </x:v>
      </x:c>
      <x:c r="O368" s="85" t="n">
        <x:v>45434</x:v>
      </x:c>
      <x:c r="P368" s="84" t="str">
        <x:v>POS_2024_05</x:v>
      </x:c>
      <x:c r="Q368" s="84" t="str">
        <x:v>air fryer</x:v>
      </x:c>
      <x:c r="R368" s="84" t="str">
        <x:v>Home &amp; Kitchen</x:v>
      </x:c>
    </x:row>
    <x:row r="369">
      <x:c r="A369" s="84" t="str">
        <x:v>ORD-2024-01863</x:v>
      </x:c>
      <x:c r="B369" s="85" t="n">
        <x:v>45434</x:v>
      </x:c>
      <x:c r="C369" s="84" t="str">
        <x:v>CUST-0107</x:v>
      </x:c>
      <x:c r="D369" s="84" t="str">
        <x:v>Elena Hall</x:v>
      </x:c>
      <x:c r="E369" s="84" t="str">
        <x:v>Consumer</x:v>
      </x:c>
      <x:c r="F369" s="84" t="str">
        <x:v>Midwest</x:v>
      </x:c>
      <x:c r="G369" s="84" t="str">
        <x:v> COLUMBUS </x:v>
      </x:c>
      <x:c r="H369" s="84" t="str">
        <x:v>Retail Store</x:v>
      </x:c>
      <x:c r="I369" s="84" t="str">
        <x:v>CARE-001</x:v>
      </x:c>
      <x:c r="J369" s="86" t="n">
        <x:v>2</x:v>
      </x:c>
      <x:c r="K369" s="87" t="n">
        <x:v>0.2</x:v>
      </x:c>
      <x:c r="L369" s="84" t="str">
        <x:v>completed</x:v>
      </x:c>
      <x:c r="M369" s="84" t="str">
        <x:v>Cash</x:v>
      </x:c>
      <x:c r="N369" s="84" t="str">
        <x:v>Zoe Turner</x:v>
      </x:c>
      <x:c r="O369" s="85" t="n">
        <x:v>45434</x:v>
      </x:c>
      <x:c r="P369" s="84" t="str">
        <x:v>POS_2024_05</x:v>
      </x:c>
      <x:c r="Q369" s="84" t="str">
        <x:v>Ionic Hair Dryer </x:v>
      </x:c>
      <x:c r="R369" s="84" t="str">
        <x:v>Personal Care</x:v>
      </x:c>
    </x:row>
    <x:row r="370">
      <x:c r="A370" s="84" t="str">
        <x:v>ORD-2024-00190</x:v>
      </x:c>
      <x:c r="B370" s="85" t="n">
        <x:v>45435</x:v>
      </x:c>
      <x:c r="C370" s="84" t="str">
        <x:v>CUST-0164</x:v>
      </x:c>
      <x:c r="D370" s="84" t="str">
        <x:v>Maya Patel</x:v>
      </x:c>
      <x:c r="E370" s="84" t="str">
        <x:v>Corporate</x:v>
      </x:c>
      <x:c r="F370" s="84" t="str">
        <x:v>West</x:v>
      </x:c>
      <x:c r="G370" s="84" t="str">
        <x:v>Phoenix</x:v>
      </x:c>
      <x:c r="H370" s="84" t="str">
        <x:v>Online</x:v>
      </x:c>
      <x:c r="I370" s="84" t="str">
        <x:v>HOME-002</x:v>
      </x:c>
      <x:c r="J370" s="86" t="n">
        <x:v>3</x:v>
      </x:c>
      <x:c r="K370" s="87" t="n">
        <x:v>0</x:v>
      </x:c>
      <x:c r="L370" s="84" t="str">
        <x:v>Completed</x:v>
      </x:c>
      <x:c r="M370" s="84" t="str">
        <x:v>Mobile Wallet</x:v>
      </x:c>
      <x:c r="N370" s="84" t="str">
        <x:v> LEO MARTINEZ </x:v>
      </x:c>
      <x:c r="O370" s="85" t="n">
        <x:v>45441</x:v>
      </x:c>
      <x:c r="P370" s="84" t="str">
        <x:v>WEB_2024_05</x:v>
      </x:c>
      <x:c r="Q370" s="84" t="str">
        <x:v>Electric Kettle </x:v>
      </x:c>
      <x:c r="R370" s="84" t="str">
        <x:v>home &amp; kitchen</x:v>
      </x:c>
    </x:row>
    <x:row r="371">
      <x:c r="A371" s="84" t="str">
        <x:v>ORD-2024-01227</x:v>
      </x:c>
      <x:c r="B371" s="85" t="n">
        <x:v>45436</x:v>
      </x:c>
      <x:c r="C371" s="84" t="str">
        <x:v>CUST-0537</x:v>
      </x:c>
      <x:c r="D371" s="84" t="str">
        <x:v>Grace Young</x:v>
      </x:c>
      <x:c r="E371" s="84" t="str">
        <x:v>Consumer</x:v>
      </x:c>
      <x:c r="F371" s="84" t="str">
        <x:v>Northeast</x:v>
      </x:c>
      <x:c r="G371" s="84" t="str">
        <x:v>Philadelphia</x:v>
      </x:c>
      <x:c r="H371" s="84" t="str">
        <x:v>Marketplace</x:v>
      </x:c>
      <x:c r="I371" s="84" t="str">
        <x:v>ACCS-004</x:v>
      </x:c>
      <x:c r="J371" s="86" t="n">
        <x:v>4</x:v>
      </x:c>
      <x:c r="K371" s="87" t="n">
        <x:v>0.05</x:v>
      </x:c>
      <x:c r="L371" s="84" t="str">
        <x:v>Completed</x:v>
      </x:c>
      <x:c r="M371" s="84" t="str">
        <x:v>Credit Card</x:v>
      </x:c>
      <x:c r="N371" s="84" t="str">
        <x:v> SOFIA BENNETT </x:v>
      </x:c>
      <x:c r="O371" s="85" t="n">
        <x:v>45442</x:v>
      </x:c>
      <x:c r="P371" s="84" t="str">
        <x:v>MKT_2024_05</x:v>
      </x:c>
      <x:c r="Q371" s="84" t="str">
        <x:v>Leather Wallet</x:v>
      </x:c>
      <x:c r="R371" s="84" t="str">
        <x:v>Accessories </x:v>
      </x:c>
    </x:row>
    <x:row r="372">
      <x:c r="A372" s="84" t="str">
        <x:v>ORD-2024-02103</x:v>
      </x:c>
      <x:c r="B372" s="85" t="n">
        <x:v>45436</x:v>
      </x:c>
      <x:c r="C372" s="84" t="str">
        <x:v>CUST-0151</x:v>
      </x:c>
      <x:c r="D372" s="84" t="str">
        <x:v>Theo Davis</x:v>
      </x:c>
      <x:c r="E372" s="84" t="str">
        <x:v>Small Business</x:v>
      </x:c>
      <x:c r="F372" s="84" t="str">
        <x:v>Southeast</x:v>
      </x:c>
      <x:c r="G372" s="84" t="str">
        <x:v>Nashville</x:v>
      </x:c>
      <x:c r="H372" s="84" t="str">
        <x:v>Marketplace </x:v>
      </x:c>
      <x:c r="I372" s="84" t="str">
        <x:v>HOME-005</x:v>
      </x:c>
      <x:c r="J372" s="86" t="n">
        <x:v>1</x:v>
      </x:c>
      <x:c r="K372" s="87" t="n">
        <x:v>0.2</x:v>
      </x:c>
      <x:c r="L372" s="84" t="str">
        <x:v>Completed</x:v>
      </x:c>
      <x:c r="M372" s="84" t="str">
        <x:v>Credit Card</x:v>
      </x:c>
      <x:c r="N372" s="84" t="str">
        <x:v>noah reed</x:v>
      </x:c>
      <x:c r="O372" s="85" t="n">
        <x:v>45440</x:v>
      </x:c>
      <x:c r="P372" s="84" t="str">
        <x:v>MKT_2024_05</x:v>
      </x:c>
      <x:c r="Q372" s="84" t="str">
        <x:v>Cordless Vacuum</x:v>
      </x:c>
      <x:c r="R372" s="84" t="str">
        <x:v>Home &amp; Kitchen</x:v>
      </x:c>
    </x:row>
    <x:row r="373">
      <x:c r="A373" s="84" t="str">
        <x:v>ORD-2024-02340</x:v>
      </x:c>
      <x:c r="B373" s="85" t="n">
        <x:v>45436</x:v>
      </x:c>
      <x:c r="C373" s="84" t="str">
        <x:v>CUST-0204</x:v>
      </x:c>
      <x:c r="D373" s="84" t="str">
        <x:v>Jasmine Nelson</x:v>
      </x:c>
      <x:c r="E373" s="84" t="str">
        <x:v>Consumer</x:v>
      </x:c>
      <x:c r="F373" s="84" t="str">
        <x:v>midwest</x:v>
      </x:c>
      <x:c r="G373" s="84" t="str">
        <x:v>Minneapolis</x:v>
      </x:c>
      <x:c r="H373" s="84" t="str">
        <x:v>Marketplace</x:v>
      </x:c>
      <x:c r="I373" s="84" t="str">
        <x:v>HOME-001</x:v>
      </x:c>
      <x:c r="J373" s="86" t="n">
        <x:v>3</x:v>
      </x:c>
      <x:c r="K373" s="87" t="n">
        <x:v>0.05</x:v>
      </x:c>
      <x:c r="L373" s="84" t="str">
        <x:v>Completed</x:v>
      </x:c>
      <x:c r="M373" s="84" t="str">
        <x:v> CREDIT CARD </x:v>
      </x:c>
      <x:c r="N373" s="84" t="str">
        <x:v>Lucas Grant</x:v>
      </x:c>
      <x:c r="O373" s="85" t="n">
        <x:v>45442</x:v>
      </x:c>
      <x:c r="P373" s="84" t="str">
        <x:v>MKT_2024_05</x:v>
      </x:c>
      <x:c r="Q373" s="84" t="str">
        <x:v>Air Fryer</x:v>
      </x:c>
      <x:c r="R373" s="84" t="str">
        <x:v>Home &amp; Kitchen </x:v>
      </x:c>
    </x:row>
    <x:row r="374">
      <x:c r="A374" s="84" t="str">
        <x:v>ORD-2024-00235</x:v>
      </x:c>
      <x:c r="B374" s="85" t="n">
        <x:v>45437</x:v>
      </x:c>
      <x:c r="C374" s="84" t="str">
        <x:v>CUST-0439</x:v>
      </x:c>
      <x:c r="D374" s="84" t="str">
        <x:v> AIDEN IRWIN </x:v>
      </x:c>
      <x:c r="E374" s="84" t="str">
        <x:v>Consumer</x:v>
      </x:c>
      <x:c r="F374" s="84" t="str">
        <x:v> WEST </x:v>
      </x:c>
      <x:c r="G374" s="84" t="str">
        <x:v>los angeles</x:v>
      </x:c>
      <x:c r="H374" s="84" t="str">
        <x:v>Retail Store</x:v>
      </x:c>
      <x:c r="I374" s="84" t="str">
        <x:v>FITN-005</x:v>
      </x:c>
      <x:c r="J374" s="86" t="n">
        <x:v>1</x:v>
      </x:c>
      <x:c r="K374" s="87" t="n">
        <x:v>0</x:v>
      </x:c>
      <x:c r="L374" s="84" t="str">
        <x:v>completed</x:v>
      </x:c>
      <x:c r="M374" s="84" t="str">
        <x:v>Debit Card</x:v>
      </x:c>
      <x:c r="N374" s="84" t="str">
        <x:v>Nora Kim </x:v>
      </x:c>
      <x:c r="O374" s="85" t="n">
        <x:v>45437</x:v>
      </x:c>
      <x:c r="P374" s="84" t="str">
        <x:v>POS_2024_05</x:v>
      </x:c>
      <x:c r="Q374" s="84" t="str">
        <x:v>Sports Water Bottle</x:v>
      </x:c>
      <x:c r="R374" s="84" t="str">
        <x:v>Fitness</x:v>
      </x:c>
    </x:row>
    <x:row r="375">
      <x:c r="A375" s="84" t="str">
        <x:v>ORD-2024-01983</x:v>
      </x:c>
      <x:c r="B375" s="85" t="n">
        <x:v>45437</x:v>
      </x:c>
      <x:c r="C375" s="84" t="str">
        <x:v>CUST-0640</x:v>
      </x:c>
      <x:c r="D375" s="84" t="str">
        <x:v>Maya Patel</x:v>
      </x:c>
      <x:c r="E375" s="84" t="str">
        <x:v>Corporate</x:v>
      </x:c>
      <x:c r="F375" s="84" t="str">
        <x:v>Midwest</x:v>
      </x:c>
      <x:c r="G375" s="84" t="str">
        <x:v>Columbus</x:v>
      </x:c>
      <x:c r="H375" s="84" t="str">
        <x:v>Retail Store</x:v>
      </x:c>
      <x:c r="I375" s="84" t="str">
        <x:v>ELEC-001</x:v>
      </x:c>
      <x:c r="J375" s="86" t="n">
        <x:v>2</x:v>
      </x:c>
      <x:c r="K375" s="87" t="n">
        <x:v>0</x:v>
      </x:c>
      <x:c r="L375" s="84" t="str">
        <x:v>Completed</x:v>
      </x:c>
      <x:c r="M375" s="84" t="str">
        <x:v> CREDIT CARD </x:v>
      </x:c>
      <x:c r="N375" s="84" t="str">
        <x:v>Emma Hayes</x:v>
      </x:c>
      <x:c r="O375" s="85" t="n">
        <x:v>45437</x:v>
      </x:c>
      <x:c r="P375" s="84" t="str">
        <x:v>POS_2024_05</x:v>
      </x:c>
      <x:c r="Q375" s="84" t="str">
        <x:v>Wireless Earbuds</x:v>
      </x:c>
      <x:c r="R375" s="84" t="str">
        <x:v>electronics</x:v>
      </x:c>
    </x:row>
    <x:row r="376">
      <x:c r="A376" s="84" t="str">
        <x:v>ORD-2024-02167</x:v>
      </x:c>
      <x:c r="B376" s="85" t="n">
        <x:v>45437</x:v>
      </x:c>
      <x:c r="C376" s="84" t="str">
        <x:v>CUST-0440</x:v>
      </x:c>
      <x:c r="D376" s="84" t="str">
        <x:v>Chloe Roberts</x:v>
      </x:c>
      <x:c r="E376" s="84" t="str">
        <x:v>consumer</x:v>
      </x:c>
      <x:c r="F376" s="84" t="str">
        <x:v>Midwest </x:v>
      </x:c>
      <x:c r="G376" s="84" t="str">
        <x:v>Minneapolis</x:v>
      </x:c>
      <x:c r="H376" s="84" t="str">
        <x:v>marketplace</x:v>
      </x:c>
      <x:c r="I376" s="84" t="str">
        <x:v>CARE-006</x:v>
      </x:c>
      <x:c r="J376" s="86" t="n">
        <x:v>1</x:v>
      </x:c>
      <x:c r="K376" s="87" t="n">
        <x:v>0</x:v>
      </x:c>
      <x:c r="L376" s="84" t="str">
        <x:v>Completed</x:v>
      </x:c>
      <x:c r="M376" s="84" t="str">
        <x:v>Debit Card</x:v>
      </x:c>
      <x:c r="N376" s="84" t="str">
        <x:v>Zoe Turner </x:v>
      </x:c>
      <x:c r="O376" s="85" t="n">
        <x:v>45443</x:v>
      </x:c>
      <x:c r="P376" s="84" t="str">
        <x:v>MKT_2024_05</x:v>
      </x:c>
      <x:c r="Q376" s="84" t="str">
        <x:v>Percussion Massage Gun</x:v>
      </x:c>
      <x:c r="R376" s="84" t="str">
        <x:v>Personal Care</x:v>
      </x:c>
    </x:row>
    <x:row r="377">
      <x:c r="A377" s="84" t="str">
        <x:v>ORD-2024-01551</x:v>
      </x:c>
      <x:c r="B377" s="85" t="n">
        <x:v>45438</x:v>
      </x:c>
      <x:c r="C377" s="84" t="str">
        <x:v>CUST-0301</x:v>
      </x:c>
      <x:c r="D377" s="84" t="str">
        <x:v>Elias Smith</x:v>
      </x:c>
      <x:c r="E377" s="84" t="str">
        <x:v>consumer</x:v>
      </x:c>
      <x:c r="F377" s="84" t="str">
        <x:v>Southeast </x:v>
      </x:c>
      <x:c r="G377" s="84" t="str">
        <x:v>Charlotte</x:v>
      </x:c>
      <x:c r="H377" s="84" t="str">
        <x:v>retail store</x:v>
      </x:c>
      <x:c r="I377" s="84" t="str">
        <x:v>OFFC-004</x:v>
      </x:c>
      <x:c r="J377" s="86" t="n">
        <x:v>1</x:v>
      </x:c>
      <x:c r="K377" s="87" t="n">
        <x:v>0.1</x:v>
      </x:c>
      <x:c r="L377" s="84" t="str">
        <x:v>Completed</x:v>
      </x:c>
      <x:c r="M377" s="84" t="str">
        <x:v>Credit Card</x:v>
      </x:c>
      <x:c r="N377" s="84" t="str">
        <x:v>Noah Reed </x:v>
      </x:c>
      <x:c r="O377" s="85" t="n">
        <x:v>45438</x:v>
      </x:c>
      <x:c r="P377" s="84" t="str">
        <x:v>POS_2024_05</x:v>
      </x:c>
      <x:c r="Q377" s="84" t="str">
        <x:v> PREMIUM NOTEBOOK PACK </x:v>
      </x:c>
      <x:c r="R377" s="84" t="str">
        <x:v>Office</x:v>
      </x:c>
    </x:row>
    <x:row r="378">
      <x:c r="A378" s="84" t="str">
        <x:v>ORD-2024-00084</x:v>
      </x:c>
      <x:c r="B378" s="85" t="n">
        <x:v>45439</x:v>
      </x:c>
      <x:c r="C378" s="84" t="str">
        <x:v>CUST-0254</x:v>
      </x:c>
      <x:c r="D378" s="84" t="str">
        <x:v>marcus carter</x:v>
      </x:c>
      <x:c r="E378" s="84" t="str">
        <x:v>Consumer </x:v>
      </x:c>
      <x:c r="F378" s="84" t="str">
        <x:v>Northeast</x:v>
      </x:c>
      <x:c r="G378" s="84" t="str">
        <x:v>Boston </x:v>
      </x:c>
      <x:c r="H378" s="84" t="str">
        <x:v>Marketplace</x:v>
      </x:c>
      <x:c r="I378" s="84" t="str">
        <x:v>HOME-004</x:v>
      </x:c>
      <x:c r="J378" s="86" t="n">
        <x:v>1</x:v>
      </x:c>
      <x:c r="K378" s="87" t="n">
        <x:v>0.15</x:v>
      </x:c>
      <x:c r="L378" s="84" t="str">
        <x:v>Completed</x:v>
      </x:c>
      <x:c r="M378" s="84" t="str">
        <x:v>Credit Card</x:v>
      </x:c>
      <x:c r="N378" s="84" t="str">
        <x:v>Ethan Cole</x:v>
      </x:c>
      <x:c r="O378" s="85" t="n">
        <x:v>45442</x:v>
      </x:c>
      <x:c r="P378" s="84" t="str">
        <x:v>MKT_2024_05</x:v>
      </x:c>
      <x:c r="Q378" s="84" t="str">
        <x:v>Coffee Maker</x:v>
      </x:c>
      <x:c r="R378" s="84" t="str">
        <x:v>Home &amp; Kitchen</x:v>
      </x:c>
    </x:row>
    <x:row r="379">
      <x:c r="A379" s="84" t="str">
        <x:v>ORD-2024-00095</x:v>
      </x:c>
      <x:c r="B379" s="85" t="n">
        <x:v>45439</x:v>
      </x:c>
      <x:c r="C379" s="84" t="str">
        <x:v>CUST-0573</x:v>
      </x:c>
      <x:c r="D379" s="84" t="str">
        <x:v>priya johnson</x:v>
      </x:c>
      <x:c r="E379" s="84" t="str">
        <x:v>Corporate</x:v>
      </x:c>
      <x:c r="F379" s="84" t="str">
        <x:v>West </x:v>
      </x:c>
      <x:c r="G379" s="84" t="str">
        <x:v> LOS ANGELES </x:v>
      </x:c>
      <x:c r="H379" s="84" t="str">
        <x:v>Marketplace</x:v>
      </x:c>
      <x:c r="I379" s="84" t="str">
        <x:v>FITN-001</x:v>
      </x:c>
      <x:c r="J379" s="86" t="n">
        <x:v>2</x:v>
      </x:c>
      <x:c r="K379" s="87" t="n">
        <x:v>0.1</x:v>
      </x:c>
      <x:c r="L379" s="84" t="str">
        <x:v>Completed</x:v>
      </x:c>
      <x:c r="M379" s="84" t="str">
        <x:v>Mobile Wallet</x:v>
      </x:c>
      <x:c r="N379" s="84" t="str">
        <x:v>Leo Martinez </x:v>
      </x:c>
      <x:c r="O379" s="85" t="n">
        <x:v>45443</x:v>
      </x:c>
      <x:c r="P379" s="84" t="str">
        <x:v>MKT_2024_05</x:v>
      </x:c>
      <x:c r="Q379" s="84" t="str">
        <x:v>Yoga Mat</x:v>
      </x:c>
      <x:c r="R379" s="84" t="str">
        <x:v>Fitness</x:v>
      </x:c>
    </x:row>
    <x:row r="380">
      <x:c r="A380" s="84" t="str">
        <x:v>ORD-2024-01062</x:v>
      </x:c>
      <x:c r="B380" s="85" t="n">
        <x:v>45439</x:v>
      </x:c>
      <x:c r="C380" s="84" t="str">
        <x:v>CUST-0148</x:v>
      </x:c>
      <x:c r="D380" s="84" t="str">
        <x:v>Caleb Adams </x:v>
      </x:c>
      <x:c r="E380" s="84" t="str">
        <x:v>Small Business</x:v>
      </x:c>
      <x:c r="F380" s="84" t="str">
        <x:v>West</x:v>
      </x:c>
      <x:c r="G380" s="84" t="str">
        <x:v>Phoenix</x:v>
      </x:c>
      <x:c r="H380" s="84" t="str">
        <x:v>Online</x:v>
      </x:c>
      <x:c r="I380" s="84" t="str">
        <x:v>CARE-001</x:v>
      </x:c>
      <x:c r="J380" s="86" t="n">
        <x:v>2</x:v>
      </x:c>
      <x:c r="K380" s="87" t="n">
        <x:v>0.05</x:v>
      </x:c>
      <x:c r="L380" s="84" t="str">
        <x:v>Completed</x:v>
      </x:c>
      <x:c r="M380" s="84" t="str">
        <x:v>Mobile Wallet </x:v>
      </x:c>
      <x:c r="N380" s="84" t="str">
        <x:v>Nora Kim</x:v>
      </x:c>
      <x:c r="O380" s="85" t="n">
        <x:v>45443</x:v>
      </x:c>
      <x:c r="P380" s="84" t="str">
        <x:v>WEB_2024_05</x:v>
      </x:c>
      <x:c r="Q380" s="84" t="str">
        <x:v>Ionic Hair Dryer</x:v>
      </x:c>
      <x:c r="R380" s="84" t="str">
        <x:v>Personal Care</x:v>
      </x:c>
    </x:row>
    <x:row r="381">
      <x:c r="A381" s="84" t="str">
        <x:v>ORD-2024-01280</x:v>
      </x:c>
      <x:c r="B381" s="85" t="n">
        <x:v>45439</x:v>
      </x:c>
      <x:c r="C381" s="84" t="str">
        <x:v>CUST-0054</x:v>
      </x:c>
      <x:c r="D381" s="84" t="str">
        <x:v>Priya Roberts</x:v>
      </x:c>
      <x:c r="E381" s="84" t="str">
        <x:v>Consumer</x:v>
      </x:c>
      <x:c r="F381" s="84" t="str">
        <x:v>West</x:v>
      </x:c>
      <x:c r="G381" s="84" t="str">
        <x:v>phoenix</x:v>
      </x:c>
      <x:c r="H381" s="84" t="str">
        <x:v>Retail Store</x:v>
      </x:c>
      <x:c r="I381" s="84" t="str">
        <x:v>FITN-002</x:v>
      </x:c>
      <x:c r="J381" s="86" t="n">
        <x:v>1</x:v>
      </x:c>
      <x:c r="K381" s="87" t="n">
        <x:v>0.05</x:v>
      </x:c>
      <x:c r="L381" s="84" t="str">
        <x:v> COMPLETED </x:v>
      </x:c>
      <x:c r="M381" s="84" t="str">
        <x:v>Credit Card</x:v>
      </x:c>
      <x:c r="N381" s="84" t="str">
        <x:v>Mia Chen</x:v>
      </x:c>
      <x:c r="O381" s="85" t="n">
        <x:v>45440</x:v>
      </x:c>
      <x:c r="P381" s="84" t="str">
        <x:v>POS_2024_05</x:v>
      </x:c>
      <x:c r="Q381" s="84" t="str">
        <x:v>Adjustable Dumbbell Set</x:v>
      </x:c>
      <x:c r="R381" s="84" t="str">
        <x:v>Fitness</x:v>
      </x:c>
    </x:row>
    <x:row r="382">
      <x:c r="A382" s="84" t="str">
        <x:v>ORD-2024-01492</x:v>
      </x:c>
      <x:c r="B382" s="85" t="n">
        <x:v>45439</x:v>
      </x:c>
      <x:c r="C382" s="84" t="str">
        <x:v>CUST-0379</x:v>
      </x:c>
      <x:c r="D382" s="84" t="str">
        <x:v>sara adams</x:v>
      </x:c>
      <x:c r="E382" s="84" t="str">
        <x:v>Consumer</x:v>
      </x:c>
      <x:c r="F382" s="84" t="str">
        <x:v>Southeast</x:v>
      </x:c>
      <x:c r="G382" s="84" t="str">
        <x:v>Atlanta</x:v>
      </x:c>
      <x:c r="H382" s="84" t="str">
        <x:v>Retail Store</x:v>
      </x:c>
      <x:c r="I382" s="84" t="str">
        <x:v>HOME-002</x:v>
      </x:c>
      <x:c r="J382" s="86" t="n">
        <x:v>3</x:v>
      </x:c>
      <x:c r="K382" s="87" t="n">
        <x:v>0.05</x:v>
      </x:c>
      <x:c r="L382" s="84" t="str">
        <x:v>Completed</x:v>
      </x:c>
      <x:c r="M382" s="84" t="str">
        <x:v>Debit Card</x:v>
      </x:c>
      <x:c r="N382" s="84" t="str">
        <x:v>Liam Parker</x:v>
      </x:c>
      <x:c r="O382" s="85" t="n">
        <x:v>45439</x:v>
      </x:c>
      <x:c r="P382" s="84" t="str">
        <x:v>POS_2024_05</x:v>
      </x:c>
      <x:c r="Q382" s="84" t="str">
        <x:v>Electric Kettle </x:v>
      </x:c>
      <x:c r="R382" s="84" t="str">
        <x:v>Home &amp; Kitchen</x:v>
      </x:c>
    </x:row>
    <x:row r="383">
      <x:c r="A383" s="84" t="str">
        <x:v>ORD-2024-01538</x:v>
      </x:c>
      <x:c r="B383" s="85" t="n">
        <x:v>45439</x:v>
      </x:c>
      <x:c r="C383" s="84" t="str">
        <x:v>CUST-0406</x:v>
      </x:c>
      <x:c r="D383" s="84" t="str">
        <x:v>Marcus Garcia </x:v>
      </x:c>
      <x:c r="E383" s="84" t="str">
        <x:v>Small Business</x:v>
      </x:c>
      <x:c r="F383" s="84" t="str">
        <x:v>Northeast</x:v>
      </x:c>
      <x:c r="G383" s="84" t="str">
        <x:v>Boston</x:v>
      </x:c>
      <x:c r="H383" s="84" t="str">
        <x:v>Online</x:v>
      </x:c>
      <x:c r="I383" s="84" t="str">
        <x:v>ELEC-006</x:v>
      </x:c>
      <x:c r="J383" s="86" t="n">
        <x:v>1</x:v>
      </x:c>
      <x:c r="K383" s="87" t="n">
        <x:v>0</x:v>
      </x:c>
      <x:c r="L383" s="84" t="str">
        <x:v>Completed</x:v>
      </x:c>
      <x:c r="M383" s="84" t="str">
        <x:v>Debit Card </x:v>
      </x:c>
      <x:c r="N383" s="84" t="str">
        <x:v>Maya Brooks</x:v>
      </x:c>
      <x:c r="O383" s="85" t="n">
        <x:v>45442</x:v>
      </x:c>
      <x:c r="P383" s="84" t="str">
        <x:v>WEB_2024_05</x:v>
      </x:c>
      <x:c r="Q383" s="84" t="str">
        <x:v>portable ssd</x:v>
      </x:c>
      <x:c r="R383" s="84" t="str">
        <x:v>Electronics</x:v>
      </x:c>
    </x:row>
    <x:row r="384">
      <x:c r="A384" s="84" t="str">
        <x:v>ORD-2024-01609</x:v>
      </x:c>
      <x:c r="B384" s="85" t="n">
        <x:v>45439</x:v>
      </x:c>
      <x:c r="C384" s="84" t="str">
        <x:v>CUST-0541</x:v>
      </x:c>
      <x:c r="D384" s="84" t="str">
        <x:v>Caleb Adams</x:v>
      </x:c>
      <x:c r="E384" s="84" t="str">
        <x:v>Small Business</x:v>
      </x:c>
      <x:c r="F384" s="84" t="str">
        <x:v>Northeast</x:v>
      </x:c>
      <x:c r="G384" s="84" t="str">
        <x:v>Newark</x:v>
      </x:c>
      <x:c r="H384" s="84" t="str">
        <x:v>Online</x:v>
      </x:c>
      <x:c r="I384" s="84" t="str">
        <x:v>HOME-003</x:v>
      </x:c>
      <x:c r="J384" s="86" t="n">
        <x:v>2</x:v>
      </x:c>
      <x:c r="K384" s="87" t="n">
        <x:v>0.15</x:v>
      </x:c>
      <x:c r="L384" s="84" t="str">
        <x:v>Completed </x:v>
      </x:c>
      <x:c r="M384" s="84" t="str">
        <x:v> CREDIT CARD </x:v>
      </x:c>
      <x:c r="N384" s="84" t="str">
        <x:v>Sofia Bennett</x:v>
      </x:c>
      <x:c r="O384" s="85" t="n">
        <x:v>45441</x:v>
      </x:c>
      <x:c r="P384" s="84" t="str">
        <x:v>WEB_2024_05</x:v>
      </x:c>
      <x:c r="Q384" s="84" t="str">
        <x:v>Countertop Blender</x:v>
      </x:c>
      <x:c r="R384" s="84" t="str">
        <x:v>home &amp; kitchen</x:v>
      </x:c>
    </x:row>
    <x:row r="385">
      <x:c r="A385" s="84" t="str">
        <x:v>ORD-2024-00415</x:v>
      </x:c>
      <x:c r="B385" s="85" t="n">
        <x:v>45440</x:v>
      </x:c>
      <x:c r="C385" s="84" t="str">
        <x:v>CUST-0197</x:v>
      </x:c>
      <x:c r="D385" s="84" t="str">
        <x:v>Marcus Patel</x:v>
      </x:c>
      <x:c r="E385" s="84" t="str">
        <x:v>Corporate</x:v>
      </x:c>
      <x:c r="F385" s="84" t="str">
        <x:v>midwest</x:v>
      </x:c>
      <x:c r="G385" s="84" t="str">
        <x:v>Chicago</x:v>
      </x:c>
      <x:c r="H385" s="84" t="str">
        <x:v>Retail Store</x:v>
      </x:c>
      <x:c r="I385" s="84" t="str">
        <x:v>CARE-003</x:v>
      </x:c>
      <x:c r="J385" s="86" t="n">
        <x:v>1</x:v>
      </x:c>
      <x:c r="K385" s="87" t="n">
        <x:v>0</x:v>
      </x:c>
      <x:c r="L385" s="84" t="str">
        <x:v>Completed</x:v>
      </x:c>
      <x:c r="M385" s="84" t="str">
        <x:v>Mobile Wallet</x:v>
      </x:c>
      <x:c r="N385" s="84" t="str">
        <x:v>Emma Hayes</x:v>
      </x:c>
      <x:c r="O385" s="85" t="n">
        <x:v>45440</x:v>
      </x:c>
      <x:c r="P385" s="84" t="str">
        <x:v>POS_2024_05</x:v>
      </x:c>
      <x:c r="Q385" s="84" t="str">
        <x:v>Facial Cleanser</x:v>
      </x:c>
      <x:c r="R385" s="84" t="str">
        <x:v>Personal Care </x:v>
      </x:c>
    </x:row>
    <x:row r="386">
      <x:c r="A386" s="84" t="str">
        <x:v>ORD-2024-00822</x:v>
      </x:c>
      <x:c r="B386" s="85" t="n">
        <x:v>45440</x:v>
      </x:c>
      <x:c r="C386" s="84" t="str">
        <x:v>CUST-0106</x:v>
      </x:c>
      <x:c r="D386" s="84" t="str">
        <x:v>Zara Johnson</x:v>
      </x:c>
      <x:c r="E386" s="84" t="str">
        <x:v>Consumer</x:v>
      </x:c>
      <x:c r="F386" s="84" t="str">
        <x:v>west</x:v>
      </x:c>
      <x:c r="G386" s="84" t="str">
        <x:v>Denver</x:v>
      </x:c>
      <x:c r="H386" s="84" t="str">
        <x:v> MARKETPLACE </x:v>
      </x:c>
      <x:c r="I386" s="84" t="str">
        <x:v>HOME-004</x:v>
      </x:c>
      <x:c r="J386" s="86" t="n">
        <x:v>1</x:v>
      </x:c>
      <x:c r="K386" s="87" t="n">
        <x:v>0.1</x:v>
      </x:c>
      <x:c r="L386" s="84" t="str">
        <x:v>Completed</x:v>
      </x:c>
      <x:c r="M386" s="84" t="str">
        <x:v>PayPal</x:v>
      </x:c>
      <x:c r="N386" s="84" t="str">
        <x:v>Mia Chen</x:v>
      </x:c>
      <x:c r="O386" s="85" t="n">
        <x:v>45447</x:v>
      </x:c>
      <x:c r="P386" s="84" t="str">
        <x:v>MKT_2024_05</x:v>
      </x:c>
      <x:c r="Q386" s="84" t="str">
        <x:v>Coffee Maker</x:v>
      </x:c>
      <x:c r="R386" s="84" t="str">
        <x:v>Home &amp; Kitchen</x:v>
      </x:c>
    </x:row>
    <x:row r="387">
      <x:c r="A387" s="84" t="str">
        <x:v>ORD-2024-00877</x:v>
      </x:c>
      <x:c r="B387" s="85" t="n">
        <x:v>45441</x:v>
      </x:c>
      <x:c r="C387" s="84" t="str">
        <x:v>CUST-0074</x:v>
      </x:c>
      <x:c r="D387" s="84" t="str">
        <x:v>Grace Taylor</x:v>
      </x:c>
      <x:c r="E387" s="84" t="str">
        <x:v>Consumer</x:v>
      </x:c>
      <x:c r="F387" s="84" t="str">
        <x:v>west</x:v>
      </x:c>
      <x:c r="G387" s="84" t="str">
        <x:v> SEATTLE </x:v>
      </x:c>
      <x:c r="H387" s="84" t="str">
        <x:v>Online</x:v>
      </x:c>
      <x:c r="I387" s="84" t="str">
        <x:v>ELEC-003</x:v>
      </x:c>
      <x:c r="J387" s="86" t="n">
        <x:v>1</x:v>
      </x:c>
      <x:c r="K387" s="87" t="n">
        <x:v>0.2</x:v>
      </x:c>
      <x:c r="L387" s="84" t="str">
        <x:v>Returned</x:v>
      </x:c>
      <x:c r="M387" s="84" t="str">
        <x:v>Credit Card</x:v>
      </x:c>
      <x:c r="N387" s="84" t="str">
        <x:v>Leo Martinez</x:v>
      </x:c>
      <x:c r="O387" s="85" t="n">
        <x:v>45446</x:v>
      </x:c>
      <x:c r="P387" s="84" t="str">
        <x:v>WEB_2024_05</x:v>
      </x:c>
      <x:c r="Q387" s="84" t="str">
        <x:v>Bluetooth Speaker</x:v>
      </x:c>
      <x:c r="R387" s="84" t="str">
        <x:v>Electronics </x:v>
      </x:c>
    </x:row>
    <x:row r="388">
      <x:c r="A388" s="84" t="str">
        <x:v>ORD-2024-01287</x:v>
      </x:c>
      <x:c r="B388" s="85" t="n">
        <x:v>45441</x:v>
      </x:c>
      <x:c r="C388" s="84" t="str">
        <x:v>CUST-0529</x:v>
      </x:c>
      <x:c r="D388" s="84" t="str">
        <x:v>Grace Hall</x:v>
      </x:c>
      <x:c r="E388" s="84" t="str">
        <x:v>consumer</x:v>
      </x:c>
      <x:c r="F388" s="84" t="str">
        <x:v>Northeast</x:v>
      </x:c>
      <x:c r="G388" s="84" t="str">
        <x:v>Newark</x:v>
      </x:c>
      <x:c r="H388" s="84" t="str">
        <x:v>retail store</x:v>
      </x:c>
      <x:c r="I388" s="84" t="str">
        <x:v>FITN-004</x:v>
      </x:c>
      <x:c r="J388" s="86" t="n">
        <x:v>1</x:v>
      </x:c>
      <x:c r="K388" s="87" t="n">
        <x:v>0.05</x:v>
      </x:c>
      <x:c r="L388" s="84" t="str">
        <x:v>Completed </x:v>
      </x:c>
      <x:c r="M388" s="84" t="str">
        <x:v>Debit Card</x:v>
      </x:c>
      <x:c r="N388" s="84" t="str">
        <x:v>Maya Brooks</x:v>
      </x:c>
      <x:c r="O388" s="85" t="n">
        <x:v>45441</x:v>
      </x:c>
      <x:c r="P388" s="84" t="str">
        <x:v>POS_2024_05</x:v>
      </x:c>
      <x:c r="Q388" s="84" t="str">
        <x:v>Fitness Tracker</x:v>
      </x:c>
      <x:c r="R388" s="84" t="str">
        <x:v>Fitness</x:v>
      </x:c>
    </x:row>
    <x:row r="389">
      <x:c r="A389" s="84" t="str">
        <x:v>ORD-2024-01808</x:v>
      </x:c>
      <x:c r="B389" s="85" t="n">
        <x:v>45441</x:v>
      </x:c>
      <x:c r="C389" s="84" t="str">
        <x:v>CUST-0339</x:v>
      </x:c>
      <x:c r="D389" s="84" t="str">
        <x:v>Marcus Walker</x:v>
      </x:c>
      <x:c r="E389" s="84" t="str">
        <x:v>Consumer</x:v>
      </x:c>
      <x:c r="F389" s="84" t="str">
        <x:v>Midwest</x:v>
      </x:c>
      <x:c r="G389" s="84" t="str">
        <x:v>columbus</x:v>
      </x:c>
      <x:c r="H389" s="84" t="str">
        <x:v> RETAIL STORE </x:v>
      </x:c>
      <x:c r="I389" s="84" t="str">
        <x:v>HOME-005</x:v>
      </x:c>
      <x:c r="J389" s="86" t="n">
        <x:v>1</x:v>
      </x:c>
      <x:c r="K389" s="87" t="n">
        <x:v>0.1</x:v>
      </x:c>
      <x:c r="L389" s="84" t="str">
        <x:v>completed</x:v>
      </x:c>
      <x:c r="M389" s="84" t="str">
        <x:v>Mobile Wallet</x:v>
      </x:c>
      <x:c r="N389" s="84" t="str">
        <x:v>Emma Hayes</x:v>
      </x:c>
      <x:c r="O389" s="85" t="n">
        <x:v>45442</x:v>
      </x:c>
      <x:c r="P389" s="84" t="str">
        <x:v>POS_2024_05</x:v>
      </x:c>
      <x:c r="Q389" s="84" t="str">
        <x:v>Cordless Vacuum</x:v>
      </x:c>
      <x:c r="R389" s="84" t="str">
        <x:v>Home &amp; Kitchen </x:v>
      </x:c>
    </x:row>
    <x:row r="390">
      <x:c r="A390" s="84" t="str">
        <x:v>ORD-2024-01972</x:v>
      </x:c>
      <x:c r="B390" s="85" t="n">
        <x:v>45441</x:v>
      </x:c>
      <x:c r="C390" s="84" t="str">
        <x:v>CUST-0021</x:v>
      </x:c>
      <x:c r="D390" s="84" t="str">
        <x:v>Elena Adams </x:v>
      </x:c>
      <x:c r="E390" s="84" t="str">
        <x:v> CONSUMER </x:v>
      </x:c>
      <x:c r="F390" s="84" t="str">
        <x:v>West</x:v>
      </x:c>
      <x:c r="G390" s="84" t="str">
        <x:v>Denver</x:v>
      </x:c>
      <x:c r="H390" s="84" t="str">
        <x:v>Online</x:v>
      </x:c>
      <x:c r="I390" s="84" t="str">
        <x:v>ELEC-005</x:v>
      </x:c>
      <x:c r="J390" s="86" t="n">
        <x:v>1</x:v>
      </x:c>
      <x:c r="K390" s="87" t="n">
        <x:v>0</x:v>
      </x:c>
      <x:c r="L390" s="84" t="str">
        <x:v>Completed</x:v>
      </x:c>
      <x:c r="M390" s="84" t="str">
        <x:v>Credit Card </x:v>
      </x:c>
      <x:c r="N390" s="84" t="str">
        <x:v>Nora Kim</x:v>
      </x:c>
      <x:c r="O390" s="85" t="n">
        <x:v>45445</x:v>
      </x:c>
      <x:c r="P390" s="84" t="str">
        <x:v>WEB_2024_05</x:v>
      </x:c>
      <x:c r="Q390" s="84" t="str">
        <x:v>HD Webcam</x:v>
      </x:c>
      <x:c r="R390" s="84" t="str">
        <x:v>electronics</x:v>
      </x:c>
    </x:row>
    <x:row r="391">
      <x:c r="A391" s="84" t="str">
        <x:v>ORD-2024-01446</x:v>
      </x:c>
      <x:c r="B391" s="85" t="n">
        <x:v>45442</x:v>
      </x:c>
      <x:c r="C391" s="84" t="str">
        <x:v>CUST-0051</x:v>
      </x:c>
      <x:c r="D391" s="84" t="str">
        <x:v>Marcus Moore</x:v>
      </x:c>
      <x:c r="E391" s="84" t="str">
        <x:v>Consumer</x:v>
      </x:c>
      <x:c r="F391" s="84" t="str">
        <x:v>West </x:v>
      </x:c>
      <x:c r="G391" s="84" t="str">
        <x:v>Seattle</x:v>
      </x:c>
      <x:c r="H391" s="84" t="str">
        <x:v>Online</x:v>
      </x:c>
      <x:c r="I391" s="84" t="str">
        <x:v>CARE-001</x:v>
      </x:c>
      <x:c r="J391" s="86" t="n">
        <x:v>1</x:v>
      </x:c>
      <x:c r="K391" s="87" t="n">
        <x:v>0.15</x:v>
      </x:c>
      <x:c r="L391" s="84" t="str">
        <x:v>Completed</x:v>
      </x:c>
      <x:c r="M391" s="84" t="str">
        <x:v>Credit Card</x:v>
      </x:c>
      <x:c r="N391" s="84" t="str">
        <x:v>Mia Chen </x:v>
      </x:c>
      <x:c r="O391" s="85" t="n">
        <x:v>45447</x:v>
      </x:c>
      <x:c r="P391" s="84" t="str">
        <x:v>WEB_2024_05</x:v>
      </x:c>
      <x:c r="Q391" s="84" t="str">
        <x:v>Ionic Hair Dryer</x:v>
      </x:c>
      <x:c r="R391" s="84" t="str">
        <x:v>Personal Care</x:v>
      </x:c>
    </x:row>
    <x:row r="392">
      <x:c r="A392" s="84" t="str">
        <x:v>ORD-2024-01459</x:v>
      </x:c>
      <x:c r="B392" s="85" t="n">
        <x:v>45442</x:v>
      </x:c>
      <x:c r="C392" s="84" t="str">
        <x:v>CUST-0385</x:v>
      </x:c>
      <x:c r="D392" s="84" t="str">
        <x:v> ELIAS GARCIA </x:v>
      </x:c>
      <x:c r="E392" s="84" t="str">
        <x:v>Corporate</x:v>
      </x:c>
      <x:c r="F392" s="84" t="str">
        <x:v> SOUTHEAST </x:v>
      </x:c>
      <x:c r="G392" s="84" t="str">
        <x:v>Atlanta</x:v>
      </x:c>
      <x:c r="H392" s="84" t="str">
        <x:v>Online </x:v>
      </x:c>
      <x:c r="I392" s="84" t="str">
        <x:v>HOME-003</x:v>
      </x:c>
      <x:c r="J392" s="86" t="n">
        <x:v>2</x:v>
      </x:c>
      <x:c r="K392" s="87" t="n">
        <x:v>0</x:v>
      </x:c>
      <x:c r="L392" s="84" t="str">
        <x:v>Completed</x:v>
      </x:c>
      <x:c r="M392" s="84" t="str">
        <x:v>Credit Card</x:v>
      </x:c>
      <x:c r="N392" s="84" t="str">
        <x:v>Noah Reed</x:v>
      </x:c>
      <x:c r="O392" s="85" t="n">
        <x:v>45447</x:v>
      </x:c>
      <x:c r="P392" s="84" t="str">
        <x:v>WEB_2024_05</x:v>
      </x:c>
      <x:c r="Q392" s="84" t="str">
        <x:v>Countertop Blender</x:v>
      </x:c>
      <x:c r="R392" s="84" t="str">
        <x:v>Home &amp; Kitchen</x:v>
      </x:c>
    </x:row>
    <x:row r="393">
      <x:c r="A393" s="84" t="str">
        <x:v>ORD-2024-01726</x:v>
      </x:c>
      <x:c r="B393" s="85" t="n">
        <x:v>45442</x:v>
      </x:c>
      <x:c r="C393" s="84" t="str">
        <x:v>CUST-0158</x:v>
      </x:c>
      <x:c r="D393" s="84" t="str">
        <x:v>Nina Moore</x:v>
      </x:c>
      <x:c r="E393" s="84" t="str">
        <x:v>Consumer</x:v>
      </x:c>
      <x:c r="F393" s="84" t="str">
        <x:v>Northeast </x:v>
      </x:c>
      <x:c r="G393" s="84" t="str">
        <x:v>Newark</x:v>
      </x:c>
      <x:c r="H393" s="84" t="str">
        <x:v>Online</x:v>
      </x:c>
      <x:c r="I393" s="84" t="str">
        <x:v>OFFC-003</x:v>
      </x:c>
      <x:c r="J393" s="86" t="n">
        <x:v>1</x:v>
      </x:c>
      <x:c r="K393" s="87" t="n">
        <x:v>0.15</x:v>
      </x:c>
      <x:c r="L393" s="84" t="str">
        <x:v>Completed</x:v>
      </x:c>
      <x:c r="M393" s="84" t="str">
        <x:v>debit card</x:v>
      </x:c>
      <x:c r="N393" s="84" t="str">
        <x:v>Ethan Cole </x:v>
      </x:c>
      <x:c r="O393" s="85" t="n">
        <x:v>45447</x:v>
      </x:c>
      <x:c r="P393" s="84" t="str">
        <x:v>WEB_2024_05</x:v>
      </x:c>
      <x:c r="Q393" s="84" t="str">
        <x:v>LED Desk Lamp</x:v>
      </x:c>
      <x:c r="R393" s="84" t="str">
        <x:v>Office</x:v>
      </x:c>
    </x:row>
    <x:row r="394">
      <x:c r="A394" s="84" t="str">
        <x:v>ORD-2024-01855</x:v>
      </x:c>
      <x:c r="B394" s="85" t="n">
        <x:v>45443</x:v>
      </x:c>
      <x:c r="C394" s="84" t="str">
        <x:v>CUST-0154</x:v>
      </x:c>
      <x:c r="D394" s="84" t="str">
        <x:v>priya moore</x:v>
      </x:c>
      <x:c r="E394" s="84" t="str">
        <x:v>Consumer </x:v>
      </x:c>
      <x:c r="F394" s="84" t="str">
        <x:v>West</x:v>
      </x:c>
      <x:c r="G394" s="84" t="str">
        <x:v>Denver </x:v>
      </x:c>
      <x:c r="H394" s="84" t="str">
        <x:v>Online</x:v>
      </x:c>
      <x:c r="I394" s="84" t="str">
        <x:v>ACCS-003</x:v>
      </x:c>
      <x:c r="J394" s="86" t="n">
        <x:v>1</x:v>
      </x:c>
      <x:c r="K394" s="87" t="n">
        <x:v>0.15</x:v>
      </x:c>
      <x:c r="L394" s="84" t="str">
        <x:v>Completed</x:v>
      </x:c>
      <x:c r="M394" s="84" t="str">
        <x:v>Credit Card</x:v>
      </x:c>
      <x:c r="N394" s="84" t="str">
        <x:v>Nora Kim</x:v>
      </x:c>
      <x:c r="O394" s="85" t="n">
        <x:v>45447</x:v>
      </x:c>
      <x:c r="P394" s="84" t="str">
        <x:v>WEB_2024_05</x:v>
      </x:c>
      <x:c r="Q394" s="84" t="str">
        <x:v>Polarized Sunglasses</x:v>
      </x:c>
      <x:c r="R394" s="84" t="str">
        <x:v>Accessories</x:v>
      </x:c>
    </x:row>
    <x:row r="395">
      <x:c r="A395" s="84" t="str">
        <x:v>ORD-2024-02049</x:v>
      </x:c>
      <x:c r="B395" s="85" t="n">
        <x:v>45443</x:v>
      </x:c>
      <x:c r="C395" s="84" t="str">
        <x:v>CUST-0374</x:v>
      </x:c>
      <x:c r="D395" s="84" t="str">
        <x:v>Priya Lewis </x:v>
      </x:c>
      <x:c r="E395" s="84" t="str">
        <x:v>Corporate</x:v>
      </x:c>
      <x:c r="F395" s="84" t="str">
        <x:v>Southeast</x:v>
      </x:c>
      <x:c r="G395" s="84" t="str">
        <x:v>Miami</x:v>
      </x:c>
      <x:c r="H395" s="84" t="str">
        <x:v>Online</x:v>
      </x:c>
      <x:c r="I395" s="84" t="str">
        <x:v>ELEC-001</x:v>
      </x:c>
      <x:c r="J395" s="86" t="n">
        <x:v>6</x:v>
      </x:c>
      <x:c r="K395" s="87" t="n">
        <x:v>0</x:v>
      </x:c>
      <x:c r="L395" s="84" t="str">
        <x:v>Completed</x:v>
      </x:c>
      <x:c r="M395" s="84" t="str">
        <x:v>PayPal </x:v>
      </x:c>
      <x:c r="N395" s="84" t="str">
        <x:v>Ava Mitchell</x:v>
      </x:c>
      <x:c r="O395" s="85" t="n">
        <x:v>45449</x:v>
      </x:c>
      <x:c r="P395" s="84" t="str">
        <x:v>WEB_2024_05</x:v>
      </x:c>
      <x:c r="Q395" s="84" t="str">
        <x:v>Wireless Earbuds</x:v>
      </x:c>
      <x:c r="R395" s="84" t="str">
        <x:v>electronics</x:v>
      </x:c>
    </x:row>
    <x:row r="396">
      <x:c r="A396" s="84" t="str">
        <x:v>ORD-2024-02037</x:v>
      </x:c>
      <x:c r="B396" s="85" t="n">
        <x:v>45444</x:v>
      </x:c>
      <x:c r="C396" s="84" t="str">
        <x:v>CUST-0242</x:v>
      </x:c>
      <x:c r="D396" s="84" t="str">
        <x:v> ZARA BAKER </x:v>
      </x:c>
      <x:c r="E396" s="84" t="str">
        <x:v>Consumer </x:v>
      </x:c>
      <x:c r="F396" s="84" t="str">
        <x:v> NORTHEAST </x:v>
      </x:c>
      <x:c r="G396" s="84" t="str">
        <x:v>Philadelphia </x:v>
      </x:c>
      <x:c r="H396" s="84" t="str">
        <x:v>Retail Store</x:v>
      </x:c>
      <x:c r="I396" s="84" t="str">
        <x:v>CARE-002</x:v>
      </x:c>
      <x:c r="J396" s="86" t="n">
        <x:v>1</x:v>
      </x:c>
      <x:c r="K396" s="87" t="n">
        <x:v>0</x:v>
      </x:c>
      <x:c r="L396" s="84" t="str">
        <x:v>Completed</x:v>
      </x:c>
      <x:c r="M396" s="84" t="str">
        <x:v>Debit Card</x:v>
      </x:c>
      <x:c r="N396" s="84" t="str">
        <x:v>maya brooks</x:v>
      </x:c>
      <x:c r="O396" s="85" t="n">
        <x:v>45444</x:v>
      </x:c>
      <x:c r="P396" s="84" t="str">
        <x:v>POS_2024_06</x:v>
      </x:c>
      <x:c r="Q396" s="84" t="str">
        <x:v>Rechargeable Trimmer</x:v>
      </x:c>
      <x:c r="R396" s="84" t="str">
        <x:v>Personal Care</x:v>
      </x:c>
    </x:row>
    <x:row r="397">
      <x:c r="A397" s="84" t="str">
        <x:v>ORD-2024-02203</x:v>
      </x:c>
      <x:c r="B397" s="85" t="n">
        <x:v>45444</x:v>
      </x:c>
      <x:c r="C397" s="84" t="str">
        <x:v>CUST-0002</x:v>
      </x:c>
      <x:c r="D397" s="84" t="str">
        <x:v>Isaac Ortiz </x:v>
      </x:c>
      <x:c r="E397" s="84" t="str">
        <x:v>Corporate</x:v>
      </x:c>
      <x:c r="F397" s="84" t="str">
        <x:v>Northeast</x:v>
      </x:c>
      <x:c r="G397" s="84" t="str">
        <x:v> NEW YORK </x:v>
      </x:c>
      <x:c r="H397" s="84" t="str">
        <x:v>Online</x:v>
      </x:c>
      <x:c r="I397" s="84" t="str">
        <x:v>ELEC-005</x:v>
      </x:c>
      <x:c r="J397" s="86" t="n">
        <x:v>2</x:v>
      </x:c>
      <x:c r="K397" s="87" t="n">
        <x:v>0.1</x:v>
      </x:c>
      <x:c r="L397" s="84" t="str">
        <x:v>Completed</x:v>
      </x:c>
      <x:c r="M397" s="84" t="str">
        <x:v>Credit Card </x:v>
      </x:c>
      <x:c r="N397" s="84" t="str">
        <x:v>Ethan Cole</x:v>
      </x:c>
      <x:c r="O397" s="85" t="n">
        <x:v>45448</x:v>
      </x:c>
      <x:c r="P397" s="84" t="str">
        <x:v>WEB_2024_06</x:v>
      </x:c>
      <x:c r="Q397" s="84" t="str">
        <x:v>HD Webcam</x:v>
      </x:c>
      <x:c r="R397" s="84" t="str">
        <x:v>electronics</x:v>
      </x:c>
    </x:row>
    <x:row r="398">
      <x:c r="A398" s="84" t="str">
        <x:v>ORD-2024-02220</x:v>
      </x:c>
      <x:c r="B398" s="85" t="n">
        <x:v>45444</x:v>
      </x:c>
      <x:c r="C398" s="84" t="str">
        <x:v>CUST-0634</x:v>
      </x:c>
      <x:c r="D398" s="84" t="str">
        <x:v>Daniel Nelson</x:v>
      </x:c>
      <x:c r="E398" s="84" t="str">
        <x:v>Consumer</x:v>
      </x:c>
      <x:c r="F398" s="84" t="str">
        <x:v>Southeast</x:v>
      </x:c>
      <x:c r="G398" s="84" t="str">
        <x:v> ATLANTA </x:v>
      </x:c>
      <x:c r="H398" s="84" t="str">
        <x:v>Retail Store</x:v>
      </x:c>
      <x:c r="I398" s="84" t="str">
        <x:v>HOME-006</x:v>
      </x:c>
      <x:c r="J398" s="86" t="n">
        <x:v>1</x:v>
      </x:c>
      <x:c r="K398" s="87" t="n">
        <x:v>0</x:v>
      </x:c>
      <x:c r="L398" s="84" t="str">
        <x:v>Completed</x:v>
      </x:c>
      <x:c r="M398" s="84" t="str">
        <x:v>Debit Card</x:v>
      </x:c>
      <x:c r="N398" s="84" t="str">
        <x:v>Liam Parker</x:v>
      </x:c>
      <x:c r="O398" s="85" t="n">
        <x:v>45444</x:v>
      </x:c>
      <x:c r="P398" s="84" t="str">
        <x:v>POS_2024_06</x:v>
      </x:c>
      <x:c r="Q398" s="84" t="str">
        <x:v>food storage set</x:v>
      </x:c>
      <x:c r="R398" s="84" t="str">
        <x:v>Home &amp; Kitchen</x:v>
      </x:c>
    </x:row>
    <x:row r="399">
      <x:c r="A399" s="84" t="str">
        <x:v>ORD-2024-02220</x:v>
      </x:c>
      <x:c r="B399" s="85" t="n">
        <x:v>45444</x:v>
      </x:c>
      <x:c r="C399" s="84" t="str">
        <x:v>CUST-0634</x:v>
      </x:c>
      <x:c r="D399" s="84" t="str">
        <x:v>Daniel Nelson</x:v>
      </x:c>
      <x:c r="E399" s="84" t="str">
        <x:v>Consumer</x:v>
      </x:c>
      <x:c r="F399" s="84" t="str">
        <x:v>Southeast</x:v>
      </x:c>
      <x:c r="G399" s="84" t="str">
        <x:v> ATLANTA </x:v>
      </x:c>
      <x:c r="H399" s="84" t="str">
        <x:v>Retail Store</x:v>
      </x:c>
      <x:c r="I399" s="84" t="str">
        <x:v>HOME-006</x:v>
      </x:c>
      <x:c r="J399" s="86" t="n">
        <x:v>1</x:v>
      </x:c>
      <x:c r="K399" s="87" t="n">
        <x:v>0</x:v>
      </x:c>
      <x:c r="L399" s="84" t="str">
        <x:v>Completed</x:v>
      </x:c>
      <x:c r="M399" s="84" t="str">
        <x:v>Debit Card</x:v>
      </x:c>
      <x:c r="N399" s="84" t="str">
        <x:v>Liam Parker</x:v>
      </x:c>
      <x:c r="O399" s="85" t="n">
        <x:v>45444</x:v>
      </x:c>
      <x:c r="P399" s="84" t="str">
        <x:v>RELOAD_POS_2024_06</x:v>
      </x:c>
      <x:c r="Q399" s="84" t="str">
        <x:v>food storage set</x:v>
      </x:c>
      <x:c r="R399" s="84" t="str">
        <x:v>Home &amp; Kitchen</x:v>
      </x:c>
    </x:row>
    <x:row r="400">
      <x:c r="A400" s="84" t="str">
        <x:v>ORD-2024-00324</x:v>
      </x:c>
      <x:c r="B400" s="85" t="n">
        <x:v>45445</x:v>
      </x:c>
      <x:c r="C400" s="84" t="str">
        <x:v>CUST-0020</x:v>
      </x:c>
      <x:c r="D400" s="84" t="str">
        <x:v>Elias Ortiz</x:v>
      </x:c>
      <x:c r="E400" s="84" t="str">
        <x:v>Consumer</x:v>
      </x:c>
      <x:c r="F400" s="84" t="str">
        <x:v>Southeast</x:v>
      </x:c>
      <x:c r="G400" s="84" t="str">
        <x:v>Miami</x:v>
      </x:c>
      <x:c r="H400" s="84" t="str">
        <x:v>Retail Store</x:v>
      </x:c>
      <x:c r="I400" s="84" t="str">
        <x:v>OFFC-002</x:v>
      </x:c>
      <x:c r="J400" s="86" t="n">
        <x:v>1</x:v>
      </x:c>
      <x:c r="K400" s="87" t="n">
        <x:v>0.05</x:v>
      </x:c>
      <x:c r="L400" s="84" t="str">
        <x:v>Completed</x:v>
      </x:c>
      <x:c r="M400" s="84" t="str">
        <x:v>Credit Card</x:v>
      </x:c>
      <x:c r="N400" s="84" t="str">
        <x:v>Noah Reed</x:v>
      </x:c>
      <x:c r="O400" s="85" t="n">
        <x:v>45446</x:v>
      </x:c>
      <x:c r="P400" s="84" t="str">
        <x:v>POS_2024_06</x:v>
      </x:c>
      <x:c r="Q400" s="84" t="str">
        <x:v>Standing Desk</x:v>
      </x:c>
      <x:c r="R400" s="84" t="str">
        <x:v>Office </x:v>
      </x:c>
    </x:row>
    <x:row r="401">
      <x:c r="A401" s="84" t="str">
        <x:v>ORD-2024-01008</x:v>
      </x:c>
      <x:c r="B401" s="85" t="n">
        <x:v>45445</x:v>
      </x:c>
      <x:c r="C401" s="84" t="str">
        <x:v>CUST-0505</x:v>
      </x:c>
      <x:c r="D401" s="84" t="str">
        <x:v>daniel taylor</x:v>
      </x:c>
      <x:c r="E401" s="84" t="str">
        <x:v>Small Business </x:v>
      </x:c>
      <x:c r="F401" s="84" t="str">
        <x:v>Northeast</x:v>
      </x:c>
      <x:c r="G401" s="84" t="str">
        <x:v>Boston </x:v>
      </x:c>
      <x:c r="H401" s="84" t="str">
        <x:v>Marketplace</x:v>
      </x:c>
      <x:c r="I401" s="84" t="str">
        <x:v>ACCS-004</x:v>
      </x:c>
      <x:c r="J401" s="86" t="n">
        <x:v>3</x:v>
      </x:c>
      <x:c r="K401" s="87" t="n">
        <x:v>0.2</x:v>
      </x:c>
      <x:c r="L401" s="84" t="str">
        <x:v> COMPLETED </x:v>
      </x:c>
      <x:c r="M401" s="84" t="str">
        <x:v>PayPal</x:v>
      </x:c>
      <x:c r="N401" s="84" t="str">
        <x:v>Ethan Cole</x:v>
      </x:c>
      <x:c r="O401" s="85" t="n">
        <x:v>45449</x:v>
      </x:c>
      <x:c r="P401" s="84" t="str">
        <x:v>MKT_2024_06</x:v>
      </x:c>
      <x:c r="Q401" s="84" t="str">
        <x:v>Leather Wallet</x:v>
      </x:c>
      <x:c r="R401" s="84" t="str">
        <x:v>Accessories</x:v>
      </x:c>
    </x:row>
    <x:row r="402">
      <x:c r="A402" s="84" t="str">
        <x:v>ORD-2024-01128</x:v>
      </x:c>
      <x:c r="B402" s="85" t="n">
        <x:v>45445</x:v>
      </x:c>
      <x:c r="C402" s="84" t="str">
        <x:v>CUST-0255</x:v>
      </x:c>
      <x:c r="D402" s="84" t="str">
        <x:v>Layla Smith</x:v>
      </x:c>
      <x:c r="E402" s="84" t="str">
        <x:v>Consumer</x:v>
      </x:c>
      <x:c r="F402" s="84" t="str">
        <x:v>West</x:v>
      </x:c>
      <x:c r="G402" s="84" t="str">
        <x:v>Seattle</x:v>
      </x:c>
      <x:c r="H402" s="84" t="str">
        <x:v> RETAIL STORE </x:v>
      </x:c>
      <x:c r="I402" s="84" t="str">
        <x:v>OFFC-001</x:v>
      </x:c>
      <x:c r="J402" s="86" t="n">
        <x:v>2</x:v>
      </x:c>
      <x:c r="K402" s="87" t="n">
        <x:v>0</x:v>
      </x:c>
      <x:c r="L402" s="84" t="str">
        <x:v>Completed</x:v>
      </x:c>
      <x:c r="M402" s="84" t="str">
        <x:v>Credit Card</x:v>
      </x:c>
      <x:c r="N402" s="84" t="str">
        <x:v>Nora Kim</x:v>
      </x:c>
      <x:c r="O402" s="85" t="n">
        <x:v>45446</x:v>
      </x:c>
      <x:c r="P402" s="84" t="str">
        <x:v>POS_2024_06</x:v>
      </x:c>
      <x:c r="Q402" s="84" t="str">
        <x:v>Ergonomic Chair </x:v>
      </x:c>
      <x:c r="R402" s="84" t="str">
        <x:v>Office</x:v>
      </x:c>
    </x:row>
    <x:row r="403">
      <x:c r="A403" s="84" t="str">
        <x:v>ORD-2024-02269</x:v>
      </x:c>
      <x:c r="B403" s="85" t="n">
        <x:v>45445</x:v>
      </x:c>
      <x:c r="C403" s="84" t="str">
        <x:v>CUST-0070</x:v>
      </x:c>
      <x:c r="D403" s="84" t="str">
        <x:v>Elena Hall</x:v>
      </x:c>
      <x:c r="E403" s="84" t="str">
        <x:v>Small Business</x:v>
      </x:c>
      <x:c r="F403" s="84" t="str">
        <x:v>West</x:v>
      </x:c>
      <x:c r="G403" s="84" t="str">
        <x:v>Seattle</x:v>
      </x:c>
      <x:c r="H403" s="84" t="str">
        <x:v>Online</x:v>
      </x:c>
      <x:c r="I403" s="84" t="str">
        <x:v>FITN-001</x:v>
      </x:c>
      <x:c r="J403" s="86" t="n">
        <x:v>2</x:v>
      </x:c>
      <x:c r="K403" s="87" t="n">
        <x:v>0</x:v>
      </x:c>
      <x:c r="L403" s="84" t="str">
        <x:v>Completed</x:v>
      </x:c>
      <x:c r="M403" s="84" t="str">
        <x:v>PayPal</x:v>
      </x:c>
      <x:c r="N403" s="84" t="str">
        <x:v>Nora Kim</x:v>
      </x:c>
      <x:c r="O403" s="85" t="n">
        <x:v>45449</x:v>
      </x:c>
      <x:c r="P403" s="84" t="str">
        <x:v>WEB_2024_06</x:v>
      </x:c>
      <x:c r="Q403" s="84" t="str">
        <x:v>Yoga Mat </x:v>
      </x:c>
      <x:c r="R403" s="84" t="str">
        <x:v>fitness</x:v>
      </x:c>
    </x:row>
    <x:row r="404">
      <x:c r="A404" s="84" t="str">
        <x:v>ORD-2024-00027</x:v>
      </x:c>
      <x:c r="B404" s="85" t="n">
        <x:v>45446</x:v>
      </x:c>
      <x:c r="C404" s="84" t="str">
        <x:v>CUST-0630</x:v>
      </x:c>
      <x:c r="D404" s="84" t="str">
        <x:v>Jasmine Foster</x:v>
      </x:c>
      <x:c r="E404" s="84" t="str">
        <x:v>Consumer</x:v>
      </x:c>
      <x:c r="F404" s="84" t="str">
        <x:v>Southeast</x:v>
      </x:c>
      <x:c r="G404" s="84" t="str">
        <x:v> MIAMI </x:v>
      </x:c>
      <x:c r="H404" s="84" t="str">
        <x:v>Online</x:v>
      </x:c>
      <x:c r="I404" s="84" t="str">
        <x:v>CARE-003</x:v>
      </x:c>
      <x:c r="J404" s="86" t="n">
        <x:v>1</x:v>
      </x:c>
      <x:c r="K404" s="87" t="n">
        <x:v>0.05</x:v>
      </x:c>
      <x:c r="L404" s="84" t="str">
        <x:v>Completed </x:v>
      </x:c>
      <x:c r="M404" s="84" t="str">
        <x:v>Credit Card</x:v>
      </x:c>
      <x:c r="N404" s="84" t="str">
        <x:v>Ava Mitchell</x:v>
      </x:c>
      <x:c r="O404" s="85" t="n">
        <x:v>45449</x:v>
      </x:c>
      <x:c r="P404" s="84" t="str">
        <x:v>WEB_2024_06</x:v>
      </x:c>
      <x:c r="Q404" s="84" t="str">
        <x:v>Facial Cleanser</x:v>
      </x:c>
      <x:c r="R404" s="84" t="str">
        <x:v>Personal Care</x:v>
      </x:c>
    </x:row>
    <x:row r="405">
      <x:c r="A405" s="84" t="str">
        <x:v>ORD-2024-01188</x:v>
      </x:c>
      <x:c r="B405" s="85" t="n">
        <x:v>45446</x:v>
      </x:c>
      <x:c r="C405" s="84" t="str">
        <x:v>CUST-0279</x:v>
      </x:c>
      <x:c r="D405" s="84" t="str">
        <x:v>Priya Johnson </x:v>
      </x:c>
      <x:c r="E405" s="84" t="str">
        <x:v>consumer</x:v>
      </x:c>
      <x:c r="F405" s="84" t="str">
        <x:v>West</x:v>
      </x:c>
      <x:c r="G405" s="84" t="str">
        <x:v>Seattle</x:v>
      </x:c>
      <x:c r="H405" s="84" t="str">
        <x:v>retail store</x:v>
      </x:c>
      <x:c r="I405" s="84" t="str">
        <x:v>ACCS-005</x:v>
      </x:c>
      <x:c r="J405" s="86" t="n">
        <x:v>4</x:v>
      </x:c>
      <x:c r="K405" s="87" t="n">
        <x:v>0</x:v>
      </x:c>
      <x:c r="L405" s="84" t="str">
        <x:v>Completed</x:v>
      </x:c>
      <x:c r="M405" s="84" t="str">
        <x:v>Debit Card </x:v>
      </x:c>
      <x:c r="N405" s="84" t="str">
        <x:v>Nora Kim</x:v>
      </x:c>
      <x:c r="O405" s="85" t="n">
        <x:v>45446</x:v>
      </x:c>
      <x:c r="P405" s="84" t="str">
        <x:v>POS_2024_06</x:v>
      </x:c>
      <x:c r="Q405" s="84" t="str">
        <x:v>Protective Phone Case</x:v>
      </x:c>
      <x:c r="R405" s="84" t="str">
        <x:v> ACCESSORIES </x:v>
      </x:c>
    </x:row>
    <x:row r="406">
      <x:c r="A406" s="84" t="str">
        <x:v>ORD-2024-00620</x:v>
      </x:c>
      <x:c r="B406" s="85" t="n">
        <x:v>45447</x:v>
      </x:c>
      <x:c r="C406" s="84" t="str">
        <x:v>CUST-0597</x:v>
      </x:c>
      <x:c r="D406" s="84" t="str">
        <x:v>Nathan Ortiz</x:v>
      </x:c>
      <x:c r="E406" s="84" t="str">
        <x:v>Small Business</x:v>
      </x:c>
      <x:c r="F406" s="84" t="str">
        <x:v>West </x:v>
      </x:c>
      <x:c r="G406" s="84" t="str">
        <x:v>phoenix</x:v>
      </x:c>
      <x:c r="H406" s="84" t="str">
        <x:v>Retail Store</x:v>
      </x:c>
      <x:c r="I406" s="84" t="str">
        <x:v>FITN-004</x:v>
      </x:c>
      <x:c r="J406" s="86" t="n">
        <x:v>2</x:v>
      </x:c>
      <x:c r="K406" s="87" t="n">
        <x:v>0.05</x:v>
      </x:c>
      <x:c r="L406" s="84" t="str">
        <x:v>completed</x:v>
      </x:c>
      <x:c r="M406" s="84" t="str">
        <x:v>Debit Card</x:v>
      </x:c>
      <x:c r="N406" s="84" t="str">
        <x:v>Mia Chen </x:v>
      </x:c>
      <x:c r="O406" s="85" t="n">
        <x:v>45447</x:v>
      </x:c>
      <x:c r="P406" s="84" t="str">
        <x:v>POS_2024_06</x:v>
      </x:c>
      <x:c r="Q406" s="84" t="str">
        <x:v>Fitness Tracker</x:v>
      </x:c>
      <x:c r="R406" s="84" t="str">
        <x:v>Fitness</x:v>
      </x:c>
    </x:row>
    <x:row r="407">
      <x:c r="A407" s="84" t="str">
        <x:v>ORD-2024-01796</x:v>
      </x:c>
      <x:c r="B407" s="85" t="n">
        <x:v>45447</x:v>
      </x:c>
      <x:c r="C407" s="84" t="str">
        <x:v>CUST-0369</x:v>
      </x:c>
      <x:c r="D407" s="84" t="str">
        <x:v>Elena Johnson</x:v>
      </x:c>
      <x:c r="E407" s="84" t="str">
        <x:v>Consumer</x:v>
      </x:c>
      <x:c r="F407" s="84" t="str">
        <x:v>West </x:v>
      </x:c>
      <x:c r="G407" s="84" t="str">
        <x:v>Phoenix</x:v>
      </x:c>
      <x:c r="H407" s="84" t="str">
        <x:v>Online</x:v>
      </x:c>
      <x:c r="I407" s="84" t="str">
        <x:v>OFFC-005</x:v>
      </x:c>
      <x:c r="J407" s="86" t="n">
        <x:v>1</x:v>
      </x:c>
      <x:c r="K407" s="87" t="n">
        <x:v>0</x:v>
      </x:c>
      <x:c r="L407" s="84" t="str">
        <x:v>Completed</x:v>
      </x:c>
      <x:c r="M407" s="84" t="str">
        <x:v> MOBILE WALLET </x:v>
      </x:c>
      <x:c r="N407" s="84" t="str">
        <x:v>Leo Martinez </x:v>
      </x:c>
      <x:c r="O407" s="85" t="n">
        <x:v>45450</x:v>
      </x:c>
      <x:c r="P407" s="84" t="str">
        <x:v>WEB_2024_06</x:v>
      </x:c>
      <x:c r="Q407" s="84" t="str">
        <x:v>Wireless Keyboard</x:v>
      </x:c>
      <x:c r="R407" s="84" t="str">
        <x:v>office</x:v>
      </x:c>
    </x:row>
    <x:row r="408">
      <x:c r="A408" s="84" t="str">
        <x:v>ORD-2024-01183</x:v>
      </x:c>
      <x:c r="B408" s="85" t="n">
        <x:v>45448</x:v>
      </x:c>
      <x:c r="C408" s="84" t="str">
        <x:v>CUST-0328</x:v>
      </x:c>
      <x:c r="D408" s="84" t="str">
        <x:v>Elena Khan</x:v>
      </x:c>
      <x:c r="E408" s="84" t="str">
        <x:v>Small Business </x:v>
      </x:c>
      <x:c r="F408" s="84" t="str">
        <x:v>Southeast</x:v>
      </x:c>
      <x:c r="G408" s="84" t="str">
        <x:v> CHARLOTTE </x:v>
      </x:c>
      <x:c r="H408" s="84" t="str">
        <x:v>Retail Store</x:v>
      </x:c>
      <x:c r="I408" s="84" t="str">
        <x:v>ACCS-005</x:v>
      </x:c>
      <x:c r="J408" s="86" t="n">
        <x:v>1</x:v>
      </x:c>
      <x:c r="K408" s="87" t="n">
        <x:v>0.15</x:v>
      </x:c>
      <x:c r="L408" s="84" t="str">
        <x:v>Completed</x:v>
      </x:c>
      <x:c r="M408" s="84" t="str">
        <x:v>Cash</x:v>
      </x:c>
      <x:c r="N408" s="84" t="str">
        <x:v>Noah Reed</x:v>
      </x:c>
      <x:c r="O408" s="85" t="n">
        <x:v>45448</x:v>
      </x:c>
      <x:c r="P408" s="84" t="str">
        <x:v>POS_2024_06</x:v>
      </x:c>
      <x:c r="Q408" s="84" t="str">
        <x:v>Protective Phone Case</x:v>
      </x:c>
      <x:c r="R408" s="84" t="str">
        <x:v>Accessories</x:v>
      </x:c>
    </x:row>
    <x:row r="409">
      <x:c r="A409" s="84" t="str">
        <x:v>ORD-2024-01390</x:v>
      </x:c>
      <x:c r="B409" s="85" t="n">
        <x:v>45448</x:v>
      </x:c>
      <x:c r="C409" s="84" t="str">
        <x:v>CUST-0415</x:v>
      </x:c>
      <x:c r="D409" s="84" t="str">
        <x:v>Zara Foster</x:v>
      </x:c>
      <x:c r="E409" s="84" t="str">
        <x:v>Corporate</x:v>
      </x:c>
      <x:c r="F409" s="84" t="str">
        <x:v>Southeast </x:v>
      </x:c>
      <x:c r="G409" s="84" t="str">
        <x:v>charlotte</x:v>
      </x:c>
      <x:c r="H409" s="84" t="str">
        <x:v>Marketplace</x:v>
      </x:c>
      <x:c r="I409" s="84" t="str">
        <x:v>CARE-002</x:v>
      </x:c>
      <x:c r="J409" s="86" t="n">
        <x:v>6</x:v>
      </x:c>
      <x:c r="K409" s="87" t="n">
        <x:v>0.05</x:v>
      </x:c>
      <x:c r="L409" s="84" t="str">
        <x:v>completed</x:v>
      </x:c>
      <x:c r="M409" s="84" t="str">
        <x:v>Debit Card</x:v>
      </x:c>
      <x:c r="N409" s="84" t="str">
        <x:v>Liam Parker </x:v>
      </x:c>
      <x:c r="O409" s="85" t="n">
        <x:v>45454</x:v>
      </x:c>
      <x:c r="P409" s="84" t="str">
        <x:v>MKT_2024_06</x:v>
      </x:c>
      <x:c r="Q409" s="84" t="str">
        <x:v>Rechargeable Trimmer</x:v>
      </x:c>
      <x:c r="R409" s="84" t="str">
        <x:v>Personal Care</x:v>
      </x:c>
    </x:row>
    <x:row r="410">
      <x:c r="A410" s="84" t="str">
        <x:v>ORD-2024-01466</x:v>
      </x:c>
      <x:c r="B410" s="85" t="n">
        <x:v>45448</x:v>
      </x:c>
      <x:c r="C410" s="84" t="str">
        <x:v>CUST-0040</x:v>
      </x:c>
      <x:c r="D410" s="84" t="str">
        <x:v>Elias Irwin</x:v>
      </x:c>
      <x:c r="E410" s="84" t="str">
        <x:v>Small Business</x:v>
      </x:c>
      <x:c r="F410" s="84" t="str">
        <x:v>Southeast</x:v>
      </x:c>
      <x:c r="G410" s="84" t="str">
        <x:v>Charlotte</x:v>
      </x:c>
      <x:c r="H410" s="84" t="str">
        <x:v>Online </x:v>
      </x:c>
      <x:c r="I410" s="84" t="str">
        <x:v>CARE-003</x:v>
      </x:c>
      <x:c r="J410" s="86" t="n">
        <x:v>3</x:v>
      </x:c>
      <x:c r="K410" s="87" t="n">
        <x:v>0</x:v>
      </x:c>
      <x:c r="L410" s="84" t="str">
        <x:v>Completed</x:v>
      </x:c>
      <x:c r="M410" s="84" t="str">
        <x:v>Debit Card</x:v>
      </x:c>
      <x:c r="N410" s="84" t="str">
        <x:v>Liam Parker</x:v>
      </x:c>
      <x:c r="O410" s="85" t="n">
        <x:v>45452</x:v>
      </x:c>
      <x:c r="P410" s="84" t="str">
        <x:v>WEB_2024_06</x:v>
      </x:c>
      <x:c r="Q410" s="84" t="str">
        <x:v> FACIAL CLEANSER </x:v>
      </x:c>
      <x:c r="R410" s="84" t="str">
        <x:v>personal care</x:v>
      </x:c>
    </x:row>
    <x:row r="411">
      <x:c r="A411" s="84" t="str">
        <x:v>ORD-2024-01497</x:v>
      </x:c>
      <x:c r="B411" s="85" t="n">
        <x:v>45448</x:v>
      </x:c>
      <x:c r="C411" s="84" t="str">
        <x:v>CUST-0495</x:v>
      </x:c>
      <x:c r="D411" s="84" t="str">
        <x:v>Victoria Walker</x:v>
      </x:c>
      <x:c r="E411" s="84" t="str">
        <x:v>Consumer</x:v>
      </x:c>
      <x:c r="F411" s="84" t="str">
        <x:v>West</x:v>
      </x:c>
      <x:c r="G411" s="84" t="str">
        <x:v>Denver</x:v>
      </x:c>
      <x:c r="H411" s="84" t="str">
        <x:v>Retail Store</x:v>
      </x:c>
      <x:c r="I411" s="84" t="str">
        <x:v>ELEC-005</x:v>
      </x:c>
      <x:c r="J411" s="86" t="n">
        <x:v>2</x:v>
      </x:c>
      <x:c r="K411" s="87" t="n">
        <x:v>0.15</x:v>
      </x:c>
      <x:c r="L411" s="84" t="str">
        <x:v>Completed </x:v>
      </x:c>
      <x:c r="M411" s="84" t="str">
        <x:v>Credit Card</x:v>
      </x:c>
      <x:c r="N411" s="84" t="str">
        <x:v>Mia Chen</x:v>
      </x:c>
      <x:c r="O411" s="85" t="n">
        <x:v>45448</x:v>
      </x:c>
      <x:c r="P411" s="84" t="str">
        <x:v>POS_2024_06</x:v>
      </x:c>
      <x:c r="Q411" s="84" t="str">
        <x:v>HD Webcam</x:v>
      </x:c>
      <x:c r="R411" s="84" t="str">
        <x:v>Electronics</x:v>
      </x:c>
    </x:row>
    <x:row r="412">
      <x:c r="A412" s="84" t="str">
        <x:v>ORD-2024-00136</x:v>
      </x:c>
      <x:c r="B412" s="85" t="n">
        <x:v>45449</x:v>
      </x:c>
      <x:c r="C412" s="84" t="str">
        <x:v>CUST-0298</x:v>
      </x:c>
      <x:c r="D412" s="84" t="str">
        <x:v>Jasmine Roberts</x:v>
      </x:c>
      <x:c r="E412" s="84" t="str">
        <x:v> CONSUMER </x:v>
      </x:c>
      <x:c r="F412" s="84" t="str">
        <x:v>West</x:v>
      </x:c>
      <x:c r="G412" s="84" t="str">
        <x:v>los angeles</x:v>
      </x:c>
      <x:c r="H412" s="84" t="str">
        <x:v>Online </x:v>
      </x:c>
      <x:c r="I412" s="84" t="str">
        <x:v>OFFC-002</x:v>
      </x:c>
      <x:c r="J412" s="86" t="n">
        <x:v>2</x:v>
      </x:c>
      <x:c r="K412" s="87" t="n">
        <x:v>0</x:v>
      </x:c>
      <x:c r="L412" s="84" t="str">
        <x:v>completed</x:v>
      </x:c>
      <x:c r="M412" s="84" t="str">
        <x:v>Credit Card</x:v>
      </x:c>
      <x:c r="N412" s="84" t="str">
        <x:v>Mia Chen</x:v>
      </x:c>
      <x:c r="O412" s="85" t="n">
        <x:v>45453</x:v>
      </x:c>
      <x:c r="P412" s="84" t="str">
        <x:v>WEB_2024_06</x:v>
      </x:c>
      <x:c r="Q412" s="84" t="str">
        <x:v>Standing Desk</x:v>
      </x:c>
      <x:c r="R412" s="84" t="str">
        <x:v>Office</x:v>
      </x:c>
    </x:row>
    <x:row r="413">
      <x:c r="A413" s="84" t="str">
        <x:v>ORD-2024-00279</x:v>
      </x:c>
      <x:c r="B413" s="85" t="n">
        <x:v>45449</x:v>
      </x:c>
      <x:c r="C413" s="84" t="str">
        <x:v>CUST-0339</x:v>
      </x:c>
      <x:c r="D413" s="84" t="str">
        <x:v>Marcus Walker</x:v>
      </x:c>
      <x:c r="E413" s="84" t="str">
        <x:v>Consumer</x:v>
      </x:c>
      <x:c r="F413" s="84" t="str">
        <x:v>Midwest</x:v>
      </x:c>
      <x:c r="G413" s="84" t="str">
        <x:v>columbus</x:v>
      </x:c>
      <x:c r="H413" s="84" t="str">
        <x:v>Retail Store</x:v>
      </x:c>
      <x:c r="I413" s="84" t="str">
        <x:v>ELEC-003</x:v>
      </x:c>
      <x:c r="J413" s="86" t="n">
        <x:v>1</x:v>
      </x:c>
      <x:c r="K413" s="87" t="n">
        <x:v>0.15</x:v>
      </x:c>
      <x:c r="L413" s="84" t="str">
        <x:v>completed</x:v>
      </x:c>
      <x:c r="M413" s="84" t="str">
        <x:v>Credit Card</x:v>
      </x:c>
      <x:c r="N413" s="84" t="str">
        <x:v>Zoe Turner</x:v>
      </x:c>
      <x:c r="O413" s="85" t="n">
        <x:v>45449</x:v>
      </x:c>
      <x:c r="P413" s="84" t="str">
        <x:v>POS_2024_06</x:v>
      </x:c>
      <x:c r="Q413" s="84" t="str">
        <x:v>Bluetooth Speaker</x:v>
      </x:c>
      <x:c r="R413" s="84" t="str">
        <x:v>Electronics</x:v>
      </x:c>
    </x:row>
    <x:row r="414">
      <x:c r="A414" s="84" t="str">
        <x:v>ORD-2024-00519</x:v>
      </x:c>
      <x:c r="B414" s="85" t="n">
        <x:v>45449</x:v>
      </x:c>
      <x:c r="C414" s="84" t="str">
        <x:v>CUST-0220</x:v>
      </x:c>
      <x:c r="D414" s="84" t="str">
        <x:v>Isaac Smith</x:v>
      </x:c>
      <x:c r="E414" s="84" t="str">
        <x:v>Consumer</x:v>
      </x:c>
      <x:c r="F414" s="84" t="str">
        <x:v>Midwest</x:v>
      </x:c>
      <x:c r="G414" s="84" t="str">
        <x:v>Detroit</x:v>
      </x:c>
      <x:c r="H414" s="84" t="str">
        <x:v>Online</x:v>
      </x:c>
      <x:c r="I414" s="84" t="str">
        <x:v>ELEC-006</x:v>
      </x:c>
      <x:c r="J414" s="86" t="n">
        <x:v>3</x:v>
      </x:c>
      <x:c r="K414" s="87" t="n">
        <x:v>0</x:v>
      </x:c>
      <x:c r="L414" s="84" t="str">
        <x:v>Completed</x:v>
      </x:c>
      <x:c r="M414" s="84" t="str">
        <x:v>Debit Card</x:v>
      </x:c>
      <x:c r="N414" s="84" t="str">
        <x:v>emma hayes</x:v>
      </x:c>
      <x:c r="O414" s="85" t="n">
        <x:v>45453</x:v>
      </x:c>
      <x:c r="P414" s="84" t="str">
        <x:v>WEB_2024_06</x:v>
      </x:c>
      <x:c r="Q414" s="84" t="str">
        <x:v>Portable SSD </x:v>
      </x:c>
      <x:c r="R414" s="84" t="str">
        <x:v>Electronics</x:v>
      </x:c>
    </x:row>
    <x:row r="415">
      <x:c r="A415" s="84" t="str">
        <x:v>ORD-2024-00693</x:v>
      </x:c>
      <x:c r="B415" s="85" t="n">
        <x:v>45449</x:v>
      </x:c>
      <x:c r="C415" s="84" t="str">
        <x:v>CUST-0596</x:v>
      </x:c>
      <x:c r="D415" s="84" t="str">
        <x:v>Grace Khan</x:v>
      </x:c>
      <x:c r="E415" s="84" t="str">
        <x:v>consumer</x:v>
      </x:c>
      <x:c r="F415" s="84" t="str">
        <x:v>West</x:v>
      </x:c>
      <x:c r="G415" s="84" t="str">
        <x:v>Denver </x:v>
      </x:c>
      <x:c r="H415" s="84" t="str">
        <x:v>retail store</x:v>
      </x:c>
      <x:c r="I415" s="84" t="str">
        <x:v>OFFC-002</x:v>
      </x:c>
      <x:c r="J415" s="86" t="n">
        <x:v>1</x:v>
      </x:c>
      <x:c r="K415" s="87" t="n">
        <x:v>0</x:v>
      </x:c>
      <x:c r="L415" s="84" t="str">
        <x:v>Completed</x:v>
      </x:c>
      <x:c r="M415" s="84" t="str">
        <x:v>Credit Card</x:v>
      </x:c>
      <x:c r="N415" s="84" t="str">
        <x:v>Mia Chen</x:v>
      </x:c>
      <x:c r="O415" s="85" t="n">
        <x:v>45449</x:v>
      </x:c>
      <x:c r="P415" s="84" t="str">
        <x:v>POS_2024_06</x:v>
      </x:c>
      <x:c r="Q415" s="84" t="str">
        <x:v>Standing Desk</x:v>
      </x:c>
      <x:c r="R415" s="84" t="str">
        <x:v>Office</x:v>
      </x:c>
    </x:row>
    <x:row r="416">
      <x:c r="A416" s="84" t="str">
        <x:v>ORD-2024-01094</x:v>
      </x:c>
      <x:c r="B416" s="85" t="n">
        <x:v>45449</x:v>
      </x:c>
      <x:c r="C416" s="84" t="str">
        <x:v>CUST-0174</x:v>
      </x:c>
      <x:c r="D416" s="84" t="str">
        <x:v>Victoria Walker</x:v>
      </x:c>
      <x:c r="E416" s="84" t="str">
        <x:v>Small Business</x:v>
      </x:c>
      <x:c r="F416" s="84" t="str">
        <x:v>Northeast</x:v>
      </x:c>
      <x:c r="G416" s="84" t="str">
        <x:v>New York</x:v>
      </x:c>
      <x:c r="H416" s="84" t="str">
        <x:v> ONLINE </x:v>
      </x:c>
      <x:c r="I416" s="84" t="str">
        <x:v>ELEC-006</x:v>
      </x:c>
      <x:c r="J416" s="86" t="n">
        <x:v>1</x:v>
      </x:c>
      <x:c r="K416" s="87" t="n">
        <x:v>0.1</x:v>
      </x:c>
      <x:c r="L416" s="84" t="str">
        <x:v>Completed</x:v>
      </x:c>
      <x:c r="M416" s="84" t="str">
        <x:v>Credit Card</x:v>
      </x:c>
      <x:c r="N416" s="84" t="str">
        <x:v>Ethan Cole</x:v>
      </x:c>
      <x:c r="O416" s="85" t="n">
        <x:v>45451</x:v>
      </x:c>
      <x:c r="P416" s="84" t="str">
        <x:v>WEB_2024_06</x:v>
      </x:c>
      <x:c r="Q416" s="84" t="str">
        <x:v>Portable SSD</x:v>
      </x:c>
      <x:c r="R416" s="84" t="str">
        <x:v>Electronics </x:v>
      </x:c>
    </x:row>
    <x:row r="417">
      <x:c r="A417" s="84" t="str">
        <x:v>ORD-2024-01411</x:v>
      </x:c>
      <x:c r="B417" s="85" t="n">
        <x:v>45449</x:v>
      </x:c>
      <x:c r="C417" s="84" t="str">
        <x:v>CUST-0260</x:v>
      </x:c>
      <x:c r="D417" s="84" t="str">
        <x:v>Caleb Ortiz</x:v>
      </x:c>
      <x:c r="E417" s="84" t="str">
        <x:v> CORPORATE </x:v>
      </x:c>
      <x:c r="F417" s="84" t="str">
        <x:v>West </x:v>
      </x:c>
      <x:c r="G417" s="84" t="str">
        <x:v>Los Angeles</x:v>
      </x:c>
      <x:c r="H417" s="84" t="str">
        <x:v>Retail Store</x:v>
      </x:c>
      <x:c r="I417" s="84" t="str">
        <x:v>ELEC-004</x:v>
      </x:c>
      <x:c r="J417" s="86" t="n">
        <x:v>6</x:v>
      </x:c>
      <x:c r="K417" s="87" t="n">
        <x:v>0.1</x:v>
      </x:c>
      <x:c r="L417" s="84" t="str">
        <x:v>Completed</x:v>
      </x:c>
      <x:c r="M417" s="84" t="str">
        <x:v>Cash</x:v>
      </x:c>
      <x:c r="N417" s="84" t="str">
        <x:v>Mia Chen </x:v>
      </x:c>
      <x:c r="O417" s="85" t="n">
        <x:v>45449</x:v>
      </x:c>
      <x:c r="P417" s="84" t="str">
        <x:v>POS_2024_06</x:v>
      </x:c>
      <x:c r="Q417" s="84" t="str">
        <x:v>Power Bank</x:v>
      </x:c>
      <x:c r="R417" s="84" t="str">
        <x:v>electronics</x:v>
      </x:c>
    </x:row>
    <x:row r="418">
      <x:c r="A418" s="84" t="str">
        <x:v>ORD-2024-00125</x:v>
      </x:c>
      <x:c r="B418" s="85" t="n">
        <x:v>45450</x:v>
      </x:c>
      <x:c r="C418" s="84" t="str">
        <x:v>CUST-0447</x:v>
      </x:c>
      <x:c r="D418" s="84" t="str">
        <x:v>Elena Patel</x:v>
      </x:c>
      <x:c r="E418" s="84" t="str">
        <x:v>Corporate</x:v>
      </x:c>
      <x:c r="F418" s="84" t="str">
        <x:v>Midwest</x:v>
      </x:c>
      <x:c r="G418" s="84" t="str">
        <x:v>chicago</x:v>
      </x:c>
      <x:c r="H418" s="84" t="str">
        <x:v> MARKETPLACE </x:v>
      </x:c>
      <x:c r="I418" s="84" t="str">
        <x:v>ACCS-003</x:v>
      </x:c>
      <x:c r="J418" s="86" t="n">
        <x:v>2</x:v>
      </x:c>
      <x:c r="K418" s="87" t="n">
        <x:v>0.1</x:v>
      </x:c>
      <x:c r="L418" s="84" t="str">
        <x:v>completed</x:v>
      </x:c>
      <x:c r="M418" s="84" t="str">
        <x:v>Debit Card</x:v>
      </x:c>
      <x:c r="N418" s="84" t="str">
        <x:v>Lucas Grant</x:v>
      </x:c>
      <x:c r="O418" s="85" t="n">
        <x:v>45456</x:v>
      </x:c>
      <x:c r="P418" s="84" t="str">
        <x:v>MKT_2024_06</x:v>
      </x:c>
      <x:c r="Q418" s="84" t="str">
        <x:v>Polarized Sunglasses</x:v>
      </x:c>
      <x:c r="R418" s="84" t="str">
        <x:v>Accessories</x:v>
      </x:c>
    </x:row>
    <x:row r="419">
      <x:c r="A419" s="84" t="str">
        <x:v>ORD-2024-00408</x:v>
      </x:c>
      <x:c r="B419" s="85" t="n">
        <x:v>45450</x:v>
      </x:c>
      <x:c r="C419" s="84" t="str">
        <x:v>CUST-0286</x:v>
      </x:c>
      <x:c r="D419" s="84" t="str">
        <x:v>Isaac Hall</x:v>
      </x:c>
      <x:c r="E419" s="84" t="str">
        <x:v> CONSUMER </x:v>
      </x:c>
      <x:c r="F419" s="84" t="str">
        <x:v>Midwest</x:v>
      </x:c>
      <x:c r="G419" s="84" t="str">
        <x:v>Chicago</x:v>
      </x:c>
      <x:c r="H419" s="84" t="str">
        <x:v>Online</x:v>
      </x:c>
      <x:c r="I419" s="84" t="str">
        <x:v>CARE-005</x:v>
      </x:c>
      <x:c r="J419" s="86" t="n">
        <x:v>1</x:v>
      </x:c>
      <x:c r="K419" s="87" t="n">
        <x:v>0</x:v>
      </x:c>
      <x:c r="L419" s="84" t="str">
        <x:v>Completed</x:v>
      </x:c>
      <x:c r="M419" s="84" t="str">
        <x:v>Debit Card</x:v>
      </x:c>
      <x:c r="N419" s="84" t="str">
        <x:v>Zoe Turner</x:v>
      </x:c>
      <x:c r="O419" s="85" t="n">
        <x:v>45453</x:v>
      </x:c>
      <x:c r="P419" s="84" t="str">
        <x:v>WEB_2024_06</x:v>
      </x:c>
      <x:c r="Q419" s="84" t="str">
        <x:v>Skin Care Starter Kit</x:v>
      </x:c>
      <x:c r="R419" s="84" t="str">
        <x:v>Personal Care </x:v>
      </x:c>
    </x:row>
    <x:row r="420">
      <x:c r="A420" s="84" t="str">
        <x:v>ORD-2024-01254</x:v>
      </x:c>
      <x:c r="B420" s="85" t="n">
        <x:v>45450</x:v>
      </x:c>
      <x:c r="C420" s="84" t="str">
        <x:v>CUST-0159</x:v>
      </x:c>
      <x:c r="D420" s="84" t="str">
        <x:v>Caleb Khan</x:v>
      </x:c>
      <x:c r="E420" s="84" t="str">
        <x:v>consumer</x:v>
      </x:c>
      <x:c r="F420" s="84" t="str">
        <x:v>Southeast</x:v>
      </x:c>
      <x:c r="G420" s="84" t="str">
        <x:v>Nashville</x:v>
      </x:c>
      <x:c r="H420" s="84" t="str">
        <x:v>retail store</x:v>
      </x:c>
      <x:c r="I420" s="84" t="str">
        <x:v>FITN-005</x:v>
      </x:c>
      <x:c r="J420" s="86" t="n">
        <x:v>3</x:v>
      </x:c>
      <x:c r="K420" s="87" t="n">
        <x:v>0.1</x:v>
      </x:c>
      <x:c r="L420" s="84" t="str">
        <x:v>Completed</x:v>
      </x:c>
      <x:c r="M420" s="84" t="str">
        <x:v>Credit Card</x:v>
      </x:c>
      <x:c r="N420" s="84" t="str">
        <x:v>Ava Mitchell</x:v>
      </x:c>
      <x:c r="O420" s="85" t="n">
        <x:v>45450</x:v>
      </x:c>
      <x:c r="P420" s="84" t="str">
        <x:v>POS_2024_06</x:v>
      </x:c>
      <x:c r="Q420" s="84" t="str">
        <x:v>Sports Water Bottle </x:v>
      </x:c>
      <x:c r="R420" s="84" t="str">
        <x:v>Fitness</x:v>
      </x:c>
    </x:row>
    <x:row r="421">
      <x:c r="A421" s="84" t="str">
        <x:v>ORD-2024-00775</x:v>
      </x:c>
      <x:c r="B421" s="85" t="n">
        <x:v>45451</x:v>
      </x:c>
      <x:c r="C421" s="84" t="str">
        <x:v>CUST-0443</x:v>
      </x:c>
      <x:c r="D421" s="84" t="str">
        <x:v>Samuel Foster </x:v>
      </x:c>
      <x:c r="E421" s="84" t="str">
        <x:v>Consumer</x:v>
      </x:c>
      <x:c r="F421" s="84" t="str">
        <x:v>West</x:v>
      </x:c>
      <x:c r="G421" s="84" t="str">
        <x:v> DENVER </x:v>
      </x:c>
      <x:c r="H421" s="84" t="str">
        <x:v>Retail Store</x:v>
      </x:c>
      <x:c r="I421" s="84" t="str">
        <x:v>ELEC-005</x:v>
      </x:c>
      <x:c r="J421" s="86" t="n">
        <x:v>1</x:v>
      </x:c>
      <x:c r="K421" s="87" t="n">
        <x:v>0</x:v>
      </x:c>
      <x:c r="L421" s="84" t="str">
        <x:v>Completed</x:v>
      </x:c>
      <x:c r="M421" s="84" t="str">
        <x:v>Credit Card </x:v>
      </x:c>
      <x:c r="N421" s="84" t="str">
        <x:v>Leo Martinez</x:v>
      </x:c>
      <x:c r="O421" s="85" t="n">
        <x:v>45451</x:v>
      </x:c>
      <x:c r="P421" s="84" t="str">
        <x:v>POS_2024_06</x:v>
      </x:c>
      <x:c r="Q421" s="84" t="str">
        <x:v>HD Webcam</x:v>
      </x:c>
      <x:c r="R421" s="84" t="str">
        <x:v>Electronics</x:v>
      </x:c>
    </x:row>
    <x:row r="422">
      <x:c r="A422" s="84" t="str">
        <x:v>ORD-2024-01695</x:v>
      </x:c>
      <x:c r="B422" s="85" t="n">
        <x:v>45451</x:v>
      </x:c>
      <x:c r="C422" s="84" t="str">
        <x:v>CUST-0501</x:v>
      </x:c>
      <x:c r="D422" s="84" t="str">
        <x:v>Priya Garcia</x:v>
      </x:c>
      <x:c r="E422" s="84" t="str">
        <x:v>Consumer</x:v>
      </x:c>
      <x:c r="F422" s="84" t="str">
        <x:v>Northeast</x:v>
      </x:c>
      <x:c r="G422" s="84" t="str">
        <x:v>Boston</x:v>
      </x:c>
      <x:c r="H422" s="84" t="str">
        <x:v>Online</x:v>
      </x:c>
      <x:c r="I422" s="84" t="str">
        <x:v>FITN-002</x:v>
      </x:c>
      <x:c r="J422" s="86" t="n">
        <x:v>1</x:v>
      </x:c>
      <x:c r="K422" s="87" t="n">
        <x:v>0</x:v>
      </x:c>
      <x:c r="L422" s="84" t="str">
        <x:v>Completed</x:v>
      </x:c>
      <x:c r="M422" s="84" t="str">
        <x:v>Debit Card</x:v>
      </x:c>
      <x:c r="N422" s="84" t="str">
        <x:v>Sofia Bennett</x:v>
      </x:c>
      <x:c r="O422" s="85" t="n">
        <x:v>45455</x:v>
      </x:c>
      <x:c r="P422" s="84" t="str">
        <x:v>WEB_2024_06</x:v>
      </x:c>
      <x:c r="Q422" s="84" t="str">
        <x:v>Adjustable Dumbbell Set </x:v>
      </x:c>
      <x:c r="R422" s="84" t="str">
        <x:v>Fitness</x:v>
      </x:c>
    </x:row>
    <x:row r="423">
      <x:c r="A423" s="84" t="str">
        <x:v>ORD-2024-01898</x:v>
      </x:c>
      <x:c r="B423" s="85" t="n">
        <x:v>45451</x:v>
      </x:c>
      <x:c r="C423" s="84" t="str">
        <x:v>CUST-0511</x:v>
      </x:c>
      <x:c r="D423" s="84" t="str">
        <x:v>Marcus Walker</x:v>
      </x:c>
      <x:c r="E423" s="84" t="str">
        <x:v>Corporate</x:v>
      </x:c>
      <x:c r="F423" s="84" t="str">
        <x:v>Northeast</x:v>
      </x:c>
      <x:c r="G423" s="84" t="str">
        <x:v>Newark</x:v>
      </x:c>
      <x:c r="H423" s="84" t="str">
        <x:v>Online</x:v>
      </x:c>
      <x:c r="I423" s="84" t="str">
        <x:v>CARE-002</x:v>
      </x:c>
      <x:c r="J423" s="86" t="n">
        <x:v>2</x:v>
      </x:c>
      <x:c r="K423" s="87" t="n">
        <x:v>0</x:v>
      </x:c>
      <x:c r="L423" s="84" t="str">
        <x:v>Completed</x:v>
      </x:c>
      <x:c r="M423" s="84" t="str">
        <x:v> PAYPAL </x:v>
      </x:c>
      <x:c r="N423" s="84" t="str">
        <x:v>Ethan Cole</x:v>
      </x:c>
      <x:c r="O423" s="85" t="n">
        <x:v>45454</x:v>
      </x:c>
      <x:c r="P423" s="84" t="str">
        <x:v>WEB_2024_06</x:v>
      </x:c>
      <x:c r="Q423" s="84" t="str">
        <x:v>Rechargeable Trimmer </x:v>
      </x:c>
      <x:c r="R423" s="84" t="str">
        <x:v>Personal Care</x:v>
      </x:c>
    </x:row>
    <x:row r="424">
      <x:c r="A424" s="84" t="str">
        <x:v>ORD-2024-02334</x:v>
      </x:c>
      <x:c r="B424" s="85" t="n">
        <x:v>45451</x:v>
      </x:c>
      <x:c r="C424" s="84" t="str">
        <x:v>CUST-0297</x:v>
      </x:c>
      <x:c r="D424" s="84" t="str">
        <x:v>Nathan Davis</x:v>
      </x:c>
      <x:c r="E424" s="84" t="str">
        <x:v>Consumer</x:v>
      </x:c>
      <x:c r="F424" s="84" t="str">
        <x:v>Midwest</x:v>
      </x:c>
      <x:c r="G424" s="84" t="str">
        <x:v>Minneapolis</x:v>
      </x:c>
      <x:c r="H424" s="84" t="str">
        <x:v>Retail Store </x:v>
      </x:c>
      <x:c r="I424" s="84" t="str">
        <x:v>CARE-002</x:v>
      </x:c>
      <x:c r="J424" s="86" t="n">
        <x:v>1</x:v>
      </x:c>
      <x:c r="K424" s="87" t="n">
        <x:v>0.15</x:v>
      </x:c>
      <x:c r="L424" s="84" t="str">
        <x:v> COMPLETED </x:v>
      </x:c>
      <x:c r="M424" s="84" t="str">
        <x:v>Credit Card</x:v>
      </x:c>
      <x:c r="N424" s="84" t="str">
        <x:v>emma hayes</x:v>
      </x:c>
      <x:c r="O424" s="85" t="n">
        <x:v>45452</x:v>
      </x:c>
      <x:c r="P424" s="84" t="str">
        <x:v>POS_2024_06</x:v>
      </x:c>
      <x:c r="Q424" s="84" t="str">
        <x:v>Rechargeable Trimmer</x:v>
      </x:c>
      <x:c r="R424" s="84" t="str">
        <x:v>Personal Care</x:v>
      </x:c>
    </x:row>
    <x:row r="425">
      <x:c r="A425" s="84" t="str">
        <x:v>ORD-2024-00041</x:v>
      </x:c>
      <x:c r="B425" s="85" t="n">
        <x:v>45452</x:v>
      </x:c>
      <x:c r="C425" s="84" t="str">
        <x:v>CUST-0107</x:v>
      </x:c>
      <x:c r="D425" s="84" t="str">
        <x:v>Elena Hall</x:v>
      </x:c>
      <x:c r="E425" s="84" t="str">
        <x:v>Consumer</x:v>
      </x:c>
      <x:c r="F425" s="84" t="str">
        <x:v>midwest</x:v>
      </x:c>
      <x:c r="G425" s="84" t="str">
        <x:v>Columbus</x:v>
      </x:c>
      <x:c r="H425" s="84" t="str">
        <x:v>Online</x:v>
      </x:c>
      <x:c r="I425" s="84" t="str">
        <x:v>HOME-001</x:v>
      </x:c>
      <x:c r="J425" s="86" t="n">
        <x:v>1</x:v>
      </x:c>
      <x:c r="K425" s="87" t="n">
        <x:v>0</x:v>
      </x:c>
      <x:c r="L425" s="84" t="str">
        <x:v>Completed </x:v>
      </x:c>
      <x:c r="M425" s="84" t="str">
        <x:v>Credit Card</x:v>
      </x:c>
      <x:c r="N425" s="84" t="str">
        <x:v>Zoe Turner</x:v>
      </x:c>
      <x:c r="O425" s="85" t="n">
        <x:v>45456</x:v>
      </x:c>
      <x:c r="P425" s="84" t="str">
        <x:v>WEB_2024_06</x:v>
      </x:c>
      <x:c r="Q425" s="84" t="str">
        <x:v>Air Fryer</x:v>
      </x:c>
      <x:c r="R425" s="84" t="str">
        <x:v>Home &amp; Kitchen</x:v>
      </x:c>
    </x:row>
    <x:row r="426">
      <x:c r="A426" s="84" t="str">
        <x:v>ORD-2024-00371</x:v>
      </x:c>
      <x:c r="B426" s="85" t="n">
        <x:v>45452</x:v>
      </x:c>
      <x:c r="C426" s="84" t="str">
        <x:v>CUST-0458</x:v>
      </x:c>
      <x:c r="D426" s="84" t="str">
        <x:v> SAMUEL CARTER </x:v>
      </x:c>
      <x:c r="E426" s="84" t="str">
        <x:v>Consumer </x:v>
      </x:c>
      <x:c r="F426" s="84" t="str">
        <x:v> SOUTHEAST </x:v>
      </x:c>
      <x:c r="G426" s="84" t="str">
        <x:v>Atlanta </x:v>
      </x:c>
      <x:c r="H426" s="84" t="str">
        <x:v>Retail Store</x:v>
      </x:c>
      <x:c r="I426" s="84" t="str">
        <x:v>OFFC-001</x:v>
      </x:c>
      <x:c r="J426" s="86" t="n">
        <x:v>1</x:v>
      </x:c>
      <x:c r="K426" s="87" t="n">
        <x:v>0</x:v>
      </x:c>
      <x:c r="L426" s="84" t="str">
        <x:v>Completed</x:v>
      </x:c>
      <x:c r="M426" s="84" t="str">
        <x:v>Credit Card</x:v>
      </x:c>
      <x:c r="N426" s="84" t="str">
        <x:v>Ava Mitchell</x:v>
      </x:c>
      <x:c r="O426" s="85" t="n">
        <x:v>45452</x:v>
      </x:c>
      <x:c r="P426" s="84" t="str">
        <x:v>POS_2024_06</x:v>
      </x:c>
      <x:c r="Q426" s="84" t="str">
        <x:v>Ergonomic Chair</x:v>
      </x:c>
      <x:c r="R426" s="84" t="str">
        <x:v>Office</x:v>
      </x:c>
    </x:row>
    <x:row r="427">
      <x:c r="A427" s="84" t="str">
        <x:v>ORD-2024-00878</x:v>
      </x:c>
      <x:c r="B427" s="85" t="n">
        <x:v>45452</x:v>
      </x:c>
      <x:c r="C427" s="84" t="str">
        <x:v>CUST-0002</x:v>
      </x:c>
      <x:c r="D427" s="84" t="str">
        <x:v>Isaac Ortiz</x:v>
      </x:c>
      <x:c r="E427" s="84" t="str">
        <x:v>Corporate</x:v>
      </x:c>
      <x:c r="F427" s="84" t="str">
        <x:v>Northeast</x:v>
      </x:c>
      <x:c r="G427" s="84" t="str">
        <x:v>New York</x:v>
      </x:c>
      <x:c r="H427" s="84" t="str">
        <x:v>Retail Store </x:v>
      </x:c>
      <x:c r="I427" s="84" t="str">
        <x:v>OFFC-003</x:v>
      </x:c>
      <x:c r="J427" s="86" t="n">
        <x:v>6</x:v>
      </x:c>
      <x:c r="K427" s="87" t="n">
        <x:v>0</x:v>
      </x:c>
      <x:c r="L427" s="84" t="str">
        <x:v>Completed</x:v>
      </x:c>
      <x:c r="M427" s="84" t="str">
        <x:v> DEBIT CARD </x:v>
      </x:c>
      <x:c r="N427" s="84" t="str">
        <x:v>Sofia Bennett</x:v>
      </x:c>
      <x:c r="O427" s="85" t="n">
        <x:v>45452</x:v>
      </x:c>
      <x:c r="P427" s="84" t="str">
        <x:v>POS_2024_06</x:v>
      </x:c>
      <x:c r="Q427" s="84" t="str">
        <x:v>led desk lamp</x:v>
      </x:c>
      <x:c r="R427" s="84" t="str">
        <x:v>Office</x:v>
      </x:c>
    </x:row>
    <x:row r="428">
      <x:c r="A428" s="84" t="str">
        <x:v>ORD-2024-01623</x:v>
      </x:c>
      <x:c r="B428" s="85" t="n">
        <x:v>45452</x:v>
      </x:c>
      <x:c r="C428" s="84" t="str">
        <x:v>CUST-0334</x:v>
      </x:c>
      <x:c r="D428" s="84" t="str">
        <x:v>Maya Lewis</x:v>
      </x:c>
      <x:c r="E428" s="84" t="str">
        <x:v>Corporate</x:v>
      </x:c>
      <x:c r="F428" s="84" t="str">
        <x:v>Southeast</x:v>
      </x:c>
      <x:c r="G428" s="84" t="str">
        <x:v>Miami</x:v>
      </x:c>
      <x:c r="H428" s="84" t="str">
        <x:v>Online</x:v>
      </x:c>
      <x:c r="I428" s="84" t="str">
        <x:v>CARE-005</x:v>
      </x:c>
      <x:c r="J428" s="86" t="n">
        <x:v>6</x:v>
      </x:c>
      <x:c r="K428" s="87" t="n">
        <x:v>0</x:v>
      </x:c>
      <x:c r="L428" s="84" t="str">
        <x:v>Returned </x:v>
      </x:c>
      <x:c r="M428" s="84" t="str">
        <x:v>Credit Card</x:v>
      </x:c>
      <x:c r="N428" s="84" t="str">
        <x:v>Noah Reed</x:v>
      </x:c>
      <x:c r="O428" s="85" t="n">
        <x:v>45456</x:v>
      </x:c>
      <x:c r="P428" s="84" t="str">
        <x:v>WEB_2024_06</x:v>
      </x:c>
      <x:c r="Q428" s="84" t="str">
        <x:v>Skin Care Starter Kit</x:v>
      </x:c>
      <x:c r="R428" s="84" t="str">
        <x:v>Personal Care</x:v>
      </x:c>
    </x:row>
    <x:row r="429">
      <x:c r="A429" s="84" t="str">
        <x:v>ORD-2024-02156</x:v>
      </x:c>
      <x:c r="B429" s="85" t="n">
        <x:v>45452</x:v>
      </x:c>
      <x:c r="C429" s="84" t="str">
        <x:v>CUST-0336</x:v>
      </x:c>
      <x:c r="D429" s="84" t="str">
        <x:v> JONAH GARCIA </x:v>
      </x:c>
      <x:c r="E429" s="84" t="str">
        <x:v>consumer</x:v>
      </x:c>
      <x:c r="F429" s="84" t="str">
        <x:v> WEST </x:v>
      </x:c>
      <x:c r="G429" s="84" t="str">
        <x:v>Phoenix </x:v>
      </x:c>
      <x:c r="H429" s="84" t="str">
        <x:v>retail store</x:v>
      </x:c>
      <x:c r="I429" s="84" t="str">
        <x:v>ELEC-004</x:v>
      </x:c>
      <x:c r="J429" s="86" t="n">
        <x:v>3</x:v>
      </x:c>
      <x:c r="K429" s="87" t="n">
        <x:v>0.05</x:v>
      </x:c>
      <x:c r="L429" s="84" t="str">
        <x:v>Completed</x:v>
      </x:c>
      <x:c r="M429" s="84" t="str">
        <x:v>Debit Card</x:v>
      </x:c>
      <x:c r="N429" s="84" t="str">
        <x:v>Mia Chen</x:v>
      </x:c>
      <x:c r="O429" s="85" t="n">
        <x:v>45452</x:v>
      </x:c>
      <x:c r="P429" s="84" t="str">
        <x:v>POS_2024_06</x:v>
      </x:c>
      <x:c r="Q429" s="84" t="str">
        <x:v>Power Bank</x:v>
      </x:c>
      <x:c r="R429" s="84" t="str">
        <x:v>Electronics</x:v>
      </x:c>
    </x:row>
    <x:row r="430">
      <x:c r="A430" s="84" t="str">
        <x:v>ORD-2024-00937</x:v>
      </x:c>
      <x:c r="B430" s="85" t="n">
        <x:v>45453</x:v>
      </x:c>
      <x:c r="C430" s="84" t="str">
        <x:v>CUST-0307</x:v>
      </x:c>
      <x:c r="D430" s="84" t="str">
        <x:v>Theo Patel</x:v>
      </x:c>
      <x:c r="E430" s="84" t="str">
        <x:v>Consumer</x:v>
      </x:c>
      <x:c r="F430" s="84" t="str">
        <x:v>Midwest</x:v>
      </x:c>
      <x:c r="G430" s="84" t="str">
        <x:v>Chicago</x:v>
      </x:c>
      <x:c r="H430" s="84" t="str">
        <x:v>Online</x:v>
      </x:c>
      <x:c r="I430" s="84" t="str">
        <x:v>OFFC-005</x:v>
      </x:c>
      <x:c r="J430" s="86" t="n">
        <x:v>1</x:v>
      </x:c>
      <x:c r="K430" s="87" t="n">
        <x:v>0.15</x:v>
      </x:c>
      <x:c r="L430" s="84" t="str">
        <x:v>Completed </x:v>
      </x:c>
      <x:c r="M430" s="84" t="str">
        <x:v>Debit Card</x:v>
      </x:c>
      <x:c r="N430" s="84" t="str">
        <x:v>emma hayes</x:v>
      </x:c>
      <x:c r="O430" s="85" t="n">
        <x:v>45457</x:v>
      </x:c>
      <x:c r="P430" s="84" t="str">
        <x:v>WEB_2024_06</x:v>
      </x:c>
      <x:c r="Q430" s="84" t="str">
        <x:v>Wireless Keyboard</x:v>
      </x:c>
      <x:c r="R430" s="84" t="str">
        <x:v>Office</x:v>
      </x:c>
    </x:row>
    <x:row r="431">
      <x:c r="A431" s="84" t="str">
        <x:v>ORD-2024-00970</x:v>
      </x:c>
      <x:c r="B431" s="85" t="n">
        <x:v>45453</x:v>
      </x:c>
      <x:c r="C431" s="84" t="str">
        <x:v>CUST-0335</x:v>
      </x:c>
      <x:c r="D431" s="84" t="str">
        <x:v>Elias Roberts</x:v>
      </x:c>
      <x:c r="E431" s="84" t="str">
        <x:v>Consumer</x:v>
      </x:c>
      <x:c r="F431" s="84" t="str">
        <x:v>West </x:v>
      </x:c>
      <x:c r="G431" s="84" t="str">
        <x:v>Los Angeles</x:v>
      </x:c>
      <x:c r="H431" s="84" t="str">
        <x:v>Retail Store</x:v>
      </x:c>
      <x:c r="I431" s="84" t="str">
        <x:v>FITN-004</x:v>
      </x:c>
      <x:c r="J431" s="86" t="n">
        <x:v>1</x:v>
      </x:c>
      <x:c r="K431" s="87" t="n">
        <x:v>0</x:v>
      </x:c>
      <x:c r="L431" s="84" t="str">
        <x:v>Completed</x:v>
      </x:c>
      <x:c r="M431" s="84" t="str">
        <x:v>Debit Card</x:v>
      </x:c>
      <x:c r="N431" s="84" t="str">
        <x:v>leo martinez</x:v>
      </x:c>
      <x:c r="O431" s="85" t="n">
        <x:v>45453</x:v>
      </x:c>
      <x:c r="P431" s="84" t="str">
        <x:v>POS_2024_06</x:v>
      </x:c>
      <x:c r="Q431" s="84" t="str">
        <x:v>Fitness Tracker</x:v>
      </x:c>
      <x:c r="R431" s="84" t="str">
        <x:v>Fitness</x:v>
      </x:c>
    </x:row>
    <x:row r="432">
      <x:c r="A432" s="84" t="str">
        <x:v>ORD-2024-01099</x:v>
      </x:c>
      <x:c r="B432" s="85" t="n">
        <x:v>45453</x:v>
      </x:c>
      <x:c r="C432" s="84" t="str">
        <x:v>CUST-0485</x:v>
      </x:c>
      <x:c r="D432" s="84" t="str">
        <x:v>Elias Ortiz</x:v>
      </x:c>
      <x:c r="E432" s="84" t="str">
        <x:v>Consumer </x:v>
      </x:c>
      <x:c r="F432" s="84" t="str">
        <x:v>Southeast</x:v>
      </x:c>
      <x:c r="G432" s="84" t="str">
        <x:v>Atlanta </x:v>
      </x:c>
      <x:c r="H432" s="84" t="str">
        <x:v>Online</x:v>
      </x:c>
      <x:c r="I432" s="84" t="str">
        <x:v>FITN-006</x:v>
      </x:c>
      <x:c r="J432" s="86" t="n">
        <x:v>2</x:v>
      </x:c>
      <x:c r="K432" s="87" t="n">
        <x:v>0</x:v>
      </x:c>
      <x:c r="L432" s="84" t="str">
        <x:v>Completed</x:v>
      </x:c>
      <x:c r="M432" s="84" t="str">
        <x:v> MOBILE WALLET </x:v>
      </x:c>
      <x:c r="N432" s="84" t="str">
        <x:v>Noah Reed</x:v>
      </x:c>
      <x:c r="O432" s="85" t="n">
        <x:v>45457</x:v>
      </x:c>
      <x:c r="P432" s="84" t="str">
        <x:v>WEB_2024_06</x:v>
      </x:c>
      <x:c r="Q432" s="84" t="str">
        <x:v>Foam Roller</x:v>
      </x:c>
      <x:c r="R432" s="84" t="str">
        <x:v>Fitness</x:v>
      </x:c>
    </x:row>
    <x:row r="433">
      <x:c r="A433" s="84" t="str">
        <x:v>ORD-2024-01769</x:v>
      </x:c>
      <x:c r="B433" s="85" t="n">
        <x:v>45453</x:v>
      </x:c>
      <x:c r="C433" s="84" t="str">
        <x:v>CUST-0090</x:v>
      </x:c>
      <x:c r="D433" s="84" t="str">
        <x:v>Jasmine Baker </x:v>
      </x:c>
      <x:c r="E433" s="84" t="str"/>
      <x:c r="F433" s="84" t="str">
        <x:v>West</x:v>
      </x:c>
      <x:c r="G433" s="84" t="str">
        <x:v>Los Angeles</x:v>
      </x:c>
      <x:c r="H433" s="84" t="str">
        <x:v>Marketplace</x:v>
      </x:c>
      <x:c r="I433" s="84" t="str">
        <x:v>ACCS-005</x:v>
      </x:c>
      <x:c r="J433" s="86" t="n">
        <x:v>2</x:v>
      </x:c>
      <x:c r="K433" s="87" t="n">
        <x:v>0.05</x:v>
      </x:c>
      <x:c r="L433" s="84" t="str">
        <x:v>Completed</x:v>
      </x:c>
      <x:c r="M433" s="84" t="str">
        <x:v>Credit Card </x:v>
      </x:c>
      <x:c r="N433" s="84" t="str">
        <x:v>Leo Martinez</x:v>
      </x:c>
      <x:c r="O433" s="85" t="n">
        <x:v>45457</x:v>
      </x:c>
      <x:c r="P433" s="84" t="str">
        <x:v>MKT_2024_06</x:v>
      </x:c>
      <x:c r="Q433" s="84" t="str">
        <x:v>protective phone case</x:v>
      </x:c>
      <x:c r="R433" s="84" t="str">
        <x:v>Accessories</x:v>
      </x:c>
    </x:row>
    <x:row r="434">
      <x:c r="A434" s="84" t="str">
        <x:v>ORD-2024-01888</x:v>
      </x:c>
      <x:c r="B434" s="85" t="n">
        <x:v>45453</x:v>
      </x:c>
      <x:c r="C434" s="84" t="str">
        <x:v>CUST-0133</x:v>
      </x:c>
      <x:c r="D434" s="84" t="str">
        <x:v>caleb evans</x:v>
      </x:c>
      <x:c r="E434" s="84" t="str">
        <x:v>Small Business</x:v>
      </x:c>
      <x:c r="F434" s="84" t="str">
        <x:v>West</x:v>
      </x:c>
      <x:c r="G434" s="84" t="str">
        <x:v>Seattle</x:v>
      </x:c>
      <x:c r="H434" s="84" t="str">
        <x:v>Online</x:v>
      </x:c>
      <x:c r="I434" s="84" t="str">
        <x:v>ACCS-001</x:v>
      </x:c>
      <x:c r="J434" s="86" t="n">
        <x:v>2</x:v>
      </x:c>
      <x:c r="K434" s="87" t="n">
        <x:v>0.15</x:v>
      </x:c>
      <x:c r="L434" s="84" t="str">
        <x:v>Completed</x:v>
      </x:c>
      <x:c r="M434" s="84" t="str">
        <x:v>Mobile Wallet </x:v>
      </x:c>
      <x:c r="N434" s="84" t="str">
        <x:v>Mia Chen</x:v>
      </x:c>
      <x:c r="O434" s="85" t="n">
        <x:v>45456</x:v>
      </x:c>
      <x:c r="P434" s="84" t="str">
        <x:v>WEB_2024_06</x:v>
      </x:c>
      <x:c r="Q434" s="84" t="str">
        <x:v>Canvas Tote Bag</x:v>
      </x:c>
      <x:c r="R434" s="84" t="str">
        <x:v>Accessories</x:v>
      </x:c>
    </x:row>
    <x:row r="435">
      <x:c r="A435" s="84" t="str">
        <x:v>ORD-2024-00547</x:v>
      </x:c>
      <x:c r="B435" s="85" t="n">
        <x:v>45454</x:v>
      </x:c>
      <x:c r="C435" s="84" t="str">
        <x:v>CUST-0303</x:v>
      </x:c>
      <x:c r="D435" s="84" t="str">
        <x:v>Caleb Roberts</x:v>
      </x:c>
      <x:c r="E435" s="84" t="str">
        <x:v>Corporate</x:v>
      </x:c>
      <x:c r="F435" s="84" t="str">
        <x:v>west</x:v>
      </x:c>
      <x:c r="G435" s="84" t="str">
        <x:v>Seattle</x:v>
      </x:c>
      <x:c r="H435" s="84" t="str">
        <x:v>Retail Store</x:v>
      </x:c>
      <x:c r="I435" s="84" t="str">
        <x:v>CARE-001</x:v>
      </x:c>
      <x:c r="J435" s="86" t="n">
        <x:v>3</x:v>
      </x:c>
      <x:c r="K435" s="87" t="n">
        <x:v>0.15</x:v>
      </x:c>
      <x:c r="L435" s="84" t="str">
        <x:v>Completed</x:v>
      </x:c>
      <x:c r="M435" s="84" t="str">
        <x:v>Credit Card</x:v>
      </x:c>
      <x:c r="N435" s="84" t="str">
        <x:v> NORA KIM </x:v>
      </x:c>
      <x:c r="O435" s="85" t="n">
        <x:v>45455</x:v>
      </x:c>
      <x:c r="P435" s="84" t="str">
        <x:v>POS_2024_06</x:v>
      </x:c>
      <x:c r="Q435" s="84" t="str">
        <x:v>Ionic Hair Dryer </x:v>
      </x:c>
      <x:c r="R435" s="84" t="str">
        <x:v>Personal Care</x:v>
      </x:c>
    </x:row>
    <x:row r="436">
      <x:c r="A436" s="84" t="str">
        <x:v>ORD-2024-01508</x:v>
      </x:c>
      <x:c r="B436" s="85" t="n">
        <x:v>45454</x:v>
      </x:c>
      <x:c r="C436" s="84" t="str">
        <x:v>CUST-0461</x:v>
      </x:c>
      <x:c r="D436" s="84" t="str">
        <x:v>Nina Irwin</x:v>
      </x:c>
      <x:c r="E436" s="84" t="str">
        <x:v>Corporate</x:v>
      </x:c>
      <x:c r="F436" s="84" t="str">
        <x:v>Southeast</x:v>
      </x:c>
      <x:c r="G436" s="84" t="str">
        <x:v>Miami</x:v>
      </x:c>
      <x:c r="H436" s="84" t="str">
        <x:v>Marketplace </x:v>
      </x:c>
      <x:c r="I436" s="84" t="str">
        <x:v>ELEC-006</x:v>
      </x:c>
      <x:c r="J436" s="86" t="n">
        <x:v>3</x:v>
      </x:c>
      <x:c r="K436" s="87" t="n">
        <x:v>0.15</x:v>
      </x:c>
      <x:c r="L436" s="84" t="str">
        <x:v>Completed</x:v>
      </x:c>
      <x:c r="M436" s="84" t="str">
        <x:v>Debit Card</x:v>
      </x:c>
      <x:c r="N436" s="84" t="str">
        <x:v>Ava Mitchell</x:v>
      </x:c>
      <x:c r="O436" s="85" t="n">
        <x:v>45460</x:v>
      </x:c>
      <x:c r="P436" s="84" t="str">
        <x:v>MKT_2024_06</x:v>
      </x:c>
      <x:c r="Q436" s="84" t="str">
        <x:v>Portable SSD</x:v>
      </x:c>
      <x:c r="R436" s="84" t="str">
        <x:v>Electronics</x:v>
      </x:c>
    </x:row>
    <x:row r="437">
      <x:c r="A437" s="84" t="str">
        <x:v>ORD-2024-02197</x:v>
      </x:c>
      <x:c r="B437" s="85" t="n">
        <x:v>45454</x:v>
      </x:c>
      <x:c r="C437" s="84" t="str">
        <x:v>CUST-0289</x:v>
      </x:c>
      <x:c r="D437" s="84" t="str">
        <x:v>Chloe Patel</x:v>
      </x:c>
      <x:c r="E437" s="84" t="str">
        <x:v>Consumer</x:v>
      </x:c>
      <x:c r="F437" s="84" t="str">
        <x:v>west</x:v>
      </x:c>
      <x:c r="G437" s="84" t="str">
        <x:v>Denver</x:v>
      </x:c>
      <x:c r="H437" s="84" t="str">
        <x:v>Retail Store</x:v>
      </x:c>
      <x:c r="I437" s="84" t="str">
        <x:v>ELEC-002</x:v>
      </x:c>
      <x:c r="J437" s="86" t="n">
        <x:v>3</x:v>
      </x:c>
      <x:c r="K437" s="87" t="n">
        <x:v>0</x:v>
      </x:c>
      <x:c r="L437" s="84" t="str">
        <x:v>Completed </x:v>
      </x:c>
      <x:c r="M437" s="84" t="str">
        <x:v>Mobile Wallet</x:v>
      </x:c>
      <x:c r="N437" s="84" t="str">
        <x:v>Nora Kim</x:v>
      </x:c>
      <x:c r="O437" s="85" t="n">
        <x:v>45454</x:v>
      </x:c>
      <x:c r="P437" s="84" t="str">
        <x:v>POS_2024_06</x:v>
      </x:c>
      <x:c r="Q437" s="84" t="str">
        <x:v> SMARTWATCH </x:v>
      </x:c>
      <x:c r="R437" s="84" t="str">
        <x:v>Electronics</x:v>
      </x:c>
    </x:row>
    <x:row r="438">
      <x:c r="A438" s="84" t="str">
        <x:v>ORD-2024-00734</x:v>
      </x:c>
      <x:c r="B438" s="85" t="n">
        <x:v>45455</x:v>
      </x:c>
      <x:c r="C438" s="84" t="str">
        <x:v>CUST-0012</x:v>
      </x:c>
      <x:c r="D438" s="84" t="str">
        <x:v>William Lewis</x:v>
      </x:c>
      <x:c r="E438" s="84" t="str">
        <x:v>Consumer</x:v>
      </x:c>
      <x:c r="F438" s="84" t="str">
        <x:v>west</x:v>
      </x:c>
      <x:c r="G438" s="84" t="str">
        <x:v>Denver</x:v>
      </x:c>
      <x:c r="H438" s="84" t="str">
        <x:v>Retail Store</x:v>
      </x:c>
      <x:c r="I438" s="84" t="str">
        <x:v>HOME-002</x:v>
      </x:c>
      <x:c r="J438" s="86" t="n">
        <x:v>2</x:v>
      </x:c>
      <x:c r="K438" s="87" t="n">
        <x:v>0</x:v>
      </x:c>
      <x:c r="L438" s="84" t="str">
        <x:v>Completed </x:v>
      </x:c>
      <x:c r="M438" s="84" t="str">
        <x:v>Cash</x:v>
      </x:c>
      <x:c r="N438" s="84" t="str">
        <x:v> LEO MARTINEZ </x:v>
      </x:c>
      <x:c r="O438" s="85" t="n">
        <x:v>45456</x:v>
      </x:c>
      <x:c r="P438" s="84" t="str">
        <x:v>POS_2024_06</x:v>
      </x:c>
      <x:c r="Q438" s="84" t="str">
        <x:v>Electric Kettle</x:v>
      </x:c>
      <x:c r="R438" s="84" t="str">
        <x:v>Home &amp; Kitchen</x:v>
      </x:c>
    </x:row>
    <x:row r="439">
      <x:c r="A439" s="84" t="str">
        <x:v>ORD-2024-00215</x:v>
      </x:c>
      <x:c r="B439" s="85" t="n">
        <x:v>45456</x:v>
      </x:c>
      <x:c r="C439" s="84" t="str">
        <x:v>CUST-0358</x:v>
      </x:c>
      <x:c r="D439" s="84" t="str">
        <x:v>Grace Roberts </x:v>
      </x:c>
      <x:c r="E439" s="84" t="str">
        <x:v>Consumer</x:v>
      </x:c>
      <x:c r="F439" s="84" t="str">
        <x:v>West</x:v>
      </x:c>
      <x:c r="G439" s="84" t="str">
        <x:v>Seattle</x:v>
      </x:c>
      <x:c r="H439" s="84" t="str">
        <x:v>Retail Store</x:v>
      </x:c>
      <x:c r="I439" s="84" t="str">
        <x:v>HOME-005</x:v>
      </x:c>
      <x:c r="J439" s="86" t="n">
        <x:v>1</x:v>
      </x:c>
      <x:c r="K439" s="87" t="n">
        <x:v>0</x:v>
      </x:c>
      <x:c r="L439" s="84" t="str">
        <x:v>Completed</x:v>
      </x:c>
      <x:c r="M439" s="84" t="str">
        <x:v> DEBIT CARD </x:v>
      </x:c>
      <x:c r="N439" s="84" t="str">
        <x:v>Nora Kim</x:v>
      </x:c>
      <x:c r="O439" s="85" t="n">
        <x:v>45457</x:v>
      </x:c>
      <x:c r="P439" s="84" t="str">
        <x:v>POS_2024_06</x:v>
      </x:c>
      <x:c r="Q439" s="84" t="str">
        <x:v>Cordless Vacuum</x:v>
      </x:c>
      <x:c r="R439" s="84" t="str">
        <x:v>Home &amp; Kitchen</x:v>
      </x:c>
    </x:row>
    <x:row r="440">
      <x:c r="A440" s="84" t="str">
        <x:v>ORD-2024-00233</x:v>
      </x:c>
      <x:c r="B440" s="85" t="n">
        <x:v>45456</x:v>
      </x:c>
      <x:c r="C440" s="84" t="str">
        <x:v>CUST-0231</x:v>
      </x:c>
      <x:c r="D440" s="84" t="str">
        <x:v>Elias Quinn</x:v>
      </x:c>
      <x:c r="E440" s="84" t="str">
        <x:v>Consumer</x:v>
      </x:c>
      <x:c r="F440" s="84" t="str">
        <x:v>Southeast</x:v>
      </x:c>
      <x:c r="G440" s="84" t="str">
        <x:v>Nashville</x:v>
      </x:c>
      <x:c r="H440" s="84" t="str">
        <x:v>Online</x:v>
      </x:c>
      <x:c r="I440" s="84" t="str">
        <x:v>FITN-004</x:v>
      </x:c>
      <x:c r="J440" s="86" t="n">
        <x:v>1</x:v>
      </x:c>
      <x:c r="K440" s="87" t="n">
        <x:v>0</x:v>
      </x:c>
      <x:c r="L440" s="84" t="str">
        <x:v>Returned</x:v>
      </x:c>
      <x:c r="M440" s="84" t="str">
        <x:v>Mobile Wallet</x:v>
      </x:c>
      <x:c r="N440" s="84" t="str">
        <x:v>noah reed</x:v>
      </x:c>
      <x:c r="O440" s="85" t="n">
        <x:v>45459</x:v>
      </x:c>
      <x:c r="P440" s="84" t="str">
        <x:v>WEB_2024_06</x:v>
      </x:c>
      <x:c r="Q440" s="84" t="str">
        <x:v>Fitness Tracker</x:v>
      </x:c>
      <x:c r="R440" s="84" t="str">
        <x:v>Fitness </x:v>
      </x:c>
    </x:row>
    <x:row r="441">
      <x:c r="A441" s="84" t="str">
        <x:v>ORD-2024-00695</x:v>
      </x:c>
      <x:c r="B441" s="85" t="n">
        <x:v>45456</x:v>
      </x:c>
      <x:c r="C441" s="84" t="str">
        <x:v>CUST-0605</x:v>
      </x:c>
      <x:c r="D441" s="84" t="str">
        <x:v>Layla Adams</x:v>
      </x:c>
      <x:c r="E441" s="84" t="str">
        <x:v>Consumer</x:v>
      </x:c>
      <x:c r="F441" s="84" t="str">
        <x:v>Northeast</x:v>
      </x:c>
      <x:c r="G441" s="84" t="str">
        <x:v>Philadelphia</x:v>
      </x:c>
      <x:c r="H441" s="84" t="str">
        <x:v>Marketplace</x:v>
      </x:c>
      <x:c r="I441" s="84" t="str">
        <x:v>CARE-002</x:v>
      </x:c>
      <x:c r="J441" s="86" t="n">
        <x:v>2</x:v>
      </x:c>
      <x:c r="K441" s="87" t="n">
        <x:v>0</x:v>
      </x:c>
      <x:c r="L441" s="84" t="str">
        <x:v>Returned</x:v>
      </x:c>
      <x:c r="M441" s="84" t="str">
        <x:v>Credit Card</x:v>
      </x:c>
      <x:c r="N441" s="84" t="str">
        <x:v>maya brooks</x:v>
      </x:c>
      <x:c r="O441" s="85" t="n">
        <x:v>45462</x:v>
      </x:c>
      <x:c r="P441" s="84" t="str">
        <x:v>MKT_2024_06</x:v>
      </x:c>
      <x:c r="Q441" s="84" t="str">
        <x:v>Rechargeable Trimmer</x:v>
      </x:c>
      <x:c r="R441" s="84" t="str">
        <x:v> PERSONAL CARE </x:v>
      </x:c>
    </x:row>
    <x:row r="442">
      <x:c r="A442" s="84" t="str">
        <x:v>ORD-2024-01338</x:v>
      </x:c>
      <x:c r="B442" s="85" t="n">
        <x:v>45456</x:v>
      </x:c>
      <x:c r="C442" s="84" t="str">
        <x:v>CUST-0144</x:v>
      </x:c>
      <x:c r="D442" s="84" t="str">
        <x:v>grace patel</x:v>
      </x:c>
      <x:c r="E442" s="84" t="str">
        <x:v>Corporate</x:v>
      </x:c>
      <x:c r="F442" s="84" t="str">
        <x:v>West</x:v>
      </x:c>
      <x:c r="G442" s="84" t="str">
        <x:v>Phoenix</x:v>
      </x:c>
      <x:c r="H442" s="84" t="str">
        <x:v>Retail Store</x:v>
      </x:c>
      <x:c r="I442" s="84" t="str">
        <x:v>CARE-003</x:v>
      </x:c>
      <x:c r="J442" s="86" t="n">
        <x:v>2</x:v>
      </x:c>
      <x:c r="K442" s="87" t="n">
        <x:v>0.1</x:v>
      </x:c>
      <x:c r="L442" s="84" t="str">
        <x:v>Completed</x:v>
      </x:c>
      <x:c r="M442" s="84" t="str">
        <x:v>Credit Card</x:v>
      </x:c>
      <x:c r="N442" s="84" t="str">
        <x:v>Mia Chen</x:v>
      </x:c>
      <x:c r="O442" s="85" t="n">
        <x:v>45456</x:v>
      </x:c>
      <x:c r="P442" s="84" t="str">
        <x:v>POS_2024_06</x:v>
      </x:c>
      <x:c r="Q442" s="84" t="str">
        <x:v>Facial Cleanser </x:v>
      </x:c>
      <x:c r="R442" s="84" t="str">
        <x:v>Personal Care</x:v>
      </x:c>
    </x:row>
    <x:row r="443">
      <x:c r="A443" s="84" t="str">
        <x:v>ORD-2024-01573</x:v>
      </x:c>
      <x:c r="B443" s="85" t="n">
        <x:v>45456</x:v>
      </x:c>
      <x:c r="C443" s="84" t="str">
        <x:v>CUST-0366</x:v>
      </x:c>
      <x:c r="D443" s="84" t="str">
        <x:v>Priya Foster </x:v>
      </x:c>
      <x:c r="E443" s="84" t="str">
        <x:v>corporate</x:v>
      </x:c>
      <x:c r="F443" s="84" t="str">
        <x:v>Southeast</x:v>
      </x:c>
      <x:c r="G443" s="84" t="str">
        <x:v>Charlotte</x:v>
      </x:c>
      <x:c r="H443" s="84" t="str">
        <x:v>online</x:v>
      </x:c>
      <x:c r="I443" s="84" t="str">
        <x:v>OFFC-001</x:v>
      </x:c>
      <x:c r="J443" s="86" t="n">
        <x:v>4</x:v>
      </x:c>
      <x:c r="K443" s="87" t="n">
        <x:v>0.05</x:v>
      </x:c>
      <x:c r="L443" s="84" t="str">
        <x:v>Completed</x:v>
      </x:c>
      <x:c r="M443" s="84" t="str">
        <x:v>Debit Card </x:v>
      </x:c>
      <x:c r="N443" s="84" t="str">
        <x:v>Ava Mitchell</x:v>
      </x:c>
      <x:c r="O443" s="85" t="n">
        <x:v>45459</x:v>
      </x:c>
      <x:c r="P443" s="84" t="str">
        <x:v>WEB_2024_06</x:v>
      </x:c>
      <x:c r="Q443" s="84" t="str">
        <x:v>Ergonomic Chair</x:v>
      </x:c>
      <x:c r="R443" s="84" t="str">
        <x:v>Office</x:v>
      </x:c>
    </x:row>
    <x:row r="444">
      <x:c r="A444" s="84" t="str">
        <x:v>ORD-2024-00590</x:v>
      </x:c>
      <x:c r="B444" s="85" t="n">
        <x:v>45458</x:v>
      </x:c>
      <x:c r="C444" s="84" t="str">
        <x:v>CUST-0527</x:v>
      </x:c>
      <x:c r="D444" s="84" t="str">
        <x:v>theo hall</x:v>
      </x:c>
      <x:c r="E444" s="84" t="str">
        <x:v>Consumer</x:v>
      </x:c>
      <x:c r="F444" s="84" t="str">
        <x:v>Southeast</x:v>
      </x:c>
      <x:c r="G444" s="84" t="str">
        <x:v>Nashville</x:v>
      </x:c>
      <x:c r="H444" s="84" t="str">
        <x:v>Online</x:v>
      </x:c>
      <x:c r="I444" s="84" t="str">
        <x:v>FITN-004</x:v>
      </x:c>
      <x:c r="J444" s="86" t="n">
        <x:v>1</x:v>
      </x:c>
      <x:c r="K444" s="87" t="n">
        <x:v>0</x:v>
      </x:c>
      <x:c r="L444" s="84" t="str">
        <x:v>Completed</x:v>
      </x:c>
      <x:c r="M444" s="84" t="str">
        <x:v>Credit Card</x:v>
      </x:c>
      <x:c r="N444" s="84" t="str">
        <x:v>Ava Mitchell</x:v>
      </x:c>
      <x:c r="O444" s="85" t="n">
        <x:v>45462</x:v>
      </x:c>
      <x:c r="P444" s="84" t="str">
        <x:v>WEB_2024_06</x:v>
      </x:c>
      <x:c r="Q444" s="84" t="str">
        <x:v>Fitness Tracker</x:v>
      </x:c>
      <x:c r="R444" s="84" t="str">
        <x:v>Fitness </x:v>
      </x:c>
    </x:row>
    <x:row r="445">
      <x:c r="A445" s="84" t="str">
        <x:v>ORD-2024-01135</x:v>
      </x:c>
      <x:c r="B445" s="85" t="n">
        <x:v>45458</x:v>
      </x:c>
      <x:c r="C445" s="84" t="str">
        <x:v>CUST-0638</x:v>
      </x:c>
      <x:c r="D445" s="84" t="str">
        <x:v>Zara Roberts</x:v>
      </x:c>
      <x:c r="E445" s="84" t="str">
        <x:v>Consumer</x:v>
      </x:c>
      <x:c r="F445" s="84" t="str">
        <x:v>Northeast</x:v>
      </x:c>
      <x:c r="G445" s="84" t="str">
        <x:v>Philadelphia</x:v>
      </x:c>
      <x:c r="H445" s="84" t="str">
        <x:v>Marketplace</x:v>
      </x:c>
      <x:c r="I445" s="84" t="str">
        <x:v>ELEC-005</x:v>
      </x:c>
      <x:c r="J445" s="86" t="n">
        <x:v>2</x:v>
      </x:c>
      <x:c r="K445" s="87" t="n">
        <x:v>0.05</x:v>
      </x:c>
      <x:c r="L445" s="84" t="str">
        <x:v>Completed</x:v>
      </x:c>
      <x:c r="M445" s="84" t="str">
        <x:v>Debit Card</x:v>
      </x:c>
      <x:c r="N445" s="84" t="str">
        <x:v>ethan cole</x:v>
      </x:c>
      <x:c r="O445" s="85" t="n">
        <x:v>45465</x:v>
      </x:c>
      <x:c r="P445" s="84" t="str">
        <x:v>MKT_2024_06</x:v>
      </x:c>
      <x:c r="Q445" s="84" t="str">
        <x:v>HD Webcam </x:v>
      </x:c>
      <x:c r="R445" s="84" t="str">
        <x:v>Electronics</x:v>
      </x:c>
    </x:row>
    <x:row r="446">
      <x:c r="A446" s="84" t="str">
        <x:v>ORD-2024-00126</x:v>
      </x:c>
      <x:c r="B446" s="85" t="n">
        <x:v>45459</x:v>
      </x:c>
      <x:c r="C446" s="84" t="str">
        <x:v>CUST-0293</x:v>
      </x:c>
      <x:c r="D446" s="84" t="str">
        <x:v>Marcus Johnson</x:v>
      </x:c>
      <x:c r="E446" s="84" t="str">
        <x:v>Consumer </x:v>
      </x:c>
      <x:c r="F446" s="84" t="str">
        <x:v>West</x:v>
      </x:c>
      <x:c r="G446" s="84" t="str">
        <x:v>Denver </x:v>
      </x:c>
      <x:c r="H446" s="84" t="str">
        <x:v>Retail Store</x:v>
      </x:c>
      <x:c r="I446" s="84" t="str">
        <x:v>FITN-001</x:v>
      </x:c>
      <x:c r="J446" s="86" t="n">
        <x:v>1</x:v>
      </x:c>
      <x:c r="K446" s="87" t="n">
        <x:v>0</x:v>
      </x:c>
      <x:c r="L446" s="84" t="str">
        <x:v>Completed</x:v>
      </x:c>
      <x:c r="M446" s="84" t="str">
        <x:v>Mobile Wallet</x:v>
      </x:c>
      <x:c r="N446" s="84" t="str">
        <x:v>Nora Kim</x:v>
      </x:c>
      <x:c r="O446" s="85" t="n">
        <x:v>45459</x:v>
      </x:c>
      <x:c r="P446" s="84" t="str">
        <x:v>POS_2024_06</x:v>
      </x:c>
      <x:c r="Q446" s="84" t="str">
        <x:v>Yoga Mat</x:v>
      </x:c>
      <x:c r="R446" s="84" t="str">
        <x:v>Fitness</x:v>
      </x:c>
    </x:row>
    <x:row r="447">
      <x:c r="A447" s="84" t="str">
        <x:v>ORD-2024-00524</x:v>
      </x:c>
      <x:c r="B447" s="85" t="n">
        <x:v>45459</x:v>
      </x:c>
      <x:c r="C447" s="84" t="str">
        <x:v>CUST-0080</x:v>
      </x:c>
      <x:c r="D447" s="84" t="str">
        <x:v> MAYA PATEL </x:v>
      </x:c>
      <x:c r="E447" s="84" t="str">
        <x:v>Corporate</x:v>
      </x:c>
      <x:c r="F447" s="84" t="str">
        <x:v> MIDWEST </x:v>
      </x:c>
      <x:c r="G447" s="84" t="str">
        <x:v>Columbus</x:v>
      </x:c>
      <x:c r="H447" s="84" t="str">
        <x:v>Retail Store</x:v>
      </x:c>
      <x:c r="I447" s="84" t="str">
        <x:v>FITN-003</x:v>
      </x:c>
      <x:c r="J447" s="86" t="n">
        <x:v>1</x:v>
      </x:c>
      <x:c r="K447" s="87" t="n">
        <x:v>0.1</x:v>
      </x:c>
      <x:c r="L447" s="84" t="str">
        <x:v>Completed </x:v>
      </x:c>
      <x:c r="M447" s="84" t="str">
        <x:v>Cash</x:v>
      </x:c>
      <x:c r="N447" s="84" t="str">
        <x:v>Emma Hayes</x:v>
      </x:c>
      <x:c r="O447" s="85" t="n">
        <x:v>45459</x:v>
      </x:c>
      <x:c r="P447" s="84" t="str">
        <x:v>POS_2024_06</x:v>
      </x:c>
      <x:c r="Q447" s="84" t="str">
        <x:v>Resistance Band Set</x:v>
      </x:c>
      <x:c r="R447" s="84" t="str">
        <x:v>Fitness</x:v>
      </x:c>
    </x:row>
    <x:row r="448">
      <x:c r="A448" s="84" t="str">
        <x:v>ORD-2024-00598</x:v>
      </x:c>
      <x:c r="B448" s="85" t="n">
        <x:v>45459</x:v>
      </x:c>
      <x:c r="C448" s="84" t="str">
        <x:v>CUST-0157</x:v>
      </x:c>
      <x:c r="D448" s="84" t="str">
        <x:v>Isaac Smith</x:v>
      </x:c>
      <x:c r="E448" s="84" t="str">
        <x:v>Corporate</x:v>
      </x:c>
      <x:c r="F448" s="84" t="str">
        <x:v>West</x:v>
      </x:c>
      <x:c r="G448" s="84" t="str">
        <x:v>los angeles</x:v>
      </x:c>
      <x:c r="H448" s="84" t="str">
        <x:v>Online </x:v>
      </x:c>
      <x:c r="I448" s="84" t="str">
        <x:v>OFFC-002</x:v>
      </x:c>
      <x:c r="J448" s="86" t="n">
        <x:v>5</x:v>
      </x:c>
      <x:c r="K448" s="87" t="n">
        <x:v>0</x:v>
      </x:c>
      <x:c r="L448" s="84" t="str">
        <x:v>completed</x:v>
      </x:c>
      <x:c r="M448" s="84" t="str">
        <x:v>Debit Card</x:v>
      </x:c>
      <x:c r="N448" s="84" t="str">
        <x:v> LEO MARTINEZ </x:v>
      </x:c>
      <x:c r="O448" s="85" t="n">
        <x:v>45463</x:v>
      </x:c>
      <x:c r="P448" s="84" t="str">
        <x:v>WEB_2024_06</x:v>
      </x:c>
      <x:c r="Q448" s="84" t="str">
        <x:v>Standing Desk</x:v>
      </x:c>
      <x:c r="R448" s="84" t="str">
        <x:v>Office</x:v>
      </x:c>
    </x:row>
    <x:row r="449">
      <x:c r="A449" s="84" t="str">
        <x:v>ORD-2024-00781</x:v>
      </x:c>
      <x:c r="B449" s="85" t="n">
        <x:v>45459</x:v>
      </x:c>
      <x:c r="C449" s="84" t="str">
        <x:v>CUST-0382</x:v>
      </x:c>
      <x:c r="D449" s="84" t="str">
        <x:v>Samuel Adams</x:v>
      </x:c>
      <x:c r="E449" s="84" t="str">
        <x:v>corporate</x:v>
      </x:c>
      <x:c r="F449" s="84" t="str">
        <x:v>Northeast </x:v>
      </x:c>
      <x:c r="G449" s="84" t="str">
        <x:v>Boston</x:v>
      </x:c>
      <x:c r="H449" s="84" t="str">
        <x:v>online</x:v>
      </x:c>
      <x:c r="I449" s="84" t="str">
        <x:v>HOME-004</x:v>
      </x:c>
      <x:c r="J449" s="86" t="n">
        <x:v>1</x:v>
      </x:c>
      <x:c r="K449" s="87" t="n">
        <x:v>0</x:v>
      </x:c>
      <x:c r="L449" s="84" t="str">
        <x:v>Completed</x:v>
      </x:c>
      <x:c r="M449" s="84" t="str">
        <x:v>Mobile Wallet</x:v>
      </x:c>
      <x:c r="N449" s="84" t="str">
        <x:v>Ethan Cole </x:v>
      </x:c>
      <x:c r="O449" s="85" t="n">
        <x:v>45462</x:v>
      </x:c>
      <x:c r="P449" s="84" t="str">
        <x:v>WEB_2024_06</x:v>
      </x:c>
      <x:c r="Q449" s="84" t="str">
        <x:v>Coffee Maker</x:v>
      </x:c>
      <x:c r="R449" s="84" t="str">
        <x:v>Home &amp; Kitchen</x:v>
      </x:c>
    </x:row>
    <x:row r="450">
      <x:c r="A450" s="84" t="str">
        <x:v>ORD-2024-01937</x:v>
      </x:c>
      <x:c r="B450" s="85" t="n">
        <x:v>45459</x:v>
      </x:c>
      <x:c r="C450" s="84" t="str">
        <x:v>CUST-0386</x:v>
      </x:c>
      <x:c r="D450" s="84" t="str">
        <x:v>Marcus Foster </x:v>
      </x:c>
      <x:c r="E450" s="84" t="str">
        <x:v>Small Business</x:v>
      </x:c>
      <x:c r="F450" s="84" t="str">
        <x:v>Southeast</x:v>
      </x:c>
      <x:c r="G450" s="84" t="str">
        <x:v>Miami</x:v>
      </x:c>
      <x:c r="H450" s="84" t="str">
        <x:v>Retail Store</x:v>
      </x:c>
      <x:c r="I450" s="84" t="str">
        <x:v>CARE-006</x:v>
      </x:c>
      <x:c r="J450" s="86" t="n">
        <x:v>2</x:v>
      </x:c>
      <x:c r="K450" s="87" t="n">
        <x:v>0.05</x:v>
      </x:c>
      <x:c r="L450" s="84" t="str">
        <x:v>Completed</x:v>
      </x:c>
      <x:c r="M450" s="84" t="str">
        <x:v>Cash </x:v>
      </x:c>
      <x:c r="N450" s="84" t="str">
        <x:v>Ava Mitchell</x:v>
      </x:c>
      <x:c r="O450" s="85" t="n">
        <x:v>45460</x:v>
      </x:c>
      <x:c r="P450" s="84" t="str">
        <x:v>POS_2024_06</x:v>
      </x:c>
      <x:c r="Q450" s="84" t="str">
        <x:v>Percussion Massage Gun</x:v>
      </x:c>
      <x:c r="R450" s="84" t="str">
        <x:v>Personal Care</x:v>
      </x:c>
    </x:row>
    <x:row r="451">
      <x:c r="A451" s="84" t="str">
        <x:v>ORD-2024-00149</x:v>
      </x:c>
      <x:c r="B451" s="85" t="n">
        <x:v>45460</x:v>
      </x:c>
      <x:c r="C451" s="84" t="str">
        <x:v>CUST-0026</x:v>
      </x:c>
      <x:c r="D451" s="84" t="str">
        <x:v>Nina Roberts</x:v>
      </x:c>
      <x:c r="E451" s="84" t="str">
        <x:v>Small Business</x:v>
      </x:c>
      <x:c r="F451" s="84" t="str">
        <x:v>West</x:v>
      </x:c>
      <x:c r="G451" s="84" t="str">
        <x:v>Denver</x:v>
      </x:c>
      <x:c r="H451" s="84" t="str">
        <x:v>Online</x:v>
      </x:c>
      <x:c r="I451" s="84" t="str">
        <x:v>OFFC-003</x:v>
      </x:c>
      <x:c r="J451" s="86" t="n">
        <x:v>1</x:v>
      </x:c>
      <x:c r="K451" s="87" t="n">
        <x:v>0.1</x:v>
      </x:c>
      <x:c r="L451" s="84" t="str">
        <x:v>Completed</x:v>
      </x:c>
      <x:c r="M451" s="84" t="str">
        <x:v>Credit Card</x:v>
      </x:c>
      <x:c r="N451" s="84" t="str">
        <x:v>Mia Chen</x:v>
      </x:c>
      <x:c r="O451" s="85" t="n">
        <x:v>45464</x:v>
      </x:c>
      <x:c r="P451" s="84" t="str">
        <x:v>WEB_2024_06</x:v>
      </x:c>
      <x:c r="Q451" s="84" t="str">
        <x:v>LED Desk Lamp</x:v>
      </x:c>
      <x:c r="R451" s="84" t="str">
        <x:v>Office </x:v>
      </x:c>
    </x:row>
    <x:row r="452">
      <x:c r="A452" s="84" t="str">
        <x:v>ORD-2024-00506</x:v>
      </x:c>
      <x:c r="B452" s="85" t="n">
        <x:v>45460</x:v>
      </x:c>
      <x:c r="C452" s="84" t="str">
        <x:v>CUST-0578</x:v>
      </x:c>
      <x:c r="D452" s="84" t="str">
        <x:v>Priya Smith</x:v>
      </x:c>
      <x:c r="E452" s="84" t="str">
        <x:v>corporate</x:v>
      </x:c>
      <x:c r="F452" s="84" t="str">
        <x:v>Northeast</x:v>
      </x:c>
      <x:c r="G452" s="84" t="str">
        <x:v>Newark</x:v>
      </x:c>
      <x:c r="H452" s="84" t="str">
        <x:v>online</x:v>
      </x:c>
      <x:c r="I452" s="84" t="str">
        <x:v>ACCS-002</x:v>
      </x:c>
      <x:c r="J452" s="86" t="n">
        <x:v>5</x:v>
      </x:c>
      <x:c r="K452" s="87" t="n">
        <x:v>0</x:v>
      </x:c>
      <x:c r="L452" s="84" t="str">
        <x:v>Completed</x:v>
      </x:c>
      <x:c r="M452" s="84" t="str">
        <x:v>Mobile Wallet</x:v>
      </x:c>
      <x:c r="N452" s="84" t="str">
        <x:v>Ethan Cole</x:v>
      </x:c>
      <x:c r="O452" s="85" t="n">
        <x:v>45466</x:v>
      </x:c>
      <x:c r="P452" s="84" t="str">
        <x:v>WEB_2024_06</x:v>
      </x:c>
      <x:c r="Q452" s="84" t="str">
        <x:v>Travel Backpack</x:v>
      </x:c>
      <x:c r="R452" s="84" t="str">
        <x:v>Accessories </x:v>
      </x:c>
    </x:row>
    <x:row r="453">
      <x:c r="A453" s="84" t="str">
        <x:v>ORD-2024-01243</x:v>
      </x:c>
      <x:c r="B453" s="85" t="n">
        <x:v>45460</x:v>
      </x:c>
      <x:c r="C453" s="84" t="str">
        <x:v>CUST-0536</x:v>
      </x:c>
      <x:c r="D453" s="84" t="str">
        <x:v>Isaac Adams</x:v>
      </x:c>
      <x:c r="E453" s="84" t="str">
        <x:v>corporate</x:v>
      </x:c>
      <x:c r="F453" s="84" t="str">
        <x:v>Southeast </x:v>
      </x:c>
      <x:c r="G453" s="84" t="str">
        <x:v>Miami</x:v>
      </x:c>
      <x:c r="H453" s="84" t="str">
        <x:v>retail store</x:v>
      </x:c>
      <x:c r="I453" s="84" t="str">
        <x:v>HOME-002</x:v>
      </x:c>
      <x:c r="J453" s="86" t="n">
        <x:v>4</x:v>
      </x:c>
      <x:c r="K453" s="87" t="n">
        <x:v>0</x:v>
      </x:c>
      <x:c r="L453" s="84" t="str">
        <x:v>Completed</x:v>
      </x:c>
      <x:c r="M453" s="84" t="str">
        <x:v>Debit Card</x:v>
      </x:c>
      <x:c r="N453" s="84" t="str">
        <x:v>Noah Reed </x:v>
      </x:c>
      <x:c r="O453" s="85" t="n">
        <x:v>45460</x:v>
      </x:c>
      <x:c r="P453" s="84" t="str">
        <x:v>POS_2024_06</x:v>
      </x:c>
      <x:c r="Q453" s="84" t="str">
        <x:v>Electric Kettle</x:v>
      </x:c>
      <x:c r="R453" s="84" t="str">
        <x:v>Home &amp; Kitchen</x:v>
      </x:c>
    </x:row>
    <x:row r="454">
      <x:c r="A454" s="84" t="str">
        <x:v>ORD-2024-00659</x:v>
      </x:c>
      <x:c r="B454" s="85" t="n">
        <x:v>45461</x:v>
      </x:c>
      <x:c r="C454" s="84" t="str">
        <x:v>CUST-0278</x:v>
      </x:c>
      <x:c r="D454" s="84" t="str">
        <x:v>Sara Ortiz</x:v>
      </x:c>
      <x:c r="E454" s="84" t="str">
        <x:v>Corporate</x:v>
      </x:c>
      <x:c r="F454" s="84" t="str">
        <x:v>Southeast</x:v>
      </x:c>
      <x:c r="G454" s="84" t="str">
        <x:v>Charlotte</x:v>
      </x:c>
      <x:c r="H454" s="84" t="str">
        <x:v>Marketplace</x:v>
      </x:c>
      <x:c r="I454" s="84" t="str">
        <x:v>ELEC-004</x:v>
      </x:c>
      <x:c r="J454" s="86" t="n">
        <x:v>6</x:v>
      </x:c>
      <x:c r="K454" s="87" t="n">
        <x:v>0.05</x:v>
      </x:c>
      <x:c r="L454" s="84" t="str">
        <x:v>Completed</x:v>
      </x:c>
      <x:c r="M454" s="84" t="str">
        <x:v>paypal</x:v>
      </x:c>
      <x:c r="N454" s="84" t="str">
        <x:v>Liam Parker</x:v>
      </x:c>
      <x:c r="O454" s="85" t="n">
        <x:v>45466</x:v>
      </x:c>
      <x:c r="P454" s="84" t="str">
        <x:v>MKT_2024_06</x:v>
      </x:c>
      <x:c r="Q454" s="84" t="str">
        <x:v>Power Bank </x:v>
      </x:c>
      <x:c r="R454" s="84" t="str">
        <x:v>Electronics</x:v>
      </x:c>
    </x:row>
    <x:row r="455">
      <x:c r="A455" s="84" t="str">
        <x:v>ORD-2024-01251</x:v>
      </x:c>
      <x:c r="B455" s="85" t="n">
        <x:v>45461</x:v>
      </x:c>
      <x:c r="C455" s="84" t="str">
        <x:v>CUST-0050</x:v>
      </x:c>
      <x:c r="D455" s="84" t="str">
        <x:v>Isaac Davis </x:v>
      </x:c>
      <x:c r="E455" s="84" t="str">
        <x:v>Consumer</x:v>
      </x:c>
      <x:c r="F455" s="84" t="str">
        <x:v>northeast</x:v>
      </x:c>
      <x:c r="G455" s="84" t="str">
        <x:v> NEWARK </x:v>
      </x:c>
      <x:c r="H455" s="84" t="str">
        <x:v>Retail Store</x:v>
      </x:c>
      <x:c r="I455" s="84" t="str">
        <x:v>FITN-001</x:v>
      </x:c>
      <x:c r="J455" s="86" t="n">
        <x:v>1</x:v>
      </x:c>
      <x:c r="K455" s="87" t="n">
        <x:v>0.15</x:v>
      </x:c>
      <x:c r="L455" s="84" t="str">
        <x:v>Completed</x:v>
      </x:c>
      <x:c r="M455" s="84" t="str">
        <x:v>Credit Card </x:v>
      </x:c>
      <x:c r="N455" s="84" t="str">
        <x:v>Sofia Bennett</x:v>
      </x:c>
      <x:c r="O455" s="85" t="n">
        <x:v>45461</x:v>
      </x:c>
      <x:c r="P455" s="84" t="str">
        <x:v>POS_2024_06</x:v>
      </x:c>
      <x:c r="Q455" s="84" t="str">
        <x:v>Yoga Mat</x:v>
      </x:c>
      <x:c r="R455" s="84" t="str">
        <x:v>Fitness</x:v>
      </x:c>
    </x:row>
    <x:row r="456">
      <x:c r="A456" s="84" t="str">
        <x:v>ORD-2024-01439</x:v>
      </x:c>
      <x:c r="B456" s="85" t="n">
        <x:v>45462</x:v>
      </x:c>
      <x:c r="C456" s="84" t="str">
        <x:v>CUST-0150</x:v>
      </x:c>
      <x:c r="D456" s="84" t="str">
        <x:v>Aiden Carter</x:v>
      </x:c>
      <x:c r="E456" s="84" t="str">
        <x:v>Consumer</x:v>
      </x:c>
      <x:c r="F456" s="84" t="str">
        <x:v>Southeast </x:v>
      </x:c>
      <x:c r="G456" s="84" t="str">
        <x:v>Atlanta</x:v>
      </x:c>
      <x:c r="H456" s="84" t="str">
        <x:v>Online</x:v>
      </x:c>
      <x:c r="I456" s="84" t="str">
        <x:v>ELEC-002</x:v>
      </x:c>
      <x:c r="J456" s="86" t="n">
        <x:v>1</x:v>
      </x:c>
      <x:c r="K456" s="87" t="n">
        <x:v>0</x:v>
      </x:c>
      <x:c r="L456" s="84" t="str">
        <x:v>Completed</x:v>
      </x:c>
      <x:c r="M456" s="84" t="str">
        <x:v> DEBIT CARD </x:v>
      </x:c>
      <x:c r="N456" s="84" t="str">
        <x:v>Ava Mitchell </x:v>
      </x:c>
      <x:c r="O456" s="85" t="n">
        <x:v>45466</x:v>
      </x:c>
      <x:c r="P456" s="84" t="str">
        <x:v>WEB_2024_06</x:v>
      </x:c>
      <x:c r="Q456" s="84" t="str">
        <x:v>smartwatch</x:v>
      </x:c>
      <x:c r="R456" s="84" t="str">
        <x:v>Electronics</x:v>
      </x:c>
    </x:row>
    <x:row r="457">
      <x:c r="A457" s="84" t="str">
        <x:v>ORD-2024-02091</x:v>
      </x:c>
      <x:c r="B457" s="85" t="n">
        <x:v>45462</x:v>
      </x:c>
      <x:c r="C457" s="84" t="str">
        <x:v>CUST-0315</x:v>
      </x:c>
      <x:c r="D457" s="84" t="str">
        <x:v>Caleb Lewis </x:v>
      </x:c>
      <x:c r="E457" s="84" t="str">
        <x:v> SMALL BUSINESS </x:v>
      </x:c>
      <x:c r="F457" s="84" t="str">
        <x:v>West</x:v>
      </x:c>
      <x:c r="G457" s="84" t="str">
        <x:v>Seattle</x:v>
      </x:c>
      <x:c r="H457" s="84" t="str">
        <x:v>Retail Store</x:v>
      </x:c>
      <x:c r="I457" s="84" t="str">
        <x:v>CARE-005</x:v>
      </x:c>
      <x:c r="J457" s="86" t="n">
        <x:v>1</x:v>
      </x:c>
      <x:c r="K457" s="87" t="n">
        <x:v>0.05</x:v>
      </x:c>
      <x:c r="L457" s="84" t="str">
        <x:v>Completed</x:v>
      </x:c>
      <x:c r="M457" s="84" t="str">
        <x:v>Cash </x:v>
      </x:c>
      <x:c r="N457" s="84" t="str">
        <x:v>Mia Chen</x:v>
      </x:c>
      <x:c r="O457" s="85" t="n">
        <x:v>45462</x:v>
      </x:c>
      <x:c r="P457" s="84" t="str">
        <x:v>POS_2024_06</x:v>
      </x:c>
      <x:c r="Q457" s="84" t="str">
        <x:v>Skin Care Starter Kit</x:v>
      </x:c>
      <x:c r="R457" s="84" t="str">
        <x:v>Personal Care</x:v>
      </x:c>
    </x:row>
    <x:row r="458">
      <x:c r="A458" s="84" t="str">
        <x:v>ORD-2024-02230</x:v>
      </x:c>
      <x:c r="B458" s="85" t="n">
        <x:v>45462</x:v>
      </x:c>
      <x:c r="C458" s="84" t="str">
        <x:v>CUST-0260</x:v>
      </x:c>
      <x:c r="D458" s="84" t="str">
        <x:v>Caleb Ortiz</x:v>
      </x:c>
      <x:c r="E458" s="84" t="str">
        <x:v>Corporate</x:v>
      </x:c>
      <x:c r="F458" s="84" t="str">
        <x:v>west</x:v>
      </x:c>
      <x:c r="G458" s="84" t="str">
        <x:v>Los Angeles</x:v>
      </x:c>
      <x:c r="H458" s="84" t="str">
        <x:v>Online</x:v>
      </x:c>
      <x:c r="I458" s="84" t="str">
        <x:v>ACCS-006</x:v>
      </x:c>
      <x:c r="J458" s="86" t="n">
        <x:v>1</x:v>
      </x:c>
      <x:c r="K458" s="87" t="n">
        <x:v>0</x:v>
      </x:c>
      <x:c r="L458" s="84" t="str">
        <x:v>Completed</x:v>
      </x:c>
      <x:c r="M458" s="84" t="str">
        <x:v>PayPal</x:v>
      </x:c>
      <x:c r="N458" s="84" t="str">
        <x:v> MIA CHEN </x:v>
      </x:c>
      <x:c r="O458" s="85" t="n">
        <x:v>45464</x:v>
      </x:c>
      <x:c r="P458" s="84" t="str">
        <x:v>WEB_2024_06</x:v>
      </x:c>
      <x:c r="Q458" s="84" t="str">
        <x:v>Insulated Lunch Bag</x:v>
      </x:c>
      <x:c r="R458" s="84" t="str">
        <x:v>Accessories</x:v>
      </x:c>
    </x:row>
    <x:row r="459">
      <x:c r="A459" s="84" t="str">
        <x:v>ORD-2024-00344</x:v>
      </x:c>
      <x:c r="B459" s="85" t="n">
        <x:v>45463</x:v>
      </x:c>
      <x:c r="C459" s="84" t="str">
        <x:v>CUST-0310</x:v>
      </x:c>
      <x:c r="D459" s="84" t="str">
        <x:v>Marcus Patel</x:v>
      </x:c>
      <x:c r="E459" s="84" t="str">
        <x:v>Consumer</x:v>
      </x:c>
      <x:c r="F459" s="84" t="str">
        <x:v>Midwest</x:v>
      </x:c>
      <x:c r="G459" s="84" t="str">
        <x:v>Columbus</x:v>
      </x:c>
      <x:c r="H459" s="84" t="str">
        <x:v>Online</x:v>
      </x:c>
      <x:c r="I459" s="84" t="str">
        <x:v>FITN-002</x:v>
      </x:c>
      <x:c r="J459" s="86" t="n">
        <x:v>2</x:v>
      </x:c>
      <x:c r="K459" s="87" t="n">
        <x:v>0</x:v>
      </x:c>
      <x:c r="L459" s="84" t="str">
        <x:v>Completed</x:v>
      </x:c>
      <x:c r="M459" s="84" t="str">
        <x:v>Debit Card</x:v>
      </x:c>
      <x:c r="N459" s="84" t="str">
        <x:v>Emma Hayes</x:v>
      </x:c>
      <x:c r="O459" s="85" t="n">
        <x:v>45465</x:v>
      </x:c>
      <x:c r="P459" s="84" t="str">
        <x:v>WEB_2024_06</x:v>
      </x:c>
      <x:c r="Q459" s="84" t="str">
        <x:v> ADJUSTABLE DUMBBELL SET </x:v>
      </x:c>
      <x:c r="R459" s="84" t="str">
        <x:v>fitness</x:v>
      </x:c>
    </x:row>
    <x:row r="460">
      <x:c r="A460" s="84" t="str">
        <x:v>ORD-2024-00370</x:v>
      </x:c>
      <x:c r="B460" s="85" t="n">
        <x:v>45463</x:v>
      </x:c>
      <x:c r="C460" s="84" t="str">
        <x:v>CUST-0097</x:v>
      </x:c>
      <x:c r="D460" s="84" t="str">
        <x:v>sara ortiz</x:v>
      </x:c>
      <x:c r="E460" s="84" t="str">
        <x:v>Corporate</x:v>
      </x:c>
      <x:c r="F460" s="84" t="str">
        <x:v>Northeast</x:v>
      </x:c>
      <x:c r="G460" s="84" t="str">
        <x:v>New York</x:v>
      </x:c>
      <x:c r="H460" s="84" t="str">
        <x:v>Online</x:v>
      </x:c>
      <x:c r="I460" s="84" t="str">
        <x:v>HOME-006</x:v>
      </x:c>
      <x:c r="J460" s="86" t="n">
        <x:v>6</x:v>
      </x:c>
      <x:c r="K460" s="87" t="n">
        <x:v>0</x:v>
      </x:c>
      <x:c r="L460" s="84" t="str">
        <x:v>Completed </x:v>
      </x:c>
      <x:c r="M460" s="84" t="str">
        <x:v>Mobile Wallet</x:v>
      </x:c>
      <x:c r="N460" s="84" t="str">
        <x:v>Ethan Cole</x:v>
      </x:c>
      <x:c r="O460" s="85" t="n">
        <x:v>45466</x:v>
      </x:c>
      <x:c r="P460" s="84" t="str">
        <x:v>WEB_2024_06</x:v>
      </x:c>
      <x:c r="Q460" s="84" t="str">
        <x:v>Food Storage Set</x:v>
      </x:c>
      <x:c r="R460" s="84" t="str">
        <x:v>Home &amp; Kitchen</x:v>
      </x:c>
    </x:row>
    <x:row r="461">
      <x:c r="A461" s="84" t="str">
        <x:v>ORD-2024-00463</x:v>
      </x:c>
      <x:c r="B461" s="85" t="n">
        <x:v>45463</x:v>
      </x:c>
      <x:c r="C461" s="84" t="str">
        <x:v>CUST-0451</x:v>
      </x:c>
      <x:c r="D461" s="84" t="str">
        <x:v>Theo Roberts</x:v>
      </x:c>
      <x:c r="E461" s="84" t="str">
        <x:v>Small Business</x:v>
      </x:c>
      <x:c r="F461" s="84" t="str">
        <x:v>West</x:v>
      </x:c>
      <x:c r="G461" s="84" t="str">
        <x:v>Phoenix</x:v>
      </x:c>
      <x:c r="H461" s="84" t="str">
        <x:v>Marketplace</x:v>
      </x:c>
      <x:c r="I461" s="84" t="str">
        <x:v>ELEC-005</x:v>
      </x:c>
      <x:c r="J461" s="86" t="n">
        <x:v>4</x:v>
      </x:c>
      <x:c r="K461" s="87" t="n">
        <x:v>0.1</x:v>
      </x:c>
      <x:c r="L461" s="84" t="str">
        <x:v>Completed</x:v>
      </x:c>
      <x:c r="M461" s="84" t="str">
        <x:v>Credit Card</x:v>
      </x:c>
      <x:c r="N461" s="84" t="str">
        <x:v>Mia Chen</x:v>
      </x:c>
      <x:c r="O461" s="85" t="n">
        <x:v>45467</x:v>
      </x:c>
      <x:c r="P461" s="84" t="str">
        <x:v>MKT_2024_06</x:v>
      </x:c>
      <x:c r="Q461" s="84" t="str">
        <x:v> HD WEBCAM </x:v>
      </x:c>
      <x:c r="R461" s="84" t="str">
        <x:v>Electronics</x:v>
      </x:c>
    </x:row>
    <x:row r="462">
      <x:c r="A462" s="84" t="str">
        <x:v>ORD-2024-00612</x:v>
      </x:c>
      <x:c r="B462" s="85" t="n">
        <x:v>45463</x:v>
      </x:c>
      <x:c r="C462" s="84" t="str">
        <x:v>CUST-0310</x:v>
      </x:c>
      <x:c r="D462" s="84" t="str">
        <x:v>marcus patel</x:v>
      </x:c>
      <x:c r="E462" s="84" t="str">
        <x:v> CONSUMER </x:v>
      </x:c>
      <x:c r="F462" s="84" t="str">
        <x:v>Midwest</x:v>
      </x:c>
      <x:c r="G462" s="84" t="str">
        <x:v>Columbus</x:v>
      </x:c>
      <x:c r="H462" s="84" t="str">
        <x:v>Online </x:v>
      </x:c>
      <x:c r="I462" s="84" t="str">
        <x:v>HOME-002</x:v>
      </x:c>
      <x:c r="J462" s="86" t="n">
        <x:v>1</x:v>
      </x:c>
      <x:c r="K462" s="87" t="n">
        <x:v>0.1</x:v>
      </x:c>
      <x:c r="L462" s="84" t="str">
        <x:v>Completed</x:v>
      </x:c>
      <x:c r="M462" s="84" t="str">
        <x:v>Mobile Wallet</x:v>
      </x:c>
      <x:c r="N462" s="84" t="str">
        <x:v>Lucas Grant</x:v>
      </x:c>
      <x:c r="O462" s="85" t="n">
        <x:v>45466</x:v>
      </x:c>
      <x:c r="P462" s="84" t="str">
        <x:v>WEB_2024_06</x:v>
      </x:c>
      <x:c r="Q462" s="84" t="str">
        <x:v>Electric Kettle</x:v>
      </x:c>
      <x:c r="R462" s="84" t="str">
        <x:v>Home &amp; Kitchen</x:v>
      </x:c>
    </x:row>
    <x:row r="463">
      <x:c r="A463" s="84" t="str">
        <x:v>ORD-2024-01533</x:v>
      </x:c>
      <x:c r="B463" s="85" t="n">
        <x:v>45463</x:v>
      </x:c>
      <x:c r="C463" s="84" t="str">
        <x:v>CUST-0561</x:v>
      </x:c>
      <x:c r="D463" s="84" t="str">
        <x:v>Marcus Johnson</x:v>
      </x:c>
      <x:c r="E463" s="84" t="str">
        <x:v>Consumer </x:v>
      </x:c>
      <x:c r="F463" s="84" t="str">
        <x:v>Southeast</x:v>
      </x:c>
      <x:c r="G463" s="84" t="str">
        <x:v>nashville</x:v>
      </x:c>
      <x:c r="H463" s="84" t="str">
        <x:v>Online</x:v>
      </x:c>
      <x:c r="I463" s="84" t="str">
        <x:v>ELEC-004</x:v>
      </x:c>
      <x:c r="J463" s="86" t="n">
        <x:v>1</x:v>
      </x:c>
      <x:c r="K463" s="87" t="n">
        <x:v>0</x:v>
      </x:c>
      <x:c r="L463" s="84" t="str">
        <x:v>completed</x:v>
      </x:c>
      <x:c r="M463" s="84" t="str">
        <x:v>PayPal</x:v>
      </x:c>
      <x:c r="N463" s="84" t="str">
        <x:v> AVA MITCHELL </x:v>
      </x:c>
      <x:c r="O463" s="85" t="n">
        <x:v>45467</x:v>
      </x:c>
      <x:c r="P463" s="84" t="str">
        <x:v>WEB_2024_06</x:v>
      </x:c>
      <x:c r="Q463" s="84" t="str">
        <x:v>Power Bank</x:v>
      </x:c>
      <x:c r="R463" s="84" t="str">
        <x:v>Electronics</x:v>
      </x:c>
    </x:row>
    <x:row r="464">
      <x:c r="A464" s="84" t="str">
        <x:v>ORD-2024-00299</x:v>
      </x:c>
      <x:c r="B464" s="85" t="n">
        <x:v>45464</x:v>
      </x:c>
      <x:c r="C464" s="84" t="str">
        <x:v>CUST-0606</x:v>
      </x:c>
      <x:c r="D464" s="84" t="str">
        <x:v>Isaac Taylor </x:v>
      </x:c>
      <x:c r="E464" s="84" t="str">
        <x:v>Corporate</x:v>
      </x:c>
      <x:c r="F464" s="84" t="str">
        <x:v>Southeast</x:v>
      </x:c>
      <x:c r="G464" s="84" t="str">
        <x:v> CHARLOTTE </x:v>
      </x:c>
      <x:c r="H464" s="84" t="str">
        <x:v>Marketplace</x:v>
      </x:c>
      <x:c r="I464" s="84" t="str">
        <x:v>OFFC-004</x:v>
      </x:c>
      <x:c r="J464" s="86" t="n">
        <x:v>3</x:v>
      </x:c>
      <x:c r="K464" s="87" t="n">
        <x:v>0.15</x:v>
      </x:c>
      <x:c r="L464" s="84" t="str">
        <x:v>Completed</x:v>
      </x:c>
      <x:c r="M464" s="84" t="str">
        <x:v>Credit Card </x:v>
      </x:c>
      <x:c r="N464" s="84" t="str">
        <x:v>liam parker</x:v>
      </x:c>
      <x:c r="O464" s="85" t="n">
        <x:v>45468</x:v>
      </x:c>
      <x:c r="P464" s="84" t="str">
        <x:v>MKT_2024_06</x:v>
      </x:c>
      <x:c r="Q464" s="84" t="str">
        <x:v>Premium Notebook Pack</x:v>
      </x:c>
      <x:c r="R464" s="84" t="str">
        <x:v>Office</x:v>
      </x:c>
    </x:row>
    <x:row r="465">
      <x:c r="A465" s="84" t="str">
        <x:v>ORD-2024-00517</x:v>
      </x:c>
      <x:c r="B465" s="85" t="n">
        <x:v>45464</x:v>
      </x:c>
      <x:c r="C465" s="84" t="str">
        <x:v>CUST-0201</x:v>
      </x:c>
      <x:c r="D465" s="84" t="str">
        <x:v>Chloe Evans</x:v>
      </x:c>
      <x:c r="E465" s="84" t="str">
        <x:v>corporate</x:v>
      </x:c>
      <x:c r="F465" s="84" t="str">
        <x:v>Southeast</x:v>
      </x:c>
      <x:c r="G465" s="84" t="str">
        <x:v>Atlanta</x:v>
      </x:c>
      <x:c r="H465" s="84" t="str">
        <x:v>retail store</x:v>
      </x:c>
      <x:c r="I465" s="84" t="str">
        <x:v>HOME-006</x:v>
      </x:c>
      <x:c r="J465" s="86" t="n">
        <x:v>2</x:v>
      </x:c>
      <x:c r="K465" s="87" t="n">
        <x:v>0.1</x:v>
      </x:c>
      <x:c r="L465" s="84" t="str">
        <x:v>Completed </x:v>
      </x:c>
      <x:c r="M465" s="84" t="str">
        <x:v>Debit Card</x:v>
      </x:c>
      <x:c r="N465" s="84" t="str">
        <x:v>Liam Parker</x:v>
      </x:c>
      <x:c r="O465" s="85" t="n">
        <x:v>45464</x:v>
      </x:c>
      <x:c r="P465" s="84" t="str">
        <x:v>POS_2024_06</x:v>
      </x:c>
      <x:c r="Q465" s="84" t="str">
        <x:v>Food Storage Set</x:v>
      </x:c>
      <x:c r="R465" s="84" t="str">
        <x:v>Home &amp; Kitchen</x:v>
      </x:c>
    </x:row>
    <x:row r="466">
      <x:c r="A466" s="84" t="str">
        <x:v>ORD-2024-00654</x:v>
      </x:c>
      <x:c r="B466" s="85" t="n">
        <x:v>45464</x:v>
      </x:c>
      <x:c r="C466" s="84" t="str">
        <x:v>CUST-0082</x:v>
      </x:c>
      <x:c r="D466" s="84" t="str">
        <x:v>Isaac Patel</x:v>
      </x:c>
      <x:c r="E466" s="84" t="str">
        <x:v>Small Business</x:v>
      </x:c>
      <x:c r="F466" s="84" t="str">
        <x:v>West</x:v>
      </x:c>
      <x:c r="G466" s="84" t="str">
        <x:v>Denver</x:v>
      </x:c>
      <x:c r="H466" s="84" t="str">
        <x:v>Online </x:v>
      </x:c>
      <x:c r="I466" s="84" t="str">
        <x:v>ELEC-003</x:v>
      </x:c>
      <x:c r="J466" s="86" t="n">
        <x:v>2</x:v>
      </x:c>
      <x:c r="K466" s="87" t="n">
        <x:v>0.05</x:v>
      </x:c>
      <x:c r="L466" s="84" t="str">
        <x:v>Completed</x:v>
      </x:c>
      <x:c r="M466" s="84" t="str">
        <x:v>Debit Card</x:v>
      </x:c>
      <x:c r="N466" s="84" t="str">
        <x:v>Leo Martinez</x:v>
      </x:c>
      <x:c r="O466" s="85" t="n">
        <x:v>45467</x:v>
      </x:c>
      <x:c r="P466" s="84" t="str">
        <x:v>WEB_2024_06</x:v>
      </x:c>
      <x:c r="Q466" s="84" t="str">
        <x:v>Bluetooth Speaker</x:v>
      </x:c>
      <x:c r="R466" s="84" t="str">
        <x:v>Electronics</x:v>
      </x:c>
    </x:row>
    <x:row r="467">
      <x:c r="A467" s="84" t="str">
        <x:v>ORD-2024-00205</x:v>
      </x:c>
      <x:c r="B467" s="85" t="n">
        <x:v>45465</x:v>
      </x:c>
      <x:c r="C467" s="84" t="str">
        <x:v>CUST-0496</x:v>
      </x:c>
      <x:c r="D467" s="84" t="str">
        <x:v>elias khan</x:v>
      </x:c>
      <x:c r="E467" s="84" t="str">
        <x:v>Consumer</x:v>
      </x:c>
      <x:c r="F467" s="84" t="str">
        <x:v>West</x:v>
      </x:c>
      <x:c r="G467" s="84" t="str">
        <x:v>Phoenix</x:v>
      </x:c>
      <x:c r="H467" s="84" t="str">
        <x:v>Online</x:v>
      </x:c>
      <x:c r="I467" s="84" t="str">
        <x:v>ELEC-005</x:v>
      </x:c>
      <x:c r="J467" s="86" t="n">
        <x:v>1</x:v>
      </x:c>
      <x:c r="K467" s="87" t="n">
        <x:v>0.05</x:v>
      </x:c>
      <x:c r="L467" s="84" t="str">
        <x:v>Completed</x:v>
      </x:c>
      <x:c r="M467" s="84" t="str">
        <x:v>Credit Card</x:v>
      </x:c>
      <x:c r="N467" s="84" t="str">
        <x:v>Mia Chen</x:v>
      </x:c>
      <x:c r="O467" s="85" t="n">
        <x:v>45470</x:v>
      </x:c>
      <x:c r="P467" s="84" t="str">
        <x:v>WEB_2024_06</x:v>
      </x:c>
      <x:c r="Q467" s="84" t="str">
        <x:v>HD Webcam</x:v>
      </x:c>
      <x:c r="R467" s="84" t="str">
        <x:v>Electronics </x:v>
      </x:c>
    </x:row>
    <x:row r="468">
      <x:c r="A468" s="84" t="str">
        <x:v>ORD-2024-01650</x:v>
      </x:c>
      <x:c r="B468" s="85" t="n">
        <x:v>45465</x:v>
      </x:c>
      <x:c r="C468" s="84" t="str">
        <x:v>CUST-0017</x:v>
      </x:c>
      <x:c r="D468" s="84" t="str">
        <x:v>Victoria Evans </x:v>
      </x:c>
      <x:c r="E468" s="84" t="str">
        <x:v>corporate</x:v>
      </x:c>
      <x:c r="F468" s="84" t="str">
        <x:v>Northeast</x:v>
      </x:c>
      <x:c r="G468" s="84" t="str">
        <x:v>Newark</x:v>
      </x:c>
      <x:c r="H468" s="84" t="str">
        <x:v>retail store</x:v>
      </x:c>
      <x:c r="I468" s="84" t="str">
        <x:v>CARE-002</x:v>
      </x:c>
      <x:c r="J468" s="86" t="n">
        <x:v>3</x:v>
      </x:c>
      <x:c r="K468" s="87" t="n">
        <x:v>0</x:v>
      </x:c>
      <x:c r="L468" s="84" t="str">
        <x:v>Completed</x:v>
      </x:c>
      <x:c r="M468" s="84" t="str">
        <x:v>Mobile Wallet </x:v>
      </x:c>
      <x:c r="N468" s="84" t="str">
        <x:v>Maya Brooks</x:v>
      </x:c>
      <x:c r="O468" s="85" t="n">
        <x:v>45465</x:v>
      </x:c>
      <x:c r="P468" s="84" t="str">
        <x:v>POS_2024_06</x:v>
      </x:c>
      <x:c r="Q468" s="84" t="str">
        <x:v>Rechargeable Trimmer</x:v>
      </x:c>
      <x:c r="R468" s="84" t="str">
        <x:v>Personal Care</x:v>
      </x:c>
    </x:row>
    <x:row r="469">
      <x:c r="A469" s="84" t="str">
        <x:v>ORD-2024-02201</x:v>
      </x:c>
      <x:c r="B469" s="85" t="n">
        <x:v>45465</x:v>
      </x:c>
      <x:c r="C469" s="84" t="str">
        <x:v>CUST-0015</x:v>
      </x:c>
      <x:c r="D469" s="84" t="str">
        <x:v>Elena Walker</x:v>
      </x:c>
      <x:c r="E469" s="84" t="str">
        <x:v>Consumer</x:v>
      </x:c>
      <x:c r="F469" s="84" t="str">
        <x:v>West</x:v>
      </x:c>
      <x:c r="G469" s="84" t="str">
        <x:v>Denver</x:v>
      </x:c>
      <x:c r="H469" s="84" t="str">
        <x:v>Online </x:v>
      </x:c>
      <x:c r="I469" s="84" t="str">
        <x:v>HOME-003</x:v>
      </x:c>
      <x:c r="J469" s="86" t="n">
        <x:v>2</x:v>
      </x:c>
      <x:c r="K469" s="87" t="n">
        <x:v>0.1</x:v>
      </x:c>
      <x:c r="L469" s="84" t="str">
        <x:v>Completed</x:v>
      </x:c>
      <x:c r="M469" s="84" t="str">
        <x:v>PayPal</x:v>
      </x:c>
      <x:c r="N469" s="84" t="str">
        <x:v>Leo Martinez</x:v>
      </x:c>
      <x:c r="O469" s="85" t="n">
        <x:v>45468</x:v>
      </x:c>
      <x:c r="P469" s="84" t="str">
        <x:v>WEB_2024_06</x:v>
      </x:c>
      <x:c r="Q469" s="84" t="str">
        <x:v>Countertop Blender</x:v>
      </x:c>
      <x:c r="R469" s="84" t="str">
        <x:v>Home &amp; Kitchen</x:v>
      </x:c>
    </x:row>
    <x:row r="470">
      <x:c r="A470" s="84" t="str">
        <x:v>ORD-2024-01906</x:v>
      </x:c>
      <x:c r="B470" s="85" t="n">
        <x:v>45466</x:v>
      </x:c>
      <x:c r="C470" s="84" t="str">
        <x:v>CUST-0189</x:v>
      </x:c>
      <x:c r="D470" s="84" t="str">
        <x:v>Marcus Taylor</x:v>
      </x:c>
      <x:c r="E470" s="84" t="str">
        <x:v>Consumer</x:v>
      </x:c>
      <x:c r="F470" s="84" t="str">
        <x:v>Midwest</x:v>
      </x:c>
      <x:c r="G470" s="84" t="str">
        <x:v>Chicago</x:v>
      </x:c>
      <x:c r="H470" s="84" t="str">
        <x:v>Marketplace</x:v>
      </x:c>
      <x:c r="I470" s="84" t="str">
        <x:v>HOME-002</x:v>
      </x:c>
      <x:c r="J470" s="86" t="n">
        <x:v>3</x:v>
      </x:c>
      <x:c r="K470" s="87" t="n">
        <x:v>0.15</x:v>
      </x:c>
      <x:c r="L470" s="84" t="str">
        <x:v>Completed</x:v>
      </x:c>
      <x:c r="M470" s="84" t="str">
        <x:v>Mobile Wallet</x:v>
      </x:c>
      <x:c r="N470" s="84" t="str">
        <x:v>Zoe Turner</x:v>
      </x:c>
      <x:c r="O470" s="85" t="n">
        <x:v>45471</x:v>
      </x:c>
      <x:c r="P470" s="84" t="str">
        <x:v>MKT_2024_06</x:v>
      </x:c>
      <x:c r="Q470" s="84" t="str">
        <x:v>Electric Kettle</x:v>
      </x:c>
      <x:c r="R470" s="84" t="str">
        <x:v>home &amp; kitchen</x:v>
      </x:c>
    </x:row>
    <x:row r="471">
      <x:c r="A471" s="84" t="str">
        <x:v>ORD-2024-01952</x:v>
      </x:c>
      <x:c r="B471" s="85" t="n">
        <x:v>45466</x:v>
      </x:c>
      <x:c r="C471" s="84" t="str">
        <x:v>CUST-0303</x:v>
      </x:c>
      <x:c r="D471" s="84" t="str">
        <x:v> CALEB ROBERTS </x:v>
      </x:c>
      <x:c r="E471" s="84" t="str"/>
      <x:c r="F471" s="84" t="str">
        <x:v> WEST </x:v>
      </x:c>
      <x:c r="G471" s="84" t="str">
        <x:v>Seattle</x:v>
      </x:c>
      <x:c r="H471" s="84" t="str">
        <x:v>Online</x:v>
      </x:c>
      <x:c r="I471" s="84" t="str">
        <x:v>HOME-004</x:v>
      </x:c>
      <x:c r="J471" s="86" t="n">
        <x:v>6</x:v>
      </x:c>
      <x:c r="K471" s="87" t="n">
        <x:v>0</x:v>
      </x:c>
      <x:c r="L471" s="84" t="str">
        <x:v>Completed </x:v>
      </x:c>
      <x:c r="M471" s="84" t="str">
        <x:v>Debit Card</x:v>
      </x:c>
      <x:c r="N471" s="84" t="str">
        <x:v>Nora Kim</x:v>
      </x:c>
      <x:c r="O471" s="85" t="n">
        <x:v>45468</x:v>
      </x:c>
      <x:c r="P471" s="84" t="str">
        <x:v>WEB_2024_06</x:v>
      </x:c>
      <x:c r="Q471" s="84" t="str">
        <x:v>Coffee Maker</x:v>
      </x:c>
      <x:c r="R471" s="84" t="str">
        <x:v>Home &amp; Kitchen</x:v>
      </x:c>
    </x:row>
    <x:row r="472">
      <x:c r="A472" s="84" t="str">
        <x:v>ORD-2024-00105</x:v>
      </x:c>
      <x:c r="B472" s="85" t="n">
        <x:v>45467</x:v>
      </x:c>
      <x:c r="C472" s="84" t="str">
        <x:v>CUST-0200</x:v>
      </x:c>
      <x:c r="D472" s="84" t="str">
        <x:v>Priya Patel</x:v>
      </x:c>
      <x:c r="E472" s="84" t="str">
        <x:v>Consumer </x:v>
      </x:c>
      <x:c r="F472" s="84" t="str">
        <x:v>Midwest</x:v>
      </x:c>
      <x:c r="G472" s="84" t="str">
        <x:v>Detroit </x:v>
      </x:c>
      <x:c r="H472" s="84" t="str">
        <x:v>Online</x:v>
      </x:c>
      <x:c r="I472" s="84" t="str">
        <x:v>ELEC-006</x:v>
      </x:c>
      <x:c r="J472" s="86" t="n">
        <x:v>3</x:v>
      </x:c>
      <x:c r="K472" s="87" t="n">
        <x:v>0</x:v>
      </x:c>
      <x:c r="L472" s="84" t="str">
        <x:v>Completed</x:v>
      </x:c>
      <x:c r="M472" s="84" t="str">
        <x:v>PayPal</x:v>
      </x:c>
      <x:c r="N472" s="84" t="str">
        <x:v> ZOE TURNER </x:v>
      </x:c>
      <x:c r="O472" s="85" t="n">
        <x:v>45471</x:v>
      </x:c>
      <x:c r="P472" s="84" t="str">
        <x:v>WEB_2024_06</x:v>
      </x:c>
      <x:c r="Q472" s="84" t="str">
        <x:v>Portable SSD</x:v>
      </x:c>
      <x:c r="R472" s="84" t="str">
        <x:v>Electronics</x:v>
      </x:c>
    </x:row>
    <x:row r="473">
      <x:c r="A473" s="84" t="str">
        <x:v>ORD-2024-00599</x:v>
      </x:c>
      <x:c r="B473" s="85" t="n">
        <x:v>45467</x:v>
      </x:c>
      <x:c r="C473" s="84" t="str">
        <x:v>CUST-0214</x:v>
      </x:c>
      <x:c r="D473" s="84" t="str">
        <x:v>Priya Taylor</x:v>
      </x:c>
      <x:c r="E473" s="84" t="str">
        <x:v>Consumer</x:v>
      </x:c>
      <x:c r="F473" s="84" t="str">
        <x:v>Southeast </x:v>
      </x:c>
      <x:c r="G473" s="84" t="str">
        <x:v>Nashville</x:v>
      </x:c>
      <x:c r="H473" s="84" t="str">
        <x:v>Retail Store</x:v>
      </x:c>
      <x:c r="I473" s="84" t="str">
        <x:v>OFFC-002</x:v>
      </x:c>
      <x:c r="J473" s="86" t="n">
        <x:v>2</x:v>
      </x:c>
      <x:c r="K473" s="87" t="n">
        <x:v>0.15</x:v>
      </x:c>
      <x:c r="L473" s="84" t="str">
        <x:v>Completed</x:v>
      </x:c>
      <x:c r="M473" s="84" t="str">
        <x:v>Debit Card</x:v>
      </x:c>
      <x:c r="N473" s="84" t="str">
        <x:v>Ava Mitchell </x:v>
      </x:c>
      <x:c r="O473" s="85" t="n">
        <x:v>45467</x:v>
      </x:c>
      <x:c r="P473" s="84" t="str">
        <x:v>POS_2024_06</x:v>
      </x:c>
      <x:c r="Q473" s="84" t="str">
        <x:v> STANDING DESK </x:v>
      </x:c>
      <x:c r="R473" s="84" t="str">
        <x:v>Office</x:v>
      </x:c>
    </x:row>
    <x:row r="474">
      <x:c r="A474" s="84" t="str">
        <x:v>ORD-2024-00828</x:v>
      </x:c>
      <x:c r="B474" s="85" t="n">
        <x:v>45467</x:v>
      </x:c>
      <x:c r="C474" s="84" t="str">
        <x:v>CUST-0199</x:v>
      </x:c>
      <x:c r="D474" s="84" t="str">
        <x:v>Theo Adams</x:v>
      </x:c>
      <x:c r="E474" s="84" t="str">
        <x:v>Corporate</x:v>
      </x:c>
      <x:c r="F474" s="84" t="str">
        <x:v>Northeast</x:v>
      </x:c>
      <x:c r="G474" s="84" t="str">
        <x:v>Philadelphia</x:v>
      </x:c>
      <x:c r="H474" s="84" t="str">
        <x:v>Online</x:v>
      </x:c>
      <x:c r="I474" s="84" t="str">
        <x:v>ELEC-004</x:v>
      </x:c>
      <x:c r="J474" s="86" t="n">
        <x:v>3</x:v>
      </x:c>
      <x:c r="K474" s="87" t="n">
        <x:v>0</x:v>
      </x:c>
      <x:c r="L474" s="84" t="str">
        <x:v>Completed</x:v>
      </x:c>
      <x:c r="M474" s="84" t="str">
        <x:v>PayPal</x:v>
      </x:c>
      <x:c r="N474" s="84" t="str">
        <x:v>Sofia Bennett</x:v>
      </x:c>
      <x:c r="O474" s="85" t="n">
        <x:v>45471</x:v>
      </x:c>
      <x:c r="P474" s="84" t="str">
        <x:v>WEB_2024_06</x:v>
      </x:c>
      <x:c r="Q474" s="84" t="str">
        <x:v>Power Bank</x:v>
      </x:c>
      <x:c r="R474" s="84" t="str">
        <x:v>electronics</x:v>
      </x:c>
    </x:row>
    <x:row r="475">
      <x:c r="A475" s="84" t="str">
        <x:v>ORD-2024-01830</x:v>
      </x:c>
      <x:c r="B475" s="85" t="n">
        <x:v>45467</x:v>
      </x:c>
      <x:c r="C475" s="84" t="str">
        <x:v>CUST-0314</x:v>
      </x:c>
      <x:c r="D475" s="84" t="str">
        <x:v>Chloe Young</x:v>
      </x:c>
      <x:c r="E475" s="84" t="str"/>
      <x:c r="F475" s="84" t="str">
        <x:v>Midwest</x:v>
      </x:c>
      <x:c r="G475" s="84" t="str">
        <x:v>detroit</x:v>
      </x:c>
      <x:c r="H475" s="84" t="str">
        <x:v>Online </x:v>
      </x:c>
      <x:c r="I475" s="84" t="str">
        <x:v>CARE-006</x:v>
      </x:c>
      <x:c r="J475" s="86" t="n">
        <x:v>3</x:v>
      </x:c>
      <x:c r="K475" s="87" t="n">
        <x:v>0.1</x:v>
      </x:c>
      <x:c r="L475" s="84" t="str">
        <x:v>completed</x:v>
      </x:c>
      <x:c r="M475" s="84" t="str">
        <x:v> MOBILE WALLET </x:v>
      </x:c>
      <x:c r="N475" s="84" t="str">
        <x:v>Lucas Grant</x:v>
      </x:c>
      <x:c r="O475" s="85" t="n">
        <x:v>45469</x:v>
      </x:c>
      <x:c r="P475" s="84" t="str">
        <x:v>WEB_2024_06</x:v>
      </x:c>
      <x:c r="Q475" s="84" t="str">
        <x:v>Percussion Massage Gun</x:v>
      </x:c>
      <x:c r="R475" s="84" t="str">
        <x:v>Personal Care</x:v>
      </x:c>
    </x:row>
    <x:row r="476">
      <x:c r="A476" s="84" t="str">
        <x:v>ORD-2024-02192</x:v>
      </x:c>
      <x:c r="B476" s="85" t="n">
        <x:v>45467</x:v>
      </x:c>
      <x:c r="C476" s="84" t="str">
        <x:v>CUST-0609</x:v>
      </x:c>
      <x:c r="D476" s="84" t="str">
        <x:v>Sara Lewis</x:v>
      </x:c>
      <x:c r="E476" s="84" t="str">
        <x:v>Consumer</x:v>
      </x:c>
      <x:c r="F476" s="84" t="str">
        <x:v>Southeast</x:v>
      </x:c>
      <x:c r="G476" s="84" t="str">
        <x:v>Miami</x:v>
      </x:c>
      <x:c r="H476" s="84" t="str">
        <x:v>Online</x:v>
      </x:c>
      <x:c r="I476" s="84" t="str">
        <x:v>FITN-005</x:v>
      </x:c>
      <x:c r="J476" s="86" t="n">
        <x:v>1</x:v>
      </x:c>
      <x:c r="K476" s="87" t="n">
        <x:v>0</x:v>
      </x:c>
      <x:c r="L476" s="84" t="str">
        <x:v>Completed</x:v>
      </x:c>
      <x:c r="M476" s="84" t="str">
        <x:v>Credit Card</x:v>
      </x:c>
      <x:c r="N476" s="84" t="str">
        <x:v>Liam Parker</x:v>
      </x:c>
      <x:c r="O476" s="85" t="n">
        <x:v>45471</x:v>
      </x:c>
      <x:c r="P476" s="84" t="str">
        <x:v>WEB_2024_06</x:v>
      </x:c>
      <x:c r="Q476" s="84" t="str">
        <x:v>Sports Water Bottle </x:v>
      </x:c>
      <x:c r="R476" s="84" t="str">
        <x:v>fitness</x:v>
      </x:c>
    </x:row>
    <x:row r="477">
      <x:c r="A477" s="84" t="str">
        <x:v>ORD-2024-01026</x:v>
      </x:c>
      <x:c r="B477" s="85" t="n">
        <x:v>45468</x:v>
      </x:c>
      <x:c r="C477" s="84" t="str">
        <x:v>CUST-0177</x:v>
      </x:c>
      <x:c r="D477" s="84" t="str">
        <x:v>Elena Quinn</x:v>
      </x:c>
      <x:c r="E477" s="84" t="str">
        <x:v>Consumer</x:v>
      </x:c>
      <x:c r="F477" s="84" t="str">
        <x:v>Southeast </x:v>
      </x:c>
      <x:c r="G477" s="84" t="str">
        <x:v>Nashville</x:v>
      </x:c>
      <x:c r="H477" s="84" t="str">
        <x:v> RETAIL STORE </x:v>
      </x:c>
      <x:c r="I477" s="84" t="str">
        <x:v>OFFC-005</x:v>
      </x:c>
      <x:c r="J477" s="86" t="n">
        <x:v>2</x:v>
      </x:c>
      <x:c r="K477" s="87" t="n">
        <x:v>0</x:v>
      </x:c>
      <x:c r="L477" s="84" t="str">
        <x:v>Completed</x:v>
      </x:c>
      <x:c r="M477" s="84" t="str">
        <x:v>Credit Card</x:v>
      </x:c>
      <x:c r="N477" s="84" t="str">
        <x:v>Ava Mitchell </x:v>
      </x:c>
      <x:c r="O477" s="85" t="n">
        <x:v>45468</x:v>
      </x:c>
      <x:c r="P477" s="84" t="str">
        <x:v>POS_2024_06</x:v>
      </x:c>
      <x:c r="Q477" s="84" t="str">
        <x:v>Wireless Keyboard</x:v>
      </x:c>
      <x:c r="R477" s="84" t="str">
        <x:v>office</x:v>
      </x:c>
    </x:row>
    <x:row r="478">
      <x:c r="A478" s="84" t="str">
        <x:v>ORD-2024-01395</x:v>
      </x:c>
      <x:c r="B478" s="85" t="n">
        <x:v>45469</x:v>
      </x:c>
      <x:c r="C478" s="84" t="str">
        <x:v>CUST-0555</x:v>
      </x:c>
      <x:c r="D478" s="84" t="str">
        <x:v>Marcus Nelson</x:v>
      </x:c>
      <x:c r="E478" s="84" t="str">
        <x:v>Corporate</x:v>
      </x:c>
      <x:c r="F478" s="84" t="str">
        <x:v>West</x:v>
      </x:c>
      <x:c r="G478" s="84" t="str">
        <x:v>Seattle</x:v>
      </x:c>
      <x:c r="H478" s="84" t="str">
        <x:v>Retail Store</x:v>
      </x:c>
      <x:c r="I478" s="84" t="str">
        <x:v>ELEC-005</x:v>
      </x:c>
      <x:c r="J478" s="86" t="n">
        <x:v>4</x:v>
      </x:c>
      <x:c r="K478" s="87" t="n">
        <x:v>0.05</x:v>
      </x:c>
      <x:c r="L478" s="84" t="str">
        <x:v>Returned</x:v>
      </x:c>
      <x:c r="M478" s="84" t="str">
        <x:v>Cash</x:v>
      </x:c>
      <x:c r="N478" s="84" t="str">
        <x:v>Leo Martinez</x:v>
      </x:c>
      <x:c r="O478" s="85" t="n">
        <x:v>45470</x:v>
      </x:c>
      <x:c r="P478" s="84" t="str">
        <x:v>POS_2024_06</x:v>
      </x:c>
      <x:c r="Q478" s="84" t="str">
        <x:v>hd webcam</x:v>
      </x:c>
      <x:c r="R478" s="84" t="str">
        <x:v>Electronics </x:v>
      </x:c>
    </x:row>
    <x:row r="479">
      <x:c r="A479" s="84" t="str">
        <x:v>ORD-2024-01652</x:v>
      </x:c>
      <x:c r="B479" s="85" t="n">
        <x:v>45469</x:v>
      </x:c>
      <x:c r="C479" s="84" t="str">
        <x:v>CUST-0401</x:v>
      </x:c>
      <x:c r="D479" s="84" t="str">
        <x:v>Priya Hall</x:v>
      </x:c>
      <x:c r="E479" s="84" t="str">
        <x:v>Consumer </x:v>
      </x:c>
      <x:c r="F479" s="84" t="str">
        <x:v>Northeast</x:v>
      </x:c>
      <x:c r="G479" s="84" t="str">
        <x:v>Newark </x:v>
      </x:c>
      <x:c r="H479" s="84" t="str">
        <x:v>Retail Store</x:v>
      </x:c>
      <x:c r="I479" s="84" t="str">
        <x:v>ACCS-004</x:v>
      </x:c>
      <x:c r="J479" s="86" t="n">
        <x:v>1</x:v>
      </x:c>
      <x:c r="K479" s="87" t="n">
        <x:v>0.1</x:v>
      </x:c>
      <x:c r="L479" s="84" t="str">
        <x:v>Completed</x:v>
      </x:c>
      <x:c r="M479" s="84" t="str">
        <x:v>Debit Card</x:v>
      </x:c>
      <x:c r="N479" s="84" t="str">
        <x:v> ETHAN COLE </x:v>
      </x:c>
      <x:c r="O479" s="85" t="n">
        <x:v>45469</x:v>
      </x:c>
      <x:c r="P479" s="84" t="str">
        <x:v>POS_2024_06</x:v>
      </x:c>
      <x:c r="Q479" s="84" t="str">
        <x:v>Leather Wallet</x:v>
      </x:c>
      <x:c r="R479" s="84" t="str">
        <x:v>Accessories</x:v>
      </x:c>
    </x:row>
    <x:row r="480">
      <x:c r="A480" s="84" t="str">
        <x:v>ORD-2024-02162</x:v>
      </x:c>
      <x:c r="B480" s="85" t="n">
        <x:v>45469</x:v>
      </x:c>
      <x:c r="C480" s="84" t="str">
        <x:v>CUST-0173</x:v>
      </x:c>
      <x:c r="D480" s="84" t="str">
        <x:v>Theo Evans</x:v>
      </x:c>
      <x:c r="E480" s="84" t="str">
        <x:v>Consumer</x:v>
      </x:c>
      <x:c r="F480" s="84" t="str">
        <x:v>Northeast</x:v>
      </x:c>
      <x:c r="G480" s="84" t="str">
        <x:v>Boston</x:v>
      </x:c>
      <x:c r="H480" s="84" t="str">
        <x:v>Retail Store</x:v>
      </x:c>
      <x:c r="I480" s="84" t="str">
        <x:v>HOME-006</x:v>
      </x:c>
      <x:c r="J480" s="86" t="n">
        <x:v>1</x:v>
      </x:c>
      <x:c r="K480" s="87" t="n">
        <x:v>0.05</x:v>
      </x:c>
      <x:c r="L480" s="84" t="str">
        <x:v>Completed </x:v>
      </x:c>
      <x:c r="M480" s="84" t="str">
        <x:v>Credit Card</x:v>
      </x:c>
      <x:c r="N480" s="84" t="str">
        <x:v> ETHAN COLE </x:v>
      </x:c>
      <x:c r="O480" s="85" t="n">
        <x:v>45469</x:v>
      </x:c>
      <x:c r="P480" s="84" t="str">
        <x:v>POS_2024_06</x:v>
      </x:c>
      <x:c r="Q480" s="84" t="str">
        <x:v>Food Storage Set</x:v>
      </x:c>
      <x:c r="R480" s="84" t="str">
        <x:v>Home &amp; Kitchen</x:v>
      </x:c>
    </x:row>
    <x:row r="481">
      <x:c r="A481" s="84" t="str">
        <x:v>ORD-2024-00318</x:v>
      </x:c>
      <x:c r="B481" s="85" t="n">
        <x:v>45470</x:v>
      </x:c>
      <x:c r="C481" s="84" t="str">
        <x:v>CUST-0048</x:v>
      </x:c>
      <x:c r="D481" s="84" t="str">
        <x:v>Nathan Walker</x:v>
      </x:c>
      <x:c r="E481" s="84" t="str">
        <x:v>Consumer</x:v>
      </x:c>
      <x:c r="F481" s="84" t="str">
        <x:v>West</x:v>
      </x:c>
      <x:c r="G481" s="84" t="str">
        <x:v>Denver</x:v>
      </x:c>
      <x:c r="H481" s="84" t="str">
        <x:v>Retail Store </x:v>
      </x:c>
      <x:c r="I481" s="84" t="str">
        <x:v>ELEC-001</x:v>
      </x:c>
      <x:c r="J481" s="86" t="n">
        <x:v>1</x:v>
      </x:c>
      <x:c r="K481" s="87" t="n">
        <x:v>0.05</x:v>
      </x:c>
      <x:c r="L481" s="84" t="str">
        <x:v>Completed</x:v>
      </x:c>
      <x:c r="M481" s="84" t="str">
        <x:v>mobile wallet</x:v>
      </x:c>
      <x:c r="N481" s="84" t="str">
        <x:v>Leo Martinez</x:v>
      </x:c>
      <x:c r="O481" s="85" t="n">
        <x:v>45470</x:v>
      </x:c>
      <x:c r="P481" s="84" t="str">
        <x:v>POS_2024_06</x:v>
      </x:c>
      <x:c r="Q481" s="84" t="str">
        <x:v>Wireless Earbuds</x:v>
      </x:c>
      <x:c r="R481" s="84" t="str">
        <x:v>Electronics</x:v>
      </x:c>
    </x:row>
    <x:row r="482">
      <x:c r="A482" s="84" t="str">
        <x:v>ORD-2024-01563</x:v>
      </x:c>
      <x:c r="B482" s="85" t="n">
        <x:v>45470</x:v>
      </x:c>
      <x:c r="C482" s="84" t="str">
        <x:v>CUST-0497</x:v>
      </x:c>
      <x:c r="D482" s="84" t="str">
        <x:v>Theo Foster</x:v>
      </x:c>
      <x:c r="E482" s="84" t="str">
        <x:v>Consumer</x:v>
      </x:c>
      <x:c r="F482" s="84" t="str">
        <x:v>Midwest</x:v>
      </x:c>
      <x:c r="G482" s="84" t="str">
        <x:v>Chicago</x:v>
      </x:c>
      <x:c r="H482" s="84" t="str">
        <x:v>Online</x:v>
      </x:c>
      <x:c r="I482" s="84" t="str">
        <x:v>ACCS-005</x:v>
      </x:c>
      <x:c r="J482" s="86" t="n">
        <x:v>2</x:v>
      </x:c>
      <x:c r="K482" s="87" t="n">
        <x:v>0.1</x:v>
      </x:c>
      <x:c r="L482" s="84" t="str">
        <x:v>Completed</x:v>
      </x:c>
      <x:c r="M482" s="84" t="str">
        <x:v>Credit Card</x:v>
      </x:c>
      <x:c r="N482" s="84" t="str">
        <x:v>Emma Hayes</x:v>
      </x:c>
      <x:c r="O482" s="85" t="n">
        <x:v>45472</x:v>
      </x:c>
      <x:c r="P482" s="84" t="str">
        <x:v>WEB_2024_06</x:v>
      </x:c>
      <x:c r="Q482" s="84" t="str">
        <x:v>Protective Phone Case</x:v>
      </x:c>
      <x:c r="R482" s="84" t="str">
        <x:v>Accessories </x:v>
      </x:c>
    </x:row>
    <x:row r="483">
      <x:c r="A483" s="84" t="str">
        <x:v>ORD-2024-01563</x:v>
      </x:c>
      <x:c r="B483" s="85" t="n">
        <x:v>45470</x:v>
      </x:c>
      <x:c r="C483" s="84" t="str">
        <x:v>CUST-0497</x:v>
      </x:c>
      <x:c r="D483" s="84" t="str">
        <x:v>Theo Foster</x:v>
      </x:c>
      <x:c r="E483" s="84" t="str">
        <x:v>Consumer</x:v>
      </x:c>
      <x:c r="F483" s="84" t="str">
        <x:v>Midwest</x:v>
      </x:c>
      <x:c r="G483" s="84" t="str">
        <x:v>Chicago</x:v>
      </x:c>
      <x:c r="H483" s="84" t="str">
        <x:v>Online</x:v>
      </x:c>
      <x:c r="I483" s="84" t="str">
        <x:v>ACCS-005</x:v>
      </x:c>
      <x:c r="J483" s="86" t="n">
        <x:v>2</x:v>
      </x:c>
      <x:c r="K483" s="87" t="n">
        <x:v>0.1</x:v>
      </x:c>
      <x:c r="L483" s="84" t="str">
        <x:v>Completed</x:v>
      </x:c>
      <x:c r="M483" s="84" t="str">
        <x:v>Credit Card</x:v>
      </x:c>
      <x:c r="N483" s="84" t="str">
        <x:v>Emma Hayes</x:v>
      </x:c>
      <x:c r="O483" s="85" t="n">
        <x:v>45472</x:v>
      </x:c>
      <x:c r="P483" s="84" t="str">
        <x:v>RELOAD_WEB_2024_06</x:v>
      </x:c>
      <x:c r="Q483" s="84" t="str">
        <x:v>Protective Phone Case</x:v>
      </x:c>
      <x:c r="R483" s="84" t="str">
        <x:v>Accessories </x:v>
      </x:c>
    </x:row>
    <x:row r="484">
      <x:c r="A484" s="84" t="str">
        <x:v>ORD-2024-00514</x:v>
      </x:c>
      <x:c r="B484" s="85" t="n">
        <x:v>45471</x:v>
      </x:c>
      <x:c r="C484" s="84" t="str">
        <x:v>CUST-0208</x:v>
      </x:c>
      <x:c r="D484" s="84" t="str">
        <x:v>Layla Patel</x:v>
      </x:c>
      <x:c r="E484" s="84" t="str">
        <x:v>Consumer</x:v>
      </x:c>
      <x:c r="F484" s="84" t="str">
        <x:v>west</x:v>
      </x:c>
      <x:c r="G484" s="84" t="str">
        <x:v>Los Angeles</x:v>
      </x:c>
      <x:c r="H484" s="84" t="str">
        <x:v>Retail Store </x:v>
      </x:c>
      <x:c r="I484" s="84" t="str">
        <x:v>ACCS-002</x:v>
      </x:c>
      <x:c r="J484" s="86" t="n">
        <x:v>2</x:v>
      </x:c>
      <x:c r="K484" s="87" t="n">
        <x:v>0.05</x:v>
      </x:c>
      <x:c r="L484" s="84" t="str">
        <x:v>Completed</x:v>
      </x:c>
      <x:c r="M484" s="84" t="str">
        <x:v>Credit Card</x:v>
      </x:c>
      <x:c r="N484" s="84" t="str">
        <x:v>Mia Chen</x:v>
      </x:c>
      <x:c r="O484" s="85" t="n">
        <x:v>45471</x:v>
      </x:c>
      <x:c r="P484" s="84" t="str">
        <x:v>POS_2024_06</x:v>
      </x:c>
      <x:c r="Q484" s="84" t="str">
        <x:v> TRAVEL BACKPACK </x:v>
      </x:c>
      <x:c r="R484" s="84" t="str">
        <x:v>Accessories</x:v>
      </x:c>
    </x:row>
    <x:row r="485">
      <x:c r="A485" s="84" t="str">
        <x:v>ORD-2024-00651</x:v>
      </x:c>
      <x:c r="B485" s="85" t="n">
        <x:v>45471</x:v>
      </x:c>
      <x:c r="C485" s="84" t="str">
        <x:v>CUST-0105</x:v>
      </x:c>
      <x:c r="D485" s="84" t="str">
        <x:v>Chloe Ortiz</x:v>
      </x:c>
      <x:c r="E485" s="84" t="str">
        <x:v>Corporate </x:v>
      </x:c>
      <x:c r="F485" s="84" t="str">
        <x:v>West</x:v>
      </x:c>
      <x:c r="G485" s="84" t="str">
        <x:v>Phoenix </x:v>
      </x:c>
      <x:c r="H485" s="84" t="str">
        <x:v>Online</x:v>
      </x:c>
      <x:c r="I485" s="84" t="str">
        <x:v>ELEC-002</x:v>
      </x:c>
      <x:c r="J485" s="86" t="n">
        <x:v>2</x:v>
      </x:c>
      <x:c r="K485" s="87" t="n">
        <x:v>0.05</x:v>
      </x:c>
      <x:c r="L485" s="84" t="str">
        <x:v> COMPLETED </x:v>
      </x:c>
      <x:c r="M485" s="84" t="str">
        <x:v>PayPal</x:v>
      </x:c>
      <x:c r="N485" s="84" t="str">
        <x:v>mia chen</x:v>
      </x:c>
      <x:c r="O485" s="85" t="n">
        <x:v>45474</x:v>
      </x:c>
      <x:c r="P485" s="84" t="str">
        <x:v>WEB_2024_06</x:v>
      </x:c>
      <x:c r="Q485" s="84" t="str">
        <x:v>Smartwatch</x:v>
      </x:c>
      <x:c r="R485" s="84" t="str">
        <x:v>Electronics</x:v>
      </x:c>
    </x:row>
    <x:row r="486">
      <x:c r="A486" s="84" t="str">
        <x:v>ORD-2024-01050</x:v>
      </x:c>
      <x:c r="B486" s="85" t="n">
        <x:v>45471</x:v>
      </x:c>
      <x:c r="C486" s="84" t="str">
        <x:v>CUST-0623</x:v>
      </x:c>
      <x:c r="D486" s="84" t="str">
        <x:v>Theo Roberts</x:v>
      </x:c>
      <x:c r="E486" s="84" t="str">
        <x:v>Small Business </x:v>
      </x:c>
      <x:c r="F486" s="84" t="str">
        <x:v>Midwest</x:v>
      </x:c>
      <x:c r="G486" s="84" t="str">
        <x:v>Detroit </x:v>
      </x:c>
      <x:c r="H486" s="84" t="str">
        <x:v>Online</x:v>
      </x:c>
      <x:c r="I486" s="84" t="str">
        <x:v>ACCS-004</x:v>
      </x:c>
      <x:c r="J486" s="86" t="n">
        <x:v>1</x:v>
      </x:c>
      <x:c r="K486" s="87" t="n">
        <x:v>0.1</x:v>
      </x:c>
      <x:c r="L486" s="84" t="str">
        <x:v>Returned</x:v>
      </x:c>
      <x:c r="M486" s="84" t="str">
        <x:v>PayPal</x:v>
      </x:c>
      <x:c r="N486" s="84" t="str">
        <x:v>Zoe Turner</x:v>
      </x:c>
      <x:c r="O486" s="85" t="n">
        <x:v>45475</x:v>
      </x:c>
      <x:c r="P486" s="84" t="str">
        <x:v>WEB_2024_06</x:v>
      </x:c>
      <x:c r="Q486" s="84" t="str">
        <x:v>Leather Wallet</x:v>
      </x:c>
      <x:c r="R486" s="84" t="str">
        <x:v>Accessories</x:v>
      </x:c>
    </x:row>
    <x:row r="487">
      <x:c r="A487" s="84" t="str">
        <x:v>ORD-2024-02299</x:v>
      </x:c>
      <x:c r="B487" s="85" t="n">
        <x:v>45471</x:v>
      </x:c>
      <x:c r="C487" s="84" t="str">
        <x:v>CUST-0502</x:v>
      </x:c>
      <x:c r="D487" s="84" t="str">
        <x:v>Owen Lewis</x:v>
      </x:c>
      <x:c r="E487" s="84" t="str">
        <x:v>consumer</x:v>
      </x:c>
      <x:c r="F487" s="84" t="str">
        <x:v>Midwest</x:v>
      </x:c>
      <x:c r="G487" s="84" t="str">
        <x:v>Detroit</x:v>
      </x:c>
      <x:c r="H487" s="84" t="str">
        <x:v>retail store</x:v>
      </x:c>
      <x:c r="I487" s="84" t="str">
        <x:v>ACCS-005</x:v>
      </x:c>
      <x:c r="J487" s="86" t="n">
        <x:v>1</x:v>
      </x:c>
      <x:c r="K487" s="87" t="n">
        <x:v>0</x:v>
      </x:c>
      <x:c r="L487" s="84" t="str">
        <x:v>Completed</x:v>
      </x:c>
      <x:c r="M487" s="84" t="str">
        <x:v>Mobile Wallet</x:v>
      </x:c>
      <x:c r="N487" s="84" t="str">
        <x:v>Zoe Turner</x:v>
      </x:c>
      <x:c r="O487" s="85" t="n">
        <x:v>45471</x:v>
      </x:c>
      <x:c r="P487" s="84" t="str">
        <x:v>POS_2024_06</x:v>
      </x:c>
      <x:c r="Q487" s="84" t="str">
        <x:v> PROTECTIVE PHONE CASE </x:v>
      </x:c>
      <x:c r="R487" s="84" t="str">
        <x:v>Accessories</x:v>
      </x:c>
    </x:row>
    <x:row r="488">
      <x:c r="A488" s="84" t="str">
        <x:v>ORD-2024-00710</x:v>
      </x:c>
      <x:c r="B488" s="85" t="n">
        <x:v>45472</x:v>
      </x:c>
      <x:c r="C488" s="84" t="str">
        <x:v>CUST-0469</x:v>
      </x:c>
      <x:c r="D488" s="84" t="str">
        <x:v>Layla Evans</x:v>
      </x:c>
      <x:c r="E488" s="84" t="str">
        <x:v>Corporate</x:v>
      </x:c>
      <x:c r="F488" s="84" t="str">
        <x:v>Midwest</x:v>
      </x:c>
      <x:c r="G488" s="84" t="str">
        <x:v>Minneapolis</x:v>
      </x:c>
      <x:c r="H488" s="84" t="str">
        <x:v>Online </x:v>
      </x:c>
      <x:c r="I488" s="84" t="str">
        <x:v>ACCS-003</x:v>
      </x:c>
      <x:c r="J488" s="86" t="n">
        <x:v>3</x:v>
      </x:c>
      <x:c r="K488" s="87" t="n">
        <x:v>0</x:v>
      </x:c>
      <x:c r="L488" s="84" t="str">
        <x:v>Completed</x:v>
      </x:c>
      <x:c r="M488" s="84" t="str">
        <x:v>Debit Card</x:v>
      </x:c>
      <x:c r="N488" s="84" t="str">
        <x:v>Zoe Turner</x:v>
      </x:c>
      <x:c r="O488" s="85" t="n">
        <x:v>45474</x:v>
      </x:c>
      <x:c r="P488" s="84" t="str">
        <x:v>WEB_2024_06</x:v>
      </x:c>
      <x:c r="Q488" s="84" t="str">
        <x:v>Polarized Sunglasses</x:v>
      </x:c>
      <x:c r="R488" s="84" t="str">
        <x:v>Accessories</x:v>
      </x:c>
    </x:row>
    <x:row r="489">
      <x:c r="A489" s="84" t="str">
        <x:v>ORD-2024-00926</x:v>
      </x:c>
      <x:c r="B489" s="85" t="n">
        <x:v>45472</x:v>
      </x:c>
      <x:c r="C489" s="84" t="str">
        <x:v>CUST-0392</x:v>
      </x:c>
      <x:c r="D489" s="84" t="str">
        <x:v>Elias Nelson</x:v>
      </x:c>
      <x:c r="E489" s="84" t="str">
        <x:v>Consumer</x:v>
      </x:c>
      <x:c r="F489" s="84" t="str">
        <x:v>Northeast</x:v>
      </x:c>
      <x:c r="G489" s="84" t="str">
        <x:v>Newark</x:v>
      </x:c>
      <x:c r="H489" s="84" t="str">
        <x:v>Retail Store</x:v>
      </x:c>
      <x:c r="I489" s="84" t="str">
        <x:v>FITN-002</x:v>
      </x:c>
      <x:c r="J489" s="86" t="n">
        <x:v>1</x:v>
      </x:c>
      <x:c r="K489" s="87" t="n">
        <x:v>0.1</x:v>
      </x:c>
      <x:c r="L489" s="84" t="str">
        <x:v>Returned</x:v>
      </x:c>
      <x:c r="M489" s="84" t="str">
        <x:v>Credit Card</x:v>
      </x:c>
      <x:c r="N489" s="84" t="str">
        <x:v>sofia bennett</x:v>
      </x:c>
      <x:c r="O489" s="85" t="n">
        <x:v>45472</x:v>
      </x:c>
      <x:c r="P489" s="84" t="str">
        <x:v>POS_2024_06</x:v>
      </x:c>
      <x:c r="Q489" s="84" t="str">
        <x:v>Adjustable Dumbbell Set</x:v>
      </x:c>
      <x:c r="R489" s="84" t="str">
        <x:v>Fitness </x:v>
      </x:c>
    </x:row>
    <x:row r="490">
      <x:c r="A490" s="84" t="str">
        <x:v>ORD-2024-00977</x:v>
      </x:c>
      <x:c r="B490" s="85" t="n">
        <x:v>45472</x:v>
      </x:c>
      <x:c r="C490" s="84" t="str">
        <x:v>CUST-0039</x:v>
      </x:c>
      <x:c r="D490" s="84" t="str">
        <x:v>Amelia Patel</x:v>
      </x:c>
      <x:c r="E490" s="84" t="str">
        <x:v>Consumer</x:v>
      </x:c>
      <x:c r="F490" s="84" t="str">
        <x:v>West </x:v>
      </x:c>
      <x:c r="G490" s="84" t="str">
        <x:v>Denver</x:v>
      </x:c>
      <x:c r="H490" s="84" t="str">
        <x:v>Retail Store</x:v>
      </x:c>
      <x:c r="I490" s="84" t="str">
        <x:v>FITN-003</x:v>
      </x:c>
      <x:c r="J490" s="86" t="n">
        <x:v>1</x:v>
      </x:c>
      <x:c r="K490" s="87" t="n">
        <x:v>0.1</x:v>
      </x:c>
      <x:c r="L490" s="84" t="str">
        <x:v>Completed</x:v>
      </x:c>
      <x:c r="M490" s="84" t="str">
        <x:v>Cash</x:v>
      </x:c>
      <x:c r="N490" s="84" t="str">
        <x:v>Leo Martinez </x:v>
      </x:c>
      <x:c r="O490" s="85" t="n">
        <x:v>45473</x:v>
      </x:c>
      <x:c r="P490" s="84" t="str">
        <x:v>POS_2024_06</x:v>
      </x:c>
      <x:c r="Q490" s="84" t="str">
        <x:v>resistance band set</x:v>
      </x:c>
      <x:c r="R490" s="84" t="str">
        <x:v>Fitness</x:v>
      </x:c>
    </x:row>
    <x:row r="491">
      <x:c r="A491" s="84" t="str">
        <x:v>ORD-2024-02029</x:v>
      </x:c>
      <x:c r="B491" s="85" t="n">
        <x:v>45472</x:v>
      </x:c>
      <x:c r="C491" s="84" t="str">
        <x:v>CUST-0479</x:v>
      </x:c>
      <x:c r="D491" s="84" t="str">
        <x:v>Zara Taylor</x:v>
      </x:c>
      <x:c r="E491" s="84" t="str">
        <x:v>Consumer</x:v>
      </x:c>
      <x:c r="F491" s="84" t="str">
        <x:v>West</x:v>
      </x:c>
      <x:c r="G491" s="84" t="str">
        <x:v>Phoenix</x:v>
      </x:c>
      <x:c r="H491" s="84" t="str">
        <x:v> MARKETPLACE </x:v>
      </x:c>
      <x:c r="I491" s="84" t="str">
        <x:v>FITN-002</x:v>
      </x:c>
      <x:c r="J491" s="86" t="n">
        <x:v>1</x:v>
      </x:c>
      <x:c r="K491" s="87" t="n">
        <x:v>0.05</x:v>
      </x:c>
      <x:c r="L491" s="84" t="str">
        <x:v>Completed </x:v>
      </x:c>
      <x:c r="M491" s="84" t="str">
        <x:v>Credit Card</x:v>
      </x:c>
      <x:c r="N491" s="84" t="str">
        <x:v>Leo Martinez</x:v>
      </x:c>
      <x:c r="O491" s="85" t="n">
        <x:v>45477</x:v>
      </x:c>
      <x:c r="P491" s="84" t="str">
        <x:v>MKT_2024_06</x:v>
      </x:c>
      <x:c r="Q491" s="84" t="str">
        <x:v>Adjustable Dumbbell Set</x:v>
      </x:c>
      <x:c r="R491" s="84" t="str">
        <x:v>Fitness</x:v>
      </x:c>
    </x:row>
    <x:row r="492">
      <x:c r="A492" s="84" t="str">
        <x:v>ORD-2024-00831</x:v>
      </x:c>
      <x:c r="B492" s="85" t="n">
        <x:v>45473</x:v>
      </x:c>
      <x:c r="C492" s="84" t="str">
        <x:v>CUST-0302</x:v>
      </x:c>
      <x:c r="D492" s="84" t="str">
        <x:v>Amelia Davis </x:v>
      </x:c>
      <x:c r="E492" s="84" t="str">
        <x:v>Consumer</x:v>
      </x:c>
      <x:c r="F492" s="84" t="str">
        <x:v>Southeast</x:v>
      </x:c>
      <x:c r="G492" s="84" t="str">
        <x:v>Atlanta</x:v>
      </x:c>
      <x:c r="H492" s="84" t="str">
        <x:v>Marketplace</x:v>
      </x:c>
      <x:c r="I492" s="84" t="str">
        <x:v>FITN-005</x:v>
      </x:c>
      <x:c r="J492" s="86" t="n">
        <x:v>1</x:v>
      </x:c>
      <x:c r="K492" s="87" t="n">
        <x:v>0.05</x:v>
      </x:c>
      <x:c r="L492" s="84" t="str">
        <x:v>Returned</x:v>
      </x:c>
      <x:c r="M492" s="84" t="str">
        <x:v>Debit Card </x:v>
      </x:c>
      <x:c r="N492" s="84" t="str">
        <x:v>Ava Mitchell</x:v>
      </x:c>
      <x:c r="O492" s="85" t="n">
        <x:v>45479</x:v>
      </x:c>
      <x:c r="P492" s="84" t="str">
        <x:v>MKT_2024_06</x:v>
      </x:c>
      <x:c r="Q492" s="84" t="str">
        <x:v>Sports Water Bottle</x:v>
      </x:c>
      <x:c r="R492" s="84" t="str">
        <x:v> FITNESS </x:v>
      </x:c>
    </x:row>
    <x:row r="493">
      <x:c r="A493" s="84" t="str">
        <x:v>ORD-2024-01177</x:v>
      </x:c>
      <x:c r="B493" s="85" t="n">
        <x:v>45473</x:v>
      </x:c>
      <x:c r="C493" s="84" t="str">
        <x:v>CUST-0389</x:v>
      </x:c>
      <x:c r="D493" s="84" t="str">
        <x:v>William Smith</x:v>
      </x:c>
      <x:c r="E493" s="84" t="str">
        <x:v>consumer</x:v>
      </x:c>
      <x:c r="F493" s="84" t="str">
        <x:v>Southeast</x:v>
      </x:c>
      <x:c r="G493" s="84" t="str">
        <x:v>Miami</x:v>
      </x:c>
      <x:c r="H493" s="84" t="str">
        <x:v>online</x:v>
      </x:c>
      <x:c r="I493" s="84" t="str">
        <x:v>FITN-005</x:v>
      </x:c>
      <x:c r="J493" s="86" t="n">
        <x:v>1</x:v>
      </x:c>
      <x:c r="K493" s="87" t="n">
        <x:v>0</x:v>
      </x:c>
      <x:c r="L493" s="84" t="str">
        <x:v>Completed</x:v>
      </x:c>
      <x:c r="M493" s="84" t="str">
        <x:v>Credit Card</x:v>
      </x:c>
      <x:c r="N493" s="84" t="str">
        <x:v>Noah Reed</x:v>
      </x:c>
      <x:c r="O493" s="85" t="n">
        <x:v>45475</x:v>
      </x:c>
      <x:c r="P493" s="84" t="str">
        <x:v>WEB_2024_06</x:v>
      </x:c>
      <x:c r="Q493" s="84" t="str">
        <x:v> SPORTS WATER BOTTLE </x:v>
      </x:c>
      <x:c r="R493" s="84" t="str">
        <x:v>Fitness</x:v>
      </x:c>
    </x:row>
    <x:row r="494">
      <x:c r="A494" s="84" t="str">
        <x:v>ORD-2024-01186</x:v>
      </x:c>
      <x:c r="B494" s="85" t="n">
        <x:v>45473</x:v>
      </x:c>
      <x:c r="C494" s="84" t="str">
        <x:v>CUST-0023</x:v>
      </x:c>
      <x:c r="D494" s="84" t="str">
        <x:v>Layla Nelson</x:v>
      </x:c>
      <x:c r="E494" s="84" t="str">
        <x:v>Consumer</x:v>
      </x:c>
      <x:c r="F494" s="84" t="str">
        <x:v>Northeast</x:v>
      </x:c>
      <x:c r="G494" s="84" t="str">
        <x:v>New York</x:v>
      </x:c>
      <x:c r="H494" s="84" t="str">
        <x:v>Retail Store </x:v>
      </x:c>
      <x:c r="I494" s="84" t="str">
        <x:v>ELEC-002</x:v>
      </x:c>
      <x:c r="J494" s="86" t="n">
        <x:v>2</x:v>
      </x:c>
      <x:c r="K494" s="87" t="n">
        <x:v>0.1</x:v>
      </x:c>
      <x:c r="L494" s="84" t="str">
        <x:v>Completed</x:v>
      </x:c>
      <x:c r="M494" s="84" t="str">
        <x:v>Mobile Wallet</x:v>
      </x:c>
      <x:c r="N494" s="84" t="str">
        <x:v>Sofia Bennett</x:v>
      </x:c>
      <x:c r="O494" s="85" t="n">
        <x:v>45473</x:v>
      </x:c>
      <x:c r="P494" s="84" t="str">
        <x:v>POS_2024_06</x:v>
      </x:c>
      <x:c r="Q494" s="84" t="str">
        <x:v>smartwatch</x:v>
      </x:c>
      <x:c r="R494" s="84" t="str">
        <x:v>Electronics</x:v>
      </x:c>
    </x:row>
    <x:row r="495">
      <x:c r="A495" s="84" t="str">
        <x:v>ORD-2024-01223</x:v>
      </x:c>
      <x:c r="B495" s="85" t="n">
        <x:v>45473</x:v>
      </x:c>
      <x:c r="C495" s="84" t="str">
        <x:v>CUST-0573</x:v>
      </x:c>
      <x:c r="D495" s="84" t="str">
        <x:v>Priya Johnson </x:v>
      </x:c>
      <x:c r="E495" s="84" t="str">
        <x:v>Corporate</x:v>
      </x:c>
      <x:c r="F495" s="84" t="str">
        <x:v>West</x:v>
      </x:c>
      <x:c r="G495" s="84" t="str">
        <x:v>Los Angeles</x:v>
      </x:c>
      <x:c r="H495" s="84" t="str">
        <x:v>Online</x:v>
      </x:c>
      <x:c r="I495" s="84" t="str">
        <x:v>OFFC-002</x:v>
      </x:c>
      <x:c r="J495" s="86" t="n">
        <x:v>2</x:v>
      </x:c>
      <x:c r="K495" s="87" t="n">
        <x:v>0</x:v>
      </x:c>
      <x:c r="L495" s="84" t="str">
        <x:v>Completed</x:v>
      </x:c>
      <x:c r="M495" s="84" t="str">
        <x:v>PayPal </x:v>
      </x:c>
      <x:c r="N495" s="84" t="str">
        <x:v>nora kim</x:v>
      </x:c>
      <x:c r="O495" s="85" t="n">
        <x:v>45476</x:v>
      </x:c>
      <x:c r="P495" s="84" t="str">
        <x:v>WEB_2024_06</x:v>
      </x:c>
      <x:c r="Q495" s="84" t="str">
        <x:v>Standing Desk</x:v>
      </x:c>
      <x:c r="R495" s="84" t="str">
        <x:v>Office</x:v>
      </x:c>
    </x:row>
    <x:row r="496">
      <x:c r="A496" s="84" t="str">
        <x:v>ORD-2024-02110</x:v>
      </x:c>
      <x:c r="B496" s="85" t="n">
        <x:v>45473</x:v>
      </x:c>
      <x:c r="C496" s="84" t="str">
        <x:v>CUST-0336</x:v>
      </x:c>
      <x:c r="D496" s="84" t="str">
        <x:v>Jonah Garcia</x:v>
      </x:c>
      <x:c r="E496" s="84" t="str">
        <x:v>Consumer</x:v>
      </x:c>
      <x:c r="F496" s="84" t="str">
        <x:v>West</x:v>
      </x:c>
      <x:c r="G496" s="84" t="str">
        <x:v>Phoenix</x:v>
      </x:c>
      <x:c r="H496" s="84" t="str">
        <x:v>Retail Store </x:v>
      </x:c>
      <x:c r="I496" s="84" t="str">
        <x:v>OFFC-006</x:v>
      </x:c>
      <x:c r="J496" s="86" t="n">
        <x:v>2</x:v>
      </x:c>
      <x:c r="K496" s="87" t="n">
        <x:v>0</x:v>
      </x:c>
      <x:c r="L496" s="84" t="str">
        <x:v>Completed</x:v>
      </x:c>
      <x:c r="M496" s="84" t="str">
        <x:v>Debit Card</x:v>
      </x:c>
      <x:c r="N496" s="84" t="str">
        <x:v>Mia Chen</x:v>
      </x:c>
      <x:c r="O496" s="85" t="n">
        <x:v>45473</x:v>
      </x:c>
      <x:c r="P496" s="84" t="str">
        <x:v>POS_2024_06</x:v>
      </x:c>
      <x:c r="Q496" s="84" t="str">
        <x:v>monitor stand</x:v>
      </x:c>
      <x:c r="R496" s="84" t="str">
        <x:v>Office</x:v>
      </x:c>
    </x:row>
    <x:row r="497">
      <x:c r="A497" s="84" t="str">
        <x:v>ORD-2024-02384</x:v>
      </x:c>
      <x:c r="B497" s="85" t="n">
        <x:v>45474</x:v>
      </x:c>
      <x:c r="C497" s="84" t="str">
        <x:v>CUST-0581</x:v>
      </x:c>
      <x:c r="D497" s="84" t="str">
        <x:v>Grace Lewis</x:v>
      </x:c>
      <x:c r="E497" s="84" t="str">
        <x:v>Consumer</x:v>
      </x:c>
      <x:c r="F497" s="84" t="str">
        <x:v>west</x:v>
      </x:c>
      <x:c r="G497" s="84" t="str">
        <x:v>Phoenix</x:v>
      </x:c>
      <x:c r="H497" s="84" t="str">
        <x:v>Online</x:v>
      </x:c>
      <x:c r="I497" s="84" t="str">
        <x:v>ELEC-003</x:v>
      </x:c>
      <x:c r="J497" s="86" t="n">
        <x:v>1</x:v>
      </x:c>
      <x:c r="K497" s="87" t="n">
        <x:v>0.05</x:v>
      </x:c>
      <x:c r="L497" s="84" t="str">
        <x:v>Completed</x:v>
      </x:c>
      <x:c r="M497" s="84" t="str">
        <x:v>Credit Card</x:v>
      </x:c>
      <x:c r="N497" s="84" t="str">
        <x:v>Nora Kim </x:v>
      </x:c>
      <x:c r="O497" s="85" t="n">
        <x:v>45480</x:v>
      </x:c>
      <x:c r="P497" s="84" t="str">
        <x:v>WEB_2024_07</x:v>
      </x:c>
      <x:c r="Q497" s="84" t="str">
        <x:v> BLUETOOTH SPEAKER </x:v>
      </x:c>
      <x:c r="R497" s="84" t="str">
        <x:v>Electronics</x:v>
      </x:c>
    </x:row>
    <x:row r="498">
      <x:c r="A498" s="84" t="str">
        <x:v>ORD-2024-00015</x:v>
      </x:c>
      <x:c r="B498" s="85" t="n">
        <x:v>45475</x:v>
      </x:c>
      <x:c r="C498" s="84" t="str">
        <x:v>CUST-0311</x:v>
      </x:c>
      <x:c r="D498" s="84" t="str">
        <x:v>Amelia Evans</x:v>
      </x:c>
      <x:c r="E498" s="84" t="str">
        <x:v>Consumer</x:v>
      </x:c>
      <x:c r="F498" s="84" t="str">
        <x:v>Midwest</x:v>
      </x:c>
      <x:c r="G498" s="84" t="str">
        <x:v>detroit</x:v>
      </x:c>
      <x:c r="H498" s="84" t="str">
        <x:v>Online</x:v>
      </x:c>
      <x:c r="I498" s="84" t="str">
        <x:v>CARE-003</x:v>
      </x:c>
      <x:c r="J498" s="86" t="n">
        <x:v>2</x:v>
      </x:c>
      <x:c r="K498" s="87" t="n">
        <x:v>0</x:v>
      </x:c>
      <x:c r="L498" s="84" t="str">
        <x:v>completed</x:v>
      </x:c>
      <x:c r="M498" s="84" t="str">
        <x:v>Credit Card</x:v>
      </x:c>
      <x:c r="N498" s="84" t="str">
        <x:v>Zoe Turner</x:v>
      </x:c>
      <x:c r="O498" s="85" t="n">
        <x:v>45481</x:v>
      </x:c>
      <x:c r="P498" s="84" t="str">
        <x:v>WEB_2024_07</x:v>
      </x:c>
      <x:c r="Q498" s="84" t="str">
        <x:v>Facial Cleanser </x:v>
      </x:c>
      <x:c r="R498" s="84" t="str">
        <x:v> PERSONAL CARE </x:v>
      </x:c>
    </x:row>
    <x:row r="499">
      <x:c r="A499" s="84" t="str">
        <x:v>ORD-2024-00039</x:v>
      </x:c>
      <x:c r="B499" s="85" t="n">
        <x:v>45475</x:v>
      </x:c>
      <x:c r="C499" s="84" t="str">
        <x:v>CUST-0008</x:v>
      </x:c>
      <x:c r="D499" s="84" t="str">
        <x:v>Nathan Foster</x:v>
      </x:c>
      <x:c r="E499" s="84" t="str">
        <x:v>Consumer</x:v>
      </x:c>
      <x:c r="F499" s="84" t="str">
        <x:v>West </x:v>
      </x:c>
      <x:c r="G499" s="84" t="str">
        <x:v>Denver</x:v>
      </x:c>
      <x:c r="H499" s="84" t="str">
        <x:v>Online</x:v>
      </x:c>
      <x:c r="I499" s="84" t="str">
        <x:v>ELEC-003</x:v>
      </x:c>
      <x:c r="J499" s="86" t="n">
        <x:v>1</x:v>
      </x:c>
      <x:c r="K499" s="87" t="n">
        <x:v>0</x:v>
      </x:c>
      <x:c r="L499" s="84" t="str">
        <x:v> COMPLETED </x:v>
      </x:c>
      <x:c r="M499" s="84" t="str">
        <x:v>PayPal</x:v>
      </x:c>
      <x:c r="N499" s="84" t="str">
        <x:v>Leo Martinez </x:v>
      </x:c>
      <x:c r="O499" s="85" t="n">
        <x:v>45478</x:v>
      </x:c>
      <x:c r="P499" s="84" t="str">
        <x:v>WEB_2024_07</x:v>
      </x:c>
      <x:c r="Q499" s="84" t="str">
        <x:v>Bluetooth Speaker</x:v>
      </x:c>
      <x:c r="R499" s="84" t="str">
        <x:v>Electronics</x:v>
      </x:c>
    </x:row>
    <x:row r="500">
      <x:c r="A500" s="84" t="str">
        <x:v>ORD-2024-00259</x:v>
      </x:c>
      <x:c r="B500" s="85" t="n">
        <x:v>45475</x:v>
      </x:c>
      <x:c r="C500" s="84" t="str">
        <x:v>CUST-0081</x:v>
      </x:c>
      <x:c r="D500" s="84" t="str">
        <x:v>Grace Young</x:v>
      </x:c>
      <x:c r="E500" s="84" t="str">
        <x:v>Small Business </x:v>
      </x:c>
      <x:c r="F500" s="84" t="str">
        <x:v>Northeast</x:v>
      </x:c>
      <x:c r="G500" s="84" t="str">
        <x:v>New York </x:v>
      </x:c>
      <x:c r="H500" s="84" t="str">
        <x:v>Retail Store</x:v>
      </x:c>
      <x:c r="I500" s="84" t="str">
        <x:v>OFFC-001</x:v>
      </x:c>
      <x:c r="J500" s="86" t="n">
        <x:v>2</x:v>
      </x:c>
      <x:c r="K500" s="87" t="n">
        <x:v>0.1</x:v>
      </x:c>
      <x:c r="L500" s="84" t="str">
        <x:v>Completed</x:v>
      </x:c>
      <x:c r="M500" s="84" t="str">
        <x:v>Debit Card</x:v>
      </x:c>
      <x:c r="N500" s="84" t="str">
        <x:v>Maya Brooks</x:v>
      </x:c>
      <x:c r="O500" s="85" t="n">
        <x:v>45475</x:v>
      </x:c>
      <x:c r="P500" s="84" t="str">
        <x:v>POS_2024_07</x:v>
      </x:c>
      <x:c r="Q500" s="84" t="str">
        <x:v> ERGONOMIC CHAIR </x:v>
      </x:c>
      <x:c r="R500" s="84" t="str">
        <x:v>Office</x:v>
      </x:c>
    </x:row>
    <x:row r="501">
      <x:c r="A501" s="84" t="str">
        <x:v>ORD-2024-01257</x:v>
      </x:c>
      <x:c r="B501" s="85" t="n">
        <x:v>45475</x:v>
      </x:c>
      <x:c r="C501" s="84" t="str">
        <x:v>CUST-0541</x:v>
      </x:c>
      <x:c r="D501" s="84" t="str">
        <x:v>Caleb Adams</x:v>
      </x:c>
      <x:c r="E501" s="84" t="str">
        <x:v>Small Business</x:v>
      </x:c>
      <x:c r="F501" s="84" t="str">
        <x:v>Northeast </x:v>
      </x:c>
      <x:c r="G501" s="84" t="str">
        <x:v>Newark</x:v>
      </x:c>
      <x:c r="H501" s="84" t="str">
        <x:v>Online</x:v>
      </x:c>
      <x:c r="I501" s="84" t="str">
        <x:v>CARE-002</x:v>
      </x:c>
      <x:c r="J501" s="86" t="n">
        <x:v>2</x:v>
      </x:c>
      <x:c r="K501" s="87" t="n">
        <x:v>0</x:v>
      </x:c>
      <x:c r="L501" s="84" t="str">
        <x:v>Completed</x:v>
      </x:c>
      <x:c r="M501" s="84" t="str">
        <x:v>Debit Card</x:v>
      </x:c>
      <x:c r="N501" s="84" t="str">
        <x:v>Maya Brooks </x:v>
      </x:c>
      <x:c r="O501" s="85" t="n">
        <x:v>45477</x:v>
      </x:c>
      <x:c r="P501" s="84" t="str">
        <x:v>WEB_2024_07</x:v>
      </x:c>
      <x:c r="Q501" s="84" t="str">
        <x:v>Rechargeable Trimmer</x:v>
      </x:c>
      <x:c r="R501" s="84" t="str">
        <x:v>personal care</x:v>
      </x:c>
    </x:row>
    <x:row r="502">
      <x:c r="A502" s="84" t="str">
        <x:v>ORD-2024-01042</x:v>
      </x:c>
      <x:c r="B502" s="85" t="n">
        <x:v>45477</x:v>
      </x:c>
      <x:c r="C502" s="84" t="str">
        <x:v>CUST-0458</x:v>
      </x:c>
      <x:c r="D502" s="84" t="str">
        <x:v>Samuel Carter</x:v>
      </x:c>
      <x:c r="E502" s="84" t="str">
        <x:v>Consumer</x:v>
      </x:c>
      <x:c r="F502" s="84" t="str">
        <x:v>southeast</x:v>
      </x:c>
      <x:c r="G502" s="84" t="str">
        <x:v>Atlanta</x:v>
      </x:c>
      <x:c r="H502" s="84" t="str">
        <x:v>Retail Store</x:v>
      </x:c>
      <x:c r="I502" s="84" t="str">
        <x:v>ACCS-006</x:v>
      </x:c>
      <x:c r="J502" s="86" t="n">
        <x:v>1</x:v>
      </x:c>
      <x:c r="K502" s="87" t="n">
        <x:v>0</x:v>
      </x:c>
      <x:c r="L502" s="84" t="str">
        <x:v> COMPLETED </x:v>
      </x:c>
      <x:c r="M502" s="84" t="str">
        <x:v>Mobile Wallet</x:v>
      </x:c>
      <x:c r="N502" s="84" t="str">
        <x:v>Liam Parker</x:v>
      </x:c>
      <x:c r="O502" s="85" t="n">
        <x:v>45477</x:v>
      </x:c>
      <x:c r="P502" s="84" t="str">
        <x:v>POS_2024_07</x:v>
      </x:c>
      <x:c r="Q502" s="84" t="str">
        <x:v>Insulated Lunch Bag</x:v>
      </x:c>
      <x:c r="R502" s="84" t="str">
        <x:v>Accessories</x:v>
      </x:c>
    </x:row>
    <x:row r="503">
      <x:c r="A503" s="84" t="str">
        <x:v>ORD-2024-01399</x:v>
      </x:c>
      <x:c r="B503" s="85" t="n">
        <x:v>45477</x:v>
      </x:c>
      <x:c r="C503" s="84" t="str">
        <x:v>CUST-0062</x:v>
      </x:c>
      <x:c r="D503" s="84" t="str">
        <x:v>Caleb Davis</x:v>
      </x:c>
      <x:c r="E503" s="84" t="str">
        <x:v>Consumer</x:v>
      </x:c>
      <x:c r="F503" s="84" t="str">
        <x:v>Northeast</x:v>
      </x:c>
      <x:c r="G503" s="84" t="str">
        <x:v>New York</x:v>
      </x:c>
      <x:c r="H503" s="84" t="str">
        <x:v>Online</x:v>
      </x:c>
      <x:c r="I503" s="84" t="str">
        <x:v>FITN-001</x:v>
      </x:c>
      <x:c r="J503" s="86" t="n">
        <x:v>3</x:v>
      </x:c>
      <x:c r="K503" s="87" t="n">
        <x:v>0.1</x:v>
      </x:c>
      <x:c r="L503" s="84" t="str">
        <x:v> COMPLETED </x:v>
      </x:c>
      <x:c r="M503" s="84" t="str">
        <x:v>Debit Card</x:v>
      </x:c>
      <x:c r="N503" s="84" t="str">
        <x:v>sofia bennett</x:v>
      </x:c>
      <x:c r="O503" s="85" t="n">
        <x:v>45480</x:v>
      </x:c>
      <x:c r="P503" s="84" t="str">
        <x:v>WEB_2024_07</x:v>
      </x:c>
      <x:c r="Q503" s="84" t="str">
        <x:v>Yoga Mat</x:v>
      </x:c>
      <x:c r="R503" s="84" t="str">
        <x:v>Fitness</x:v>
      </x:c>
    </x:row>
    <x:row r="504">
      <x:c r="A504" s="84" t="str">
        <x:v>ORD-2024-01833</x:v>
      </x:c>
      <x:c r="B504" s="85" t="n">
        <x:v>45477</x:v>
      </x:c>
      <x:c r="C504" s="84" t="str">
        <x:v>CUST-0238</x:v>
      </x:c>
      <x:c r="D504" s="84" t="str">
        <x:v> AIDEN ORTIZ </x:v>
      </x:c>
      <x:c r="E504" s="84" t="str">
        <x:v>Small Business</x:v>
      </x:c>
      <x:c r="F504" s="84" t="str">
        <x:v> WEST </x:v>
      </x:c>
      <x:c r="G504" s="84" t="str">
        <x:v>Phoenix</x:v>
      </x:c>
      <x:c r="H504" s="84" t="str">
        <x:v>Online</x:v>
      </x:c>
      <x:c r="I504" s="84" t="str">
        <x:v>ACCS-001</x:v>
      </x:c>
      <x:c r="J504" s="86" t="n">
        <x:v>1</x:v>
      </x:c>
      <x:c r="K504" s="87" t="n">
        <x:v>0.1</x:v>
      </x:c>
      <x:c r="L504" s="84" t="str">
        <x:v>Completed </x:v>
      </x:c>
      <x:c r="M504" s="84" t="str">
        <x:v>Mobile Wallet</x:v>
      </x:c>
      <x:c r="N504" s="84" t="str">
        <x:v>Mia Chen</x:v>
      </x:c>
      <x:c r="O504" s="85" t="n">
        <x:v>45479</x:v>
      </x:c>
      <x:c r="P504" s="84" t="str">
        <x:v>WEB_2024_07</x:v>
      </x:c>
      <x:c r="Q504" s="84" t="str">
        <x:v>Canvas Tote Bag</x:v>
      </x:c>
      <x:c r="R504" s="84" t="str">
        <x:v>Accessories</x:v>
      </x:c>
    </x:row>
    <x:row r="505">
      <x:c r="A505" s="84" t="str">
        <x:v>ORD-2024-00480</x:v>
      </x:c>
      <x:c r="B505" s="85" t="n">
        <x:v>45478</x:v>
      </x:c>
      <x:c r="C505" s="84" t="str">
        <x:v>CUST-0322</x:v>
      </x:c>
      <x:c r="D505" s="84" t="str">
        <x:v>jasmine khan</x:v>
      </x:c>
      <x:c r="E505" s="84" t="str">
        <x:v>Corporate</x:v>
      </x:c>
      <x:c r="F505" s="84" t="str">
        <x:v>Southeast </x:v>
      </x:c>
      <x:c r="G505" s="84" t="str">
        <x:v>Atlanta</x:v>
      </x:c>
      <x:c r="H505" s="84" t="str">
        <x:v>Marketplace</x:v>
      </x:c>
      <x:c r="I505" s="84" t="str">
        <x:v>OFFC-003</x:v>
      </x:c>
      <x:c r="J505" s="86" t="n">
        <x:v>2</x:v>
      </x:c>
      <x:c r="K505" s="87" t="n">
        <x:v>0.1</x:v>
      </x:c>
      <x:c r="L505" s="84" t="str">
        <x:v>Completed</x:v>
      </x:c>
      <x:c r="M505" s="84" t="str">
        <x:v>Credit Card</x:v>
      </x:c>
      <x:c r="N505" s="84" t="str">
        <x:v>Noah Reed </x:v>
      </x:c>
      <x:c r="O505" s="85" t="n">
        <x:v>45482</x:v>
      </x:c>
      <x:c r="P505" s="84" t="str">
        <x:v>MKT_2024_07</x:v>
      </x:c>
      <x:c r="Q505" s="84" t="str">
        <x:v> LED DESK LAMP </x:v>
      </x:c>
      <x:c r="R505" s="84" t="str">
        <x:v>Office</x:v>
      </x:c>
    </x:row>
    <x:row r="506">
      <x:c r="A506" s="84" t="str">
        <x:v>ORD-2024-00703</x:v>
      </x:c>
      <x:c r="B506" s="85" t="n">
        <x:v>45478</x:v>
      </x:c>
      <x:c r="C506" s="84" t="str">
        <x:v>CUST-0603</x:v>
      </x:c>
      <x:c r="D506" s="84" t="str">
        <x:v>Elias Roberts</x:v>
      </x:c>
      <x:c r="E506" s="84" t="str">
        <x:v>Consumer</x:v>
      </x:c>
      <x:c r="F506" s="84" t="str">
        <x:v>Northeast</x:v>
      </x:c>
      <x:c r="G506" s="84" t="str">
        <x:v>Newark</x:v>
      </x:c>
      <x:c r="H506" s="84" t="str">
        <x:v> RETAIL STORE </x:v>
      </x:c>
      <x:c r="I506" s="84" t="str">
        <x:v>FITN-002</x:v>
      </x:c>
      <x:c r="J506" s="86" t="n">
        <x:v>3</x:v>
      </x:c>
      <x:c r="K506" s="87" t="n">
        <x:v>0.1</x:v>
      </x:c>
      <x:c r="L506" s="84" t="str">
        <x:v>Completed</x:v>
      </x:c>
      <x:c r="M506" s="84" t="str">
        <x:v>mobile wallet</x:v>
      </x:c>
      <x:c r="N506" s="84" t="str">
        <x:v>Ethan Cole</x:v>
      </x:c>
      <x:c r="O506" s="85" t="n">
        <x:v>45478</x:v>
      </x:c>
      <x:c r="P506" s="84" t="str">
        <x:v>POS_2024_07</x:v>
      </x:c>
      <x:c r="Q506" s="84" t="str">
        <x:v>Adjustable Dumbbell Set</x:v>
      </x:c>
      <x:c r="R506" s="84" t="str">
        <x:v>Fitness</x:v>
      </x:c>
    </x:row>
    <x:row r="507">
      <x:c r="A507" s="84" t="str">
        <x:v>ORD-2024-01163</x:v>
      </x:c>
      <x:c r="B507" s="85" t="n">
        <x:v>45478</x:v>
      </x:c>
      <x:c r="C507" s="84" t="str">
        <x:v>CUST-0194</x:v>
      </x:c>
      <x:c r="D507" s="84" t="str">
        <x:v>Samuel Roberts</x:v>
      </x:c>
      <x:c r="E507" s="84" t="str">
        <x:v>Small Business</x:v>
      </x:c>
      <x:c r="F507" s="84" t="str">
        <x:v>southeast</x:v>
      </x:c>
      <x:c r="G507" s="84" t="str">
        <x:v>Atlanta</x:v>
      </x:c>
      <x:c r="H507" s="84" t="str">
        <x:v>Retail Store</x:v>
      </x:c>
      <x:c r="I507" s="84" t="str">
        <x:v>HOME-004</x:v>
      </x:c>
      <x:c r="J507" s="86" t="n">
        <x:v>1</x:v>
      </x:c>
      <x:c r="K507" s="87" t="n">
        <x:v>0.1</x:v>
      </x:c>
      <x:c r="L507" s="84" t="str">
        <x:v>Completed</x:v>
      </x:c>
      <x:c r="M507" s="84" t="str">
        <x:v>Cash</x:v>
      </x:c>
      <x:c r="N507" s="84" t="str">
        <x:v>Noah Reed</x:v>
      </x:c>
      <x:c r="O507" s="85" t="n">
        <x:v>45478</x:v>
      </x:c>
      <x:c r="P507" s="84" t="str">
        <x:v>POS_2024_07</x:v>
      </x:c>
      <x:c r="Q507" s="84" t="str">
        <x:v>Coffee Maker </x:v>
      </x:c>
      <x:c r="R507" s="84" t="str">
        <x:v>Home &amp; Kitchen</x:v>
      </x:c>
    </x:row>
    <x:row r="508">
      <x:c r="A508" s="84" t="str">
        <x:v>ORD-2024-01349</x:v>
      </x:c>
      <x:c r="B508" s="85" t="n">
        <x:v>45478</x:v>
      </x:c>
      <x:c r="C508" s="84" t="str">
        <x:v>CUST-0022</x:v>
      </x:c>
      <x:c r="D508" s="84" t="str">
        <x:v>amelia nelson</x:v>
      </x:c>
      <x:c r="E508" s="84" t="str">
        <x:v>Corporate</x:v>
      </x:c>
      <x:c r="F508" s="84" t="str">
        <x:v>Northeast</x:v>
      </x:c>
      <x:c r="G508" s="84" t="str">
        <x:v>New York</x:v>
      </x:c>
      <x:c r="H508" s="84" t="str">
        <x:v> RETAIL STORE </x:v>
      </x:c>
      <x:c r="I508" s="84" t="str">
        <x:v>ACCS-004</x:v>
      </x:c>
      <x:c r="J508" s="86" t="n">
        <x:v>6</x:v>
      </x:c>
      <x:c r="K508" s="87" t="n">
        <x:v>0</x:v>
      </x:c>
      <x:c r="L508" s="84" t="str">
        <x:v>Completed</x:v>
      </x:c>
      <x:c r="M508" s="84" t="str">
        <x:v>Debit Card </x:v>
      </x:c>
      <x:c r="N508" s="84" t="str">
        <x:v>Maya Brooks</x:v>
      </x:c>
      <x:c r="O508" s="85" t="n">
        <x:v>45478</x:v>
      </x:c>
      <x:c r="P508" s="84" t="str">
        <x:v>POS_2024_07</x:v>
      </x:c>
      <x:c r="Q508" s="84" t="str">
        <x:v>Leather Wallet</x:v>
      </x:c>
      <x:c r="R508" s="84" t="str">
        <x:v>Accessories</x:v>
      </x:c>
    </x:row>
    <x:row r="509">
      <x:c r="A509" s="84" t="str">
        <x:v>ORD-2024-02225</x:v>
      </x:c>
      <x:c r="B509" s="85" t="n">
        <x:v>45478</x:v>
      </x:c>
      <x:c r="C509" s="84" t="str">
        <x:v>CUST-0429</x:v>
      </x:c>
      <x:c r="D509" s="84" t="str">
        <x:v>Maya Smith</x:v>
      </x:c>
      <x:c r="E509" s="84" t="str">
        <x:v>Small Business</x:v>
      </x:c>
      <x:c r="F509" s="84" t="str">
        <x:v>West</x:v>
      </x:c>
      <x:c r="G509" s="84" t="str">
        <x:v>Los Angeles</x:v>
      </x:c>
      <x:c r="H509" s="84" t="str">
        <x:v>Retail Store</x:v>
      </x:c>
      <x:c r="I509" s="84" t="str">
        <x:v>ELEC-001</x:v>
      </x:c>
      <x:c r="J509" s="86" t="n">
        <x:v>2</x:v>
      </x:c>
      <x:c r="K509" s="87" t="n">
        <x:v>0.1</x:v>
      </x:c>
      <x:c r="L509" s="84" t="str">
        <x:v>Completed </x:v>
      </x:c>
      <x:c r="M509" s="84" t="str">
        <x:v>Debit Card</x:v>
      </x:c>
      <x:c r="N509" s="84" t="str">
        <x:v>Leo Martinez</x:v>
      </x:c>
      <x:c r="O509" s="85" t="n">
        <x:v>45478</x:v>
      </x:c>
      <x:c r="P509" s="84" t="str">
        <x:v>POS_2024_07</x:v>
      </x:c>
      <x:c r="Q509" s="84" t="str">
        <x:v>Wireless Earbuds</x:v>
      </x:c>
      <x:c r="R509" s="84" t="str">
        <x:v> ELECTRONICS </x:v>
      </x:c>
    </x:row>
    <x:row r="510">
      <x:c r="A510" s="84" t="str">
        <x:v>ORD-2024-02238</x:v>
      </x:c>
      <x:c r="B510" s="85" t="n">
        <x:v>45478</x:v>
      </x:c>
      <x:c r="C510" s="84" t="str">
        <x:v>CUST-0374</x:v>
      </x:c>
      <x:c r="D510" s="84" t="str">
        <x:v>Priya Lewis </x:v>
      </x:c>
      <x:c r="E510" s="84" t="str">
        <x:v>Corporate</x:v>
      </x:c>
      <x:c r="F510" s="84" t="str">
        <x:v>Southeast</x:v>
      </x:c>
      <x:c r="G510" s="84" t="str">
        <x:v>Miami</x:v>
      </x:c>
      <x:c r="H510" s="84" t="str">
        <x:v>Marketplace</x:v>
      </x:c>
      <x:c r="I510" s="84" t="str">
        <x:v>ELEC-001</x:v>
      </x:c>
      <x:c r="J510" s="86" t="n">
        <x:v>8</x:v>
      </x:c>
      <x:c r="K510" s="87" t="n">
        <x:v>0</x:v>
      </x:c>
      <x:c r="L510" s="84" t="str">
        <x:v>Completed</x:v>
      </x:c>
      <x:c r="M510" s="84" t="str">
        <x:v> CREDIT CARD </x:v>
      </x:c>
      <x:c r="N510" s="84" t="str">
        <x:v>Liam Parker</x:v>
      </x:c>
      <x:c r="O510" s="85" t="n">
        <x:v>45483</x:v>
      </x:c>
      <x:c r="P510" s="84" t="str">
        <x:v>MKT_2024_07</x:v>
      </x:c>
      <x:c r="Q510" s="84" t="str">
        <x:v>Wireless Earbuds</x:v>
      </x:c>
      <x:c r="R510" s="84" t="str">
        <x:v>Electronics</x:v>
      </x:c>
    </x:row>
    <x:row r="511">
      <x:c r="A511" s="84" t="str">
        <x:v>ORD-2024-00701</x:v>
      </x:c>
      <x:c r="B511" s="85" t="n">
        <x:v>45479</x:v>
      </x:c>
      <x:c r="C511" s="84" t="str">
        <x:v>CUST-0532</x:v>
      </x:c>
      <x:c r="D511" s="84" t="str">
        <x:v>Elena Hall</x:v>
      </x:c>
      <x:c r="E511" s="84" t="str">
        <x:v>Small Business</x:v>
      </x:c>
      <x:c r="F511" s="84" t="str">
        <x:v>southeast</x:v>
      </x:c>
      <x:c r="G511" s="84" t="str">
        <x:v>Charlotte</x:v>
      </x:c>
      <x:c r="H511" s="84" t="str">
        <x:v>Online</x:v>
      </x:c>
      <x:c r="I511" s="84" t="str">
        <x:v>ELEC-001</x:v>
      </x:c>
      <x:c r="J511" s="86" t="n">
        <x:v>1</x:v>
      </x:c>
      <x:c r="K511" s="87" t="n">
        <x:v>0.1</x:v>
      </x:c>
      <x:c r="L511" s="84" t="str">
        <x:v>Completed</x:v>
      </x:c>
      <x:c r="M511" s="84" t="str">
        <x:v>Credit Card</x:v>
      </x:c>
      <x:c r="N511" s="84" t="str">
        <x:v>Liam Parker</x:v>
      </x:c>
      <x:c r="O511" s="85" t="n">
        <x:v>45482</x:v>
      </x:c>
      <x:c r="P511" s="84" t="str">
        <x:v>WEB_2024_07</x:v>
      </x:c>
      <x:c r="Q511" s="84" t="str">
        <x:v> WIRELESS EARBUDS </x:v>
      </x:c>
      <x:c r="R511" s="84" t="str">
        <x:v>Electronics</x:v>
      </x:c>
    </x:row>
    <x:row r="512">
      <x:c r="A512" s="84" t="str">
        <x:v>ORD-2024-00270</x:v>
      </x:c>
      <x:c r="B512" s="85" t="n">
        <x:v>45480</x:v>
      </x:c>
      <x:c r="C512" s="84" t="str">
        <x:v>CUST-0246</x:v>
      </x:c>
      <x:c r="D512" s="84" t="str">
        <x:v>Maya Baker</x:v>
      </x:c>
      <x:c r="E512" s="84" t="str">
        <x:v>Corporate</x:v>
      </x:c>
      <x:c r="F512" s="84" t="str">
        <x:v>Southeast </x:v>
      </x:c>
      <x:c r="G512" s="84" t="str">
        <x:v>Atlanta</x:v>
      </x:c>
      <x:c r="H512" s="84" t="str">
        <x:v>Retail Store</x:v>
      </x:c>
      <x:c r="I512" s="84" t="str">
        <x:v>OFFC-001</x:v>
      </x:c>
      <x:c r="J512" s="86" t="n">
        <x:v>2</x:v>
      </x:c>
      <x:c r="K512" s="87" t="n">
        <x:v>0</x:v>
      </x:c>
      <x:c r="L512" s="84" t="str">
        <x:v>Completed</x:v>
      </x:c>
      <x:c r="M512" s="84" t="str">
        <x:v>Credit Card</x:v>
      </x:c>
      <x:c r="N512" s="84" t="str">
        <x:v>Noah Reed </x:v>
      </x:c>
      <x:c r="O512" s="85" t="n">
        <x:v>45480</x:v>
      </x:c>
      <x:c r="P512" s="84" t="str">
        <x:v>POS_2024_07</x:v>
      </x:c>
      <x:c r="Q512" s="84" t="str">
        <x:v>Ergonomic Chair</x:v>
      </x:c>
      <x:c r="R512" s="84" t="str">
        <x:v> OFFICE </x:v>
      </x:c>
    </x:row>
    <x:row r="513">
      <x:c r="A513" s="84" t="str">
        <x:v>ORD-2024-00779</x:v>
      </x:c>
      <x:c r="B513" s="85" t="n">
        <x:v>45480</x:v>
      </x:c>
      <x:c r="C513" s="84" t="str">
        <x:v>CUST-0539</x:v>
      </x:c>
      <x:c r="D513" s="84" t="str">
        <x:v> CHLOE JOHNSON </x:v>
      </x:c>
      <x:c r="E513" s="84" t="str">
        <x:v>Small Business</x:v>
      </x:c>
      <x:c r="F513" s="84" t="str">
        <x:v> WEST </x:v>
      </x:c>
      <x:c r="G513" s="84" t="str">
        <x:v>Los Angeles</x:v>
      </x:c>
      <x:c r="H513" s="84" t="str">
        <x:v>Retail Store</x:v>
      </x:c>
      <x:c r="I513" s="84" t="str">
        <x:v>ACCS-004</x:v>
      </x:c>
      <x:c r="J513" s="86" t="n">
        <x:v>1</x:v>
      </x:c>
      <x:c r="K513" s="87" t="n">
        <x:v>0.15</x:v>
      </x:c>
      <x:c r="L513" s="84" t="str">
        <x:v>Completed</x:v>
      </x:c>
      <x:c r="M513" s="84" t="str">
        <x:v>Debit Card</x:v>
      </x:c>
      <x:c r="N513" s="84" t="str">
        <x:v>Leo Martinez</x:v>
      </x:c>
      <x:c r="O513" s="85" t="n">
        <x:v>45481</x:v>
      </x:c>
      <x:c r="P513" s="84" t="str">
        <x:v>POS_2024_07</x:v>
      </x:c>
      <x:c r="Q513" s="84" t="str">
        <x:v>leather wallet</x:v>
      </x:c>
      <x:c r="R513" s="84" t="str">
        <x:v>Accessories </x:v>
      </x:c>
    </x:row>
    <x:row r="514">
      <x:c r="A514" s="84" t="str">
        <x:v>ORD-2024-00999</x:v>
      </x:c>
      <x:c r="B514" s="85" t="n">
        <x:v>45480</x:v>
      </x:c>
      <x:c r="C514" s="84" t="str">
        <x:v>CUST-0572</x:v>
      </x:c>
      <x:c r="D514" s="84" t="str">
        <x:v>Marcus Lewis </x:v>
      </x:c>
      <x:c r="E514" s="84" t="str">
        <x:v>Consumer</x:v>
      </x:c>
      <x:c r="F514" s="84" t="str">
        <x:v>Southeast</x:v>
      </x:c>
      <x:c r="G514" s="84" t="str">
        <x:v>Nashville</x:v>
      </x:c>
      <x:c r="H514" s="84" t="str">
        <x:v>Online</x:v>
      </x:c>
      <x:c r="I514" s="84" t="str">
        <x:v>HOME-001</x:v>
      </x:c>
      <x:c r="J514" s="86" t="n">
        <x:v>1</x:v>
      </x:c>
      <x:c r="K514" s="87" t="n">
        <x:v>0</x:v>
      </x:c>
      <x:c r="L514" s="84" t="str">
        <x:v>Completed</x:v>
      </x:c>
      <x:c r="M514" s="84" t="str">
        <x:v>Credit Card </x:v>
      </x:c>
      <x:c r="N514" s="84" t="str">
        <x:v>Noah Reed</x:v>
      </x:c>
      <x:c r="O514" s="85" t="n">
        <x:v>45483</x:v>
      </x:c>
      <x:c r="P514" s="84" t="str">
        <x:v>WEB_2024_07</x:v>
      </x:c>
      <x:c r="Q514" s="84" t="str">
        <x:v>air fryer</x:v>
      </x:c>
      <x:c r="R514" s="84" t="str">
        <x:v>Home &amp; Kitchen</x:v>
      </x:c>
    </x:row>
    <x:row r="515">
      <x:c r="A515" s="84" t="str">
        <x:v>ORD-2024-01856</x:v>
      </x:c>
      <x:c r="B515" s="85" t="n">
        <x:v>45480</x:v>
      </x:c>
      <x:c r="C515" s="84" t="str">
        <x:v>CUST-0539</x:v>
      </x:c>
      <x:c r="D515" s="84" t="str">
        <x:v>Chloe Johnson</x:v>
      </x:c>
      <x:c r="E515" s="84" t="str">
        <x:v>Small Business</x:v>
      </x:c>
      <x:c r="F515" s="84" t="str">
        <x:v>west</x:v>
      </x:c>
      <x:c r="G515" s="84" t="str">
        <x:v>Los Angeles</x:v>
      </x:c>
      <x:c r="H515" s="84" t="str">
        <x:v>Online</x:v>
      </x:c>
      <x:c r="I515" s="84" t="str">
        <x:v>ACCS-003</x:v>
      </x:c>
      <x:c r="J515" s="86" t="n">
        <x:v>3</x:v>
      </x:c>
      <x:c r="K515" s="87" t="n">
        <x:v>0</x:v>
      </x:c>
      <x:c r="L515" s="84" t="str">
        <x:v>Completed</x:v>
      </x:c>
      <x:c r="M515" s="84" t="str">
        <x:v>Credit Card</x:v>
      </x:c>
      <x:c r="N515" s="84" t="str">
        <x:v> LEO MARTINEZ </x:v>
      </x:c>
      <x:c r="O515" s="85" t="n">
        <x:v>45484</x:v>
      </x:c>
      <x:c r="P515" s="84" t="str">
        <x:v>WEB_2024_07</x:v>
      </x:c>
      <x:c r="Q515" s="84" t="str">
        <x:v>Polarized Sunglasses </x:v>
      </x:c>
      <x:c r="R515" s="84" t="str">
        <x:v>Accessories</x:v>
      </x:c>
    </x:row>
    <x:row r="516">
      <x:c r="A516" s="84" t="str">
        <x:v>ORD-2024-00266</x:v>
      </x:c>
      <x:c r="B516" s="85" t="n">
        <x:v>45481</x:v>
      </x:c>
      <x:c r="C516" s="84" t="str">
        <x:v>CUST-0274</x:v>
      </x:c>
      <x:c r="D516" s="84" t="str">
        <x:v>Daniel Nelson</x:v>
      </x:c>
      <x:c r="E516" s="84" t="str">
        <x:v>Corporate </x:v>
      </x:c>
      <x:c r="F516" s="84" t="str">
        <x:v>Northeast</x:v>
      </x:c>
      <x:c r="G516" s="84" t="str">
        <x:v>Boston </x:v>
      </x:c>
      <x:c r="H516" s="84" t="str">
        <x:v>Online</x:v>
      </x:c>
      <x:c r="I516" s="84" t="str">
        <x:v>ELEC-001</x:v>
      </x:c>
      <x:c r="J516" s="86" t="n">
        <x:v>4</x:v>
      </x:c>
      <x:c r="K516" s="87" t="n">
        <x:v>0.1</x:v>
      </x:c>
      <x:c r="L516" s="84" t="str">
        <x:v>Completed</x:v>
      </x:c>
      <x:c r="M516" s="84" t="str">
        <x:v> PAYPAL </x:v>
      </x:c>
      <x:c r="N516" s="84" t="str">
        <x:v>maya brooks</x:v>
      </x:c>
      <x:c r="O516" s="85" t="n">
        <x:v>45483</x:v>
      </x:c>
      <x:c r="P516" s="84" t="str">
        <x:v>WEB_2024_07</x:v>
      </x:c>
      <x:c r="Q516" s="84" t="str">
        <x:v>Wireless Earbuds</x:v>
      </x:c>
      <x:c r="R516" s="84" t="str">
        <x:v>Electronics</x:v>
      </x:c>
    </x:row>
    <x:row r="517">
      <x:c r="A517" s="84" t="str">
        <x:v>ORD-2024-00785</x:v>
      </x:c>
      <x:c r="B517" s="85" t="n">
        <x:v>45481</x:v>
      </x:c>
      <x:c r="C517" s="84" t="str">
        <x:v>CUST-0546</x:v>
      </x:c>
      <x:c r="D517" s="84" t="str">
        <x:v>Aiden Davis</x:v>
      </x:c>
      <x:c r="E517" s="84" t="str">
        <x:v>Consumer</x:v>
      </x:c>
      <x:c r="F517" s="84" t="str">
        <x:v>Southeast</x:v>
      </x:c>
      <x:c r="G517" s="84" t="str">
        <x:v>charlotte</x:v>
      </x:c>
      <x:c r="H517" s="84" t="str">
        <x:v>Online</x:v>
      </x:c>
      <x:c r="I517" s="84" t="str">
        <x:v>ELEC-003</x:v>
      </x:c>
      <x:c r="J517" s="86" t="n">
        <x:v>1</x:v>
      </x:c>
      <x:c r="K517" s="87" t="n">
        <x:v>0.15</x:v>
      </x:c>
      <x:c r="L517" s="84" t="str">
        <x:v>completed</x:v>
      </x:c>
      <x:c r="M517" s="84" t="str">
        <x:v>Credit Card</x:v>
      </x:c>
      <x:c r="N517" s="84" t="str">
        <x:v> NOAH REED </x:v>
      </x:c>
      <x:c r="O517" s="85" t="n">
        <x:v>45483</x:v>
      </x:c>
      <x:c r="P517" s="84" t="str">
        <x:v>WEB_2024_07</x:v>
      </x:c>
      <x:c r="Q517" s="84" t="str">
        <x:v>Bluetooth Speaker </x:v>
      </x:c>
      <x:c r="R517" s="84" t="str">
        <x:v>Electronics</x:v>
      </x:c>
    </x:row>
    <x:row r="518">
      <x:c r="A518" s="84" t="str">
        <x:v>ORD-2024-01140</x:v>
      </x:c>
      <x:c r="B518" s="85" t="n">
        <x:v>45481</x:v>
      </x:c>
      <x:c r="C518" s="84" t="str">
        <x:v>CUST-0550</x:v>
      </x:c>
      <x:c r="D518" s="84" t="str">
        <x:v>samuel young</x:v>
      </x:c>
      <x:c r="E518" s="84" t="str">
        <x:v>Consumer</x:v>
      </x:c>
      <x:c r="F518" s="84" t="str">
        <x:v>Midwest</x:v>
      </x:c>
      <x:c r="G518" s="84" t="str">
        <x:v>Minneapolis</x:v>
      </x:c>
      <x:c r="H518" s="84" t="str">
        <x:v>Online</x:v>
      </x:c>
      <x:c r="I518" s="84" t="str">
        <x:v>HOME-003</x:v>
      </x:c>
      <x:c r="J518" s="86" t="n">
        <x:v>3</x:v>
      </x:c>
      <x:c r="K518" s="87" t="n">
        <x:v>0</x:v>
      </x:c>
      <x:c r="L518" s="84" t="str">
        <x:v>Completed </x:v>
      </x:c>
      <x:c r="M518" s="84" t="str">
        <x:v>Debit Card</x:v>
      </x:c>
      <x:c r="N518" s="84" t="str">
        <x:v>Emma Hayes</x:v>
      </x:c>
      <x:c r="O518" s="85" t="n">
        <x:v>45484</x:v>
      </x:c>
      <x:c r="P518" s="84" t="str">
        <x:v>WEB_2024_07</x:v>
      </x:c>
      <x:c r="Q518" s="84" t="str">
        <x:v>Countertop Blender</x:v>
      </x:c>
      <x:c r="R518" s="84" t="str">
        <x:v>Home &amp; Kitchen</x:v>
      </x:c>
    </x:row>
    <x:row r="519">
      <x:c r="A519" s="84" t="str">
        <x:v>ORD-2024-02305</x:v>
      </x:c>
      <x:c r="B519" s="85" t="n">
        <x:v>45481</x:v>
      </x:c>
      <x:c r="C519" s="84" t="str">
        <x:v>CUST-0570</x:v>
      </x:c>
      <x:c r="D519" s="84" t="str">
        <x:v>Daniel Patel</x:v>
      </x:c>
      <x:c r="E519" s="84" t="str">
        <x:v>Consumer</x:v>
      </x:c>
      <x:c r="F519" s="84" t="str">
        <x:v>Southeast</x:v>
      </x:c>
      <x:c r="G519" s="84" t="str">
        <x:v> CHARLOTTE </x:v>
      </x:c>
      <x:c r="H519" s="84" t="str">
        <x:v>Marketplace</x:v>
      </x:c>
      <x:c r="I519" s="84" t="str">
        <x:v>OFFC-001</x:v>
      </x:c>
      <x:c r="J519" s="86" t="n">
        <x:v>1</x:v>
      </x:c>
      <x:c r="K519" s="87" t="n">
        <x:v>0.1</x:v>
      </x:c>
      <x:c r="L519" s="84" t="str">
        <x:v>Completed</x:v>
      </x:c>
      <x:c r="M519" s="84" t="str">
        <x:v>Credit Card</x:v>
      </x:c>
      <x:c r="N519" s="84" t="str">
        <x:v>Noah Reed</x:v>
      </x:c>
      <x:c r="O519" s="85" t="n">
        <x:v>45486</x:v>
      </x:c>
      <x:c r="P519" s="84" t="str">
        <x:v>MKT_2024_07</x:v>
      </x:c>
      <x:c r="Q519" s="84" t="str">
        <x:v>Ergonomic Chair</x:v>
      </x:c>
      <x:c r="R519" s="84" t="str">
        <x:v>Office </x:v>
      </x:c>
    </x:row>
    <x:row r="520">
      <x:c r="A520" s="84" t="str">
        <x:v>ORD-2024-01764</x:v>
      </x:c>
      <x:c r="B520" s="85" t="n">
        <x:v>45482</x:v>
      </x:c>
      <x:c r="C520" s="84" t="str">
        <x:v>CUST-0329</x:v>
      </x:c>
      <x:c r="D520" s="84" t="str">
        <x:v>Theo Nelson</x:v>
      </x:c>
      <x:c r="E520" s="84" t="str">
        <x:v>Consumer </x:v>
      </x:c>
      <x:c r="F520" s="84" t="str">
        <x:v>Southeast</x:v>
      </x:c>
      <x:c r="G520" s="84" t="str">
        <x:v>atlanta</x:v>
      </x:c>
      <x:c r="H520" s="84" t="str">
        <x:v>Online</x:v>
      </x:c>
      <x:c r="I520" s="84" t="str">
        <x:v>ELEC-001</x:v>
      </x:c>
      <x:c r="J520" s="86" t="n">
        <x:v>1</x:v>
      </x:c>
      <x:c r="K520" s="87" t="n">
        <x:v>0</x:v>
      </x:c>
      <x:c r="L520" s="84" t="str">
        <x:v>completed</x:v>
      </x:c>
      <x:c r="M520" s="84" t="str">
        <x:v>Mobile Wallet</x:v>
      </x:c>
      <x:c r="N520" s="84" t="str">
        <x:v>Noah Reed</x:v>
      </x:c>
      <x:c r="O520" s="85" t="n">
        <x:v>45480</x:v>
      </x:c>
      <x:c r="P520" s="84" t="str">
        <x:v>WEB_2024_07</x:v>
      </x:c>
      <x:c r="Q520" s="84" t="str">
        <x:v>Wireless Earbuds</x:v>
      </x:c>
      <x:c r="R520" s="84" t="str">
        <x:v>Electronics</x:v>
      </x:c>
    </x:row>
    <x:row r="521">
      <x:c r="A521" s="84" t="str">
        <x:v>ORD-2024-01785</x:v>
      </x:c>
      <x:c r="B521" s="85" t="n">
        <x:v>45482</x:v>
      </x:c>
      <x:c r="C521" s="84" t="str">
        <x:v>CUST-0458</x:v>
      </x:c>
      <x:c r="D521" s="84" t="str">
        <x:v>Samuel Carter</x:v>
      </x:c>
      <x:c r="E521" s="84" t="str">
        <x:v> CONSUMER </x:v>
      </x:c>
      <x:c r="F521" s="84" t="str">
        <x:v>Southeast</x:v>
      </x:c>
      <x:c r="G521" s="84" t="str">
        <x:v>Atlanta </x:v>
      </x:c>
      <x:c r="H521" s="84" t="str">
        <x:v>Retail Store</x:v>
      </x:c>
      <x:c r="I521" s="84" t="str">
        <x:v>OFFC-003</x:v>
      </x:c>
      <x:c r="J521" s="86" t="n">
        <x:v>1</x:v>
      </x:c>
      <x:c r="K521" s="87" t="n">
        <x:v>0</x:v>
      </x:c>
      <x:c r="L521" s="84" t="str">
        <x:v>Completed</x:v>
      </x:c>
      <x:c r="M521" s="84" t="str">
        <x:v>Mobile Wallet</x:v>
      </x:c>
      <x:c r="N521" s="84" t="str">
        <x:v>Noah Reed</x:v>
      </x:c>
      <x:c r="O521" s="85" t="n">
        <x:v>45482</x:v>
      </x:c>
      <x:c r="P521" s="84" t="str">
        <x:v>POS_2024_07</x:v>
      </x:c>
      <x:c r="Q521" s="84" t="str">
        <x:v>LED Desk Lamp</x:v>
      </x:c>
      <x:c r="R521" s="84" t="str">
        <x:v>office</x:v>
      </x:c>
    </x:row>
    <x:row r="522">
      <x:c r="A522" s="84" t="str">
        <x:v>ORD-2024-01836</x:v>
      </x:c>
      <x:c r="B522" s="85" t="n">
        <x:v>45482</x:v>
      </x:c>
      <x:c r="C522" s="84" t="str">
        <x:v>CUST-0157</x:v>
      </x:c>
      <x:c r="D522" s="84" t="str">
        <x:v>Isaac Smith</x:v>
      </x:c>
      <x:c r="E522" s="84" t="str">
        <x:v> CORPORATE </x:v>
      </x:c>
      <x:c r="F522" s="84" t="str">
        <x:v>West</x:v>
      </x:c>
      <x:c r="G522" s="84" t="str">
        <x:v>Los Angeles</x:v>
      </x:c>
      <x:c r="H522" s="84" t="str">
        <x:v>Marketplace</x:v>
      </x:c>
      <x:c r="I522" s="84" t="str">
        <x:v>OFFC-005</x:v>
      </x:c>
      <x:c r="J522" s="86" t="n">
        <x:v>3</x:v>
      </x:c>
      <x:c r="K522" s="87" t="n">
        <x:v>0</x:v>
      </x:c>
      <x:c r="L522" s="84" t="str">
        <x:v>Completed</x:v>
      </x:c>
      <x:c r="M522" s="84" t="str">
        <x:v>paypal</x:v>
      </x:c>
      <x:c r="N522" s="84" t="str">
        <x:v>Mia Chen</x:v>
      </x:c>
      <x:c r="O522" s="85" t="n">
        <x:v>45487</x:v>
      </x:c>
      <x:c r="P522" s="84" t="str">
        <x:v>MKT_2024_07</x:v>
      </x:c>
      <x:c r="Q522" s="84" t="str">
        <x:v>Wireless Keyboard</x:v>
      </x:c>
      <x:c r="R522" s="84" t="str">
        <x:v>Office </x:v>
      </x:c>
    </x:row>
    <x:row r="523">
      <x:c r="A523" s="84" t="str">
        <x:v>ORD-2024-02294</x:v>
      </x:c>
      <x:c r="B523" s="85" t="n">
        <x:v>45482</x:v>
      </x:c>
      <x:c r="C523" s="84" t="str">
        <x:v>CUST-0177</x:v>
      </x:c>
      <x:c r="D523" s="84" t="str">
        <x:v>Elena Quinn </x:v>
      </x:c>
      <x:c r="E523" s="84" t="str">
        <x:v>Consumer</x:v>
      </x:c>
      <x:c r="F523" s="84" t="str">
        <x:v>Southeast</x:v>
      </x:c>
      <x:c r="G523" s="84" t="str">
        <x:v>Nashville</x:v>
      </x:c>
      <x:c r="H523" s="84" t="str">
        <x:v>Online</x:v>
      </x:c>
      <x:c r="I523" s="84" t="str">
        <x:v>CARE-003</x:v>
      </x:c>
      <x:c r="J523" s="86" t="n">
        <x:v>3</x:v>
      </x:c>
      <x:c r="K523" s="87" t="n">
        <x:v>0</x:v>
      </x:c>
      <x:c r="L523" s="84" t="str">
        <x:v>Completed</x:v>
      </x:c>
      <x:c r="M523" s="84" t="str">
        <x:v>Mobile Wallet </x:v>
      </x:c>
      <x:c r="N523" s="84" t="str">
        <x:v>Noah Reed</x:v>
      </x:c>
      <x:c r="O523" s="85" t="n">
        <x:v>45485</x:v>
      </x:c>
      <x:c r="P523" s="84" t="str">
        <x:v>WEB_2024_07</x:v>
      </x:c>
      <x:c r="Q523" s="84" t="str">
        <x:v>Facial Cleanser</x:v>
      </x:c>
      <x:c r="R523" s="84" t="str">
        <x:v>Personal Care</x:v>
      </x:c>
    </x:row>
    <x:row r="524">
      <x:c r="A524" s="84" t="str">
        <x:v>ORD-2024-00098</x:v>
      </x:c>
      <x:c r="B524" s="85" t="n">
        <x:v>45483</x:v>
      </x:c>
      <x:c r="C524" s="84" t="str">
        <x:v>CUST-0370</x:v>
      </x:c>
      <x:c r="D524" s="84" t="str">
        <x:v>Aiden Moore</x:v>
      </x:c>
      <x:c r="E524" s="84" t="str">
        <x:v>Small Business </x:v>
      </x:c>
      <x:c r="F524" s="84" t="str">
        <x:v>West</x:v>
      </x:c>
      <x:c r="G524" s="84" t="str">
        <x:v>Phoenix </x:v>
      </x:c>
      <x:c r="H524" s="84" t="str">
        <x:v>Marketplace</x:v>
      </x:c>
      <x:c r="I524" s="84" t="str">
        <x:v>HOME-001</x:v>
      </x:c>
      <x:c r="J524" s="86" t="n">
        <x:v>1</x:v>
      </x:c>
      <x:c r="K524" s="87" t="n">
        <x:v>0.1</x:v>
      </x:c>
      <x:c r="L524" s="84" t="str">
        <x:v>Completed</x:v>
      </x:c>
      <x:c r="M524" s="84" t="str">
        <x:v>credit card</x:v>
      </x:c>
      <x:c r="N524" s="84" t="str">
        <x:v>Leo Martinez</x:v>
      </x:c>
      <x:c r="O524" s="85" t="n">
        <x:v>45488</x:v>
      </x:c>
      <x:c r="P524" s="84" t="str">
        <x:v>MKT_2024_07</x:v>
      </x:c>
      <x:c r="Q524" s="84" t="str">
        <x:v>Air Fryer</x:v>
      </x:c>
      <x:c r="R524" s="84" t="str">
        <x:v>Home &amp; Kitchen</x:v>
      </x:c>
    </x:row>
    <x:row r="525">
      <x:c r="A525" s="84" t="str">
        <x:v>ORD-2024-00323</x:v>
      </x:c>
      <x:c r="B525" s="85" t="n">
        <x:v>45483</x:v>
      </x:c>
      <x:c r="C525" s="84" t="str">
        <x:v>CUST-0087</x:v>
      </x:c>
      <x:c r="D525" s="84" t="str">
        <x:v>Amelia Evans</x:v>
      </x:c>
      <x:c r="E525" s="84" t="str">
        <x:v> CONSUMER </x:v>
      </x:c>
      <x:c r="F525" s="84" t="str">
        <x:v>West</x:v>
      </x:c>
      <x:c r="G525" s="84" t="str">
        <x:v>los angeles</x:v>
      </x:c>
      <x:c r="H525" s="84" t="str">
        <x:v>Marketplace</x:v>
      </x:c>
      <x:c r="I525" s="84" t="str">
        <x:v>OFFC-006</x:v>
      </x:c>
      <x:c r="J525" s="86" t="n">
        <x:v>4</x:v>
      </x:c>
      <x:c r="K525" s="87" t="n">
        <x:v>0.2</x:v>
      </x:c>
      <x:c r="L525" s="84" t="str">
        <x:v>completed</x:v>
      </x:c>
      <x:c r="M525" s="84" t="str">
        <x:v>Debit Card</x:v>
      </x:c>
      <x:c r="N525" s="84" t="str">
        <x:v>Leo Martinez</x:v>
      </x:c>
      <x:c r="O525" s="85" t="n">
        <x:v>45489</x:v>
      </x:c>
      <x:c r="P525" s="84" t="str">
        <x:v>MKT_2024_07</x:v>
      </x:c>
      <x:c r="Q525" s="84" t="str">
        <x:v>Monitor Stand </x:v>
      </x:c>
      <x:c r="R525" s="84" t="str">
        <x:v>Office</x:v>
      </x:c>
    </x:row>
    <x:row r="526">
      <x:c r="A526" s="84" t="str">
        <x:v>ORD-2024-00477</x:v>
      </x:c>
      <x:c r="B526" s="85" t="n">
        <x:v>45483</x:v>
      </x:c>
      <x:c r="C526" s="84" t="str">
        <x:v>CUST-0303</x:v>
      </x:c>
      <x:c r="D526" s="84" t="str">
        <x:v>Caleb Roberts</x:v>
      </x:c>
      <x:c r="E526" s="84" t="str">
        <x:v>Corporate</x:v>
      </x:c>
      <x:c r="F526" s="84" t="str">
        <x:v>West</x:v>
      </x:c>
      <x:c r="G526" s="84" t="str">
        <x:v>seattle</x:v>
      </x:c>
      <x:c r="H526" s="84" t="str">
        <x:v>Retail Store</x:v>
      </x:c>
      <x:c r="I526" s="84" t="str">
        <x:v>FITN-004</x:v>
      </x:c>
      <x:c r="J526" s="86" t="n">
        <x:v>4</x:v>
      </x:c>
      <x:c r="K526" s="87" t="n">
        <x:v>0</x:v>
      </x:c>
      <x:c r="L526" s="84" t="str">
        <x:v>completed</x:v>
      </x:c>
      <x:c r="M526" s="84" t="str">
        <x:v>Credit Card</x:v>
      </x:c>
      <x:c r="N526" s="84" t="str">
        <x:v>Mia Chen</x:v>
      </x:c>
      <x:c r="O526" s="85" t="n">
        <x:v>45484</x:v>
      </x:c>
      <x:c r="P526" s="84" t="str">
        <x:v>POS_2024_07</x:v>
      </x:c>
      <x:c r="Q526" s="84" t="str">
        <x:v>Fitness Tracker </x:v>
      </x:c>
      <x:c r="R526" s="84" t="str">
        <x:v>Fitness</x:v>
      </x:c>
    </x:row>
    <x:row r="527">
      <x:c r="A527" s="84" t="str">
        <x:v>ORD-2024-01985</x:v>
      </x:c>
      <x:c r="B527" s="85" t="n">
        <x:v>45483</x:v>
      </x:c>
      <x:c r="C527" s="84" t="str">
        <x:v>CUST-0544</x:v>
      </x:c>
      <x:c r="D527" s="84" t="str">
        <x:v>Victoria Garcia</x:v>
      </x:c>
      <x:c r="E527" s="84" t="str">
        <x:v>Consumer</x:v>
      </x:c>
      <x:c r="F527" s="84" t="str">
        <x:v>West </x:v>
      </x:c>
      <x:c r="G527" s="84" t="str">
        <x:v>Seattle</x:v>
      </x:c>
      <x:c r="H527" s="84" t="str">
        <x:v>Retail Store</x:v>
      </x:c>
      <x:c r="I527" s="84" t="str">
        <x:v>OFFC-006</x:v>
      </x:c>
      <x:c r="J527" s="86" t="n">
        <x:v>1</x:v>
      </x:c>
      <x:c r="K527" s="87" t="n">
        <x:v>0.1</x:v>
      </x:c>
      <x:c r="L527" s="84" t="str">
        <x:v>Returned</x:v>
      </x:c>
      <x:c r="M527" s="84" t="str">
        <x:v>Mobile Wallet</x:v>
      </x:c>
      <x:c r="N527" s="84" t="str">
        <x:v>Leo Martinez </x:v>
      </x:c>
      <x:c r="O527" s="85" t="n">
        <x:v>45484</x:v>
      </x:c>
      <x:c r="P527" s="84" t="str">
        <x:v>POS_2024_07</x:v>
      </x:c>
      <x:c r="Q527" s="84" t="str">
        <x:v>Monitor Stand</x:v>
      </x:c>
      <x:c r="R527" s="84" t="str">
        <x:v>Office</x:v>
      </x:c>
    </x:row>
    <x:row r="528">
      <x:c r="A528" s="84" t="str">
        <x:v>ORD-2024-00287</x:v>
      </x:c>
      <x:c r="B528" s="85" t="n">
        <x:v>45484</x:v>
      </x:c>
      <x:c r="C528" s="84" t="str">
        <x:v>CUST-0358</x:v>
      </x:c>
      <x:c r="D528" s="84" t="str">
        <x:v>Grace Roberts</x:v>
      </x:c>
      <x:c r="E528" s="84" t="str">
        <x:v>Consumer </x:v>
      </x:c>
      <x:c r="F528" s="84" t="str">
        <x:v>West</x:v>
      </x:c>
      <x:c r="G528" s="84" t="str">
        <x:v>Seattle </x:v>
      </x:c>
      <x:c r="H528" s="84" t="str">
        <x:v>Online</x:v>
      </x:c>
      <x:c r="I528" s="84" t="str">
        <x:v>ACCS-002</x:v>
      </x:c>
      <x:c r="J528" s="86" t="n">
        <x:v>3</x:v>
      </x:c>
      <x:c r="K528" s="87" t="n">
        <x:v>0.05</x:v>
      </x:c>
      <x:c r="L528" s="84" t="str">
        <x:v>Completed</x:v>
      </x:c>
      <x:c r="M528" s="84" t="str">
        <x:v>Debit Card</x:v>
      </x:c>
      <x:c r="N528" s="84" t="str">
        <x:v>Mia Chen</x:v>
      </x:c>
      <x:c r="O528" s="85" t="n">
        <x:v>45486</x:v>
      </x:c>
      <x:c r="P528" s="84" t="str">
        <x:v>WEB_2024_07</x:v>
      </x:c>
      <x:c r="Q528" s="84" t="str">
        <x:v>Travel Backpack</x:v>
      </x:c>
      <x:c r="R528" s="84" t="str">
        <x:v> ACCESSORIES </x:v>
      </x:c>
    </x:row>
    <x:row r="529">
      <x:c r="A529" s="84" t="str">
        <x:v>ORD-2024-00232</x:v>
      </x:c>
      <x:c r="B529" s="85" t="n">
        <x:v>45485</x:v>
      </x:c>
      <x:c r="C529" s="84" t="str">
        <x:v>CUST-0405</x:v>
      </x:c>
      <x:c r="D529" s="84" t="str">
        <x:v>Daniel Irwin</x:v>
      </x:c>
      <x:c r="E529" s="84" t="str">
        <x:v>Corporate</x:v>
      </x:c>
      <x:c r="F529" s="84" t="str">
        <x:v>West</x:v>
      </x:c>
      <x:c r="G529" s="84" t="str">
        <x:v>Seattle</x:v>
      </x:c>
      <x:c r="H529" s="84" t="str">
        <x:v>Online</x:v>
      </x:c>
      <x:c r="I529" s="84" t="str">
        <x:v>ACCS-006</x:v>
      </x:c>
      <x:c r="J529" s="86" t="n">
        <x:v>4</x:v>
      </x:c>
      <x:c r="K529" s="87" t="n">
        <x:v>0.1</x:v>
      </x:c>
      <x:c r="L529" s="84" t="str">
        <x:v>Completed</x:v>
      </x:c>
      <x:c r="M529" s="84" t="str">
        <x:v> MOBILE WALLET </x:v>
      </x:c>
      <x:c r="N529" s="84" t="str">
        <x:v>Mia Chen</x:v>
      </x:c>
      <x:c r="O529" s="85" t="n">
        <x:v>45488</x:v>
      </x:c>
      <x:c r="P529" s="84" t="str">
        <x:v>WEB_2024_07</x:v>
      </x:c>
      <x:c r="Q529" s="84" t="str">
        <x:v>Insulated Lunch Bag </x:v>
      </x:c>
      <x:c r="R529" s="84" t="str">
        <x:v>Accessories</x:v>
      </x:c>
    </x:row>
    <x:row r="530">
      <x:c r="A530" s="84" t="str">
        <x:v>ORD-2024-00723</x:v>
      </x:c>
      <x:c r="B530" s="85" t="n">
        <x:v>45485</x:v>
      </x:c>
      <x:c r="C530" s="84" t="str">
        <x:v>CUST-0636</x:v>
      </x:c>
      <x:c r="D530" s="84" t="str">
        <x:v>Nina Baker</x:v>
      </x:c>
      <x:c r="E530" s="84" t="str">
        <x:v>Small Business</x:v>
      </x:c>
      <x:c r="F530" s="84" t="str">
        <x:v>midwest</x:v>
      </x:c>
      <x:c r="G530" s="84" t="str">
        <x:v>Chicago</x:v>
      </x:c>
      <x:c r="H530" s="84" t="str">
        <x:v>Retail Store</x:v>
      </x:c>
      <x:c r="I530" s="84" t="str">
        <x:v>CARE-006</x:v>
      </x:c>
      <x:c r="J530" s="86" t="n">
        <x:v>2</x:v>
      </x:c>
      <x:c r="K530" s="87" t="n">
        <x:v>0.1</x:v>
      </x:c>
      <x:c r="L530" s="84" t="str">
        <x:v>Completed</x:v>
      </x:c>
      <x:c r="M530" s="84" t="str">
        <x:v>Mobile Wallet</x:v>
      </x:c>
      <x:c r="N530" s="84" t="str">
        <x:v>Emma Hayes</x:v>
      </x:c>
      <x:c r="O530" s="85" t="n">
        <x:v>45485</x:v>
      </x:c>
      <x:c r="P530" s="84" t="str">
        <x:v>POS_2024_07</x:v>
      </x:c>
      <x:c r="Q530" s="84" t="str">
        <x:v>Percussion Massage Gun</x:v>
      </x:c>
      <x:c r="R530" s="84" t="str">
        <x:v>Personal Care </x:v>
      </x:c>
    </x:row>
    <x:row r="531">
      <x:c r="A531" s="84" t="str">
        <x:v>ORD-2024-02175</x:v>
      </x:c>
      <x:c r="B531" s="85" t="n">
        <x:v>45485</x:v>
      </x:c>
      <x:c r="C531" s="84" t="str">
        <x:v>CUST-0461</x:v>
      </x:c>
      <x:c r="D531" s="84" t="str">
        <x:v>Nina Irwin </x:v>
      </x:c>
      <x:c r="E531" s="84" t="str">
        <x:v>Corporate</x:v>
      </x:c>
      <x:c r="F531" s="84" t="str">
        <x:v>southeast</x:v>
      </x:c>
      <x:c r="G531" s="84" t="str">
        <x:v>Miami</x:v>
      </x:c>
      <x:c r="H531" s="84" t="str">
        <x:v>Retail Store</x:v>
      </x:c>
      <x:c r="I531" s="84" t="str">
        <x:v>FITN-005</x:v>
      </x:c>
      <x:c r="J531" s="86" t="n">
        <x:v>1</x:v>
      </x:c>
      <x:c r="K531" s="87" t="n">
        <x:v>0</x:v>
      </x:c>
      <x:c r="L531" s="84" t="str">
        <x:v>Completed</x:v>
      </x:c>
      <x:c r="M531" s="84" t="str">
        <x:v>Credit Card </x:v>
      </x:c>
      <x:c r="N531" s="84" t="str">
        <x:v>Ava Mitchell</x:v>
      </x:c>
      <x:c r="O531" s="85" t="n">
        <x:v>45485</x:v>
      </x:c>
      <x:c r="P531" s="84" t="str">
        <x:v>POS_2024_07</x:v>
      </x:c>
      <x:c r="Q531" s="84" t="str">
        <x:v>Sports Water Bottle</x:v>
      </x:c>
      <x:c r="R531" s="84" t="str">
        <x:v>Fitness</x:v>
      </x:c>
    </x:row>
    <x:row r="532">
      <x:c r="A532" s="84" t="str">
        <x:v>ORD-2024-00460</x:v>
      </x:c>
      <x:c r="B532" s="85" t="n">
        <x:v>45486</x:v>
      </x:c>
      <x:c r="C532" s="84" t="str">
        <x:v>CUST-0161</x:v>
      </x:c>
      <x:c r="D532" s="84" t="str">
        <x:v>Sara Patel </x:v>
      </x:c>
      <x:c r="E532" s="84" t="str">
        <x:v>Consumer</x:v>
      </x:c>
      <x:c r="F532" s="84" t="str">
        <x:v>Southeast</x:v>
      </x:c>
      <x:c r="G532" s="84" t="str">
        <x:v>Atlanta</x:v>
      </x:c>
      <x:c r="H532" s="84" t="str">
        <x:v>Online</x:v>
      </x:c>
      <x:c r="I532" s="84" t="str">
        <x:v>ACCS-001</x:v>
      </x:c>
      <x:c r="J532" s="86" t="n">
        <x:v>1</x:v>
      </x:c>
      <x:c r="K532" s="87" t="n">
        <x:v>0.2</x:v>
      </x:c>
      <x:c r="L532" s="84" t="str">
        <x:v>Completed</x:v>
      </x:c>
      <x:c r="M532" s="84" t="str">
        <x:v>Debit Card </x:v>
      </x:c>
      <x:c r="N532" s="84" t="str">
        <x:v>Ava Mitchell</x:v>
      </x:c>
      <x:c r="O532" s="85" t="n">
        <x:v>45490</x:v>
      </x:c>
      <x:c r="P532" s="84" t="str">
        <x:v>WEB_2024_07</x:v>
      </x:c>
      <x:c r="Q532" s="84" t="str">
        <x:v>canvas tote bag</x:v>
      </x:c>
      <x:c r="R532" s="84" t="str">
        <x:v>Accessories</x:v>
      </x:c>
    </x:row>
    <x:row r="533">
      <x:c r="A533" s="84" t="str">
        <x:v>ORD-2024-00861</x:v>
      </x:c>
      <x:c r="B533" s="85" t="n">
        <x:v>45486</x:v>
      </x:c>
      <x:c r="C533" s="84" t="str">
        <x:v>CUST-0510</x:v>
      </x:c>
      <x:c r="D533" s="84" t="str">
        <x:v>Theo Smith</x:v>
      </x:c>
      <x:c r="E533" s="84" t="str">
        <x:v>Consumer </x:v>
      </x:c>
      <x:c r="F533" s="84" t="str">
        <x:v>West</x:v>
      </x:c>
      <x:c r="G533" s="84" t="str">
        <x:v>Seattle </x:v>
      </x:c>
      <x:c r="H533" s="84" t="str">
        <x:v>Online</x:v>
      </x:c>
      <x:c r="I533" s="84" t="str">
        <x:v>ACCS-003</x:v>
      </x:c>
      <x:c r="J533" s="86" t="n">
        <x:v>2</x:v>
      </x:c>
      <x:c r="K533" s="87" t="n">
        <x:v>0.15</x:v>
      </x:c>
      <x:c r="L533" s="84" t="str">
        <x:v>Completed</x:v>
      </x:c>
      <x:c r="M533" s="84" t="str">
        <x:v> CREDIT CARD </x:v>
      </x:c>
      <x:c r="N533" s="84" t="str">
        <x:v>Mia Chen</x:v>
      </x:c>
      <x:c r="O533" s="85" t="n">
        <x:v>45489</x:v>
      </x:c>
      <x:c r="P533" s="84" t="str">
        <x:v>WEB_2024_07</x:v>
      </x:c>
      <x:c r="Q533" s="84" t="str">
        <x:v>Polarized Sunglasses</x:v>
      </x:c>
      <x:c r="R533" s="84" t="str">
        <x:v>accessories</x:v>
      </x:c>
    </x:row>
    <x:row r="534">
      <x:c r="A534" s="84" t="str">
        <x:v>ORD-2024-01555</x:v>
      </x:c>
      <x:c r="B534" s="85" t="n">
        <x:v>45486</x:v>
      </x:c>
      <x:c r="C534" s="84" t="str">
        <x:v>CUST-0176</x:v>
      </x:c>
      <x:c r="D534" s="84" t="str">
        <x:v>Grace Smith</x:v>
      </x:c>
      <x:c r="E534" s="84" t="str">
        <x:v>Corporate</x:v>
      </x:c>
      <x:c r="F534" s="84" t="str">
        <x:v>Northeast</x:v>
      </x:c>
      <x:c r="G534" s="84" t="str">
        <x:v>new york</x:v>
      </x:c>
      <x:c r="H534" s="84" t="str">
        <x:v>Online</x:v>
      </x:c>
      <x:c r="I534" s="84" t="str">
        <x:v>HOME-006</x:v>
      </x:c>
      <x:c r="J534" s="86" t="n">
        <x:v>3</x:v>
      </x:c>
      <x:c r="K534" s="87" t="n">
        <x:v>0.05</x:v>
      </x:c>
      <x:c r="L534" s="84" t="str">
        <x:v>completed</x:v>
      </x:c>
      <x:c r="M534" s="84" t="str">
        <x:v>Credit Card</x:v>
      </x:c>
      <x:c r="N534" s="84" t="str">
        <x:v>Sofia Bennett</x:v>
      </x:c>
      <x:c r="O534" s="85" t="n">
        <x:v>45489</x:v>
      </x:c>
      <x:c r="P534" s="84" t="str">
        <x:v>WEB_2024_07</x:v>
      </x:c>
      <x:c r="Q534" s="84" t="str">
        <x:v>Food Storage Set </x:v>
      </x:c>
      <x:c r="R534" s="84" t="str">
        <x:v>Home &amp; Kitchen</x:v>
      </x:c>
    </x:row>
    <x:row r="535">
      <x:c r="A535" s="84" t="str">
        <x:v>ORD-2024-02132</x:v>
      </x:c>
      <x:c r="B535" s="85" t="n">
        <x:v>45486</x:v>
      </x:c>
      <x:c r="C535" s="84" t="str">
        <x:v>CUST-0557</x:v>
      </x:c>
      <x:c r="D535" s="84" t="str">
        <x:v>Isaac Smith</x:v>
      </x:c>
      <x:c r="E535" s="84" t="str">
        <x:v>Consumer</x:v>
      </x:c>
      <x:c r="F535" s="84" t="str">
        <x:v>Northeast </x:v>
      </x:c>
      <x:c r="G535" s="84" t="str">
        <x:v>Boston</x:v>
      </x:c>
      <x:c r="H535" s="84" t="str">
        <x:v>Retail Store</x:v>
      </x:c>
      <x:c r="I535" s="84" t="str">
        <x:v>ACCS-001</x:v>
      </x:c>
      <x:c r="J535" s="86" t="n">
        <x:v>1</x:v>
      </x:c>
      <x:c r="K535" s="87" t="n">
        <x:v>0.05</x:v>
      </x:c>
      <x:c r="L535" s="84" t="str">
        <x:v>Completed</x:v>
      </x:c>
      <x:c r="M535" s="84" t="str">
        <x:v>Mobile Wallet</x:v>
      </x:c>
      <x:c r="N535" s="84" t="str">
        <x:v>Ethan Cole </x:v>
      </x:c>
      <x:c r="O535" s="85" t="n">
        <x:v>45486</x:v>
      </x:c>
      <x:c r="P535" s="84" t="str">
        <x:v>POS_2024_07</x:v>
      </x:c>
      <x:c r="Q535" s="84" t="str">
        <x:v>canvas tote bag</x:v>
      </x:c>
      <x:c r="R535" s="84" t="str">
        <x:v>Accessories</x:v>
      </x:c>
    </x:row>
    <x:row r="536">
      <x:c r="A536" s="84" t="str">
        <x:v>ORD-2024-00955</x:v>
      </x:c>
      <x:c r="B536" s="85" t="n">
        <x:v>45487</x:v>
      </x:c>
      <x:c r="C536" s="84" t="str">
        <x:v>CUST-0156</x:v>
      </x:c>
      <x:c r="D536" s="84" t="str">
        <x:v>Nina Ortiz</x:v>
      </x:c>
      <x:c r="E536" s="84" t="str">
        <x:v>Consumer</x:v>
      </x:c>
      <x:c r="F536" s="84" t="str">
        <x:v>Southeast</x:v>
      </x:c>
      <x:c r="G536" s="84" t="str">
        <x:v>Charlotte</x:v>
      </x:c>
      <x:c r="H536" s="84" t="str">
        <x:v>Retail Store </x:v>
      </x:c>
      <x:c r="I536" s="84" t="str">
        <x:v>FITN-004</x:v>
      </x:c>
      <x:c r="J536" s="86" t="n">
        <x:v>1</x:v>
      </x:c>
      <x:c r="K536" s="87" t="n">
        <x:v>0.05</x:v>
      </x:c>
      <x:c r="L536" s="84" t="str">
        <x:v>Completed</x:v>
      </x:c>
      <x:c r="M536" s="84" t="str">
        <x:v>Credit Card</x:v>
      </x:c>
      <x:c r="N536" s="84" t="str">
        <x:v> AVA MITCHELL </x:v>
      </x:c>
      <x:c r="O536" s="85" t="n">
        <x:v>45487</x:v>
      </x:c>
      <x:c r="P536" s="84" t="str">
        <x:v>POS_2024_07</x:v>
      </x:c>
      <x:c r="Q536" s="84" t="str">
        <x:v>fitness tracker</x:v>
      </x:c>
      <x:c r="R536" s="84" t="str">
        <x:v>Fitness</x:v>
      </x:c>
    </x:row>
    <x:row r="537">
      <x:c r="A537" s="84" t="str">
        <x:v>ORD-2024-00321</x:v>
      </x:c>
      <x:c r="B537" s="85" t="n">
        <x:v>45489</x:v>
      </x:c>
      <x:c r="C537" s="84" t="str">
        <x:v>CUST-0184</x:v>
      </x:c>
      <x:c r="D537" s="84" t="str">
        <x:v>Elena Patel</x:v>
      </x:c>
      <x:c r="E537" s="84" t="str">
        <x:v>Consumer</x:v>
      </x:c>
      <x:c r="F537" s="84" t="str">
        <x:v>Southeast</x:v>
      </x:c>
      <x:c r="G537" s="84" t="str">
        <x:v>Miami</x:v>
      </x:c>
      <x:c r="H537" s="84" t="str">
        <x:v>Online</x:v>
      </x:c>
      <x:c r="I537" s="84" t="str">
        <x:v>CARE-005</x:v>
      </x:c>
      <x:c r="J537" s="86" t="n">
        <x:v>1</x:v>
      </x:c>
      <x:c r="K537" s="87" t="n">
        <x:v>0.05</x:v>
      </x:c>
      <x:c r="L537" s="84" t="str">
        <x:v>Completed </x:v>
      </x:c>
      <x:c r="M537" s="84" t="str">
        <x:v>Credit Card</x:v>
      </x:c>
      <x:c r="N537" s="84" t="str">
        <x:v>liam parker</x:v>
      </x:c>
      <x:c r="O537" s="85" t="n">
        <x:v>45492</x:v>
      </x:c>
      <x:c r="P537" s="84" t="str">
        <x:v>WEB_2024_07</x:v>
      </x:c>
      <x:c r="Q537" s="84" t="str">
        <x:v>Skin Care Starter Kit</x:v>
      </x:c>
      <x:c r="R537" s="84" t="str">
        <x:v> PERSONAL CARE </x:v>
      </x:c>
    </x:row>
    <x:row r="538">
      <x:c r="A538" s="84" t="str">
        <x:v>ORD-2024-00378</x:v>
      </x:c>
      <x:c r="B538" s="85" t="n">
        <x:v>45489</x:v>
      </x:c>
      <x:c r="C538" s="84" t="str">
        <x:v>CUST-0609</x:v>
      </x:c>
      <x:c r="D538" s="84" t="str">
        <x:v>Sara Lewis</x:v>
      </x:c>
      <x:c r="E538" s="84" t="str">
        <x:v>Consumer </x:v>
      </x:c>
      <x:c r="F538" s="84" t="str">
        <x:v>Southeast</x:v>
      </x:c>
      <x:c r="G538" s="84" t="str">
        <x:v>miami</x:v>
      </x:c>
      <x:c r="H538" s="84" t="str">
        <x:v>Retail Store</x:v>
      </x:c>
      <x:c r="I538" s="84" t="str">
        <x:v>CARE-006</x:v>
      </x:c>
      <x:c r="J538" s="86" t="n">
        <x:v>1</x:v>
      </x:c>
      <x:c r="K538" s="87" t="n">
        <x:v>0</x:v>
      </x:c>
      <x:c r="L538" s="84" t="str">
        <x:v>completed</x:v>
      </x:c>
      <x:c r="M538" s="84" t="str">
        <x:v>Credit Card</x:v>
      </x:c>
      <x:c r="N538" s="84" t="str">
        <x:v>Ava Mitchell</x:v>
      </x:c>
      <x:c r="O538" s="85" t="n">
        <x:v>45489</x:v>
      </x:c>
      <x:c r="P538" s="84" t="str">
        <x:v>POS_2024_07</x:v>
      </x:c>
      <x:c r="Q538" s="84" t="str">
        <x:v> PERCUSSION MASSAGE GUN </x:v>
      </x:c>
      <x:c r="R538" s="84" t="str">
        <x:v>Personal Care</x:v>
      </x:c>
    </x:row>
    <x:row r="539">
      <x:c r="A539" s="84" t="str">
        <x:v>ORD-2024-01979</x:v>
      </x:c>
      <x:c r="B539" s="85" t="n">
        <x:v>45490</x:v>
      </x:c>
      <x:c r="C539" s="84" t="str">
        <x:v>CUST-0380</x:v>
      </x:c>
      <x:c r="D539" s="84" t="str">
        <x:v>Caleb Patel </x:v>
      </x:c>
      <x:c r="E539" s="84" t="str">
        <x:v>Consumer</x:v>
      </x:c>
      <x:c r="F539" s="84" t="str">
        <x:v>Southeast</x:v>
      </x:c>
      <x:c r="G539" s="84" t="str">
        <x:v>Nashville</x:v>
      </x:c>
      <x:c r="H539" s="84" t="str">
        <x:v>Marketplace</x:v>
      </x:c>
      <x:c r="I539" s="84" t="str">
        <x:v>ELEC-002</x:v>
      </x:c>
      <x:c r="J539" s="86" t="n">
        <x:v>2</x:v>
      </x:c>
      <x:c r="K539" s="87" t="n">
        <x:v>0.1</x:v>
      </x:c>
      <x:c r="L539" s="84" t="str">
        <x:v>Completed</x:v>
      </x:c>
      <x:c r="M539" s="84" t="str">
        <x:v>credit card</x:v>
      </x:c>
      <x:c r="N539" s="84" t="str">
        <x:v>Ava Mitchell</x:v>
      </x:c>
      <x:c r="O539" s="85" t="n">
        <x:v>45498</x:v>
      </x:c>
      <x:c r="P539" s="84" t="str">
        <x:v>MKT_2024_07</x:v>
      </x:c>
      <x:c r="Q539" s="84" t="str">
        <x:v>Smartwatch</x:v>
      </x:c>
      <x:c r="R539" s="84" t="str">
        <x:v>Electronics</x:v>
      </x:c>
    </x:row>
    <x:row r="540">
      <x:c r="A540" s="84" t="str">
        <x:v>ORD-2024-00174</x:v>
      </x:c>
      <x:c r="B540" s="85" t="n">
        <x:v>45491</x:v>
      </x:c>
      <x:c r="C540" s="84" t="str">
        <x:v>CUST-0080</x:v>
      </x:c>
      <x:c r="D540" s="84" t="str">
        <x:v>Maya Patel</x:v>
      </x:c>
      <x:c r="E540" s="84" t="str">
        <x:v>Corporate</x:v>
      </x:c>
      <x:c r="F540" s="84" t="str">
        <x:v>Midwest</x:v>
      </x:c>
      <x:c r="G540" s="84" t="str">
        <x:v>Columbus</x:v>
      </x:c>
      <x:c r="H540" s="84" t="str">
        <x:v>Retail Store</x:v>
      </x:c>
      <x:c r="I540" s="84" t="str">
        <x:v>ELEC-001</x:v>
      </x:c>
      <x:c r="J540" s="86" t="n">
        <x:v>1</x:v>
      </x:c>
      <x:c r="K540" s="87" t="n">
        <x:v>0.15</x:v>
      </x:c>
      <x:c r="L540" s="84" t="str">
        <x:v>Completed </x:v>
      </x:c>
      <x:c r="M540" s="84" t="str">
        <x:v>Debit Card</x:v>
      </x:c>
      <x:c r="N540" s="84" t="str">
        <x:v>Lucas Grant</x:v>
      </x:c>
      <x:c r="O540" s="85" t="n">
        <x:v>45491</x:v>
      </x:c>
      <x:c r="P540" s="84" t="str">
        <x:v>POS_2024_07</x:v>
      </x:c>
      <x:c r="Q540" s="84" t="str">
        <x:v> WIRELESS EARBUDS </x:v>
      </x:c>
      <x:c r="R540" s="84" t="str">
        <x:v>Electronics</x:v>
      </x:c>
    </x:row>
    <x:row r="541">
      <x:c r="A541" s="84" t="str">
        <x:v>ORD-2024-00655</x:v>
      </x:c>
      <x:c r="B541" s="85" t="n">
        <x:v>45491</x:v>
      </x:c>
      <x:c r="C541" s="84" t="str">
        <x:v>CUST-0506</x:v>
      </x:c>
      <x:c r="D541" s="84" t="str">
        <x:v>Layla Baker</x:v>
      </x:c>
      <x:c r="E541" s="84" t="str">
        <x:v>Consumer</x:v>
      </x:c>
      <x:c r="F541" s="84" t="str">
        <x:v>Midwest </x:v>
      </x:c>
      <x:c r="G541" s="84" t="str">
        <x:v>Columbus</x:v>
      </x:c>
      <x:c r="H541" s="84" t="str">
        <x:v>Online</x:v>
      </x:c>
      <x:c r="I541" s="84" t="str">
        <x:v>CARE-005</x:v>
      </x:c>
      <x:c r="J541" s="86" t="n">
        <x:v>1</x:v>
      </x:c>
      <x:c r="K541" s="87" t="n">
        <x:v>0.1</x:v>
      </x:c>
      <x:c r="L541" s="84" t="str">
        <x:v>Completed</x:v>
      </x:c>
      <x:c r="M541" s="84" t="str">
        <x:v>Credit Card</x:v>
      </x:c>
      <x:c r="N541" s="84" t="str">
        <x:v>Zoe Turner </x:v>
      </x:c>
      <x:c r="O541" s="85" t="n">
        <x:v>45495</x:v>
      </x:c>
      <x:c r="P541" s="84" t="str">
        <x:v>WEB_2024_07</x:v>
      </x:c>
      <x:c r="Q541" s="84" t="str">
        <x:v>Skin Care Starter Kit</x:v>
      </x:c>
      <x:c r="R541" s="84" t="str">
        <x:v>Personal Care</x:v>
      </x:c>
    </x:row>
    <x:row r="542">
      <x:c r="A542" s="84" t="str">
        <x:v>ORD-2024-00818</x:v>
      </x:c>
      <x:c r="B542" s="85" t="n">
        <x:v>45491</x:v>
      </x:c>
      <x:c r="C542" s="84" t="str">
        <x:v>CUST-0387</x:v>
      </x:c>
      <x:c r="D542" s="84" t="str">
        <x:v>Samuel Evans</x:v>
      </x:c>
      <x:c r="E542" s="84" t="str">
        <x:v>Small Business</x:v>
      </x:c>
      <x:c r="F542" s="84" t="str">
        <x:v>West</x:v>
      </x:c>
      <x:c r="G542" s="84" t="str">
        <x:v>denver</x:v>
      </x:c>
      <x:c r="H542" s="84" t="str">
        <x:v>Online</x:v>
      </x:c>
      <x:c r="I542" s="84" t="str">
        <x:v>ACCS-006</x:v>
      </x:c>
      <x:c r="J542" s="86" t="n">
        <x:v>1</x:v>
      </x:c>
      <x:c r="K542" s="87" t="n">
        <x:v>0</x:v>
      </x:c>
      <x:c r="L542" s="84" t="str">
        <x:v>completed</x:v>
      </x:c>
      <x:c r="M542" s="84" t="str">
        <x:v>PayPal</x:v>
      </x:c>
      <x:c r="N542" s="84" t="str">
        <x:v>Nora Kim</x:v>
      </x:c>
      <x:c r="O542" s="85" t="n">
        <x:v>45496</x:v>
      </x:c>
      <x:c r="P542" s="84" t="str">
        <x:v>WEB_2024_07</x:v>
      </x:c>
      <x:c r="Q542" s="84" t="str">
        <x:v>Insulated Lunch Bag</x:v>
      </x:c>
      <x:c r="R542" s="84" t="str">
        <x:v>Accessories</x:v>
      </x:c>
    </x:row>
    <x:row r="543">
      <x:c r="A543" s="84" t="str">
        <x:v>ORD-2024-01903</x:v>
      </x:c>
      <x:c r="B543" s="85" t="n">
        <x:v>45491</x:v>
      </x:c>
      <x:c r="C543" s="84" t="str">
        <x:v>CUST-0187</x:v>
      </x:c>
      <x:c r="D543" s="84" t="str">
        <x:v>Jasmine Ortiz</x:v>
      </x:c>
      <x:c r="E543" s="84" t="str">
        <x:v>consumer</x:v>
      </x:c>
      <x:c r="F543" s="84" t="str">
        <x:v>Midwest</x:v>
      </x:c>
      <x:c r="G543" s="84" t="str">
        <x:v>Chicago</x:v>
      </x:c>
      <x:c r="H543" s="84" t="str">
        <x:v>retail store</x:v>
      </x:c>
      <x:c r="I543" s="84" t="str">
        <x:v>CARE-003</x:v>
      </x:c>
      <x:c r="J543" s="86" t="n">
        <x:v>1</x:v>
      </x:c>
      <x:c r="K543" s="87" t="n">
        <x:v>0</x:v>
      </x:c>
      <x:c r="L543" s="84" t="str">
        <x:v>Completed </x:v>
      </x:c>
      <x:c r="M543" s="84" t="str">
        <x:v>Debit Card</x:v>
      </x:c>
      <x:c r="N543" s="84" t="str">
        <x:v>Lucas Grant</x:v>
      </x:c>
      <x:c r="O543" s="85" t="n">
        <x:v>45491</x:v>
      </x:c>
      <x:c r="P543" s="84" t="str">
        <x:v>POS_2024_07</x:v>
      </x:c>
      <x:c r="Q543" s="84" t="str">
        <x:v>Facial Cleanser</x:v>
      </x:c>
      <x:c r="R543" s="84" t="str">
        <x:v>Personal Care</x:v>
      </x:c>
    </x:row>
    <x:row r="544">
      <x:c r="A544" s="84" t="str">
        <x:v>ORD-2024-00791</x:v>
      </x:c>
      <x:c r="B544" s="85" t="n">
        <x:v>45492</x:v>
      </x:c>
      <x:c r="C544" s="84" t="str">
        <x:v>CUST-0051</x:v>
      </x:c>
      <x:c r="D544" s="84" t="str">
        <x:v>Marcus Moore</x:v>
      </x:c>
      <x:c r="E544" s="84" t="str">
        <x:v>Consumer </x:v>
      </x:c>
      <x:c r="F544" s="84" t="str">
        <x:v>West</x:v>
      </x:c>
      <x:c r="G544" s="84" t="str">
        <x:v>Seattle </x:v>
      </x:c>
      <x:c r="H544" s="84" t="str">
        <x:v>Marketplace</x:v>
      </x:c>
      <x:c r="I544" s="84" t="str">
        <x:v>ELEC-006</x:v>
      </x:c>
      <x:c r="J544" s="86" t="n">
        <x:v>1</x:v>
      </x:c>
      <x:c r="K544" s="87" t="n">
        <x:v>0.05</x:v>
      </x:c>
      <x:c r="L544" s="84" t="str">
        <x:v>Completed</x:v>
      </x:c>
      <x:c r="M544" s="84" t="str">
        <x:v>credit card</x:v>
      </x:c>
      <x:c r="N544" s="84" t="str">
        <x:v>Mia Chen</x:v>
      </x:c>
      <x:c r="O544" s="85" t="n">
        <x:v>45499</x:v>
      </x:c>
      <x:c r="P544" s="84" t="str">
        <x:v>MKT_2024_07</x:v>
      </x:c>
      <x:c r="Q544" s="84" t="str">
        <x:v>Portable SSD</x:v>
      </x:c>
      <x:c r="R544" s="84" t="str">
        <x:v>Electronics</x:v>
      </x:c>
    </x:row>
    <x:row r="545">
      <x:c r="A545" s="84" t="str">
        <x:v>ORD-2024-01406</x:v>
      </x:c>
      <x:c r="B545" s="85" t="n">
        <x:v>45492</x:v>
      </x:c>
      <x:c r="C545" s="84" t="str">
        <x:v>CUST-0146</x:v>
      </x:c>
      <x:c r="D545" s="84" t="str">
        <x:v>Elena Quinn</x:v>
      </x:c>
      <x:c r="E545" s="84" t="str">
        <x:v>Consumer</x:v>
      </x:c>
      <x:c r="F545" s="84" t="str">
        <x:v>West</x:v>
      </x:c>
      <x:c r="G545" s="84" t="str">
        <x:v>Seattle</x:v>
      </x:c>
      <x:c r="H545" s="84" t="str">
        <x:v>Marketplace</x:v>
      </x:c>
      <x:c r="I545" s="84" t="str">
        <x:v>CARE-003</x:v>
      </x:c>
      <x:c r="J545" s="86" t="n">
        <x:v>1</x:v>
      </x:c>
      <x:c r="K545" s="87" t="n">
        <x:v>0.1</x:v>
      </x:c>
      <x:c r="L545" s="84" t="str">
        <x:v>Completed </x:v>
      </x:c>
      <x:c r="M545" s="84" t="str">
        <x:v>PayPal</x:v>
      </x:c>
      <x:c r="N545" s="84" t="str">
        <x:v>Nora Kim</x:v>
      </x:c>
      <x:c r="O545" s="85" t="n">
        <x:v>45497</x:v>
      </x:c>
      <x:c r="P545" s="84" t="str">
        <x:v>MKT_2024_07</x:v>
      </x:c>
      <x:c r="Q545" s="84" t="str">
        <x:v>facial cleanser</x:v>
      </x:c>
      <x:c r="R545" s="84" t="str">
        <x:v>Personal Care</x:v>
      </x:c>
    </x:row>
    <x:row r="546">
      <x:c r="A546" s="84" t="str">
        <x:v>ORD-2024-01574</x:v>
      </x:c>
      <x:c r="B546" s="85" t="n">
        <x:v>45492</x:v>
      </x:c>
      <x:c r="C546" s="84" t="str">
        <x:v>CUST-0477</x:v>
      </x:c>
      <x:c r="D546" s="84" t="str">
        <x:v>William Adams</x:v>
      </x:c>
      <x:c r="E546" s="84" t="str">
        <x:v>Small Business</x:v>
      </x:c>
      <x:c r="F546" s="84" t="str">
        <x:v>Southeast</x:v>
      </x:c>
      <x:c r="G546" s="84" t="str">
        <x:v> NASHVILLE </x:v>
      </x:c>
      <x:c r="H546" s="84" t="str">
        <x:v>Retail Store</x:v>
      </x:c>
      <x:c r="I546" s="84" t="str">
        <x:v>FITN-002</x:v>
      </x:c>
      <x:c r="J546" s="86" t="n">
        <x:v>2</x:v>
      </x:c>
      <x:c r="K546" s="87" t="n">
        <x:v>0.2</x:v>
      </x:c>
      <x:c r="L546" s="84" t="str">
        <x:v>Completed </x:v>
      </x:c>
      <x:c r="M546" s="84" t="str">
        <x:v>Mobile Wallet</x:v>
      </x:c>
      <x:c r="N546" s="84" t="str">
        <x:v>Noah Reed</x:v>
      </x:c>
      <x:c r="O546" s="85" t="n">
        <x:v>45492</x:v>
      </x:c>
      <x:c r="P546" s="84" t="str">
        <x:v>POS_2024_07</x:v>
      </x:c>
      <x:c r="Q546" s="84" t="str">
        <x:v>Adjustable Dumbbell Set</x:v>
      </x:c>
      <x:c r="R546" s="84" t="str">
        <x:v>Fitness</x:v>
      </x:c>
    </x:row>
    <x:row r="547">
      <x:c r="A547" s="84" t="str">
        <x:v>ORD-2024-00380</x:v>
      </x:c>
      <x:c r="B547" s="85" t="n">
        <x:v>45493</x:v>
      </x:c>
      <x:c r="C547" s="84" t="str">
        <x:v>CUST-0014</x:v>
      </x:c>
      <x:c r="D547" s="84" t="str">
        <x:v>Jonah Irwin</x:v>
      </x:c>
      <x:c r="E547" s="84" t="str">
        <x:v>Consumer</x:v>
      </x:c>
      <x:c r="F547" s="84" t="str">
        <x:v>Southeast</x:v>
      </x:c>
      <x:c r="G547" s="84" t="str">
        <x:v>Miami</x:v>
      </x:c>
      <x:c r="H547" s="84" t="str">
        <x:v> RETAIL STORE </x:v>
      </x:c>
      <x:c r="I547" s="84" t="str">
        <x:v>ACCS-004</x:v>
      </x:c>
      <x:c r="J547" s="86" t="n">
        <x:v>1</x:v>
      </x:c>
      <x:c r="K547" s="87" t="n">
        <x:v>0.05</x:v>
      </x:c>
      <x:c r="L547" s="84" t="str">
        <x:v>Completed</x:v>
      </x:c>
      <x:c r="M547" s="84" t="str">
        <x:v>Credit Card</x:v>
      </x:c>
      <x:c r="N547" s="84" t="str">
        <x:v>Noah Reed</x:v>
      </x:c>
      <x:c r="O547" s="85" t="n">
        <x:v>45493</x:v>
      </x:c>
      <x:c r="P547" s="84" t="str">
        <x:v>POS_2024_07</x:v>
      </x:c>
      <x:c r="Q547" s="84" t="str">
        <x:v>Leather Wallet</x:v>
      </x:c>
      <x:c r="R547" s="84" t="str">
        <x:v>Accessories </x:v>
      </x:c>
    </x:row>
    <x:row r="548">
      <x:c r="A548" s="84" t="str">
        <x:v>ORD-2024-02045</x:v>
      </x:c>
      <x:c r="B548" s="85" t="n">
        <x:v>45493</x:v>
      </x:c>
      <x:c r="C548" s="84" t="str">
        <x:v>CUST-0518</x:v>
      </x:c>
      <x:c r="D548" s="84" t="str">
        <x:v>Victoria Hall</x:v>
      </x:c>
      <x:c r="E548" s="84" t="str">
        <x:v>Consumer</x:v>
      </x:c>
      <x:c r="F548" s="84" t="str">
        <x:v>Midwest</x:v>
      </x:c>
      <x:c r="G548" s="84" t="str">
        <x:v>Chicago</x:v>
      </x:c>
      <x:c r="H548" s="84" t="str">
        <x:v>Marketplace</x:v>
      </x:c>
      <x:c r="I548" s="84" t="str">
        <x:v>ELEC-001</x:v>
      </x:c>
      <x:c r="J548" s="86" t="n">
        <x:v>2</x:v>
      </x:c>
      <x:c r="K548" s="87" t="n">
        <x:v>0.05</x:v>
      </x:c>
      <x:c r="L548" s="84" t="str">
        <x:v> COMPLETED </x:v>
      </x:c>
      <x:c r="M548" s="84" t="str">
        <x:v>debit card</x:v>
      </x:c>
      <x:c r="N548" s="84" t="str">
        <x:v>Zoe Turner</x:v>
      </x:c>
      <x:c r="O548" s="85" t="n">
        <x:v>45496</x:v>
      </x:c>
      <x:c r="P548" s="84" t="str">
        <x:v>MKT_2024_07</x:v>
      </x:c>
      <x:c r="Q548" s="84" t="str">
        <x:v>Wireless Earbuds </x:v>
      </x:c>
      <x:c r="R548" s="84" t="str">
        <x:v>Electronics</x:v>
      </x:c>
    </x:row>
    <x:row r="549">
      <x:c r="A549" s="84" t="str">
        <x:v>ORD-2024-02207</x:v>
      </x:c>
      <x:c r="B549" s="85" t="n">
        <x:v>45493</x:v>
      </x:c>
      <x:c r="C549" s="84" t="str">
        <x:v>CUST-0474</x:v>
      </x:c>
      <x:c r="D549" s="84" t="str">
        <x:v> AIDEN FOSTER </x:v>
      </x:c>
      <x:c r="E549" s="84" t="str">
        <x:v>Consumer</x:v>
      </x:c>
      <x:c r="F549" s="84" t="str">
        <x:v> SOUTHEAST </x:v>
      </x:c>
      <x:c r="G549" s="84" t="str">
        <x:v>Miami</x:v>
      </x:c>
      <x:c r="H549" s="84" t="str">
        <x:v>Marketplace</x:v>
      </x:c>
      <x:c r="I549" s="84" t="str">
        <x:v>OFFC-005</x:v>
      </x:c>
      <x:c r="J549" s="86" t="n">
        <x:v>1</x:v>
      </x:c>
      <x:c r="K549" s="87" t="n">
        <x:v>0.05</x:v>
      </x:c>
      <x:c r="L549" s="84" t="str">
        <x:v>Completed</x:v>
      </x:c>
      <x:c r="M549" s="84" t="str">
        <x:v>Credit Card</x:v>
      </x:c>
      <x:c r="N549" s="84" t="str">
        <x:v>Liam Parker</x:v>
      </x:c>
      <x:c r="O549" s="85" t="n">
        <x:v>45496</x:v>
      </x:c>
      <x:c r="P549" s="84" t="str">
        <x:v>MKT_2024_07</x:v>
      </x:c>
      <x:c r="Q549" s="84" t="str">
        <x:v>Wireless Keyboard</x:v>
      </x:c>
      <x:c r="R549" s="84" t="str">
        <x:v>Office </x:v>
      </x:c>
    </x:row>
    <x:row r="550">
      <x:c r="A550" s="84" t="str">
        <x:v>ORD-2024-00011</x:v>
      </x:c>
      <x:c r="B550" s="85" t="n">
        <x:v>45494</x:v>
      </x:c>
      <x:c r="C550" s="84" t="str">
        <x:v>CUST-0528</x:v>
      </x:c>
      <x:c r="D550" s="84" t="str">
        <x:v>Nathan Davis</x:v>
      </x:c>
      <x:c r="E550" s="84" t="str">
        <x:v>consumer</x:v>
      </x:c>
      <x:c r="F550" s="84" t="str">
        <x:v>Southeast </x:v>
      </x:c>
      <x:c r="G550" s="84" t="str">
        <x:v>Miami</x:v>
      </x:c>
      <x:c r="H550" s="84" t="str">
        <x:v>retail store</x:v>
      </x:c>
      <x:c r="I550" s="84" t="str">
        <x:v>OFFC-005</x:v>
      </x:c>
      <x:c r="J550" s="86" t="n">
        <x:v>2</x:v>
      </x:c>
      <x:c r="K550" s="87" t="n">
        <x:v>0.15</x:v>
      </x:c>
      <x:c r="L550" s="84" t="str">
        <x:v>Completed</x:v>
      </x:c>
      <x:c r="M550" s="84" t="str">
        <x:v> DEBIT CARD </x:v>
      </x:c>
      <x:c r="N550" s="84" t="str">
        <x:v>Ava Mitchell </x:v>
      </x:c>
      <x:c r="O550" s="85" t="n">
        <x:v>45495</x:v>
      </x:c>
      <x:c r="P550" s="84" t="str">
        <x:v>POS_2024_07</x:v>
      </x:c>
      <x:c r="Q550" s="84" t="str">
        <x:v>Wireless Keyboard</x:v>
      </x:c>
      <x:c r="R550" s="84" t="str">
        <x:v>Office</x:v>
      </x:c>
    </x:row>
    <x:row r="551">
      <x:c r="A551" s="84" t="str">
        <x:v>ORD-2024-00853</x:v>
      </x:c>
      <x:c r="B551" s="85" t="n">
        <x:v>45494</x:v>
      </x:c>
      <x:c r="C551" s="84" t="str">
        <x:v>CUST-0433</x:v>
      </x:c>
      <x:c r="D551" s="84" t="str">
        <x:v>Aiden Johnson</x:v>
      </x:c>
      <x:c r="E551" s="84" t="str">
        <x:v>Corporate</x:v>
      </x:c>
      <x:c r="F551" s="84" t="str">
        <x:v>Midwest</x:v>
      </x:c>
      <x:c r="G551" s="84" t="str">
        <x:v>Columbus</x:v>
      </x:c>
      <x:c r="H551" s="84" t="str">
        <x:v>Marketplace</x:v>
      </x:c>
      <x:c r="I551" s="84" t="str">
        <x:v>ACCS-006</x:v>
      </x:c>
      <x:c r="J551" s="86" t="n">
        <x:v>3</x:v>
      </x:c>
      <x:c r="K551" s="87" t="n">
        <x:v>0.15</x:v>
      </x:c>
      <x:c r="L551" s="84" t="str">
        <x:v>Completed </x:v>
      </x:c>
      <x:c r="M551" s="84" t="str">
        <x:v>Credit Card</x:v>
      </x:c>
      <x:c r="N551" s="84" t="str">
        <x:v> ZOE TURNER </x:v>
      </x:c>
      <x:c r="O551" s="85" t="n">
        <x:v>45501</x:v>
      </x:c>
      <x:c r="P551" s="84" t="str">
        <x:v>MKT_2024_07</x:v>
      </x:c>
      <x:c r="Q551" s="84" t="str">
        <x:v>Insulated Lunch Bag</x:v>
      </x:c>
      <x:c r="R551" s="84" t="str">
        <x:v>Accessories</x:v>
      </x:c>
    </x:row>
    <x:row r="552">
      <x:c r="A552" s="84" t="str">
        <x:v>ORD-2024-01317</x:v>
      </x:c>
      <x:c r="B552" s="85" t="n">
        <x:v>45494</x:v>
      </x:c>
      <x:c r="C552" s="84" t="str">
        <x:v>CUST-0249</x:v>
      </x:c>
      <x:c r="D552" s="84" t="str">
        <x:v>Zara Roberts</x:v>
      </x:c>
      <x:c r="E552" s="84" t="str">
        <x:v>Corporate</x:v>
      </x:c>
      <x:c r="F552" s="84" t="str">
        <x:v>northeast</x:v>
      </x:c>
      <x:c r="G552" s="84" t="str">
        <x:v>Philadelphia</x:v>
      </x:c>
      <x:c r="H552" s="84" t="str">
        <x:v>Online</x:v>
      </x:c>
      <x:c r="I552" s="84" t="str">
        <x:v>HOME-001</x:v>
      </x:c>
      <x:c r="J552" s="86" t="n">
        <x:v>3</x:v>
      </x:c>
      <x:c r="K552" s="87" t="n">
        <x:v>0</x:v>
      </x:c>
      <x:c r="L552" s="84" t="str">
        <x:v>Completed</x:v>
      </x:c>
      <x:c r="M552" s="84" t="str">
        <x:v>Credit Card</x:v>
      </x:c>
      <x:c r="N552" s="84" t="str">
        <x:v>Ethan Cole</x:v>
      </x:c>
      <x:c r="O552" s="85" t="n">
        <x:v>45497</x:v>
      </x:c>
      <x:c r="P552" s="84" t="str">
        <x:v>WEB_2024_07</x:v>
      </x:c>
      <x:c r="Q552" s="84" t="str">
        <x:v>Air Fryer </x:v>
      </x:c>
      <x:c r="R552" s="84" t="str">
        <x:v>Home &amp; Kitchen</x:v>
      </x:c>
    </x:row>
    <x:row r="553">
      <x:c r="A553" s="84" t="str">
        <x:v>ORD-2024-02215</x:v>
      </x:c>
      <x:c r="B553" s="85" t="n">
        <x:v>45494</x:v>
      </x:c>
      <x:c r="C553" s="84" t="str">
        <x:v>CUST-0112</x:v>
      </x:c>
      <x:c r="D553" s="84" t="str">
        <x:v>Victoria Patel</x:v>
      </x:c>
      <x:c r="E553" s="84" t="str">
        <x:v>Consumer</x:v>
      </x:c>
      <x:c r="F553" s="84" t="str">
        <x:v>Southeast</x:v>
      </x:c>
      <x:c r="G553" s="84" t="str">
        <x:v>miami</x:v>
      </x:c>
      <x:c r="H553" s="84" t="str">
        <x:v>Retail Store </x:v>
      </x:c>
      <x:c r="I553" s="84" t="str">
        <x:v>OFFC-005</x:v>
      </x:c>
      <x:c r="J553" s="86" t="n">
        <x:v>4</x:v>
      </x:c>
      <x:c r="K553" s="87" t="n">
        <x:v>0.1</x:v>
      </x:c>
      <x:c r="L553" s="84" t="str">
        <x:v> COMPLETED </x:v>
      </x:c>
      <x:c r="M553" s="84" t="str">
        <x:v>Debit Card</x:v>
      </x:c>
      <x:c r="N553" s="84" t="str">
        <x:v>Liam Parker</x:v>
      </x:c>
      <x:c r="O553" s="85" t="n">
        <x:v>45495</x:v>
      </x:c>
      <x:c r="P553" s="84" t="str">
        <x:v>POS_2024_07</x:v>
      </x:c>
      <x:c r="Q553" s="84" t="str">
        <x:v>Wireless Keyboard</x:v>
      </x:c>
      <x:c r="R553" s="84" t="str">
        <x:v>Office</x:v>
      </x:c>
    </x:row>
    <x:row r="554">
      <x:c r="A554" s="84" t="str">
        <x:v>ORD-2024-02374</x:v>
      </x:c>
      <x:c r="B554" s="85" t="n">
        <x:v>45494</x:v>
      </x:c>
      <x:c r="C554" s="84" t="str">
        <x:v>CUST-0490</x:v>
      </x:c>
      <x:c r="D554" s="84" t="str">
        <x:v>Maya Nelson</x:v>
      </x:c>
      <x:c r="E554" s="84" t="str">
        <x:v>Small Business</x:v>
      </x:c>
      <x:c r="F554" s="84" t="str">
        <x:v>Northeast</x:v>
      </x:c>
      <x:c r="G554" s="84" t="str">
        <x:v>Philadelphia</x:v>
      </x:c>
      <x:c r="H554" s="84" t="str">
        <x:v>Online</x:v>
      </x:c>
      <x:c r="I554" s="84" t="str">
        <x:v>FITN-001</x:v>
      </x:c>
      <x:c r="J554" s="86" t="n">
        <x:v>1</x:v>
      </x:c>
      <x:c r="K554" s="87" t="n">
        <x:v>0</x:v>
      </x:c>
      <x:c r="L554" s="84" t="str">
        <x:v>Completed</x:v>
      </x:c>
      <x:c r="M554" s="84" t="str">
        <x:v> CREDIT CARD </x:v>
      </x:c>
      <x:c r="N554" s="84" t="str">
        <x:v>Ethan Cole</x:v>
      </x:c>
      <x:c r="O554" s="85" t="n">
        <x:v>45497</x:v>
      </x:c>
      <x:c r="P554" s="84" t="str">
        <x:v>WEB_2024_07</x:v>
      </x:c>
      <x:c r="Q554" s="84" t="str">
        <x:v>yoga mat</x:v>
      </x:c>
      <x:c r="R554" s="84" t="str">
        <x:v>Fitness</x:v>
      </x:c>
    </x:row>
    <x:row r="555">
      <x:c r="A555" s="84" t="str">
        <x:v>ORD-2024-00474</x:v>
      </x:c>
      <x:c r="B555" s="85" t="n">
        <x:v>45496</x:v>
      </x:c>
      <x:c r="C555" s="84" t="str">
        <x:v>CUST-0195</x:v>
      </x:c>
      <x:c r="D555" s="84" t="str">
        <x:v>Aiden Carter </x:v>
      </x:c>
      <x:c r="E555" s="84" t="str">
        <x:v>Corporate</x:v>
      </x:c>
      <x:c r="F555" s="84" t="str">
        <x:v>Northeast</x:v>
      </x:c>
      <x:c r="G555" s="84" t="str">
        <x:v>New York</x:v>
      </x:c>
      <x:c r="H555" s="84" t="str">
        <x:v>Online</x:v>
      </x:c>
      <x:c r="I555" s="84" t="str">
        <x:v>ACCS-005</x:v>
      </x:c>
      <x:c r="J555" s="86" t="n">
        <x:v>1</x:v>
      </x:c>
      <x:c r="K555" s="87" t="n">
        <x:v>0.1</x:v>
      </x:c>
      <x:c r="L555" s="84" t="str">
        <x:v>Completed</x:v>
      </x:c>
      <x:c r="M555" s="84" t="str">
        <x:v>Debit Card </x:v>
      </x:c>
      <x:c r="N555" s="84" t="str">
        <x:v>Maya Brooks</x:v>
      </x:c>
      <x:c r="O555" s="85" t="n">
        <x:v>45498</x:v>
      </x:c>
      <x:c r="P555" s="84" t="str">
        <x:v>WEB_2024_07</x:v>
      </x:c>
      <x:c r="Q555" s="84" t="str">
        <x:v>Protective Phone Case</x:v>
      </x:c>
      <x:c r="R555" s="84" t="str">
        <x:v> ACCESSORIES </x:v>
      </x:c>
    </x:row>
    <x:row r="556">
      <x:c r="A556" s="84" t="str">
        <x:v>ORD-2024-01120</x:v>
      </x:c>
      <x:c r="B556" s="85" t="n">
        <x:v>45496</x:v>
      </x:c>
      <x:c r="C556" s="84" t="str">
        <x:v>CUST-0511</x:v>
      </x:c>
      <x:c r="D556" s="84" t="str">
        <x:v>Marcus Walker</x:v>
      </x:c>
      <x:c r="E556" s="84" t="str">
        <x:v>Corporate </x:v>
      </x:c>
      <x:c r="F556" s="84" t="str">
        <x:v>Northeast</x:v>
      </x:c>
      <x:c r="G556" s="84" t="str">
        <x:v>Newark </x:v>
      </x:c>
      <x:c r="H556" s="84" t="str">
        <x:v>Retail Store</x:v>
      </x:c>
      <x:c r="I556" s="84" t="str">
        <x:v>ELEC-003</x:v>
      </x:c>
      <x:c r="J556" s="86" t="n">
        <x:v>3</x:v>
      </x:c>
      <x:c r="K556" s="87" t="n">
        <x:v>0</x:v>
      </x:c>
      <x:c r="L556" s="84" t="str">
        <x:v>Completed</x:v>
      </x:c>
      <x:c r="M556" s="84" t="str">
        <x:v>Mobile Wallet</x:v>
      </x:c>
      <x:c r="N556" s="84" t="str">
        <x:v>Maya Brooks</x:v>
      </x:c>
      <x:c r="O556" s="85" t="n">
        <x:v>45496</x:v>
      </x:c>
      <x:c r="P556" s="84" t="str">
        <x:v>POS_2024_07</x:v>
      </x:c>
      <x:c r="Q556" s="84" t="str">
        <x:v>bluetooth speaker</x:v>
      </x:c>
      <x:c r="R556" s="84" t="str">
        <x:v> ELECTRONICS </x:v>
      </x:c>
    </x:row>
    <x:row r="557">
      <x:c r="A557" s="84" t="str">
        <x:v>ORD-2024-02182</x:v>
      </x:c>
      <x:c r="B557" s="85" t="n">
        <x:v>45496</x:v>
      </x:c>
      <x:c r="C557" s="84" t="str">
        <x:v>CUST-0453</x:v>
      </x:c>
      <x:c r="D557" s="84" t="str">
        <x:v>Victoria Foster </x:v>
      </x:c>
      <x:c r="E557" s="84" t="str">
        <x:v>Consumer</x:v>
      </x:c>
      <x:c r="F557" s="84" t="str">
        <x:v>Southeast</x:v>
      </x:c>
      <x:c r="G557" s="84" t="str">
        <x:v>atlanta</x:v>
      </x:c>
      <x:c r="H557" s="84" t="str">
        <x:v> ONLINE </x:v>
      </x:c>
      <x:c r="I557" s="84" t="str">
        <x:v>HOME-001</x:v>
      </x:c>
      <x:c r="J557" s="86" t="n">
        <x:v>2</x:v>
      </x:c>
      <x:c r="K557" s="87" t="n">
        <x:v>0.1</x:v>
      </x:c>
      <x:c r="L557" s="84" t="str">
        <x:v>completed</x:v>
      </x:c>
      <x:c r="M557" s="84" t="str">
        <x:v>Credit Card </x:v>
      </x:c>
      <x:c r="N557" s="84" t="str">
        <x:v>Liam Parker</x:v>
      </x:c>
      <x:c r="O557" s="85" t="n">
        <x:v>45502</x:v>
      </x:c>
      <x:c r="P557" s="84" t="str">
        <x:v>WEB_2024_07</x:v>
      </x:c>
      <x:c r="Q557" s="84" t="str">
        <x:v>Air Fryer</x:v>
      </x:c>
      <x:c r="R557" s="84" t="str">
        <x:v>Home &amp; Kitchen</x:v>
      </x:c>
    </x:row>
    <x:row r="558">
      <x:c r="A558" s="84" t="str">
        <x:v>ORD-2024-02183</x:v>
      </x:c>
      <x:c r="B558" s="85" t="n">
        <x:v>45496</x:v>
      </x:c>
      <x:c r="C558" s="84" t="str">
        <x:v>CUST-0579</x:v>
      </x:c>
      <x:c r="D558" s="84" t="str">
        <x:v>Sara Garcia</x:v>
      </x:c>
      <x:c r="E558" s="84" t="str">
        <x:v>Consumer</x:v>
      </x:c>
      <x:c r="F558" s="84" t="str">
        <x:v>West</x:v>
      </x:c>
      <x:c r="G558" s="84" t="str">
        <x:v>Phoenix</x:v>
      </x:c>
      <x:c r="H558" s="84" t="str">
        <x:v>Retail Store</x:v>
      </x:c>
      <x:c r="I558" s="84" t="str">
        <x:v>OFFC-004</x:v>
      </x:c>
      <x:c r="J558" s="86" t="n">
        <x:v>4</x:v>
      </x:c>
      <x:c r="K558" s="87" t="n">
        <x:v>0.05</x:v>
      </x:c>
      <x:c r="L558" s="84" t="str">
        <x:v>Completed </x:v>
      </x:c>
      <x:c r="M558" s="84" t="str">
        <x:v>Cash</x:v>
      </x:c>
      <x:c r="N558" s="84" t="str">
        <x:v>Mia Chen</x:v>
      </x:c>
      <x:c r="O558" s="85" t="n">
        <x:v>45497</x:v>
      </x:c>
      <x:c r="P558" s="84" t="str">
        <x:v>POS_2024_07</x:v>
      </x:c>
      <x:c r="Q558" s="84" t="str">
        <x:v>Premium Notebook Pack</x:v>
      </x:c>
      <x:c r="R558" s="84" t="str">
        <x:v>Office</x:v>
      </x:c>
    </x:row>
    <x:row r="559">
      <x:c r="A559" s="84" t="str">
        <x:v>ORD-2024-00648</x:v>
      </x:c>
      <x:c r="B559" s="85" t="n">
        <x:v>45498</x:v>
      </x:c>
      <x:c r="C559" s="84" t="str">
        <x:v>CUST-0312</x:v>
      </x:c>
      <x:c r="D559" s="84" t="str">
        <x:v>Theo Carter</x:v>
      </x:c>
      <x:c r="E559" s="84" t="str">
        <x:v>Small Business</x:v>
      </x:c>
      <x:c r="F559" s="84" t="str">
        <x:v>Southeast </x:v>
      </x:c>
      <x:c r="G559" s="84" t="str">
        <x:v>Atlanta</x:v>
      </x:c>
      <x:c r="H559" s="84" t="str">
        <x:v>Retail Store</x:v>
      </x:c>
      <x:c r="I559" s="84" t="str">
        <x:v>FITN-004</x:v>
      </x:c>
      <x:c r="J559" s="86" t="n">
        <x:v>1</x:v>
      </x:c>
      <x:c r="K559" s="87" t="n">
        <x:v>0.05</x:v>
      </x:c>
      <x:c r="L559" s="84" t="str">
        <x:v>Completed</x:v>
      </x:c>
      <x:c r="M559" s="84" t="str">
        <x:v>credit card</x:v>
      </x:c>
      <x:c r="N559" s="84" t="str">
        <x:v>Liam Parker </x:v>
      </x:c>
      <x:c r="O559" s="85" t="n">
        <x:v>45498</x:v>
      </x:c>
      <x:c r="P559" s="84" t="str">
        <x:v>POS_2024_07</x:v>
      </x:c>
      <x:c r="Q559" s="84" t="str">
        <x:v>Fitness Tracker</x:v>
      </x:c>
      <x:c r="R559" s="84" t="str">
        <x:v>Fitness</x:v>
      </x:c>
    </x:row>
    <x:row r="560">
      <x:c r="A560" s="84" t="str">
        <x:v>ORD-2024-00763</x:v>
      </x:c>
      <x:c r="B560" s="85" t="n">
        <x:v>45498</x:v>
      </x:c>
      <x:c r="C560" s="84" t="str">
        <x:v>CUST-0307</x:v>
      </x:c>
      <x:c r="D560" s="84" t="str">
        <x:v>Theo Patel</x:v>
      </x:c>
      <x:c r="E560" s="84" t="str">
        <x:v>Consumer </x:v>
      </x:c>
      <x:c r="F560" s="84" t="str">
        <x:v>Midwest</x:v>
      </x:c>
      <x:c r="G560" s="84" t="str">
        <x:v>chicago</x:v>
      </x:c>
      <x:c r="H560" s="84" t="str">
        <x:v>Online</x:v>
      </x:c>
      <x:c r="I560" s="84" t="str">
        <x:v>ELEC-006</x:v>
      </x:c>
      <x:c r="J560" s="86" t="n">
        <x:v>2</x:v>
      </x:c>
      <x:c r="K560" s="87" t="n">
        <x:v>0.05</x:v>
      </x:c>
      <x:c r="L560" s="84" t="str">
        <x:v>completed</x:v>
      </x:c>
      <x:c r="M560" s="84" t="str">
        <x:v>Credit Card</x:v>
      </x:c>
      <x:c r="N560" s="84" t="str">
        <x:v>Zoe Turner</x:v>
      </x:c>
      <x:c r="O560" s="85" t="n">
        <x:v>45503</x:v>
      </x:c>
      <x:c r="P560" s="84" t="str">
        <x:v>WEB_2024_07</x:v>
      </x:c>
      <x:c r="Q560" s="84" t="str">
        <x:v>Portable SSD</x:v>
      </x:c>
      <x:c r="R560" s="84" t="str">
        <x:v> ELECTRONICS </x:v>
      </x:c>
    </x:row>
    <x:row r="561">
      <x:c r="A561" s="84" t="str">
        <x:v>ORD-2024-02399</x:v>
      </x:c>
      <x:c r="B561" s="85" t="n">
        <x:v>45498</x:v>
      </x:c>
      <x:c r="C561" s="84" t="str">
        <x:v>CUST-0270</x:v>
      </x:c>
      <x:c r="D561" s="84" t="str">
        <x:v>Victoria Nelson </x:v>
      </x:c>
      <x:c r="E561" s="84" t="str">
        <x:v>Consumer</x:v>
      </x:c>
      <x:c r="F561" s="84" t="str">
        <x:v>Northeast</x:v>
      </x:c>
      <x:c r="G561" s="84" t="str">
        <x:v>Newark</x:v>
      </x:c>
      <x:c r="H561" s="84" t="str">
        <x:v>Retail Store</x:v>
      </x:c>
      <x:c r="I561" s="84" t="str">
        <x:v>ACCS-006</x:v>
      </x:c>
      <x:c r="J561" s="86" t="n">
        <x:v>4</x:v>
      </x:c>
      <x:c r="K561" s="87" t="n">
        <x:v>0.2</x:v>
      </x:c>
      <x:c r="L561" s="84" t="str">
        <x:v>Completed</x:v>
      </x:c>
      <x:c r="M561" s="84" t="str">
        <x:v>Credit Card </x:v>
      </x:c>
      <x:c r="N561" s="84" t="str">
        <x:v>Ethan Cole</x:v>
      </x:c>
      <x:c r="O561" s="85" t="n">
        <x:v>45498</x:v>
      </x:c>
      <x:c r="P561" s="84" t="str">
        <x:v>POS_2024_07</x:v>
      </x:c>
      <x:c r="Q561" s="84" t="str">
        <x:v>Insulated Lunch Bag</x:v>
      </x:c>
      <x:c r="R561" s="84" t="str">
        <x:v>Accessories</x:v>
      </x:c>
    </x:row>
    <x:row r="562">
      <x:c r="A562" s="84" t="str">
        <x:v>ORD-2024-02297</x:v>
      </x:c>
      <x:c r="B562" s="85" t="n">
        <x:v>45500</x:v>
      </x:c>
      <x:c r="C562" s="84" t="str">
        <x:v>CUST-0502</x:v>
      </x:c>
      <x:c r="D562" s="84" t="str">
        <x:v>Owen Lewis</x:v>
      </x:c>
      <x:c r="E562" s="84" t="str">
        <x:v>Consumer</x:v>
      </x:c>
      <x:c r="F562" s="84" t="str">
        <x:v>Midwest</x:v>
      </x:c>
      <x:c r="G562" s="84" t="str">
        <x:v>Detroit</x:v>
      </x:c>
      <x:c r="H562" s="84" t="str">
        <x:v>Online</x:v>
      </x:c>
      <x:c r="I562" s="84" t="str">
        <x:v>HOME-004</x:v>
      </x:c>
      <x:c r="J562" s="86" t="n">
        <x:v>1</x:v>
      </x:c>
      <x:c r="K562" s="87" t="n">
        <x:v>0</x:v>
      </x:c>
      <x:c r="L562" s="84" t="str">
        <x:v>Completed</x:v>
      </x:c>
      <x:c r="M562" s="84" t="str">
        <x:v>Debit Card</x:v>
      </x:c>
      <x:c r="N562" s="84" t="str">
        <x:v>Zoe Turner</x:v>
      </x:c>
      <x:c r="O562" s="85" t="n">
        <x:v>45502</x:v>
      </x:c>
      <x:c r="P562" s="84" t="str">
        <x:v>WEB_2024_07</x:v>
      </x:c>
      <x:c r="Q562" s="84" t="str">
        <x:v>coffee maker</x:v>
      </x:c>
      <x:c r="R562" s="84" t="str">
        <x:v>Home &amp; Kitchen</x:v>
      </x:c>
    </x:row>
    <x:row r="563">
      <x:c r="A563" s="84" t="str">
        <x:v>ORD-2024-01367</x:v>
      </x:c>
      <x:c r="B563" s="85" t="n">
        <x:v>45501</x:v>
      </x:c>
      <x:c r="C563" s="84" t="str">
        <x:v>CUST-0041</x:v>
      </x:c>
      <x:c r="D563" s="84" t="str">
        <x:v>Isaac Evans</x:v>
      </x:c>
      <x:c r="E563" s="84" t="str">
        <x:v>Consumer</x:v>
      </x:c>
      <x:c r="F563" s="84" t="str">
        <x:v>Midwest</x:v>
      </x:c>
      <x:c r="G563" s="84" t="str">
        <x:v>Detroit</x:v>
      </x:c>
      <x:c r="H563" s="84" t="str">
        <x:v>Marketplace</x:v>
      </x:c>
      <x:c r="I563" s="84" t="str">
        <x:v>FITN-004</x:v>
      </x:c>
      <x:c r="J563" s="86" t="n">
        <x:v>3</x:v>
      </x:c>
      <x:c r="K563" s="87" t="n">
        <x:v>0.1</x:v>
      </x:c>
      <x:c r="L563" s="84" t="str">
        <x:v>Completed</x:v>
      </x:c>
      <x:c r="M563" s="84" t="str">
        <x:v>Debit Card</x:v>
      </x:c>
      <x:c r="N563" s="84" t="str">
        <x:v>Lucas Grant</x:v>
      </x:c>
      <x:c r="O563" s="85" t="n">
        <x:v>45507</x:v>
      </x:c>
      <x:c r="P563" s="84" t="str">
        <x:v>MKT_2024_07</x:v>
      </x:c>
      <x:c r="Q563" s="84" t="str">
        <x:v>Fitness Tracker</x:v>
      </x:c>
      <x:c r="R563" s="84" t="str">
        <x:v>fitness</x:v>
      </x:c>
    </x:row>
    <x:row r="564">
      <x:c r="A564" s="84" t="str">
        <x:v>ORD-2024-02107</x:v>
      </x:c>
      <x:c r="B564" s="85" t="n">
        <x:v>45501</x:v>
      </x:c>
      <x:c r="C564" s="84" t="str">
        <x:v>CUST-0212</x:v>
      </x:c>
      <x:c r="D564" s="84" t="str">
        <x:v>Theo Walker</x:v>
      </x:c>
      <x:c r="E564" s="84" t="str">
        <x:v>Corporate </x:v>
      </x:c>
      <x:c r="F564" s="84" t="str">
        <x:v>Midwest</x:v>
      </x:c>
      <x:c r="G564" s="84" t="str">
        <x:v>Columbus </x:v>
      </x:c>
      <x:c r="H564" s="84" t="str">
        <x:v>Retail Store</x:v>
      </x:c>
      <x:c r="I564" s="84" t="str">
        <x:v>HOME-001</x:v>
      </x:c>
      <x:c r="J564" s="86" t="n">
        <x:v>5</x:v>
      </x:c>
      <x:c r="K564" s="87" t="n">
        <x:v>0</x:v>
      </x:c>
      <x:c r="L564" s="84" t="str">
        <x:v>Completed</x:v>
      </x:c>
      <x:c r="M564" s="84" t="str">
        <x:v>Debit Card</x:v>
      </x:c>
      <x:c r="N564" s="84" t="str">
        <x:v>Emma Hayes</x:v>
      </x:c>
      <x:c r="O564" s="85" t="n">
        <x:v>45501</x:v>
      </x:c>
      <x:c r="P564" s="84" t="str">
        <x:v>POS_2024_07</x:v>
      </x:c>
      <x:c r="Q564" s="84" t="str">
        <x:v>Air Fryer</x:v>
      </x:c>
      <x:c r="R564" s="84" t="str">
        <x:v>Home &amp; Kitchen</x:v>
      </x:c>
    </x:row>
    <x:row r="565">
      <x:c r="A565" s="84" t="str">
        <x:v>ORD-2024-02107</x:v>
      </x:c>
      <x:c r="B565" s="85" t="n">
        <x:v>45501</x:v>
      </x:c>
      <x:c r="C565" s="84" t="str">
        <x:v>CUST-0212</x:v>
      </x:c>
      <x:c r="D565" s="84" t="str">
        <x:v>Theo Walker</x:v>
      </x:c>
      <x:c r="E565" s="84" t="str">
        <x:v>Corporate </x:v>
      </x:c>
      <x:c r="F565" s="84" t="str">
        <x:v>Midwest</x:v>
      </x:c>
      <x:c r="G565" s="84" t="str">
        <x:v>Columbus </x:v>
      </x:c>
      <x:c r="H565" s="84" t="str">
        <x:v>Retail Store</x:v>
      </x:c>
      <x:c r="I565" s="84" t="str">
        <x:v>HOME-001</x:v>
      </x:c>
      <x:c r="J565" s="86" t="n">
        <x:v>5</x:v>
      </x:c>
      <x:c r="K565" s="87" t="n">
        <x:v>0</x:v>
      </x:c>
      <x:c r="L565" s="84" t="str">
        <x:v>Completed</x:v>
      </x:c>
      <x:c r="M565" s="84" t="str">
        <x:v>Debit Card</x:v>
      </x:c>
      <x:c r="N565" s="84" t="str">
        <x:v>Emma Hayes</x:v>
      </x:c>
      <x:c r="O565" s="85" t="n">
        <x:v>45501</x:v>
      </x:c>
      <x:c r="P565" s="84" t="str">
        <x:v>RELOAD_POS_2024_07</x:v>
      </x:c>
      <x:c r="Q565" s="84" t="str">
        <x:v>Air Fryer</x:v>
      </x:c>
      <x:c r="R565" s="84" t="str">
        <x:v>Home &amp; Kitchen</x:v>
      </x:c>
    </x:row>
    <x:row r="566">
      <x:c r="A566" s="84" t="str">
        <x:v>ORD-2024-00227</x:v>
      </x:c>
      <x:c r="B566" s="85" t="n">
        <x:v>45502</x:v>
      </x:c>
      <x:c r="C566" s="84" t="str">
        <x:v>CUST-0104</x:v>
      </x:c>
      <x:c r="D566" s="84" t="str">
        <x:v>isaac nelson</x:v>
      </x:c>
      <x:c r="E566" s="84" t="str">
        <x:v>Consumer</x:v>
      </x:c>
      <x:c r="F566" s="84" t="str">
        <x:v>Northeast</x:v>
      </x:c>
      <x:c r="G566" s="84" t="str">
        <x:v>Boston</x:v>
      </x:c>
      <x:c r="H566" s="84" t="str">
        <x:v> MARKETPLACE </x:v>
      </x:c>
      <x:c r="I566" s="84" t="str">
        <x:v>OFFC-002</x:v>
      </x:c>
      <x:c r="J566" s="86" t="n">
        <x:v>2</x:v>
      </x:c>
      <x:c r="K566" s="87" t="n">
        <x:v>0.1</x:v>
      </x:c>
      <x:c r="L566" s="84" t="str">
        <x:v>Completed</x:v>
      </x:c>
      <x:c r="M566" s="84" t="str">
        <x:v>Credit Card</x:v>
      </x:c>
      <x:c r="N566" s="84" t="str">
        <x:v>Ethan Cole</x:v>
      </x:c>
      <x:c r="O566" s="85" t="n">
        <x:v>45505</x:v>
      </x:c>
      <x:c r="P566" s="84" t="str">
        <x:v>MKT_2024_07</x:v>
      </x:c>
      <x:c r="Q566" s="84" t="str">
        <x:v>Standing Desk</x:v>
      </x:c>
      <x:c r="R566" s="84" t="str">
        <x:v>Office</x:v>
      </x:c>
    </x:row>
    <x:row r="567">
      <x:c r="A567" s="84" t="str">
        <x:v>ORD-2024-00304</x:v>
      </x:c>
      <x:c r="B567" s="85" t="n">
        <x:v>45502</x:v>
      </x:c>
      <x:c r="C567" s="84" t="str">
        <x:v>CUST-0183</x:v>
      </x:c>
      <x:c r="D567" s="84" t="str">
        <x:v>jasmine taylor</x:v>
      </x:c>
      <x:c r="E567" s="84" t="str">
        <x:v>Corporate</x:v>
      </x:c>
      <x:c r="F567" s="84" t="str">
        <x:v>West</x:v>
      </x:c>
      <x:c r="G567" s="84" t="str">
        <x:v>Denver</x:v>
      </x:c>
      <x:c r="H567" s="84" t="str">
        <x:v>Online </x:v>
      </x:c>
      <x:c r="I567" s="84" t="str">
        <x:v>OFFC-001</x:v>
      </x:c>
      <x:c r="J567" s="86" t="n">
        <x:v>2</x:v>
      </x:c>
      <x:c r="K567" s="87" t="n">
        <x:v>0</x:v>
      </x:c>
      <x:c r="L567" s="84" t="str">
        <x:v>Completed</x:v>
      </x:c>
      <x:c r="M567" s="84" t="str">
        <x:v>PayPal</x:v>
      </x:c>
      <x:c r="N567" s="84" t="str">
        <x:v>Nora Kim</x:v>
      </x:c>
      <x:c r="O567" s="85" t="n">
        <x:v>45506</x:v>
      </x:c>
      <x:c r="P567" s="84" t="str">
        <x:v>WEB_2024_07</x:v>
      </x:c>
      <x:c r="Q567" s="84" t="str">
        <x:v>Ergonomic Chair</x:v>
      </x:c>
      <x:c r="R567" s="84" t="str">
        <x:v> OFFICE </x:v>
      </x:c>
    </x:row>
    <x:row r="568">
      <x:c r="A568" s="84" t="str">
        <x:v>ORD-2024-01735</x:v>
      </x:c>
      <x:c r="B568" s="85" t="n">
        <x:v>45502</x:v>
      </x:c>
      <x:c r="C568" s="84" t="str">
        <x:v>CUST-0633</x:v>
      </x:c>
      <x:c r="D568" s="84" t="str">
        <x:v>Jonah Taylor</x:v>
      </x:c>
      <x:c r="E568" s="84" t="str">
        <x:v>Consumer</x:v>
      </x:c>
      <x:c r="F568" s="84" t="str">
        <x:v>west</x:v>
      </x:c>
      <x:c r="G568" s="84" t="str">
        <x:v>Phoenix</x:v>
      </x:c>
      <x:c r="H568" s="84" t="str">
        <x:v>Marketplace</x:v>
      </x:c>
      <x:c r="I568" s="84" t="str">
        <x:v>ELEC-005</x:v>
      </x:c>
      <x:c r="J568" s="86" t="n">
        <x:v>1</x:v>
      </x:c>
      <x:c r="K568" s="87" t="n">
        <x:v>0.1</x:v>
      </x:c>
      <x:c r="L568" s="84" t="str">
        <x:v>Completed </x:v>
      </x:c>
      <x:c r="M568" s="84" t="str">
        <x:v>Credit Card</x:v>
      </x:c>
      <x:c r="N568" s="84" t="str">
        <x:v>Mia Chen</x:v>
      </x:c>
      <x:c r="O568" s="85" t="n">
        <x:v>45506</x:v>
      </x:c>
      <x:c r="P568" s="84" t="str">
        <x:v>MKT_2024_07</x:v>
      </x:c>
      <x:c r="Q568" s="84" t="str">
        <x:v>HD Webcam</x:v>
      </x:c>
      <x:c r="R568" s="84" t="str">
        <x:v>Electronics</x:v>
      </x:c>
    </x:row>
    <x:row r="569">
      <x:c r="A569" s="84" t="str">
        <x:v>ORD-2024-01880</x:v>
      </x:c>
      <x:c r="B569" s="85" t="n">
        <x:v>45502</x:v>
      </x:c>
      <x:c r="C569" s="84" t="str">
        <x:v>CUST-0213</x:v>
      </x:c>
      <x:c r="D569" s="84" t="str">
        <x:v>Caleb Foster</x:v>
      </x:c>
      <x:c r="E569" s="84" t="str">
        <x:v>Corporate</x:v>
      </x:c>
      <x:c r="F569" s="84" t="str">
        <x:v>Midwest </x:v>
      </x:c>
      <x:c r="G569" s="84" t="str">
        <x:v> CHICAGO </x:v>
      </x:c>
      <x:c r="H569" s="84" t="str">
        <x:v>Retail Store</x:v>
      </x:c>
      <x:c r="I569" s="84" t="str">
        <x:v>ACCS-002</x:v>
      </x:c>
      <x:c r="J569" s="86" t="n">
        <x:v>2</x:v>
      </x:c>
      <x:c r="K569" s="87" t="n">
        <x:v>0.1</x:v>
      </x:c>
      <x:c r="L569" s="84" t="str">
        <x:v>Completed</x:v>
      </x:c>
      <x:c r="M569" s="84" t="str">
        <x:v>mobile wallet</x:v>
      </x:c>
      <x:c r="N569" s="84" t="str">
        <x:v>Lucas Grant </x:v>
      </x:c>
      <x:c r="O569" s="85" t="n">
        <x:v>45503</x:v>
      </x:c>
      <x:c r="P569" s="84" t="str">
        <x:v>POS_2024_07</x:v>
      </x:c>
      <x:c r="Q569" s="84" t="str">
        <x:v>Travel Backpack</x:v>
      </x:c>
      <x:c r="R569" s="84" t="str">
        <x:v>Accessories</x:v>
      </x:c>
    </x:row>
    <x:row r="570">
      <x:c r="A570" s="84" t="str">
        <x:v>ORD-2024-00850</x:v>
      </x:c>
      <x:c r="B570" s="85" t="n">
        <x:v>45504</x:v>
      </x:c>
      <x:c r="C570" s="84" t="str">
        <x:v>CUST-0226</x:v>
      </x:c>
      <x:c r="D570" s="84" t="str">
        <x:v>Samuel Patel</x:v>
      </x:c>
      <x:c r="E570" s="84" t="str">
        <x:v> CONSUMER </x:v>
      </x:c>
      <x:c r="F570" s="84" t="str">
        <x:v>Midwest</x:v>
      </x:c>
      <x:c r="G570" s="84" t="str">
        <x:v>Minneapolis</x:v>
      </x:c>
      <x:c r="H570" s="84" t="str">
        <x:v>Retail Store </x:v>
      </x:c>
      <x:c r="I570" s="84" t="str">
        <x:v>CARE-001</x:v>
      </x:c>
      <x:c r="J570" s="86" t="n">
        <x:v>1</x:v>
      </x:c>
      <x:c r="K570" s="87" t="n">
        <x:v>0.1</x:v>
      </x:c>
      <x:c r="L570" s="84" t="str">
        <x:v>Completed</x:v>
      </x:c>
      <x:c r="M570" s="84" t="str">
        <x:v>Credit Card</x:v>
      </x:c>
      <x:c r="N570" s="84" t="str">
        <x:v>Lucas Grant</x:v>
      </x:c>
      <x:c r="O570" s="85" t="n">
        <x:v>45504</x:v>
      </x:c>
      <x:c r="P570" s="84" t="str">
        <x:v>POS_2024_07</x:v>
      </x:c>
      <x:c r="Q570" s="84" t="str">
        <x:v>Ionic Hair Dryer</x:v>
      </x:c>
      <x:c r="R570" s="84" t="str">
        <x:v>personal care</x:v>
      </x:c>
    </x:row>
    <x:row r="571">
      <x:c r="A571" s="84" t="str">
        <x:v>ORD-2024-01919</x:v>
      </x:c>
      <x:c r="B571" s="85" t="n">
        <x:v>45504</x:v>
      </x:c>
      <x:c r="C571" s="84" t="str">
        <x:v>CUST-0417</x:v>
      </x:c>
      <x:c r="D571" s="84" t="str">
        <x:v>Amelia Evans</x:v>
      </x:c>
      <x:c r="E571" s="84" t="str">
        <x:v>Consumer</x:v>
      </x:c>
      <x:c r="F571" s="84" t="str">
        <x:v>Northeast</x:v>
      </x:c>
      <x:c r="G571" s="84" t="str">
        <x:v>Boston</x:v>
      </x:c>
      <x:c r="H571" s="84" t="str">
        <x:v>Marketplace</x:v>
      </x:c>
      <x:c r="I571" s="84" t="str">
        <x:v>CARE-001</x:v>
      </x:c>
      <x:c r="J571" s="86" t="n">
        <x:v>1</x:v>
      </x:c>
      <x:c r="K571" s="87" t="n">
        <x:v>0.1</x:v>
      </x:c>
      <x:c r="L571" s="84" t="str">
        <x:v>Returned</x:v>
      </x:c>
      <x:c r="M571" s="84" t="str">
        <x:v>Credit Card</x:v>
      </x:c>
      <x:c r="N571" s="84" t="str">
        <x:v>Ethan Cole</x:v>
      </x:c>
      <x:c r="O571" s="85" t="n">
        <x:v>45510</x:v>
      </x:c>
      <x:c r="P571" s="84" t="str">
        <x:v>MKT_2024_07</x:v>
      </x:c>
      <x:c r="Q571" s="84" t="str">
        <x:v>Ionic Hair Dryer </x:v>
      </x:c>
      <x:c r="R571" s="84" t="str">
        <x:v> PERSONAL CARE </x:v>
      </x:c>
    </x:row>
    <x:row r="572">
      <x:c r="A572" s="84" t="str">
        <x:v>ORD-2024-02176</x:v>
      </x:c>
      <x:c r="B572" s="85" t="n">
        <x:v>45504</x:v>
      </x:c>
      <x:c r="C572" s="84" t="str">
        <x:v>CUST-0481</x:v>
      </x:c>
      <x:c r="D572" s="84" t="str">
        <x:v>Marcus Hall</x:v>
      </x:c>
      <x:c r="E572" s="84" t="str">
        <x:v> SMALL BUSINESS </x:v>
      </x:c>
      <x:c r="F572" s="84" t="str">
        <x:v>Northeast</x:v>
      </x:c>
      <x:c r="G572" s="84" t="str">
        <x:v>Newark</x:v>
      </x:c>
      <x:c r="H572" s="84" t="str">
        <x:v>Online</x:v>
      </x:c>
      <x:c r="I572" s="84" t="str">
        <x:v>ELEC-002</x:v>
      </x:c>
      <x:c r="J572" s="86" t="n">
        <x:v>2</x:v>
      </x:c>
      <x:c r="K572" s="87" t="n">
        <x:v>0.05</x:v>
      </x:c>
      <x:c r="L572" s="84" t="str">
        <x:v>Completed </x:v>
      </x:c>
      <x:c r="M572" s="84" t="str">
        <x:v>Credit Card</x:v>
      </x:c>
      <x:c r="N572" s="84" t="str">
        <x:v>Ethan Cole</x:v>
      </x:c>
      <x:c r="O572" s="85" t="n">
        <x:v>45509</x:v>
      </x:c>
      <x:c r="P572" s="84" t="str">
        <x:v>WEB_2024_07</x:v>
      </x:c>
      <x:c r="Q572" s="84" t="str">
        <x:v>smartwatch</x:v>
      </x:c>
      <x:c r="R572" s="84" t="str">
        <x:v>Electronics</x:v>
      </x:c>
    </x:row>
    <x:row r="573">
      <x:c r="A573" s="84" t="str">
        <x:v>ORD-2024-00336</x:v>
      </x:c>
      <x:c r="B573" s="85" t="n">
        <x:v>45505</x:v>
      </x:c>
      <x:c r="C573" s="84" t="str">
        <x:v>CUST-0308</x:v>
      </x:c>
      <x:c r="D573" s="84" t="str">
        <x:v>Nathan Irwin</x:v>
      </x:c>
      <x:c r="E573" s="84" t="str">
        <x:v>Consumer </x:v>
      </x:c>
      <x:c r="F573" s="84" t="str">
        <x:v>West</x:v>
      </x:c>
      <x:c r="G573" s="84" t="str">
        <x:v>Denver </x:v>
      </x:c>
      <x:c r="H573" s="84" t="str">
        <x:v>Marketplace</x:v>
      </x:c>
      <x:c r="I573" s="84" t="str">
        <x:v>FITN-002</x:v>
      </x:c>
      <x:c r="J573" s="86" t="n">
        <x:v>1</x:v>
      </x:c>
      <x:c r="K573" s="87" t="n">
        <x:v>0</x:v>
      </x:c>
      <x:c r="L573" s="84" t="str">
        <x:v>Completed</x:v>
      </x:c>
      <x:c r="M573" s="84" t="str">
        <x:v>PayPal</x:v>
      </x:c>
      <x:c r="N573" s="84" t="str">
        <x:v>Nora Kim</x:v>
      </x:c>
      <x:c r="O573" s="85" t="n">
        <x:v>45513</x:v>
      </x:c>
      <x:c r="P573" s="84" t="str">
        <x:v>MKT_2024_08</x:v>
      </x:c>
      <x:c r="Q573" s="84" t="str">
        <x:v>Adjustable Dumbbell Set</x:v>
      </x:c>
      <x:c r="R573" s="84" t="str">
        <x:v>Fitness</x:v>
      </x:c>
    </x:row>
    <x:row r="574">
      <x:c r="A574" s="84" t="str">
        <x:v>ORD-2024-00931</x:v>
      </x:c>
      <x:c r="B574" s="85" t="n">
        <x:v>45505</x:v>
      </x:c>
      <x:c r="C574" s="84" t="str">
        <x:v>CUST-0489</x:v>
      </x:c>
      <x:c r="D574" s="84" t="str">
        <x:v>william quinn</x:v>
      </x:c>
      <x:c r="E574" s="84" t="str">
        <x:v>Consumer </x:v>
      </x:c>
      <x:c r="F574" s="84" t="str">
        <x:v>West</x:v>
      </x:c>
      <x:c r="G574" s="84" t="str">
        <x:v>Los Angeles </x:v>
      </x:c>
      <x:c r="H574" s="84" t="str">
        <x:v>Marketplace</x:v>
      </x:c>
      <x:c r="I574" s="84" t="str">
        <x:v>ELEC-002</x:v>
      </x:c>
      <x:c r="J574" s="86" t="n">
        <x:v>2</x:v>
      </x:c>
      <x:c r="K574" s="87" t="n">
        <x:v>0</x:v>
      </x:c>
      <x:c r="L574" s="84" t="str">
        <x:v>Completed</x:v>
      </x:c>
      <x:c r="M574" s="84" t="str">
        <x:v>PayPal</x:v>
      </x:c>
      <x:c r="N574" s="84" t="str">
        <x:v>Mia Chen</x:v>
      </x:c>
      <x:c r="O574" s="85" t="n">
        <x:v>45509</x:v>
      </x:c>
      <x:c r="P574" s="84" t="str">
        <x:v>MKT_2024_08</x:v>
      </x:c>
      <x:c r="Q574" s="84" t="str">
        <x:v>Smartwatch</x:v>
      </x:c>
      <x:c r="R574" s="84" t="str">
        <x:v>Electronics</x:v>
      </x:c>
    </x:row>
    <x:row r="575">
      <x:c r="A575" s="84" t="str">
        <x:v>ORD-2024-01369</x:v>
      </x:c>
      <x:c r="B575" s="85" t="n">
        <x:v>45505</x:v>
      </x:c>
      <x:c r="C575" s="84" t="str">
        <x:v>CUST-0581</x:v>
      </x:c>
      <x:c r="D575" s="84" t="str">
        <x:v>Grace Lewis</x:v>
      </x:c>
      <x:c r="E575" s="84" t="str">
        <x:v>Consumer</x:v>
      </x:c>
      <x:c r="F575" s="84" t="str">
        <x:v>West </x:v>
      </x:c>
      <x:c r="G575" s="84" t="str">
        <x:v>Phoenix</x:v>
      </x:c>
      <x:c r="H575" s="84" t="str">
        <x:v>Online</x:v>
      </x:c>
      <x:c r="I575" s="84" t="str">
        <x:v>ACCS-002</x:v>
      </x:c>
      <x:c r="J575" s="86" t="n">
        <x:v>3</x:v>
      </x:c>
      <x:c r="K575" s="87" t="n">
        <x:v>0.15</x:v>
      </x:c>
      <x:c r="L575" s="84" t="str">
        <x:v>Completed</x:v>
      </x:c>
      <x:c r="M575" s="84" t="str">
        <x:v>Debit Card</x:v>
      </x:c>
      <x:c r="N575" s="84" t="str">
        <x:v>Nora Kim </x:v>
      </x:c>
      <x:c r="O575" s="85" t="n">
        <x:v>45511</x:v>
      </x:c>
      <x:c r="P575" s="84" t="str">
        <x:v>WEB_2024_08</x:v>
      </x:c>
      <x:c r="Q575" s="84" t="str">
        <x:v>Travel Backpack</x:v>
      </x:c>
      <x:c r="R575" s="84" t="str">
        <x:v>Accessories</x:v>
      </x:c>
    </x:row>
    <x:row r="576">
      <x:c r="A576" s="84" t="str">
        <x:v>ORD-2024-00469</x:v>
      </x:c>
      <x:c r="B576" s="85" t="n">
        <x:v>45506</x:v>
      </x:c>
      <x:c r="C576" s="84" t="str">
        <x:v>CUST-0097</x:v>
      </x:c>
      <x:c r="D576" s="84" t="str">
        <x:v>sara ortiz</x:v>
      </x:c>
      <x:c r="E576" s="84" t="str">
        <x:v>Corporate </x:v>
      </x:c>
      <x:c r="F576" s="84" t="str">
        <x:v>Northeast</x:v>
      </x:c>
      <x:c r="G576" s="84" t="str">
        <x:v> NEW YORK </x:v>
      </x:c>
      <x:c r="H576" s="84" t="str">
        <x:v>Online</x:v>
      </x:c>
      <x:c r="I576" s="84" t="str">
        <x:v>HOME-006</x:v>
      </x:c>
      <x:c r="J576" s="86" t="n">
        <x:v>2</x:v>
      </x:c>
      <x:c r="K576" s="87" t="n">
        <x:v>0.1</x:v>
      </x:c>
      <x:c r="L576" s="84" t="str">
        <x:v>Completed</x:v>
      </x:c>
      <x:c r="M576" s="84" t="str">
        <x:v>Credit Card</x:v>
      </x:c>
      <x:c r="N576" s="84" t="str">
        <x:v>Sofia Bennett</x:v>
      </x:c>
      <x:c r="O576" s="85" t="n">
        <x:v>45510</x:v>
      </x:c>
      <x:c r="P576" s="84" t="str">
        <x:v>WEB_2024_08</x:v>
      </x:c>
      <x:c r="Q576" s="84" t="str">
        <x:v>Food Storage Set</x:v>
      </x:c>
      <x:c r="R576" s="84" t="str">
        <x:v>Home &amp; Kitchen</x:v>
      </x:c>
    </x:row>
    <x:row r="577">
      <x:c r="A577" s="84" t="str">
        <x:v>ORD-2024-01303</x:v>
      </x:c>
      <x:c r="B577" s="85" t="n">
        <x:v>45506</x:v>
      </x:c>
      <x:c r="C577" s="84" t="str">
        <x:v>CUST-0451</x:v>
      </x:c>
      <x:c r="D577" s="84" t="str">
        <x:v>Theo Roberts</x:v>
      </x:c>
      <x:c r="E577" s="84" t="str">
        <x:v>Small Business</x:v>
      </x:c>
      <x:c r="F577" s="84" t="str">
        <x:v>West</x:v>
      </x:c>
      <x:c r="G577" s="84" t="str">
        <x:v>Phoenix</x:v>
      </x:c>
      <x:c r="H577" s="84" t="str">
        <x:v>Online</x:v>
      </x:c>
      <x:c r="I577" s="84" t="str">
        <x:v>OFFC-006</x:v>
      </x:c>
      <x:c r="J577" s="86" t="n">
        <x:v>1</x:v>
      </x:c>
      <x:c r="K577" s="87" t="n">
        <x:v>0</x:v>
      </x:c>
      <x:c r="L577" s="84" t="str">
        <x:v>Completed</x:v>
      </x:c>
      <x:c r="M577" s="84" t="str">
        <x:v> CREDIT CARD </x:v>
      </x:c>
      <x:c r="N577" s="84" t="str">
        <x:v>Leo Martinez</x:v>
      </x:c>
      <x:c r="O577" s="85" t="n">
        <x:v>45510</x:v>
      </x:c>
      <x:c r="P577" s="84" t="str">
        <x:v>WEB_2024_08</x:v>
      </x:c>
      <x:c r="Q577" s="84" t="str">
        <x:v>Monitor Stand </x:v>
      </x:c>
      <x:c r="R577" s="84" t="str">
        <x:v>Office</x:v>
      </x:c>
    </x:row>
    <x:row r="578">
      <x:c r="A578" s="84" t="str">
        <x:v>ORD-2024-01522</x:v>
      </x:c>
      <x:c r="B578" s="85" t="n">
        <x:v>45506</x:v>
      </x:c>
      <x:c r="C578" s="84" t="str">
        <x:v>CUST-0531</x:v>
      </x:c>
      <x:c r="D578" s="84" t="str">
        <x:v>Grace Ortiz</x:v>
      </x:c>
      <x:c r="E578" s="84" t="str">
        <x:v>Small Business</x:v>
      </x:c>
      <x:c r="F578" s="84" t="str">
        <x:v>Northeast</x:v>
      </x:c>
      <x:c r="G578" s="84" t="str">
        <x:v>newark</x:v>
      </x:c>
      <x:c r="H578" s="84" t="str">
        <x:v>Retail Store </x:v>
      </x:c>
      <x:c r="I578" s="84" t="str">
        <x:v>FITN-003</x:v>
      </x:c>
      <x:c r="J578" s="86" t="n">
        <x:v>1</x:v>
      </x:c>
      <x:c r="K578" s="87" t="n">
        <x:v>0.1</x:v>
      </x:c>
      <x:c r="L578" s="84" t="str">
        <x:v>completed</x:v>
      </x:c>
      <x:c r="M578" s="84" t="str">
        <x:v>Cash</x:v>
      </x:c>
      <x:c r="N578" s="84" t="str">
        <x:v>Sofia Bennett</x:v>
      </x:c>
      <x:c r="O578" s="85" t="n">
        <x:v>45506</x:v>
      </x:c>
      <x:c r="P578" s="84" t="str">
        <x:v>POS_2024_08</x:v>
      </x:c>
      <x:c r="Q578" s="84" t="str">
        <x:v>Resistance Band Set</x:v>
      </x:c>
      <x:c r="R578" s="84" t="str">
        <x:v>Fitness</x:v>
      </x:c>
    </x:row>
    <x:row r="579">
      <x:c r="A579" s="84" t="str">
        <x:v>ORD-2024-01602</x:v>
      </x:c>
      <x:c r="B579" s="85" t="n">
        <x:v>45506</x:v>
      </x:c>
      <x:c r="C579" s="84" t="str">
        <x:v>CUST-0479</x:v>
      </x:c>
      <x:c r="D579" s="84" t="str">
        <x:v>zara taylor</x:v>
      </x:c>
      <x:c r="E579" s="84" t="str">
        <x:v>Consumer</x:v>
      </x:c>
      <x:c r="F579" s="84" t="str">
        <x:v>West</x:v>
      </x:c>
      <x:c r="G579" s="84" t="str">
        <x:v>Phoenix</x:v>
      </x:c>
      <x:c r="H579" s="84" t="str">
        <x:v>Online</x:v>
      </x:c>
      <x:c r="I579" s="84" t="str">
        <x:v>HOME-002</x:v>
      </x:c>
      <x:c r="J579" s="86" t="n">
        <x:v>3</x:v>
      </x:c>
      <x:c r="K579" s="87" t="n">
        <x:v>0</x:v>
      </x:c>
      <x:c r="L579" s="84" t="str">
        <x:v>Completed </x:v>
      </x:c>
      <x:c r="M579" s="84" t="str">
        <x:v>Credit Card</x:v>
      </x:c>
      <x:c r="N579" s="84" t="str">
        <x:v>Mia Chen</x:v>
      </x:c>
      <x:c r="O579" s="85" t="n">
        <x:v>45512</x:v>
      </x:c>
      <x:c r="P579" s="84" t="str">
        <x:v>WEB_2024_08</x:v>
      </x:c>
      <x:c r="Q579" s="84" t="str">
        <x:v> ELECTRIC KETTLE </x:v>
      </x:c>
      <x:c r="R579" s="84" t="str">
        <x:v>Home &amp; Kitchen</x:v>
      </x:c>
    </x:row>
    <x:row r="580">
      <x:c r="A580" s="84" t="str">
        <x:v>ORD-2024-00629</x:v>
      </x:c>
      <x:c r="B580" s="85" t="n">
        <x:v>45507</x:v>
      </x:c>
      <x:c r="C580" s="84" t="str">
        <x:v>CUST-0373</x:v>
      </x:c>
      <x:c r="D580" s="84" t="str">
        <x:v>Caleb Taylor</x:v>
      </x:c>
      <x:c r="E580" s="84" t="str">
        <x:v> CORPORATE </x:v>
      </x:c>
      <x:c r="F580" s="84" t="str">
        <x:v>Midwest</x:v>
      </x:c>
      <x:c r="G580" s="84" t="str">
        <x:v>Columbus</x:v>
      </x:c>
      <x:c r="H580" s="84" t="str">
        <x:v>Retail Store</x:v>
      </x:c>
      <x:c r="I580" s="84" t="str">
        <x:v>FITN-001</x:v>
      </x:c>
      <x:c r="J580" s="86" t="n">
        <x:v>4</x:v>
      </x:c>
      <x:c r="K580" s="87" t="n">
        <x:v>0.2</x:v>
      </x:c>
      <x:c r="L580" s="84" t="str">
        <x:v>Completed </x:v>
      </x:c>
      <x:c r="M580" s="84" t="str">
        <x:v>Credit Card</x:v>
      </x:c>
      <x:c r="N580" s="84" t="str">
        <x:v>lucas grant</x:v>
      </x:c>
      <x:c r="O580" s="85" t="n">
        <x:v>45507</x:v>
      </x:c>
      <x:c r="P580" s="84" t="str">
        <x:v>POS_2024_08</x:v>
      </x:c>
      <x:c r="Q580" s="84" t="str">
        <x:v>Yoga Mat</x:v>
      </x:c>
      <x:c r="R580" s="84" t="str">
        <x:v>Fitness</x:v>
      </x:c>
    </x:row>
    <x:row r="581">
      <x:c r="A581" s="84" t="str">
        <x:v>ORD-2024-00788</x:v>
      </x:c>
      <x:c r="B581" s="85" t="n">
        <x:v>45507</x:v>
      </x:c>
      <x:c r="C581" s="84" t="str">
        <x:v>CUST-0154</x:v>
      </x:c>
      <x:c r="D581" s="84" t="str">
        <x:v>priya moore</x:v>
      </x:c>
      <x:c r="E581" s="84" t="str">
        <x:v>Consumer</x:v>
      </x:c>
      <x:c r="F581" s="84" t="str">
        <x:v>West </x:v>
      </x:c>
      <x:c r="G581" s="84" t="str">
        <x:v>Denver</x:v>
      </x:c>
      <x:c r="H581" s="84" t="str">
        <x:v> ONLINE </x:v>
      </x:c>
      <x:c r="I581" s="84" t="str">
        <x:v>ELEC-002</x:v>
      </x:c>
      <x:c r="J581" s="86" t="n">
        <x:v>2</x:v>
      </x:c>
      <x:c r="K581" s="87" t="n">
        <x:v>0.1</x:v>
      </x:c>
      <x:c r="L581" s="84" t="str">
        <x:v>Completed</x:v>
      </x:c>
      <x:c r="M581" s="84" t="str">
        <x:v>Mobile Wallet</x:v>
      </x:c>
      <x:c r="N581" s="84" t="str">
        <x:v>Mia Chen </x:v>
      </x:c>
      <x:c r="O581" s="85" t="n">
        <x:v>45513</x:v>
      </x:c>
      <x:c r="P581" s="84" t="str">
        <x:v>WEB_2024_08</x:v>
      </x:c>
      <x:c r="Q581" s="84" t="str">
        <x:v>Smartwatch</x:v>
      </x:c>
      <x:c r="R581" s="84" t="str">
        <x:v>Electronics</x:v>
      </x:c>
    </x:row>
    <x:row r="582">
      <x:c r="A582" s="84" t="str">
        <x:v>ORD-2024-01860</x:v>
      </x:c>
      <x:c r="B582" s="85" t="n">
        <x:v>45507</x:v>
      </x:c>
      <x:c r="C582" s="84" t="str">
        <x:v>CUST-0305</x:v>
      </x:c>
      <x:c r="D582" s="84" t="str">
        <x:v>Theo Young </x:v>
      </x:c>
      <x:c r="E582" s="84" t="str">
        <x:v>Consumer</x:v>
      </x:c>
      <x:c r="F582" s="84" t="str">
        <x:v>Midwest</x:v>
      </x:c>
      <x:c r="G582" s="84" t="str">
        <x:v>Minneapolis</x:v>
      </x:c>
      <x:c r="H582" s="84" t="str">
        <x:v>Online</x:v>
      </x:c>
      <x:c r="I582" s="84" t="str">
        <x:v>ELEC-001</x:v>
      </x:c>
      <x:c r="J582" s="86" t="n">
        <x:v>2</x:v>
      </x:c>
      <x:c r="K582" s="87" t="n">
        <x:v>0.1</x:v>
      </x:c>
      <x:c r="L582" s="84" t="str">
        <x:v>Completed</x:v>
      </x:c>
      <x:c r="M582" s="84" t="str">
        <x:v>Debit Card </x:v>
      </x:c>
      <x:c r="N582" s="84" t="str">
        <x:v>Emma Hayes</x:v>
      </x:c>
      <x:c r="O582" s="85" t="n">
        <x:v>45510</x:v>
      </x:c>
      <x:c r="P582" s="84" t="str">
        <x:v>WEB_2024_08</x:v>
      </x:c>
      <x:c r="Q582" s="84" t="str">
        <x:v>Wireless Earbuds</x:v>
      </x:c>
      <x:c r="R582" s="84" t="str">
        <x:v>Electronics</x:v>
      </x:c>
    </x:row>
    <x:row r="583">
      <x:c r="A583" s="84" t="str">
        <x:v>ORD-2024-01850</x:v>
      </x:c>
      <x:c r="B583" s="85" t="n">
        <x:v>45508</x:v>
      </x:c>
      <x:c r="C583" s="84" t="str">
        <x:v>CUST-0114</x:v>
      </x:c>
      <x:c r="D583" s="84" t="str">
        <x:v> AMELIA SMITH </x:v>
      </x:c>
      <x:c r="E583" s="84" t="str">
        <x:v>Corporate</x:v>
      </x:c>
      <x:c r="F583" s="84" t="str">
        <x:v> MIDWEST </x:v>
      </x:c>
      <x:c r="G583" s="84" t="str">
        <x:v>Minneapolis</x:v>
      </x:c>
      <x:c r="H583" s="84" t="str">
        <x:v>Marketplace</x:v>
      </x:c>
      <x:c r="I583" s="84" t="str">
        <x:v>ACCS-002</x:v>
      </x:c>
      <x:c r="J583" s="86" t="n">
        <x:v>8</x:v>
      </x:c>
      <x:c r="K583" s="87" t="n">
        <x:v>0.1</x:v>
      </x:c>
      <x:c r="L583" s="84" t="str">
        <x:v>Returned</x:v>
      </x:c>
      <x:c r="M583" s="84" t="str">
        <x:v>Mobile Wallet</x:v>
      </x:c>
      <x:c r="N583" s="84" t="str">
        <x:v>emma hayes</x:v>
      </x:c>
      <x:c r="O583" s="85" t="n">
        <x:v>45512</x:v>
      </x:c>
      <x:c r="P583" s="84" t="str">
        <x:v>MKT_2024_08</x:v>
      </x:c>
      <x:c r="Q583" s="84" t="str">
        <x:v>Travel Backpack</x:v>
      </x:c>
      <x:c r="R583" s="84" t="str">
        <x:v>Accessories </x:v>
      </x:c>
    </x:row>
    <x:row r="584">
      <x:c r="A584" s="84" t="str">
        <x:v>ORD-2024-00627</x:v>
      </x:c>
      <x:c r="B584" s="85" t="n">
        <x:v>45509</x:v>
      </x:c>
      <x:c r="C584" s="84" t="str">
        <x:v>CUST-0458</x:v>
      </x:c>
      <x:c r="D584" s="84" t="str">
        <x:v>Samuel Carter</x:v>
      </x:c>
      <x:c r="E584" s="84" t="str">
        <x:v>consumer</x:v>
      </x:c>
      <x:c r="F584" s="84" t="str">
        <x:v>Southeast </x:v>
      </x:c>
      <x:c r="G584" s="84" t="str">
        <x:v>Atlanta</x:v>
      </x:c>
      <x:c r="H584" s="84" t="str">
        <x:v>retail store</x:v>
      </x:c>
      <x:c r="I584" s="84" t="str">
        <x:v>CARE-005</x:v>
      </x:c>
      <x:c r="J584" s="86" t="n">
        <x:v>1</x:v>
      </x:c>
      <x:c r="K584" s="87" t="n">
        <x:v>0.05</x:v>
      </x:c>
      <x:c r="L584" s="84" t="str">
        <x:v>Completed</x:v>
      </x:c>
      <x:c r="M584" s="84" t="str">
        <x:v>Cash</x:v>
      </x:c>
      <x:c r="N584" s="84" t="str">
        <x:v>Liam Parker </x:v>
      </x:c>
      <x:c r="O584" s="85" t="n">
        <x:v>45510</x:v>
      </x:c>
      <x:c r="P584" s="84" t="str">
        <x:v>POS_2024_08</x:v>
      </x:c>
      <x:c r="Q584" s="84" t="str">
        <x:v>Skin Care Starter Kit</x:v>
      </x:c>
      <x:c r="R584" s="84" t="str">
        <x:v> PERSONAL CARE </x:v>
      </x:c>
    </x:row>
    <x:row r="585">
      <x:c r="A585" s="84" t="str">
        <x:v>ORD-2024-00899</x:v>
      </x:c>
      <x:c r="B585" s="85" t="n">
        <x:v>45509</x:v>
      </x:c>
      <x:c r="C585" s="84" t="str">
        <x:v>CUST-0288</x:v>
      </x:c>
      <x:c r="D585" s="84" t="str">
        <x:v>Owen Quinn</x:v>
      </x:c>
      <x:c r="E585" s="84" t="str">
        <x:v>Small Business</x:v>
      </x:c>
      <x:c r="F585" s="84" t="str">
        <x:v>west</x:v>
      </x:c>
      <x:c r="G585" s="84" t="str">
        <x:v>Seattle</x:v>
      </x:c>
      <x:c r="H585" s="84" t="str">
        <x:v>Online </x:v>
      </x:c>
      <x:c r="I585" s="84" t="str">
        <x:v>FITN-004</x:v>
      </x:c>
      <x:c r="J585" s="86" t="n">
        <x:v>2</x:v>
      </x:c>
      <x:c r="K585" s="87" t="n">
        <x:v>0</x:v>
      </x:c>
      <x:c r="L585" s="84" t="str">
        <x:v>Completed</x:v>
      </x:c>
      <x:c r="M585" s="84" t="str">
        <x:v>Credit Card</x:v>
      </x:c>
      <x:c r="N585" s="84" t="str">
        <x:v>Mia Chen</x:v>
      </x:c>
      <x:c r="O585" s="85" t="n">
        <x:v>45512</x:v>
      </x:c>
      <x:c r="P585" s="84" t="str">
        <x:v>WEB_2024_08</x:v>
      </x:c>
      <x:c r="Q585" s="84" t="str">
        <x:v>Fitness Tracker</x:v>
      </x:c>
      <x:c r="R585" s="84" t="str">
        <x:v> FITNESS </x:v>
      </x:c>
    </x:row>
    <x:row r="586">
      <x:c r="A586" s="84" t="str">
        <x:v>ORD-2024-00186</x:v>
      </x:c>
      <x:c r="B586" s="85" t="n">
        <x:v>45510</x:v>
      </x:c>
      <x:c r="C586" s="84" t="str">
        <x:v>CUST-0565</x:v>
      </x:c>
      <x:c r="D586" s="84" t="str">
        <x:v>Nathan Taylor</x:v>
      </x:c>
      <x:c r="E586" s="84" t="str">
        <x:v>Consumer</x:v>
      </x:c>
      <x:c r="F586" s="84" t="str">
        <x:v>West </x:v>
      </x:c>
      <x:c r="G586" s="84" t="str">
        <x:v>Phoenix</x:v>
      </x:c>
      <x:c r="H586" s="84" t="str">
        <x:v>Online</x:v>
      </x:c>
      <x:c r="I586" s="84" t="str">
        <x:v>ELEC-002</x:v>
      </x:c>
      <x:c r="J586" s="86" t="n">
        <x:v>1</x:v>
      </x:c>
      <x:c r="K586" s="87" t="n">
        <x:v>0</x:v>
      </x:c>
      <x:c r="L586" s="84" t="str">
        <x:v>Completed</x:v>
      </x:c>
      <x:c r="M586" s="84" t="str">
        <x:v>debit card</x:v>
      </x:c>
      <x:c r="N586" s="84" t="str">
        <x:v>Mia Chen </x:v>
      </x:c>
      <x:c r="O586" s="85" t="n">
        <x:v>45515</x:v>
      </x:c>
      <x:c r="P586" s="84" t="str">
        <x:v>WEB_2024_08</x:v>
      </x:c>
      <x:c r="Q586" s="84" t="str">
        <x:v>Smartwatch</x:v>
      </x:c>
      <x:c r="R586" s="84" t="str">
        <x:v>Electronics</x:v>
      </x:c>
    </x:row>
    <x:row r="587">
      <x:c r="A587" s="84" t="str">
        <x:v>ORD-2024-00250</x:v>
      </x:c>
      <x:c r="B587" s="85" t="n">
        <x:v>45510</x:v>
      </x:c>
      <x:c r="C587" s="84" t="str">
        <x:v>CUST-0542</x:v>
      </x:c>
      <x:c r="D587" s="84" t="str">
        <x:v>Zara Roberts </x:v>
      </x:c>
      <x:c r="E587" s="84" t="str">
        <x:v>Corporate</x:v>
      </x:c>
      <x:c r="F587" s="84" t="str">
        <x:v>northeast</x:v>
      </x:c>
      <x:c r="G587" s="84" t="str">
        <x:v>New York</x:v>
      </x:c>
      <x:c r="H587" s="84" t="str">
        <x:v>Online</x:v>
      </x:c>
      <x:c r="I587" s="84" t="str">
        <x:v>ACCS-004</x:v>
      </x:c>
      <x:c r="J587" s="86" t="n">
        <x:v>4</x:v>
      </x:c>
      <x:c r="K587" s="87" t="n">
        <x:v>0.1</x:v>
      </x:c>
      <x:c r="L587" s="84" t="str">
        <x:v>Completed</x:v>
      </x:c>
      <x:c r="M587" s="84" t="str">
        <x:v>Debit Card </x:v>
      </x:c>
      <x:c r="N587" s="84" t="str">
        <x:v>Sofia Bennett</x:v>
      </x:c>
      <x:c r="O587" s="85" t="n">
        <x:v>45513</x:v>
      </x:c>
      <x:c r="P587" s="84" t="str">
        <x:v>WEB_2024_08</x:v>
      </x:c>
      <x:c r="Q587" s="84" t="str">
        <x:v>Leather Wallet</x:v>
      </x:c>
      <x:c r="R587" s="84" t="str">
        <x:v>Accessories</x:v>
      </x:c>
    </x:row>
    <x:row r="588">
      <x:c r="A588" s="84" t="str">
        <x:v>ORD-2024-00559</x:v>
      </x:c>
      <x:c r="B588" s="85" t="n">
        <x:v>45510</x:v>
      </x:c>
      <x:c r="C588" s="84" t="str">
        <x:v>CUST-0003</x:v>
      </x:c>
      <x:c r="D588" s="84" t="str">
        <x:v>Victoria Foster</x:v>
      </x:c>
      <x:c r="E588" s="84" t="str">
        <x:v>Consumer</x:v>
      </x:c>
      <x:c r="F588" s="84" t="str">
        <x:v>West</x:v>
      </x:c>
      <x:c r="G588" s="84" t="str">
        <x:v>Seattle</x:v>
      </x:c>
      <x:c r="H588" s="84" t="str">
        <x:v>Retail Store</x:v>
      </x:c>
      <x:c r="I588" s="84" t="str">
        <x:v>FITN-002</x:v>
      </x:c>
      <x:c r="J588" s="86" t="n">
        <x:v>3</x:v>
      </x:c>
      <x:c r="K588" s="87" t="n">
        <x:v>0</x:v>
      </x:c>
      <x:c r="L588" s="84" t="str">
        <x:v>Completed </x:v>
      </x:c>
      <x:c r="M588" s="84" t="str">
        <x:v>Cash</x:v>
      </x:c>
      <x:c r="N588" s="84" t="str">
        <x:v>Leo Martinez</x:v>
      </x:c>
      <x:c r="O588" s="85" t="n">
        <x:v>45510</x:v>
      </x:c>
      <x:c r="P588" s="84" t="str">
        <x:v>POS_2024_08</x:v>
      </x:c>
      <x:c r="Q588" s="84" t="str">
        <x:v>adjustable dumbbell set</x:v>
      </x:c>
      <x:c r="R588" s="84" t="str">
        <x:v> FITNESS </x:v>
      </x:c>
    </x:row>
    <x:row r="589">
      <x:c r="A589" s="84" t="str">
        <x:v>ORD-2024-01571</x:v>
      </x:c>
      <x:c r="B589" s="85" t="n">
        <x:v>45510</x:v>
      </x:c>
      <x:c r="C589" s="84" t="str">
        <x:v>CUST-0543</x:v>
      </x:c>
      <x:c r="D589" s="84" t="str">
        <x:v>Marcus Quinn</x:v>
      </x:c>
      <x:c r="E589" s="84" t="str">
        <x:v>Consumer</x:v>
      </x:c>
      <x:c r="F589" s="84" t="str">
        <x:v>Southeast</x:v>
      </x:c>
      <x:c r="G589" s="84" t="str">
        <x:v>Charlotte</x:v>
      </x:c>
      <x:c r="H589" s="84" t="str">
        <x:v>Retail Store </x:v>
      </x:c>
      <x:c r="I589" s="84" t="str">
        <x:v>OFFC-006</x:v>
      </x:c>
      <x:c r="J589" s="86" t="n">
        <x:v>2</x:v>
      </x:c>
      <x:c r="K589" s="87" t="n">
        <x:v>0</x:v>
      </x:c>
      <x:c r="L589" s="84" t="str">
        <x:v>Completed</x:v>
      </x:c>
      <x:c r="M589" s="84" t="str">
        <x:v>Credit Card</x:v>
      </x:c>
      <x:c r="N589" s="84" t="str">
        <x:v>Liam Parker</x:v>
      </x:c>
      <x:c r="O589" s="85" t="n">
        <x:v>45510</x:v>
      </x:c>
      <x:c r="P589" s="84" t="str">
        <x:v>POS_2024_08</x:v>
      </x:c>
      <x:c r="Q589" s="84" t="str">
        <x:v>monitor stand</x:v>
      </x:c>
      <x:c r="R589" s="84" t="str">
        <x:v>Office</x:v>
      </x:c>
    </x:row>
    <x:row r="590">
      <x:c r="A590" s="84" t="str">
        <x:v>ORD-2024-02131</x:v>
      </x:c>
      <x:c r="B590" s="85" t="n">
        <x:v>45510</x:v>
      </x:c>
      <x:c r="C590" s="84" t="str">
        <x:v>CUST-0041</x:v>
      </x:c>
      <x:c r="D590" s="84" t="str">
        <x:v>Isaac Evans</x:v>
      </x:c>
      <x:c r="E590" s="84" t="str">
        <x:v>Consumer</x:v>
      </x:c>
      <x:c r="F590" s="84" t="str">
        <x:v>midwest</x:v>
      </x:c>
      <x:c r="G590" s="84" t="str">
        <x:v>Detroit</x:v>
      </x:c>
      <x:c r="H590" s="84" t="str">
        <x:v> ONLINE </x:v>
      </x:c>
      <x:c r="I590" s="84" t="str">
        <x:v>CARE-005</x:v>
      </x:c>
      <x:c r="J590" s="86" t="n">
        <x:v>1</x:v>
      </x:c>
      <x:c r="K590" s="87" t="n">
        <x:v>0</x:v>
      </x:c>
      <x:c r="L590" s="84" t="str">
        <x:v>Completed</x:v>
      </x:c>
      <x:c r="M590" s="84" t="str">
        <x:v>Credit Card</x:v>
      </x:c>
      <x:c r="N590" s="84" t="str">
        <x:v>Lucas Grant</x:v>
      </x:c>
      <x:c r="O590" s="85" t="n">
        <x:v>45514</x:v>
      </x:c>
      <x:c r="P590" s="84" t="str">
        <x:v>WEB_2024_08</x:v>
      </x:c>
      <x:c r="Q590" s="84" t="str">
        <x:v>Skin Care Starter Kit</x:v>
      </x:c>
      <x:c r="R590" s="84" t="str">
        <x:v>Personal Care</x:v>
      </x:c>
    </x:row>
    <x:row r="591">
      <x:c r="A591" s="84" t="str">
        <x:v>ORD-2024-02159</x:v>
      </x:c>
      <x:c r="B591" s="85" t="n">
        <x:v>45510</x:v>
      </x:c>
      <x:c r="C591" s="84" t="str">
        <x:v>CUST-0414</x:v>
      </x:c>
      <x:c r="D591" s="84" t="str">
        <x:v>Aiden Garcia</x:v>
      </x:c>
      <x:c r="E591" s="84" t="str">
        <x:v> CORPORATE </x:v>
      </x:c>
      <x:c r="F591" s="84" t="str">
        <x:v>Midwest</x:v>
      </x:c>
      <x:c r="G591" s="84" t="str">
        <x:v>Minneapolis</x:v>
      </x:c>
      <x:c r="H591" s="84" t="str">
        <x:v>Online </x:v>
      </x:c>
      <x:c r="I591" s="84" t="str">
        <x:v>OFFC-004</x:v>
      </x:c>
      <x:c r="J591" s="86" t="n">
        <x:v>5</x:v>
      </x:c>
      <x:c r="K591" s="87" t="n">
        <x:v>0.05</x:v>
      </x:c>
      <x:c r="L591" s="84" t="str">
        <x:v>Completed</x:v>
      </x:c>
      <x:c r="M591" s="84" t="str">
        <x:v>Credit Card</x:v>
      </x:c>
      <x:c r="N591" s="84" t="str">
        <x:v>Zoe Turner</x:v>
      </x:c>
      <x:c r="O591" s="85" t="n">
        <x:v>45515</x:v>
      </x:c>
      <x:c r="P591" s="84" t="str">
        <x:v>WEB_2024_08</x:v>
      </x:c>
      <x:c r="Q591" s="84" t="str">
        <x:v>Premium Notebook Pack</x:v>
      </x:c>
      <x:c r="R591" s="84" t="str">
        <x:v>office</x:v>
      </x:c>
    </x:row>
    <x:row r="592">
      <x:c r="A592" s="84" t="str">
        <x:v>ORD-2024-02247</x:v>
      </x:c>
      <x:c r="B592" s="85" t="n">
        <x:v>45510</x:v>
      </x:c>
      <x:c r="C592" s="84" t="str">
        <x:v>CUST-0476</x:v>
      </x:c>
      <x:c r="D592" s="84" t="str">
        <x:v>Victoria Irwin</x:v>
      </x:c>
      <x:c r="E592" s="84" t="str">
        <x:v>Small Business </x:v>
      </x:c>
      <x:c r="F592" s="84" t="str">
        <x:v>Southeast</x:v>
      </x:c>
      <x:c r="G592" s="84" t="str">
        <x:v>Charlotte </x:v>
      </x:c>
      <x:c r="H592" s="84" t="str">
        <x:v>Retail Store</x:v>
      </x:c>
      <x:c r="I592" s="84" t="str">
        <x:v>CARE-001</x:v>
      </x:c>
      <x:c r="J592" s="86" t="n">
        <x:v>2</x:v>
      </x:c>
      <x:c r="K592" s="87" t="n">
        <x:v>0</x:v>
      </x:c>
      <x:c r="L592" s="84" t="str">
        <x:v>Completed</x:v>
      </x:c>
      <x:c r="M592" s="84" t="str">
        <x:v>Cash</x:v>
      </x:c>
      <x:c r="N592" s="84" t="str">
        <x:v> LIAM PARKER </x:v>
      </x:c>
      <x:c r="O592" s="85" t="n">
        <x:v>45510</x:v>
      </x:c>
      <x:c r="P592" s="84" t="str">
        <x:v>POS_2024_08</x:v>
      </x:c>
      <x:c r="Q592" s="84" t="str">
        <x:v>Ionic Hair Dryer</x:v>
      </x:c>
      <x:c r="R592" s="84" t="str">
        <x:v>personal care</x:v>
      </x:c>
    </x:row>
    <x:row r="593">
      <x:c r="A593" s="84" t="str">
        <x:v>ORD-2024-00099</x:v>
      </x:c>
      <x:c r="B593" s="85" t="n">
        <x:v>45511</x:v>
      </x:c>
      <x:c r="C593" s="84" t="str">
        <x:v>CUST-0611</x:v>
      </x:c>
      <x:c r="D593" s="84" t="str">
        <x:v> AIDEN IRWIN </x:v>
      </x:c>
      <x:c r="E593" s="84" t="str">
        <x:v>corporate</x:v>
      </x:c>
      <x:c r="F593" s="84" t="str">
        <x:v> MIDWEST </x:v>
      </x:c>
      <x:c r="G593" s="84" t="str">
        <x:v>Chicago</x:v>
      </x:c>
      <x:c r="H593" s="84" t="str">
        <x:v>online</x:v>
      </x:c>
      <x:c r="I593" s="84" t="str">
        <x:v>ELEC-006</x:v>
      </x:c>
      <x:c r="J593" s="86" t="n">
        <x:v>2</x:v>
      </x:c>
      <x:c r="K593" s="87" t="n">
        <x:v>0</x:v>
      </x:c>
      <x:c r="L593" s="84" t="str">
        <x:v>Completed</x:v>
      </x:c>
      <x:c r="M593" s="84" t="str">
        <x:v>Mobile Wallet</x:v>
      </x:c>
      <x:c r="N593" s="84" t="str">
        <x:v>Lucas Grant</x:v>
      </x:c>
      <x:c r="O593" s="85" t="n">
        <x:v>45515</x:v>
      </x:c>
      <x:c r="P593" s="84" t="str">
        <x:v>WEB_2024_08</x:v>
      </x:c>
      <x:c r="Q593" s="84" t="str">
        <x:v>Portable SSD </x:v>
      </x:c>
      <x:c r="R593" s="84" t="str">
        <x:v>Electronics</x:v>
      </x:c>
    </x:row>
    <x:row r="594">
      <x:c r="A594" s="84" t="str">
        <x:v>ORD-2024-01722</x:v>
      </x:c>
      <x:c r="B594" s="85" t="n">
        <x:v>45511</x:v>
      </x:c>
      <x:c r="C594" s="84" t="str">
        <x:v>CUST-0024</x:v>
      </x:c>
      <x:c r="D594" s="84" t="str">
        <x:v>Zara Quinn</x:v>
      </x:c>
      <x:c r="E594" s="84" t="str">
        <x:v>Consumer </x:v>
      </x:c>
      <x:c r="F594" s="84" t="str">
        <x:v>Midwest</x:v>
      </x:c>
      <x:c r="G594" s="84" t="str">
        <x:v>Columbus </x:v>
      </x:c>
      <x:c r="H594" s="84" t="str">
        <x:v>Online</x:v>
      </x:c>
      <x:c r="I594" s="84" t="str">
        <x:v>ACCS-006</x:v>
      </x:c>
      <x:c r="J594" s="86" t="n">
        <x:v>2</x:v>
      </x:c>
      <x:c r="K594" s="87" t="n">
        <x:v>0.05</x:v>
      </x:c>
      <x:c r="L594" s="84" t="str">
        <x:v> COMPLETED </x:v>
      </x:c>
      <x:c r="M594" s="84" t="str">
        <x:v>Credit Card</x:v>
      </x:c>
      <x:c r="N594" s="84" t="str">
        <x:v>Emma Hayes</x:v>
      </x:c>
      <x:c r="O594" s="85" t="n">
        <x:v>45516</x:v>
      </x:c>
      <x:c r="P594" s="84" t="str">
        <x:v>WEB_2024_08</x:v>
      </x:c>
      <x:c r="Q594" s="84" t="str">
        <x:v>Insulated Lunch Bag</x:v>
      </x:c>
      <x:c r="R594" s="84" t="str">
        <x:v>Accessories</x:v>
      </x:c>
    </x:row>
    <x:row r="595">
      <x:c r="A595" s="84" t="str">
        <x:v>ORD-2024-01966</x:v>
      </x:c>
      <x:c r="B595" s="85" t="n">
        <x:v>45511</x:v>
      </x:c>
      <x:c r="C595" s="84" t="str">
        <x:v>CUST-0297</x:v>
      </x:c>
      <x:c r="D595" s="84" t="str">
        <x:v>Nathan Davis</x:v>
      </x:c>
      <x:c r="E595" s="84" t="str">
        <x:v>Consumer</x:v>
      </x:c>
      <x:c r="F595" s="84" t="str">
        <x:v>midwest</x:v>
      </x:c>
      <x:c r="G595" s="84" t="str">
        <x:v>Minneapolis</x:v>
      </x:c>
      <x:c r="H595" s="84" t="str">
        <x:v>Retail Store</x:v>
      </x:c>
      <x:c r="I595" s="84" t="str">
        <x:v>ACCS-001</x:v>
      </x:c>
      <x:c r="J595" s="86" t="n">
        <x:v>1</x:v>
      </x:c>
      <x:c r="K595" s="87" t="n">
        <x:v>0</x:v>
      </x:c>
      <x:c r="L595" s="84" t="str">
        <x:v>Completed </x:v>
      </x:c>
      <x:c r="M595" s="84" t="str">
        <x:v> DEBIT CARD </x:v>
      </x:c>
      <x:c r="N595" s="84" t="str">
        <x:v>Emma Hayes</x:v>
      </x:c>
      <x:c r="O595" s="85" t="n">
        <x:v>45511</x:v>
      </x:c>
      <x:c r="P595" s="84" t="str">
        <x:v>POS_2024_08</x:v>
      </x:c>
      <x:c r="Q595" s="84" t="str">
        <x:v>Canvas Tote Bag</x:v>
      </x:c>
      <x:c r="R595" s="84" t="str">
        <x:v>Accessories</x:v>
      </x:c>
    </x:row>
    <x:row r="596">
      <x:c r="A596" s="84" t="str">
        <x:v>ORD-2024-00028</x:v>
      </x:c>
      <x:c r="B596" s="85" t="n">
        <x:v>45512</x:v>
      </x:c>
      <x:c r="C596" s="84" t="str">
        <x:v>CUST-0157</x:v>
      </x:c>
      <x:c r="D596" s="84" t="str">
        <x:v>Isaac Smith</x:v>
      </x:c>
      <x:c r="E596" s="84" t="str">
        <x:v>Corporate </x:v>
      </x:c>
      <x:c r="F596" s="84" t="str">
        <x:v>West</x:v>
      </x:c>
      <x:c r="G596" s="84" t="str">
        <x:v>Los Angeles </x:v>
      </x:c>
      <x:c r="H596" s="84" t="str">
        <x:v>Online</x:v>
      </x:c>
      <x:c r="I596" s="84" t="str">
        <x:v>ELEC-004</x:v>
      </x:c>
      <x:c r="J596" s="86" t="n">
        <x:v>6</x:v>
      </x:c>
      <x:c r="K596" s="87" t="n">
        <x:v>0.05</x:v>
      </x:c>
      <x:c r="L596" s="84" t="str">
        <x:v>Completed</x:v>
      </x:c>
      <x:c r="M596" s="84" t="str">
        <x:v> MOBILE WALLET </x:v>
      </x:c>
      <x:c r="N596" s="84" t="str">
        <x:v>Nora Kim</x:v>
      </x:c>
      <x:c r="O596" s="85" t="n">
        <x:v>45515</x:v>
      </x:c>
      <x:c r="P596" s="84" t="str">
        <x:v>WEB_2024_08</x:v>
      </x:c>
      <x:c r="Q596" s="84" t="str">
        <x:v>Power Bank</x:v>
      </x:c>
      <x:c r="R596" s="84" t="str">
        <x:v>Electronics</x:v>
      </x:c>
    </x:row>
    <x:row r="597">
      <x:c r="A597" s="84" t="str">
        <x:v>ORD-2024-00102</x:v>
      </x:c>
      <x:c r="B597" s="85" t="n">
        <x:v>45513</x:v>
      </x:c>
      <x:c r="C597" s="84" t="str">
        <x:v>CUST-0310</x:v>
      </x:c>
      <x:c r="D597" s="84" t="str">
        <x:v>Marcus Patel</x:v>
      </x:c>
      <x:c r="E597" s="84" t="str">
        <x:v> CONSUMER </x:v>
      </x:c>
      <x:c r="F597" s="84" t="str">
        <x:v>Midwest </x:v>
      </x:c>
      <x:c r="G597" s="84" t="str">
        <x:v>Columbus</x:v>
      </x:c>
      <x:c r="H597" s="84" t="str">
        <x:v>Retail Store</x:v>
      </x:c>
      <x:c r="I597" s="84" t="str">
        <x:v>CARE-001</x:v>
      </x:c>
      <x:c r="J597" s="86" t="n">
        <x:v>3</x:v>
      </x:c>
      <x:c r="K597" s="87" t="n">
        <x:v>0</x:v>
      </x:c>
      <x:c r="L597" s="84" t="str">
        <x:v>Completed</x:v>
      </x:c>
      <x:c r="M597" s="84" t="str">
        <x:v>Mobile Wallet</x:v>
      </x:c>
      <x:c r="N597" s="84" t="str">
        <x:v>Emma Hayes </x:v>
      </x:c>
      <x:c r="O597" s="85" t="n">
        <x:v>45513</x:v>
      </x:c>
      <x:c r="P597" s="84" t="str">
        <x:v>POS_2024_08</x:v>
      </x:c>
      <x:c r="Q597" s="84" t="str">
        <x:v>Ionic Hair Dryer</x:v>
      </x:c>
      <x:c r="R597" s="84" t="str">
        <x:v>personal care</x:v>
      </x:c>
    </x:row>
    <x:row r="598">
      <x:c r="A598" s="84" t="str">
        <x:v>ORD-2024-00140</x:v>
      </x:c>
      <x:c r="B598" s="85" t="n">
        <x:v>45513</x:v>
      </x:c>
      <x:c r="C598" s="84" t="str">
        <x:v>CUST-0145</x:v>
      </x:c>
      <x:c r="D598" s="84" t="str">
        <x:v>Samuel Adams</x:v>
      </x:c>
      <x:c r="E598" s="84" t="str">
        <x:v>Consumer </x:v>
      </x:c>
      <x:c r="F598" s="84" t="str">
        <x:v>southeast</x:v>
      </x:c>
      <x:c r="G598" s="84" t="str">
        <x:v>Nashville </x:v>
      </x:c>
      <x:c r="H598" s="84" t="str">
        <x:v>Online</x:v>
      </x:c>
      <x:c r="I598" s="84" t="str">
        <x:v>OFFC-001</x:v>
      </x:c>
      <x:c r="J598" s="86" t="n">
        <x:v>2</x:v>
      </x:c>
      <x:c r="K598" s="87" t="n">
        <x:v>0.05</x:v>
      </x:c>
      <x:c r="L598" s="84" t="str">
        <x:v>Completed</x:v>
      </x:c>
      <x:c r="M598" s="84" t="str">
        <x:v>Credit Card</x:v>
      </x:c>
      <x:c r="N598" s="84" t="str">
        <x:v>Noah Reed</x:v>
      </x:c>
      <x:c r="O598" s="85" t="n">
        <x:v>45515</x:v>
      </x:c>
      <x:c r="P598" s="84" t="str">
        <x:v>WEB_2024_08</x:v>
      </x:c>
      <x:c r="Q598" s="84" t="str">
        <x:v> ERGONOMIC CHAIR </x:v>
      </x:c>
      <x:c r="R598" s="84" t="str">
        <x:v>Office</x:v>
      </x:c>
    </x:row>
    <x:row r="599">
      <x:c r="A599" s="84" t="str">
        <x:v>ORD-2024-00633</x:v>
      </x:c>
      <x:c r="B599" s="85" t="n">
        <x:v>45513</x:v>
      </x:c>
      <x:c r="C599" s="84" t="str">
        <x:v>CUST-0231</x:v>
      </x:c>
      <x:c r="D599" s="84" t="str">
        <x:v>Elias Quinn</x:v>
      </x:c>
      <x:c r="E599" s="84" t="str">
        <x:v>Consumer</x:v>
      </x:c>
      <x:c r="F599" s="84" t="str">
        <x:v>Southeast</x:v>
      </x:c>
      <x:c r="G599" s="84" t="str">
        <x:v>Nashville</x:v>
      </x:c>
      <x:c r="H599" s="84" t="str">
        <x:v>Marketplace </x:v>
      </x:c>
      <x:c r="I599" s="84" t="str">
        <x:v>ACCS-002</x:v>
      </x:c>
      <x:c r="J599" s="86" t="n">
        <x:v>1</x:v>
      </x:c>
      <x:c r="K599" s="87" t="n">
        <x:v>0.15</x:v>
      </x:c>
      <x:c r="L599" s="84" t="str">
        <x:v>Completed</x:v>
      </x:c>
      <x:c r="M599" s="84" t="str">
        <x:v>Debit Card</x:v>
      </x:c>
      <x:c r="N599" s="84" t="str">
        <x:v>Ava Mitchell</x:v>
      </x:c>
      <x:c r="O599" s="85" t="n">
        <x:v>45518</x:v>
      </x:c>
      <x:c r="P599" s="84" t="str">
        <x:v>MKT_2024_08</x:v>
      </x:c>
      <x:c r="Q599" s="84" t="str">
        <x:v> TRAVEL BACKPACK </x:v>
      </x:c>
      <x:c r="R599" s="84" t="str">
        <x:v>Accessories</x:v>
      </x:c>
    </x:row>
    <x:row r="600">
      <x:c r="A600" s="84" t="str">
        <x:v>ORD-2024-00634</x:v>
      </x:c>
      <x:c r="B600" s="85" t="n">
        <x:v>45513</x:v>
      </x:c>
      <x:c r="C600" s="84" t="str">
        <x:v>CUST-0236</x:v>
      </x:c>
      <x:c r="D600" s="84" t="str">
        <x:v>chloe ortiz</x:v>
      </x:c>
      <x:c r="E600" s="84" t="str">
        <x:v>Consumer</x:v>
      </x:c>
      <x:c r="F600" s="84" t="str">
        <x:v>Midwest </x:v>
      </x:c>
      <x:c r="G600" s="84" t="str">
        <x:v>Minneapolis</x:v>
      </x:c>
      <x:c r="H600" s="84" t="str">
        <x:v>Online</x:v>
      </x:c>
      <x:c r="I600" s="84" t="str">
        <x:v>ELEC-003</x:v>
      </x:c>
      <x:c r="J600" s="86" t="n">
        <x:v>0</x:v>
      </x:c>
      <x:c r="K600" s="87" t="n">
        <x:v>0</x:v>
      </x:c>
      <x:c r="L600" s="84" t="str">
        <x:v> COMPLETED </x:v>
      </x:c>
      <x:c r="M600" s="84" t="str">
        <x:v>Credit Card</x:v>
      </x:c>
      <x:c r="N600" s="84" t="str">
        <x:v>Lucas Grant </x:v>
      </x:c>
      <x:c r="O600" s="85" t="n">
        <x:v>45519</x:v>
      </x:c>
      <x:c r="P600" s="84" t="str">
        <x:v>WEB_2024_08</x:v>
      </x:c>
      <x:c r="Q600" s="84" t="str">
        <x:v>Bluetooth Speaker</x:v>
      </x:c>
      <x:c r="R600" s="84" t="str">
        <x:v>Electronics</x:v>
      </x:c>
    </x:row>
    <x:row r="601">
      <x:c r="A601" s="84" t="str">
        <x:v>ORD-2024-01286</x:v>
      </x:c>
      <x:c r="B601" s="85" t="n">
        <x:v>45513</x:v>
      </x:c>
      <x:c r="C601" s="84" t="str">
        <x:v>CUST-0408</x:v>
      </x:c>
      <x:c r="D601" s="84" t="str">
        <x:v>Caleb Smith </x:v>
      </x:c>
      <x:c r="E601" s="84" t="str">
        <x:v>Small Business</x:v>
      </x:c>
      <x:c r="F601" s="84" t="str">
        <x:v>Southeast</x:v>
      </x:c>
      <x:c r="G601" s="84" t="str">
        <x:v>Miami</x:v>
      </x:c>
      <x:c r="H601" s="84" t="str">
        <x:v>Online</x:v>
      </x:c>
      <x:c r="I601" s="84" t="str">
        <x:v>ACCS-004</x:v>
      </x:c>
      <x:c r="J601" s="86" t="n">
        <x:v>1</x:v>
      </x:c>
      <x:c r="K601" s="87" t="n">
        <x:v>0.05</x:v>
      </x:c>
      <x:c r="L601" s="84" t="str">
        <x:v>Completed</x:v>
      </x:c>
      <x:c r="M601" s="84" t="str">
        <x:v> CREDIT CARD </x:v>
      </x:c>
      <x:c r="N601" s="84" t="str">
        <x:v>Noah Reed</x:v>
      </x:c>
      <x:c r="O601" s="85" t="n">
        <x:v>45518</x:v>
      </x:c>
      <x:c r="P601" s="84" t="str">
        <x:v>WEB_2024_08</x:v>
      </x:c>
      <x:c r="Q601" s="84" t="str">
        <x:v>Leather Wallet</x:v>
      </x:c>
      <x:c r="R601" s="84" t="str">
        <x:v>Accessories</x:v>
      </x:c>
    </x:row>
    <x:row r="602">
      <x:c r="A602" s="84" t="str">
        <x:v>ORD-2024-01496</x:v>
      </x:c>
      <x:c r="B602" s="85" t="n">
        <x:v>45513</x:v>
      </x:c>
      <x:c r="C602" s="84" t="str">
        <x:v>CUST-0519</x:v>
      </x:c>
      <x:c r="D602" s="84" t="str">
        <x:v>Isaac Walker </x:v>
      </x:c>
      <x:c r="E602" s="84" t="str">
        <x:v> CORPORATE </x:v>
      </x:c>
      <x:c r="F602" s="84" t="str">
        <x:v>Midwest</x:v>
      </x:c>
      <x:c r="G602" s="84" t="str">
        <x:v>Columbus</x:v>
      </x:c>
      <x:c r="H602" s="84" t="str">
        <x:v>marketplace</x:v>
      </x:c>
      <x:c r="I602" s="84" t="str">
        <x:v>FITN-002</x:v>
      </x:c>
      <x:c r="J602" s="86" t="n">
        <x:v>2</x:v>
      </x:c>
      <x:c r="K602" s="87" t="n">
        <x:v>0.05</x:v>
      </x:c>
      <x:c r="L602" s="84" t="str">
        <x:v>Completed</x:v>
      </x:c>
      <x:c r="M602" s="84" t="str">
        <x:v>PayPal </x:v>
      </x:c>
      <x:c r="N602" s="84" t="str">
        <x:v>Zoe Turner</x:v>
      </x:c>
      <x:c r="O602" s="85" t="n">
        <x:v>45520</x:v>
      </x:c>
      <x:c r="P602" s="84" t="str">
        <x:v>MKT_2024_08</x:v>
      </x:c>
      <x:c r="Q602" s="84" t="str">
        <x:v>Adjustable Dumbbell Set</x:v>
      </x:c>
      <x:c r="R602" s="84" t="str">
        <x:v>Fitness</x:v>
      </x:c>
    </x:row>
    <x:row r="603">
      <x:c r="A603" s="84" t="str">
        <x:v>ORD-2024-01730</x:v>
      </x:c>
      <x:c r="B603" s="85" t="n">
        <x:v>45513</x:v>
      </x:c>
      <x:c r="C603" s="84" t="str">
        <x:v>CUST-0548</x:v>
      </x:c>
      <x:c r="D603" s="84" t="str">
        <x:v>Maya Foster</x:v>
      </x:c>
      <x:c r="E603" s="84" t="str">
        <x:v>Consumer</x:v>
      </x:c>
      <x:c r="F603" s="84" t="str">
        <x:v>Southeast</x:v>
      </x:c>
      <x:c r="G603" s="84" t="str">
        <x:v>Miami</x:v>
      </x:c>
      <x:c r="H603" s="84" t="str">
        <x:v>Online</x:v>
      </x:c>
      <x:c r="I603" s="84" t="str">
        <x:v>CARE-006</x:v>
      </x:c>
      <x:c r="J603" s="86" t="n">
        <x:v>1</x:v>
      </x:c>
      <x:c r="K603" s="87" t="n">
        <x:v>0.05</x:v>
      </x:c>
      <x:c r="L603" s="84" t="str">
        <x:v>Completed</x:v>
      </x:c>
      <x:c r="M603" s="84" t="str">
        <x:v>Debit Card</x:v>
      </x:c>
      <x:c r="N603" s="84" t="str">
        <x:v>Ava Mitchell</x:v>
      </x:c>
      <x:c r="O603" s="85" t="n">
        <x:v>45516</x:v>
      </x:c>
      <x:c r="P603" s="84" t="str">
        <x:v>WEB_2024_08</x:v>
      </x:c>
      <x:c r="Q603" s="84" t="str">
        <x:v>Percussion Massage Gun </x:v>
      </x:c>
      <x:c r="R603" s="84" t="str">
        <x:v>personal care</x:v>
      </x:c>
    </x:row>
    <x:row r="604">
      <x:c r="A604" s="84" t="str">
        <x:v>ORD-2024-02017</x:v>
      </x:c>
      <x:c r="B604" s="85" t="n">
        <x:v>45513</x:v>
      </x:c>
      <x:c r="C604" s="84" t="str">
        <x:v>CUST-0172</x:v>
      </x:c>
      <x:c r="D604" s="84" t="str">
        <x:v>Amelia Young</x:v>
      </x:c>
      <x:c r="E604" s="84" t="str">
        <x:v>Consumer</x:v>
      </x:c>
      <x:c r="F604" s="84" t="str">
        <x:v>Midwest</x:v>
      </x:c>
      <x:c r="G604" s="84" t="str">
        <x:v>columbus</x:v>
      </x:c>
      <x:c r="H604" s="84" t="str">
        <x:v>Marketplace</x:v>
      </x:c>
      <x:c r="I604" s="84" t="str">
        <x:v>ACCS-003</x:v>
      </x:c>
      <x:c r="J604" s="86" t="n">
        <x:v>3</x:v>
      </x:c>
      <x:c r="K604" s="87" t="n">
        <x:v>0</x:v>
      </x:c>
      <x:c r="L604" s="84" t="str">
        <x:v>completed</x:v>
      </x:c>
      <x:c r="M604" s="84" t="str">
        <x:v> PAYPAL </x:v>
      </x:c>
      <x:c r="N604" s="84" t="str">
        <x:v>Zoe Turner</x:v>
      </x:c>
      <x:c r="O604" s="85" t="n">
        <x:v>45517</x:v>
      </x:c>
      <x:c r="P604" s="84" t="str">
        <x:v>MKT_2024_08</x:v>
      </x:c>
      <x:c r="Q604" s="84" t="str">
        <x:v>Polarized Sunglasses </x:v>
      </x:c>
      <x:c r="R604" s="84" t="str">
        <x:v>Accessories</x:v>
      </x:c>
    </x:row>
    <x:row r="605">
      <x:c r="A605" s="84" t="str">
        <x:v>ORD-2024-00310</x:v>
      </x:c>
      <x:c r="B605" s="85" t="n">
        <x:v>45514</x:v>
      </x:c>
      <x:c r="C605" s="84" t="str">
        <x:v>CUST-0078</x:v>
      </x:c>
      <x:c r="D605" s="84" t="str">
        <x:v>Grace Carter</x:v>
      </x:c>
      <x:c r="E605" s="84" t="str">
        <x:v>Small Business</x:v>
      </x:c>
      <x:c r="F605" s="84" t="str">
        <x:v>Southeast</x:v>
      </x:c>
      <x:c r="G605" s="84" t="str">
        <x:v>Atlanta</x:v>
      </x:c>
      <x:c r="H605" s="84" t="str">
        <x:v>Online</x:v>
      </x:c>
      <x:c r="I605" s="84" t="str">
        <x:v>OFFC-004</x:v>
      </x:c>
      <x:c r="J605" s="86" t="n">
        <x:v>1</x:v>
      </x:c>
      <x:c r="K605" s="87" t="n">
        <x:v>0.05</x:v>
      </x:c>
      <x:c r="L605" s="84" t="str">
        <x:v>Completed</x:v>
      </x:c>
      <x:c r="M605" s="84" t="str">
        <x:v>Credit Card</x:v>
      </x:c>
      <x:c r="N605" s="84" t="str">
        <x:v>ava mitchell</x:v>
      </x:c>
      <x:c r="O605" s="85" t="n">
        <x:v>45518</x:v>
      </x:c>
      <x:c r="P605" s="84" t="str">
        <x:v>WEB_2024_08</x:v>
      </x:c>
      <x:c r="Q605" s="84" t="str">
        <x:v> PREMIUM NOTEBOOK PACK </x:v>
      </x:c>
      <x:c r="R605" s="84" t="str">
        <x:v>Office </x:v>
      </x:c>
    </x:row>
    <x:row r="606">
      <x:c r="A606" s="84" t="str">
        <x:v>ORD-2024-00544</x:v>
      </x:c>
      <x:c r="B606" s="85" t="n">
        <x:v>45514</x:v>
      </x:c>
      <x:c r="C606" s="84" t="str">
        <x:v>CUST-0112</x:v>
      </x:c>
      <x:c r="D606" s="84" t="str">
        <x:v>Victoria Patel </x:v>
      </x:c>
      <x:c r="E606" s="84" t="str">
        <x:v> CONSUMER </x:v>
      </x:c>
      <x:c r="F606" s="84" t="str">
        <x:v>Southeast</x:v>
      </x:c>
      <x:c r="G606" s="84" t="str">
        <x:v>Miami</x:v>
      </x:c>
      <x:c r="H606" s="84" t="str">
        <x:v>Marketplace</x:v>
      </x:c>
      <x:c r="I606" s="84" t="str">
        <x:v>ACCS-006</x:v>
      </x:c>
      <x:c r="J606" s="86" t="n">
        <x:v>1</x:v>
      </x:c>
      <x:c r="K606" s="87" t="n">
        <x:v>0.1</x:v>
      </x:c>
      <x:c r="L606" s="84" t="str">
        <x:v>Completed</x:v>
      </x:c>
      <x:c r="M606" s="84" t="str">
        <x:v>Credit Card </x:v>
      </x:c>
      <x:c r="N606" s="84" t="str">
        <x:v>Ava Mitchell</x:v>
      </x:c>
      <x:c r="O606" s="85" t="n">
        <x:v>45518</x:v>
      </x:c>
      <x:c r="P606" s="84" t="str">
        <x:v>MKT_2024_08</x:v>
      </x:c>
      <x:c r="Q606" s="84" t="str">
        <x:v>Insulated Lunch Bag</x:v>
      </x:c>
      <x:c r="R606" s="84" t="str">
        <x:v>Accessories</x:v>
      </x:c>
    </x:row>
    <x:row r="607">
      <x:c r="A607" s="84" t="str">
        <x:v>ORD-2024-01711</x:v>
      </x:c>
      <x:c r="B607" s="85" t="n">
        <x:v>45515</x:v>
      </x:c>
      <x:c r="C607" s="84" t="str">
        <x:v>CUST-0365</x:v>
      </x:c>
      <x:c r="D607" s="84" t="str">
        <x:v>Grace Johnson</x:v>
      </x:c>
      <x:c r="E607" s="84" t="str">
        <x:v>Consumer</x:v>
      </x:c>
      <x:c r="F607" s="84" t="str">
        <x:v>West</x:v>
      </x:c>
      <x:c r="G607" s="84" t="str">
        <x:v>Los Angeles</x:v>
      </x:c>
      <x:c r="H607" s="84" t="str">
        <x:v>Online </x:v>
      </x:c>
      <x:c r="I607" s="84" t="str">
        <x:v>ACCS-005</x:v>
      </x:c>
      <x:c r="J607" s="86" t="n">
        <x:v>3</x:v>
      </x:c>
      <x:c r="K607" s="87" t="n">
        <x:v>0.15</x:v>
      </x:c>
      <x:c r="L607" s="84" t="str">
        <x:v>Completed</x:v>
      </x:c>
      <x:c r="M607" s="84" t="str">
        <x:v> CREDIT CARD </x:v>
      </x:c>
      <x:c r="N607" s="84" t="str">
        <x:v>Mia Chen</x:v>
      </x:c>
      <x:c r="O607" s="85" t="n">
        <x:v>45518</x:v>
      </x:c>
      <x:c r="P607" s="84" t="str">
        <x:v>WEB_2024_08</x:v>
      </x:c>
      <x:c r="Q607" s="84" t="str">
        <x:v>Protective Phone Case</x:v>
      </x:c>
      <x:c r="R607" s="84" t="str">
        <x:v>Accessories</x:v>
      </x:c>
    </x:row>
    <x:row r="608">
      <x:c r="A608" s="84" t="str">
        <x:v>ORD-2024-00289</x:v>
      </x:c>
      <x:c r="B608" s="85" t="n">
        <x:v>45516</x:v>
      </x:c>
      <x:c r="C608" s="84" t="str">
        <x:v>CUST-0292</x:v>
      </x:c>
      <x:c r="D608" s="84" t="str">
        <x:v>Caleb Nelson</x:v>
      </x:c>
      <x:c r="E608" s="84" t="str">
        <x:v> SMALL BUSINESS </x:v>
      </x:c>
      <x:c r="F608" s="84" t="str">
        <x:v>Midwest</x:v>
      </x:c>
      <x:c r="G608" s="84" t="str">
        <x:v>Columbus</x:v>
      </x:c>
      <x:c r="H608" s="84" t="str">
        <x:v>Online</x:v>
      </x:c>
      <x:c r="I608" s="84" t="str">
        <x:v>HOME-002</x:v>
      </x:c>
      <x:c r="J608" s="86" t="n">
        <x:v>1</x:v>
      </x:c>
      <x:c r="K608" s="87" t="n">
        <x:v>0.05</x:v>
      </x:c>
      <x:c r="L608" s="84" t="str">
        <x:v>Completed</x:v>
      </x:c>
      <x:c r="M608" s="84" t="str">
        <x:v>Credit Card</x:v>
      </x:c>
      <x:c r="N608" s="84" t="str">
        <x:v>Lucas Grant</x:v>
      </x:c>
      <x:c r="O608" s="85" t="n">
        <x:v>45518</x:v>
      </x:c>
      <x:c r="P608" s="84" t="str">
        <x:v>WEB_2024_08</x:v>
      </x:c>
      <x:c r="Q608" s="84" t="str">
        <x:v>Electric Kettle</x:v>
      </x:c>
      <x:c r="R608" s="84" t="str">
        <x:v>home &amp; kitchen</x:v>
      </x:c>
    </x:row>
    <x:row r="609">
      <x:c r="A609" s="84" t="str">
        <x:v>ORD-2024-02364</x:v>
      </x:c>
      <x:c r="B609" s="85" t="n">
        <x:v>45516</x:v>
      </x:c>
      <x:c r="C609" s="84" t="str">
        <x:v>CUST-0596</x:v>
      </x:c>
      <x:c r="D609" s="84" t="str">
        <x:v>Grace Khan </x:v>
      </x:c>
      <x:c r="E609" s="84" t="str">
        <x:v>Consumer</x:v>
      </x:c>
      <x:c r="F609" s="84" t="str">
        <x:v>West</x:v>
      </x:c>
      <x:c r="G609" s="84" t="str">
        <x:v>Denver</x:v>
      </x:c>
      <x:c r="H609" s="84" t="str">
        <x:v>Retail Store</x:v>
      </x:c>
      <x:c r="I609" s="84" t="str">
        <x:v>ELEC-001</x:v>
      </x:c>
      <x:c r="J609" s="86" t="n">
        <x:v>1</x:v>
      </x:c>
      <x:c r="K609" s="87" t="n">
        <x:v>0.15</x:v>
      </x:c>
      <x:c r="L609" s="84" t="str">
        <x:v>Completed</x:v>
      </x:c>
      <x:c r="M609" s="84" t="str">
        <x:v>debit card</x:v>
      </x:c>
      <x:c r="N609" s="84" t="str">
        <x:v>Mia Chen</x:v>
      </x:c>
      <x:c r="O609" s="85" t="n">
        <x:v>45516</x:v>
      </x:c>
      <x:c r="P609" s="84" t="str">
        <x:v>POS_2024_08</x:v>
      </x:c>
      <x:c r="Q609" s="84" t="str">
        <x:v>Wireless Earbuds</x:v>
      </x:c>
      <x:c r="R609" s="84" t="str">
        <x:v>Electronics</x:v>
      </x:c>
    </x:row>
    <x:row r="610">
      <x:c r="A610" s="84" t="str">
        <x:v>ORD-2024-02391</x:v>
      </x:c>
      <x:c r="B610" s="85" t="n">
        <x:v>45516</x:v>
      </x:c>
      <x:c r="C610" s="84" t="str">
        <x:v>CUST-0321</x:v>
      </x:c>
      <x:c r="D610" s="84" t="str">
        <x:v>Grace Smith</x:v>
      </x:c>
      <x:c r="E610" s="84" t="str">
        <x:v>Corporate</x:v>
      </x:c>
      <x:c r="F610" s="84" t="str">
        <x:v>Southeast </x:v>
      </x:c>
      <x:c r="G610" s="84" t="str">
        <x:v>miami</x:v>
      </x:c>
      <x:c r="H610" s="84" t="str">
        <x:v>Online</x:v>
      </x:c>
      <x:c r="I610" s="84" t="str">
        <x:v>ACCS-002</x:v>
      </x:c>
      <x:c r="J610" s="86" t="n">
        <x:v>3</x:v>
      </x:c>
      <x:c r="K610" s="87" t="n">
        <x:v>0</x:v>
      </x:c>
      <x:c r="L610" s="84" t="str">
        <x:v>completed</x:v>
      </x:c>
      <x:c r="M610" s="84" t="str">
        <x:v> MOBILE WALLET </x:v>
      </x:c>
      <x:c r="N610" s="84" t="str">
        <x:v>Ava Mitchell </x:v>
      </x:c>
      <x:c r="O610" s="85" t="n">
        <x:v>45520</x:v>
      </x:c>
      <x:c r="P610" s="84" t="str">
        <x:v>WEB_2024_08</x:v>
      </x:c>
      <x:c r="Q610" s="84" t="str">
        <x:v>Travel Backpack</x:v>
      </x:c>
      <x:c r="R610" s="84" t="str">
        <x:v>Accessories</x:v>
      </x:c>
    </x:row>
    <x:row r="611">
      <x:c r="A611" s="84" t="str">
        <x:v>ORD-2024-01682</x:v>
      </x:c>
      <x:c r="B611" s="85" t="n">
        <x:v>45517</x:v>
      </x:c>
      <x:c r="C611" s="84" t="str">
        <x:v>CUST-0221</x:v>
      </x:c>
      <x:c r="D611" s="84" t="str">
        <x:v>Priya Irwin</x:v>
      </x:c>
      <x:c r="E611" s="84" t="str">
        <x:v>Consumer</x:v>
      </x:c>
      <x:c r="F611" s="84" t="str">
        <x:v>Southeast</x:v>
      </x:c>
      <x:c r="G611" s="84" t="str">
        <x:v>Charlotte</x:v>
      </x:c>
      <x:c r="H611" s="84" t="str">
        <x:v>Online</x:v>
      </x:c>
      <x:c r="I611" s="84" t="str">
        <x:v>ACCS-003</x:v>
      </x:c>
      <x:c r="J611" s="86" t="n">
        <x:v>2</x:v>
      </x:c>
      <x:c r="K611" s="87" t="n">
        <x:v>0</x:v>
      </x:c>
      <x:c r="L611" s="84" t="str">
        <x:v>Completed</x:v>
      </x:c>
      <x:c r="M611" s="84" t="str">
        <x:v>mobile wallet</x:v>
      </x:c>
      <x:c r="N611" s="84" t="str">
        <x:v>Liam Parker</x:v>
      </x:c>
      <x:c r="O611" s="85" t="n">
        <x:v>45521</x:v>
      </x:c>
      <x:c r="P611" s="84" t="str">
        <x:v>WEB_2024_08</x:v>
      </x:c>
      <x:c r="Q611" s="84" t="str">
        <x:v>Polarized Sunglasses</x:v>
      </x:c>
      <x:c r="R611" s="84" t="str">
        <x:v>Accessories </x:v>
      </x:c>
    </x:row>
    <x:row r="612">
      <x:c r="A612" s="84" t="str">
        <x:v>ORD-2024-00121</x:v>
      </x:c>
      <x:c r="B612" s="85" t="n">
        <x:v>45518</x:v>
      </x:c>
      <x:c r="C612" s="84" t="str">
        <x:v>CUST-0312</x:v>
      </x:c>
      <x:c r="D612" s="84" t="str">
        <x:v>Theo Carter</x:v>
      </x:c>
      <x:c r="E612" s="84" t="str">
        <x:v>small business</x:v>
      </x:c>
      <x:c r="F612" s="84" t="str">
        <x:v>Southeast</x:v>
      </x:c>
      <x:c r="G612" s="84" t="str">
        <x:v>Atlanta</x:v>
      </x:c>
      <x:c r="H612" s="84" t="str">
        <x:v>online</x:v>
      </x:c>
      <x:c r="I612" s="84" t="str">
        <x:v>CARE-002</x:v>
      </x:c>
      <x:c r="J612" s="86" t="n">
        <x:v>1</x:v>
      </x:c>
      <x:c r="K612" s="87" t="n">
        <x:v>0.1</x:v>
      </x:c>
      <x:c r="L612" s="84" t="str">
        <x:v>Completed</x:v>
      </x:c>
      <x:c r="M612" s="84" t="str">
        <x:v>PayPal</x:v>
      </x:c>
      <x:c r="N612" s="84" t="str">
        <x:v>Noah Reed</x:v>
      </x:c>
      <x:c r="O612" s="85" t="n">
        <x:v>45521</x:v>
      </x:c>
      <x:c r="P612" s="84" t="str">
        <x:v>WEB_2024_08</x:v>
      </x:c>
      <x:c r="Q612" s="84" t="str">
        <x:v>Rechargeable Trimmer</x:v>
      </x:c>
      <x:c r="R612" s="84" t="str">
        <x:v>Personal Care </x:v>
      </x:c>
    </x:row>
    <x:row r="613">
      <x:c r="A613" s="84" t="str">
        <x:v>ORD-2024-00092</x:v>
      </x:c>
      <x:c r="B613" s="85" t="n">
        <x:v>45519</x:v>
      </x:c>
      <x:c r="C613" s="84" t="str">
        <x:v>CUST-0572</x:v>
      </x:c>
      <x:c r="D613" s="84" t="str">
        <x:v>Marcus Lewis</x:v>
      </x:c>
      <x:c r="E613" s="84" t="str">
        <x:v>Consumer</x:v>
      </x:c>
      <x:c r="F613" s="84" t="str">
        <x:v>Southeast</x:v>
      </x:c>
      <x:c r="G613" s="84" t="str">
        <x:v>nashville</x:v>
      </x:c>
      <x:c r="H613" s="84" t="str">
        <x:v>Marketplace</x:v>
      </x:c>
      <x:c r="I613" s="84" t="str">
        <x:v>OFFC-003</x:v>
      </x:c>
      <x:c r="J613" s="86" t="n">
        <x:v>1</x:v>
      </x:c>
      <x:c r="K613" s="87" t="n">
        <x:v>0.05</x:v>
      </x:c>
      <x:c r="L613" s="84" t="str">
        <x:v>completed</x:v>
      </x:c>
      <x:c r="M613" s="84" t="str">
        <x:v>Credit Card</x:v>
      </x:c>
      <x:c r="N613" s="84" t="str">
        <x:v>Ava Mitchell</x:v>
      </x:c>
      <x:c r="O613" s="85" t="n">
        <x:v>45525</x:v>
      </x:c>
      <x:c r="P613" s="84" t="str">
        <x:v>MKT_2024_08</x:v>
      </x:c>
      <x:c r="Q613" s="84" t="str">
        <x:v>LED Desk Lamp </x:v>
      </x:c>
      <x:c r="R613" s="84" t="str">
        <x:v>Office</x:v>
      </x:c>
    </x:row>
    <x:row r="614">
      <x:c r="A614" s="84" t="str">
        <x:v>ORD-2024-01298</x:v>
      </x:c>
      <x:c r="B614" s="85" t="n">
        <x:v>45519</x:v>
      </x:c>
      <x:c r="C614" s="84" t="str">
        <x:v>CUST-0436</x:v>
      </x:c>
      <x:c r="D614" s="84" t="str">
        <x:v>Nathan Hall</x:v>
      </x:c>
      <x:c r="E614" s="84" t="str">
        <x:v>consumer</x:v>
      </x:c>
      <x:c r="F614" s="84" t="str">
        <x:v>West</x:v>
      </x:c>
      <x:c r="G614" s="84" t="str">
        <x:v>Phoenix</x:v>
      </x:c>
      <x:c r="H614" s="84" t="str">
        <x:v> RETAIL STORE </x:v>
      </x:c>
      <x:c r="I614" s="84" t="str">
        <x:v>HOME-003</x:v>
      </x:c>
      <x:c r="J614" s="86" t="n">
        <x:v>3</x:v>
      </x:c>
      <x:c r="K614" s="87" t="n">
        <x:v>0.05</x:v>
      </x:c>
      <x:c r="L614" s="84" t="str">
        <x:v>Completed</x:v>
      </x:c>
      <x:c r="M614" s="84" t="str">
        <x:v>Mobile Wallet</x:v>
      </x:c>
      <x:c r="N614" s="84" t="str">
        <x:v>Nora Kim</x:v>
      </x:c>
      <x:c r="O614" s="85" t="n">
        <x:v>45519</x:v>
      </x:c>
      <x:c r="P614" s="84" t="str">
        <x:v>POS_2024_08</x:v>
      </x:c>
      <x:c r="Q614" s="84" t="str">
        <x:v>Countertop Blender</x:v>
      </x:c>
      <x:c r="R614" s="84" t="str">
        <x:v>Home &amp; Kitchen</x:v>
      </x:c>
    </x:row>
    <x:row r="615">
      <x:c r="A615" s="84" t="str">
        <x:v>ORD-2024-00046</x:v>
      </x:c>
      <x:c r="B615" s="85" t="n">
        <x:v>45520</x:v>
      </x:c>
      <x:c r="C615" s="84" t="str">
        <x:v>CUST-0371</x:v>
      </x:c>
      <x:c r="D615" s="84" t="str">
        <x:v>Sara Moore</x:v>
      </x:c>
      <x:c r="E615" s="84" t="str">
        <x:v>Small Business</x:v>
      </x:c>
      <x:c r="F615" s="84" t="str">
        <x:v>West </x:v>
      </x:c>
      <x:c r="G615" s="84" t="str">
        <x:v>Seattle</x:v>
      </x:c>
      <x:c r="H615" s="84" t="str">
        <x:v>Retail Store</x:v>
      </x:c>
      <x:c r="I615" s="84" t="str">
        <x:v>OFFC-006</x:v>
      </x:c>
      <x:c r="J615" s="86" t="n">
        <x:v>1</x:v>
      </x:c>
      <x:c r="K615" s="87" t="n">
        <x:v>0</x:v>
      </x:c>
      <x:c r="L615" s="84" t="str">
        <x:v>Completed</x:v>
      </x:c>
      <x:c r="M615" s="84" t="str">
        <x:v>Mobile Wallet</x:v>
      </x:c>
      <x:c r="N615" s="84" t="str">
        <x:v>mia chen</x:v>
      </x:c>
      <x:c r="O615" s="85" t="n">
        <x:v>45520</x:v>
      </x:c>
      <x:c r="P615" s="84" t="str">
        <x:v>POS_2024_08</x:v>
      </x:c>
      <x:c r="Q615" s="84" t="str">
        <x:v>Monitor Stand</x:v>
      </x:c>
      <x:c r="R615" s="84" t="str">
        <x:v>Office</x:v>
      </x:c>
    </x:row>
    <x:row r="616">
      <x:c r="A616" s="84" t="str">
        <x:v>ORD-2024-01389</x:v>
      </x:c>
      <x:c r="B616" s="85" t="n">
        <x:v>45520</x:v>
      </x:c>
      <x:c r="C616" s="84" t="str">
        <x:v>CUST-0004</x:v>
      </x:c>
      <x:c r="D616" s="84" t="str">
        <x:v>Caleb Carter</x:v>
      </x:c>
      <x:c r="E616" s="84" t="str">
        <x:v>Consumer</x:v>
      </x:c>
      <x:c r="F616" s="84" t="str">
        <x:v>Southeast</x:v>
      </x:c>
      <x:c r="G616" s="84" t="str">
        <x:v>Atlanta</x:v>
      </x:c>
      <x:c r="H616" s="84" t="str">
        <x:v>Online </x:v>
      </x:c>
      <x:c r="I616" s="84" t="str">
        <x:v>OFFC-004</x:v>
      </x:c>
      <x:c r="J616" s="86" t="n">
        <x:v>1</x:v>
      </x:c>
      <x:c r="K616" s="87" t="n">
        <x:v>0.05</x:v>
      </x:c>
      <x:c r="L616" s="84" t="str">
        <x:v>Completed</x:v>
      </x:c>
      <x:c r="M616" s="84" t="str">
        <x:v>Debit Card</x:v>
      </x:c>
      <x:c r="N616" s="84" t="str">
        <x:v>Ava Mitchell</x:v>
      </x:c>
      <x:c r="O616" s="85" t="n">
        <x:v>45524</x:v>
      </x:c>
      <x:c r="P616" s="84" t="str">
        <x:v>WEB_2024_08</x:v>
      </x:c>
      <x:c r="Q616" s="84" t="str">
        <x:v>Premium Notebook Pack</x:v>
      </x:c>
      <x:c r="R616" s="84" t="str">
        <x:v>office</x:v>
      </x:c>
    </x:row>
    <x:row r="617">
      <x:c r="A617" s="84" t="str">
        <x:v>ORD-2024-02363</x:v>
      </x:c>
      <x:c r="B617" s="85" t="n">
        <x:v>45520</x:v>
      </x:c>
      <x:c r="C617" s="84" t="str">
        <x:v>CUST-0436</x:v>
      </x:c>
      <x:c r="D617" s="84" t="str">
        <x:v>Nathan Hall</x:v>
      </x:c>
      <x:c r="E617" s="84" t="str">
        <x:v> CONSUMER </x:v>
      </x:c>
      <x:c r="F617" s="84" t="str">
        <x:v>West </x:v>
      </x:c>
      <x:c r="G617" s="84" t="str">
        <x:v>Phoenix</x:v>
      </x:c>
      <x:c r="H617" s="84" t="str">
        <x:v>Retail Store</x:v>
      </x:c>
      <x:c r="I617" s="84" t="str">
        <x:v>OFFC-002</x:v>
      </x:c>
      <x:c r="J617" s="86" t="n">
        <x:v>3</x:v>
      </x:c>
      <x:c r="K617" s="87" t="n">
        <x:v>0.1</x:v>
      </x:c>
      <x:c r="L617" s="84" t="str">
        <x:v>Completed</x:v>
      </x:c>
      <x:c r="M617" s="84" t="str">
        <x:v>Credit Card</x:v>
      </x:c>
      <x:c r="N617" s="84" t="str">
        <x:v>Mia Chen </x:v>
      </x:c>
      <x:c r="O617" s="85" t="n">
        <x:v>45521</x:v>
      </x:c>
      <x:c r="P617" s="84" t="str">
        <x:v>POS_2024_08</x:v>
      </x:c>
      <x:c r="Q617" s="84" t="str">
        <x:v>standing desk</x:v>
      </x:c>
      <x:c r="R617" s="84" t="str">
        <x:v>Office</x:v>
      </x:c>
    </x:row>
    <x:row r="618">
      <x:c r="A618" s="84" t="str">
        <x:v>ORD-2024-00577</x:v>
      </x:c>
      <x:c r="B618" s="85" t="n">
        <x:v>45521</x:v>
      </x:c>
      <x:c r="C618" s="84" t="str">
        <x:v>CUST-0171</x:v>
      </x:c>
      <x:c r="D618" s="84" t="str">
        <x:v>Jonah Nelson</x:v>
      </x:c>
      <x:c r="E618" s="84" t="str">
        <x:v>Small Business</x:v>
      </x:c>
      <x:c r="F618" s="84" t="str">
        <x:v>Southeast</x:v>
      </x:c>
      <x:c r="G618" s="84" t="str">
        <x:v>Atlanta</x:v>
      </x:c>
      <x:c r="H618" s="84" t="str">
        <x:v>Marketplace </x:v>
      </x:c>
      <x:c r="I618" s="84" t="str">
        <x:v>ELEC-004</x:v>
      </x:c>
      <x:c r="J618" s="86" t="n">
        <x:v>1</x:v>
      </x:c>
      <x:c r="K618" s="87" t="n">
        <x:v>0.15</x:v>
      </x:c>
      <x:c r="L618" s="84" t="str">
        <x:v>Completed</x:v>
      </x:c>
      <x:c r="M618" s="84" t="str">
        <x:v>PayPal</x:v>
      </x:c>
      <x:c r="N618" s="84" t="str">
        <x:v>Noah Reed</x:v>
      </x:c>
      <x:c r="O618" s="85" t="n">
        <x:v>45527</x:v>
      </x:c>
      <x:c r="P618" s="84" t="str">
        <x:v>MKT_2024_08</x:v>
      </x:c>
      <x:c r="Q618" s="84" t="str">
        <x:v>Power Bank</x:v>
      </x:c>
      <x:c r="R618" s="84" t="str">
        <x:v>Electronics</x:v>
      </x:c>
    </x:row>
    <x:row r="619">
      <x:c r="A619" s="84" t="str">
        <x:v>ORD-2024-00692</x:v>
      </x:c>
      <x:c r="B619" s="85" t="n">
        <x:v>45521</x:v>
      </x:c>
      <x:c r="C619" s="84" t="str">
        <x:v>CUST-0124</x:v>
      </x:c>
      <x:c r="D619" s="84" t="str">
        <x:v>Priya Lewis</x:v>
      </x:c>
      <x:c r="E619" s="84" t="str">
        <x:v>Consumer</x:v>
      </x:c>
      <x:c r="F619" s="84" t="str">
        <x:v>Midwest</x:v>
      </x:c>
      <x:c r="G619" s="84" t="str">
        <x:v>Chicago</x:v>
      </x:c>
      <x:c r="H619" s="84" t="str">
        <x:v>Retail Store</x:v>
      </x:c>
      <x:c r="I619" s="84" t="str">
        <x:v>OFFC-002</x:v>
      </x:c>
      <x:c r="J619" s="86" t="n">
        <x:v>1</x:v>
      </x:c>
      <x:c r="K619" s="87" t="n">
        <x:v>0</x:v>
      </x:c>
      <x:c r="L619" s="84" t="str">
        <x:v>Completed </x:v>
      </x:c>
      <x:c r="M619" s="84" t="str">
        <x:v>debit card</x:v>
      </x:c>
      <x:c r="N619" s="84" t="str">
        <x:v>Zoe Turner</x:v>
      </x:c>
      <x:c r="O619" s="85" t="n">
        <x:v>45521</x:v>
      </x:c>
      <x:c r="P619" s="84" t="str">
        <x:v>POS_2024_08</x:v>
      </x:c>
      <x:c r="Q619" s="84" t="str">
        <x:v>Standing Desk</x:v>
      </x:c>
      <x:c r="R619" s="84" t="str">
        <x:v>Office</x:v>
      </x:c>
    </x:row>
    <x:row r="620">
      <x:c r="A620" s="84" t="str">
        <x:v>ORD-2024-00883</x:v>
      </x:c>
      <x:c r="B620" s="85" t="n">
        <x:v>45521</x:v>
      </x:c>
      <x:c r="C620" s="84" t="str">
        <x:v>CUST-0324</x:v>
      </x:c>
      <x:c r="D620" s="84" t="str">
        <x:v>Amelia Johnson</x:v>
      </x:c>
      <x:c r="E620" s="84" t="str">
        <x:v>Consumer</x:v>
      </x:c>
      <x:c r="F620" s="84" t="str">
        <x:v>West</x:v>
      </x:c>
      <x:c r="G620" s="84" t="str">
        <x:v>Los Angeles</x:v>
      </x:c>
      <x:c r="H620" s="84" t="str">
        <x:v>Retail Store</x:v>
      </x:c>
      <x:c r="I620" s="84" t="str">
        <x:v>ELEC-003</x:v>
      </x:c>
      <x:c r="J620" s="86" t="n">
        <x:v>4</x:v>
      </x:c>
      <x:c r="K620" s="87" t="n">
        <x:v>0.05</x:v>
      </x:c>
      <x:c r="L620" s="84" t="str">
        <x:v>Completed</x:v>
      </x:c>
      <x:c r="M620" s="84" t="str">
        <x:v>Debit Card</x:v>
      </x:c>
      <x:c r="N620" s="84" t="str">
        <x:v>Mia Chen</x:v>
      </x:c>
      <x:c r="O620" s="85" t="n">
        <x:v>45521</x:v>
      </x:c>
      <x:c r="P620" s="84" t="str">
        <x:v>POS_2024_08</x:v>
      </x:c>
      <x:c r="Q620" s="84" t="str">
        <x:v>Bluetooth Speaker </x:v>
      </x:c>
      <x:c r="R620" s="84" t="str">
        <x:v>electronics</x:v>
      </x:c>
    </x:row>
    <x:row r="621">
      <x:c r="A621" s="84" t="str">
        <x:v>ORD-2024-01477</x:v>
      </x:c>
      <x:c r="B621" s="85" t="n">
        <x:v>45522</x:v>
      </x:c>
      <x:c r="C621" s="84" t="str">
        <x:v>CUST-0481</x:v>
      </x:c>
      <x:c r="D621" s="84" t="str">
        <x:v>Marcus Hall</x:v>
      </x:c>
      <x:c r="E621" s="84" t="str">
        <x:v>Small Business </x:v>
      </x:c>
      <x:c r="F621" s="84" t="str">
        <x:v>Northeast</x:v>
      </x:c>
      <x:c r="G621" s="84" t="str">
        <x:v>Newark </x:v>
      </x:c>
      <x:c r="H621" s="84" t="str">
        <x:v>Retail Store</x:v>
      </x:c>
      <x:c r="I621" s="84" t="str">
        <x:v>CARE-006</x:v>
      </x:c>
      <x:c r="J621" s="86" t="n">
        <x:v>1</x:v>
      </x:c>
      <x:c r="K621" s="87" t="n">
        <x:v>0.1</x:v>
      </x:c>
      <x:c r="L621" s="84" t="str">
        <x:v>Completed</x:v>
      </x:c>
      <x:c r="M621" s="84" t="str">
        <x:v>Credit Card</x:v>
      </x:c>
      <x:c r="N621" s="84" t="str">
        <x:v>Ethan Cole</x:v>
      </x:c>
      <x:c r="O621" s="85" t="n">
        <x:v>45522</x:v>
      </x:c>
      <x:c r="P621" s="84" t="str">
        <x:v>POS_2024_08</x:v>
      </x:c>
      <x:c r="Q621" s="84" t="str">
        <x:v>Percussion Massage Gun</x:v>
      </x:c>
      <x:c r="R621" s="84" t="str">
        <x:v> PERSONAL CARE </x:v>
      </x:c>
    </x:row>
    <x:row r="622">
      <x:c r="A622" s="84" t="str">
        <x:v>ORD-2024-01706</x:v>
      </x:c>
      <x:c r="B622" s="85" t="n">
        <x:v>45522</x:v>
      </x:c>
      <x:c r="C622" s="84" t="str">
        <x:v>CUST-0258</x:v>
      </x:c>
      <x:c r="D622" s="84" t="str">
        <x:v>Nina Walker </x:v>
      </x:c>
      <x:c r="E622" s="84" t="str">
        <x:v>Consumer</x:v>
      </x:c>
      <x:c r="F622" s="84" t="str">
        <x:v>West</x:v>
      </x:c>
      <x:c r="G622" s="84" t="str">
        <x:v>Denver</x:v>
      </x:c>
      <x:c r="H622" s="84" t="str">
        <x:v> RETAIL STORE </x:v>
      </x:c>
      <x:c r="I622" s="84" t="str">
        <x:v>HOME-005</x:v>
      </x:c>
      <x:c r="J622" s="86" t="n">
        <x:v>2</x:v>
      </x:c>
      <x:c r="K622" s="87" t="n">
        <x:v>0</x:v>
      </x:c>
      <x:c r="L622" s="84" t="str">
        <x:v>Completed</x:v>
      </x:c>
      <x:c r="M622" s="84" t="str">
        <x:v>Credit Card </x:v>
      </x:c>
      <x:c r="N622" s="84" t="str">
        <x:v>Mia Chen</x:v>
      </x:c>
      <x:c r="O622" s="85" t="n">
        <x:v>45522</x:v>
      </x:c>
      <x:c r="P622" s="84" t="str">
        <x:v>POS_2024_08</x:v>
      </x:c>
      <x:c r="Q622" s="84" t="str">
        <x:v>Cordless Vacuum</x:v>
      </x:c>
      <x:c r="R622" s="84" t="str">
        <x:v>Home &amp; Kitchen</x:v>
      </x:c>
    </x:row>
    <x:row r="623">
      <x:c r="A623" s="84" t="str">
        <x:v>ORD-2024-02309</x:v>
      </x:c>
      <x:c r="B623" s="85" t="n">
        <x:v>45522</x:v>
      </x:c>
      <x:c r="C623" s="84" t="str">
        <x:v>CUST-0247</x:v>
      </x:c>
      <x:c r="D623" s="84" t="str">
        <x:v> MAYA YOUNG </x:v>
      </x:c>
      <x:c r="E623" s="84" t="str">
        <x:v>Consumer</x:v>
      </x:c>
      <x:c r="F623" s="84" t="str">
        <x:v> SOUTHEAST </x:v>
      </x:c>
      <x:c r="G623" s="84" t="str">
        <x:v>Nashville</x:v>
      </x:c>
      <x:c r="H623" s="84" t="str">
        <x:v>Retail Store</x:v>
      </x:c>
      <x:c r="I623" s="84" t="str">
        <x:v>ACCS-004</x:v>
      </x:c>
      <x:c r="J623" s="86" t="n">
        <x:v>2</x:v>
      </x:c>
      <x:c r="K623" s="87" t="n">
        <x:v>0.2</x:v>
      </x:c>
      <x:c r="L623" s="84" t="str">
        <x:v>Completed </x:v>
      </x:c>
      <x:c r="M623" s="84" t="str">
        <x:v>credit card</x:v>
      </x:c>
      <x:c r="N623" s="84" t="str">
        <x:v>Noah Reed</x:v>
      </x:c>
      <x:c r="O623" s="85" t="n">
        <x:v>45522</x:v>
      </x:c>
      <x:c r="P623" s="84" t="str">
        <x:v>POS_2024_08</x:v>
      </x:c>
      <x:c r="Q623" s="84" t="str">
        <x:v>Leather Wallet</x:v>
      </x:c>
      <x:c r="R623" s="84" t="str">
        <x:v>Accessories</x:v>
      </x:c>
    </x:row>
    <x:row r="624">
      <x:c r="A624" s="84" t="str">
        <x:v>ORD-2024-00129</x:v>
      </x:c>
      <x:c r="B624" s="85" t="n">
        <x:v>45523</x:v>
      </x:c>
      <x:c r="C624" s="84" t="str">
        <x:v>CUST-0010</x:v>
      </x:c>
      <x:c r="D624" s="84" t="str">
        <x:v>Nathan Taylor</x:v>
      </x:c>
      <x:c r="E624" s="84" t="str">
        <x:v>Consumer</x:v>
      </x:c>
      <x:c r="F624" s="84" t="str">
        <x:v>midwest</x:v>
      </x:c>
      <x:c r="G624" s="84" t="str">
        <x:v> MINNEAPOLIS </x:v>
      </x:c>
      <x:c r="H624" s="84" t="str">
        <x:v>Online </x:v>
      </x:c>
      <x:c r="I624" s="84" t="str">
        <x:v>CARE-003</x:v>
      </x:c>
      <x:c r="J624" s="86" t="n">
        <x:v>1</x:v>
      </x:c>
      <x:c r="K624" s="87" t="n">
        <x:v>0</x:v>
      </x:c>
      <x:c r="L624" s="84" t="str">
        <x:v>Completed</x:v>
      </x:c>
      <x:c r="M624" s="84" t="str">
        <x:v>Credit Card</x:v>
      </x:c>
      <x:c r="N624" s="84" t="str">
        <x:v>Zoe Turner</x:v>
      </x:c>
      <x:c r="O624" s="85" t="n">
        <x:v>45526</x:v>
      </x:c>
      <x:c r="P624" s="84" t="str">
        <x:v>WEB_2024_08</x:v>
      </x:c>
      <x:c r="Q624" s="84" t="str">
        <x:v>Facial Cleanser</x:v>
      </x:c>
      <x:c r="R624" s="84" t="str">
        <x:v>Personal Care</x:v>
      </x:c>
    </x:row>
    <x:row r="625">
      <x:c r="A625" s="84" t="str">
        <x:v>ORD-2024-00918</x:v>
      </x:c>
      <x:c r="B625" s="85" t="n">
        <x:v>45523</x:v>
      </x:c>
      <x:c r="C625" s="84" t="str">
        <x:v>CUST-0337</x:v>
      </x:c>
      <x:c r="D625" s="84" t="str">
        <x:v>Owen Garcia</x:v>
      </x:c>
      <x:c r="E625" s="84" t="str">
        <x:v> CONSUMER </x:v>
      </x:c>
      <x:c r="F625" s="84" t="str">
        <x:v>West</x:v>
      </x:c>
      <x:c r="G625" s="84" t="str">
        <x:v>Los Angeles</x:v>
      </x:c>
      <x:c r="H625" s="84" t="str">
        <x:v>Online</x:v>
      </x:c>
      <x:c r="I625" s="84" t="str">
        <x:v>FITN-003</x:v>
      </x:c>
      <x:c r="J625" s="86" t="n">
        <x:v>1</x:v>
      </x:c>
      <x:c r="K625" s="87" t="n">
        <x:v>0.15</x:v>
      </x:c>
      <x:c r="L625" s="84" t="str">
        <x:v>Completed</x:v>
      </x:c>
      <x:c r="M625" s="84" t="str">
        <x:v>Debit Card</x:v>
      </x:c>
      <x:c r="N625" s="84" t="str">
        <x:v>Leo Martinez</x:v>
      </x:c>
      <x:c r="O625" s="85" t="n">
        <x:v>45526</x:v>
      </x:c>
      <x:c r="P625" s="84" t="str">
        <x:v>WEB_2024_08</x:v>
      </x:c>
      <x:c r="Q625" s="84" t="str">
        <x:v>Resistance Band Set </x:v>
      </x:c>
      <x:c r="R625" s="84" t="str">
        <x:v>Fitness</x:v>
      </x:c>
    </x:row>
    <x:row r="626">
      <x:c r="A626" s="84" t="str">
        <x:v>ORD-2024-00918</x:v>
      </x:c>
      <x:c r="B626" s="85" t="n">
        <x:v>45523</x:v>
      </x:c>
      <x:c r="C626" s="84" t="str">
        <x:v>CUST-0337</x:v>
      </x:c>
      <x:c r="D626" s="84" t="str">
        <x:v>Owen Garcia</x:v>
      </x:c>
      <x:c r="E626" s="84" t="str">
        <x:v> CONSUMER </x:v>
      </x:c>
      <x:c r="F626" s="84" t="str">
        <x:v>West</x:v>
      </x:c>
      <x:c r="G626" s="84" t="str">
        <x:v>Los Angeles</x:v>
      </x:c>
      <x:c r="H626" s="84" t="str">
        <x:v>Online</x:v>
      </x:c>
      <x:c r="I626" s="84" t="str">
        <x:v>FITN-003</x:v>
      </x:c>
      <x:c r="J626" s="86" t="n">
        <x:v>1</x:v>
      </x:c>
      <x:c r="K626" s="87" t="n">
        <x:v>0.15</x:v>
      </x:c>
      <x:c r="L626" s="84" t="str">
        <x:v>Completed</x:v>
      </x:c>
      <x:c r="M626" s="84" t="str">
        <x:v>Debit Card</x:v>
      </x:c>
      <x:c r="N626" s="84" t="str">
        <x:v>Leo Martinez</x:v>
      </x:c>
      <x:c r="O626" s="85" t="n">
        <x:v>45526</x:v>
      </x:c>
      <x:c r="P626" s="84" t="str">
        <x:v>RELOAD_WEB_2024_08</x:v>
      </x:c>
      <x:c r="Q626" s="84" t="str">
        <x:v>Resistance Band Set </x:v>
      </x:c>
      <x:c r="R626" s="84" t="str">
        <x:v>Fitness</x:v>
      </x:c>
    </x:row>
    <x:row r="627">
      <x:c r="A627" s="84" t="str">
        <x:v>ORD-2024-01167</x:v>
      </x:c>
      <x:c r="B627" s="85" t="n">
        <x:v>45523</x:v>
      </x:c>
      <x:c r="C627" s="84" t="str">
        <x:v>CUST-0211</x:v>
      </x:c>
      <x:c r="D627" s="84" t="str">
        <x:v>Caleb Roberts </x:v>
      </x:c>
      <x:c r="E627" s="84" t="str">
        <x:v>Consumer</x:v>
      </x:c>
      <x:c r="F627" s="84" t="str">
        <x:v>Northeast</x:v>
      </x:c>
      <x:c r="G627" s="84" t="str">
        <x:v>New York</x:v>
      </x:c>
      <x:c r="H627" s="84" t="str">
        <x:v>Retail Store</x:v>
      </x:c>
      <x:c r="I627" s="84" t="str">
        <x:v>HOME-003</x:v>
      </x:c>
      <x:c r="J627" s="86" t="n">
        <x:v>2</x:v>
      </x:c>
      <x:c r="K627" s="87" t="n">
        <x:v>0</x:v>
      </x:c>
      <x:c r="L627" s="84" t="str">
        <x:v>Completed</x:v>
      </x:c>
      <x:c r="M627" s="84" t="str">
        <x:v> CREDIT CARD </x:v>
      </x:c>
      <x:c r="N627" s="84" t="str">
        <x:v>Sofia Bennett</x:v>
      </x:c>
      <x:c r="O627" s="85" t="n">
        <x:v>45524</x:v>
      </x:c>
      <x:c r="P627" s="84" t="str">
        <x:v>POS_2024_08</x:v>
      </x:c>
      <x:c r="Q627" s="84" t="str">
        <x:v>Countertop Blender</x:v>
      </x:c>
      <x:c r="R627" s="84" t="str">
        <x:v>Home &amp; Kitchen</x:v>
      </x:c>
    </x:row>
    <x:row r="628">
      <x:c r="A628" s="84" t="str">
        <x:v>ORD-2024-01550</x:v>
      </x:c>
      <x:c r="B628" s="85" t="n">
        <x:v>45523</x:v>
      </x:c>
      <x:c r="C628" s="84" t="str">
        <x:v>CUST-0617</x:v>
      </x:c>
      <x:c r="D628" s="84" t="str">
        <x:v>Layla Hall</x:v>
      </x:c>
      <x:c r="E628" s="84" t="str">
        <x:v>Consumer</x:v>
      </x:c>
      <x:c r="F628" s="84" t="str">
        <x:v>Southeast</x:v>
      </x:c>
      <x:c r="G628" s="84" t="str">
        <x:v>Nashville</x:v>
      </x:c>
      <x:c r="H628" s="84" t="str">
        <x:v>Online </x:v>
      </x:c>
      <x:c r="I628" s="84" t="str">
        <x:v>ACCS-001</x:v>
      </x:c>
      <x:c r="J628" s="86" t="n">
        <x:v>1</x:v>
      </x:c>
      <x:c r="K628" s="87" t="n">
        <x:v>0.05</x:v>
      </x:c>
      <x:c r="L628" s="84" t="str">
        <x:v>Completed</x:v>
      </x:c>
      <x:c r="M628" s="84" t="str">
        <x:v>debit card</x:v>
      </x:c>
      <x:c r="N628" s="84" t="str">
        <x:v> AVA MITCHELL </x:v>
      </x:c>
      <x:c r="O628" s="85" t="n">
        <x:v>45525</x:v>
      </x:c>
      <x:c r="P628" s="84" t="str">
        <x:v>WEB_2024_08</x:v>
      </x:c>
      <x:c r="Q628" s="84" t="str">
        <x:v>Canvas Tote Bag</x:v>
      </x:c>
      <x:c r="R628" s="84" t="str">
        <x:v>Accessories</x:v>
      </x:c>
    </x:row>
    <x:row r="629">
      <x:c r="A629" s="84" t="str">
        <x:v>ORD-2024-01603</x:v>
      </x:c>
      <x:c r="B629" s="85" t="n">
        <x:v>45523</x:v>
      </x:c>
      <x:c r="C629" s="84" t="str">
        <x:v>CUST-0418</x:v>
      </x:c>
      <x:c r="D629" s="84" t="str">
        <x:v>Grace Ortiz</x:v>
      </x:c>
      <x:c r="E629" s="84" t="str">
        <x:v>Small Business </x:v>
      </x:c>
      <x:c r="F629" s="84" t="str">
        <x:v>west</x:v>
      </x:c>
      <x:c r="G629" s="84" t="str">
        <x:v>Seattle </x:v>
      </x:c>
      <x:c r="H629" s="84" t="str">
        <x:v>Retail Store</x:v>
      </x:c>
      <x:c r="I629" s="84" t="str">
        <x:v>CARE-004</x:v>
      </x:c>
      <x:c r="J629" s="86" t="n">
        <x:v>1</x:v>
      </x:c>
      <x:c r="K629" s="87" t="n">
        <x:v>0.1</x:v>
      </x:c>
      <x:c r="L629" s="84" t="str">
        <x:v> COMPLETED </x:v>
      </x:c>
      <x:c r="M629" s="84" t="str">
        <x:v>Credit Card</x:v>
      </x:c>
      <x:c r="N629" s="84" t="str">
        <x:v>Mia Chen</x:v>
      </x:c>
      <x:c r="O629" s="85" t="n">
        <x:v>45523</x:v>
      </x:c>
      <x:c r="P629" s="84" t="str">
        <x:v>POS_2024_08</x:v>
      </x:c>
      <x:c r="Q629" s="84" t="str">
        <x:v>Electric Toothbrush</x:v>
      </x:c>
      <x:c r="R629" s="84" t="str">
        <x:v>Personal Care</x:v>
      </x:c>
    </x:row>
    <x:row r="630">
      <x:c r="A630" s="84" t="str">
        <x:v>ORD-2024-00331</x:v>
      </x:c>
      <x:c r="B630" s="85" t="n">
        <x:v>45524</x:v>
      </x:c>
      <x:c r="C630" s="84" t="str">
        <x:v>CUST-0295</x:v>
      </x:c>
      <x:c r="D630" s="84" t="str">
        <x:v>Nina Garcia</x:v>
      </x:c>
      <x:c r="E630" s="84" t="str">
        <x:v>Consumer</x:v>
      </x:c>
      <x:c r="F630" s="84" t="str">
        <x:v>Northeast</x:v>
      </x:c>
      <x:c r="G630" s="84" t="str">
        <x:v>Boston</x:v>
      </x:c>
      <x:c r="H630" s="84" t="str">
        <x:v>Retail Store</x:v>
      </x:c>
      <x:c r="I630" s="84" t="str">
        <x:v>HOME-005</x:v>
      </x:c>
      <x:c r="J630" s="86" t="n">
        <x:v>2</x:v>
      </x:c>
      <x:c r="K630" s="87" t="n">
        <x:v>0</x:v>
      </x:c>
      <x:c r="L630" s="84" t="str">
        <x:v>Completed</x:v>
      </x:c>
      <x:c r="M630" s="84" t="str">
        <x:v>Cash</x:v>
      </x:c>
      <x:c r="N630" s="84" t="str">
        <x:v>Maya Brooks</x:v>
      </x:c>
      <x:c r="O630" s="85" t="n">
        <x:v>45524</x:v>
      </x:c>
      <x:c r="P630" s="84" t="str">
        <x:v>POS_2024_08</x:v>
      </x:c>
      <x:c r="Q630" s="84" t="str">
        <x:v>Cordless Vacuum</x:v>
      </x:c>
      <x:c r="R630" s="84" t="str">
        <x:v>Home &amp; Kitchen </x:v>
      </x:c>
    </x:row>
    <x:row r="631">
      <x:c r="A631" s="84" t="str">
        <x:v>ORD-2024-01635</x:v>
      </x:c>
      <x:c r="B631" s="85" t="n">
        <x:v>45524</x:v>
      </x:c>
      <x:c r="C631" s="84" t="str">
        <x:v>CUST-0146</x:v>
      </x:c>
      <x:c r="D631" s="84" t="str">
        <x:v>elena quinn</x:v>
      </x:c>
      <x:c r="E631" s="84" t="str">
        <x:v>Consumer</x:v>
      </x:c>
      <x:c r="F631" s="84" t="str">
        <x:v>West </x:v>
      </x:c>
      <x:c r="G631" s="84" t="str">
        <x:v>Seattle</x:v>
      </x:c>
      <x:c r="H631" s="84" t="str">
        <x:v>Online</x:v>
      </x:c>
      <x:c r="I631" s="84" t="str">
        <x:v>CARE-003</x:v>
      </x:c>
      <x:c r="J631" s="86" t="n">
        <x:v>1</x:v>
      </x:c>
      <x:c r="K631" s="87" t="n">
        <x:v>0.05</x:v>
      </x:c>
      <x:c r="L631" s="84" t="str">
        <x:v>Completed</x:v>
      </x:c>
      <x:c r="M631" s="84" t="str">
        <x:v>Mobile Wallet</x:v>
      </x:c>
      <x:c r="N631" s="84" t="str">
        <x:v> LEO MARTINEZ </x:v>
      </x:c>
      <x:c r="O631" s="85" t="n">
        <x:v>45530</x:v>
      </x:c>
      <x:c r="P631" s="84" t="str">
        <x:v>WEB_2024_08</x:v>
      </x:c>
      <x:c r="Q631" s="84" t="str">
        <x:v>Facial Cleanser</x:v>
      </x:c>
      <x:c r="R631" s="84" t="str">
        <x:v>Personal Care</x:v>
      </x:c>
    </x:row>
    <x:row r="632">
      <x:c r="A632" s="84" t="str">
        <x:v>ORD-2024-01684</x:v>
      </x:c>
      <x:c r="B632" s="85" t="n">
        <x:v>45524</x:v>
      </x:c>
      <x:c r="C632" s="84" t="str">
        <x:v>CUST-0148</x:v>
      </x:c>
      <x:c r="D632" s="84" t="str">
        <x:v>Caleb Adams</x:v>
      </x:c>
      <x:c r="E632" s="84" t="str">
        <x:v>Small Business</x:v>
      </x:c>
      <x:c r="F632" s="84" t="str">
        <x:v>West </x:v>
      </x:c>
      <x:c r="G632" s="84" t="str">
        <x:v>Phoenix</x:v>
      </x:c>
      <x:c r="H632" s="84" t="str">
        <x:v>Retail Store</x:v>
      </x:c>
      <x:c r="I632" s="84" t="str">
        <x:v>HOME-004</x:v>
      </x:c>
      <x:c r="J632" s="86" t="n">
        <x:v>2</x:v>
      </x:c>
      <x:c r="K632" s="87" t="n">
        <x:v>0.05</x:v>
      </x:c>
      <x:c r="L632" s="84" t="str">
        <x:v>Completed</x:v>
      </x:c>
      <x:c r="M632" s="84" t="str">
        <x:v>Credit Card</x:v>
      </x:c>
      <x:c r="N632" s="84" t="str">
        <x:v>Nora Kim </x:v>
      </x:c>
      <x:c r="O632" s="85" t="n">
        <x:v>45525</x:v>
      </x:c>
      <x:c r="P632" s="84" t="str">
        <x:v>POS_2024_08</x:v>
      </x:c>
      <x:c r="Q632" s="84" t="str">
        <x:v>Coffee Maker</x:v>
      </x:c>
      <x:c r="R632" s="84" t="str">
        <x:v>Home &amp; Kitchen</x:v>
      </x:c>
    </x:row>
    <x:row r="633">
      <x:c r="A633" s="84" t="str">
        <x:v>ORD-2024-01857</x:v>
      </x:c>
      <x:c r="B633" s="85" t="n">
        <x:v>45524</x:v>
      </x:c>
      <x:c r="C633" s="84" t="str">
        <x:v>CUST-0409</x:v>
      </x:c>
      <x:c r="D633" s="84" t="str">
        <x:v>Owen Ortiz</x:v>
      </x:c>
      <x:c r="E633" s="84" t="str">
        <x:v>Consumer</x:v>
      </x:c>
      <x:c r="F633" s="84" t="str">
        <x:v>West</x:v>
      </x:c>
      <x:c r="G633" s="84" t="str">
        <x:v>Los Angeles</x:v>
      </x:c>
      <x:c r="H633" s="84" t="str">
        <x:v>Online</x:v>
      </x:c>
      <x:c r="I633" s="84" t="str">
        <x:v>HOME-006</x:v>
      </x:c>
      <x:c r="J633" s="86" t="n">
        <x:v>2</x:v>
      </x:c>
      <x:c r="K633" s="87" t="n">
        <x:v>0.05</x:v>
      </x:c>
      <x:c r="L633" s="84" t="str">
        <x:v>Completed</x:v>
      </x:c>
      <x:c r="M633" s="84" t="str">
        <x:v>PayPal</x:v>
      </x:c>
      <x:c r="N633" s="84" t="str">
        <x:v>Leo Martinez</x:v>
      </x:c>
      <x:c r="O633" s="85" t="n">
        <x:v>45526</x:v>
      </x:c>
      <x:c r="P633" s="84" t="str">
        <x:v>WEB_2024_08</x:v>
      </x:c>
      <x:c r="Q633" s="84" t="str">
        <x:v> FOOD STORAGE SET </x:v>
      </x:c>
      <x:c r="R633" s="84" t="str">
        <x:v>Home &amp; Kitchen </x:v>
      </x:c>
    </x:row>
    <x:row r="634">
      <x:c r="A634" s="84" t="str">
        <x:v>ORD-2024-00564</x:v>
      </x:c>
      <x:c r="B634" s="85" t="n">
        <x:v>45525</x:v>
      </x:c>
      <x:c r="C634" s="84" t="str">
        <x:v>CUST-0578</x:v>
      </x:c>
      <x:c r="D634" s="84" t="str">
        <x:v>Priya Smith</x:v>
      </x:c>
      <x:c r="E634" s="84" t="str">
        <x:v>Corporate</x:v>
      </x:c>
      <x:c r="F634" s="84" t="str">
        <x:v>Northeast </x:v>
      </x:c>
      <x:c r="G634" s="84" t="str">
        <x:v>Newark</x:v>
      </x:c>
      <x:c r="H634" s="84" t="str">
        <x:v>Online</x:v>
      </x:c>
      <x:c r="I634" s="84" t="str">
        <x:v>HOME-004</x:v>
      </x:c>
      <x:c r="J634" s="86" t="n">
        <x:v>2</x:v>
      </x:c>
      <x:c r="K634" s="87" t="n">
        <x:v>0.1</x:v>
      </x:c>
      <x:c r="L634" s="84" t="str">
        <x:v>Completed</x:v>
      </x:c>
      <x:c r="M634" s="84" t="str">
        <x:v>Credit Card</x:v>
      </x:c>
      <x:c r="N634" s="84" t="str">
        <x:v> ETHAN COLE </x:v>
      </x:c>
      <x:c r="O634" s="85" t="n">
        <x:v>45528</x:v>
      </x:c>
      <x:c r="P634" s="84" t="str">
        <x:v>WEB_2024_08</x:v>
      </x:c>
      <x:c r="Q634" s="84" t="str">
        <x:v>Coffee Maker</x:v>
      </x:c>
      <x:c r="R634" s="84" t="str">
        <x:v>home &amp; kitchen</x:v>
      </x:c>
    </x:row>
    <x:row r="635">
      <x:c r="A635" s="84" t="str">
        <x:v>ORD-2024-01872</x:v>
      </x:c>
      <x:c r="B635" s="85" t="n">
        <x:v>45525</x:v>
      </x:c>
      <x:c r="C635" s="84" t="str">
        <x:v>CUST-0149</x:v>
      </x:c>
      <x:c r="D635" s="84" t="str">
        <x:v>Caleb Baker</x:v>
      </x:c>
      <x:c r="E635" s="84" t="str">
        <x:v>Consumer</x:v>
      </x:c>
      <x:c r="F635" s="84" t="str">
        <x:v>Midwest</x:v>
      </x:c>
      <x:c r="G635" s="84" t="str">
        <x:v>Detroit</x:v>
      </x:c>
      <x:c r="H635" s="84" t="str">
        <x:v>Retail Store </x:v>
      </x:c>
      <x:c r="I635" s="84" t="str">
        <x:v>FITN-006</x:v>
      </x:c>
      <x:c r="J635" s="86" t="n">
        <x:v>1</x:v>
      </x:c>
      <x:c r="K635" s="87" t="n">
        <x:v>0.2</x:v>
      </x:c>
      <x:c r="L635" s="84" t="str">
        <x:v>Completed</x:v>
      </x:c>
      <x:c r="M635" s="84" t="str">
        <x:v>Credit Card</x:v>
      </x:c>
      <x:c r="N635" s="84" t="str">
        <x:v>emma hayes</x:v>
      </x:c>
      <x:c r="O635" s="85" t="n">
        <x:v>45525</x:v>
      </x:c>
      <x:c r="P635" s="84" t="str">
        <x:v>POS_2024_08</x:v>
      </x:c>
      <x:c r="Q635" s="84" t="str">
        <x:v>Foam Roller</x:v>
      </x:c>
      <x:c r="R635" s="84" t="str">
        <x:v>Fitness</x:v>
      </x:c>
    </x:row>
    <x:row r="636">
      <x:c r="A636" s="84" t="str">
        <x:v>ORD-2024-02104</x:v>
      </x:c>
      <x:c r="B636" s="85" t="n">
        <x:v>45525</x:v>
      </x:c>
      <x:c r="C636" s="84" t="str">
        <x:v>CUST-0119</x:v>
      </x:c>
      <x:c r="D636" s="84" t="str">
        <x:v>Grace Nelson</x:v>
      </x:c>
      <x:c r="E636" s="84" t="str">
        <x:v>Small Business</x:v>
      </x:c>
      <x:c r="F636" s="84" t="str">
        <x:v>West </x:v>
      </x:c>
      <x:c r="G636" s="84" t="str">
        <x:v>Denver</x:v>
      </x:c>
      <x:c r="H636" s="84" t="str">
        <x:v>Marketplace</x:v>
      </x:c>
      <x:c r="I636" s="84" t="str">
        <x:v>CARE-002</x:v>
      </x:c>
      <x:c r="J636" s="86" t="n">
        <x:v>1</x:v>
      </x:c>
      <x:c r="K636" s="87" t="n">
        <x:v>0.1</x:v>
      </x:c>
      <x:c r="L636" s="84" t="str">
        <x:v>Completed</x:v>
      </x:c>
      <x:c r="M636" s="84" t="str">
        <x:v>Credit Card</x:v>
      </x:c>
      <x:c r="N636" s="84" t="str">
        <x:v>Mia Chen </x:v>
      </x:c>
      <x:c r="O636" s="85" t="n">
        <x:v>45531</x:v>
      </x:c>
      <x:c r="P636" s="84" t="str">
        <x:v>MKT_2024_08</x:v>
      </x:c>
      <x:c r="Q636" s="84" t="str">
        <x:v>Rechargeable Trimmer</x:v>
      </x:c>
      <x:c r="R636" s="84" t="str">
        <x:v>personal care</x:v>
      </x:c>
    </x:row>
    <x:row r="637">
      <x:c r="A637" s="84" t="str">
        <x:v>ORD-2024-02120</x:v>
      </x:c>
      <x:c r="B637" s="85" t="n">
        <x:v>45525</x:v>
      </x:c>
      <x:c r="C637" s="84" t="str">
        <x:v>CUST-0285</x:v>
      </x:c>
      <x:c r="D637" s="84" t="str">
        <x:v>Caleb Evans</x:v>
      </x:c>
      <x:c r="E637" s="84" t="str">
        <x:v>Consumer</x:v>
      </x:c>
      <x:c r="F637" s="84" t="str">
        <x:v>southeast</x:v>
      </x:c>
      <x:c r="G637" s="84" t="str">
        <x:v>Charlotte</x:v>
      </x:c>
      <x:c r="H637" s="84" t="str">
        <x:v>Marketplace</x:v>
      </x:c>
      <x:c r="I637" s="84" t="str">
        <x:v>HOME-001</x:v>
      </x:c>
      <x:c r="J637" s="86" t="n">
        <x:v>1</x:v>
      </x:c>
      <x:c r="K637" s="87" t="n">
        <x:v>0.1</x:v>
      </x:c>
      <x:c r="L637" s="84" t="str">
        <x:v>Completed </x:v>
      </x:c>
      <x:c r="M637" s="84" t="str">
        <x:v>Credit Card</x:v>
      </x:c>
      <x:c r="N637" s="84" t="str">
        <x:v>Liam Parker</x:v>
      </x:c>
      <x:c r="O637" s="85" t="n">
        <x:v>45533</x:v>
      </x:c>
      <x:c r="P637" s="84" t="str">
        <x:v>MKT_2024_08</x:v>
      </x:c>
      <x:c r="Q637" s="84" t="str">
        <x:v>Air Fryer</x:v>
      </x:c>
      <x:c r="R637" s="84" t="str">
        <x:v>Home &amp; Kitchen</x:v>
      </x:c>
    </x:row>
    <x:row r="638">
      <x:c r="A638" s="84" t="str">
        <x:v>ORD-2024-02166</x:v>
      </x:c>
      <x:c r="B638" s="85" t="n">
        <x:v>45525</x:v>
      </x:c>
      <x:c r="C638" s="84" t="str">
        <x:v>CUST-0040</x:v>
      </x:c>
      <x:c r="D638" s="84" t="str">
        <x:v>Elias Irwin</x:v>
      </x:c>
      <x:c r="E638" s="84" t="str">
        <x:v>Small Business</x:v>
      </x:c>
      <x:c r="F638" s="84" t="str">
        <x:v>Southeast</x:v>
      </x:c>
      <x:c r="G638" s="84" t="str">
        <x:v>Charlotte</x:v>
      </x:c>
      <x:c r="H638" s="84" t="str">
        <x:v>Retail Store </x:v>
      </x:c>
      <x:c r="I638" s="84" t="str">
        <x:v>FITN-004</x:v>
      </x:c>
      <x:c r="J638" s="86" t="n">
        <x:v>2</x:v>
      </x:c>
      <x:c r="K638" s="87" t="n">
        <x:v>0.05</x:v>
      </x:c>
      <x:c r="L638" s="84" t="str">
        <x:v>Completed</x:v>
      </x:c>
      <x:c r="M638" s="84" t="str">
        <x:v>debit card</x:v>
      </x:c>
      <x:c r="N638" s="84" t="str">
        <x:v>Ava Mitchell</x:v>
      </x:c>
      <x:c r="O638" s="85" t="n">
        <x:v>45525</x:v>
      </x:c>
      <x:c r="P638" s="84" t="str">
        <x:v>POS_2024_08</x:v>
      </x:c>
      <x:c r="Q638" s="84" t="str">
        <x:v>Fitness Tracker</x:v>
      </x:c>
      <x:c r="R638" s="84" t="str">
        <x:v>Fitness</x:v>
      </x:c>
    </x:row>
    <x:row r="639">
      <x:c r="A639" s="84" t="str">
        <x:v>ORD-2024-00038</x:v>
      </x:c>
      <x:c r="B639" s="85" t="n">
        <x:v>45526</x:v>
      </x:c>
      <x:c r="C639" s="84" t="str">
        <x:v>CUST-0054</x:v>
      </x:c>
      <x:c r="D639" s="84" t="str">
        <x:v>Priya Roberts</x:v>
      </x:c>
      <x:c r="E639" s="84" t="str">
        <x:v>Consumer</x:v>
      </x:c>
      <x:c r="F639" s="84" t="str">
        <x:v>West</x:v>
      </x:c>
      <x:c r="G639" s="84" t="str">
        <x:v>Phoenix</x:v>
      </x:c>
      <x:c r="H639" s="84" t="str">
        <x:v>Online </x:v>
      </x:c>
      <x:c r="I639" s="84" t="str">
        <x:v>OFFC-001</x:v>
      </x:c>
      <x:c r="J639" s="86" t="n">
        <x:v>1</x:v>
      </x:c>
      <x:c r="K639" s="87" t="n">
        <x:v>0</x:v>
      </x:c>
      <x:c r="L639" s="84" t="str">
        <x:v>Completed</x:v>
      </x:c>
      <x:c r="M639" s="84" t="str">
        <x:v>Debit Card</x:v>
      </x:c>
      <x:c r="N639" s="84" t="str">
        <x:v>Mia Chen</x:v>
      </x:c>
      <x:c r="O639" s="85" t="n">
        <x:v>45530</x:v>
      </x:c>
      <x:c r="P639" s="84" t="str">
        <x:v>WEB_2024_08</x:v>
      </x:c>
      <x:c r="Q639" s="84" t="str">
        <x:v> ERGONOMIC CHAIR </x:v>
      </x:c>
      <x:c r="R639" s="84" t="str">
        <x:v>Office</x:v>
      </x:c>
    </x:row>
    <x:row r="640">
      <x:c r="A640" s="84" t="str">
        <x:v>ORD-2024-01552</x:v>
      </x:c>
      <x:c r="B640" s="85" t="n">
        <x:v>45526</x:v>
      </x:c>
      <x:c r="C640" s="84" t="str">
        <x:v>CUST-0282</x:v>
      </x:c>
      <x:c r="D640" s="84" t="str">
        <x:v>Caleb Carter </x:v>
      </x:c>
      <x:c r="E640" s="84" t="str">
        <x:v>Consumer</x:v>
      </x:c>
      <x:c r="F640" s="84" t="str">
        <x:v>Northeast</x:v>
      </x:c>
      <x:c r="G640" s="84" t="str">
        <x:v>Boston</x:v>
      </x:c>
      <x:c r="H640" s="84" t="str">
        <x:v>Online</x:v>
      </x:c>
      <x:c r="I640" s="84" t="str">
        <x:v>HOME-006</x:v>
      </x:c>
      <x:c r="J640" s="86" t="n">
        <x:v>1</x:v>
      </x:c>
      <x:c r="K640" s="87" t="n">
        <x:v>0</x:v>
      </x:c>
      <x:c r="L640" s="84" t="str">
        <x:v> COMPLETED </x:v>
      </x:c>
      <x:c r="M640" s="84" t="str">
        <x:v>Debit Card </x:v>
      </x:c>
      <x:c r="N640" s="84" t="str">
        <x:v>Sofia Bennett</x:v>
      </x:c>
      <x:c r="O640" s="85" t="n">
        <x:v>45532</x:v>
      </x:c>
      <x:c r="P640" s="84" t="str">
        <x:v>WEB_2024_08</x:v>
      </x:c>
      <x:c r="Q640" s="84" t="str">
        <x:v>Food Storage Set</x:v>
      </x:c>
      <x:c r="R640" s="84" t="str">
        <x:v>Home &amp; Kitchen</x:v>
      </x:c>
    </x:row>
    <x:row r="641">
      <x:c r="A641" s="84" t="str">
        <x:v>ORD-2024-01595</x:v>
      </x:c>
      <x:c r="B641" s="85" t="n">
        <x:v>45526</x:v>
      </x:c>
      <x:c r="C641" s="84" t="str">
        <x:v>CUST-0598</x:v>
      </x:c>
      <x:c r="D641" s="84" t="str">
        <x:v> AMELIA EVANS </x:v>
      </x:c>
      <x:c r="E641" s="84" t="str">
        <x:v>corporate</x:v>
      </x:c>
      <x:c r="F641" s="84" t="str">
        <x:v> SOUTHEAST </x:v>
      </x:c>
      <x:c r="G641" s="84" t="str">
        <x:v>Nashville</x:v>
      </x:c>
      <x:c r="H641" s="84" t="str">
        <x:v>online</x:v>
      </x:c>
      <x:c r="I641" s="84" t="str">
        <x:v>ELEC-003</x:v>
      </x:c>
      <x:c r="J641" s="86" t="n">
        <x:v>6</x:v>
      </x:c>
      <x:c r="K641" s="87" t="n">
        <x:v>0</x:v>
      </x:c>
      <x:c r="L641" s="84" t="str">
        <x:v>Completed </x:v>
      </x:c>
      <x:c r="M641" s="84" t="str">
        <x:v>Debit Card</x:v>
      </x:c>
      <x:c r="N641" s="84" t="str">
        <x:v>Noah Reed</x:v>
      </x:c>
      <x:c r="O641" s="85" t="n">
        <x:v>45532</x:v>
      </x:c>
      <x:c r="P641" s="84" t="str">
        <x:v>WEB_2024_08</x:v>
      </x:c>
      <x:c r="Q641" s="84" t="str">
        <x:v>Bluetooth Speaker</x:v>
      </x:c>
      <x:c r="R641" s="84" t="str">
        <x:v>Electronics</x:v>
      </x:c>
    </x:row>
    <x:row r="642">
      <x:c r="A642" s="84" t="str">
        <x:v>ORD-2024-01909</x:v>
      </x:c>
      <x:c r="B642" s="85" t="n">
        <x:v>45526</x:v>
      </x:c>
      <x:c r="C642" s="84" t="str">
        <x:v>CUST-0251</x:v>
      </x:c>
      <x:c r="D642" s="84" t="str">
        <x:v>Isaac Patel </x:v>
      </x:c>
      <x:c r="E642" s="84" t="str">
        <x:v>Small Business</x:v>
      </x:c>
      <x:c r="F642" s="84" t="str">
        <x:v>Southeast</x:v>
      </x:c>
      <x:c r="G642" s="84" t="str">
        <x:v>Atlanta</x:v>
      </x:c>
      <x:c r="H642" s="84" t="str">
        <x:v>Online</x:v>
      </x:c>
      <x:c r="I642" s="84" t="str">
        <x:v>HOME-001</x:v>
      </x:c>
      <x:c r="J642" s="86" t="n">
        <x:v>1</x:v>
      </x:c>
      <x:c r="K642" s="87" t="n">
        <x:v>0</x:v>
      </x:c>
      <x:c r="L642" s="84" t="str">
        <x:v> COMPLETED </x:v>
      </x:c>
      <x:c r="M642" s="84" t="str">
        <x:v>Credit Card </x:v>
      </x:c>
      <x:c r="N642" s="84" t="str">
        <x:v>Liam Parker</x:v>
      </x:c>
      <x:c r="O642" s="85" t="n">
        <x:v>45529</x:v>
      </x:c>
      <x:c r="P642" s="84" t="str">
        <x:v>WEB_2024_08</x:v>
      </x:c>
      <x:c r="Q642" s="84" t="str">
        <x:v>Air Fryer</x:v>
      </x:c>
      <x:c r="R642" s="84" t="str">
        <x:v>Home &amp; Kitchen</x:v>
      </x:c>
    </x:row>
    <x:row r="643">
      <x:c r="A643" s="84" t="str">
        <x:v>ORD-2024-02343</x:v>
      </x:c>
      <x:c r="B643" s="85" t="n">
        <x:v>45526</x:v>
      </x:c>
      <x:c r="C643" s="84" t="str">
        <x:v>CUST-0376</x:v>
      </x:c>
      <x:c r="D643" s="84" t="str">
        <x:v> NINA FOSTER </x:v>
      </x:c>
      <x:c r="E643" s="84" t="str">
        <x:v>consumer</x:v>
      </x:c>
      <x:c r="F643" s="84" t="str">
        <x:v> WEST </x:v>
      </x:c>
      <x:c r="G643" s="84" t="str">
        <x:v>Denver</x:v>
      </x:c>
      <x:c r="H643" s="84" t="str">
        <x:v>online</x:v>
      </x:c>
      <x:c r="I643" s="84" t="str">
        <x:v>ACCS-006</x:v>
      </x:c>
      <x:c r="J643" s="86" t="n">
        <x:v>1</x:v>
      </x:c>
      <x:c r="K643" s="87" t="n">
        <x:v>0.1</x:v>
      </x:c>
      <x:c r="L643" s="84" t="str">
        <x:v>Completed</x:v>
      </x:c>
      <x:c r="M643" s="84" t="str">
        <x:v>Debit Card </x:v>
      </x:c>
      <x:c r="N643" s="84" t="str">
        <x:v>Leo Martinez</x:v>
      </x:c>
      <x:c r="O643" s="85" t="n">
        <x:v>45528</x:v>
      </x:c>
      <x:c r="P643" s="84" t="str">
        <x:v>WEB_2024_08</x:v>
      </x:c>
      <x:c r="Q643" s="84" t="str">
        <x:v>Insulated Lunch Bag</x:v>
      </x:c>
      <x:c r="R643" s="84" t="str">
        <x:v>Accessories</x:v>
      </x:c>
    </x:row>
    <x:row r="644">
      <x:c r="A644" s="84" t="str">
        <x:v>ORD-2024-00245</x:v>
      </x:c>
      <x:c r="B644" s="85" t="n">
        <x:v>45527</x:v>
      </x:c>
      <x:c r="C644" s="84" t="str">
        <x:v>CUST-0010</x:v>
      </x:c>
      <x:c r="D644" s="84" t="str">
        <x:v>Nathan Taylor</x:v>
      </x:c>
      <x:c r="E644" s="84" t="str">
        <x:v>Consumer </x:v>
      </x:c>
      <x:c r="F644" s="84" t="str">
        <x:v>Midwest</x:v>
      </x:c>
      <x:c r="G644" s="84" t="str">
        <x:v>Minneapolis </x:v>
      </x:c>
      <x:c r="H644" s="84" t="str">
        <x:v>Retail Store</x:v>
      </x:c>
      <x:c r="I644" s="84" t="str">
        <x:v>FITN-001</x:v>
      </x:c>
      <x:c r="J644" s="86" t="n">
        <x:v>1</x:v>
      </x:c>
      <x:c r="K644" s="87" t="n">
        <x:v>0.1</x:v>
      </x:c>
      <x:c r="L644" s="84" t="str">
        <x:v>Completed</x:v>
      </x:c>
      <x:c r="M644" s="84" t="str">
        <x:v>Debit Card</x:v>
      </x:c>
      <x:c r="N644" s="84" t="str">
        <x:v>Lucas Grant</x:v>
      </x:c>
      <x:c r="O644" s="85" t="n">
        <x:v>45527</x:v>
      </x:c>
      <x:c r="P644" s="84" t="str">
        <x:v>POS_2024_08</x:v>
      </x:c>
      <x:c r="Q644" s="84" t="str">
        <x:v>Yoga Mat</x:v>
      </x:c>
      <x:c r="R644" s="84" t="str">
        <x:v>fitness</x:v>
      </x:c>
    </x:row>
    <x:row r="645">
      <x:c r="A645" s="84" t="str">
        <x:v>ORD-2024-00254</x:v>
      </x:c>
      <x:c r="B645" s="85" t="n">
        <x:v>45527</x:v>
      </x:c>
      <x:c r="C645" s="84" t="str">
        <x:v>CUST-0549</x:v>
      </x:c>
      <x:c r="D645" s="84" t="str">
        <x:v>Marcus Patel</x:v>
      </x:c>
      <x:c r="E645" s="84" t="str">
        <x:v>Small Business</x:v>
      </x:c>
      <x:c r="F645" s="84" t="str">
        <x:v>Northeast</x:v>
      </x:c>
      <x:c r="G645" s="84" t="str">
        <x:v>Boston</x:v>
      </x:c>
      <x:c r="H645" s="84" t="str">
        <x:v>Online</x:v>
      </x:c>
      <x:c r="I645" s="84" t="str">
        <x:v>HOME-003</x:v>
      </x:c>
      <x:c r="J645" s="86" t="n">
        <x:v>1</x:v>
      </x:c>
      <x:c r="K645" s="87" t="n">
        <x:v>0.05</x:v>
      </x:c>
      <x:c r="L645" s="84" t="str">
        <x:v>Completed</x:v>
      </x:c>
      <x:c r="M645" s="84" t="str">
        <x:v>Credit Card</x:v>
      </x:c>
      <x:c r="N645" s="84" t="str">
        <x:v>Maya Brooks</x:v>
      </x:c>
      <x:c r="O645" s="85" t="n">
        <x:v>45531</x:v>
      </x:c>
      <x:c r="P645" s="84" t="str">
        <x:v>WEB_2024_08</x:v>
      </x:c>
      <x:c r="Q645" s="84" t="str">
        <x:v>Countertop Blender</x:v>
      </x:c>
      <x:c r="R645" s="84" t="str">
        <x:v>Home &amp; Kitchen </x:v>
      </x:c>
    </x:row>
    <x:row r="646">
      <x:c r="A646" s="84" t="str">
        <x:v>ORD-2024-02219</x:v>
      </x:c>
      <x:c r="B646" s="85" t="n">
        <x:v>45527</x:v>
      </x:c>
      <x:c r="C646" s="84" t="str">
        <x:v>CUST-0029</x:v>
      </x:c>
      <x:c r="D646" s="84" t="str">
        <x:v>Theo Ortiz</x:v>
      </x:c>
      <x:c r="E646" s="84" t="str">
        <x:v>Corporate </x:v>
      </x:c>
      <x:c r="F646" s="84" t="str">
        <x:v>northeast</x:v>
      </x:c>
      <x:c r="G646" s="84" t="str">
        <x:v>Philadelphia </x:v>
      </x:c>
      <x:c r="H646" s="84" t="str">
        <x:v>Retail Store</x:v>
      </x:c>
      <x:c r="I646" s="84" t="str">
        <x:v>CARE-001</x:v>
      </x:c>
      <x:c r="J646" s="86" t="n">
        <x:v>2</x:v>
      </x:c>
      <x:c r="K646" s="87" t="n">
        <x:v>0</x:v>
      </x:c>
      <x:c r="L646" s="84" t="str">
        <x:v>Completed</x:v>
      </x:c>
      <x:c r="M646" s="84" t="str">
        <x:v>Debit Card</x:v>
      </x:c>
      <x:c r="N646" s="84" t="str">
        <x:v>Sofia Bennett</x:v>
      </x:c>
      <x:c r="O646" s="85" t="n">
        <x:v>45527</x:v>
      </x:c>
      <x:c r="P646" s="84" t="str">
        <x:v>POS_2024_08</x:v>
      </x:c>
      <x:c r="Q646" s="84" t="str">
        <x:v>Ionic Hair Dryer</x:v>
      </x:c>
      <x:c r="R646" s="84" t="str">
        <x:v>Personal Care</x:v>
      </x:c>
    </x:row>
    <x:row r="647">
      <x:c r="A647" s="84" t="str">
        <x:v>ORD-2024-00109</x:v>
      </x:c>
      <x:c r="B647" s="85" t="n">
        <x:v>45528</x:v>
      </x:c>
      <x:c r="C647" s="84" t="str">
        <x:v>CUST-0272</x:v>
      </x:c>
      <x:c r="D647" s="84" t="str">
        <x:v>Amelia Smith</x:v>
      </x:c>
      <x:c r="E647" s="84" t="str">
        <x:v>Corporate</x:v>
      </x:c>
      <x:c r="F647" s="84" t="str">
        <x:v>Northeast </x:v>
      </x:c>
      <x:c r="G647" s="84" t="str">
        <x:v>Philadelphia</x:v>
      </x:c>
      <x:c r="H647" s="84" t="str">
        <x:v>Retail Store</x:v>
      </x:c>
      <x:c r="I647" s="84" t="str">
        <x:v>HOME-002</x:v>
      </x:c>
      <x:c r="J647" s="86" t="n">
        <x:v>1</x:v>
      </x:c>
      <x:c r="K647" s="87" t="n">
        <x:v>0.2</x:v>
      </x:c>
      <x:c r="L647" s="84" t="str">
        <x:v>Completed</x:v>
      </x:c>
      <x:c r="M647" s="84" t="str">
        <x:v>mobile wallet</x:v>
      </x:c>
      <x:c r="N647" s="84" t="str">
        <x:v>Ethan Cole </x:v>
      </x:c>
      <x:c r="O647" s="85" t="n">
        <x:v>45529</x:v>
      </x:c>
      <x:c r="P647" s="84" t="str">
        <x:v>POS_2024_08</x:v>
      </x:c>
      <x:c r="Q647" s="84" t="str">
        <x:v>Electric Kettle</x:v>
      </x:c>
      <x:c r="R647" s="84" t="str">
        <x:v>Home &amp; Kitchen</x:v>
      </x:c>
    </x:row>
    <x:row r="648">
      <x:c r="A648" s="84" t="str">
        <x:v>ORD-2024-00711</x:v>
      </x:c>
      <x:c r="B648" s="85" t="n">
        <x:v>45528</x:v>
      </x:c>
      <x:c r="C648" s="84" t="str">
        <x:v>CUST-0254</x:v>
      </x:c>
      <x:c r="D648" s="84" t="str">
        <x:v> MARCUS CARTER </x:v>
      </x:c>
      <x:c r="E648" s="84" t="str">
        <x:v>Consumer</x:v>
      </x:c>
      <x:c r="F648" s="84" t="str">
        <x:v> NORTHEAST </x:v>
      </x:c>
      <x:c r="G648" s="84" t="str">
        <x:v>Boston</x:v>
      </x:c>
      <x:c r="H648" s="84" t="str">
        <x:v>Online</x:v>
      </x:c>
      <x:c r="I648" s="84" t="str">
        <x:v>ACCS-006</x:v>
      </x:c>
      <x:c r="J648" s="86" t="n">
        <x:v>2</x:v>
      </x:c>
      <x:c r="K648" s="87" t="n">
        <x:v>0.05</x:v>
      </x:c>
      <x:c r="L648" s="84" t="str">
        <x:v>Completed</x:v>
      </x:c>
      <x:c r="M648" s="84" t="str">
        <x:v>Credit Card</x:v>
      </x:c>
      <x:c r="N648" s="84" t="str">
        <x:v>Maya Brooks </x:v>
      </x:c>
      <x:c r="O648" s="85" t="n">
        <x:v>45532</x:v>
      </x:c>
      <x:c r="P648" s="84" t="str">
        <x:v>WEB_2024_08</x:v>
      </x:c>
      <x:c r="Q648" s="84" t="str">
        <x:v>Insulated Lunch Bag</x:v>
      </x:c>
      <x:c r="R648" s="84" t="str">
        <x:v>Accessories</x:v>
      </x:c>
    </x:row>
    <x:row r="649">
      <x:c r="A649" s="84" t="str">
        <x:v>ORD-2024-01960</x:v>
      </x:c>
      <x:c r="B649" s="85" t="n">
        <x:v>45528</x:v>
      </x:c>
      <x:c r="C649" s="84" t="str">
        <x:v>CUST-0077</x:v>
      </x:c>
      <x:c r="D649" s="84" t="str">
        <x:v>Layla Foster</x:v>
      </x:c>
      <x:c r="E649" s="84" t="str">
        <x:v>Corporate </x:v>
      </x:c>
      <x:c r="F649" s="84" t="str">
        <x:v>Northeast</x:v>
      </x:c>
      <x:c r="G649" s="84" t="str">
        <x:v>Philadelphia </x:v>
      </x:c>
      <x:c r="H649" s="84" t="str">
        <x:v>Retail Store</x:v>
      </x:c>
      <x:c r="I649" s="84" t="str">
        <x:v>OFFC-003</x:v>
      </x:c>
      <x:c r="J649" s="86" t="n">
        <x:v>4</x:v>
      </x:c>
      <x:c r="K649" s="87" t="n">
        <x:v>0.05</x:v>
      </x:c>
      <x:c r="L649" s="84" t="str">
        <x:v> COMPLETED </x:v>
      </x:c>
      <x:c r="M649" s="84" t="str">
        <x:v>Debit Card</x:v>
      </x:c>
      <x:c r="N649" s="84" t="str">
        <x:v>maya brooks</x:v>
      </x:c>
      <x:c r="O649" s="85" t="n">
        <x:v>45528</x:v>
      </x:c>
      <x:c r="P649" s="84" t="str">
        <x:v>POS_2024_08</x:v>
      </x:c>
      <x:c r="Q649" s="84" t="str">
        <x:v>LED Desk Lamp</x:v>
      </x:c>
      <x:c r="R649" s="84" t="str">
        <x:v>Office</x:v>
      </x:c>
    </x:row>
    <x:row r="650">
      <x:c r="A650" s="84" t="str">
        <x:v>ORD-2024-01798</x:v>
      </x:c>
      <x:c r="B650" s="85" t="n">
        <x:v>45529</x:v>
      </x:c>
      <x:c r="C650" s="84" t="str">
        <x:v>CUST-0267</x:v>
      </x:c>
      <x:c r="D650" s="84" t="str">
        <x:v>Theo Taylor</x:v>
      </x:c>
      <x:c r="E650" s="84" t="str">
        <x:v>Consumer</x:v>
      </x:c>
      <x:c r="F650" s="84" t="str">
        <x:v>West</x:v>
      </x:c>
      <x:c r="G650" s="84" t="str">
        <x:v>Denver</x:v>
      </x:c>
      <x:c r="H650" s="84" t="str">
        <x:v>Online</x:v>
      </x:c>
      <x:c r="I650" s="84" t="str">
        <x:v>OFFC-003</x:v>
      </x:c>
      <x:c r="J650" s="86" t="n">
        <x:v>3</x:v>
      </x:c>
      <x:c r="K650" s="87" t="n">
        <x:v>0.05</x:v>
      </x:c>
      <x:c r="L650" s="84" t="str">
        <x:v>Completed </x:v>
      </x:c>
      <x:c r="M650" s="84" t="str">
        <x:v>Debit Card</x:v>
      </x:c>
      <x:c r="N650" s="84" t="str">
        <x:v>Mia Chen</x:v>
      </x:c>
      <x:c r="O650" s="85" t="n">
        <x:v>45533</x:v>
      </x:c>
      <x:c r="P650" s="84" t="str">
        <x:v>WEB_2024_08</x:v>
      </x:c>
      <x:c r="Q650" s="84" t="str">
        <x:v>LED Desk Lamp</x:v>
      </x:c>
      <x:c r="R650" s="84" t="str">
        <x:v>Office</x:v>
      </x:c>
    </x:row>
    <x:row r="651">
      <x:c r="A651" s="84" t="str">
        <x:v>ORD-2024-01848</x:v>
      </x:c>
      <x:c r="B651" s="85" t="n">
        <x:v>45529</x:v>
      </x:c>
      <x:c r="C651" s="84" t="str">
        <x:v>CUST-0375</x:v>
      </x:c>
      <x:c r="D651" s="84" t="str">
        <x:v>Grace Baker</x:v>
      </x:c>
      <x:c r="E651" s="84" t="str">
        <x:v>consumer</x:v>
      </x:c>
      <x:c r="F651" s="84" t="str">
        <x:v>Midwest</x:v>
      </x:c>
      <x:c r="G651" s="84" t="str">
        <x:v>Minneapolis </x:v>
      </x:c>
      <x:c r="H651" s="84" t="str">
        <x:v>online</x:v>
      </x:c>
      <x:c r="I651" s="84" t="str">
        <x:v>ELEC-003</x:v>
      </x:c>
      <x:c r="J651" s="86" t="n">
        <x:v>1</x:v>
      </x:c>
      <x:c r="K651" s="87" t="n">
        <x:v>0.1</x:v>
      </x:c>
      <x:c r="L651" s="84" t="str">
        <x:v>Returned</x:v>
      </x:c>
      <x:c r="M651" s="84" t="str">
        <x:v>Credit Card</x:v>
      </x:c>
      <x:c r="N651" s="84" t="str">
        <x:v>Zoe Turner</x:v>
      </x:c>
      <x:c r="O651" s="85" t="n">
        <x:v>45534</x:v>
      </x:c>
      <x:c r="P651" s="84" t="str">
        <x:v>WEB_2024_08</x:v>
      </x:c>
      <x:c r="Q651" s="84" t="str">
        <x:v>Bluetooth Speaker</x:v>
      </x:c>
      <x:c r="R651" s="84" t="str">
        <x:v>Electronics</x:v>
      </x:c>
    </x:row>
    <x:row r="652">
      <x:c r="A652" s="84" t="str">
        <x:v>ORD-2024-02066</x:v>
      </x:c>
      <x:c r="B652" s="85" t="n">
        <x:v>45529</x:v>
      </x:c>
      <x:c r="C652" s="84" t="str">
        <x:v>CUST-0563</x:v>
      </x:c>
      <x:c r="D652" s="84" t="str">
        <x:v>Amelia Adams</x:v>
      </x:c>
      <x:c r="E652" s="84" t="str">
        <x:v>Consumer</x:v>
      </x:c>
      <x:c r="F652" s="84" t="str">
        <x:v>Southeast</x:v>
      </x:c>
      <x:c r="G652" s="84" t="str">
        <x:v>Charlotte</x:v>
      </x:c>
      <x:c r="H652" s="84" t="str">
        <x:v>Retail Store</x:v>
      </x:c>
      <x:c r="I652" s="84" t="str">
        <x:v>ACCS-003</x:v>
      </x:c>
      <x:c r="J652" s="86" t="n">
        <x:v>1</x:v>
      </x:c>
      <x:c r="K652" s="87" t="n">
        <x:v>0.05</x:v>
      </x:c>
      <x:c r="L652" s="84" t="str">
        <x:v>Completed</x:v>
      </x:c>
      <x:c r="M652" s="84" t="str">
        <x:v>Mobile Wallet</x:v>
      </x:c>
      <x:c r="N652" s="84" t="str">
        <x:v>Noah Reed</x:v>
      </x:c>
      <x:c r="O652" s="85" t="n">
        <x:v>45529</x:v>
      </x:c>
      <x:c r="P652" s="84" t="str">
        <x:v>POS_2024_08</x:v>
      </x:c>
      <x:c r="Q652" s="84" t="str">
        <x:v>polarized sunglasses</x:v>
      </x:c>
      <x:c r="R652" s="84" t="str">
        <x:v>Accessories</x:v>
      </x:c>
    </x:row>
    <x:row r="653">
      <x:c r="A653" s="84" t="str">
        <x:v>ORD-2024-02129</x:v>
      </x:c>
      <x:c r="B653" s="85" t="n">
        <x:v>45529</x:v>
      </x:c>
      <x:c r="C653" s="84" t="str">
        <x:v>CUST-0511</x:v>
      </x:c>
      <x:c r="D653" s="84" t="str">
        <x:v>Marcus Walker</x:v>
      </x:c>
      <x:c r="E653" s="84" t="str">
        <x:v>Corporate</x:v>
      </x:c>
      <x:c r="F653" s="84" t="str">
        <x:v>Northeast</x:v>
      </x:c>
      <x:c r="G653" s="84" t="str">
        <x:v>Newark</x:v>
      </x:c>
      <x:c r="H653" s="84" t="str">
        <x:v>Online</x:v>
      </x:c>
      <x:c r="I653" s="84" t="str">
        <x:v>FITN-006</x:v>
      </x:c>
      <x:c r="J653" s="86" t="n">
        <x:v>2</x:v>
      </x:c>
      <x:c r="K653" s="87" t="n">
        <x:v>0.05</x:v>
      </x:c>
      <x:c r="L653" s="84" t="str">
        <x:v>Completed</x:v>
      </x:c>
      <x:c r="M653" s="84" t="str">
        <x:v>Credit Card</x:v>
      </x:c>
      <x:c r="N653" s="84" t="str">
        <x:v>Maya Brooks</x:v>
      </x:c>
      <x:c r="O653" s="85" t="n">
        <x:v>45532</x:v>
      </x:c>
      <x:c r="P653" s="84" t="str">
        <x:v>WEB_2024_08</x:v>
      </x:c>
      <x:c r="Q653" s="84" t="str">
        <x:v> FOAM ROLLER </x:v>
      </x:c>
      <x:c r="R653" s="84" t="str">
        <x:v>Fitness</x:v>
      </x:c>
    </x:row>
    <x:row r="654">
      <x:c r="A654" s="84" t="str">
        <x:v>ORD-2024-00158</x:v>
      </x:c>
      <x:c r="B654" s="85" t="n">
        <x:v>45530</x:v>
      </x:c>
      <x:c r="C654" s="84" t="str">
        <x:v>CUST-0574</x:v>
      </x:c>
      <x:c r="D654" s="84" t="str">
        <x:v>Grace Quinn</x:v>
      </x:c>
      <x:c r="E654" s="84" t="str">
        <x:v>Corporate</x:v>
      </x:c>
      <x:c r="F654" s="84" t="str">
        <x:v>Northeast </x:v>
      </x:c>
      <x:c r="G654" s="84" t="str">
        <x:v>new york</x:v>
      </x:c>
      <x:c r="H654" s="84" t="str">
        <x:v>Marketplace</x:v>
      </x:c>
      <x:c r="I654" s="84" t="str">
        <x:v>OFFC-006</x:v>
      </x:c>
      <x:c r="J654" s="86" t="n">
        <x:v>8</x:v>
      </x:c>
      <x:c r="K654" s="87" t="n">
        <x:v>0.1</x:v>
      </x:c>
      <x:c r="L654" s="84" t="str">
        <x:v> COMPLETED </x:v>
      </x:c>
      <x:c r="M654" s="84" t="str">
        <x:v>Credit Card</x:v>
      </x:c>
      <x:c r="N654" s="84" t="str">
        <x:v>Maya Brooks </x:v>
      </x:c>
      <x:c r="O654" s="85" t="n">
        <x:v>45538</x:v>
      </x:c>
      <x:c r="P654" s="84" t="str">
        <x:v>MKT_2024_08</x:v>
      </x:c>
      <x:c r="Q654" s="84" t="str">
        <x:v>Monitor Stand</x:v>
      </x:c>
      <x:c r="R654" s="84" t="str">
        <x:v>Office</x:v>
      </x:c>
    </x:row>
    <x:row r="655">
      <x:c r="A655" s="84" t="str">
        <x:v>ORD-2024-00842</x:v>
      </x:c>
      <x:c r="B655" s="85" t="n">
        <x:v>45530</x:v>
      </x:c>
      <x:c r="C655" s="84" t="str">
        <x:v>CUST-0046</x:v>
      </x:c>
      <x:c r="D655" s="84" t="str">
        <x:v>Nathan Moore</x:v>
      </x:c>
      <x:c r="E655" s="84" t="str">
        <x:v>Consumer</x:v>
      </x:c>
      <x:c r="F655" s="84" t="str">
        <x:v>Midwest</x:v>
      </x:c>
      <x:c r="G655" s="84" t="str">
        <x:v>Columbus</x:v>
      </x:c>
      <x:c r="H655" s="84" t="str">
        <x:v>Retail Store</x:v>
      </x:c>
      <x:c r="I655" s="84" t="str">
        <x:v>ELEC-003</x:v>
      </x:c>
      <x:c r="J655" s="86" t="n">
        <x:v>3</x:v>
      </x:c>
      <x:c r="K655" s="87" t="n">
        <x:v>0</x:v>
      </x:c>
      <x:c r="L655" s="84" t="str">
        <x:v>Completed</x:v>
      </x:c>
      <x:c r="M655" s="84" t="str">
        <x:v>Credit Card</x:v>
      </x:c>
      <x:c r="N655" s="84" t="str">
        <x:v>Zoe Turner</x:v>
      </x:c>
      <x:c r="O655" s="85" t="n">
        <x:v>45530</x:v>
      </x:c>
      <x:c r="P655" s="84" t="str">
        <x:v>POS_2024_08</x:v>
      </x:c>
      <x:c r="Q655" s="84" t="str">
        <x:v>Bluetooth Speaker</x:v>
      </x:c>
      <x:c r="R655" s="84" t="str">
        <x:v>Electronics </x:v>
      </x:c>
    </x:row>
    <x:row r="656">
      <x:c r="A656" s="84" t="str">
        <x:v>ORD-2024-00982</x:v>
      </x:c>
      <x:c r="B656" s="85" t="n">
        <x:v>45530</x:v>
      </x:c>
      <x:c r="C656" s="84" t="str">
        <x:v>CUST-0626</x:v>
      </x:c>
      <x:c r="D656" s="84" t="str">
        <x:v>Theo Irwin</x:v>
      </x:c>
      <x:c r="E656" s="84" t="str">
        <x:v>Corporate</x:v>
      </x:c>
      <x:c r="F656" s="84" t="str">
        <x:v>Midwest</x:v>
      </x:c>
      <x:c r="G656" s="84" t="str">
        <x:v>Minneapolis</x:v>
      </x:c>
      <x:c r="H656" s="84" t="str">
        <x:v>Online</x:v>
      </x:c>
      <x:c r="I656" s="84" t="str">
        <x:v>OFFC-005</x:v>
      </x:c>
      <x:c r="J656" s="86" t="n">
        <x:v>3</x:v>
      </x:c>
      <x:c r="K656" s="87" t="n">
        <x:v>0.1</x:v>
      </x:c>
      <x:c r="L656" s="84" t="str">
        <x:v>Completed</x:v>
      </x:c>
      <x:c r="M656" s="84" t="str">
        <x:v>PayPal</x:v>
      </x:c>
      <x:c r="N656" s="84" t="str">
        <x:v>Zoe Turner</x:v>
      </x:c>
      <x:c r="O656" s="85" t="n">
        <x:v>45533</x:v>
      </x:c>
      <x:c r="P656" s="84" t="str">
        <x:v>WEB_2024_08</x:v>
      </x:c>
      <x:c r="Q656" s="84" t="str">
        <x:v>Wireless Keyboard</x:v>
      </x:c>
      <x:c r="R656" s="84" t="str">
        <x:v>office</x:v>
      </x:c>
    </x:row>
    <x:row r="657">
      <x:c r="A657" s="84" t="str">
        <x:v>ORD-2024-01225</x:v>
      </x:c>
      <x:c r="B657" s="85" t="n">
        <x:v>45530</x:v>
      </x:c>
      <x:c r="C657" s="84" t="str">
        <x:v>CUST-0282</x:v>
      </x:c>
      <x:c r="D657" s="84" t="str">
        <x:v>Caleb Carter</x:v>
      </x:c>
      <x:c r="E657" s="84" t="str">
        <x:v>Consumer </x:v>
      </x:c>
      <x:c r="F657" s="84" t="str">
        <x:v>Northeast</x:v>
      </x:c>
      <x:c r="G657" s="84" t="str">
        <x:v>boston</x:v>
      </x:c>
      <x:c r="H657" s="84" t="str">
        <x:v>Online</x:v>
      </x:c>
      <x:c r="I657" s="84" t="str">
        <x:v>OFFC-002</x:v>
      </x:c>
      <x:c r="J657" s="86" t="n">
        <x:v>2</x:v>
      </x:c>
      <x:c r="K657" s="87" t="n">
        <x:v>0</x:v>
      </x:c>
      <x:c r="L657" s="84" t="str">
        <x:v>completed</x:v>
      </x:c>
      <x:c r="M657" s="84" t="str">
        <x:v>Credit Card</x:v>
      </x:c>
      <x:c r="N657" s="84" t="str">
        <x:v>Maya Brooks</x:v>
      </x:c>
      <x:c r="O657" s="85" t="n">
        <x:v>45536</x:v>
      </x:c>
      <x:c r="P657" s="84" t="str">
        <x:v>WEB_2024_08</x:v>
      </x:c>
      <x:c r="Q657" s="84" t="str">
        <x:v>Standing Desk</x:v>
      </x:c>
      <x:c r="R657" s="84" t="str">
        <x:v>Office</x:v>
      </x:c>
    </x:row>
    <x:row r="658">
      <x:c r="A658" s="84" t="str">
        <x:v>ORD-2024-01330</x:v>
      </x:c>
      <x:c r="B658" s="85" t="n">
        <x:v>45530</x:v>
      </x:c>
      <x:c r="C658" s="84" t="str">
        <x:v>CUST-0460</x:v>
      </x:c>
      <x:c r="D658" s="84" t="str">
        <x:v>Sara Johnson</x:v>
      </x:c>
      <x:c r="E658" s="84" t="str">
        <x:v>Consumer </x:v>
      </x:c>
      <x:c r="F658" s="84" t="str">
        <x:v>West</x:v>
      </x:c>
      <x:c r="G658" s="84" t="str">
        <x:v>Denver </x:v>
      </x:c>
      <x:c r="H658" s="84" t="str">
        <x:v>Online</x:v>
      </x:c>
      <x:c r="I658" s="84" t="str">
        <x:v>ELEC-005</x:v>
      </x:c>
      <x:c r="J658" s="86" t="n">
        <x:v>1</x:v>
      </x:c>
      <x:c r="K658" s="87" t="n">
        <x:v>0.1</x:v>
      </x:c>
      <x:c r="L658" s="84" t="str">
        <x:v>Returned</x:v>
      </x:c>
      <x:c r="M658" s="84" t="str">
        <x:v>debit card</x:v>
      </x:c>
      <x:c r="N658" s="84" t="str">
        <x:v>Nora Kim</x:v>
      </x:c>
      <x:c r="O658" s="85" t="n">
        <x:v>45534</x:v>
      </x:c>
      <x:c r="P658" s="84" t="str">
        <x:v>WEB_2024_08</x:v>
      </x:c>
      <x:c r="Q658" s="84" t="str">
        <x:v> HD WEBCAM </x:v>
      </x:c>
      <x:c r="R658" s="84" t="str">
        <x:v>Electronics</x:v>
      </x:c>
    </x:row>
    <x:row r="659">
      <x:c r="A659" s="84" t="str">
        <x:v>ORD-2024-00228</x:v>
      </x:c>
      <x:c r="B659" s="85" t="n">
        <x:v>45531</x:v>
      </x:c>
      <x:c r="C659" s="84" t="str">
        <x:v>CUST-0415</x:v>
      </x:c>
      <x:c r="D659" s="84" t="str">
        <x:v>Zara Foster</x:v>
      </x:c>
      <x:c r="E659" s="84" t="str">
        <x:v>Corporate</x:v>
      </x:c>
      <x:c r="F659" s="84" t="str">
        <x:v>southeast</x:v>
      </x:c>
      <x:c r="G659" s="84" t="str">
        <x:v>Charlotte</x:v>
      </x:c>
      <x:c r="H659" s="84" t="str">
        <x:v>Retail Store</x:v>
      </x:c>
      <x:c r="I659" s="84" t="str">
        <x:v>OFFC-004</x:v>
      </x:c>
      <x:c r="J659" s="86" t="n">
        <x:v>2</x:v>
      </x:c>
      <x:c r="K659" s="87" t="n">
        <x:v>0.1</x:v>
      </x:c>
      <x:c r="L659" s="84" t="str">
        <x:v>Completed</x:v>
      </x:c>
      <x:c r="M659" s="84" t="str">
        <x:v>Cash</x:v>
      </x:c>
      <x:c r="N659" s="84" t="str">
        <x:v>Noah Reed </x:v>
      </x:c>
      <x:c r="O659" s="85" t="n">
        <x:v>45531</x:v>
      </x:c>
      <x:c r="P659" s="84" t="str">
        <x:v>POS_2024_08</x:v>
      </x:c>
      <x:c r="Q659" s="84" t="str">
        <x:v>Premium Notebook Pack</x:v>
      </x:c>
      <x:c r="R659" s="84" t="str">
        <x:v>Office</x:v>
      </x:c>
    </x:row>
    <x:row r="660">
      <x:c r="A660" s="84" t="str">
        <x:v>ORD-2024-00409</x:v>
      </x:c>
      <x:c r="B660" s="85" t="n">
        <x:v>45531</x:v>
      </x:c>
      <x:c r="C660" s="84" t="str">
        <x:v>CUST-0158</x:v>
      </x:c>
      <x:c r="D660" s="84" t="str">
        <x:v>Nina Moore</x:v>
      </x:c>
      <x:c r="E660" s="84" t="str">
        <x:v>Consumer</x:v>
      </x:c>
      <x:c r="F660" s="84" t="str">
        <x:v>Northeast</x:v>
      </x:c>
      <x:c r="G660" s="84" t="str">
        <x:v>Newark</x:v>
      </x:c>
      <x:c r="H660" s="84" t="str">
        <x:v>Retail Store </x:v>
      </x:c>
      <x:c r="I660" s="84" t="str">
        <x:v>HOME-003</x:v>
      </x:c>
      <x:c r="J660" s="86" t="n">
        <x:v>1</x:v>
      </x:c>
      <x:c r="K660" s="87" t="n">
        <x:v>0.1</x:v>
      </x:c>
      <x:c r="L660" s="84" t="str">
        <x:v>Completed</x:v>
      </x:c>
      <x:c r="M660" s="84" t="str">
        <x:v>Debit Card</x:v>
      </x:c>
      <x:c r="N660" s="84" t="str">
        <x:v>sofia bennett</x:v>
      </x:c>
      <x:c r="O660" s="85" t="n">
        <x:v>45531</x:v>
      </x:c>
      <x:c r="P660" s="84" t="str">
        <x:v>POS_2024_08</x:v>
      </x:c>
      <x:c r="Q660" s="84" t="str">
        <x:v>Countertop Blender</x:v>
      </x:c>
      <x:c r="R660" s="84" t="str">
        <x:v>Home &amp; Kitchen</x:v>
      </x:c>
    </x:row>
    <x:row r="661">
      <x:c r="A661" s="84" t="str">
        <x:v>ORD-2024-00409</x:v>
      </x:c>
      <x:c r="B661" s="85" t="n">
        <x:v>45531</x:v>
      </x:c>
      <x:c r="C661" s="84" t="str">
        <x:v>CUST-0158</x:v>
      </x:c>
      <x:c r="D661" s="84" t="str">
        <x:v>Nina Moore</x:v>
      </x:c>
      <x:c r="E661" s="84" t="str">
        <x:v>Consumer</x:v>
      </x:c>
      <x:c r="F661" s="84" t="str">
        <x:v>Northeast</x:v>
      </x:c>
      <x:c r="G661" s="84" t="str">
        <x:v>Newark</x:v>
      </x:c>
      <x:c r="H661" s="84" t="str">
        <x:v>Retail Store </x:v>
      </x:c>
      <x:c r="I661" s="84" t="str">
        <x:v>HOME-003</x:v>
      </x:c>
      <x:c r="J661" s="86" t="n">
        <x:v>1</x:v>
      </x:c>
      <x:c r="K661" s="87" t="n">
        <x:v>0.1</x:v>
      </x:c>
      <x:c r="L661" s="84" t="str">
        <x:v>Completed</x:v>
      </x:c>
      <x:c r="M661" s="84" t="str">
        <x:v>Debit Card</x:v>
      </x:c>
      <x:c r="N661" s="84" t="str">
        <x:v>sofia bennett</x:v>
      </x:c>
      <x:c r="O661" s="85" t="n">
        <x:v>45531</x:v>
      </x:c>
      <x:c r="P661" s="84" t="str">
        <x:v>RELOAD_POS_2024_08</x:v>
      </x:c>
      <x:c r="Q661" s="84" t="str">
        <x:v>Countertop Blender</x:v>
      </x:c>
      <x:c r="R661" s="84" t="str">
        <x:v>Home &amp; Kitchen</x:v>
      </x:c>
    </x:row>
    <x:row r="662">
      <x:c r="A662" s="84" t="str">
        <x:v>ORD-2024-01189</x:v>
      </x:c>
      <x:c r="B662" s="85" t="n">
        <x:v>45531</x:v>
      </x:c>
      <x:c r="C662" s="84" t="str">
        <x:v>CUST-0029</x:v>
      </x:c>
      <x:c r="D662" s="84" t="str">
        <x:v>Theo Ortiz</x:v>
      </x:c>
      <x:c r="E662" s="84" t="str">
        <x:v>Corporate</x:v>
      </x:c>
      <x:c r="F662" s="84" t="str">
        <x:v>Northeast</x:v>
      </x:c>
      <x:c r="G662" s="84" t="str">
        <x:v>Philadelphia</x:v>
      </x:c>
      <x:c r="H662" s="84" t="str">
        <x:v>Online</x:v>
      </x:c>
      <x:c r="I662" s="84" t="str">
        <x:v>FITN-002</x:v>
      </x:c>
      <x:c r="J662" s="86" t="n">
        <x:v>3</x:v>
      </x:c>
      <x:c r="K662" s="87" t="n">
        <x:v>0.1</x:v>
      </x:c>
      <x:c r="L662" s="84" t="str">
        <x:v>Returned </x:v>
      </x:c>
      <x:c r="M662" s="84" t="str">
        <x:v>PayPal</x:v>
      </x:c>
      <x:c r="N662" s="84" t="str">
        <x:v>Sofia Bennett</x:v>
      </x:c>
      <x:c r="O662" s="85" t="n">
        <x:v>45534</x:v>
      </x:c>
      <x:c r="P662" s="84" t="str">
        <x:v>WEB_2024_08</x:v>
      </x:c>
      <x:c r="Q662" s="84" t="str">
        <x:v>Adjustable Dumbbell Set</x:v>
      </x:c>
      <x:c r="R662" s="84" t="str">
        <x:v>Fitness</x:v>
      </x:c>
    </x:row>
    <x:row r="663">
      <x:c r="A663" s="84" t="str">
        <x:v>ORD-2024-00542</x:v>
      </x:c>
      <x:c r="B663" s="85" t="n">
        <x:v>45532</x:v>
      </x:c>
      <x:c r="C663" s="84" t="str">
        <x:v>CUST-0129</x:v>
      </x:c>
      <x:c r="D663" s="84" t="str">
        <x:v>Owen Walker</x:v>
      </x:c>
      <x:c r="E663" s="84" t="str">
        <x:v>Corporate</x:v>
      </x:c>
      <x:c r="F663" s="84" t="str">
        <x:v>Midwest</x:v>
      </x:c>
      <x:c r="G663" s="84" t="str">
        <x:v>Chicago</x:v>
      </x:c>
      <x:c r="H663" s="84" t="str">
        <x:v>Online </x:v>
      </x:c>
      <x:c r="I663" s="84" t="str">
        <x:v>ELEC-006</x:v>
      </x:c>
      <x:c r="J663" s="86" t="n">
        <x:v>1</x:v>
      </x:c>
      <x:c r="K663" s="87" t="n">
        <x:v>0.1</x:v>
      </x:c>
      <x:c r="L663" s="84" t="str">
        <x:v>Completed</x:v>
      </x:c>
      <x:c r="M663" s="84" t="str">
        <x:v>Mobile Wallet</x:v>
      </x:c>
      <x:c r="N663" s="84" t="str">
        <x:v>Zoe Turner</x:v>
      </x:c>
      <x:c r="O663" s="85" t="n">
        <x:v>45535</x:v>
      </x:c>
      <x:c r="P663" s="84" t="str">
        <x:v>WEB_2024_08</x:v>
      </x:c>
      <x:c r="Q663" s="84" t="str">
        <x:v>Portable SSD</x:v>
      </x:c>
      <x:c r="R663" s="84" t="str">
        <x:v> ELECTRONICS </x:v>
      </x:c>
    </x:row>
    <x:row r="664">
      <x:c r="A664" s="84" t="str">
        <x:v>ORD-2024-01455</x:v>
      </x:c>
      <x:c r="B664" s="85" t="n">
        <x:v>45532</x:v>
      </x:c>
      <x:c r="C664" s="84" t="str">
        <x:v>CUST-0307</x:v>
      </x:c>
      <x:c r="D664" s="84" t="str">
        <x:v>Theo Patel</x:v>
      </x:c>
      <x:c r="E664" s="84" t="str">
        <x:v>Consumer</x:v>
      </x:c>
      <x:c r="F664" s="84" t="str">
        <x:v>Midwest</x:v>
      </x:c>
      <x:c r="G664" s="84" t="str">
        <x:v> CHICAGO </x:v>
      </x:c>
      <x:c r="H664" s="84" t="str">
        <x:v>Retail Store</x:v>
      </x:c>
      <x:c r="I664" s="84" t="str">
        <x:v>ELEC-003</x:v>
      </x:c>
      <x:c r="J664" s="86" t="n">
        <x:v>1</x:v>
      </x:c>
      <x:c r="K664" s="87" t="n">
        <x:v>0.1</x:v>
      </x:c>
      <x:c r="L664" s="84" t="str">
        <x:v>Completed </x:v>
      </x:c>
      <x:c r="M664" s="84" t="str">
        <x:v>Cash</x:v>
      </x:c>
      <x:c r="N664" s="84" t="str">
        <x:v>Emma Hayes</x:v>
      </x:c>
      <x:c r="O664" s="85" t="n">
        <x:v>45532</x:v>
      </x:c>
      <x:c r="P664" s="84" t="str">
        <x:v>POS_2024_08</x:v>
      </x:c>
      <x:c r="Q664" s="84" t="str">
        <x:v>Bluetooth Speaker</x:v>
      </x:c>
      <x:c r="R664" s="84" t="str">
        <x:v>electronics</x:v>
      </x:c>
    </x:row>
    <x:row r="665">
      <x:c r="A665" s="84" t="str">
        <x:v>ORD-2024-02370</x:v>
      </x:c>
      <x:c r="B665" s="85" t="n">
        <x:v>45532</x:v>
      </x:c>
      <x:c r="C665" s="84" t="str">
        <x:v>CUST-0418</x:v>
      </x:c>
      <x:c r="D665" s="84" t="str">
        <x:v>Grace Ortiz</x:v>
      </x:c>
      <x:c r="E665" s="84" t="str">
        <x:v>Small Business</x:v>
      </x:c>
      <x:c r="F665" s="84" t="str">
        <x:v>West </x:v>
      </x:c>
      <x:c r="G665" s="84" t="str">
        <x:v>Seattle</x:v>
      </x:c>
      <x:c r="H665" s="84" t="str">
        <x:v>Online</x:v>
      </x:c>
      <x:c r="I665" s="84" t="str">
        <x:v>HOME-001</x:v>
      </x:c>
      <x:c r="J665" s="86" t="n">
        <x:v>2</x:v>
      </x:c>
      <x:c r="K665" s="87" t="n">
        <x:v>0</x:v>
      </x:c>
      <x:c r="L665" s="84" t="str">
        <x:v>Returned</x:v>
      </x:c>
      <x:c r="M665" s="84" t="str">
        <x:v>PayPal</x:v>
      </x:c>
      <x:c r="N665" s="84" t="str">
        <x:v>Nora Kim </x:v>
      </x:c>
      <x:c r="O665" s="85" t="n">
        <x:v>45535</x:v>
      </x:c>
      <x:c r="P665" s="84" t="str">
        <x:v>WEB_2024_08</x:v>
      </x:c>
      <x:c r="Q665" s="84" t="str">
        <x:v>Air Fryer</x:v>
      </x:c>
      <x:c r="R665" s="84" t="str">
        <x:v>Home &amp; Kitchen</x:v>
      </x:c>
    </x:row>
    <x:row r="666">
      <x:c r="A666" s="84" t="str">
        <x:v>ORD-2024-01180</x:v>
      </x:c>
      <x:c r="B666" s="85" t="n">
        <x:v>45533</x:v>
      </x:c>
      <x:c r="C666" s="84" t="str">
        <x:v>CUST-0491</x:v>
      </x:c>
      <x:c r="D666" s="84" t="str">
        <x:v>Jonah Walker</x:v>
      </x:c>
      <x:c r="E666" s="84" t="str">
        <x:v>Consumer</x:v>
      </x:c>
      <x:c r="F666" s="84" t="str">
        <x:v>Midwest </x:v>
      </x:c>
      <x:c r="G666" s="84" t="str">
        <x:v>Detroit</x:v>
      </x:c>
      <x:c r="H666" s="84" t="str">
        <x:v>Online</x:v>
      </x:c>
      <x:c r="I666" s="84" t="str">
        <x:v>ELEC-004</x:v>
      </x:c>
      <x:c r="J666" s="86" t="n">
        <x:v>1</x:v>
      </x:c>
      <x:c r="K666" s="87" t="n">
        <x:v>0</x:v>
      </x:c>
      <x:c r="L666" s="84" t="str">
        <x:v>Completed</x:v>
      </x:c>
      <x:c r="M666" s="84" t="str">
        <x:v>Credit Card</x:v>
      </x:c>
      <x:c r="N666" s="84" t="str">
        <x:v>Emma Hayes </x:v>
      </x:c>
      <x:c r="O666" s="85" t="n">
        <x:v>45537</x:v>
      </x:c>
      <x:c r="P666" s="84" t="str">
        <x:v>WEB_2024_08</x:v>
      </x:c>
      <x:c r="Q666" s="84" t="str">
        <x:v>Power Bank</x:v>
      </x:c>
      <x:c r="R666" s="84" t="str">
        <x:v>electronics</x:v>
      </x:c>
    </x:row>
    <x:row r="667">
      <x:c r="A667" s="84" t="str">
        <x:v>ORD-2024-01293</x:v>
      </x:c>
      <x:c r="B667" s="85" t="n">
        <x:v>45533</x:v>
      </x:c>
      <x:c r="C667" s="84" t="str">
        <x:v>CUST-0169</x:v>
      </x:c>
      <x:c r="D667" s="84" t="str">
        <x:v>Marcus Evans </x:v>
      </x:c>
      <x:c r="E667" s="84" t="str">
        <x:v>Corporate</x:v>
      </x:c>
      <x:c r="F667" s="84" t="str">
        <x:v>Northeast</x:v>
      </x:c>
      <x:c r="G667" s="84" t="str">
        <x:v>New York</x:v>
      </x:c>
      <x:c r="H667" s="84" t="str">
        <x:v>Retail Store</x:v>
      </x:c>
      <x:c r="I667" s="84" t="str">
        <x:v>HOME-004</x:v>
      </x:c>
      <x:c r="J667" s="86" t="n">
        <x:v>4</x:v>
      </x:c>
      <x:c r="K667" s="87" t="n">
        <x:v>0.05</x:v>
      </x:c>
      <x:c r="L667" s="84" t="str">
        <x:v>Completed</x:v>
      </x:c>
      <x:c r="M667" s="84" t="str">
        <x:v>Mobile Wallet </x:v>
      </x:c>
      <x:c r="N667" s="84" t="str">
        <x:v>Sofia Bennett</x:v>
      </x:c>
      <x:c r="O667" s="85" t="n">
        <x:v>45533</x:v>
      </x:c>
      <x:c r="P667" s="84" t="str">
        <x:v>POS_2024_08</x:v>
      </x:c>
      <x:c r="Q667" s="84" t="str">
        <x:v>Coffee Maker</x:v>
      </x:c>
      <x:c r="R667" s="84" t="str">
        <x:v>Home &amp; Kitchen</x:v>
      </x:c>
    </x:row>
    <x:row r="668">
      <x:c r="A668" s="84" t="str">
        <x:v>ORD-2024-01761</x:v>
      </x:c>
      <x:c r="B668" s="85" t="n">
        <x:v>45533</x:v>
      </x:c>
      <x:c r="C668" s="84" t="str">
        <x:v>CUST-0351</x:v>
      </x:c>
      <x:c r="D668" s="84" t="str">
        <x:v>Sara Garcia</x:v>
      </x:c>
      <x:c r="E668" s="84" t="str">
        <x:v>Consumer</x:v>
      </x:c>
      <x:c r="F668" s="84" t="str">
        <x:v>Midwest </x:v>
      </x:c>
      <x:c r="G668" s="84" t="str">
        <x:v> COLUMBUS </x:v>
      </x:c>
      <x:c r="H668" s="84" t="str">
        <x:v>Online</x:v>
      </x:c>
      <x:c r="I668" s="84" t="str">
        <x:v>CARE-001</x:v>
      </x:c>
      <x:c r="J668" s="86" t="n">
        <x:v>2</x:v>
      </x:c>
      <x:c r="K668" s="87" t="n">
        <x:v>0</x:v>
      </x:c>
      <x:c r="L668" s="84" t="str">
        <x:v>Completed</x:v>
      </x:c>
      <x:c r="M668" s="84" t="str">
        <x:v>Credit Card</x:v>
      </x:c>
      <x:c r="N668" s="84" t="str">
        <x:v>Lucas Grant </x:v>
      </x:c>
      <x:c r="O668" s="85" t="n">
        <x:v>45535</x:v>
      </x:c>
      <x:c r="P668" s="84" t="str">
        <x:v>WEB_2024_08</x:v>
      </x:c>
      <x:c r="Q668" s="84" t="str">
        <x:v>Ionic Hair Dryer</x:v>
      </x:c>
      <x:c r="R668" s="84" t="str">
        <x:v>Personal Care</x:v>
      </x:c>
    </x:row>
    <x:row r="669">
      <x:c r="A669" s="84" t="str">
        <x:v>ORD-2024-01849</x:v>
      </x:c>
      <x:c r="B669" s="85" t="n">
        <x:v>45533</x:v>
      </x:c>
      <x:c r="C669" s="84" t="str">
        <x:v>CUST-0093</x:v>
      </x:c>
      <x:c r="D669" s="84" t="str">
        <x:v>Priya Lewis</x:v>
      </x:c>
      <x:c r="E669" s="84" t="str">
        <x:v>Corporate</x:v>
      </x:c>
      <x:c r="F669" s="84" t="str">
        <x:v>Southeast</x:v>
      </x:c>
      <x:c r="G669" s="84" t="str">
        <x:v>Charlotte</x:v>
      </x:c>
      <x:c r="H669" s="84" t="str">
        <x:v>Marketplace</x:v>
      </x:c>
      <x:c r="I669" s="84" t="str">
        <x:v>ELEC-004</x:v>
      </x:c>
      <x:c r="J669" s="86" t="n">
        <x:v>6</x:v>
      </x:c>
      <x:c r="K669" s="87" t="n">
        <x:v>0.05</x:v>
      </x:c>
      <x:c r="L669" s="84" t="str">
        <x:v>Completed</x:v>
      </x:c>
      <x:c r="M669" s="84" t="str">
        <x:v>Mobile Wallet</x:v>
      </x:c>
      <x:c r="N669" s="84" t="str">
        <x:v>Liam Parker</x:v>
      </x:c>
      <x:c r="O669" s="85" t="n">
        <x:v>45539</x:v>
      </x:c>
      <x:c r="P669" s="84" t="str">
        <x:v>MKT_2024_08</x:v>
      </x:c>
      <x:c r="Q669" s="84" t="str">
        <x:v>Power Bank </x:v>
      </x:c>
      <x:c r="R669" s="84" t="str">
        <x:v>Electronics</x:v>
      </x:c>
    </x:row>
    <x:row r="670">
      <x:c r="A670" s="84" t="str">
        <x:v>ORD-2024-00156</x:v>
      </x:c>
      <x:c r="B670" s="85" t="n">
        <x:v>45534</x:v>
      </x:c>
      <x:c r="C670" s="84" t="str">
        <x:v>CUST-0062</x:v>
      </x:c>
      <x:c r="D670" s="84" t="str">
        <x:v>Caleb Davis</x:v>
      </x:c>
      <x:c r="E670" s="84" t="str">
        <x:v>Consumer</x:v>
      </x:c>
      <x:c r="F670" s="84" t="str">
        <x:v>Northeast</x:v>
      </x:c>
      <x:c r="G670" s="84" t="str">
        <x:v>New York</x:v>
      </x:c>
      <x:c r="H670" s="84" t="str">
        <x:v>Retail Store</x:v>
      </x:c>
      <x:c r="I670" s="84" t="str">
        <x:v>OFFC-005</x:v>
      </x:c>
      <x:c r="J670" s="86" t="n">
        <x:v>3</x:v>
      </x:c>
      <x:c r="K670" s="87" t="n">
        <x:v>0.05</x:v>
      </x:c>
      <x:c r="L670" s="84" t="str">
        <x:v>Completed</x:v>
      </x:c>
      <x:c r="M670" s="84" t="str">
        <x:v>Credit Card</x:v>
      </x:c>
      <x:c r="N670" s="84" t="str">
        <x:v> ETHAN COLE </x:v>
      </x:c>
      <x:c r="O670" s="85" t="n">
        <x:v>45534</x:v>
      </x:c>
      <x:c r="P670" s="84" t="str">
        <x:v>POS_2024_08</x:v>
      </x:c>
      <x:c r="Q670" s="84" t="str">
        <x:v>Wireless Keyboard</x:v>
      </x:c>
      <x:c r="R670" s="84" t="str">
        <x:v>Office </x:v>
      </x:c>
    </x:row>
    <x:row r="671">
      <x:c r="A671" s="84" t="str">
        <x:v>ORD-2024-00722</x:v>
      </x:c>
      <x:c r="B671" s="85" t="n">
        <x:v>45534</x:v>
      </x:c>
      <x:c r="C671" s="84" t="str">
        <x:v>CUST-0240</x:v>
      </x:c>
      <x:c r="D671" s="84" t="str">
        <x:v>elena garcia</x:v>
      </x:c>
      <x:c r="E671" s="84" t="str">
        <x:v>Consumer</x:v>
      </x:c>
      <x:c r="F671" s="84" t="str">
        <x:v>Midwest</x:v>
      </x:c>
      <x:c r="G671" s="84" t="str">
        <x:v>Detroit</x:v>
      </x:c>
      <x:c r="H671" s="84" t="str">
        <x:v>Marketplace</x:v>
      </x:c>
      <x:c r="I671" s="84" t="str">
        <x:v>ACCS-005</x:v>
      </x:c>
      <x:c r="J671" s="86" t="n">
        <x:v>1</x:v>
      </x:c>
      <x:c r="K671" s="87" t="n">
        <x:v>0.15</x:v>
      </x:c>
      <x:c r="L671" s="84" t="str">
        <x:v>Returned</x:v>
      </x:c>
      <x:c r="M671" s="84" t="str">
        <x:v>Credit Card</x:v>
      </x:c>
      <x:c r="N671" s="84" t="str">
        <x:v>Emma Hayes</x:v>
      </x:c>
      <x:c r="O671" s="85" t="n">
        <x:v>45539</x:v>
      </x:c>
      <x:c r="P671" s="84" t="str">
        <x:v>MKT_2024_08</x:v>
      </x:c>
      <x:c r="Q671" s="84" t="str">
        <x:v>Protective Phone Case </x:v>
      </x:c>
      <x:c r="R671" s="84" t="str">
        <x:v>Accessories</x:v>
      </x:c>
    </x:row>
    <x:row r="672">
      <x:c r="A672" s="84" t="str">
        <x:v>ORD-2024-00728</x:v>
      </x:c>
      <x:c r="B672" s="85" t="n">
        <x:v>45535</x:v>
      </x:c>
      <x:c r="C672" s="84" t="str">
        <x:v>CUST-0209</x:v>
      </x:c>
      <x:c r="D672" s="84" t="str">
        <x:v> SARA WALKER </x:v>
      </x:c>
      <x:c r="E672" s="84" t="str">
        <x:v>Consumer </x:v>
      </x:c>
      <x:c r="F672" s="84" t="str">
        <x:v> MIDWEST </x:v>
      </x:c>
      <x:c r="G672" s="84" t="str">
        <x:v>Chicago </x:v>
      </x:c>
      <x:c r="H672" s="84" t="str">
        <x:v>Online</x:v>
      </x:c>
      <x:c r="I672" s="84" t="str">
        <x:v>HOME-003</x:v>
      </x:c>
      <x:c r="J672" s="86" t="n">
        <x:v>1</x:v>
      </x:c>
      <x:c r="K672" s="87" t="n">
        <x:v>0.1</x:v>
      </x:c>
      <x:c r="L672" s="84" t="str">
        <x:v>Completed</x:v>
      </x:c>
      <x:c r="M672" s="84" t="str">
        <x:v>Credit Card</x:v>
      </x:c>
      <x:c r="N672" s="84" t="str">
        <x:v>emma hayes</x:v>
      </x:c>
      <x:c r="O672" s="85" t="n">
        <x:v>45539</x:v>
      </x:c>
      <x:c r="P672" s="84" t="str">
        <x:v>WEB_2024_08</x:v>
      </x:c>
      <x:c r="Q672" s="84" t="str">
        <x:v>Countertop Blender</x:v>
      </x:c>
      <x:c r="R672" s="84" t="str">
        <x:v>Home &amp; Kitchen</x:v>
      </x:c>
    </x:row>
    <x:row r="673">
      <x:c r="A673" s="84" t="str">
        <x:v>ORD-2024-00447</x:v>
      </x:c>
      <x:c r="B673" s="85" t="n">
        <x:v>45536</x:v>
      </x:c>
      <x:c r="C673" s="84" t="str">
        <x:v>CUST-0399</x:v>
      </x:c>
      <x:c r="D673" s="84" t="str">
        <x:v>aiden foster</x:v>
      </x:c>
      <x:c r="E673" s="84" t="str">
        <x:v>Consumer</x:v>
      </x:c>
      <x:c r="F673" s="84" t="str">
        <x:v>Midwest</x:v>
      </x:c>
      <x:c r="G673" s="84" t="str">
        <x:v>Detroit</x:v>
      </x:c>
      <x:c r="H673" s="84" t="str">
        <x:v>Online</x:v>
      </x:c>
      <x:c r="I673" s="84" t="str">
        <x:v>OFFC-002</x:v>
      </x:c>
      <x:c r="J673" s="86" t="n">
        <x:v>1</x:v>
      </x:c>
      <x:c r="K673" s="87" t="n">
        <x:v>0.15</x:v>
      </x:c>
      <x:c r="L673" s="84" t="str">
        <x:v> COMPLETED </x:v>
      </x:c>
      <x:c r="M673" s="84" t="str">
        <x:v>PayPal</x:v>
      </x:c>
      <x:c r="N673" s="84" t="str">
        <x:v>Zoe Turner</x:v>
      </x:c>
      <x:c r="O673" s="85" t="n">
        <x:v>45540</x:v>
      </x:c>
      <x:c r="P673" s="84" t="str">
        <x:v>WEB_2024_09</x:v>
      </x:c>
      <x:c r="Q673" s="84" t="str">
        <x:v>Standing Desk</x:v>
      </x:c>
      <x:c r="R673" s="84" t="str">
        <x:v>Office</x:v>
      </x:c>
    </x:row>
    <x:row r="674">
      <x:c r="A674" s="84" t="str">
        <x:v>ORD-2024-01945</x:v>
      </x:c>
      <x:c r="B674" s="85" t="n">
        <x:v>45536</x:v>
      </x:c>
      <x:c r="C674" s="84" t="str">
        <x:v>CUST-0457</x:v>
      </x:c>
      <x:c r="D674" s="84" t="str">
        <x:v>Amelia Carter</x:v>
      </x:c>
      <x:c r="E674" s="84" t="str">
        <x:v>Small Business</x:v>
      </x:c>
      <x:c r="F674" s="84" t="str">
        <x:v>Midwest</x:v>
      </x:c>
      <x:c r="G674" s="84" t="str">
        <x:v>Columbus</x:v>
      </x:c>
      <x:c r="H674" s="84" t="str">
        <x:v>Online</x:v>
      </x:c>
      <x:c r="I674" s="84" t="str">
        <x:v>ELEC-005</x:v>
      </x:c>
      <x:c r="J674" s="86" t="n">
        <x:v>1</x:v>
      </x:c>
      <x:c r="K674" s="87" t="n">
        <x:v>0.05</x:v>
      </x:c>
      <x:c r="L674" s="84" t="str">
        <x:v>Completed </x:v>
      </x:c>
      <x:c r="M674" s="84" t="str">
        <x:v>Debit Card</x:v>
      </x:c>
      <x:c r="N674" s="84" t="str">
        <x:v>Lucas Grant</x:v>
      </x:c>
      <x:c r="O674" s="85" t="n">
        <x:v>45540</x:v>
      </x:c>
      <x:c r="P674" s="84" t="str">
        <x:v>WEB_2024_09</x:v>
      </x:c>
      <x:c r="Q674" s="84" t="str">
        <x:v>hd webcam</x:v>
      </x:c>
      <x:c r="R674" s="84" t="str">
        <x:v>Electronics</x:v>
      </x:c>
    </x:row>
    <x:row r="675">
      <x:c r="A675" s="84" t="str">
        <x:v>ORD-2024-02260</x:v>
      </x:c>
      <x:c r="B675" s="85" t="n">
        <x:v>45536</x:v>
      </x:c>
      <x:c r="C675" s="84" t="str">
        <x:v>CUST-0257</x:v>
      </x:c>
      <x:c r="D675" s="84" t="str">
        <x:v>Elias Davis</x:v>
      </x:c>
      <x:c r="E675" s="84" t="str">
        <x:v>Corporate</x:v>
      </x:c>
      <x:c r="F675" s="84" t="str">
        <x:v>Northeast</x:v>
      </x:c>
      <x:c r="G675" s="84" t="str">
        <x:v>Boston</x:v>
      </x:c>
      <x:c r="H675" s="84" t="str">
        <x:v>Retail Store</x:v>
      </x:c>
      <x:c r="I675" s="84" t="str">
        <x:v>ACCS-003</x:v>
      </x:c>
      <x:c r="J675" s="86" t="n">
        <x:v>5</x:v>
      </x:c>
      <x:c r="K675" s="87" t="n">
        <x:v>0.05</x:v>
      </x:c>
      <x:c r="L675" s="84" t="str">
        <x:v>Completed </x:v>
      </x:c>
      <x:c r="M675" s="84" t="str">
        <x:v>Credit Card</x:v>
      </x:c>
      <x:c r="N675" s="84" t="str">
        <x:v>Ethan Cole</x:v>
      </x:c>
      <x:c r="O675" s="85" t="n">
        <x:v>45536</x:v>
      </x:c>
      <x:c r="P675" s="84" t="str">
        <x:v>POS_2024_09</x:v>
      </x:c>
      <x:c r="Q675" s="84" t="str">
        <x:v>Polarized Sunglasses</x:v>
      </x:c>
      <x:c r="R675" s="84" t="str">
        <x:v>Accessories</x:v>
      </x:c>
    </x:row>
    <x:row r="676">
      <x:c r="A676" s="84" t="str">
        <x:v>ORD-2024-00078</x:v>
      </x:c>
      <x:c r="B676" s="85" t="n">
        <x:v>45537</x:v>
      </x:c>
      <x:c r="C676" s="84" t="str">
        <x:v>CUST-0378</x:v>
      </x:c>
      <x:c r="D676" s="84" t="str">
        <x:v>Victoria Nelson</x:v>
      </x:c>
      <x:c r="E676" s="84" t="str">
        <x:v>Consumer</x:v>
      </x:c>
      <x:c r="F676" s="84" t="str">
        <x:v>Midwest</x:v>
      </x:c>
      <x:c r="G676" s="84" t="str">
        <x:v> CHICAGO </x:v>
      </x:c>
      <x:c r="H676" s="84" t="str">
        <x:v>Online</x:v>
      </x:c>
      <x:c r="I676" s="84" t="str">
        <x:v>OFFC-003</x:v>
      </x:c>
      <x:c r="J676" s="86" t="n">
        <x:v>1</x:v>
      </x:c>
      <x:c r="K676" s="87" t="n">
        <x:v>0.15</x:v>
      </x:c>
      <x:c r="L676" s="84" t="str">
        <x:v>Completed</x:v>
      </x:c>
      <x:c r="M676" s="84" t="str">
        <x:v>Credit Card</x:v>
      </x:c>
      <x:c r="N676" s="84" t="str">
        <x:v>Lucas Grant</x:v>
      </x:c>
      <x:c r="O676" s="85" t="n">
        <x:v>45540</x:v>
      </x:c>
      <x:c r="P676" s="84" t="str">
        <x:v>WEB_2024_09</x:v>
      </x:c>
      <x:c r="Q676" s="84" t="str">
        <x:v>LED Desk Lamp </x:v>
      </x:c>
      <x:c r="R676" s="84" t="str">
        <x:v>Office</x:v>
      </x:c>
    </x:row>
    <x:row r="677">
      <x:c r="A677" s="84" t="str">
        <x:v>ORD-2024-00423</x:v>
      </x:c>
      <x:c r="B677" s="85" t="n">
        <x:v>45537</x:v>
      </x:c>
      <x:c r="C677" s="84" t="str">
        <x:v>CUST-0439</x:v>
      </x:c>
      <x:c r="D677" s="84" t="str">
        <x:v>Aiden Irwin</x:v>
      </x:c>
      <x:c r="E677" s="84" t="str">
        <x:v>Consumer</x:v>
      </x:c>
      <x:c r="F677" s="84" t="str">
        <x:v>West</x:v>
      </x:c>
      <x:c r="G677" s="84" t="str">
        <x:v>Los Angeles</x:v>
      </x:c>
      <x:c r="H677" s="84" t="str">
        <x:v>Online </x:v>
      </x:c>
      <x:c r="I677" s="84" t="str">
        <x:v>CARE-004</x:v>
      </x:c>
      <x:c r="J677" s="86" t="n">
        <x:v>2</x:v>
      </x:c>
      <x:c r="K677" s="87" t="n">
        <x:v>0</x:v>
      </x:c>
      <x:c r="L677" s="84" t="str">
        <x:v>Completed</x:v>
      </x:c>
      <x:c r="M677" s="84" t="str">
        <x:v>Credit Card</x:v>
      </x:c>
      <x:c r="N677" s="84" t="str">
        <x:v>Leo Martinez</x:v>
      </x:c>
      <x:c r="O677" s="85" t="n">
        <x:v>45542</x:v>
      </x:c>
      <x:c r="P677" s="84" t="str">
        <x:v>WEB_2024_09</x:v>
      </x:c>
      <x:c r="Q677" s="84" t="str">
        <x:v>Electric Toothbrush</x:v>
      </x:c>
      <x:c r="R677" s="84" t="str">
        <x:v> PERSONAL CARE </x:v>
      </x:c>
    </x:row>
    <x:row r="678">
      <x:c r="A678" s="84" t="str">
        <x:v>ORD-2024-00529</x:v>
      </x:c>
      <x:c r="B678" s="85" t="n">
        <x:v>45537</x:v>
      </x:c>
      <x:c r="C678" s="84" t="str">
        <x:v>CUST-0186</x:v>
      </x:c>
      <x:c r="D678" s="84" t="str">
        <x:v>Elias Hall</x:v>
      </x:c>
      <x:c r="E678" s="84" t="str">
        <x:v>Consumer</x:v>
      </x:c>
      <x:c r="F678" s="84" t="str">
        <x:v>West </x:v>
      </x:c>
      <x:c r="G678" s="84" t="str">
        <x:v>Los Angeles</x:v>
      </x:c>
      <x:c r="H678" s="84" t="str">
        <x:v>Retail Store</x:v>
      </x:c>
      <x:c r="I678" s="84" t="str">
        <x:v>FITN-006</x:v>
      </x:c>
      <x:c r="J678" s="86" t="n">
        <x:v>1</x:v>
      </x:c>
      <x:c r="K678" s="87" t="n">
        <x:v>0.15</x:v>
      </x:c>
      <x:c r="L678" s="84" t="str">
        <x:v>Completed</x:v>
      </x:c>
      <x:c r="M678" s="84" t="str">
        <x:v>Credit Card</x:v>
      </x:c>
      <x:c r="N678" s="84" t="str">
        <x:v>Nora Kim </x:v>
      </x:c>
      <x:c r="O678" s="85" t="n">
        <x:v>45538</x:v>
      </x:c>
      <x:c r="P678" s="84" t="str">
        <x:v>POS_2024_09</x:v>
      </x:c>
      <x:c r="Q678" s="84" t="str">
        <x:v>Foam Roller</x:v>
      </x:c>
      <x:c r="R678" s="84" t="str">
        <x:v>Fitness</x:v>
      </x:c>
    </x:row>
    <x:row r="679">
      <x:c r="A679" s="84" t="str">
        <x:v>ORD-2024-00808</x:v>
      </x:c>
      <x:c r="B679" s="85" t="n">
        <x:v>45537</x:v>
      </x:c>
      <x:c r="C679" s="84" t="str">
        <x:v>CUST-0339</x:v>
      </x:c>
      <x:c r="D679" s="84" t="str">
        <x:v>Marcus Walker</x:v>
      </x:c>
      <x:c r="E679" s="84" t="str">
        <x:v>Consumer</x:v>
      </x:c>
      <x:c r="F679" s="84" t="str">
        <x:v>Midwest</x:v>
      </x:c>
      <x:c r="G679" s="84" t="str">
        <x:v>Columbus</x:v>
      </x:c>
      <x:c r="H679" s="84" t="str">
        <x:v>Retail Store </x:v>
      </x:c>
      <x:c r="I679" s="84" t="str">
        <x:v>OFFC-004</x:v>
      </x:c>
      <x:c r="J679" s="86" t="n">
        <x:v>1</x:v>
      </x:c>
      <x:c r="K679" s="87" t="n">
        <x:v>0.1</x:v>
      </x:c>
      <x:c r="L679" s="84" t="str">
        <x:v>Completed</x:v>
      </x:c>
      <x:c r="M679" s="84" t="str">
        <x:v>Credit Card</x:v>
      </x:c>
      <x:c r="N679" s="84" t="str">
        <x:v>Zoe Turner</x:v>
      </x:c>
      <x:c r="O679" s="85" t="n">
        <x:v>45537</x:v>
      </x:c>
      <x:c r="P679" s="84" t="str">
        <x:v>POS_2024_09</x:v>
      </x:c>
      <x:c r="Q679" s="84" t="str">
        <x:v>Premium Notebook Pack</x:v>
      </x:c>
      <x:c r="R679" s="84" t="str">
        <x:v>Office</x:v>
      </x:c>
    </x:row>
    <x:row r="680">
      <x:c r="A680" s="84" t="str">
        <x:v>ORD-2024-01015</x:v>
      </x:c>
      <x:c r="B680" s="85" t="n">
        <x:v>45537</x:v>
      </x:c>
      <x:c r="C680" s="84" t="str">
        <x:v>CUST-0007</x:v>
      </x:c>
      <x:c r="D680" s="84" t="str">
        <x:v>Owen Roberts</x:v>
      </x:c>
      <x:c r="E680" s="84" t="str">
        <x:v>Consumer </x:v>
      </x:c>
      <x:c r="F680" s="84" t="str">
        <x:v>Northeast</x:v>
      </x:c>
      <x:c r="G680" s="84" t="str">
        <x:v>Newark </x:v>
      </x:c>
      <x:c r="H680" s="84" t="str">
        <x:v>Marketplace</x:v>
      </x:c>
      <x:c r="I680" s="84" t="str">
        <x:v>CARE-005</x:v>
      </x:c>
      <x:c r="J680" s="86" t="n">
        <x:v>4</x:v>
      </x:c>
      <x:c r="K680" s="87" t="n">
        <x:v>0.1</x:v>
      </x:c>
      <x:c r="L680" s="84" t="str">
        <x:v>Completed</x:v>
      </x:c>
      <x:c r="M680" s="84" t="str">
        <x:v>Mobile Wallet</x:v>
      </x:c>
      <x:c r="N680" s="84" t="str">
        <x:v>Sofia Bennett</x:v>
      </x:c>
      <x:c r="O680" s="85" t="n">
        <x:v>45543</x:v>
      </x:c>
      <x:c r="P680" s="84" t="str">
        <x:v>MKT_2024_09</x:v>
      </x:c>
      <x:c r="Q680" s="84" t="str">
        <x:v>Skin Care Starter Kit</x:v>
      </x:c>
      <x:c r="R680" s="84" t="str">
        <x:v>personal care</x:v>
      </x:c>
    </x:row>
    <x:row r="681">
      <x:c r="A681" s="84" t="str">
        <x:v>ORD-2024-02333</x:v>
      </x:c>
      <x:c r="B681" s="85" t="n">
        <x:v>45537</x:v>
      </x:c>
      <x:c r="C681" s="84" t="str">
        <x:v>CUST-0415</x:v>
      </x:c>
      <x:c r="D681" s="84" t="str">
        <x:v>Zara Foster</x:v>
      </x:c>
      <x:c r="E681" s="84" t="str">
        <x:v>Corporate</x:v>
      </x:c>
      <x:c r="F681" s="84" t="str">
        <x:v>Southeast</x:v>
      </x:c>
      <x:c r="G681" s="84" t="str">
        <x:v>Charlotte</x:v>
      </x:c>
      <x:c r="H681" s="84" t="str">
        <x:v>Online</x:v>
      </x:c>
      <x:c r="I681" s="84" t="str">
        <x:v>OFFC-005</x:v>
      </x:c>
      <x:c r="J681" s="86" t="n">
        <x:v>2</x:v>
      </x:c>
      <x:c r="K681" s="87" t="n">
        <x:v>0</x:v>
      </x:c>
      <x:c r="L681" s="84" t="str">
        <x:v>Returned</x:v>
      </x:c>
      <x:c r="M681" s="84" t="str">
        <x:v>Mobile Wallet</x:v>
      </x:c>
      <x:c r="N681" s="84" t="str">
        <x:v>Noah Reed</x:v>
      </x:c>
      <x:c r="O681" s="85" t="n">
        <x:v>45540</x:v>
      </x:c>
      <x:c r="P681" s="84" t="str">
        <x:v>WEB_2024_09</x:v>
      </x:c>
      <x:c r="Q681" s="84" t="str">
        <x:v> WIRELESS KEYBOARD </x:v>
      </x:c>
      <x:c r="R681" s="84" t="str">
        <x:v>Office </x:v>
      </x:c>
    </x:row>
    <x:row r="682">
      <x:c r="A682" s="84" t="str">
        <x:v>ORD-2024-00958</x:v>
      </x:c>
      <x:c r="B682" s="85" t="n">
        <x:v>45538</x:v>
      </x:c>
      <x:c r="C682" s="84" t="str">
        <x:v>CUST-0298</x:v>
      </x:c>
      <x:c r="D682" s="84" t="str">
        <x:v>Jasmine Roberts</x:v>
      </x:c>
      <x:c r="E682" s="84" t="str">
        <x:v>Consumer</x:v>
      </x:c>
      <x:c r="F682" s="84" t="str">
        <x:v>West</x:v>
      </x:c>
      <x:c r="G682" s="84" t="str">
        <x:v>Los Angeles</x:v>
      </x:c>
      <x:c r="H682" s="84" t="str">
        <x:v> RETAIL STORE </x:v>
      </x:c>
      <x:c r="I682" s="84" t="str">
        <x:v>ELEC-003</x:v>
      </x:c>
      <x:c r="J682" s="86" t="n">
        <x:v>1</x:v>
      </x:c>
      <x:c r="K682" s="87" t="n">
        <x:v>0.2</x:v>
      </x:c>
      <x:c r="L682" s="84" t="str">
        <x:v>Completed </x:v>
      </x:c>
      <x:c r="M682" s="84" t="str">
        <x:v>Credit Card</x:v>
      </x:c>
      <x:c r="N682" s="84" t="str">
        <x:v>Nora Kim</x:v>
      </x:c>
      <x:c r="O682" s="85" t="n">
        <x:v>45538</x:v>
      </x:c>
      <x:c r="P682" s="84" t="str">
        <x:v>POS_2024_09</x:v>
      </x:c>
      <x:c r="Q682" s="84" t="str">
        <x:v>Bluetooth Speaker</x:v>
      </x:c>
      <x:c r="R682" s="84" t="str">
        <x:v>Electronics</x:v>
      </x:c>
    </x:row>
    <x:row r="683">
      <x:c r="A683" s="84" t="str">
        <x:v>ORD-2024-01933</x:v>
      </x:c>
      <x:c r="B683" s="85" t="n">
        <x:v>45538</x:v>
      </x:c>
      <x:c r="C683" s="84" t="str">
        <x:v>CUST-0359</x:v>
      </x:c>
      <x:c r="D683" s="84" t="str">
        <x:v>Daniel Hall</x:v>
      </x:c>
      <x:c r="E683" s="84" t="str">
        <x:v>Small Business</x:v>
      </x:c>
      <x:c r="F683" s="84" t="str">
        <x:v>west</x:v>
      </x:c>
      <x:c r="G683" s="84" t="str">
        <x:v>Seattle</x:v>
      </x:c>
      <x:c r="H683" s="84" t="str">
        <x:v>Online</x:v>
      </x:c>
      <x:c r="I683" s="84" t="str">
        <x:v>CARE-002</x:v>
      </x:c>
      <x:c r="J683" s="86" t="n">
        <x:v>1</x:v>
      </x:c>
      <x:c r="K683" s="87" t="n">
        <x:v>0.05</x:v>
      </x:c>
      <x:c r="L683" s="84" t="str">
        <x:v>Completed</x:v>
      </x:c>
      <x:c r="M683" s="84" t="str">
        <x:v>Debit Card</x:v>
      </x:c>
      <x:c r="N683" s="84" t="str">
        <x:v>Nora Kim</x:v>
      </x:c>
      <x:c r="O683" s="85" t="n">
        <x:v>45542</x:v>
      </x:c>
      <x:c r="P683" s="84" t="str">
        <x:v>WEB_2024_09</x:v>
      </x:c>
      <x:c r="Q683" s="84" t="str">
        <x:v>Rechargeable Trimmer </x:v>
      </x:c>
      <x:c r="R683" s="84" t="str">
        <x:v>Personal Care</x:v>
      </x:c>
    </x:row>
    <x:row r="684">
      <x:c r="A684" s="84" t="str">
        <x:v>ORD-2024-00170</x:v>
      </x:c>
      <x:c r="B684" s="85" t="n">
        <x:v>45540</x:v>
      </x:c>
      <x:c r="C684" s="84" t="str">
        <x:v>CUST-0085</x:v>
      </x:c>
      <x:c r="D684" s="84" t="str">
        <x:v>Amelia Adams</x:v>
      </x:c>
      <x:c r="E684" s="84" t="str">
        <x:v> SMALL BUSINESS </x:v>
      </x:c>
      <x:c r="F684" s="84" t="str">
        <x:v>West</x:v>
      </x:c>
      <x:c r="G684" s="84" t="str">
        <x:v>Phoenix</x:v>
      </x:c>
      <x:c r="H684" s="84" t="str">
        <x:v>Online</x:v>
      </x:c>
      <x:c r="I684" s="84" t="str">
        <x:v>HOME-003</x:v>
      </x:c>
      <x:c r="J684" s="86" t="n">
        <x:v>1</x:v>
      </x:c>
      <x:c r="K684" s="87" t="n">
        <x:v>0.1</x:v>
      </x:c>
      <x:c r="L684" s="84" t="str">
        <x:v>Completed</x:v>
      </x:c>
      <x:c r="M684" s="84" t="str">
        <x:v>PayPal</x:v>
      </x:c>
      <x:c r="N684" s="84" t="str">
        <x:v>Mia Chen</x:v>
      </x:c>
      <x:c r="O684" s="85" t="n">
        <x:v>45546</x:v>
      </x:c>
      <x:c r="P684" s="84" t="str">
        <x:v>WEB_2024_09</x:v>
      </x:c>
      <x:c r="Q684" s="84" t="str">
        <x:v>Countertop Blender</x:v>
      </x:c>
      <x:c r="R684" s="84" t="str">
        <x:v>Home &amp; Kitchen </x:v>
      </x:c>
    </x:row>
    <x:row r="685">
      <x:c r="A685" s="84" t="str">
        <x:v>ORD-2024-00354</x:v>
      </x:c>
      <x:c r="B685" s="85" t="n">
        <x:v>45540</x:v>
      </x:c>
      <x:c r="C685" s="84" t="str">
        <x:v>CUST-0465</x:v>
      </x:c>
      <x:c r="D685" s="84" t="str">
        <x:v> OWEN IRWIN </x:v>
      </x:c>
      <x:c r="E685" s="84" t="str">
        <x:v>Consumer</x:v>
      </x:c>
      <x:c r="F685" s="84" t="str">
        <x:v> MIDWEST </x:v>
      </x:c>
      <x:c r="G685" s="84" t="str">
        <x:v>Columbus</x:v>
      </x:c>
      <x:c r="H685" s="84" t="str">
        <x:v>Retail Store</x:v>
      </x:c>
      <x:c r="I685" s="84" t="str">
        <x:v>OFFC-002</x:v>
      </x:c>
      <x:c r="J685" s="86" t="n">
        <x:v>2</x:v>
      </x:c>
      <x:c r="K685" s="87" t="n">
        <x:v>0.05</x:v>
      </x:c>
      <x:c r="L685" s="84" t="str">
        <x:v>Completed</x:v>
      </x:c>
      <x:c r="M685" s="84" t="str">
        <x:v>Debit Card</x:v>
      </x:c>
      <x:c r="N685" s="84" t="str">
        <x:v>emma hayes</x:v>
      </x:c>
      <x:c r="O685" s="85" t="n">
        <x:v>45540</x:v>
      </x:c>
      <x:c r="P685" s="84" t="str">
        <x:v>POS_2024_09</x:v>
      </x:c>
      <x:c r="Q685" s="84" t="str">
        <x:v>Standing Desk</x:v>
      </x:c>
      <x:c r="R685" s="84" t="str">
        <x:v>Office</x:v>
      </x:c>
    </x:row>
    <x:row r="686">
      <x:c r="A686" s="84" t="str">
        <x:v>ORD-2024-00481</x:v>
      </x:c>
      <x:c r="B686" s="85" t="n">
        <x:v>45540</x:v>
      </x:c>
      <x:c r="C686" s="84" t="str">
        <x:v>CUST-0613</x:v>
      </x:c>
      <x:c r="D686" s="84" t="str">
        <x:v>Owen Hall </x:v>
      </x:c>
      <x:c r="E686" s="84" t="str">
        <x:v>Consumer</x:v>
      </x:c>
      <x:c r="F686" s="84" t="str">
        <x:v>southeast</x:v>
      </x:c>
      <x:c r="G686" s="84" t="str">
        <x:v>Nashville</x:v>
      </x:c>
      <x:c r="H686" s="84" t="str">
        <x:v>Retail Store</x:v>
      </x:c>
      <x:c r="I686" s="84" t="str">
        <x:v>CARE-002</x:v>
      </x:c>
      <x:c r="J686" s="86" t="n">
        <x:v>2</x:v>
      </x:c>
      <x:c r="K686" s="87" t="n">
        <x:v>0</x:v>
      </x:c>
      <x:c r="L686" s="84" t="str">
        <x:v> COMPLETED </x:v>
      </x:c>
      <x:c r="M686" s="84" t="str">
        <x:v>Mobile Wallet </x:v>
      </x:c>
      <x:c r="N686" s="84" t="str">
        <x:v>Ava Mitchell</x:v>
      </x:c>
      <x:c r="O686" s="85" t="n">
        <x:v>45540</x:v>
      </x:c>
      <x:c r="P686" s="84" t="str">
        <x:v>POS_2024_09</x:v>
      </x:c>
      <x:c r="Q686" s="84" t="str">
        <x:v>Rechargeable Trimmer</x:v>
      </x:c>
      <x:c r="R686" s="84" t="str">
        <x:v>Personal Care</x:v>
      </x:c>
    </x:row>
    <x:row r="687">
      <x:c r="A687" s="84" t="str">
        <x:v>ORD-2024-01173</x:v>
      </x:c>
      <x:c r="B687" s="85" t="n">
        <x:v>45540</x:v>
      </x:c>
      <x:c r="C687" s="84" t="str">
        <x:v>CUST-0625</x:v>
      </x:c>
      <x:c r="D687" s="84" t="str">
        <x:v>daniel patel</x:v>
      </x:c>
      <x:c r="E687" s="84" t="str">
        <x:v> SMALL BUSINESS </x:v>
      </x:c>
      <x:c r="F687" s="84" t="str">
        <x:v>West </x:v>
      </x:c>
      <x:c r="G687" s="84" t="str">
        <x:v>Phoenix</x:v>
      </x:c>
      <x:c r="H687" s="84" t="str">
        <x:v>Retail Store</x:v>
      </x:c>
      <x:c r="I687" s="84" t="str">
        <x:v>ACCS-002</x:v>
      </x:c>
      <x:c r="J687" s="86" t="n">
        <x:v>1</x:v>
      </x:c>
      <x:c r="K687" s="87" t="n">
        <x:v>0.1</x:v>
      </x:c>
      <x:c r="L687" s="84" t="str">
        <x:v>Completed</x:v>
      </x:c>
      <x:c r="M687" s="84" t="str">
        <x:v>Debit Card</x:v>
      </x:c>
      <x:c r="N687" s="84" t="str">
        <x:v>Leo Martinez </x:v>
      </x:c>
      <x:c r="O687" s="85" t="n">
        <x:v>45540</x:v>
      </x:c>
      <x:c r="P687" s="84" t="str">
        <x:v>POS_2024_09</x:v>
      </x:c>
      <x:c r="Q687" s="84" t="str">
        <x:v>Travel Backpack</x:v>
      </x:c>
      <x:c r="R687" s="84" t="str">
        <x:v>Accessories</x:v>
      </x:c>
    </x:row>
    <x:row r="688">
      <x:c r="A688" s="84" t="str">
        <x:v>ORD-2024-01728</x:v>
      </x:c>
      <x:c r="B688" s="85" t="n">
        <x:v>45540</x:v>
      </x:c>
      <x:c r="C688" s="84" t="str">
        <x:v>CUST-0074</x:v>
      </x:c>
      <x:c r="D688" s="84" t="str">
        <x:v>Grace Taylor</x:v>
      </x:c>
      <x:c r="E688" s="84" t="str">
        <x:v>Consumer</x:v>
      </x:c>
      <x:c r="F688" s="84" t="str">
        <x:v>West</x:v>
      </x:c>
      <x:c r="G688" s="84" t="str">
        <x:v>Seattle</x:v>
      </x:c>
      <x:c r="H688" s="84" t="str">
        <x:v>Retail Store</x:v>
      </x:c>
      <x:c r="I688" s="84" t="str">
        <x:v>OFFC-005</x:v>
      </x:c>
      <x:c r="J688" s="86" t="n">
        <x:v>1</x:v>
      </x:c>
      <x:c r="K688" s="87" t="n">
        <x:v>0.1</x:v>
      </x:c>
      <x:c r="L688" s="84" t="str">
        <x:v>Completed </x:v>
      </x:c>
      <x:c r="M688" s="84" t="str">
        <x:v> MOBILE WALLET </x:v>
      </x:c>
      <x:c r="N688" s="84" t="str">
        <x:v>Nora Kim</x:v>
      </x:c>
      <x:c r="O688" s="85" t="n">
        <x:v>45540</x:v>
      </x:c>
      <x:c r="P688" s="84" t="str">
        <x:v>POS_2024_09</x:v>
      </x:c>
      <x:c r="Q688" s="84" t="str">
        <x:v>Wireless Keyboard</x:v>
      </x:c>
      <x:c r="R688" s="84" t="str">
        <x:v>Office</x:v>
      </x:c>
    </x:row>
    <x:row r="689">
      <x:c r="A689" s="84" t="str">
        <x:v>ORD-2024-01929</x:v>
      </x:c>
      <x:c r="B689" s="85" t="n">
        <x:v>45540</x:v>
      </x:c>
      <x:c r="C689" s="84" t="str">
        <x:v>CUST-0449</x:v>
      </x:c>
      <x:c r="D689" s="84" t="str">
        <x:v>Chloe Taylor</x:v>
      </x:c>
      <x:c r="E689" s="84" t="str">
        <x:v>Corporate</x:v>
      </x:c>
      <x:c r="F689" s="84" t="str">
        <x:v>West </x:v>
      </x:c>
      <x:c r="G689" s="84" t="str">
        <x:v>seattle</x:v>
      </x:c>
      <x:c r="H689" s="84" t="str">
        <x:v>Online</x:v>
      </x:c>
      <x:c r="I689" s="84" t="str">
        <x:v>OFFC-003</x:v>
      </x:c>
      <x:c r="J689" s="86" t="n">
        <x:v>3</x:v>
      </x:c>
      <x:c r="K689" s="87" t="n">
        <x:v>0</x:v>
      </x:c>
      <x:c r="L689" s="84" t="str">
        <x:v>completed</x:v>
      </x:c>
      <x:c r="M689" s="84" t="str">
        <x:v>PayPal</x:v>
      </x:c>
      <x:c r="N689" s="84" t="str">
        <x:v>Nora Kim </x:v>
      </x:c>
      <x:c r="O689" s="85" t="n">
        <x:v>45542</x:v>
      </x:c>
      <x:c r="P689" s="84" t="str">
        <x:v>WEB_2024_09</x:v>
      </x:c>
      <x:c r="Q689" s="84" t="str">
        <x:v>LED Desk Lamp</x:v>
      </x:c>
      <x:c r="R689" s="84" t="str">
        <x:v>Office</x:v>
      </x:c>
    </x:row>
    <x:row r="690">
      <x:c r="A690" s="84" t="str">
        <x:v>ORD-2024-02287</x:v>
      </x:c>
      <x:c r="B690" s="85" t="n">
        <x:v>45540</x:v>
      </x:c>
      <x:c r="C690" s="84" t="str">
        <x:v>CUST-0618</x:v>
      </x:c>
      <x:c r="D690" s="84" t="str">
        <x:v>Layla Nelson </x:v>
      </x:c>
      <x:c r="E690" s="84" t="str">
        <x:v>Consumer</x:v>
      </x:c>
      <x:c r="F690" s="84" t="str">
        <x:v>Northeast</x:v>
      </x:c>
      <x:c r="G690" s="84" t="str">
        <x:v>Philadelphia</x:v>
      </x:c>
      <x:c r="H690" s="84" t="str">
        <x:v>Online</x:v>
      </x:c>
      <x:c r="I690" s="84" t="str">
        <x:v>ELEC-006</x:v>
      </x:c>
      <x:c r="J690" s="86" t="n">
        <x:v>1</x:v>
      </x:c>
      <x:c r="K690" s="87" t="n">
        <x:v>0.05</x:v>
      </x:c>
      <x:c r="L690" s="84" t="str">
        <x:v>Completed</x:v>
      </x:c>
      <x:c r="M690" s="84" t="str">
        <x:v>credit card</x:v>
      </x:c>
      <x:c r="N690" s="84" t="str">
        <x:v>Ethan Cole</x:v>
      </x:c>
      <x:c r="O690" s="85" t="n">
        <x:v>45542</x:v>
      </x:c>
      <x:c r="P690" s="84" t="str">
        <x:v>WEB_2024_09</x:v>
      </x:c>
      <x:c r="Q690" s="84" t="str">
        <x:v>Portable SSD</x:v>
      </x:c>
      <x:c r="R690" s="84" t="str">
        <x:v>Electronics</x:v>
      </x:c>
    </x:row>
    <x:row r="691">
      <x:c r="A691" s="84" t="str">
        <x:v>ORD-2024-01949</x:v>
      </x:c>
      <x:c r="B691" s="85" t="n">
        <x:v>45541</x:v>
      </x:c>
      <x:c r="C691" s="84" t="str">
        <x:v>CUST-0514</x:v>
      </x:c>
      <x:c r="D691" s="84" t="str">
        <x:v>Caleb Young</x:v>
      </x:c>
      <x:c r="E691" s="84" t="str">
        <x:v>Consumer</x:v>
      </x:c>
      <x:c r="F691" s="84" t="str">
        <x:v>Northeast</x:v>
      </x:c>
      <x:c r="G691" s="84" t="str">
        <x:v>Boston</x:v>
      </x:c>
      <x:c r="H691" s="84" t="str">
        <x:v>Retail Store </x:v>
      </x:c>
      <x:c r="I691" s="84" t="str">
        <x:v>ELEC-002</x:v>
      </x:c>
      <x:c r="J691" s="86" t="n">
        <x:v>1</x:v>
      </x:c>
      <x:c r="K691" s="87" t="n">
        <x:v>0</x:v>
      </x:c>
      <x:c r="L691" s="84" t="str">
        <x:v>Completed</x:v>
      </x:c>
      <x:c r="M691" s="84" t="str">
        <x:v> CREDIT CARD </x:v>
      </x:c>
      <x:c r="N691" s="84" t="str">
        <x:v>ethan cole</x:v>
      </x:c>
      <x:c r="O691" s="85" t="n">
        <x:v>45541</x:v>
      </x:c>
      <x:c r="P691" s="84" t="str">
        <x:v>POS_2024_09</x:v>
      </x:c>
      <x:c r="Q691" s="84" t="str">
        <x:v>Smartwatch</x:v>
      </x:c>
      <x:c r="R691" s="84" t="str">
        <x:v>Electronics</x:v>
      </x:c>
    </x:row>
    <x:row r="692">
      <x:c r="A692" s="84" t="str">
        <x:v>ORD-2024-00131</x:v>
      </x:c>
      <x:c r="B692" s="85" t="n">
        <x:v>45542</x:v>
      </x:c>
      <x:c r="C692" s="84" t="str">
        <x:v>CUST-0260</x:v>
      </x:c>
      <x:c r="D692" s="84" t="str">
        <x:v>Caleb Ortiz </x:v>
      </x:c>
      <x:c r="E692" s="84" t="str">
        <x:v>Corporate</x:v>
      </x:c>
      <x:c r="F692" s="84" t="str">
        <x:v>West</x:v>
      </x:c>
      <x:c r="G692" s="84" t="str">
        <x:v>Los Angeles</x:v>
      </x:c>
      <x:c r="H692" s="84" t="str">
        <x:v>Online</x:v>
      </x:c>
      <x:c r="I692" s="84" t="str">
        <x:v>ACCS-001</x:v>
      </x:c>
      <x:c r="J692" s="86" t="n">
        <x:v>4</x:v>
      </x:c>
      <x:c r="K692" s="87" t="n">
        <x:v>0.05</x:v>
      </x:c>
      <x:c r="L692" s="84" t="str">
        <x:v>Completed</x:v>
      </x:c>
      <x:c r="M692" s="84" t="str">
        <x:v>paypal</x:v>
      </x:c>
      <x:c r="N692" s="84" t="str">
        <x:v>Leo Martinez</x:v>
      </x:c>
      <x:c r="O692" s="85" t="n">
        <x:v>45546</x:v>
      </x:c>
      <x:c r="P692" s="84" t="str">
        <x:v>WEB_2024_09</x:v>
      </x:c>
      <x:c r="Q692" s="84" t="str">
        <x:v>Canvas Tote Bag</x:v>
      </x:c>
      <x:c r="R692" s="84" t="str">
        <x:v>Accessories</x:v>
      </x:c>
    </x:row>
    <x:row r="693">
      <x:c r="A693" s="84" t="str">
        <x:v>ORD-2024-00376</x:v>
      </x:c>
      <x:c r="B693" s="85" t="n">
        <x:v>45542</x:v>
      </x:c>
      <x:c r="C693" s="84" t="str">
        <x:v>CUST-0603</x:v>
      </x:c>
      <x:c r="D693" s="84" t="str">
        <x:v>Elias Roberts </x:v>
      </x:c>
      <x:c r="E693" s="84" t="str">
        <x:v>Consumer</x:v>
      </x:c>
      <x:c r="F693" s="84" t="str">
        <x:v>Northeast</x:v>
      </x:c>
      <x:c r="G693" s="84" t="str">
        <x:v>Newark</x:v>
      </x:c>
      <x:c r="H693" s="84" t="str">
        <x:v>Marketplace</x:v>
      </x:c>
      <x:c r="I693" s="84" t="str">
        <x:v>FITN-006</x:v>
      </x:c>
      <x:c r="J693" s="86" t="n">
        <x:v>2</x:v>
      </x:c>
      <x:c r="K693" s="87" t="n">
        <x:v>0.15</x:v>
      </x:c>
      <x:c r="L693" s="84" t="str">
        <x:v>Completed</x:v>
      </x:c>
      <x:c r="M693" s="84" t="str">
        <x:v>Credit Card </x:v>
      </x:c>
      <x:c r="N693" s="84" t="str">
        <x:v>ethan cole</x:v>
      </x:c>
      <x:c r="O693" s="85" t="n">
        <x:v>45545</x:v>
      </x:c>
      <x:c r="P693" s="84" t="str">
        <x:v>MKT_2024_09</x:v>
      </x:c>
      <x:c r="Q693" s="84" t="str">
        <x:v>Foam Roller</x:v>
      </x:c>
      <x:c r="R693" s="84" t="str">
        <x:v>Fitness</x:v>
      </x:c>
    </x:row>
    <x:row r="694">
      <x:c r="A694" s="84" t="str">
        <x:v>ORD-2024-01102</x:v>
      </x:c>
      <x:c r="B694" s="85" t="n">
        <x:v>45543</x:v>
      </x:c>
      <x:c r="C694" s="84" t="str">
        <x:v>CUST-0117</x:v>
      </x:c>
      <x:c r="D694" s="84" t="str">
        <x:v> CALEB EVANS </x:v>
      </x:c>
      <x:c r="E694" s="84" t="str">
        <x:v>Consumer</x:v>
      </x:c>
      <x:c r="F694" s="84" t="str">
        <x:v> NORTHEAST </x:v>
      </x:c>
      <x:c r="G694" s="84" t="str">
        <x:v>Newark</x:v>
      </x:c>
      <x:c r="H694" s="84" t="str">
        <x:v>Online </x:v>
      </x:c>
      <x:c r="I694" s="84" t="str">
        <x:v>ELEC-006</x:v>
      </x:c>
      <x:c r="J694" s="86" t="n">
        <x:v>3</x:v>
      </x:c>
      <x:c r="K694" s="87" t="n">
        <x:v>0</x:v>
      </x:c>
      <x:c r="L694" s="84" t="str">
        <x:v>Completed</x:v>
      </x:c>
      <x:c r="M694" s="84" t="str">
        <x:v>PayPal</x:v>
      </x:c>
      <x:c r="N694" s="84" t="str">
        <x:v>maya brooks</x:v>
      </x:c>
      <x:c r="O694" s="85" t="n">
        <x:v>45547</x:v>
      </x:c>
      <x:c r="P694" s="84" t="str">
        <x:v>WEB_2024_09</x:v>
      </x:c>
      <x:c r="Q694" s="84" t="str">
        <x:v>Portable SSD</x:v>
      </x:c>
      <x:c r="R694" s="84" t="str">
        <x:v>Electronics</x:v>
      </x:c>
    </x:row>
    <x:row r="695">
      <x:c r="A695" s="84" t="str">
        <x:v>ORD-2024-01512</x:v>
      </x:c>
      <x:c r="B695" s="85" t="n">
        <x:v>45543</x:v>
      </x:c>
      <x:c r="C695" s="84" t="str">
        <x:v>CUST-0393</x:v>
      </x:c>
      <x:c r="D695" s="84" t="str">
        <x:v>Owen Carter</x:v>
      </x:c>
      <x:c r="E695" s="84" t="str">
        <x:v>Consumer </x:v>
      </x:c>
      <x:c r="F695" s="84" t="str">
        <x:v>Midwest</x:v>
      </x:c>
      <x:c r="G695" s="84" t="str">
        <x:v>Columbus </x:v>
      </x:c>
      <x:c r="H695" s="84" t="str">
        <x:v>Retail Store</x:v>
      </x:c>
      <x:c r="I695" s="84" t="str">
        <x:v>FITN-002</x:v>
      </x:c>
      <x:c r="J695" s="86" t="n">
        <x:v>1</x:v>
      </x:c>
      <x:c r="K695" s="87" t="n">
        <x:v>0.15</x:v>
      </x:c>
      <x:c r="L695" s="84" t="str">
        <x:v>Completed</x:v>
      </x:c>
      <x:c r="M695" s="84" t="str">
        <x:v>Cash</x:v>
      </x:c>
      <x:c r="N695" s="84" t="str">
        <x:v>Emma Hayes</x:v>
      </x:c>
      <x:c r="O695" s="85" t="n">
        <x:v>45543</x:v>
      </x:c>
      <x:c r="P695" s="84" t="str">
        <x:v>POS_2024_09</x:v>
      </x:c>
      <x:c r="Q695" s="84" t="str">
        <x:v>Adjustable Dumbbell Set</x:v>
      </x:c>
      <x:c r="R695" s="84" t="str">
        <x:v>Fitness</x:v>
      </x:c>
    </x:row>
    <x:row r="696">
      <x:c r="A696" s="84" t="str">
        <x:v>ORD-2024-01526</x:v>
      </x:c>
      <x:c r="B696" s="85" t="n">
        <x:v>45543</x:v>
      </x:c>
      <x:c r="C696" s="84" t="str">
        <x:v>CUST-0234</x:v>
      </x:c>
      <x:c r="D696" s="84" t="str">
        <x:v>William Quinn</x:v>
      </x:c>
      <x:c r="E696" s="84" t="str">
        <x:v>Consumer </x:v>
      </x:c>
      <x:c r="F696" s="84" t="str">
        <x:v>west</x:v>
      </x:c>
      <x:c r="G696" s="84" t="str">
        <x:v>Seattle </x:v>
      </x:c>
      <x:c r="H696" s="84" t="str">
        <x:v>Retail Store</x:v>
      </x:c>
      <x:c r="I696" s="84" t="str">
        <x:v>HOME-001</x:v>
      </x:c>
      <x:c r="J696" s="86" t="n">
        <x:v>1</x:v>
      </x:c>
      <x:c r="K696" s="87" t="n">
        <x:v>0.15</x:v>
      </x:c>
      <x:c r="L696" s="84" t="str">
        <x:v>Completed</x:v>
      </x:c>
      <x:c r="M696" s="84" t="str">
        <x:v>Credit Card</x:v>
      </x:c>
      <x:c r="N696" s="84" t="str">
        <x:v>Nora Kim</x:v>
      </x:c>
      <x:c r="O696" s="85" t="n">
        <x:v>45543</x:v>
      </x:c>
      <x:c r="P696" s="84" t="str">
        <x:v>POS_2024_09</x:v>
      </x:c>
      <x:c r="Q696" s="84" t="str">
        <x:v>Air Fryer</x:v>
      </x:c>
      <x:c r="R696" s="84" t="str">
        <x:v>Home &amp; Kitchen</x:v>
      </x:c>
    </x:row>
    <x:row r="697">
      <x:c r="A697" s="84" t="str">
        <x:v>ORD-2024-01447</x:v>
      </x:c>
      <x:c r="B697" s="85" t="n">
        <x:v>45544</x:v>
      </x:c>
      <x:c r="C697" s="84" t="str">
        <x:v>CUST-0411</x:v>
      </x:c>
      <x:c r="D697" s="84" t="str">
        <x:v>Daniel Young </x:v>
      </x:c>
      <x:c r="E697" s="84" t="str">
        <x:v>Corporate</x:v>
      </x:c>
      <x:c r="F697" s="84" t="str">
        <x:v>West</x:v>
      </x:c>
      <x:c r="G697" s="84" t="str">
        <x:v>Denver</x:v>
      </x:c>
      <x:c r="H697" s="84" t="str">
        <x:v>Retail Store</x:v>
      </x:c>
      <x:c r="I697" s="84" t="str">
        <x:v>OFFC-005</x:v>
      </x:c>
      <x:c r="J697" s="86" t="n">
        <x:v>-1</x:v>
      </x:c>
      <x:c r="K697" s="87" t="n">
        <x:v>0.15</x:v>
      </x:c>
      <x:c r="L697" s="84" t="str">
        <x:v>Returned</x:v>
      </x:c>
      <x:c r="M697" s="84" t="str">
        <x:v>Mobile Wallet </x:v>
      </x:c>
      <x:c r="N697" s="84" t="str">
        <x:v>Nora Kim</x:v>
      </x:c>
      <x:c r="O697" s="85" t="n">
        <x:v>45544</x:v>
      </x:c>
      <x:c r="P697" s="84" t="str">
        <x:v>POS_2024_09</x:v>
      </x:c>
      <x:c r="Q697" s="84" t="str">
        <x:v>Wireless Keyboard</x:v>
      </x:c>
      <x:c r="R697" s="84" t="str">
        <x:v>Office</x:v>
      </x:c>
    </x:row>
    <x:row r="698">
      <x:c r="A698" s="84" t="str">
        <x:v>ORD-2024-01837</x:v>
      </x:c>
      <x:c r="B698" s="85" t="n">
        <x:v>45544</x:v>
      </x:c>
      <x:c r="C698" s="84" t="str">
        <x:v>CUST-0044</x:v>
      </x:c>
      <x:c r="D698" s="84" t="str">
        <x:v>Grace Nelson</x:v>
      </x:c>
      <x:c r="E698" s="84" t="str">
        <x:v>small business</x:v>
      </x:c>
      <x:c r="F698" s="84" t="str">
        <x:v>Northeast</x:v>
      </x:c>
      <x:c r="G698" s="84" t="str">
        <x:v>New York</x:v>
      </x:c>
      <x:c r="H698" s="84" t="str">
        <x:v>retail store</x:v>
      </x:c>
      <x:c r="I698" s="84" t="str">
        <x:v>HOME-001</x:v>
      </x:c>
      <x:c r="J698" s="86" t="n">
        <x:v>2</x:v>
      </x:c>
      <x:c r="K698" s="87" t="n">
        <x:v>0.15</x:v>
      </x:c>
      <x:c r="L698" s="84" t="str">
        <x:v>Completed</x:v>
      </x:c>
      <x:c r="M698" s="84" t="str">
        <x:v>Credit Card</x:v>
      </x:c>
      <x:c r="N698" s="84" t="str">
        <x:v>Maya Brooks</x:v>
      </x:c>
      <x:c r="O698" s="85" t="n">
        <x:v>45544</x:v>
      </x:c>
      <x:c r="P698" s="84" t="str">
        <x:v>POS_2024_09</x:v>
      </x:c>
      <x:c r="Q698" s="84" t="str">
        <x:v>Air Fryer</x:v>
      </x:c>
      <x:c r="R698" s="84" t="str">
        <x:v>Home &amp; Kitchen</x:v>
      </x:c>
    </x:row>
    <x:row r="699">
      <x:c r="A699" s="84" t="str">
        <x:v>ORD-2024-00946</x:v>
      </x:c>
      <x:c r="B699" s="85" t="n">
        <x:v>45545</x:v>
      </x:c>
      <x:c r="C699" s="84" t="str">
        <x:v>CUST-0271</x:v>
      </x:c>
      <x:c r="D699" s="84" t="str">
        <x:v>Jonah Nelson</x:v>
      </x:c>
      <x:c r="E699" s="84" t="str">
        <x:v>consumer</x:v>
      </x:c>
      <x:c r="F699" s="84" t="str">
        <x:v>Midwest</x:v>
      </x:c>
      <x:c r="G699" s="84" t="str">
        <x:v>Detroit</x:v>
      </x:c>
      <x:c r="H699" s="84" t="str">
        <x:v>retail store</x:v>
      </x:c>
      <x:c r="I699" s="84" t="str">
        <x:v>OFFC-002</x:v>
      </x:c>
      <x:c r="J699" s="86" t="n">
        <x:v>1</x:v>
      </x:c>
      <x:c r="K699" s="87" t="n">
        <x:v>0.1</x:v>
      </x:c>
      <x:c r="L699" s="84" t="str">
        <x:v>Completed</x:v>
      </x:c>
      <x:c r="M699" s="84" t="str">
        <x:v> DEBIT CARD </x:v>
      </x:c>
      <x:c r="N699" s="84" t="str">
        <x:v>Lucas Grant</x:v>
      </x:c>
      <x:c r="O699" s="85" t="n">
        <x:v>45545</x:v>
      </x:c>
      <x:c r="P699" s="84" t="str">
        <x:v>POS_2024_09</x:v>
      </x:c>
      <x:c r="Q699" s="84" t="str">
        <x:v>Standing Desk </x:v>
      </x:c>
      <x:c r="R699" s="84" t="str">
        <x:v>Office</x:v>
      </x:c>
    </x:row>
    <x:row r="700">
      <x:c r="A700" s="84" t="str">
        <x:v>ORD-2024-01444</x:v>
      </x:c>
      <x:c r="B700" s="85" t="n">
        <x:v>45545</x:v>
      </x:c>
      <x:c r="C700" s="84" t="str">
        <x:v>CUST-0360</x:v>
      </x:c>
      <x:c r="D700" s="84" t="str">
        <x:v>Elena Taylor</x:v>
      </x:c>
      <x:c r="E700" s="84" t="str">
        <x:v>Corporate</x:v>
      </x:c>
      <x:c r="F700" s="84" t="str">
        <x:v>Northeast</x:v>
      </x:c>
      <x:c r="G700" s="84" t="str">
        <x:v>New York</x:v>
      </x:c>
      <x:c r="H700" s="84" t="str">
        <x:v>Online</x:v>
      </x:c>
      <x:c r="I700" s="84" t="str">
        <x:v>FITN-005</x:v>
      </x:c>
      <x:c r="J700" s="86" t="n">
        <x:v>1</x:v>
      </x:c>
      <x:c r="K700" s="87" t="n">
        <x:v>0.1</x:v>
      </x:c>
      <x:c r="L700" s="84" t="str">
        <x:v>Completed</x:v>
      </x:c>
      <x:c r="M700" s="84" t="str">
        <x:v>PayPal</x:v>
      </x:c>
      <x:c r="N700" s="84" t="str">
        <x:v>Maya Brooks</x:v>
      </x:c>
      <x:c r="O700" s="85" t="n">
        <x:v>45547</x:v>
      </x:c>
      <x:c r="P700" s="84" t="str">
        <x:v>WEB_2024_09</x:v>
      </x:c>
      <x:c r="Q700" s="84" t="str">
        <x:v>Sports Water Bottle</x:v>
      </x:c>
      <x:c r="R700" s="84" t="str">
        <x:v>fitness</x:v>
      </x:c>
    </x:row>
    <x:row r="701">
      <x:c r="A701" s="84" t="str">
        <x:v>ORD-2024-00031</x:v>
      </x:c>
      <x:c r="B701" s="85" t="n">
        <x:v>45547</x:v>
      </x:c>
      <x:c r="C701" s="84" t="str">
        <x:v>CUST-0124</x:v>
      </x:c>
      <x:c r="D701" s="84" t="str">
        <x:v> PRIYA LEWIS </x:v>
      </x:c>
      <x:c r="E701" s="84" t="str">
        <x:v>Consumer</x:v>
      </x:c>
      <x:c r="F701" s="84" t="str">
        <x:v> MIDWEST </x:v>
      </x:c>
      <x:c r="G701" s="84" t="str">
        <x:v>Chicago</x:v>
      </x:c>
      <x:c r="H701" s="84" t="str">
        <x:v>Retail Store </x:v>
      </x:c>
      <x:c r="I701" s="84" t="str">
        <x:v>HOME-005</x:v>
      </x:c>
      <x:c r="J701" s="86" t="n">
        <x:v>1</x:v>
      </x:c>
      <x:c r="K701" s="87" t="n">
        <x:v>0</x:v>
      </x:c>
      <x:c r="L701" s="84" t="str">
        <x:v>Completed</x:v>
      </x:c>
      <x:c r="M701" s="84" t="str">
        <x:v>Mobile Wallet</x:v>
      </x:c>
      <x:c r="N701" s="84" t="str">
        <x:v>Lucas Grant</x:v>
      </x:c>
      <x:c r="O701" s="85" t="n">
        <x:v>45547</x:v>
      </x:c>
      <x:c r="P701" s="84" t="str">
        <x:v>POS_2024_09</x:v>
      </x:c>
      <x:c r="Q701" s="84" t="str">
        <x:v>cordless vacuum</x:v>
      </x:c>
      <x:c r="R701" s="84" t="str">
        <x:v>Home &amp; Kitchen</x:v>
      </x:c>
    </x:row>
    <x:row r="702">
      <x:c r="A702" s="84" t="str">
        <x:v>ORD-2024-00223</x:v>
      </x:c>
      <x:c r="B702" s="85" t="n">
        <x:v>45547</x:v>
      </x:c>
      <x:c r="C702" s="84" t="str">
        <x:v>CUST-0555</x:v>
      </x:c>
      <x:c r="D702" s="84" t="str">
        <x:v>Marcus Nelson</x:v>
      </x:c>
      <x:c r="E702" s="84" t="str">
        <x:v>Corporate</x:v>
      </x:c>
      <x:c r="F702" s="84" t="str">
        <x:v>West</x:v>
      </x:c>
      <x:c r="G702" s="84" t="str">
        <x:v>Seattle</x:v>
      </x:c>
      <x:c r="H702" s="84" t="str">
        <x:v>Marketplace</x:v>
      </x:c>
      <x:c r="I702" s="84" t="str">
        <x:v>OFFC-006</x:v>
      </x:c>
      <x:c r="J702" s="86" t="n">
        <x:v>6</x:v>
      </x:c>
      <x:c r="K702" s="87" t="n">
        <x:v>0.1</x:v>
      </x:c>
      <x:c r="L702" s="84" t="str">
        <x:v>Completed </x:v>
      </x:c>
      <x:c r="M702" s="84" t="str">
        <x:v>Mobile Wallet</x:v>
      </x:c>
      <x:c r="N702" s="84" t="str">
        <x:v>Nora Kim</x:v>
      </x:c>
      <x:c r="O702" s="85" t="n">
        <x:v>45552</x:v>
      </x:c>
      <x:c r="P702" s="84" t="str">
        <x:v>MKT_2024_09</x:v>
      </x:c>
      <x:c r="Q702" s="84" t="str">
        <x:v>Monitor Stand</x:v>
      </x:c>
      <x:c r="R702" s="84" t="str">
        <x:v>office</x:v>
      </x:c>
    </x:row>
    <x:row r="703">
      <x:c r="A703" s="84" t="str">
        <x:v>ORD-2024-00959</x:v>
      </x:c>
      <x:c r="B703" s="85" t="n">
        <x:v>45547</x:v>
      </x:c>
      <x:c r="C703" s="84" t="str">
        <x:v>CUST-0282</x:v>
      </x:c>
      <x:c r="D703" s="84" t="str">
        <x:v>Caleb Carter</x:v>
      </x:c>
      <x:c r="E703" s="84" t="str">
        <x:v>Consumer </x:v>
      </x:c>
      <x:c r="F703" s="84" t="str">
        <x:v>Northeast</x:v>
      </x:c>
      <x:c r="G703" s="84" t="str">
        <x:v>Boston </x:v>
      </x:c>
      <x:c r="H703" s="84" t="str">
        <x:v>Marketplace</x:v>
      </x:c>
      <x:c r="I703" s="84" t="str">
        <x:v>HOME-001</x:v>
      </x:c>
      <x:c r="J703" s="86" t="n">
        <x:v>3</x:v>
      </x:c>
      <x:c r="K703" s="87" t="n">
        <x:v>0.15</x:v>
      </x:c>
      <x:c r="L703" s="84" t="str">
        <x:v>Completed</x:v>
      </x:c>
      <x:c r="M703" s="84" t="str">
        <x:v>Credit Card</x:v>
      </x:c>
      <x:c r="N703" s="84" t="str">
        <x:v>ethan cole</x:v>
      </x:c>
      <x:c r="O703" s="85" t="n">
        <x:v>45552</x:v>
      </x:c>
      <x:c r="P703" s="84" t="str">
        <x:v>MKT_2024_09</x:v>
      </x:c>
      <x:c r="Q703" s="84" t="str">
        <x:v>Air Fryer</x:v>
      </x:c>
      <x:c r="R703" s="84" t="str">
        <x:v>Home &amp; Kitchen</x:v>
      </x:c>
    </x:row>
    <x:row r="704">
      <x:c r="A704" s="84" t="str">
        <x:v>ORD-2024-01240</x:v>
      </x:c>
      <x:c r="B704" s="85" t="n">
        <x:v>45547</x:v>
      </x:c>
      <x:c r="C704" s="84" t="str">
        <x:v>CUST-0041</x:v>
      </x:c>
      <x:c r="D704" s="84" t="str">
        <x:v>Isaac Evans</x:v>
      </x:c>
      <x:c r="E704" s="84" t="str">
        <x:v>Consumer</x:v>
      </x:c>
      <x:c r="F704" s="84" t="str">
        <x:v>midwest</x:v>
      </x:c>
      <x:c r="G704" s="84" t="str">
        <x:v>Detroit</x:v>
      </x:c>
      <x:c r="H704" s="84" t="str">
        <x:v>Online</x:v>
      </x:c>
      <x:c r="I704" s="84" t="str">
        <x:v>CARE-005</x:v>
      </x:c>
      <x:c r="J704" s="86" t="n">
        <x:v>1</x:v>
      </x:c>
      <x:c r="K704" s="87" t="n">
        <x:v>0</x:v>
      </x:c>
      <x:c r="L704" s="84" t="str">
        <x:v>Returned</x:v>
      </x:c>
      <x:c r="M704" s="84" t="str">
        <x:v>Credit Card</x:v>
      </x:c>
      <x:c r="N704" s="84" t="str">
        <x:v>Zoe Turner</x:v>
      </x:c>
      <x:c r="O704" s="85" t="n">
        <x:v>45553</x:v>
      </x:c>
      <x:c r="P704" s="84" t="str">
        <x:v>WEB_2024_09</x:v>
      </x:c>
      <x:c r="Q704" s="84" t="str">
        <x:v>Skin Care Starter Kit </x:v>
      </x:c>
      <x:c r="R704" s="84" t="str">
        <x:v>Personal Care</x:v>
      </x:c>
    </x:row>
    <x:row r="705">
      <x:c r="A705" s="84" t="str">
        <x:v>ORD-2024-01306</x:v>
      </x:c>
      <x:c r="B705" s="85" t="n">
        <x:v>45547</x:v>
      </x:c>
      <x:c r="C705" s="84" t="str">
        <x:v>CUST-0205</x:v>
      </x:c>
      <x:c r="D705" s="84" t="str">
        <x:v> ELENA YOUNG </x:v>
      </x:c>
      <x:c r="E705" s="84" t="str">
        <x:v>Corporate</x:v>
      </x:c>
      <x:c r="F705" s="84" t="str">
        <x:v> WEST </x:v>
      </x:c>
      <x:c r="G705" s="84" t="str">
        <x:v>Denver</x:v>
      </x:c>
      <x:c r="H705" s="84" t="str">
        <x:v>Online</x:v>
      </x:c>
      <x:c r="I705" s="84" t="str">
        <x:v>ACCS-001</x:v>
      </x:c>
      <x:c r="J705" s="86" t="n">
        <x:v>8</x:v>
      </x:c>
      <x:c r="K705" s="87" t="n">
        <x:v>0.15</x:v>
      </x:c>
      <x:c r="L705" s="84" t="str">
        <x:v>Completed</x:v>
      </x:c>
      <x:c r="M705" s="84" t="str">
        <x:v>Credit Card</x:v>
      </x:c>
      <x:c r="N705" s="84" t="str">
        <x:v>Mia Chen </x:v>
      </x:c>
      <x:c r="O705" s="85" t="n">
        <x:v>45553</x:v>
      </x:c>
      <x:c r="P705" s="84" t="str">
        <x:v>WEB_2024_09</x:v>
      </x:c>
      <x:c r="Q705" s="84" t="str">
        <x:v>Canvas Tote Bag</x:v>
      </x:c>
      <x:c r="R705" s="84" t="str">
        <x:v>Accessories</x:v>
      </x:c>
    </x:row>
    <x:row r="706">
      <x:c r="A706" s="84" t="str">
        <x:v>ORD-2024-01715</x:v>
      </x:c>
      <x:c r="B706" s="85" t="n">
        <x:v>45547</x:v>
      </x:c>
      <x:c r="C706" s="84" t="str">
        <x:v>CUST-0318</x:v>
      </x:c>
      <x:c r="D706" s="84" t="str">
        <x:v>Theo Baker</x:v>
      </x:c>
      <x:c r="E706" s="84" t="str">
        <x:v>Consumer </x:v>
      </x:c>
      <x:c r="F706" s="84" t="str">
        <x:v>Midwest</x:v>
      </x:c>
      <x:c r="G706" s="84" t="str">
        <x:v>Detroit </x:v>
      </x:c>
      <x:c r="H706" s="84" t="str">
        <x:v>Online</x:v>
      </x:c>
      <x:c r="I706" s="84" t="str">
        <x:v>OFFC-002</x:v>
      </x:c>
      <x:c r="J706" s="86" t="n">
        <x:v>1</x:v>
      </x:c>
      <x:c r="K706" s="87" t="n">
        <x:v>0</x:v>
      </x:c>
      <x:c r="L706" s="84" t="str">
        <x:v>Completed</x:v>
      </x:c>
      <x:c r="M706" s="84" t="str">
        <x:v>credit card</x:v>
      </x:c>
      <x:c r="N706" s="84" t="str">
        <x:v>Lucas Grant</x:v>
      </x:c>
      <x:c r="O706" s="85" t="n">
        <x:v>45551</x:v>
      </x:c>
      <x:c r="P706" s="84" t="str">
        <x:v>WEB_2024_09</x:v>
      </x:c>
      <x:c r="Q706" s="84" t="str">
        <x:v>Standing Desk</x:v>
      </x:c>
      <x:c r="R706" s="84" t="str">
        <x:v> OFFICE </x:v>
      </x:c>
    </x:row>
    <x:row r="707">
      <x:c r="A707" s="84" t="str">
        <x:v>ORD-2024-00240</x:v>
      </x:c>
      <x:c r="B707" s="85" t="n">
        <x:v>45548</x:v>
      </x:c>
      <x:c r="C707" s="84" t="str">
        <x:v>CUST-0500</x:v>
      </x:c>
      <x:c r="D707" s="84" t="str">
        <x:v>Sara Baker</x:v>
      </x:c>
      <x:c r="E707" s="84" t="str">
        <x:v>Consumer</x:v>
      </x:c>
      <x:c r="F707" s="84" t="str">
        <x:v>Midwest</x:v>
      </x:c>
      <x:c r="G707" s="84" t="str">
        <x:v>Minneapolis</x:v>
      </x:c>
      <x:c r="H707" s="84" t="str">
        <x:v>Online</x:v>
      </x:c>
      <x:c r="I707" s="84" t="str">
        <x:v>FITN-001</x:v>
      </x:c>
      <x:c r="J707" s="86" t="n">
        <x:v>1</x:v>
      </x:c>
      <x:c r="K707" s="87" t="n">
        <x:v>0.15</x:v>
      </x:c>
      <x:c r="L707" s="84" t="str">
        <x:v>Completed</x:v>
      </x:c>
      <x:c r="M707" s="84" t="str">
        <x:v>Credit Card</x:v>
      </x:c>
      <x:c r="N707" s="84" t="str">
        <x:v>Emma Hayes</x:v>
      </x:c>
      <x:c r="O707" s="85" t="n">
        <x:v>45553</x:v>
      </x:c>
      <x:c r="P707" s="84" t="str">
        <x:v>WEB_2024_09</x:v>
      </x:c>
      <x:c r="Q707" s="84" t="str">
        <x:v>yoga mat</x:v>
      </x:c>
      <x:c r="R707" s="84" t="str">
        <x:v>Fitness </x:v>
      </x:c>
    </x:row>
    <x:row r="708">
      <x:c r="A708" s="84" t="str">
        <x:v>ORD-2024-00720</x:v>
      </x:c>
      <x:c r="B708" s="85" t="n">
        <x:v>45548</x:v>
      </x:c>
      <x:c r="C708" s="84" t="str">
        <x:v>CUST-0109</x:v>
      </x:c>
      <x:c r="D708" s="84" t="str">
        <x:v>Maya Evans</x:v>
      </x:c>
      <x:c r="E708" s="84" t="str">
        <x:v>Consumer</x:v>
      </x:c>
      <x:c r="F708" s="84" t="str">
        <x:v>West</x:v>
      </x:c>
      <x:c r="G708" s="84" t="str">
        <x:v>Seattle</x:v>
      </x:c>
      <x:c r="H708" s="84" t="str">
        <x:v> ONLINE </x:v>
      </x:c>
      <x:c r="I708" s="84" t="str">
        <x:v>FITN-003</x:v>
      </x:c>
      <x:c r="J708" s="86" t="n">
        <x:v>1</x:v>
      </x:c>
      <x:c r="K708" s="87" t="n">
        <x:v>0.1</x:v>
      </x:c>
      <x:c r="L708" s="84" t="str">
        <x:v>Completed </x:v>
      </x:c>
      <x:c r="M708" s="84" t="str">
        <x:v>Credit Card</x:v>
      </x:c>
      <x:c r="N708" s="84" t="str">
        <x:v>Nora Kim</x:v>
      </x:c>
      <x:c r="O708" s="85" t="n">
        <x:v>45551</x:v>
      </x:c>
      <x:c r="P708" s="84" t="str">
        <x:v>WEB_2024_09</x:v>
      </x:c>
      <x:c r="Q708" s="84" t="str">
        <x:v>Resistance Band Set</x:v>
      </x:c>
      <x:c r="R708" s="84" t="str">
        <x:v>Fitness</x:v>
      </x:c>
    </x:row>
    <x:row r="709">
      <x:c r="A709" s="84" t="str">
        <x:v>ORD-2024-01119</x:v>
      </x:c>
      <x:c r="B709" s="85" t="n">
        <x:v>45548</x:v>
      </x:c>
      <x:c r="C709" s="84" t="str">
        <x:v>CUST-0387</x:v>
      </x:c>
      <x:c r="D709" s="84" t="str">
        <x:v> SAMUEL EVANS </x:v>
      </x:c>
      <x:c r="E709" s="84" t="str">
        <x:v>Small Business</x:v>
      </x:c>
      <x:c r="F709" s="84" t="str">
        <x:v> WEST </x:v>
      </x:c>
      <x:c r="G709" s="84" t="str">
        <x:v>Denver</x:v>
      </x:c>
      <x:c r="H709" s="84" t="str">
        <x:v>Online</x:v>
      </x:c>
      <x:c r="I709" s="84" t="str">
        <x:v>OFFC-002</x:v>
      </x:c>
      <x:c r="J709" s="86" t="n">
        <x:v>1</x:v>
      </x:c>
      <x:c r="K709" s="87" t="n">
        <x:v>0</x:v>
      </x:c>
      <x:c r="L709" s="84" t="str">
        <x:v>Completed </x:v>
      </x:c>
      <x:c r="M709" s="84" t="str">
        <x:v>Mobile Wallet</x:v>
      </x:c>
      <x:c r="N709" s="84" t="str">
        <x:v>Leo Martinez</x:v>
      </x:c>
      <x:c r="O709" s="85" t="n">
        <x:v>45551</x:v>
      </x:c>
      <x:c r="P709" s="84" t="str">
        <x:v>WEB_2024_09</x:v>
      </x:c>
      <x:c r="Q709" s="84" t="str">
        <x:v>Standing Desk</x:v>
      </x:c>
      <x:c r="R709" s="84" t="str">
        <x:v>Office</x:v>
      </x:c>
    </x:row>
    <x:row r="710">
      <x:c r="A710" s="84" t="str">
        <x:v>ORD-2024-01410</x:v>
      </x:c>
      <x:c r="B710" s="85" t="n">
        <x:v>45548</x:v>
      </x:c>
      <x:c r="C710" s="84" t="str">
        <x:v>CUST-0534</x:v>
      </x:c>
      <x:c r="D710" s="84" t="str">
        <x:v>Chloe Evans</x:v>
      </x:c>
      <x:c r="E710" s="84" t="str">
        <x:v>Corporate</x:v>
      </x:c>
      <x:c r="F710" s="84" t="str">
        <x:v>West</x:v>
      </x:c>
      <x:c r="G710" s="84" t="str">
        <x:v>Phoenix</x:v>
      </x:c>
      <x:c r="H710" s="84" t="str">
        <x:v>Retail Store </x:v>
      </x:c>
      <x:c r="I710" s="84" t="str">
        <x:v>CARE-004</x:v>
      </x:c>
      <x:c r="J710" s="86" t="n">
        <x:v>4</x:v>
      </x:c>
      <x:c r="K710" s="87" t="n">
        <x:v>0.15</x:v>
      </x:c>
      <x:c r="L710" s="84" t="str">
        <x:v>Completed</x:v>
      </x:c>
      <x:c r="M710" s="84" t="str">
        <x:v>Credit Card</x:v>
      </x:c>
      <x:c r="N710" s="84" t="str">
        <x:v>leo martinez</x:v>
      </x:c>
      <x:c r="O710" s="85" t="n">
        <x:v>45548</x:v>
      </x:c>
      <x:c r="P710" s="84" t="str">
        <x:v>POS_2024_09</x:v>
      </x:c>
      <x:c r="Q710" s="84" t="str">
        <x:v>Electric Toothbrush</x:v>
      </x:c>
      <x:c r="R710" s="84" t="str">
        <x:v>Personal Care</x:v>
      </x:c>
    </x:row>
    <x:row r="711">
      <x:c r="A711" s="84" t="str">
        <x:v>ORD-2024-02181</x:v>
      </x:c>
      <x:c r="B711" s="85" t="n">
        <x:v>45548</x:v>
      </x:c>
      <x:c r="C711" s="84" t="str">
        <x:v>CUST-0060</x:v>
      </x:c>
      <x:c r="D711" s="84" t="str">
        <x:v>Amelia Roberts</x:v>
      </x:c>
      <x:c r="E711" s="84" t="str">
        <x:v>Corporate</x:v>
      </x:c>
      <x:c r="F711" s="84" t="str">
        <x:v>Midwest </x:v>
      </x:c>
      <x:c r="G711" s="84" t="str">
        <x:v>Chicago</x:v>
      </x:c>
      <x:c r="H711" s="84" t="str">
        <x:v>Retail Store</x:v>
      </x:c>
      <x:c r="I711" s="84" t="str">
        <x:v>OFFC-003</x:v>
      </x:c>
      <x:c r="J711" s="86" t="n">
        <x:v>2</x:v>
      </x:c>
      <x:c r="K711" s="87" t="n">
        <x:v>0</x:v>
      </x:c>
      <x:c r="L711" s="84" t="str">
        <x:v> COMPLETED </x:v>
      </x:c>
      <x:c r="M711" s="84" t="str">
        <x:v>Credit Card</x:v>
      </x:c>
      <x:c r="N711" s="84" t="str">
        <x:v>Emma Hayes </x:v>
      </x:c>
      <x:c r="O711" s="85" t="n">
        <x:v>45549</x:v>
      </x:c>
      <x:c r="P711" s="84" t="str">
        <x:v>POS_2024_09</x:v>
      </x:c>
      <x:c r="Q711" s="84" t="str">
        <x:v>LED Desk Lamp</x:v>
      </x:c>
      <x:c r="R711" s="84" t="str">
        <x:v>office</x:v>
      </x:c>
    </x:row>
    <x:row r="712">
      <x:c r="A712" s="84" t="str">
        <x:v>ORD-2024-00578</x:v>
      </x:c>
      <x:c r="B712" s="85" t="n">
        <x:v>45549</x:v>
      </x:c>
      <x:c r="C712" s="84" t="str">
        <x:v>CUST-0397</x:v>
      </x:c>
      <x:c r="D712" s="84" t="str">
        <x:v>Amelia Baker</x:v>
      </x:c>
      <x:c r="E712" s="84" t="str">
        <x:v> CORPORATE </x:v>
      </x:c>
      <x:c r="F712" s="84" t="str">
        <x:v>Northeast </x:v>
      </x:c>
      <x:c r="G712" s="84" t="str">
        <x:v>Newark</x:v>
      </x:c>
      <x:c r="H712" s="84" t="str">
        <x:v>Retail Store</x:v>
      </x:c>
      <x:c r="I712" s="84" t="str">
        <x:v>CARE-003</x:v>
      </x:c>
      <x:c r="J712" s="86" t="n">
        <x:v>2</x:v>
      </x:c>
      <x:c r="K712" s="87" t="n">
        <x:v>0</x:v>
      </x:c>
      <x:c r="L712" s="84" t="str">
        <x:v>Completed</x:v>
      </x:c>
      <x:c r="M712" s="84" t="str">
        <x:v>Cash</x:v>
      </x:c>
      <x:c r="N712" s="84" t="str">
        <x:v>Maya Brooks </x:v>
      </x:c>
      <x:c r="O712" s="85" t="n">
        <x:v>45549</x:v>
      </x:c>
      <x:c r="P712" s="84" t="str">
        <x:v>POS_2024_09</x:v>
      </x:c>
      <x:c r="Q712" s="84" t="str">
        <x:v>Facial Cleanser</x:v>
      </x:c>
      <x:c r="R712" s="84" t="str">
        <x:v>Personal Care</x:v>
      </x:c>
    </x:row>
    <x:row r="713">
      <x:c r="A713" s="84" t="str">
        <x:v>ORD-2024-01232</x:v>
      </x:c>
      <x:c r="B713" s="85" t="n">
        <x:v>45549</x:v>
      </x:c>
      <x:c r="C713" s="84" t="str">
        <x:v>CUST-0201</x:v>
      </x:c>
      <x:c r="D713" s="84" t="str">
        <x:v>Chloe Evans</x:v>
      </x:c>
      <x:c r="E713" s="84" t="str">
        <x:v>corporate</x:v>
      </x:c>
      <x:c r="F713" s="84" t="str">
        <x:v>Southeast</x:v>
      </x:c>
      <x:c r="G713" s="84" t="str">
        <x:v>Atlanta </x:v>
      </x:c>
      <x:c r="H713" s="84" t="str">
        <x:v>retail store</x:v>
      </x:c>
      <x:c r="I713" s="84" t="str">
        <x:v>ELEC-003</x:v>
      </x:c>
      <x:c r="J713" s="86" t="n">
        <x:v>2</x:v>
      </x:c>
      <x:c r="K713" s="87" t="n">
        <x:v>0.15</x:v>
      </x:c>
      <x:c r="L713" s="84" t="str">
        <x:v>Completed</x:v>
      </x:c>
      <x:c r="M713" s="84" t="str">
        <x:v>Credit Card</x:v>
      </x:c>
      <x:c r="N713" s="84" t="str">
        <x:v>Ava Mitchell</x:v>
      </x:c>
      <x:c r="O713" s="85" t="n">
        <x:v>45550</x:v>
      </x:c>
      <x:c r="P713" s="84" t="str">
        <x:v>POS_2024_09</x:v>
      </x:c>
      <x:c r="Q713" s="84" t="str">
        <x:v>Bluetooth Speaker</x:v>
      </x:c>
      <x:c r="R713" s="84" t="str">
        <x:v>Electronics</x:v>
      </x:c>
    </x:row>
    <x:row r="714">
      <x:c r="A714" s="84" t="str">
        <x:v>ORD-2024-01513</x:v>
      </x:c>
      <x:c r="B714" s="85" t="n">
        <x:v>45549</x:v>
      </x:c>
      <x:c r="C714" s="84" t="str">
        <x:v>CUST-0409</x:v>
      </x:c>
      <x:c r="D714" s="84" t="str">
        <x:v>Owen Ortiz</x:v>
      </x:c>
      <x:c r="E714" s="84" t="str">
        <x:v> CONSUMER </x:v>
      </x:c>
      <x:c r="F714" s="84" t="str">
        <x:v>West</x:v>
      </x:c>
      <x:c r="G714" s="84" t="str">
        <x:v>Los Angeles</x:v>
      </x:c>
      <x:c r="H714" s="84" t="str">
        <x:v>Marketplace</x:v>
      </x:c>
      <x:c r="I714" s="84" t="str">
        <x:v>CARE-005</x:v>
      </x:c>
      <x:c r="J714" s="86" t="n">
        <x:v>1</x:v>
      </x:c>
      <x:c r="K714" s="87" t="n">
        <x:v>0.1</x:v>
      </x:c>
      <x:c r="L714" s="84" t="str">
        <x:v>Completed</x:v>
      </x:c>
      <x:c r="M714" s="84" t="str">
        <x:v>Debit Card</x:v>
      </x:c>
      <x:c r="N714" s="84" t="str">
        <x:v>Mia Chen</x:v>
      </x:c>
      <x:c r="O714" s="85" t="n">
        <x:v>45554</x:v>
      </x:c>
      <x:c r="P714" s="84" t="str">
        <x:v>MKT_2024_09</x:v>
      </x:c>
      <x:c r="Q714" s="84" t="str">
        <x:v>Skin Care Starter Kit </x:v>
      </x:c>
      <x:c r="R714" s="84" t="str">
        <x:v>Personal Care</x:v>
      </x:c>
    </x:row>
    <x:row r="715">
      <x:c r="A715" s="84" t="str">
        <x:v>ORD-2024-01700</x:v>
      </x:c>
      <x:c r="B715" s="85" t="n">
        <x:v>45550</x:v>
      </x:c>
      <x:c r="C715" s="84" t="str">
        <x:v>CUST-0599</x:v>
      </x:c>
      <x:c r="D715" s="84" t="str">
        <x:v>Caleb Adams</x:v>
      </x:c>
      <x:c r="E715" s="84" t="str">
        <x:v> CONSUMER </x:v>
      </x:c>
      <x:c r="F715" s="84" t="str">
        <x:v>West</x:v>
      </x:c>
      <x:c r="G715" s="84" t="str">
        <x:v>Phoenix</x:v>
      </x:c>
      <x:c r="H715" s="84" t="str">
        <x:v>Marketplace</x:v>
      </x:c>
      <x:c r="I715" s="84" t="str">
        <x:v>ELEC-003</x:v>
      </x:c>
      <x:c r="J715" s="86" t="n">
        <x:v>1</x:v>
      </x:c>
      <x:c r="K715" s="87" t="n">
        <x:v>0.1</x:v>
      </x:c>
      <x:c r="L715" s="84" t="str">
        <x:v>Completed </x:v>
      </x:c>
      <x:c r="M715" s="84" t="str">
        <x:v>Mobile Wallet</x:v>
      </x:c>
      <x:c r="N715" s="84" t="str">
        <x:v>Nora Kim</x:v>
      </x:c>
      <x:c r="O715" s="85" t="n">
        <x:v>45555</x:v>
      </x:c>
      <x:c r="P715" s="84" t="str">
        <x:v>MKT_2024_09</x:v>
      </x:c>
      <x:c r="Q715" s="84" t="str">
        <x:v>Bluetooth Speaker</x:v>
      </x:c>
      <x:c r="R715" s="84" t="str">
        <x:v>Electronics</x:v>
      </x:c>
    </x:row>
    <x:row r="716">
      <x:c r="A716" s="84" t="str">
        <x:v>ORD-2024-00003</x:v>
      </x:c>
      <x:c r="B716" s="85" t="n">
        <x:v>45551</x:v>
      </x:c>
      <x:c r="C716" s="84" t="str">
        <x:v>CUST-0161</x:v>
      </x:c>
      <x:c r="D716" s="84" t="str">
        <x:v>Sara Patel</x:v>
      </x:c>
      <x:c r="E716" s="84" t="str">
        <x:v>Consumer</x:v>
      </x:c>
      <x:c r="F716" s="84" t="str">
        <x:v>Southeast</x:v>
      </x:c>
      <x:c r="G716" s="84" t="str">
        <x:v>Atlanta</x:v>
      </x:c>
      <x:c r="H716" s="84" t="str">
        <x:v>Marketplace </x:v>
      </x:c>
      <x:c r="I716" s="84" t="str">
        <x:v>HOME-006</x:v>
      </x:c>
      <x:c r="J716" s="86" t="n">
        <x:v>1</x:v>
      </x:c>
      <x:c r="K716" s="87" t="n">
        <x:v>0.15</x:v>
      </x:c>
      <x:c r="L716" s="84" t="str">
        <x:v>Completed</x:v>
      </x:c>
      <x:c r="M716" s="84" t="str">
        <x:v>Debit Card</x:v>
      </x:c>
      <x:c r="N716" s="84" t="str">
        <x:v> AVA MITCHELL </x:v>
      </x:c>
      <x:c r="O716" s="85" t="n">
        <x:v>45557</x:v>
      </x:c>
      <x:c r="P716" s="84" t="str">
        <x:v>MKT_2024_09</x:v>
      </x:c>
      <x:c r="Q716" s="84" t="str">
        <x:v>Food Storage Set</x:v>
      </x:c>
      <x:c r="R716" s="84" t="str">
        <x:v>home &amp; kitchen</x:v>
      </x:c>
    </x:row>
    <x:row r="717">
      <x:c r="A717" s="84" t="str">
        <x:v>ORD-2024-00702</x:v>
      </x:c>
      <x:c r="B717" s="85" t="n">
        <x:v>45551</x:v>
      </x:c>
      <x:c r="C717" s="84" t="str">
        <x:v>CUST-0449</x:v>
      </x:c>
      <x:c r="D717" s="84" t="str">
        <x:v>Chloe Taylor</x:v>
      </x:c>
      <x:c r="E717" s="84" t="str">
        <x:v>Corporate</x:v>
      </x:c>
      <x:c r="F717" s="84" t="str">
        <x:v>West</x:v>
      </x:c>
      <x:c r="G717" s="84" t="str">
        <x:v>Seattle</x:v>
      </x:c>
      <x:c r="H717" s="84" t="str">
        <x:v>Marketplace</x:v>
      </x:c>
      <x:c r="I717" s="84" t="str">
        <x:v>CARE-002</x:v>
      </x:c>
      <x:c r="J717" s="86" t="n">
        <x:v>5</x:v>
      </x:c>
      <x:c r="K717" s="87" t="n">
        <x:v>0.1</x:v>
      </x:c>
      <x:c r="L717" s="84" t="str">
        <x:v> COMPLETED </x:v>
      </x:c>
      <x:c r="M717" s="84" t="str">
        <x:v>Debit Card</x:v>
      </x:c>
      <x:c r="N717" s="84" t="str">
        <x:v>Nora Kim</x:v>
      </x:c>
      <x:c r="O717" s="85" t="n">
        <x:v>45556</x:v>
      </x:c>
      <x:c r="P717" s="84" t="str">
        <x:v>MKT_2024_09</x:v>
      </x:c>
      <x:c r="Q717" s="84" t="str">
        <x:v>rechargeable trimmer</x:v>
      </x:c>
      <x:c r="R717" s="84" t="str">
        <x:v>Personal Care </x:v>
      </x:c>
    </x:row>
    <x:row r="718">
      <x:c r="A718" s="84" t="str">
        <x:v>ORD-2024-01383</x:v>
      </x:c>
      <x:c r="B718" s="85" t="n">
        <x:v>45551</x:v>
      </x:c>
      <x:c r="C718" s="84" t="str">
        <x:v>CUST-0502</x:v>
      </x:c>
      <x:c r="D718" s="84" t="str">
        <x:v>Owen Lewis</x:v>
      </x:c>
      <x:c r="E718" s="84" t="str">
        <x:v>Consumer</x:v>
      </x:c>
      <x:c r="F718" s="84" t="str">
        <x:v>midwest</x:v>
      </x:c>
      <x:c r="G718" s="84" t="str">
        <x:v>Detroit</x:v>
      </x:c>
      <x:c r="H718" s="84" t="str">
        <x:v> RETAIL STORE </x:v>
      </x:c>
      <x:c r="I718" s="84" t="str">
        <x:v>HOME-002</x:v>
      </x:c>
      <x:c r="J718" s="86" t="n">
        <x:v>1</x:v>
      </x:c>
      <x:c r="K718" s="87" t="n">
        <x:v>0.15</x:v>
      </x:c>
      <x:c r="L718" s="84" t="str">
        <x:v>Completed</x:v>
      </x:c>
      <x:c r="M718" s="84" t="str">
        <x:v>Mobile Wallet</x:v>
      </x:c>
      <x:c r="N718" s="84" t="str">
        <x:v>Lucas Grant </x:v>
      </x:c>
      <x:c r="O718" s="85" t="n">
        <x:v>45551</x:v>
      </x:c>
      <x:c r="P718" s="84" t="str">
        <x:v>POS_2024_09</x:v>
      </x:c>
      <x:c r="Q718" s="84" t="str">
        <x:v>Electric Kettle</x:v>
      </x:c>
      <x:c r="R718" s="84" t="str">
        <x:v>Home &amp; Kitchen</x:v>
      </x:c>
    </x:row>
    <x:row r="719">
      <x:c r="A719" s="84" t="str">
        <x:v>ORD-2024-02191</x:v>
      </x:c>
      <x:c r="B719" s="85" t="n">
        <x:v>45551</x:v>
      </x:c>
      <x:c r="C719" s="84" t="str">
        <x:v>CUST-0591</x:v>
      </x:c>
      <x:c r="D719" s="84" t="str">
        <x:v>Grace Quinn</x:v>
      </x:c>
      <x:c r="E719" s="84" t="str">
        <x:v>Consumer </x:v>
      </x:c>
      <x:c r="F719" s="84" t="str">
        <x:v>Northeast</x:v>
      </x:c>
      <x:c r="G719" s="84" t="str">
        <x:v>Philadelphia </x:v>
      </x:c>
      <x:c r="H719" s="84" t="str">
        <x:v>Retail Store</x:v>
      </x:c>
      <x:c r="I719" s="84" t="str">
        <x:v>ELEC-002</x:v>
      </x:c>
      <x:c r="J719" s="86" t="n">
        <x:v>1</x:v>
      </x:c>
      <x:c r="K719" s="87" t="n">
        <x:v>0</x:v>
      </x:c>
      <x:c r="L719" s="84" t="str">
        <x:v>Completed</x:v>
      </x:c>
      <x:c r="M719" s="84" t="str">
        <x:v>Debit Card</x:v>
      </x:c>
      <x:c r="N719" s="84" t="str">
        <x:v>ethan cole</x:v>
      </x:c>
      <x:c r="O719" s="85" t="n">
        <x:v>45552</x:v>
      </x:c>
      <x:c r="P719" s="84" t="str">
        <x:v>POS_2024_09</x:v>
      </x:c>
      <x:c r="Q719" s="84" t="str">
        <x:v>Smartwatch</x:v>
      </x:c>
      <x:c r="R719" s="84" t="str">
        <x:v> ELECTRONICS </x:v>
      </x:c>
    </x:row>
    <x:row r="720">
      <x:c r="A720" s="84" t="str">
        <x:v>ORD-2024-02283</x:v>
      </x:c>
      <x:c r="B720" s="85" t="n">
        <x:v>45552</x:v>
      </x:c>
      <x:c r="C720" s="84" t="str">
        <x:v>CUST-0374</x:v>
      </x:c>
      <x:c r="D720" s="84" t="str">
        <x:v>Priya Lewis</x:v>
      </x:c>
      <x:c r="E720" s="84" t="str">
        <x:v>Corporate</x:v>
      </x:c>
      <x:c r="F720" s="84" t="str">
        <x:v>Southeast</x:v>
      </x:c>
      <x:c r="G720" s="84" t="str">
        <x:v>Miami</x:v>
      </x:c>
      <x:c r="H720" s="84" t="str">
        <x:v>Retail Store</x:v>
      </x:c>
      <x:c r="I720" s="84" t="str">
        <x:v>OFFC-005</x:v>
      </x:c>
      <x:c r="J720" s="86" t="n">
        <x:v>5</x:v>
      </x:c>
      <x:c r="K720" s="87" t="n">
        <x:v>0</x:v>
      </x:c>
      <x:c r="L720" s="84" t="str">
        <x:v> COMPLETED </x:v>
      </x:c>
      <x:c r="M720" s="84" t="str">
        <x:v>Mobile Wallet</x:v>
      </x:c>
      <x:c r="N720" s="84" t="str">
        <x:v>Noah Reed</x:v>
      </x:c>
      <x:c r="O720" s="85" t="n">
        <x:v>45552</x:v>
      </x:c>
      <x:c r="P720" s="84" t="str">
        <x:v>POS_2024_09</x:v>
      </x:c>
      <x:c r="Q720" s="84" t="str">
        <x:v>Wireless Keyboard </x:v>
      </x:c>
      <x:c r="R720" s="84" t="str">
        <x:v>Office</x:v>
      </x:c>
    </x:row>
    <x:row r="721">
      <x:c r="A721" s="84" t="str">
        <x:v>ORD-2024-01122</x:v>
      </x:c>
      <x:c r="B721" s="85" t="n">
        <x:v>45553</x:v>
      </x:c>
      <x:c r="C721" s="84" t="str">
        <x:v>CUST-0325</x:v>
      </x:c>
      <x:c r="D721" s="84" t="str">
        <x:v>Caleb Baker</x:v>
      </x:c>
      <x:c r="E721" s="84" t="str">
        <x:v> SMALL BUSINESS </x:v>
      </x:c>
      <x:c r="F721" s="84" t="str">
        <x:v>West</x:v>
      </x:c>
      <x:c r="G721" s="84" t="str">
        <x:v>Phoenix</x:v>
      </x:c>
      <x:c r="H721" s="84" t="str">
        <x:v>retail store</x:v>
      </x:c>
      <x:c r="I721" s="84" t="str">
        <x:v>ELEC-006</x:v>
      </x:c>
      <x:c r="J721" s="86" t="n">
        <x:v>1</x:v>
      </x:c>
      <x:c r="K721" s="87" t="n">
        <x:v>0</x:v>
      </x:c>
      <x:c r="L721" s="84" t="str">
        <x:v>Completed</x:v>
      </x:c>
      <x:c r="M721" s="84" t="str">
        <x:v>Mobile Wallet</x:v>
      </x:c>
      <x:c r="N721" s="84" t="str">
        <x:v>Leo Martinez</x:v>
      </x:c>
      <x:c r="O721" s="85" t="n">
        <x:v>45554</x:v>
      </x:c>
      <x:c r="P721" s="84" t="str">
        <x:v>POS_2024_09</x:v>
      </x:c>
      <x:c r="Q721" s="84" t="str">
        <x:v>Portable SSD</x:v>
      </x:c>
      <x:c r="R721" s="84" t="str">
        <x:v>Electronics </x:v>
      </x:c>
    </x:row>
    <x:row r="722">
      <x:c r="A722" s="84" t="str">
        <x:v>ORD-2024-01393</x:v>
      </x:c>
      <x:c r="B722" s="85" t="n">
        <x:v>45553</x:v>
      </x:c>
      <x:c r="C722" s="84" t="str">
        <x:v>CUST-0619</x:v>
      </x:c>
      <x:c r="D722" s="84" t="str">
        <x:v>elias smith</x:v>
      </x:c>
      <x:c r="E722" s="84" t="str">
        <x:v>Consumer </x:v>
      </x:c>
      <x:c r="F722" s="84" t="str">
        <x:v>Midwest</x:v>
      </x:c>
      <x:c r="G722" s="84" t="str">
        <x:v>Columbus </x:v>
      </x:c>
      <x:c r="H722" s="84" t="str">
        <x:v>Online</x:v>
      </x:c>
      <x:c r="I722" s="84" t="str">
        <x:v>OFFC-002</x:v>
      </x:c>
      <x:c r="J722" s="86" t="n">
        <x:v>1</x:v>
      </x:c>
      <x:c r="K722" s="87" t="n">
        <x:v>0.05</x:v>
      </x:c>
      <x:c r="L722" s="84" t="str">
        <x:v>Completed</x:v>
      </x:c>
      <x:c r="M722" s="84" t="str">
        <x:v>Credit Card</x:v>
      </x:c>
      <x:c r="N722" s="84" t="str">
        <x:v>Zoe Turner</x:v>
      </x:c>
      <x:c r="O722" s="85" t="n">
        <x:v>45556</x:v>
      </x:c>
      <x:c r="P722" s="84" t="str">
        <x:v>WEB_2024_09</x:v>
      </x:c>
      <x:c r="Q722" s="84" t="str">
        <x:v>Standing Desk</x:v>
      </x:c>
      <x:c r="R722" s="84" t="str">
        <x:v>Office</x:v>
      </x:c>
    </x:row>
    <x:row r="723">
      <x:c r="A723" s="84" t="str">
        <x:v>ORD-2024-00203</x:v>
      </x:c>
      <x:c r="B723" s="85" t="n">
        <x:v>45554</x:v>
      </x:c>
      <x:c r="C723" s="84" t="str">
        <x:v>CUST-0619</x:v>
      </x:c>
      <x:c r="D723" s="84" t="str">
        <x:v>Elias Smith</x:v>
      </x:c>
      <x:c r="E723" s="84" t="str">
        <x:v>Consumer </x:v>
      </x:c>
      <x:c r="F723" s="84" t="str">
        <x:v>Midwest</x:v>
      </x:c>
      <x:c r="G723" s="84" t="str">
        <x:v>Columbus </x:v>
      </x:c>
      <x:c r="H723" s="84" t="str">
        <x:v>Marketplace</x:v>
      </x:c>
      <x:c r="I723" s="84" t="str">
        <x:v>HOME-003</x:v>
      </x:c>
      <x:c r="J723" s="86" t="n">
        <x:v>2</x:v>
      </x:c>
      <x:c r="K723" s="87" t="n">
        <x:v>0.1</x:v>
      </x:c>
      <x:c r="L723" s="84" t="str">
        <x:v>Completed</x:v>
      </x:c>
      <x:c r="M723" s="84" t="str">
        <x:v>Mobile Wallet</x:v>
      </x:c>
      <x:c r="N723" s="84" t="str">
        <x:v>Zoe Turner</x:v>
      </x:c>
      <x:c r="O723" s="85" t="n">
        <x:v>45560</x:v>
      </x:c>
      <x:c r="P723" s="84" t="str">
        <x:v>MKT_2024_09</x:v>
      </x:c>
      <x:c r="Q723" s="84" t="str">
        <x:v>Countertop Blender</x:v>
      </x:c>
      <x:c r="R723" s="84" t="str">
        <x:v>Home &amp; Kitchen</x:v>
      </x:c>
    </x:row>
    <x:row r="724">
      <x:c r="A724" s="84" t="str">
        <x:v>ORD-2024-00337</x:v>
      </x:c>
      <x:c r="B724" s="85" t="n">
        <x:v>45554</x:v>
      </x:c>
      <x:c r="C724" s="84" t="str">
        <x:v>CUST-0529</x:v>
      </x:c>
      <x:c r="D724" s="84" t="str">
        <x:v> GRACE HALL </x:v>
      </x:c>
      <x:c r="E724" s="84" t="str">
        <x:v>Consumer</x:v>
      </x:c>
      <x:c r="F724" s="84" t="str">
        <x:v> NORTHEAST </x:v>
      </x:c>
      <x:c r="G724" s="84" t="str">
        <x:v>Newark</x:v>
      </x:c>
      <x:c r="H724" s="84" t="str">
        <x:v>Online</x:v>
      </x:c>
      <x:c r="I724" s="84" t="str">
        <x:v>ACCS-002</x:v>
      </x:c>
      <x:c r="J724" s="86" t="n">
        <x:v>1</x:v>
      </x:c>
      <x:c r="K724" s="87" t="n">
        <x:v>0.1</x:v>
      </x:c>
      <x:c r="L724" s="84" t="str">
        <x:v>Completed</x:v>
      </x:c>
      <x:c r="M724" s="84" t="str">
        <x:v>Credit Card</x:v>
      </x:c>
      <x:c r="N724" s="84" t="str">
        <x:v>Sofia Bennett</x:v>
      </x:c>
      <x:c r="O724" s="85" t="n">
        <x:v>45560</x:v>
      </x:c>
      <x:c r="P724" s="84" t="str">
        <x:v>WEB_2024_09</x:v>
      </x:c>
      <x:c r="Q724" s="84" t="str">
        <x:v>Travel Backpack </x:v>
      </x:c>
      <x:c r="R724" s="84" t="str">
        <x:v>Accessories</x:v>
      </x:c>
    </x:row>
    <x:row r="725">
      <x:c r="A725" s="84" t="str">
        <x:v>ORD-2024-02389</x:v>
      </x:c>
      <x:c r="B725" s="85" t="n">
        <x:v>45554</x:v>
      </x:c>
      <x:c r="C725" s="84" t="str">
        <x:v>CUST-0409</x:v>
      </x:c>
      <x:c r="D725" s="84" t="str">
        <x:v>Owen Ortiz</x:v>
      </x:c>
      <x:c r="E725" s="84" t="str">
        <x:v>Consumer</x:v>
      </x:c>
      <x:c r="F725" s="84" t="str">
        <x:v>West</x:v>
      </x:c>
      <x:c r="G725" s="84" t="str">
        <x:v>Los Angeles</x:v>
      </x:c>
      <x:c r="H725" s="84" t="str">
        <x:v>Online</x:v>
      </x:c>
      <x:c r="I725" s="84" t="str">
        <x:v>CARE-003</x:v>
      </x:c>
      <x:c r="J725" s="86" t="n">
        <x:v>1</x:v>
      </x:c>
      <x:c r="K725" s="87" t="n">
        <x:v>0.2</x:v>
      </x:c>
      <x:c r="L725" s="84" t="str">
        <x:v>Completed</x:v>
      </x:c>
      <x:c r="M725" s="84" t="str">
        <x:v>Mobile Wallet</x:v>
      </x:c>
      <x:c r="N725" s="84" t="str">
        <x:v>mia chen</x:v>
      </x:c>
      <x:c r="O725" s="85" t="n">
        <x:v>45559</x:v>
      </x:c>
      <x:c r="P725" s="84" t="str">
        <x:v>WEB_2024_09</x:v>
      </x:c>
      <x:c r="Q725" s="84" t="str">
        <x:v>Facial Cleanser</x:v>
      </x:c>
      <x:c r="R725" s="84" t="str">
        <x:v>Personal Care </x:v>
      </x:c>
    </x:row>
    <x:row r="726">
      <x:c r="A726" s="84" t="str">
        <x:v>ORD-2024-00892</x:v>
      </x:c>
      <x:c r="B726" s="85" t="n">
        <x:v>45555</x:v>
      </x:c>
      <x:c r="C726" s="84" t="str">
        <x:v>CUST-0294</x:v>
      </x:c>
      <x:c r="D726" s="84" t="str">
        <x:v>Aiden Evans</x:v>
      </x:c>
      <x:c r="E726" s="84" t="str">
        <x:v>Consumer</x:v>
      </x:c>
      <x:c r="F726" s="84" t="str">
        <x:v>Northeast</x:v>
      </x:c>
      <x:c r="G726" s="84" t="str">
        <x:v>Newark</x:v>
      </x:c>
      <x:c r="H726" s="84" t="str">
        <x:v>Online </x:v>
      </x:c>
      <x:c r="I726" s="84" t="str">
        <x:v>ELEC-004</x:v>
      </x:c>
      <x:c r="J726" s="86" t="n">
        <x:v>3</x:v>
      </x:c>
      <x:c r="K726" s="87" t="n">
        <x:v>0</x:v>
      </x:c>
      <x:c r="L726" s="84" t="str">
        <x:v>Returned</x:v>
      </x:c>
      <x:c r="M726" s="84" t="str">
        <x:v>Credit Card</x:v>
      </x:c>
      <x:c r="N726" s="84" t="str">
        <x:v>Sofia Bennett</x:v>
      </x:c>
      <x:c r="O726" s="85" t="n">
        <x:v>45557</x:v>
      </x:c>
      <x:c r="P726" s="84" t="str">
        <x:v>WEB_2024_09</x:v>
      </x:c>
      <x:c r="Q726" s="84" t="str">
        <x:v>Power Bank</x:v>
      </x:c>
      <x:c r="R726" s="84" t="str">
        <x:v>Electronics</x:v>
      </x:c>
    </x:row>
    <x:row r="727">
      <x:c r="A727" s="84" t="str">
        <x:v>ORD-2024-01328</x:v>
      </x:c>
      <x:c r="B727" s="85" t="n">
        <x:v>45555</x:v>
      </x:c>
      <x:c r="C727" s="84" t="str">
        <x:v>CUST-0634</x:v>
      </x:c>
      <x:c r="D727" s="84" t="str">
        <x:v>Daniel Nelson </x:v>
      </x:c>
      <x:c r="E727" s="84" t="str">
        <x:v>Consumer</x:v>
      </x:c>
      <x:c r="F727" s="84" t="str">
        <x:v>southeast</x:v>
      </x:c>
      <x:c r="G727" s="84" t="str">
        <x:v>Atlanta</x:v>
      </x:c>
      <x:c r="H727" s="84" t="str">
        <x:v>Retail Store</x:v>
      </x:c>
      <x:c r="I727" s="84" t="str">
        <x:v>ELEC-006</x:v>
      </x:c>
      <x:c r="J727" s="86" t="n">
        <x:v>1</x:v>
      </x:c>
      <x:c r="K727" s="87" t="n">
        <x:v>0</x:v>
      </x:c>
      <x:c r="L727" s="84" t="str">
        <x:v>Completed</x:v>
      </x:c>
      <x:c r="M727" s="84" t="str">
        <x:v>Credit Card </x:v>
      </x:c>
      <x:c r="N727" s="84" t="str">
        <x:v>Noah Reed</x:v>
      </x:c>
      <x:c r="O727" s="85" t="n">
        <x:v>45556</x:v>
      </x:c>
      <x:c r="P727" s="84" t="str">
        <x:v>POS_2024_09</x:v>
      </x:c>
      <x:c r="Q727" s="84" t="str">
        <x:v>Portable SSD</x:v>
      </x:c>
      <x:c r="R727" s="84" t="str">
        <x:v>Electronics</x:v>
      </x:c>
    </x:row>
    <x:row r="728">
      <x:c r="A728" s="84" t="str">
        <x:v>ORD-2024-01788</x:v>
      </x:c>
      <x:c r="B728" s="85" t="n">
        <x:v>45555</x:v>
      </x:c>
      <x:c r="C728" s="84" t="str">
        <x:v>CUST-0390</x:v>
      </x:c>
      <x:c r="D728" s="84" t="str">
        <x:v>Daniel Adams</x:v>
      </x:c>
      <x:c r="E728" s="84" t="str">
        <x:v>Consumer</x:v>
      </x:c>
      <x:c r="F728" s="84" t="str">
        <x:v>West</x:v>
      </x:c>
      <x:c r="G728" s="84" t="str">
        <x:v>Los Angeles</x:v>
      </x:c>
      <x:c r="H728" s="84" t="str">
        <x:v>Retail Store </x:v>
      </x:c>
      <x:c r="I728" s="84" t="str">
        <x:v>ELEC-006</x:v>
      </x:c>
      <x:c r="J728" s="86" t="n">
        <x:v>1</x:v>
      </x:c>
      <x:c r="K728" s="87" t="n">
        <x:v>0.05</x:v>
      </x:c>
      <x:c r="L728" s="84" t="str">
        <x:v>Completed</x:v>
      </x:c>
      <x:c r="M728" s="84" t="str">
        <x:v>Debit Card</x:v>
      </x:c>
      <x:c r="N728" s="84" t="str">
        <x:v> NORA KIM </x:v>
      </x:c>
      <x:c r="O728" s="85" t="n">
        <x:v>45555</x:v>
      </x:c>
      <x:c r="P728" s="84" t="str">
        <x:v>POS_2024_09</x:v>
      </x:c>
      <x:c r="Q728" s="84" t="str">
        <x:v>Portable SSD</x:v>
      </x:c>
      <x:c r="R728" s="84" t="str">
        <x:v>Electronics</x:v>
      </x:c>
    </x:row>
    <x:row r="729">
      <x:c r="A729" s="84" t="str">
        <x:v>ORD-2024-01889</x:v>
      </x:c>
      <x:c r="B729" s="85" t="n">
        <x:v>45555</x:v>
      </x:c>
      <x:c r="C729" s="84" t="str">
        <x:v>CUST-0247</x:v>
      </x:c>
      <x:c r="D729" s="84" t="str">
        <x:v>Maya Young</x:v>
      </x:c>
      <x:c r="E729" s="84" t="str">
        <x:v>Consumer</x:v>
      </x:c>
      <x:c r="F729" s="84" t="str">
        <x:v>southeast</x:v>
      </x:c>
      <x:c r="G729" s="84" t="str">
        <x:v>Nashville</x:v>
      </x:c>
      <x:c r="H729" s="84" t="str">
        <x:v>Online</x:v>
      </x:c>
      <x:c r="I729" s="84" t="str">
        <x:v>ACCS-004</x:v>
      </x:c>
      <x:c r="J729" s="86" t="n">
        <x:v>-1</x:v>
      </x:c>
      <x:c r="K729" s="87" t="n">
        <x:v>0</x:v>
      </x:c>
      <x:c r="L729" s="84" t="str">
        <x:v>Completed </x:v>
      </x:c>
      <x:c r="M729" s="84" t="str">
        <x:v>Mobile Wallet</x:v>
      </x:c>
      <x:c r="N729" s="84" t="str">
        <x:v>Liam Parker</x:v>
      </x:c>
      <x:c r="O729" s="85" t="n">
        <x:v>45560</x:v>
      </x:c>
      <x:c r="P729" s="84" t="str">
        <x:v>WEB_2024_09</x:v>
      </x:c>
      <x:c r="Q729" s="84" t="str">
        <x:v>Leather Wallet</x:v>
      </x:c>
      <x:c r="R729" s="84" t="str">
        <x:v>Accessories</x:v>
      </x:c>
    </x:row>
    <x:row r="730">
      <x:c r="A730" s="84" t="str">
        <x:v>ORD-2024-01308</x:v>
      </x:c>
      <x:c r="B730" s="85" t="n">
        <x:v>45556</x:v>
      </x:c>
      <x:c r="C730" s="84" t="str">
        <x:v>CUST-0080</x:v>
      </x:c>
      <x:c r="D730" s="84" t="str">
        <x:v>Maya Patel</x:v>
      </x:c>
      <x:c r="E730" s="84" t="str">
        <x:v>Corporate</x:v>
      </x:c>
      <x:c r="F730" s="84" t="str">
        <x:v>Midwest</x:v>
      </x:c>
      <x:c r="G730" s="84" t="str">
        <x:v>Columbus</x:v>
      </x:c>
      <x:c r="H730" s="84" t="str">
        <x:v>Online</x:v>
      </x:c>
      <x:c r="I730" s="84" t="str">
        <x:v>ACCS-005</x:v>
      </x:c>
      <x:c r="J730" s="86" t="n">
        <x:v>4</x:v>
      </x:c>
      <x:c r="K730" s="87" t="n">
        <x:v>0.15</x:v>
      </x:c>
      <x:c r="L730" s="84" t="str">
        <x:v>Completed </x:v>
      </x:c>
      <x:c r="M730" s="84" t="str">
        <x:v>paypal</x:v>
      </x:c>
      <x:c r="N730" s="84" t="str">
        <x:v>Zoe Turner</x:v>
      </x:c>
      <x:c r="O730" s="85" t="n">
        <x:v>45562</x:v>
      </x:c>
      <x:c r="P730" s="84" t="str">
        <x:v>WEB_2024_09</x:v>
      </x:c>
      <x:c r="Q730" s="84" t="str">
        <x:v>Protective Phone Case</x:v>
      </x:c>
      <x:c r="R730" s="84" t="str">
        <x:v>Accessories</x:v>
      </x:c>
    </x:row>
    <x:row r="731">
      <x:c r="A731" s="84" t="str">
        <x:v>ORD-2024-02388</x:v>
      </x:c>
      <x:c r="B731" s="85" t="n">
        <x:v>45556</x:v>
      </x:c>
      <x:c r="C731" s="84" t="str">
        <x:v>CUST-0390</x:v>
      </x:c>
      <x:c r="D731" s="84" t="str">
        <x:v>Daniel Adams</x:v>
      </x:c>
      <x:c r="E731" s="84" t="str">
        <x:v>Consumer</x:v>
      </x:c>
      <x:c r="F731" s="84" t="str">
        <x:v>West</x:v>
      </x:c>
      <x:c r="G731" s="84" t="str">
        <x:v>Los Angeles</x:v>
      </x:c>
      <x:c r="H731" s="84" t="str">
        <x:v>Retail Store</x:v>
      </x:c>
      <x:c r="I731" s="84" t="str">
        <x:v>FITN-004</x:v>
      </x:c>
      <x:c r="J731" s="86" t="n">
        <x:v>2</x:v>
      </x:c>
      <x:c r="K731" s="87" t="n">
        <x:v>0</x:v>
      </x:c>
      <x:c r="L731" s="84" t="str">
        <x:v>Completed</x:v>
      </x:c>
      <x:c r="M731" s="84" t="str">
        <x:v>Credit Card</x:v>
      </x:c>
      <x:c r="N731" s="84" t="str">
        <x:v>Nora Kim</x:v>
      </x:c>
      <x:c r="O731" s="85" t="n">
        <x:v>45556</x:v>
      </x:c>
      <x:c r="P731" s="84" t="str">
        <x:v>POS_2024_09</x:v>
      </x:c>
      <x:c r="Q731" s="84" t="str">
        <x:v>Fitness Tracker </x:v>
      </x:c>
      <x:c r="R731" s="84" t="str">
        <x:v>Fitness</x:v>
      </x:c>
    </x:row>
    <x:row r="732">
      <x:c r="A732" s="84" t="str">
        <x:v>ORD-2024-00360</x:v>
      </x:c>
      <x:c r="B732" s="85" t="n">
        <x:v>45557</x:v>
      </x:c>
      <x:c r="C732" s="84" t="str">
        <x:v>CUST-0151</x:v>
      </x:c>
      <x:c r="D732" s="84" t="str">
        <x:v>Theo Davis</x:v>
      </x:c>
      <x:c r="E732" s="84" t="str">
        <x:v>Small Business</x:v>
      </x:c>
      <x:c r="F732" s="84" t="str">
        <x:v>southeast</x:v>
      </x:c>
      <x:c r="G732" s="84" t="str">
        <x:v>Nashville</x:v>
      </x:c>
      <x:c r="H732" s="84" t="str">
        <x:v>Retail Store </x:v>
      </x:c>
      <x:c r="I732" s="84" t="str">
        <x:v>OFFC-006</x:v>
      </x:c>
      <x:c r="J732" s="86" t="n">
        <x:v>3</x:v>
      </x:c>
      <x:c r="K732" s="87" t="n">
        <x:v>0</x:v>
      </x:c>
      <x:c r="L732" s="84" t="str">
        <x:v>Returned</x:v>
      </x:c>
      <x:c r="M732" s="84" t="str">
        <x:v>Debit Card</x:v>
      </x:c>
      <x:c r="N732" s="84" t="str">
        <x:v> AVA MITCHELL </x:v>
      </x:c>
      <x:c r="O732" s="85" t="n">
        <x:v>45557</x:v>
      </x:c>
      <x:c r="P732" s="84" t="str">
        <x:v>POS_2024_09</x:v>
      </x:c>
      <x:c r="Q732" s="84" t="str">
        <x:v>Monitor Stand</x:v>
      </x:c>
      <x:c r="R732" s="84" t="str">
        <x:v>Office</x:v>
      </x:c>
    </x:row>
    <x:row r="733">
      <x:c r="A733" s="84" t="str">
        <x:v>ORD-2024-01332</x:v>
      </x:c>
      <x:c r="B733" s="85" t="n">
        <x:v>45557</x:v>
      </x:c>
      <x:c r="C733" s="84" t="str">
        <x:v>CUST-0534</x:v>
      </x:c>
      <x:c r="D733" s="84" t="str">
        <x:v>Chloe Evans</x:v>
      </x:c>
      <x:c r="E733" s="84" t="str">
        <x:v>Corporate</x:v>
      </x:c>
      <x:c r="F733" s="84" t="str">
        <x:v>West</x:v>
      </x:c>
      <x:c r="G733" s="84" t="str">
        <x:v>Phoenix</x:v>
      </x:c>
      <x:c r="H733" s="84" t="str">
        <x:v> MARKETPLACE </x:v>
      </x:c>
      <x:c r="I733" s="84" t="str">
        <x:v>ELEC-006</x:v>
      </x:c>
      <x:c r="J733" s="86" t="n">
        <x:v>1</x:v>
      </x:c>
      <x:c r="K733" s="87" t="n">
        <x:v>0.15</x:v>
      </x:c>
      <x:c r="L733" s="84" t="str">
        <x:v>Completed</x:v>
      </x:c>
      <x:c r="M733" s="84" t="str">
        <x:v>Debit Card</x:v>
      </x:c>
      <x:c r="N733" s="84" t="str">
        <x:v>Nora Kim</x:v>
      </x:c>
      <x:c r="O733" s="85" t="n">
        <x:v>45562</x:v>
      </x:c>
      <x:c r="P733" s="84" t="str">
        <x:v>MKT_2024_09</x:v>
      </x:c>
      <x:c r="Q733" s="84" t="str">
        <x:v>Portable SSD</x:v>
      </x:c>
      <x:c r="R733" s="84" t="str">
        <x:v>Electronics </x:v>
      </x:c>
    </x:row>
    <x:row r="734">
      <x:c r="A734" s="84" t="str">
        <x:v>ORD-2024-01679</x:v>
      </x:c>
      <x:c r="B734" s="85" t="n">
        <x:v>45557</x:v>
      </x:c>
      <x:c r="C734" s="84" t="str">
        <x:v>CUST-0259</x:v>
      </x:c>
      <x:c r="D734" s="84" t="str">
        <x:v>caleb foster</x:v>
      </x:c>
      <x:c r="E734" s="84" t="str">
        <x:v>Consumer</x:v>
      </x:c>
      <x:c r="F734" s="84" t="str">
        <x:v>Northeast</x:v>
      </x:c>
      <x:c r="G734" s="84" t="str">
        <x:v>New York</x:v>
      </x:c>
      <x:c r="H734" s="84" t="str">
        <x:v>Marketplace</x:v>
      </x:c>
      <x:c r="I734" s="84" t="str">
        <x:v>FITN-004</x:v>
      </x:c>
      <x:c r="J734" s="86" t="n">
        <x:v>1</x:v>
      </x:c>
      <x:c r="K734" s="87" t="n">
        <x:v>0</x:v>
      </x:c>
      <x:c r="L734" s="84" t="str">
        <x:v>Completed </x:v>
      </x:c>
      <x:c r="M734" s="84" t="str">
        <x:v>Debit Card</x:v>
      </x:c>
      <x:c r="N734" s="84" t="str">
        <x:v>Sofia Bennett</x:v>
      </x:c>
      <x:c r="O734" s="85" t="n">
        <x:v>45564</x:v>
      </x:c>
      <x:c r="P734" s="84" t="str">
        <x:v>MKT_2024_09</x:v>
      </x:c>
      <x:c r="Q734" s="84" t="str">
        <x:v>Fitness Tracker</x:v>
      </x:c>
      <x:c r="R734" s="84" t="str">
        <x:v>Fitness</x:v>
      </x:c>
    </x:row>
    <x:row r="735">
      <x:c r="A735" s="84" t="str">
        <x:v>ORD-2024-01750</x:v>
      </x:c>
      <x:c r="B735" s="85" t="n">
        <x:v>45557</x:v>
      </x:c>
      <x:c r="C735" s="84" t="str">
        <x:v>CUST-0380</x:v>
      </x:c>
      <x:c r="D735" s="84" t="str">
        <x:v>Caleb Patel</x:v>
      </x:c>
      <x:c r="E735" s="84" t="str">
        <x:v>Consumer </x:v>
      </x:c>
      <x:c r="F735" s="84" t="str">
        <x:v>Southeast</x:v>
      </x:c>
      <x:c r="G735" s="84" t="str">
        <x:v>Nashville </x:v>
      </x:c>
      <x:c r="H735" s="84" t="str">
        <x:v>Marketplace</x:v>
      </x:c>
      <x:c r="I735" s="84" t="str">
        <x:v>OFFC-004</x:v>
      </x:c>
      <x:c r="J735" s="86" t="n">
        <x:v>1</x:v>
      </x:c>
      <x:c r="K735" s="87" t="n">
        <x:v>0.1</x:v>
      </x:c>
      <x:c r="L735" s="84" t="str">
        <x:v>Completed</x:v>
      </x:c>
      <x:c r="M735" s="84" t="str">
        <x:v>Debit Card</x:v>
      </x:c>
      <x:c r="N735" s="84" t="str">
        <x:v>Noah Reed</x:v>
      </x:c>
      <x:c r="O735" s="85" t="n">
        <x:v>45564</x:v>
      </x:c>
      <x:c r="P735" s="84" t="str">
        <x:v>MKT_2024_09</x:v>
      </x:c>
      <x:c r="Q735" s="84" t="str">
        <x:v>Premium Notebook Pack</x:v>
      </x:c>
      <x:c r="R735" s="84" t="str">
        <x:v>Office</x:v>
      </x:c>
    </x:row>
    <x:row r="736">
      <x:c r="A736" s="84" t="str">
        <x:v>ORD-2024-01980</x:v>
      </x:c>
      <x:c r="B736" s="85" t="n">
        <x:v>45557</x:v>
      </x:c>
      <x:c r="C736" s="84" t="str">
        <x:v>CUST-0463</x:v>
      </x:c>
      <x:c r="D736" s="84" t="str">
        <x:v>Aiden Lewis</x:v>
      </x:c>
      <x:c r="E736" s="84" t="str">
        <x:v>consumer</x:v>
      </x:c>
      <x:c r="F736" s="84" t="str">
        <x:v>Northeast</x:v>
      </x:c>
      <x:c r="G736" s="84" t="str">
        <x:v>Newark</x:v>
      </x:c>
      <x:c r="H736" s="84" t="str">
        <x:v>retail store</x:v>
      </x:c>
      <x:c r="I736" s="84" t="str">
        <x:v>FITN-003</x:v>
      </x:c>
      <x:c r="J736" s="86" t="n">
        <x:v>3</x:v>
      </x:c>
      <x:c r="K736" s="87" t="n">
        <x:v>0</x:v>
      </x:c>
      <x:c r="L736" s="84" t="str">
        <x:v>Completed </x:v>
      </x:c>
      <x:c r="M736" s="84" t="str">
        <x:v>Cash</x:v>
      </x:c>
      <x:c r="N736" s="84" t="str">
        <x:v>Ethan Cole</x:v>
      </x:c>
      <x:c r="O736" s="85" t="n">
        <x:v>45557</x:v>
      </x:c>
      <x:c r="P736" s="84" t="str">
        <x:v>POS_2024_09</x:v>
      </x:c>
      <x:c r="Q736" s="84" t="str">
        <x:v>Resistance Band Set</x:v>
      </x:c>
      <x:c r="R736" s="84" t="str">
        <x:v>Fitness</x:v>
      </x:c>
    </x:row>
    <x:row r="737">
      <x:c r="A737" s="84" t="str">
        <x:v>ORD-2024-01853</x:v>
      </x:c>
      <x:c r="B737" s="85" t="n">
        <x:v>45558</x:v>
      </x:c>
      <x:c r="C737" s="84" t="str">
        <x:v>CUST-0477</x:v>
      </x:c>
      <x:c r="D737" s="84" t="str">
        <x:v>William Adams </x:v>
      </x:c>
      <x:c r="E737" s="84" t="str">
        <x:v> SMALL BUSINESS </x:v>
      </x:c>
      <x:c r="F737" s="84" t="str">
        <x:v>Southeast</x:v>
      </x:c>
      <x:c r="G737" s="84" t="str">
        <x:v>Nashville</x:v>
      </x:c>
      <x:c r="H737" s="84" t="str">
        <x:v>Online</x:v>
      </x:c>
      <x:c r="I737" s="84" t="str">
        <x:v>CARE-003</x:v>
      </x:c>
      <x:c r="J737" s="86" t="n">
        <x:v>1</x:v>
      </x:c>
      <x:c r="K737" s="87" t="n">
        <x:v>0.05</x:v>
      </x:c>
      <x:c r="L737" s="84" t="str">
        <x:v>Completed</x:v>
      </x:c>
      <x:c r="M737" s="84" t="str">
        <x:v>Mobile Wallet </x:v>
      </x:c>
      <x:c r="N737" s="84" t="str">
        <x:v>Liam Parker</x:v>
      </x:c>
      <x:c r="O737" s="85" t="n">
        <x:v>45561</x:v>
      </x:c>
      <x:c r="P737" s="84" t="str">
        <x:v>WEB_2024_09</x:v>
      </x:c>
      <x:c r="Q737" s="84" t="str">
        <x:v>Facial Cleanser</x:v>
      </x:c>
      <x:c r="R737" s="84" t="str">
        <x:v>Personal Care</x:v>
      </x:c>
    </x:row>
    <x:row r="738">
      <x:c r="A738" s="84" t="str">
        <x:v>ORD-2024-02293</x:v>
      </x:c>
      <x:c r="B738" s="85" t="n">
        <x:v>45558</x:v>
      </x:c>
      <x:c r="C738" s="84" t="str">
        <x:v>CUST-0312</x:v>
      </x:c>
      <x:c r="D738" s="84" t="str">
        <x:v>Theo Carter</x:v>
      </x:c>
      <x:c r="E738" s="84" t="str">
        <x:v>Small Business</x:v>
      </x:c>
      <x:c r="F738" s="84" t="str">
        <x:v>Southeast </x:v>
      </x:c>
      <x:c r="G738" s="84" t="str">
        <x:v>Atlanta</x:v>
      </x:c>
      <x:c r="H738" s="84" t="str">
        <x:v>Marketplace</x:v>
      </x:c>
      <x:c r="I738" s="84" t="str">
        <x:v>CARE-006</x:v>
      </x:c>
      <x:c r="J738" s="86" t="n">
        <x:v>2</x:v>
      </x:c>
      <x:c r="K738" s="87" t="n">
        <x:v>0.15</x:v>
      </x:c>
      <x:c r="L738" s="84" t="str">
        <x:v>Completed</x:v>
      </x:c>
      <x:c r="M738" s="84" t="str">
        <x:v>Mobile Wallet</x:v>
      </x:c>
      <x:c r="N738" s="84" t="str">
        <x:v>Noah Reed </x:v>
      </x:c>
      <x:c r="O738" s="85" t="n">
        <x:v>45564</x:v>
      </x:c>
      <x:c r="P738" s="84" t="str">
        <x:v>MKT_2024_09</x:v>
      </x:c>
      <x:c r="Q738" s="84" t="str">
        <x:v>Percussion Massage Gun</x:v>
      </x:c>
      <x:c r="R738" s="84" t="str">
        <x:v> PERSONAL CARE </x:v>
      </x:c>
    </x:row>
    <x:row r="739">
      <x:c r="A739" s="84" t="str">
        <x:v>ORD-2024-00065</x:v>
      </x:c>
      <x:c r="B739" s="85" t="n">
        <x:v>45559</x:v>
      </x:c>
      <x:c r="C739" s="84" t="str">
        <x:v>CUST-0076</x:v>
      </x:c>
      <x:c r="D739" s="84" t="str">
        <x:v> JONAH PATEL </x:v>
      </x:c>
      <x:c r="E739" s="84" t="str">
        <x:v>Small Business</x:v>
      </x:c>
      <x:c r="F739" s="84" t="str">
        <x:v> SOUTHEAST </x:v>
      </x:c>
      <x:c r="G739" s="84" t="str">
        <x:v>Charlotte</x:v>
      </x:c>
      <x:c r="H739" s="84" t="str">
        <x:v>Marketplace</x:v>
      </x:c>
      <x:c r="I739" s="84" t="str">
        <x:v>ELEC-006</x:v>
      </x:c>
      <x:c r="J739" s="86" t="n">
        <x:v>1</x:v>
      </x:c>
      <x:c r="K739" s="87" t="n">
        <x:v>0.05</x:v>
      </x:c>
      <x:c r="L739" s="84" t="str">
        <x:v>Completed</x:v>
      </x:c>
      <x:c r="M739" s="84" t="str">
        <x:v>credit card</x:v>
      </x:c>
      <x:c r="N739" s="84" t="str">
        <x:v>Ava Mitchell</x:v>
      </x:c>
      <x:c r="O739" s="85" t="n">
        <x:v>45567</x:v>
      </x:c>
      <x:c r="P739" s="84" t="str">
        <x:v>MKT_2024_09</x:v>
      </x:c>
      <x:c r="Q739" s="84" t="str">
        <x:v>Portable SSD</x:v>
      </x:c>
      <x:c r="R739" s="84" t="str">
        <x:v>Electronics </x:v>
      </x:c>
    </x:row>
    <x:row r="740">
      <x:c r="A740" s="84" t="str">
        <x:v>ORD-2024-00661</x:v>
      </x:c>
      <x:c r="B740" s="85" t="n">
        <x:v>45559</x:v>
      </x:c>
      <x:c r="C740" s="84" t="str">
        <x:v>CUST-0223</x:v>
      </x:c>
      <x:c r="D740" s="84" t="str">
        <x:v>Victoria Irwin</x:v>
      </x:c>
      <x:c r="E740" s="84" t="str">
        <x:v>Consumer</x:v>
      </x:c>
      <x:c r="F740" s="84" t="str">
        <x:v>Southeast</x:v>
      </x:c>
      <x:c r="G740" s="84" t="str">
        <x:v>Charlotte</x:v>
      </x:c>
      <x:c r="H740" s="84" t="str">
        <x:v>Online </x:v>
      </x:c>
      <x:c r="I740" s="84" t="str">
        <x:v>HOME-001</x:v>
      </x:c>
      <x:c r="J740" s="86" t="n">
        <x:v>1</x:v>
      </x:c>
      <x:c r="K740" s="87" t="n">
        <x:v>0.05</x:v>
      </x:c>
      <x:c r="L740" s="84" t="str">
        <x:v>Completed</x:v>
      </x:c>
      <x:c r="M740" s="84" t="str">
        <x:v>Credit Card</x:v>
      </x:c>
      <x:c r="N740" s="84" t="str">
        <x:v>Liam Parker</x:v>
      </x:c>
      <x:c r="O740" s="85" t="n">
        <x:v>45563</x:v>
      </x:c>
      <x:c r="P740" s="84" t="str">
        <x:v>WEB_2024_09</x:v>
      </x:c>
      <x:c r="Q740" s="84" t="str">
        <x:v>Air Fryer</x:v>
      </x:c>
      <x:c r="R740" s="84" t="str">
        <x:v> HOME &amp; KITCHEN </x:v>
      </x:c>
    </x:row>
    <x:row r="741">
      <x:c r="A741" s="84" t="str">
        <x:v>ORD-2024-01045</x:v>
      </x:c>
      <x:c r="B741" s="85" t="n">
        <x:v>45559</x:v>
      </x:c>
      <x:c r="C741" s="84" t="str">
        <x:v>CUST-0020</x:v>
      </x:c>
      <x:c r="D741" s="84" t="str">
        <x:v>Elias Ortiz</x:v>
      </x:c>
      <x:c r="E741" s="84" t="str">
        <x:v>consumer</x:v>
      </x:c>
      <x:c r="F741" s="84" t="str">
        <x:v>Southeast</x:v>
      </x:c>
      <x:c r="G741" s="84" t="str">
        <x:v>Miami</x:v>
      </x:c>
      <x:c r="H741" s="84" t="str">
        <x:v>online</x:v>
      </x:c>
      <x:c r="I741" s="84" t="str">
        <x:v>FITN-004</x:v>
      </x:c>
      <x:c r="J741" s="86" t="n">
        <x:v>2</x:v>
      </x:c>
      <x:c r="K741" s="87" t="n">
        <x:v>0.05</x:v>
      </x:c>
      <x:c r="L741" s="84" t="str">
        <x:v>Completed</x:v>
      </x:c>
      <x:c r="M741" s="84" t="str">
        <x:v>Credit Card</x:v>
      </x:c>
      <x:c r="N741" s="84" t="str">
        <x:v>Noah Reed</x:v>
      </x:c>
      <x:c r="O741" s="85" t="n">
        <x:v>45564</x:v>
      </x:c>
      <x:c r="P741" s="84" t="str">
        <x:v>WEB_2024_09</x:v>
      </x:c>
      <x:c r="Q741" s="84" t="str">
        <x:v>Fitness Tracker</x:v>
      </x:c>
      <x:c r="R741" s="84" t="str">
        <x:v>Fitness </x:v>
      </x:c>
    </x:row>
    <x:row r="742">
      <x:c r="A742" s="84" t="str">
        <x:v>ORD-2024-01461</x:v>
      </x:c>
      <x:c r="B742" s="85" t="n">
        <x:v>45559</x:v>
      </x:c>
      <x:c r="C742" s="84" t="str">
        <x:v>CUST-0312</x:v>
      </x:c>
      <x:c r="D742" s="84" t="str">
        <x:v>Theo Carter </x:v>
      </x:c>
      <x:c r="E742" s="84" t="str">
        <x:v>Small Business</x:v>
      </x:c>
      <x:c r="F742" s="84" t="str">
        <x:v>Southeast</x:v>
      </x:c>
      <x:c r="G742" s="84" t="str">
        <x:v>Atlanta</x:v>
      </x:c>
      <x:c r="H742" s="84" t="str">
        <x:v>Online</x:v>
      </x:c>
      <x:c r="I742" s="84" t="str">
        <x:v>OFFC-002</x:v>
      </x:c>
      <x:c r="J742" s="86" t="n">
        <x:v>1</x:v>
      </x:c>
      <x:c r="K742" s="87" t="n">
        <x:v>0</x:v>
      </x:c>
      <x:c r="L742" s="84" t="str">
        <x:v>Completed</x:v>
      </x:c>
      <x:c r="M742" s="84" t="str">
        <x:v>PayPal </x:v>
      </x:c>
      <x:c r="N742" s="84" t="str">
        <x:v>Liam Parker</x:v>
      </x:c>
      <x:c r="O742" s="85" t="n">
        <x:v>45562</x:v>
      </x:c>
      <x:c r="P742" s="84" t="str">
        <x:v>WEB_2024_09</x:v>
      </x:c>
      <x:c r="Q742" s="84" t="str">
        <x:v>standing desk</x:v>
      </x:c>
      <x:c r="R742" s="84" t="str">
        <x:v>Office</x:v>
      </x:c>
    </x:row>
    <x:row r="743">
      <x:c r="A743" s="84" t="str">
        <x:v>ORD-2024-02093</x:v>
      </x:c>
      <x:c r="B743" s="85" t="n">
        <x:v>45559</x:v>
      </x:c>
      <x:c r="C743" s="84" t="str">
        <x:v>CUST-0431</x:v>
      </x:c>
      <x:c r="D743" s="84" t="str">
        <x:v>Jonah Garcia</x:v>
      </x:c>
      <x:c r="E743" s="84" t="str">
        <x:v>Corporate </x:v>
      </x:c>
      <x:c r="F743" s="84" t="str">
        <x:v>West</x:v>
      </x:c>
      <x:c r="G743" s="84" t="str">
        <x:v>Denver </x:v>
      </x:c>
      <x:c r="H743" s="84" t="str">
        <x:v>Marketplace</x:v>
      </x:c>
      <x:c r="I743" s="84" t="str">
        <x:v>ELEC-001</x:v>
      </x:c>
      <x:c r="J743" s="86" t="n">
        <x:v>1</x:v>
      </x:c>
      <x:c r="K743" s="87" t="n">
        <x:v>0.05</x:v>
      </x:c>
      <x:c r="L743" s="84" t="str">
        <x:v>Completed</x:v>
      </x:c>
      <x:c r="M743" s="84" t="str">
        <x:v>Credit Card</x:v>
      </x:c>
      <x:c r="N743" s="84" t="str">
        <x:v>Mia Chen</x:v>
      </x:c>
      <x:c r="O743" s="85" t="n">
        <x:v>45565</x:v>
      </x:c>
      <x:c r="P743" s="84" t="str">
        <x:v>MKT_2024_09</x:v>
      </x:c>
      <x:c r="Q743" s="84" t="str">
        <x:v>Wireless Earbuds</x:v>
      </x:c>
      <x:c r="R743" s="84" t="str">
        <x:v>electronics</x:v>
      </x:c>
    </x:row>
    <x:row r="744">
      <x:c r="A744" s="84" t="str">
        <x:v>ORD-2024-02282</x:v>
      </x:c>
      <x:c r="B744" s="85" t="n">
        <x:v>45559</x:v>
      </x:c>
      <x:c r="C744" s="84" t="str">
        <x:v>CUST-0198</x:v>
      </x:c>
      <x:c r="D744" s="84" t="str">
        <x:v>Jonah Baker</x:v>
      </x:c>
      <x:c r="E744" s="84" t="str">
        <x:v>Consumer </x:v>
      </x:c>
      <x:c r="F744" s="84" t="str">
        <x:v>Southeast</x:v>
      </x:c>
      <x:c r="G744" s="84" t="str">
        <x:v>Atlanta </x:v>
      </x:c>
      <x:c r="H744" s="84" t="str">
        <x:v>Marketplace</x:v>
      </x:c>
      <x:c r="I744" s="84" t="str">
        <x:v>ELEC-002</x:v>
      </x:c>
      <x:c r="J744" s="86" t="n">
        <x:v>2</x:v>
      </x:c>
      <x:c r="K744" s="87" t="n">
        <x:v>0.15</x:v>
      </x:c>
      <x:c r="L744" s="84" t="str">
        <x:v>Completed</x:v>
      </x:c>
      <x:c r="M744" s="84" t="str">
        <x:v>PayPal</x:v>
      </x:c>
      <x:c r="N744" s="84" t="str">
        <x:v>Ava Mitchell</x:v>
      </x:c>
      <x:c r="O744" s="85" t="n">
        <x:v>45563</x:v>
      </x:c>
      <x:c r="P744" s="84" t="str">
        <x:v>MKT_2024_09</x:v>
      </x:c>
      <x:c r="Q744" s="84" t="str">
        <x:v> SMARTWATCH </x:v>
      </x:c>
      <x:c r="R744" s="84" t="str">
        <x:v>Electronics</x:v>
      </x:c>
    </x:row>
    <x:row r="745">
      <x:c r="A745" s="84" t="str">
        <x:v>ORD-2024-00231</x:v>
      </x:c>
      <x:c r="B745" s="85" t="n">
        <x:v>45560</x:v>
      </x:c>
      <x:c r="C745" s="84" t="str">
        <x:v>CUST-0326</x:v>
      </x:c>
      <x:c r="D745" s="84" t="str">
        <x:v>Marcus Quinn</x:v>
      </x:c>
      <x:c r="E745" s="84" t="str">
        <x:v>corporate</x:v>
      </x:c>
      <x:c r="F745" s="84" t="str">
        <x:v>Southeast</x:v>
      </x:c>
      <x:c r="G745" s="84" t="str">
        <x:v> NASHVILLE </x:v>
      </x:c>
      <x:c r="H745" s="84" t="str">
        <x:v>retail store</x:v>
      </x:c>
      <x:c r="I745" s="84" t="str">
        <x:v>OFFC-001</x:v>
      </x:c>
      <x:c r="J745" s="86" t="n">
        <x:v>2</x:v>
      </x:c>
      <x:c r="K745" s="87" t="n">
        <x:v>0</x:v>
      </x:c>
      <x:c r="L745" s="84" t="str">
        <x:v>Completed</x:v>
      </x:c>
      <x:c r="M745" s="84" t="str">
        <x:v>Debit Card</x:v>
      </x:c>
      <x:c r="N745" s="84" t="str">
        <x:v>Ava Mitchell</x:v>
      </x:c>
      <x:c r="O745" s="85" t="n">
        <x:v>45560</x:v>
      </x:c>
      <x:c r="P745" s="84" t="str">
        <x:v>POS_2024_09</x:v>
      </x:c>
      <x:c r="Q745" s="84" t="str">
        <x:v>Ergonomic Chair</x:v>
      </x:c>
      <x:c r="R745" s="84" t="str">
        <x:v>Office</x:v>
      </x:c>
    </x:row>
    <x:row r="746">
      <x:c r="A746" s="84" t="str">
        <x:v>ORD-2024-00884</x:v>
      </x:c>
      <x:c r="B746" s="85" t="n">
        <x:v>45560</x:v>
      </x:c>
      <x:c r="C746" s="84" t="str">
        <x:v>CUST-0635</x:v>
      </x:c>
      <x:c r="D746" s="84" t="str">
        <x:v>Owen Patel</x:v>
      </x:c>
      <x:c r="E746" s="84" t="str">
        <x:v> CONSUMER </x:v>
      </x:c>
      <x:c r="F746" s="84" t="str">
        <x:v>Northeast</x:v>
      </x:c>
      <x:c r="G746" s="84" t="str">
        <x:v>philadelphia</x:v>
      </x:c>
      <x:c r="H746" s="84" t="str">
        <x:v>Retail Store</x:v>
      </x:c>
      <x:c r="I746" s="84" t="str">
        <x:v>OFFC-005</x:v>
      </x:c>
      <x:c r="J746" s="86" t="n">
        <x:v>1</x:v>
      </x:c>
      <x:c r="K746" s="87" t="n">
        <x:v>0.05</x:v>
      </x:c>
      <x:c r="L746" s="84" t="str">
        <x:v>completed</x:v>
      </x:c>
      <x:c r="M746" s="84" t="str">
        <x:v>Cash</x:v>
      </x:c>
      <x:c r="N746" s="84" t="str">
        <x:v>Sofia Bennett</x:v>
      </x:c>
      <x:c r="O746" s="85" t="n">
        <x:v>45560</x:v>
      </x:c>
      <x:c r="P746" s="84" t="str">
        <x:v>POS_2024_09</x:v>
      </x:c>
      <x:c r="Q746" s="84" t="str">
        <x:v>Wireless Keyboard</x:v>
      </x:c>
      <x:c r="R746" s="84" t="str">
        <x:v>Office </x:v>
      </x:c>
    </x:row>
    <x:row r="747">
      <x:c r="A747" s="84" t="str">
        <x:v>ORD-2024-00969</x:v>
      </x:c>
      <x:c r="B747" s="85" t="n">
        <x:v>45560</x:v>
      </x:c>
      <x:c r="C747" s="84" t="str">
        <x:v>CUST-0406</x:v>
      </x:c>
      <x:c r="D747" s="84" t="str">
        <x:v>Marcus Garcia</x:v>
      </x:c>
      <x:c r="E747" s="84" t="str">
        <x:v> SMALL BUSINESS </x:v>
      </x:c>
      <x:c r="F747" s="84" t="str">
        <x:v>Northeast</x:v>
      </x:c>
      <x:c r="G747" s="84" t="str">
        <x:v>Boston</x:v>
      </x:c>
      <x:c r="H747" s="84" t="str">
        <x:v>Marketplace </x:v>
      </x:c>
      <x:c r="I747" s="84" t="str">
        <x:v>OFFC-001</x:v>
      </x:c>
      <x:c r="J747" s="86" t="n">
        <x:v>1</x:v>
      </x:c>
      <x:c r="K747" s="87" t="n">
        <x:v>0</x:v>
      </x:c>
      <x:c r="L747" s="84" t="str">
        <x:v>Completed</x:v>
      </x:c>
      <x:c r="M747" s="84" t="str">
        <x:v>PayPal</x:v>
      </x:c>
      <x:c r="N747" s="84" t="str">
        <x:v>Sofia Bennett</x:v>
      </x:c>
      <x:c r="O747" s="85" t="n">
        <x:v>45564</x:v>
      </x:c>
      <x:c r="P747" s="84" t="str">
        <x:v>MKT_2024_09</x:v>
      </x:c>
      <x:c r="Q747" s="84" t="str">
        <x:v>Ergonomic Chair</x:v>
      </x:c>
      <x:c r="R747" s="84" t="str">
        <x:v>Office</x:v>
      </x:c>
    </x:row>
    <x:row r="748">
      <x:c r="A748" s="84" t="str">
        <x:v>ORD-2024-01200</x:v>
      </x:c>
      <x:c r="B748" s="85" t="n">
        <x:v>45561</x:v>
      </x:c>
      <x:c r="C748" s="84" t="str">
        <x:v>CUST-0432</x:v>
      </x:c>
      <x:c r="D748" s="84" t="str">
        <x:v>Caleb Young</x:v>
      </x:c>
      <x:c r="E748" s="84" t="str">
        <x:v>Consumer</x:v>
      </x:c>
      <x:c r="F748" s="84" t="str">
        <x:v>Northeast</x:v>
      </x:c>
      <x:c r="G748" s="84" t="str">
        <x:v> NEW YORK </x:v>
      </x:c>
      <x:c r="H748" s="84" t="str">
        <x:v>Marketplace </x:v>
      </x:c>
      <x:c r="I748" s="84" t="str">
        <x:v>FITN-002</x:v>
      </x:c>
      <x:c r="J748" s="86" t="n">
        <x:v>1</x:v>
      </x:c>
      <x:c r="K748" s="87" t="n">
        <x:v>0.2</x:v>
      </x:c>
      <x:c r="L748" s="84" t="str">
        <x:v>Completed</x:v>
      </x:c>
      <x:c r="M748" s="84" t="str">
        <x:v>Mobile Wallet</x:v>
      </x:c>
      <x:c r="N748" s="84" t="str">
        <x:v>Sofia Bennett</x:v>
      </x:c>
      <x:c r="O748" s="85" t="n">
        <x:v>45566</x:v>
      </x:c>
      <x:c r="P748" s="84" t="str">
        <x:v>MKT_2024_09</x:v>
      </x:c>
      <x:c r="Q748" s="84" t="str">
        <x:v>Adjustable Dumbbell Set</x:v>
      </x:c>
      <x:c r="R748" s="84" t="str">
        <x:v>Fitness</x:v>
      </x:c>
    </x:row>
    <x:row r="749">
      <x:c r="A749" s="84" t="str">
        <x:v>ORD-2024-00274</x:v>
      </x:c>
      <x:c r="B749" s="85" t="n">
        <x:v>45562</x:v>
      </x:c>
      <x:c r="C749" s="84" t="str">
        <x:v>CUST-0534</x:v>
      </x:c>
      <x:c r="D749" s="84" t="str">
        <x:v>Chloe Evans</x:v>
      </x:c>
      <x:c r="E749" s="84" t="str">
        <x:v>Corporate</x:v>
      </x:c>
      <x:c r="F749" s="84" t="str">
        <x:v>West</x:v>
      </x:c>
      <x:c r="G749" s="84" t="str">
        <x:v>Phoenix</x:v>
      </x:c>
      <x:c r="H749" s="84" t="str">
        <x:v>Retail Store</x:v>
      </x:c>
      <x:c r="I749" s="84" t="str">
        <x:v>CARE-005</x:v>
      </x:c>
      <x:c r="J749" s="86" t="n">
        <x:v>1</x:v>
      </x:c>
      <x:c r="K749" s="87" t="n">
        <x:v>0.05</x:v>
      </x:c>
      <x:c r="L749" s="84" t="str">
        <x:v>Completed</x:v>
      </x:c>
      <x:c r="M749" s="84" t="str">
        <x:v>mobile wallet</x:v>
      </x:c>
      <x:c r="N749" s="84" t="str">
        <x:v>Leo Martinez</x:v>
      </x:c>
      <x:c r="O749" s="85" t="n">
        <x:v>45563</x:v>
      </x:c>
      <x:c r="P749" s="84" t="str">
        <x:v>POS_2024_09</x:v>
      </x:c>
      <x:c r="Q749" s="84" t="str">
        <x:v>Skin Care Starter Kit </x:v>
      </x:c>
      <x:c r="R749" s="84" t="str">
        <x:v>Personal Care</x:v>
      </x:c>
    </x:row>
    <x:row r="750">
      <x:c r="A750" s="84" t="str">
        <x:v>ORD-2024-00327</x:v>
      </x:c>
      <x:c r="B750" s="85" t="n">
        <x:v>45562</x:v>
      </x:c>
      <x:c r="C750" s="84" t="str">
        <x:v>CUST-0477</x:v>
      </x:c>
      <x:c r="D750" s="84" t="str">
        <x:v>William Adams </x:v>
      </x:c>
      <x:c r="E750" s="84" t="str">
        <x:v>Small Business</x:v>
      </x:c>
      <x:c r="F750" s="84" t="str">
        <x:v>southeast</x:v>
      </x:c>
      <x:c r="G750" s="84" t="str">
        <x:v>Nashville</x:v>
      </x:c>
      <x:c r="H750" s="84" t="str">
        <x:v>Retail Store</x:v>
      </x:c>
      <x:c r="I750" s="84" t="str">
        <x:v>ELEC-006</x:v>
      </x:c>
      <x:c r="J750" s="86" t="n">
        <x:v>1</x:v>
      </x:c>
      <x:c r="K750" s="87" t="n">
        <x:v>0.05</x:v>
      </x:c>
      <x:c r="L750" s="84" t="str">
        <x:v>Completed</x:v>
      </x:c>
      <x:c r="M750" s="84" t="str">
        <x:v>Cash </x:v>
      </x:c>
      <x:c r="N750" s="84" t="str">
        <x:v>Ava Mitchell</x:v>
      </x:c>
      <x:c r="O750" s="85" t="n">
        <x:v>45562</x:v>
      </x:c>
      <x:c r="P750" s="84" t="str">
        <x:v>POS_2024_09</x:v>
      </x:c>
      <x:c r="Q750" s="84" t="str">
        <x:v> PORTABLE SSD </x:v>
      </x:c>
      <x:c r="R750" s="84" t="str">
        <x:v>Electronics</x:v>
      </x:c>
    </x:row>
    <x:row r="751">
      <x:c r="A751" s="84" t="str">
        <x:v>ORD-2024-00565</x:v>
      </x:c>
      <x:c r="B751" s="85" t="n">
        <x:v>45562</x:v>
      </x:c>
      <x:c r="C751" s="84" t="str">
        <x:v>CUST-0338</x:v>
      </x:c>
      <x:c r="D751" s="84" t="str">
        <x:v>Caleb Irwin </x:v>
      </x:c>
      <x:c r="E751" s="84" t="str">
        <x:v>Consumer</x:v>
      </x:c>
      <x:c r="F751" s="84" t="str">
        <x:v>Southeast</x:v>
      </x:c>
      <x:c r="G751" s="84" t="str">
        <x:v>miami</x:v>
      </x:c>
      <x:c r="H751" s="84" t="str">
        <x:v>Retail Store</x:v>
      </x:c>
      <x:c r="I751" s="84" t="str">
        <x:v>HOME-004</x:v>
      </x:c>
      <x:c r="J751" s="86" t="n">
        <x:v>3</x:v>
      </x:c>
      <x:c r="K751" s="87" t="n">
        <x:v>0.05</x:v>
      </x:c>
      <x:c r="L751" s="84" t="str">
        <x:v>completed</x:v>
      </x:c>
      <x:c r="M751" s="84" t="str">
        <x:v>Debit Card </x:v>
      </x:c>
      <x:c r="N751" s="84" t="str">
        <x:v>Liam Parker</x:v>
      </x:c>
      <x:c r="O751" s="85" t="n">
        <x:v>45562</x:v>
      </x:c>
      <x:c r="P751" s="84" t="str">
        <x:v>POS_2024_09</x:v>
      </x:c>
      <x:c r="Q751" s="84" t="str">
        <x:v> COFFEE MAKER </x:v>
      </x:c>
      <x:c r="R751" s="84" t="str">
        <x:v>Home &amp; Kitchen</x:v>
      </x:c>
    </x:row>
    <x:row r="752">
      <x:c r="A752" s="84" t="str">
        <x:v>ORD-2024-00685</x:v>
      </x:c>
      <x:c r="B752" s="85" t="n">
        <x:v>45562</x:v>
      </x:c>
      <x:c r="C752" s="84" t="str">
        <x:v>CUST-0219</x:v>
      </x:c>
      <x:c r="D752" s="84" t="str">
        <x:v>Caleb Quinn</x:v>
      </x:c>
      <x:c r="E752" s="84" t="str">
        <x:v>Small Business</x:v>
      </x:c>
      <x:c r="F752" s="84" t="str">
        <x:v>West</x:v>
      </x:c>
      <x:c r="G752" s="84" t="str">
        <x:v>Los Angeles</x:v>
      </x:c>
      <x:c r="H752" s="84" t="str">
        <x:v>Marketplace</x:v>
      </x:c>
      <x:c r="I752" s="84" t="str">
        <x:v>ACCS-003</x:v>
      </x:c>
      <x:c r="J752" s="86" t="n">
        <x:v>1</x:v>
      </x:c>
      <x:c r="K752" s="87" t="n">
        <x:v>0.1</x:v>
      </x:c>
      <x:c r="L752" s="84" t="str">
        <x:v> COMPLETED </x:v>
      </x:c>
      <x:c r="M752" s="84" t="str">
        <x:v>Credit Card</x:v>
      </x:c>
      <x:c r="N752" s="84" t="str">
        <x:v>Leo Martinez</x:v>
      </x:c>
      <x:c r="O752" s="85" t="n">
        <x:v>45567</x:v>
      </x:c>
      <x:c r="P752" s="84" t="str">
        <x:v>MKT_2024_09</x:v>
      </x:c>
      <x:c r="Q752" s="84" t="str">
        <x:v>Polarized Sunglasses</x:v>
      </x:c>
      <x:c r="R752" s="84" t="str">
        <x:v>accessories</x:v>
      </x:c>
    </x:row>
    <x:row r="753">
      <x:c r="A753" s="84" t="str">
        <x:v>ORD-2024-00696</x:v>
      </x:c>
      <x:c r="B753" s="85" t="n">
        <x:v>45562</x:v>
      </x:c>
      <x:c r="C753" s="84" t="str">
        <x:v>CUST-0339</x:v>
      </x:c>
      <x:c r="D753" s="84" t="str">
        <x:v>Marcus Walker</x:v>
      </x:c>
      <x:c r="E753" s="84" t="str">
        <x:v>Consumer</x:v>
      </x:c>
      <x:c r="F753" s="84" t="str">
        <x:v>Midwest</x:v>
      </x:c>
      <x:c r="G753" s="84" t="str">
        <x:v>Columbus</x:v>
      </x:c>
      <x:c r="H753" s="84" t="str">
        <x:v>Online </x:v>
      </x:c>
      <x:c r="I753" s="84" t="str">
        <x:v>CARE-001</x:v>
      </x:c>
      <x:c r="J753" s="86" t="n">
        <x:v>2</x:v>
      </x:c>
      <x:c r="K753" s="87" t="n">
        <x:v>0.05</x:v>
      </x:c>
      <x:c r="L753" s="84" t="str">
        <x:v>Completed</x:v>
      </x:c>
      <x:c r="M753" s="84" t="str">
        <x:v>Credit Card</x:v>
      </x:c>
      <x:c r="N753" s="84" t="str">
        <x:v>Emma Hayes</x:v>
      </x:c>
      <x:c r="O753" s="85" t="n">
        <x:v>45565</x:v>
      </x:c>
      <x:c r="P753" s="84" t="str">
        <x:v>WEB_2024_09</x:v>
      </x:c>
      <x:c r="Q753" s="84" t="str">
        <x:v>Ionic Hair Dryer</x:v>
      </x:c>
      <x:c r="R753" s="84" t="str">
        <x:v>personal care</x:v>
      </x:c>
    </x:row>
    <x:row r="754">
      <x:c r="A754" s="84" t="str">
        <x:v>ORD-2024-01433</x:v>
      </x:c>
      <x:c r="B754" s="85" t="n">
        <x:v>45562</x:v>
      </x:c>
      <x:c r="C754" s="84" t="str">
        <x:v>CUST-0628</x:v>
      </x:c>
      <x:c r="D754" s="84" t="str">
        <x:v>Isaac Young </x:v>
      </x:c>
      <x:c r="E754" s="84" t="str">
        <x:v>Small Business</x:v>
      </x:c>
      <x:c r="F754" s="84" t="str">
        <x:v>West</x:v>
      </x:c>
      <x:c r="G754" s="84" t="str">
        <x:v>Denver</x:v>
      </x:c>
      <x:c r="H754" s="84" t="str">
        <x:v>Online</x:v>
      </x:c>
      <x:c r="I754" s="84" t="str">
        <x:v>ACCS-004</x:v>
      </x:c>
      <x:c r="J754" s="86" t="n">
        <x:v>1</x:v>
      </x:c>
      <x:c r="K754" s="87" t="n">
        <x:v>0.1</x:v>
      </x:c>
      <x:c r="L754" s="84" t="str">
        <x:v> COMPLETED </x:v>
      </x:c>
      <x:c r="M754" s="84" t="str">
        <x:v>Credit Card </x:v>
      </x:c>
      <x:c r="N754" s="84" t="str">
        <x:v>Leo Martinez</x:v>
      </x:c>
      <x:c r="O754" s="85" t="n">
        <x:v>45565</x:v>
      </x:c>
      <x:c r="P754" s="84" t="str">
        <x:v>WEB_2024_09</x:v>
      </x:c>
      <x:c r="Q754" s="84" t="str">
        <x:v>Leather Wallet</x:v>
      </x:c>
      <x:c r="R754" s="84" t="str">
        <x:v>accessories</x:v>
      </x:c>
    </x:row>
    <x:row r="755">
      <x:c r="A755" s="84" t="str">
        <x:v>ORD-2024-01582</x:v>
      </x:c>
      <x:c r="B755" s="85" t="n">
        <x:v>45562</x:v>
      </x:c>
      <x:c r="C755" s="84" t="str">
        <x:v>CUST-0116</x:v>
      </x:c>
      <x:c r="D755" s="84" t="str">
        <x:v>Amelia Khan</x:v>
      </x:c>
      <x:c r="E755" s="84" t="str">
        <x:v>Consumer </x:v>
      </x:c>
      <x:c r="F755" s="84" t="str">
        <x:v>Midwest</x:v>
      </x:c>
      <x:c r="G755" s="84" t="str">
        <x:v>Minneapolis </x:v>
      </x:c>
      <x:c r="H755" s="84" t="str">
        <x:v>Online</x:v>
      </x:c>
      <x:c r="I755" s="84" t="str">
        <x:v>FITN-005</x:v>
      </x:c>
      <x:c r="J755" s="86" t="n">
        <x:v>1</x:v>
      </x:c>
      <x:c r="K755" s="87" t="n">
        <x:v>0.1</x:v>
      </x:c>
      <x:c r="L755" s="84" t="str">
        <x:v>Completed</x:v>
      </x:c>
      <x:c r="M755" s="84" t="str">
        <x:v>Credit Card</x:v>
      </x:c>
      <x:c r="N755" s="84" t="str">
        <x:v>Lucas Grant</x:v>
      </x:c>
      <x:c r="O755" s="85" t="n">
        <x:v>45567</x:v>
      </x:c>
      <x:c r="P755" s="84" t="str">
        <x:v>WEB_2024_09</x:v>
      </x:c>
      <x:c r="Q755" s="84" t="str">
        <x:v>sports water bottle</x:v>
      </x:c>
      <x:c r="R755" s="84" t="str">
        <x:v>Fitness</x:v>
      </x:c>
    </x:row>
    <x:row r="756">
      <x:c r="A756" s="84" t="str">
        <x:v>ORD-2024-00083</x:v>
      </x:c>
      <x:c r="B756" s="85" t="n">
        <x:v>45563</x:v>
      </x:c>
      <x:c r="C756" s="84" t="str">
        <x:v>CUST-0235</x:v>
      </x:c>
      <x:c r="D756" s="84" t="str">
        <x:v>Samuel Quinn</x:v>
      </x:c>
      <x:c r="E756" s="84" t="str">
        <x:v>Consumer</x:v>
      </x:c>
      <x:c r="F756" s="84" t="str">
        <x:v>West</x:v>
      </x:c>
      <x:c r="G756" s="84" t="str">
        <x:v>Phoenix</x:v>
      </x:c>
      <x:c r="H756" s="84" t="str">
        <x:v>Online</x:v>
      </x:c>
      <x:c r="I756" s="84" t="str">
        <x:v>HOME-002</x:v>
      </x:c>
      <x:c r="J756" s="86" t="n">
        <x:v>1</x:v>
      </x:c>
      <x:c r="K756" s="87" t="n">
        <x:v>0.1</x:v>
      </x:c>
      <x:c r="L756" s="84" t="str">
        <x:v>Completed </x:v>
      </x:c>
      <x:c r="M756" s="84" t="str">
        <x:v>Debit Card</x:v>
      </x:c>
      <x:c r="N756" s="84" t="str">
        <x:v>Nora Kim</x:v>
      </x:c>
      <x:c r="O756" s="85" t="n">
        <x:v>45566</x:v>
      </x:c>
      <x:c r="P756" s="84" t="str">
        <x:v>WEB_2024_09</x:v>
      </x:c>
      <x:c r="Q756" s="84" t="str">
        <x:v>Electric Kettle</x:v>
      </x:c>
      <x:c r="R756" s="84" t="str">
        <x:v> HOME &amp; KITCHEN </x:v>
      </x:c>
    </x:row>
    <x:row r="757">
      <x:c r="A757" s="84" t="str">
        <x:v>ORD-2024-01577</x:v>
      </x:c>
      <x:c r="B757" s="85" t="n">
        <x:v>45563</x:v>
      </x:c>
      <x:c r="C757" s="84" t="str">
        <x:v>CUST-0038</x:v>
      </x:c>
      <x:c r="D757" s="84" t="str">
        <x:v>William Ortiz</x:v>
      </x:c>
      <x:c r="E757" s="84" t="str">
        <x:v>Consumer</x:v>
      </x:c>
      <x:c r="F757" s="84" t="str">
        <x:v>West</x:v>
      </x:c>
      <x:c r="G757" s="84" t="str">
        <x:v>phoenix</x:v>
      </x:c>
      <x:c r="H757" s="84" t="str">
        <x:v>Online</x:v>
      </x:c>
      <x:c r="I757" s="84" t="str">
        <x:v>FITN-003</x:v>
      </x:c>
      <x:c r="J757" s="86" t="n">
        <x:v>3</x:v>
      </x:c>
      <x:c r="K757" s="87" t="n">
        <x:v>0.05</x:v>
      </x:c>
      <x:c r="L757" s="84" t="str">
        <x:v>completed</x:v>
      </x:c>
      <x:c r="M757" s="84" t="str">
        <x:v>Mobile Wallet</x:v>
      </x:c>
      <x:c r="N757" s="84" t="str">
        <x:v>Leo Martinez</x:v>
      </x:c>
      <x:c r="O757" s="85" t="n">
        <x:v>45567</x:v>
      </x:c>
      <x:c r="P757" s="84" t="str">
        <x:v>WEB_2024_09</x:v>
      </x:c>
      <x:c r="Q757" s="84" t="str">
        <x:v>Resistance Band Set</x:v>
      </x:c>
      <x:c r="R757" s="84" t="str">
        <x:v>Fitness </x:v>
      </x:c>
    </x:row>
    <x:row r="758">
      <x:c r="A758" s="84" t="str">
        <x:v>ORD-2024-00421</x:v>
      </x:c>
      <x:c r="B758" s="85" t="n">
        <x:v>45564</x:v>
      </x:c>
      <x:c r="C758" s="84" t="str">
        <x:v>CUST-0632</x:v>
      </x:c>
      <x:c r="D758" s="84" t="str">
        <x:v>Caleb Adams</x:v>
      </x:c>
      <x:c r="E758" s="84" t="str">
        <x:v>Consumer</x:v>
      </x:c>
      <x:c r="F758" s="84" t="str">
        <x:v>West</x:v>
      </x:c>
      <x:c r="G758" s="84" t="str">
        <x:v>Phoenix</x:v>
      </x:c>
      <x:c r="H758" s="84" t="str">
        <x:v>Online</x:v>
      </x:c>
      <x:c r="I758" s="84" t="str">
        <x:v>HOME-005</x:v>
      </x:c>
      <x:c r="J758" s="86" t="n">
        <x:v>2</x:v>
      </x:c>
      <x:c r="K758" s="87" t="n">
        <x:v>0.1</x:v>
      </x:c>
      <x:c r="L758" s="84" t="str">
        <x:v>Completed</x:v>
      </x:c>
      <x:c r="M758" s="84" t="str">
        <x:v>Credit Card</x:v>
      </x:c>
      <x:c r="N758" s="84" t="str">
        <x:v>Leo Martinez</x:v>
      </x:c>
      <x:c r="O758" s="85" t="n">
        <x:v>45568</x:v>
      </x:c>
      <x:c r="P758" s="84" t="str">
        <x:v>WEB_2024_09</x:v>
      </x:c>
      <x:c r="Q758" s="84" t="str">
        <x:v>Cordless Vacuum </x:v>
      </x:c>
      <x:c r="R758" s="84" t="str">
        <x:v>home &amp; kitchen</x:v>
      </x:c>
    </x:row>
    <x:row r="759">
      <x:c r="A759" s="84" t="str">
        <x:v>ORD-2024-00527</x:v>
      </x:c>
      <x:c r="B759" s="85" t="n">
        <x:v>45564</x:v>
      </x:c>
      <x:c r="C759" s="84" t="str">
        <x:v>CUST-0539</x:v>
      </x:c>
      <x:c r="D759" s="84" t="str">
        <x:v>Chloe Johnson</x:v>
      </x:c>
      <x:c r="E759" s="84" t="str">
        <x:v> SMALL BUSINESS </x:v>
      </x:c>
      <x:c r="F759" s="84" t="str">
        <x:v>West</x:v>
      </x:c>
      <x:c r="G759" s="84" t="str">
        <x:v>Los Angeles</x:v>
      </x:c>
      <x:c r="H759" s="84" t="str">
        <x:v>Retail Store</x:v>
      </x:c>
      <x:c r="I759" s="84" t="str">
        <x:v>HOME-004</x:v>
      </x:c>
      <x:c r="J759" s="86" t="n">
        <x:v>1</x:v>
      </x:c>
      <x:c r="K759" s="87" t="n">
        <x:v>0.1</x:v>
      </x:c>
      <x:c r="L759" s="84" t="str">
        <x:v>Completed</x:v>
      </x:c>
      <x:c r="M759" s="84" t="str">
        <x:v>debit card</x:v>
      </x:c>
      <x:c r="N759" s="84" t="str">
        <x:v>Leo Martinez</x:v>
      </x:c>
      <x:c r="O759" s="85" t="n">
        <x:v>45564</x:v>
      </x:c>
      <x:c r="P759" s="84" t="str">
        <x:v>POS_2024_09</x:v>
      </x:c>
      <x:c r="Q759" s="84" t="str">
        <x:v>Coffee Maker</x:v>
      </x:c>
      <x:c r="R759" s="84" t="str">
        <x:v>Home &amp; Kitchen </x:v>
      </x:c>
    </x:row>
    <x:row r="760">
      <x:c r="A760" s="84" t="str">
        <x:v>ORD-2024-00106</x:v>
      </x:c>
      <x:c r="B760" s="85" t="n">
        <x:v>45565</x:v>
      </x:c>
      <x:c r="C760" s="84" t="str">
        <x:v>CUST-0157</x:v>
      </x:c>
      <x:c r="D760" s="84" t="str">
        <x:v>isaac smith</x:v>
      </x:c>
      <x:c r="E760" s="84" t="str">
        <x:v>Corporate</x:v>
      </x:c>
      <x:c r="F760" s="84" t="str">
        <x:v>West</x:v>
      </x:c>
      <x:c r="G760" s="84" t="str">
        <x:v>Los Angeles</x:v>
      </x:c>
      <x:c r="H760" s="84" t="str">
        <x:v>Online</x:v>
      </x:c>
      <x:c r="I760" s="84" t="str">
        <x:v>FITN-005</x:v>
      </x:c>
      <x:c r="J760" s="86" t="n">
        <x:v>3</x:v>
      </x:c>
      <x:c r="K760" s="87" t="n">
        <x:v>0</x:v>
      </x:c>
      <x:c r="L760" s="84" t="str">
        <x:v>Completed</x:v>
      </x:c>
      <x:c r="M760" s="84" t="str">
        <x:v>PayPal</x:v>
      </x:c>
      <x:c r="N760" s="84" t="str">
        <x:v>Mia Chen</x:v>
      </x:c>
      <x:c r="O760" s="85" t="n">
        <x:v>45571</x:v>
      </x:c>
      <x:c r="P760" s="84" t="str">
        <x:v>WEB_2024_09</x:v>
      </x:c>
      <x:c r="Q760" s="84" t="str">
        <x:v> SPORTS WATER BOTTLE </x:v>
      </x:c>
      <x:c r="R760" s="84" t="str">
        <x:v>Fitness</x:v>
      </x:c>
    </x:row>
    <x:row r="761">
      <x:c r="A761" s="84" t="str">
        <x:v>ORD-2024-00704</x:v>
      </x:c>
      <x:c r="B761" s="85" t="n">
        <x:v>45565</x:v>
      </x:c>
      <x:c r="C761" s="84" t="str">
        <x:v>CUST-0573</x:v>
      </x:c>
      <x:c r="D761" s="84" t="str">
        <x:v>Priya Johnson</x:v>
      </x:c>
      <x:c r="E761" s="84" t="str">
        <x:v>corporate</x:v>
      </x:c>
      <x:c r="F761" s="84" t="str">
        <x:v>West </x:v>
      </x:c>
      <x:c r="G761" s="84" t="str">
        <x:v>Los Angeles</x:v>
      </x:c>
      <x:c r="H761" s="84" t="str">
        <x:v>marketplace</x:v>
      </x:c>
      <x:c r="I761" s="84" t="str">
        <x:v>FITN-004</x:v>
      </x:c>
      <x:c r="J761" s="86" t="n">
        <x:v>2</x:v>
      </x:c>
      <x:c r="K761" s="87" t="n">
        <x:v>0</x:v>
      </x:c>
      <x:c r="L761" s="84" t="str">
        <x:v>Completed</x:v>
      </x:c>
      <x:c r="M761" s="84" t="str">
        <x:v>Credit Card</x:v>
      </x:c>
      <x:c r="N761" s="84" t="str">
        <x:v>Leo Martinez </x:v>
      </x:c>
      <x:c r="O761" s="85" t="n">
        <x:v>45571</x:v>
      </x:c>
      <x:c r="P761" s="84" t="str">
        <x:v>MKT_2024_09</x:v>
      </x:c>
      <x:c r="Q761" s="84" t="str">
        <x:v>Fitness Tracker</x:v>
      </x:c>
      <x:c r="R761" s="84" t="str">
        <x:v>Fitness</x:v>
      </x:c>
    </x:row>
    <x:row r="762">
      <x:c r="A762" s="84" t="str">
        <x:v>ORD-2024-01080</x:v>
      </x:c>
      <x:c r="B762" s="85" t="n">
        <x:v>45565</x:v>
      </x:c>
      <x:c r="C762" s="84" t="str">
        <x:v>CUST-0227</x:v>
      </x:c>
      <x:c r="D762" s="84" t="str">
        <x:v>Maya Foster</x:v>
      </x:c>
      <x:c r="E762" s="84" t="str">
        <x:v>Consumer</x:v>
      </x:c>
      <x:c r="F762" s="84" t="str">
        <x:v>West</x:v>
      </x:c>
      <x:c r="G762" s="84" t="str">
        <x:v>Phoenix</x:v>
      </x:c>
      <x:c r="H762" s="84" t="str">
        <x:v>Retail Store</x:v>
      </x:c>
      <x:c r="I762" s="84" t="str">
        <x:v>CARE-002</x:v>
      </x:c>
      <x:c r="J762" s="86" t="n">
        <x:v>3</x:v>
      </x:c>
      <x:c r="K762" s="87" t="n">
        <x:v>0.1</x:v>
      </x:c>
      <x:c r="L762" s="84" t="str">
        <x:v>Completed</x:v>
      </x:c>
      <x:c r="M762" s="84" t="str">
        <x:v>Credit Card</x:v>
      </x:c>
      <x:c r="N762" s="84" t="str">
        <x:v>mia chen</x:v>
      </x:c>
      <x:c r="O762" s="85" t="n">
        <x:v>45565</x:v>
      </x:c>
      <x:c r="P762" s="84" t="str">
        <x:v>POS_2024_09</x:v>
      </x:c>
      <x:c r="Q762" s="84" t="str">
        <x:v>Rechargeable Trimmer</x:v>
      </x:c>
      <x:c r="R762" s="84" t="str">
        <x:v>Personal Care </x:v>
      </x:c>
    </x:row>
    <x:row r="763">
      <x:c r="A763" s="84" t="str">
        <x:v>ORD-2024-01304</x:v>
      </x:c>
      <x:c r="B763" s="85" t="n">
        <x:v>45565</x:v>
      </x:c>
      <x:c r="C763" s="84" t="str">
        <x:v>CUST-0411</x:v>
      </x:c>
      <x:c r="D763" s="84" t="str">
        <x:v>Daniel Young</x:v>
      </x:c>
      <x:c r="E763" s="84" t="str">
        <x:v>Corporate</x:v>
      </x:c>
      <x:c r="F763" s="84" t="str">
        <x:v>West</x:v>
      </x:c>
      <x:c r="G763" s="84" t="str">
        <x:v>Denver</x:v>
      </x:c>
      <x:c r="H763" s="84" t="str">
        <x:v>Retail Store</x:v>
      </x:c>
      <x:c r="I763" s="84" t="str">
        <x:v>ELEC-005</x:v>
      </x:c>
      <x:c r="J763" s="86" t="n">
        <x:v>5</x:v>
      </x:c>
      <x:c r="K763" s="87" t="n">
        <x:v>0.1</x:v>
      </x:c>
      <x:c r="L763" s="84" t="str">
        <x:v>Completed</x:v>
      </x:c>
      <x:c r="M763" s="84" t="str">
        <x:v>Credit Card</x:v>
      </x:c>
      <x:c r="N763" s="84" t="str">
        <x:v>Mia Chen</x:v>
      </x:c>
      <x:c r="O763" s="85" t="n">
        <x:v>45565</x:v>
      </x:c>
      <x:c r="P763" s="84" t="str">
        <x:v>POS_2024_09</x:v>
      </x:c>
      <x:c r="Q763" s="84" t="str">
        <x:v>HD Webcam</x:v>
      </x:c>
      <x:c r="R763" s="84" t="str">
        <x:v>Electronics </x:v>
      </x:c>
    </x:row>
    <x:row r="764">
      <x:c r="A764" s="84" t="str">
        <x:v>ORD-2024-00401</x:v>
      </x:c>
      <x:c r="B764" s="85" t="n">
        <x:v>45566</x:v>
      </x:c>
      <x:c r="C764" s="84" t="str">
        <x:v>CUST-0365</x:v>
      </x:c>
      <x:c r="D764" s="84" t="str">
        <x:v>Grace Johnson</x:v>
      </x:c>
      <x:c r="E764" s="84" t="str">
        <x:v>Consumer</x:v>
      </x:c>
      <x:c r="F764" s="84" t="str">
        <x:v>West</x:v>
      </x:c>
      <x:c r="G764" s="84" t="str">
        <x:v> LOS ANGELES </x:v>
      </x:c>
      <x:c r="H764" s="84" t="str">
        <x:v>Marketplace</x:v>
      </x:c>
      <x:c r="I764" s="84" t="str">
        <x:v>ACCS-001</x:v>
      </x:c>
      <x:c r="J764" s="86" t="n">
        <x:v>1</x:v>
      </x:c>
      <x:c r="K764" s="87" t="n">
        <x:v>0</x:v>
      </x:c>
      <x:c r="L764" s="84" t="str">
        <x:v>Completed</x:v>
      </x:c>
      <x:c r="M764" s="84" t="str">
        <x:v>PayPal</x:v>
      </x:c>
      <x:c r="N764" s="84" t="str">
        <x:v>Leo Martinez</x:v>
      </x:c>
      <x:c r="O764" s="85" t="n">
        <x:v>45571</x:v>
      </x:c>
      <x:c r="P764" s="84" t="str">
        <x:v>MKT_2024_10</x:v>
      </x:c>
      <x:c r="Q764" s="84" t="str">
        <x:v>Canvas Tote Bag</x:v>
      </x:c>
      <x:c r="R764" s="84" t="str">
        <x:v>Accessories </x:v>
      </x:c>
    </x:row>
    <x:row r="765">
      <x:c r="A765" s="84" t="str">
        <x:v>ORD-2024-01413</x:v>
      </x:c>
      <x:c r="B765" s="85" t="n">
        <x:v>45566</x:v>
      </x:c>
      <x:c r="C765" s="84" t="str">
        <x:v>CUST-0558</x:v>
      </x:c>
      <x:c r="D765" s="84" t="str">
        <x:v>Elias Irwin</x:v>
      </x:c>
      <x:c r="E765" s="84" t="str">
        <x:v>Corporate</x:v>
      </x:c>
      <x:c r="F765" s="84" t="str">
        <x:v>Northeast</x:v>
      </x:c>
      <x:c r="G765" s="84" t="str">
        <x:v>Philadelphia</x:v>
      </x:c>
      <x:c r="H765" s="84" t="str">
        <x:v>Retail Store</x:v>
      </x:c>
      <x:c r="I765" s="84" t="str">
        <x:v>HOME-006</x:v>
      </x:c>
      <x:c r="J765" s="86" t="n">
        <x:v>4</x:v>
      </x:c>
      <x:c r="K765" s="87" t="n">
        <x:v>0.05</x:v>
      </x:c>
      <x:c r="L765" s="84" t="str">
        <x:v>Completed </x:v>
      </x:c>
      <x:c r="M765" s="84" t="str">
        <x:v>Mobile Wallet</x:v>
      </x:c>
      <x:c r="N765" s="84" t="str">
        <x:v>Sofia Bennett</x:v>
      </x:c>
      <x:c r="O765" s="85" t="n">
        <x:v>45566</x:v>
      </x:c>
      <x:c r="P765" s="84" t="str">
        <x:v>POS_2024_10</x:v>
      </x:c>
      <x:c r="Q765" s="84" t="str">
        <x:v>Food Storage Set</x:v>
      </x:c>
      <x:c r="R765" s="84" t="str">
        <x:v>Home &amp; Kitchen</x:v>
      </x:c>
    </x:row>
    <x:row r="766">
      <x:c r="A766" s="84" t="str">
        <x:v>ORD-2024-01663</x:v>
      </x:c>
      <x:c r="B766" s="85" t="n">
        <x:v>45566</x:v>
      </x:c>
      <x:c r="C766" s="84" t="str">
        <x:v>CUST-0470</x:v>
      </x:c>
      <x:c r="D766" s="84" t="str">
        <x:v> JASMINE LEWIS </x:v>
      </x:c>
      <x:c r="E766" s="84" t="str">
        <x:v>Corporate</x:v>
      </x:c>
      <x:c r="F766" s="84" t="str">
        <x:v> SOUTHEAST </x:v>
      </x:c>
      <x:c r="G766" s="84" t="str">
        <x:v>Miami</x:v>
      </x:c>
      <x:c r="H766" s="84" t="str">
        <x:v>Retail Store</x:v>
      </x:c>
      <x:c r="I766" s="84" t="str">
        <x:v>ELEC-002</x:v>
      </x:c>
      <x:c r="J766" s="86" t="n">
        <x:v>5</x:v>
      </x:c>
      <x:c r="K766" s="87" t="n">
        <x:v>0.1</x:v>
      </x:c>
      <x:c r="L766" s="84" t="str">
        <x:v>Completed</x:v>
      </x:c>
      <x:c r="M766" s="84" t="str">
        <x:v>Debit Card</x:v>
      </x:c>
      <x:c r="N766" s="84" t="str">
        <x:v>liam parker</x:v>
      </x:c>
      <x:c r="O766" s="85" t="n">
        <x:v>45566</x:v>
      </x:c>
      <x:c r="P766" s="84" t="str">
        <x:v>POS_2024_10</x:v>
      </x:c>
      <x:c r="Q766" s="84" t="str">
        <x:v>Smartwatch</x:v>
      </x:c>
      <x:c r="R766" s="84" t="str">
        <x:v>Electronics</x:v>
      </x:c>
    </x:row>
    <x:row r="767">
      <x:c r="A767" s="84" t="str">
        <x:v>ORD-2024-02321</x:v>
      </x:c>
      <x:c r="B767" s="85" t="n">
        <x:v>45566</x:v>
      </x:c>
      <x:c r="C767" s="84" t="str">
        <x:v>CUST-0092</x:v>
      </x:c>
      <x:c r="D767" s="84" t="str">
        <x:v>Jasmine Smith</x:v>
      </x:c>
      <x:c r="E767" s="84" t="str">
        <x:v>corporate</x:v>
      </x:c>
      <x:c r="F767" s="84" t="str">
        <x:v>Midwest </x:v>
      </x:c>
      <x:c r="G767" s="84" t="str">
        <x:v>Detroit</x:v>
      </x:c>
      <x:c r="H767" s="84" t="str">
        <x:v>online</x:v>
      </x:c>
      <x:c r="I767" s="84" t="str">
        <x:v>ELEC-003</x:v>
      </x:c>
      <x:c r="J767" s="86" t="n">
        <x:v>4</x:v>
      </x:c>
      <x:c r="K767" s="87" t="n">
        <x:v>0</x:v>
      </x:c>
      <x:c r="L767" s="84" t="str">
        <x:v>Completed</x:v>
      </x:c>
      <x:c r="M767" s="84" t="str">
        <x:v>Mobile Wallet</x:v>
      </x:c>
      <x:c r="N767" s="84" t="str">
        <x:v>Lucas Grant </x:v>
      </x:c>
      <x:c r="O767" s="85" t="n">
        <x:v>45564</x:v>
      </x:c>
      <x:c r="P767" s="84" t="str">
        <x:v>WEB_2024_10</x:v>
      </x:c>
      <x:c r="Q767" s="84" t="str">
        <x:v>Bluetooth Speaker</x:v>
      </x:c>
      <x:c r="R767" s="84" t="str">
        <x:v>Electronics</x:v>
      </x:c>
    </x:row>
    <x:row r="768">
      <x:c r="A768" s="84" t="str">
        <x:v>ORD-2024-00034</x:v>
      </x:c>
      <x:c r="B768" s="85" t="n">
        <x:v>45568</x:v>
      </x:c>
      <x:c r="C768" s="84" t="str">
        <x:v>CUST-0635</x:v>
      </x:c>
      <x:c r="D768" s="84" t="str">
        <x:v>Owen Patel</x:v>
      </x:c>
      <x:c r="E768" s="84" t="str">
        <x:v> CONSUMER </x:v>
      </x:c>
      <x:c r="F768" s="84" t="str">
        <x:v>Northeast</x:v>
      </x:c>
      <x:c r="G768" s="84" t="str">
        <x:v>Philadelphia</x:v>
      </x:c>
      <x:c r="H768" s="84" t="str">
        <x:v>Online</x:v>
      </x:c>
      <x:c r="I768" s="84" t="str">
        <x:v>ELEC-006</x:v>
      </x:c>
      <x:c r="J768" s="86" t="n">
        <x:v>1</x:v>
      </x:c>
      <x:c r="K768" s="87" t="n">
        <x:v>0</x:v>
      </x:c>
      <x:c r="L768" s="84" t="str">
        <x:v>Completed </x:v>
      </x:c>
      <x:c r="M768" s="84" t="str">
        <x:v>Mobile Wallet</x:v>
      </x:c>
      <x:c r="N768" s="84" t="str">
        <x:v>Maya Brooks</x:v>
      </x:c>
      <x:c r="O768" s="85" t="n">
        <x:v>45571</x:v>
      </x:c>
      <x:c r="P768" s="84" t="str">
        <x:v>WEB_2024_10</x:v>
      </x:c>
      <x:c r="Q768" s="84" t="str">
        <x:v>Portable SSD</x:v>
      </x:c>
      <x:c r="R768" s="84" t="str">
        <x:v>Electronics</x:v>
      </x:c>
    </x:row>
    <x:row r="769">
      <x:c r="A769" s="84" t="str">
        <x:v>ORD-2024-00913</x:v>
      </x:c>
      <x:c r="B769" s="85" t="n">
        <x:v>45568</x:v>
      </x:c>
      <x:c r="C769" s="84" t="str">
        <x:v>CUST-0439</x:v>
      </x:c>
      <x:c r="D769" s="84" t="str">
        <x:v>Aiden Irwin</x:v>
      </x:c>
      <x:c r="E769" s="84" t="str">
        <x:v>consumer</x:v>
      </x:c>
      <x:c r="F769" s="84" t="str">
        <x:v>West</x:v>
      </x:c>
      <x:c r="G769" s="84" t="str">
        <x:v>Los Angeles</x:v>
      </x:c>
      <x:c r="H769" s="84" t="str">
        <x:v>retail store</x:v>
      </x:c>
      <x:c r="I769" s="84" t="str">
        <x:v>ELEC-003</x:v>
      </x:c>
      <x:c r="J769" s="86" t="n">
        <x:v>1</x:v>
      </x:c>
      <x:c r="K769" s="87" t="n">
        <x:v>0.1</x:v>
      </x:c>
      <x:c r="L769" s="84" t="str">
        <x:v>Completed</x:v>
      </x:c>
      <x:c r="M769" s="84" t="str">
        <x:v>Cash</x:v>
      </x:c>
      <x:c r="N769" s="84" t="str">
        <x:v>Leo Martinez</x:v>
      </x:c>
      <x:c r="O769" s="85" t="n">
        <x:v>45568</x:v>
      </x:c>
      <x:c r="P769" s="84" t="str">
        <x:v>POS_2024_10</x:v>
      </x:c>
      <x:c r="Q769" s="84" t="str">
        <x:v>Bluetooth Speaker</x:v>
      </x:c>
      <x:c r="R769" s="84" t="str">
        <x:v>Electronics</x:v>
      </x:c>
    </x:row>
    <x:row r="770">
      <x:c r="A770" s="84" t="str">
        <x:v>ORD-2024-02302</x:v>
      </x:c>
      <x:c r="B770" s="85" t="n">
        <x:v>45568</x:v>
      </x:c>
      <x:c r="C770" s="84" t="str">
        <x:v>CUST-0256</x:v>
      </x:c>
      <x:c r="D770" s="84" t="str">
        <x:v>Elena Foster</x:v>
      </x:c>
      <x:c r="E770" s="84" t="str">
        <x:v>Consumer</x:v>
      </x:c>
      <x:c r="F770" s="84" t="str">
        <x:v>Midwest</x:v>
      </x:c>
      <x:c r="G770" s="84" t="str">
        <x:v>Detroit</x:v>
      </x:c>
      <x:c r="H770" s="84" t="str">
        <x:v>Retail Store</x:v>
      </x:c>
      <x:c r="I770" s="84" t="str">
        <x:v>FITN-001</x:v>
      </x:c>
      <x:c r="J770" s="86" t="n">
        <x:v>1</x:v>
      </x:c>
      <x:c r="K770" s="87" t="n">
        <x:v>0.05</x:v>
      </x:c>
      <x:c r="L770" s="84" t="str">
        <x:v>Completed </x:v>
      </x:c>
      <x:c r="M770" s="84" t="str">
        <x:v>Credit Card</x:v>
      </x:c>
      <x:c r="N770" s="84" t="str">
        <x:v>Emma Hayes</x:v>
      </x:c>
      <x:c r="O770" s="85" t="n">
        <x:v>45569</x:v>
      </x:c>
      <x:c r="P770" s="84" t="str">
        <x:v>POS_2024_10</x:v>
      </x:c>
      <x:c r="Q770" s="84" t="str">
        <x:v>Yoga Mat</x:v>
      </x:c>
      <x:c r="R770" s="84" t="str">
        <x:v>fitness</x:v>
      </x:c>
    </x:row>
    <x:row r="771">
      <x:c r="A771" s="84" t="str">
        <x:v>ORD-2024-00699</x:v>
      </x:c>
      <x:c r="B771" s="85" t="n">
        <x:v>45569</x:v>
      </x:c>
      <x:c r="C771" s="84" t="str">
        <x:v>CUST-0113</x:v>
      </x:c>
      <x:c r="D771" s="84" t="str">
        <x:v>Amelia Patel</x:v>
      </x:c>
      <x:c r="E771" s="84" t="str">
        <x:v>Consumer</x:v>
      </x:c>
      <x:c r="F771" s="84" t="str">
        <x:v>Southeast</x:v>
      </x:c>
      <x:c r="G771" s="84" t="str">
        <x:v>Atlanta</x:v>
      </x:c>
      <x:c r="H771" s="84" t="str">
        <x:v>Marketplace</x:v>
      </x:c>
      <x:c r="I771" s="84" t="str">
        <x:v>OFFC-002</x:v>
      </x:c>
      <x:c r="J771" s="86" t="n">
        <x:v>1</x:v>
      </x:c>
      <x:c r="K771" s="87" t="n">
        <x:v>0.15</x:v>
      </x:c>
      <x:c r="L771" s="84" t="str">
        <x:v>Completed </x:v>
      </x:c>
      <x:c r="M771" s="84" t="str">
        <x:v>PayPal</x:v>
      </x:c>
      <x:c r="N771" s="84" t="str">
        <x:v>Noah Reed</x:v>
      </x:c>
      <x:c r="O771" s="85" t="n">
        <x:v>45576</x:v>
      </x:c>
      <x:c r="P771" s="84" t="str">
        <x:v>MKT_2024_10</x:v>
      </x:c>
      <x:c r="Q771" s="84" t="str">
        <x:v>Standing Desk</x:v>
      </x:c>
      <x:c r="R771" s="84" t="str">
        <x:v>Office</x:v>
      </x:c>
    </x:row>
    <x:row r="772">
      <x:c r="A772" s="84" t="str">
        <x:v>ORD-2024-00844</x:v>
      </x:c>
      <x:c r="B772" s="85" t="n">
        <x:v>45569</x:v>
      </x:c>
      <x:c r="C772" s="84" t="str">
        <x:v>CUST-0574</x:v>
      </x:c>
      <x:c r="D772" s="84" t="str">
        <x:v>Grace Quinn</x:v>
      </x:c>
      <x:c r="E772" s="84" t="str">
        <x:v>Corporate</x:v>
      </x:c>
      <x:c r="F772" s="84" t="str">
        <x:v>northeast</x:v>
      </x:c>
      <x:c r="G772" s="84" t="str">
        <x:v>New York</x:v>
      </x:c>
      <x:c r="H772" s="84" t="str">
        <x:v>Online</x:v>
      </x:c>
      <x:c r="I772" s="84" t="str">
        <x:v>FITN-003</x:v>
      </x:c>
      <x:c r="J772" s="86" t="n">
        <x:v>8</x:v>
      </x:c>
      <x:c r="K772" s="87" t="n">
        <x:v>0.1</x:v>
      </x:c>
      <x:c r="L772" s="84" t="str">
        <x:v>Completed</x:v>
      </x:c>
      <x:c r="M772" s="84" t="str">
        <x:v> MOBILE WALLET </x:v>
      </x:c>
      <x:c r="N772" s="84" t="str">
        <x:v>Ethan Cole </x:v>
      </x:c>
      <x:c r="O772" s="85" t="n">
        <x:v>45573</x:v>
      </x:c>
      <x:c r="P772" s="84" t="str">
        <x:v>WEB_2024_10</x:v>
      </x:c>
      <x:c r="Q772" s="84" t="str">
        <x:v>Resistance Band Set</x:v>
      </x:c>
      <x:c r="R772" s="84" t="str">
        <x:v>Fitness</x:v>
      </x:c>
    </x:row>
    <x:row r="773">
      <x:c r="A773" s="84" t="str">
        <x:v>ORD-2024-01108</x:v>
      </x:c>
      <x:c r="B773" s="85" t="n">
        <x:v>45569</x:v>
      </x:c>
      <x:c r="C773" s="84" t="str">
        <x:v>CUST-0331</x:v>
      </x:c>
      <x:c r="D773" s="84" t="str">
        <x:v>Elias Young</x:v>
      </x:c>
      <x:c r="E773" s="84" t="str">
        <x:v>Consumer</x:v>
      </x:c>
      <x:c r="F773" s="84" t="str">
        <x:v>west</x:v>
      </x:c>
      <x:c r="G773" s="84" t="str">
        <x:v>Seattle</x:v>
      </x:c>
      <x:c r="H773" s="84" t="str">
        <x:v>Online</x:v>
      </x:c>
      <x:c r="I773" s="84" t="str">
        <x:v>OFFC-005</x:v>
      </x:c>
      <x:c r="J773" s="86" t="n">
        <x:v>3</x:v>
      </x:c>
      <x:c r="K773" s="87" t="n">
        <x:v>0</x:v>
      </x:c>
      <x:c r="L773" s="84" t="str">
        <x:v>Completed</x:v>
      </x:c>
      <x:c r="M773" s="84" t="str">
        <x:v>Mobile Wallet</x:v>
      </x:c>
      <x:c r="N773" s="84" t="str">
        <x:v> LEO MARTINEZ </x:v>
      </x:c>
      <x:c r="O773" s="85" t="n">
        <x:v>45572</x:v>
      </x:c>
      <x:c r="P773" s="84" t="str">
        <x:v>WEB_2024_10</x:v>
      </x:c>
      <x:c r="Q773" s="84" t="str">
        <x:v>Wireless Keyboard</x:v>
      </x:c>
      <x:c r="R773" s="84" t="str">
        <x:v>Office </x:v>
      </x:c>
    </x:row>
    <x:row r="774">
      <x:c r="A774" s="84" t="str">
        <x:v>ORD-2024-01427</x:v>
      </x:c>
      <x:c r="B774" s="85" t="n">
        <x:v>45569</x:v>
      </x:c>
      <x:c r="C774" s="84" t="str">
        <x:v>CUST-0359</x:v>
      </x:c>
      <x:c r="D774" s="84" t="str">
        <x:v>Daniel Hall</x:v>
      </x:c>
      <x:c r="E774" s="84" t="str">
        <x:v>Small Business</x:v>
      </x:c>
      <x:c r="F774" s="84" t="str">
        <x:v>west</x:v>
      </x:c>
      <x:c r="G774" s="84" t="str">
        <x:v>Seattle</x:v>
      </x:c>
      <x:c r="H774" s="84" t="str">
        <x:v>Online</x:v>
      </x:c>
      <x:c r="I774" s="84" t="str">
        <x:v>OFFC-001</x:v>
      </x:c>
      <x:c r="J774" s="86" t="n">
        <x:v>1</x:v>
      </x:c>
      <x:c r="K774" s="87" t="n">
        <x:v>0</x:v>
      </x:c>
      <x:c r="L774" s="84" t="str">
        <x:v>Completed </x:v>
      </x:c>
      <x:c r="M774" s="84" t="str">
        <x:v>Debit Card</x:v>
      </x:c>
      <x:c r="N774" s="84" t="str">
        <x:v>Leo Martinez</x:v>
      </x:c>
      <x:c r="O774" s="85" t="n">
        <x:v>45574</x:v>
      </x:c>
      <x:c r="P774" s="84" t="str">
        <x:v>WEB_2024_10</x:v>
      </x:c>
      <x:c r="Q774" s="84" t="str">
        <x:v>Ergonomic Chair</x:v>
      </x:c>
      <x:c r="R774" s="84" t="str">
        <x:v>Office</x:v>
      </x:c>
    </x:row>
    <x:row r="775">
      <x:c r="A775" s="84" t="str">
        <x:v>ORD-2024-01739</x:v>
      </x:c>
      <x:c r="B775" s="85" t="n">
        <x:v>45569</x:v>
      </x:c>
      <x:c r="C775" s="84" t="str">
        <x:v>CUST-0028</x:v>
      </x:c>
      <x:c r="D775" s="84" t="str">
        <x:v>Theo Roberts</x:v>
      </x:c>
      <x:c r="E775" s="84" t="str">
        <x:v>Consumer</x:v>
      </x:c>
      <x:c r="F775" s="84" t="str">
        <x:v>Northeast</x:v>
      </x:c>
      <x:c r="G775" s="84" t="str">
        <x:v>Newark</x:v>
      </x:c>
      <x:c r="H775" s="84" t="str">
        <x:v>Marketplace </x:v>
      </x:c>
      <x:c r="I775" s="84" t="str">
        <x:v>ELEC-002</x:v>
      </x:c>
      <x:c r="J775" s="86" t="n">
        <x:v>1</x:v>
      </x:c>
      <x:c r="K775" s="87" t="n">
        <x:v>0.15</x:v>
      </x:c>
      <x:c r="L775" s="84" t="str">
        <x:v> COMPLETED </x:v>
      </x:c>
      <x:c r="M775" s="84" t="str">
        <x:v>Mobile Wallet</x:v>
      </x:c>
      <x:c r="N775" s="84" t="str">
        <x:v>Ethan Cole</x:v>
      </x:c>
      <x:c r="O775" s="85" t="n">
        <x:v>45576</x:v>
      </x:c>
      <x:c r="P775" s="84" t="str">
        <x:v>MKT_2024_10</x:v>
      </x:c>
      <x:c r="Q775" s="84" t="str">
        <x:v>Smartwatch</x:v>
      </x:c>
      <x:c r="R775" s="84" t="str">
        <x:v>Electronics</x:v>
      </x:c>
    </x:row>
    <x:row r="776">
      <x:c r="A776" s="84" t="str">
        <x:v>ORD-2024-00282</x:v>
      </x:c>
      <x:c r="B776" s="85" t="n">
        <x:v>45570</x:v>
      </x:c>
      <x:c r="C776" s="84" t="str">
        <x:v>CUST-0128</x:v>
      </x:c>
      <x:c r="D776" s="84" t="str">
        <x:v>zara patel</x:v>
      </x:c>
      <x:c r="E776" s="84" t="str">
        <x:v>Consumer</x:v>
      </x:c>
      <x:c r="F776" s="84" t="str">
        <x:v>Midwest</x:v>
      </x:c>
      <x:c r="G776" s="84" t="str">
        <x:v> DETROIT </x:v>
      </x:c>
      <x:c r="H776" s="84" t="str">
        <x:v>Retail Store</x:v>
      </x:c>
      <x:c r="I776" s="84" t="str">
        <x:v>ACCS-001</x:v>
      </x:c>
      <x:c r="J776" s="86" t="n">
        <x:v>4</x:v>
      </x:c>
      <x:c r="K776" s="87" t="n">
        <x:v>0.15</x:v>
      </x:c>
      <x:c r="L776" s="84" t="str">
        <x:v>Completed</x:v>
      </x:c>
      <x:c r="M776" s="84" t="str">
        <x:v>Credit Card</x:v>
      </x:c>
      <x:c r="N776" s="84" t="str">
        <x:v>Lucas Grant</x:v>
      </x:c>
      <x:c r="O776" s="85" t="n">
        <x:v>45570</x:v>
      </x:c>
      <x:c r="P776" s="84" t="str">
        <x:v>POS_2024_10</x:v>
      </x:c>
      <x:c r="Q776" s="84" t="str">
        <x:v>Canvas Tote Bag</x:v>
      </x:c>
      <x:c r="R776" s="84" t="str">
        <x:v>Accessories </x:v>
      </x:c>
    </x:row>
    <x:row r="777">
      <x:c r="A777" s="84" t="str">
        <x:v>ORD-2024-00668</x:v>
      </x:c>
      <x:c r="B777" s="85" t="n">
        <x:v>45570</x:v>
      </x:c>
      <x:c r="C777" s="84" t="str">
        <x:v>CUST-0325</x:v>
      </x:c>
      <x:c r="D777" s="84" t="str">
        <x:v>Caleb Baker</x:v>
      </x:c>
      <x:c r="E777" s="84" t="str">
        <x:v>Small Business</x:v>
      </x:c>
      <x:c r="F777" s="84" t="str">
        <x:v>west</x:v>
      </x:c>
      <x:c r="G777" s="84" t="str">
        <x:v>Phoenix</x:v>
      </x:c>
      <x:c r="H777" s="84" t="str">
        <x:v>Marketplace </x:v>
      </x:c>
      <x:c r="I777" s="84" t="str">
        <x:v>HOME-002</x:v>
      </x:c>
      <x:c r="J777" s="86" t="n">
        <x:v>1</x:v>
      </x:c>
      <x:c r="K777" s="87" t="n">
        <x:v>0.1</x:v>
      </x:c>
      <x:c r="L777" s="84" t="str">
        <x:v> COMPLETED </x:v>
      </x:c>
      <x:c r="M777" s="84" t="str">
        <x:v>Debit Card</x:v>
      </x:c>
      <x:c r="N777" s="84" t="str">
        <x:v>Leo Martinez</x:v>
      </x:c>
      <x:c r="O777" s="85" t="n">
        <x:v>45578</x:v>
      </x:c>
      <x:c r="P777" s="84" t="str">
        <x:v>MKT_2024_10</x:v>
      </x:c>
      <x:c r="Q777" s="84" t="str">
        <x:v>Electric Kettle</x:v>
      </x:c>
      <x:c r="R777" s="84" t="str">
        <x:v>Home &amp; Kitchen</x:v>
      </x:c>
    </x:row>
    <x:row r="778">
      <x:c r="A778" s="84" t="str">
        <x:v>ORD-2024-00886</x:v>
      </x:c>
      <x:c r="B778" s="85" t="n">
        <x:v>45570</x:v>
      </x:c>
      <x:c r="C778" s="84" t="str">
        <x:v>CUST-0482</x:v>
      </x:c>
      <x:c r="D778" s="84" t="str">
        <x:v>Nathan Young</x:v>
      </x:c>
      <x:c r="E778" s="84" t="str">
        <x:v>Small Business</x:v>
      </x:c>
      <x:c r="F778" s="84" t="str">
        <x:v>Midwest </x:v>
      </x:c>
      <x:c r="G778" s="84" t="str">
        <x:v>Chicago</x:v>
      </x:c>
      <x:c r="H778" s="84" t="str">
        <x:v>Retail Store</x:v>
      </x:c>
      <x:c r="I778" s="84" t="str">
        <x:v>OFFC-005</x:v>
      </x:c>
      <x:c r="J778" s="86" t="n">
        <x:v>1</x:v>
      </x:c>
      <x:c r="K778" s="87" t="n">
        <x:v>0.05</x:v>
      </x:c>
      <x:c r="L778" s="84" t="str">
        <x:v>Returned</x:v>
      </x:c>
      <x:c r="M778" s="84" t="str">
        <x:v>Debit Card</x:v>
      </x:c>
      <x:c r="N778" s="84" t="str">
        <x:v>Zoe Turner </x:v>
      </x:c>
      <x:c r="O778" s="85" t="n">
        <x:v>45570</x:v>
      </x:c>
      <x:c r="P778" s="84" t="str">
        <x:v>POS_2024_10</x:v>
      </x:c>
      <x:c r="Q778" s="84" t="str">
        <x:v>Wireless Keyboard</x:v>
      </x:c>
      <x:c r="R778" s="84" t="str">
        <x:v>Office</x:v>
      </x:c>
    </x:row>
    <x:row r="779">
      <x:c r="A779" s="84" t="str">
        <x:v>ORD-2024-01069</x:v>
      </x:c>
      <x:c r="B779" s="85" t="n">
        <x:v>45570</x:v>
      </x:c>
      <x:c r="C779" s="84" t="str">
        <x:v>CUST-0265</x:v>
      </x:c>
      <x:c r="D779" s="84" t="str">
        <x:v>Sara Adams </x:v>
      </x:c>
      <x:c r="E779" s="84" t="str">
        <x:v>Consumer</x:v>
      </x:c>
      <x:c r="F779" s="84" t="str">
        <x:v>Southeast</x:v>
      </x:c>
      <x:c r="G779" s="84" t="str">
        <x:v>Nashville</x:v>
      </x:c>
      <x:c r="H779" s="84" t="str">
        <x:v>Retail Store</x:v>
      </x:c>
      <x:c r="I779" s="84" t="str">
        <x:v>ELEC-005</x:v>
      </x:c>
      <x:c r="J779" s="86" t="n">
        <x:v>1</x:v>
      </x:c>
      <x:c r="K779" s="87" t="n">
        <x:v>0.15</x:v>
      </x:c>
      <x:c r="L779" s="84" t="str">
        <x:v>Completed</x:v>
      </x:c>
      <x:c r="M779" s="84" t="str">
        <x:v>Credit Card </x:v>
      </x:c>
      <x:c r="N779" s="84" t="str">
        <x:v>liam parker</x:v>
      </x:c>
      <x:c r="O779" s="85" t="n">
        <x:v>45570</x:v>
      </x:c>
      <x:c r="P779" s="84" t="str">
        <x:v>POS_2024_10</x:v>
      </x:c>
      <x:c r="Q779" s="84" t="str">
        <x:v>HD Webcam</x:v>
      </x:c>
      <x:c r="R779" s="84" t="str">
        <x:v> ELECTRONICS </x:v>
      </x:c>
    </x:row>
    <x:row r="780">
      <x:c r="A780" s="84" t="str">
        <x:v>ORD-2024-01448</x:v>
      </x:c>
      <x:c r="B780" s="85" t="n">
        <x:v>45570</x:v>
      </x:c>
      <x:c r="C780" s="84" t="str">
        <x:v>CUST-0244</x:v>
      </x:c>
      <x:c r="D780" s="84" t="str">
        <x:v>caleb nelson</x:v>
      </x:c>
      <x:c r="E780" s="84" t="str">
        <x:v>Small Business</x:v>
      </x:c>
      <x:c r="F780" s="84" t="str">
        <x:v>Midwest</x:v>
      </x:c>
      <x:c r="G780" s="84" t="str">
        <x:v>Detroit</x:v>
      </x:c>
      <x:c r="H780" s="84" t="str">
        <x:v>Online</x:v>
      </x:c>
      <x:c r="I780" s="84" t="str">
        <x:v>OFFC-006</x:v>
      </x:c>
      <x:c r="J780" s="86" t="n">
        <x:v>1</x:v>
      </x:c>
      <x:c r="K780" s="87" t="n">
        <x:v>0</x:v>
      </x:c>
      <x:c r="L780" s="84" t="str">
        <x:v>Completed </x:v>
      </x:c>
      <x:c r="M780" s="84" t="str">
        <x:v>Credit Card</x:v>
      </x:c>
      <x:c r="N780" s="84" t="str">
        <x:v> ZOE TURNER </x:v>
      </x:c>
      <x:c r="O780" s="85" t="n">
        <x:v>45572</x:v>
      </x:c>
      <x:c r="P780" s="84" t="str">
        <x:v>WEB_2024_10</x:v>
      </x:c>
      <x:c r="Q780" s="84" t="str">
        <x:v>Monitor Stand</x:v>
      </x:c>
      <x:c r="R780" s="84" t="str">
        <x:v>Office</x:v>
      </x:c>
    </x:row>
    <x:row r="781">
      <x:c r="A781" s="84" t="str">
        <x:v>ORD-2024-01542</x:v>
      </x:c>
      <x:c r="B781" s="85" t="n">
        <x:v>45570</x:v>
      </x:c>
      <x:c r="C781" s="84" t="str">
        <x:v>CUST-0588</x:v>
      </x:c>
      <x:c r="D781" s="84" t="str">
        <x:v>Nathan Johnson</x:v>
      </x:c>
      <x:c r="E781" s="84" t="str">
        <x:v>Consumer</x:v>
      </x:c>
      <x:c r="F781" s="84" t="str">
        <x:v>Midwest</x:v>
      </x:c>
      <x:c r="G781" s="84" t="str">
        <x:v>Detroit</x:v>
      </x:c>
      <x:c r="H781" s="84" t="str">
        <x:v>Online</x:v>
      </x:c>
      <x:c r="I781" s="84" t="str">
        <x:v>CARE-002</x:v>
      </x:c>
      <x:c r="J781" s="86" t="n">
        <x:v>1</x:v>
      </x:c>
      <x:c r="K781" s="87" t="n">
        <x:v>0</x:v>
      </x:c>
      <x:c r="L781" s="84" t="str">
        <x:v>Completed</x:v>
      </x:c>
      <x:c r="M781" s="84" t="str">
        <x:v>Credit Card</x:v>
      </x:c>
      <x:c r="N781" s="84" t="str">
        <x:v>zoe turner</x:v>
      </x:c>
      <x:c r="O781" s="85" t="n">
        <x:v>45573</x:v>
      </x:c>
      <x:c r="P781" s="84" t="str">
        <x:v>WEB_2024_10</x:v>
      </x:c>
      <x:c r="Q781" s="84" t="str">
        <x:v>Rechargeable Trimmer</x:v>
      </x:c>
      <x:c r="R781" s="84" t="str">
        <x:v>Personal Care </x:v>
      </x:c>
    </x:row>
    <x:row r="782">
      <x:c r="A782" s="84" t="str">
        <x:v>ORD-2024-01689</x:v>
      </x:c>
      <x:c r="B782" s="85" t="n">
        <x:v>45570</x:v>
      </x:c>
      <x:c r="C782" s="84" t="str">
        <x:v>CUST-0369</x:v>
      </x:c>
      <x:c r="D782" s="84" t="str">
        <x:v>Elena Johnson</x:v>
      </x:c>
      <x:c r="E782" s="84" t="str">
        <x:v>Consumer</x:v>
      </x:c>
      <x:c r="F782" s="84" t="str">
        <x:v>West</x:v>
      </x:c>
      <x:c r="G782" s="84" t="str">
        <x:v>Phoenix</x:v>
      </x:c>
      <x:c r="H782" s="84" t="str">
        <x:v> RETAIL STORE </x:v>
      </x:c>
      <x:c r="I782" s="84" t="str">
        <x:v>OFFC-001</x:v>
      </x:c>
      <x:c r="J782" s="86" t="n">
        <x:v>2</x:v>
      </x:c>
      <x:c r="K782" s="87" t="n">
        <x:v>0.1</x:v>
      </x:c>
      <x:c r="L782" s="84" t="str">
        <x:v>Completed</x:v>
      </x:c>
      <x:c r="M782" s="84" t="str">
        <x:v>Debit Card</x:v>
      </x:c>
      <x:c r="N782" s="84" t="str">
        <x:v>Leo Martinez</x:v>
      </x:c>
      <x:c r="O782" s="85" t="n">
        <x:v>45570</x:v>
      </x:c>
      <x:c r="P782" s="84" t="str">
        <x:v>POS_2024_10</x:v>
      </x:c>
      <x:c r="Q782" s="84" t="str">
        <x:v>Ergonomic Chair</x:v>
      </x:c>
      <x:c r="R782" s="84" t="str">
        <x:v>Office </x:v>
      </x:c>
    </x:row>
    <x:row r="783">
      <x:c r="A783" s="84" t="str">
        <x:v>ORD-2024-01996</x:v>
      </x:c>
      <x:c r="B783" s="85" t="n">
        <x:v>45571</x:v>
      </x:c>
      <x:c r="C783" s="84" t="str">
        <x:v>CUST-0256</x:v>
      </x:c>
      <x:c r="D783" s="84" t="str">
        <x:v>Elena Foster</x:v>
      </x:c>
      <x:c r="E783" s="84" t="str">
        <x:v>Consumer</x:v>
      </x:c>
      <x:c r="F783" s="84" t="str">
        <x:v>Midwest</x:v>
      </x:c>
      <x:c r="G783" s="84" t="str">
        <x:v>Detroit</x:v>
      </x:c>
      <x:c r="H783" s="84" t="str">
        <x:v>Online</x:v>
      </x:c>
      <x:c r="I783" s="84" t="str">
        <x:v>ELEC-002</x:v>
      </x:c>
      <x:c r="J783" s="86" t="n">
        <x:v>1</x:v>
      </x:c>
      <x:c r="K783" s="87" t="n">
        <x:v>0.05</x:v>
      </x:c>
      <x:c r="L783" s="84" t="str">
        <x:v>Completed</x:v>
      </x:c>
      <x:c r="M783" s="84" t="str">
        <x:v>Credit Card</x:v>
      </x:c>
      <x:c r="N783" s="84" t="str">
        <x:v>Emma Hayes</x:v>
      </x:c>
      <x:c r="O783" s="85" t="n">
        <x:v>45576</x:v>
      </x:c>
      <x:c r="P783" s="84" t="str">
        <x:v>WEB_2024_10</x:v>
      </x:c>
      <x:c r="Q783" s="84" t="str">
        <x:v>Smartwatch </x:v>
      </x:c>
      <x:c r="R783" s="84" t="str">
        <x:v>Electronics</x:v>
      </x:c>
    </x:row>
    <x:row r="784">
      <x:c r="A784" s="84" t="str">
        <x:v>ORD-2024-00348</x:v>
      </x:c>
      <x:c r="B784" s="85" t="n">
        <x:v>45572</x:v>
      </x:c>
      <x:c r="C784" s="84" t="str">
        <x:v>CUST-0281</x:v>
      </x:c>
      <x:c r="D784" s="84" t="str">
        <x:v>jonah foster</x:v>
      </x:c>
      <x:c r="E784" s="84" t="str">
        <x:v>Consumer</x:v>
      </x:c>
      <x:c r="F784" s="84" t="str">
        <x:v>Midwest</x:v>
      </x:c>
      <x:c r="G784" s="84" t="str">
        <x:v>Detroit</x:v>
      </x:c>
      <x:c r="H784" s="84" t="str">
        <x:v>Online</x:v>
      </x:c>
      <x:c r="I784" s="84" t="str">
        <x:v>OFFC-002</x:v>
      </x:c>
      <x:c r="J784" s="86" t="n">
        <x:v>1</x:v>
      </x:c>
      <x:c r="K784" s="87" t="n">
        <x:v>0.15</x:v>
      </x:c>
      <x:c r="L784" s="84" t="str">
        <x:v>Completed</x:v>
      </x:c>
      <x:c r="M784" s="84" t="str">
        <x:v>Debit Card </x:v>
      </x:c>
      <x:c r="N784" s="84" t="str">
        <x:v>Lucas Grant</x:v>
      </x:c>
      <x:c r="O784" s="85" t="n">
        <x:v>45576</x:v>
      </x:c>
      <x:c r="P784" s="84" t="str">
        <x:v>WEB_2024_10</x:v>
      </x:c>
      <x:c r="Q784" s="84" t="str">
        <x:v>Standing Desk</x:v>
      </x:c>
      <x:c r="R784" s="84" t="str">
        <x:v>Office</x:v>
      </x:c>
    </x:row>
    <x:row r="785">
      <x:c r="A785" s="84" t="str">
        <x:v>ORD-2024-00479</x:v>
      </x:c>
      <x:c r="B785" s="85" t="n">
        <x:v>45572</x:v>
      </x:c>
      <x:c r="C785" s="84" t="str">
        <x:v>CUST-0374</x:v>
      </x:c>
      <x:c r="D785" s="84" t="str">
        <x:v>Priya Lewis</x:v>
      </x:c>
      <x:c r="E785" s="84" t="str">
        <x:v>Corporate</x:v>
      </x:c>
      <x:c r="F785" s="84" t="str">
        <x:v>Southeast</x:v>
      </x:c>
      <x:c r="G785" s="84" t="str">
        <x:v>Miami</x:v>
      </x:c>
      <x:c r="H785" s="84" t="str">
        <x:v>Retail Store </x:v>
      </x:c>
      <x:c r="I785" s="84" t="str">
        <x:v>OFFC-002</x:v>
      </x:c>
      <x:c r="J785" s="86" t="n">
        <x:v>2</x:v>
      </x:c>
      <x:c r="K785" s="87" t="n">
        <x:v>0.15</x:v>
      </x:c>
      <x:c r="L785" s="84" t="str">
        <x:v>Completed</x:v>
      </x:c>
      <x:c r="M785" s="84" t="str">
        <x:v>Credit Card</x:v>
      </x:c>
      <x:c r="N785" s="84" t="str">
        <x:v> NOAH REED </x:v>
      </x:c>
      <x:c r="O785" s="85" t="n">
        <x:v>45572</x:v>
      </x:c>
      <x:c r="P785" s="84" t="str">
        <x:v>POS_2024_10</x:v>
      </x:c>
      <x:c r="Q785" s="84" t="str">
        <x:v>Standing Desk</x:v>
      </x:c>
      <x:c r="R785" s="84" t="str">
        <x:v>Office</x:v>
      </x:c>
    </x:row>
    <x:row r="786">
      <x:c r="A786" s="84" t="str">
        <x:v>ORD-2024-00390</x:v>
      </x:c>
      <x:c r="B786" s="85" t="n">
        <x:v>45573</x:v>
      </x:c>
      <x:c r="C786" s="84" t="str">
        <x:v>CUST-0424</x:v>
      </x:c>
      <x:c r="D786" s="84" t="str">
        <x:v>Layla Quinn </x:v>
      </x:c>
      <x:c r="E786" s="84" t="str">
        <x:v>Consumer</x:v>
      </x:c>
      <x:c r="F786" s="84" t="str">
        <x:v>Southeast</x:v>
      </x:c>
      <x:c r="G786" s="84" t="str">
        <x:v>Miami</x:v>
      </x:c>
      <x:c r="H786" s="84" t="str">
        <x:v>Retail Store</x:v>
      </x:c>
      <x:c r="I786" s="84" t="str">
        <x:v>ELEC-004</x:v>
      </x:c>
      <x:c r="J786" s="86" t="n">
        <x:v>2</x:v>
      </x:c>
      <x:c r="K786" s="87" t="n">
        <x:v>0.1</x:v>
      </x:c>
      <x:c r="L786" s="84" t="str">
        <x:v>Completed</x:v>
      </x:c>
      <x:c r="M786" s="84" t="str">
        <x:v>Cash </x:v>
      </x:c>
      <x:c r="N786" s="84" t="str">
        <x:v>Noah Reed</x:v>
      </x:c>
      <x:c r="O786" s="85" t="n">
        <x:v>45574</x:v>
      </x:c>
      <x:c r="P786" s="84" t="str">
        <x:v>POS_2024_10</x:v>
      </x:c>
      <x:c r="Q786" s="84" t="str">
        <x:v>Power Bank</x:v>
      </x:c>
      <x:c r="R786" s="84" t="str">
        <x:v>Electronics</x:v>
      </x:c>
    </x:row>
    <x:row r="787">
      <x:c r="A787" s="84" t="str">
        <x:v>ORD-2024-00435</x:v>
      </x:c>
      <x:c r="B787" s="85" t="n">
        <x:v>45573</x:v>
      </x:c>
      <x:c r="C787" s="84" t="str">
        <x:v>CUST-0561</x:v>
      </x:c>
      <x:c r="D787" s="84" t="str">
        <x:v>Marcus Johnson</x:v>
      </x:c>
      <x:c r="E787" s="84" t="str">
        <x:v>Consumer</x:v>
      </x:c>
      <x:c r="F787" s="84" t="str">
        <x:v>Southeast</x:v>
      </x:c>
      <x:c r="G787" s="84" t="str">
        <x:v> NASHVILLE </x:v>
      </x:c>
      <x:c r="H787" s="84" t="str">
        <x:v>Marketplace</x:v>
      </x:c>
      <x:c r="I787" s="84" t="str">
        <x:v>ELEC-003</x:v>
      </x:c>
      <x:c r="J787" s="86" t="n">
        <x:v>3</x:v>
      </x:c>
      <x:c r="K787" s="87" t="n">
        <x:v>0.1</x:v>
      </x:c>
      <x:c r="L787" s="84" t="str">
        <x:v>Returned</x:v>
      </x:c>
      <x:c r="M787" s="84" t="str">
        <x:v>Credit Card</x:v>
      </x:c>
      <x:c r="N787" s="84" t="str">
        <x:v>Ava Mitchell</x:v>
      </x:c>
      <x:c r="O787" s="85" t="n">
        <x:v>45580</x:v>
      </x:c>
      <x:c r="P787" s="84" t="str">
        <x:v>MKT_2024_10</x:v>
      </x:c>
      <x:c r="Q787" s="84" t="str">
        <x:v>Bluetooth Speaker </x:v>
      </x:c>
      <x:c r="R787" s="84" t="str">
        <x:v>Electronics</x:v>
      </x:c>
    </x:row>
    <x:row r="788">
      <x:c r="A788" s="84" t="str">
        <x:v>ORD-2024-00834</x:v>
      </x:c>
      <x:c r="B788" s="85" t="n">
        <x:v>45573</x:v>
      </x:c>
      <x:c r="C788" s="84" t="str">
        <x:v>CUST-0489</x:v>
      </x:c>
      <x:c r="D788" s="84" t="str">
        <x:v>William Quinn</x:v>
      </x:c>
      <x:c r="E788" s="84" t="str">
        <x:v>Consumer</x:v>
      </x:c>
      <x:c r="F788" s="84" t="str">
        <x:v>West</x:v>
      </x:c>
      <x:c r="G788" s="84" t="str">
        <x:v>Los Angeles</x:v>
      </x:c>
      <x:c r="H788" s="84" t="str">
        <x:v>Retail Store</x:v>
      </x:c>
      <x:c r="I788" s="84" t="str">
        <x:v>FITN-001</x:v>
      </x:c>
      <x:c r="J788" s="86" t="n">
        <x:v>3</x:v>
      </x:c>
      <x:c r="K788" s="87" t="n">
        <x:v>0.15</x:v>
      </x:c>
      <x:c r="L788" s="84" t="str">
        <x:v>Completed</x:v>
      </x:c>
      <x:c r="M788" s="84" t="str">
        <x:v>Mobile Wallet</x:v>
      </x:c>
      <x:c r="N788" s="84" t="str">
        <x:v>Nora Kim</x:v>
      </x:c>
      <x:c r="O788" s="85" t="n">
        <x:v>45573</x:v>
      </x:c>
      <x:c r="P788" s="84" t="str">
        <x:v>POS_2024_10</x:v>
      </x:c>
      <x:c r="Q788" s="84" t="str">
        <x:v>yoga mat</x:v>
      </x:c>
      <x:c r="R788" s="84" t="str">
        <x:v>Fitness</x:v>
      </x:c>
    </x:row>
    <x:row r="789">
      <x:c r="A789" s="84" t="str">
        <x:v>ORD-2024-01233</x:v>
      </x:c>
      <x:c r="B789" s="85" t="n">
        <x:v>45573</x:v>
      </x:c>
      <x:c r="C789" s="84" t="str">
        <x:v>CUST-0478</x:v>
      </x:c>
      <x:c r="D789" s="84" t="str">
        <x:v>Owen Smith</x:v>
      </x:c>
      <x:c r="E789" s="84" t="str">
        <x:v>Small Business</x:v>
      </x:c>
      <x:c r="F789" s="84" t="str">
        <x:v>Northeast</x:v>
      </x:c>
      <x:c r="G789" s="84" t="str">
        <x:v>New York</x:v>
      </x:c>
      <x:c r="H789" s="84" t="str">
        <x:v>Online</x:v>
      </x:c>
      <x:c r="I789" s="84" t="str">
        <x:v>FITN-001</x:v>
      </x:c>
      <x:c r="J789" s="86" t="n">
        <x:v>4</x:v>
      </x:c>
      <x:c r="K789" s="87" t="n">
        <x:v>0.05</x:v>
      </x:c>
      <x:c r="L789" s="84" t="str">
        <x:v>Completed</x:v>
      </x:c>
      <x:c r="M789" s="84" t="str">
        <x:v>Debit Card</x:v>
      </x:c>
      <x:c r="N789" s="84" t="str">
        <x:v>Maya Brooks</x:v>
      </x:c>
      <x:c r="O789" s="85" t="n">
        <x:v>45579</x:v>
      </x:c>
      <x:c r="P789" s="84" t="str">
        <x:v>WEB_2024_10</x:v>
      </x:c>
      <x:c r="Q789" s="84" t="str">
        <x:v>Yoga Mat </x:v>
      </x:c>
      <x:c r="R789" s="84" t="str">
        <x:v>Fitness</x:v>
      </x:c>
    </x:row>
    <x:row r="790">
      <x:c r="A790" s="84" t="str">
        <x:v>ORD-2024-00153</x:v>
      </x:c>
      <x:c r="B790" s="85" t="n">
        <x:v>45574</x:v>
      </x:c>
      <x:c r="C790" s="84" t="str">
        <x:v>CUST-0628</x:v>
      </x:c>
      <x:c r="D790" s="84" t="str">
        <x:v>Isaac Young</x:v>
      </x:c>
      <x:c r="E790" s="84" t="str">
        <x:v> SMALL BUSINESS </x:v>
      </x:c>
      <x:c r="F790" s="84" t="str">
        <x:v>West</x:v>
      </x:c>
      <x:c r="G790" s="84" t="str">
        <x:v>Denver</x:v>
      </x:c>
      <x:c r="H790" s="84" t="str">
        <x:v>Online</x:v>
      </x:c>
      <x:c r="I790" s="84" t="str">
        <x:v>CARE-006</x:v>
      </x:c>
      <x:c r="J790" s="86" t="n">
        <x:v>1</x:v>
      </x:c>
      <x:c r="K790" s="87" t="n">
        <x:v>0</x:v>
      </x:c>
      <x:c r="L790" s="84" t="str">
        <x:v>Completed </x:v>
      </x:c>
      <x:c r="M790" s="84" t="str">
        <x:v>debit card</x:v>
      </x:c>
      <x:c r="N790" s="84" t="str">
        <x:v>Nora Kim</x:v>
      </x:c>
      <x:c r="O790" s="85" t="n">
        <x:v>45578</x:v>
      </x:c>
      <x:c r="P790" s="84" t="str">
        <x:v>WEB_2024_10</x:v>
      </x:c>
      <x:c r="Q790" s="84" t="str">
        <x:v>Percussion Massage Gun</x:v>
      </x:c>
      <x:c r="R790" s="84" t="str">
        <x:v>Personal Care</x:v>
      </x:c>
    </x:row>
    <x:row r="791">
      <x:c r="A791" s="84" t="str">
        <x:v>ORD-2024-00278</x:v>
      </x:c>
      <x:c r="B791" s="85" t="n">
        <x:v>45574</x:v>
      </x:c>
      <x:c r="C791" s="84" t="str">
        <x:v>CUST-0209</x:v>
      </x:c>
      <x:c r="D791" s="84" t="str">
        <x:v>Sara Walker </x:v>
      </x:c>
      <x:c r="E791" s="84" t="str">
        <x:v>Consumer</x:v>
      </x:c>
      <x:c r="F791" s="84" t="str">
        <x:v>Midwest</x:v>
      </x:c>
      <x:c r="G791" s="84" t="str">
        <x:v>Chicago</x:v>
      </x:c>
      <x:c r="H791" s="84" t="str">
        <x:v> ONLINE </x:v>
      </x:c>
      <x:c r="I791" s="84" t="str">
        <x:v>FITN-002</x:v>
      </x:c>
      <x:c r="J791" s="86" t="n">
        <x:v>1</x:v>
      </x:c>
      <x:c r="K791" s="87" t="n">
        <x:v>0</x:v>
      </x:c>
      <x:c r="L791" s="84" t="str">
        <x:v>Completed</x:v>
      </x:c>
      <x:c r="M791" s="84" t="str">
        <x:v>Mobile Wallet </x:v>
      </x:c>
      <x:c r="N791" s="84" t="str">
        <x:v>Emma Hayes</x:v>
      </x:c>
      <x:c r="O791" s="85" t="n">
        <x:v>45577</x:v>
      </x:c>
      <x:c r="P791" s="84" t="str">
        <x:v>WEB_2024_10</x:v>
      </x:c>
      <x:c r="Q791" s="84" t="str">
        <x:v>Adjustable Dumbbell Set</x:v>
      </x:c>
      <x:c r="R791" s="84" t="str">
        <x:v>fitness</x:v>
      </x:c>
    </x:row>
    <x:row r="792">
      <x:c r="A792" s="84" t="str">
        <x:v>ORD-2024-00430</x:v>
      </x:c>
      <x:c r="B792" s="85" t="n">
        <x:v>45574</x:v>
      </x:c>
      <x:c r="C792" s="84" t="str">
        <x:v>CUST-0139</x:v>
      </x:c>
      <x:c r="D792" s="84" t="str">
        <x:v>William Evans</x:v>
      </x:c>
      <x:c r="E792" s="84" t="str">
        <x:v>Consumer</x:v>
      </x:c>
      <x:c r="F792" s="84" t="str">
        <x:v>West</x:v>
      </x:c>
      <x:c r="G792" s="84" t="str">
        <x:v>Seattle</x:v>
      </x:c>
      <x:c r="H792" s="84" t="str">
        <x:v>Online </x:v>
      </x:c>
      <x:c r="I792" s="84" t="str">
        <x:v>ELEC-004</x:v>
      </x:c>
      <x:c r="J792" s="86" t="n">
        <x:v>1</x:v>
      </x:c>
      <x:c r="K792" s="87" t="n">
        <x:v>0</x:v>
      </x:c>
      <x:c r="L792" s="84" t="str">
        <x:v> COMPLETED </x:v>
      </x:c>
      <x:c r="M792" s="84" t="str">
        <x:v>Mobile Wallet</x:v>
      </x:c>
      <x:c r="N792" s="84" t="str">
        <x:v>Nora Kim</x:v>
      </x:c>
      <x:c r="O792" s="85" t="n">
        <x:v>45576</x:v>
      </x:c>
      <x:c r="P792" s="84" t="str">
        <x:v>WEB_2024_10</x:v>
      </x:c>
      <x:c r="Q792" s="84" t="str">
        <x:v>Power Bank</x:v>
      </x:c>
      <x:c r="R792" s="84" t="str">
        <x:v>Electronics</x:v>
      </x:c>
    </x:row>
    <x:row r="793">
      <x:c r="A793" s="84" t="str">
        <x:v>ORD-2024-01665</x:v>
      </x:c>
      <x:c r="B793" s="85" t="n">
        <x:v>45574</x:v>
      </x:c>
      <x:c r="C793" s="84" t="str">
        <x:v>CUST-0073</x:v>
      </x:c>
      <x:c r="D793" s="84" t="str">
        <x:v>Jonah Smith</x:v>
      </x:c>
      <x:c r="E793" s="84" t="str">
        <x:v>Corporate</x:v>
      </x:c>
      <x:c r="F793" s="84" t="str">
        <x:v>Southeast</x:v>
      </x:c>
      <x:c r="G793" s="84" t="str">
        <x:v>miami</x:v>
      </x:c>
      <x:c r="H793" s="84" t="str">
        <x:v>Retail Store</x:v>
      </x:c>
      <x:c r="I793" s="84" t="str">
        <x:v>ELEC-001</x:v>
      </x:c>
      <x:c r="J793" s="86" t="n">
        <x:v>6</x:v>
      </x:c>
      <x:c r="K793" s="87" t="n">
        <x:v>0</x:v>
      </x:c>
      <x:c r="L793" s="84" t="str">
        <x:v>completed</x:v>
      </x:c>
      <x:c r="M793" s="84" t="str">
        <x:v>Mobile Wallet</x:v>
      </x:c>
      <x:c r="N793" s="84" t="str">
        <x:v>Noah Reed</x:v>
      </x:c>
      <x:c r="O793" s="85" t="n">
        <x:v>45574</x:v>
      </x:c>
      <x:c r="P793" s="84" t="str">
        <x:v>POS_2024_10</x:v>
      </x:c>
      <x:c r="Q793" s="84" t="str">
        <x:v>Wireless Earbuds</x:v>
      </x:c>
      <x:c r="R793" s="84" t="str">
        <x:v>Electronics</x:v>
      </x:c>
    </x:row>
    <x:row r="794">
      <x:c r="A794" s="84" t="str">
        <x:v>ORD-2024-00393</x:v>
      </x:c>
      <x:c r="B794" s="85" t="n">
        <x:v>45575</x:v>
      </x:c>
      <x:c r="C794" s="84" t="str">
        <x:v>CUST-0582</x:v>
      </x:c>
      <x:c r="D794" s="84" t="str">
        <x:v>Maya Lewis</x:v>
      </x:c>
      <x:c r="E794" s="84" t="str">
        <x:v>Consumer</x:v>
      </x:c>
      <x:c r="F794" s="84" t="str">
        <x:v>midwest</x:v>
      </x:c>
      <x:c r="G794" s="84" t="str">
        <x:v>Columbus</x:v>
      </x:c>
      <x:c r="H794" s="84" t="str">
        <x:v>Online</x:v>
      </x:c>
      <x:c r="I794" s="84" t="str">
        <x:v>HOME-003</x:v>
      </x:c>
      <x:c r="J794" s="86" t="n">
        <x:v>2</x:v>
      </x:c>
      <x:c r="K794" s="87" t="n">
        <x:v>0</x:v>
      </x:c>
      <x:c r="L794" s="84" t="str">
        <x:v>Completed</x:v>
      </x:c>
      <x:c r="M794" s="84" t="str">
        <x:v>Credit Card</x:v>
      </x:c>
      <x:c r="N794" s="84" t="str">
        <x:v>Lucas Grant</x:v>
      </x:c>
      <x:c r="O794" s="85" t="n">
        <x:v>45578</x:v>
      </x:c>
      <x:c r="P794" s="84" t="str">
        <x:v>WEB_2024_10</x:v>
      </x:c>
      <x:c r="Q794" s="84" t="str">
        <x:v>Countertop Blender </x:v>
      </x:c>
      <x:c r="R794" s="84" t="str">
        <x:v>Home &amp; Kitchen</x:v>
      </x:c>
    </x:row>
    <x:row r="795">
      <x:c r="A795" s="84" t="str">
        <x:v>ORD-2024-00819</x:v>
      </x:c>
      <x:c r="B795" s="85" t="n">
        <x:v>45575</x:v>
      </x:c>
      <x:c r="C795" s="84" t="str">
        <x:v>CUST-0244</x:v>
      </x:c>
      <x:c r="D795" s="84" t="str">
        <x:v>Caleb Nelson</x:v>
      </x:c>
      <x:c r="E795" s="84" t="str">
        <x:v>Small Business </x:v>
      </x:c>
      <x:c r="F795" s="84" t="str">
        <x:v>Midwest</x:v>
      </x:c>
      <x:c r="G795" s="84" t="str">
        <x:v>Detroit </x:v>
      </x:c>
      <x:c r="H795" s="84" t="str">
        <x:v>Marketplace</x:v>
      </x:c>
      <x:c r="I795" s="84" t="str">
        <x:v>OFFC-004</x:v>
      </x:c>
      <x:c r="J795" s="86" t="n">
        <x:v>2</x:v>
      </x:c>
      <x:c r="K795" s="87" t="n">
        <x:v>0.1</x:v>
      </x:c>
      <x:c r="L795" s="84" t="str">
        <x:v>Completed</x:v>
      </x:c>
      <x:c r="M795" s="84" t="str">
        <x:v>Debit Card</x:v>
      </x:c>
      <x:c r="N795" s="84" t="str">
        <x:v> ZOE TURNER </x:v>
      </x:c>
      <x:c r="O795" s="85" t="n">
        <x:v>45582</x:v>
      </x:c>
      <x:c r="P795" s="84" t="str">
        <x:v>MKT_2024_10</x:v>
      </x:c>
      <x:c r="Q795" s="84" t="str">
        <x:v>Premium Notebook Pack</x:v>
      </x:c>
      <x:c r="R795" s="84" t="str">
        <x:v>Office</x:v>
      </x:c>
    </x:row>
    <x:row r="796">
      <x:c r="A796" s="84" t="str">
        <x:v>ORD-2024-02155</x:v>
      </x:c>
      <x:c r="B796" s="85" t="n">
        <x:v>45575</x:v>
      </x:c>
      <x:c r="C796" s="84" t="str">
        <x:v>CUST-0332</x:v>
      </x:c>
      <x:c r="D796" s="84" t="str">
        <x:v>Grace Smith</x:v>
      </x:c>
      <x:c r="E796" s="84" t="str">
        <x:v>Small Business</x:v>
      </x:c>
      <x:c r="F796" s="84" t="str">
        <x:v>Midwest</x:v>
      </x:c>
      <x:c r="G796" s="84" t="str">
        <x:v>Chicago</x:v>
      </x:c>
      <x:c r="H796" s="84" t="str">
        <x:v>Retail Store</x:v>
      </x:c>
      <x:c r="I796" s="84" t="str">
        <x:v>CARE-001</x:v>
      </x:c>
      <x:c r="J796" s="86" t="n">
        <x:v>1</x:v>
      </x:c>
      <x:c r="K796" s="87" t="n">
        <x:v>0.1</x:v>
      </x:c>
      <x:c r="L796" s="84" t="str">
        <x:v>Completed </x:v>
      </x:c>
      <x:c r="M796" s="84" t="str">
        <x:v>cash</x:v>
      </x:c>
      <x:c r="N796" s="84" t="str">
        <x:v>Zoe Turner</x:v>
      </x:c>
      <x:c r="O796" s="85" t="n">
        <x:v>45575</x:v>
      </x:c>
      <x:c r="P796" s="84" t="str">
        <x:v>POS_2024_10</x:v>
      </x:c>
      <x:c r="Q796" s="84" t="str">
        <x:v>Ionic Hair Dryer</x:v>
      </x:c>
      <x:c r="R796" s="84" t="str">
        <x:v>Personal Care</x:v>
      </x:c>
    </x:row>
    <x:row r="797">
      <x:c r="A797" s="84" t="str">
        <x:v>ORD-2024-02232</x:v>
      </x:c>
      <x:c r="B797" s="85" t="n">
        <x:v>45575</x:v>
      </x:c>
      <x:c r="C797" s="84" t="str">
        <x:v>CUST-0170</x:v>
      </x:c>
      <x:c r="D797" s="84" t="str">
        <x:v>Victoria Garcia</x:v>
      </x:c>
      <x:c r="E797" s="84" t="str">
        <x:v>Small Business</x:v>
      </x:c>
      <x:c r="F797" s="84" t="str">
        <x:v>West</x:v>
      </x:c>
      <x:c r="G797" s="84" t="str">
        <x:v>Seattle</x:v>
      </x:c>
      <x:c r="H797" s="84" t="str">
        <x:v>Online</x:v>
      </x:c>
      <x:c r="I797" s="84" t="str">
        <x:v>FITN-005</x:v>
      </x:c>
      <x:c r="J797" s="86" t="n">
        <x:v>1</x:v>
      </x:c>
      <x:c r="K797" s="87" t="n">
        <x:v>0.1</x:v>
      </x:c>
      <x:c r="L797" s="84" t="str">
        <x:v> COMPLETED </x:v>
      </x:c>
      <x:c r="M797" s="84" t="str">
        <x:v>credit card</x:v>
      </x:c>
      <x:c r="N797" s="84" t="str">
        <x:v>Nora Kim</x:v>
      </x:c>
      <x:c r="O797" s="85" t="n">
        <x:v>45579</x:v>
      </x:c>
      <x:c r="P797" s="84" t="str">
        <x:v>WEB_2024_10</x:v>
      </x:c>
      <x:c r="Q797" s="84" t="str">
        <x:v>Sports Water Bottle</x:v>
      </x:c>
      <x:c r="R797" s="84" t="str">
        <x:v>Fitness</x:v>
      </x:c>
    </x:row>
    <x:row r="798">
      <x:c r="A798" s="84" t="str">
        <x:v>ORD-2024-01760</x:v>
      </x:c>
      <x:c r="B798" s="85" t="n">
        <x:v>45576</x:v>
      </x:c>
      <x:c r="C798" s="84" t="str">
        <x:v>CUST-0483</x:v>
      </x:c>
      <x:c r="D798" s="84" t="str">
        <x:v>Daniel Carter</x:v>
      </x:c>
      <x:c r="E798" s="84" t="str">
        <x:v>consumer</x:v>
      </x:c>
      <x:c r="F798" s="84" t="str">
        <x:v>West</x:v>
      </x:c>
      <x:c r="G798" s="84" t="str">
        <x:v>Denver</x:v>
      </x:c>
      <x:c r="H798" s="84" t="str">
        <x:v>retail store</x:v>
      </x:c>
      <x:c r="I798" s="84" t="str">
        <x:v>HOME-006</x:v>
      </x:c>
      <x:c r="J798" s="86" t="n">
        <x:v>1</x:v>
      </x:c>
      <x:c r="K798" s="87" t="n">
        <x:v>0.15</x:v>
      </x:c>
      <x:c r="L798" s="84" t="str">
        <x:v>Completed</x:v>
      </x:c>
      <x:c r="M798" s="84" t="str">
        <x:v>Cash</x:v>
      </x:c>
      <x:c r="N798" s="84" t="str">
        <x:v>Nora Kim</x:v>
      </x:c>
      <x:c r="O798" s="85" t="n">
        <x:v>45577</x:v>
      </x:c>
      <x:c r="P798" s="84" t="str">
        <x:v>POS_2024_10</x:v>
      </x:c>
      <x:c r="Q798" s="84" t="str">
        <x:v>Food Storage Set</x:v>
      </x:c>
      <x:c r="R798" s="84" t="str">
        <x:v>Home &amp; Kitchen</x:v>
      </x:c>
    </x:row>
    <x:row r="799">
      <x:c r="A799" s="84" t="str">
        <x:v>ORD-2024-01927</x:v>
      </x:c>
      <x:c r="B799" s="85" t="n">
        <x:v>45576</x:v>
      </x:c>
      <x:c r="C799" s="84" t="str">
        <x:v>CUST-0525</x:v>
      </x:c>
      <x:c r="D799" s="84" t="str">
        <x:v>Daniel Carter</x:v>
      </x:c>
      <x:c r="E799" s="84" t="str">
        <x:v>Small Business</x:v>
      </x:c>
      <x:c r="F799" s="84" t="str">
        <x:v>Midwest</x:v>
      </x:c>
      <x:c r="G799" s="84" t="str">
        <x:v>Columbus</x:v>
      </x:c>
      <x:c r="H799" s="84" t="str">
        <x:v> ONLINE </x:v>
      </x:c>
      <x:c r="I799" s="84" t="str">
        <x:v>ELEC-003</x:v>
      </x:c>
      <x:c r="J799" s="86" t="n">
        <x:v>1</x:v>
      </x:c>
      <x:c r="K799" s="87" t="n">
        <x:v>0.1</x:v>
      </x:c>
      <x:c r="L799" s="84" t="str">
        <x:v>Completed</x:v>
      </x:c>
      <x:c r="M799" s="84" t="str">
        <x:v>Credit Card</x:v>
      </x:c>
      <x:c r="N799" s="84" t="str">
        <x:v>emma hayes</x:v>
      </x:c>
      <x:c r="O799" s="85" t="n">
        <x:v>45581</x:v>
      </x:c>
      <x:c r="P799" s="84" t="str">
        <x:v>WEB_2024_10</x:v>
      </x:c>
      <x:c r="Q799" s="84" t="str">
        <x:v>Bluetooth Speaker</x:v>
      </x:c>
      <x:c r="R799" s="84" t="str">
        <x:v>Electronics </x:v>
      </x:c>
    </x:row>
    <x:row r="800">
      <x:c r="A800" s="84" t="str">
        <x:v>ORD-2024-02300</x:v>
      </x:c>
      <x:c r="B800" s="85" t="n">
        <x:v>45576</x:v>
      </x:c>
      <x:c r="C800" s="84" t="str">
        <x:v>CUST-0031</x:v>
      </x:c>
      <x:c r="D800" s="84" t="str">
        <x:v>Theo Smith</x:v>
      </x:c>
      <x:c r="E800" s="84" t="str">
        <x:v>Consumer</x:v>
      </x:c>
      <x:c r="F800" s="84" t="str">
        <x:v>Southeast </x:v>
      </x:c>
      <x:c r="G800" s="84" t="str">
        <x:v>Atlanta</x:v>
      </x:c>
      <x:c r="H800" s="84" t="str">
        <x:v>Retail Store</x:v>
      </x:c>
      <x:c r="I800" s="84" t="str">
        <x:v>OFFC-004</x:v>
      </x:c>
      <x:c r="J800" s="86" t="n">
        <x:v>1</x:v>
      </x:c>
      <x:c r="K800" s="87" t="n">
        <x:v>0.05</x:v>
      </x:c>
      <x:c r="L800" s="84" t="str">
        <x:v> COMPLETED </x:v>
      </x:c>
      <x:c r="M800" s="84" t="str">
        <x:v>Credit Card</x:v>
      </x:c>
      <x:c r="N800" s="84" t="str">
        <x:v>Ava Mitchell </x:v>
      </x:c>
      <x:c r="O800" s="85" t="n">
        <x:v>45576</x:v>
      </x:c>
      <x:c r="P800" s="84" t="str">
        <x:v>POS_2024_10</x:v>
      </x:c>
      <x:c r="Q800" s="84" t="str">
        <x:v>Premium Notebook Pack</x:v>
      </x:c>
      <x:c r="R800" s="84" t="str">
        <x:v>Office</x:v>
      </x:c>
    </x:row>
    <x:row r="801">
      <x:c r="A801" s="84" t="str">
        <x:v>ORD-2024-00176</x:v>
      </x:c>
      <x:c r="B801" s="85" t="n">
        <x:v>45577</x:v>
      </x:c>
      <x:c r="C801" s="84" t="str">
        <x:v>CUST-0265</x:v>
      </x:c>
      <x:c r="D801" s="84" t="str">
        <x:v>Sara Adams</x:v>
      </x:c>
      <x:c r="E801" s="84" t="str">
        <x:v>consumer</x:v>
      </x:c>
      <x:c r="F801" s="84" t="str">
        <x:v>Southeast</x:v>
      </x:c>
      <x:c r="G801" s="84" t="str">
        <x:v>Nashville</x:v>
      </x:c>
      <x:c r="H801" s="84" t="str">
        <x:v> RETAIL STORE </x:v>
      </x:c>
      <x:c r="I801" s="84" t="str">
        <x:v>OFFC-005</x:v>
      </x:c>
      <x:c r="J801" s="86" t="n">
        <x:v>1</x:v>
      </x:c>
      <x:c r="K801" s="87" t="n">
        <x:v>0</x:v>
      </x:c>
      <x:c r="L801" s="84" t="str">
        <x:v>Completed</x:v>
      </x:c>
      <x:c r="M801" s="84" t="str">
        <x:v>Debit Card</x:v>
      </x:c>
      <x:c r="N801" s="84" t="str">
        <x:v>Liam Parker</x:v>
      </x:c>
      <x:c r="O801" s="85" t="n">
        <x:v>45577</x:v>
      </x:c>
      <x:c r="P801" s="84" t="str">
        <x:v>POS_2024_10</x:v>
      </x:c>
      <x:c r="Q801" s="84" t="str">
        <x:v>Wireless Keyboard </x:v>
      </x:c>
      <x:c r="R801" s="84" t="str">
        <x:v>Office</x:v>
      </x:c>
    </x:row>
    <x:row r="802">
      <x:c r="A802" s="84" t="str">
        <x:v>ORD-2024-00230</x:v>
      </x:c>
      <x:c r="B802" s="85" t="n">
        <x:v>45577</x:v>
      </x:c>
      <x:c r="C802" s="84" t="str">
        <x:v>CUST-0621</x:v>
      </x:c>
      <x:c r="D802" s="84" t="str">
        <x:v>Sara Hall</x:v>
      </x:c>
      <x:c r="E802" s="84" t="str">
        <x:v>Consumer</x:v>
      </x:c>
      <x:c r="F802" s="84" t="str">
        <x:v>Northeast</x:v>
      </x:c>
      <x:c r="G802" s="84" t="str">
        <x:v>Philadelphia</x:v>
      </x:c>
      <x:c r="H802" s="84" t="str">
        <x:v>Marketplace</x:v>
      </x:c>
      <x:c r="I802" s="84" t="str">
        <x:v>HOME-006</x:v>
      </x:c>
      <x:c r="J802" s="86" t="n">
        <x:v>1</x:v>
      </x:c>
      <x:c r="K802" s="87" t="n">
        <x:v>0.1</x:v>
      </x:c>
      <x:c r="L802" s="84" t="str">
        <x:v>Returned </x:v>
      </x:c>
      <x:c r="M802" s="84" t="str">
        <x:v>mobile wallet</x:v>
      </x:c>
      <x:c r="N802" s="84" t="str">
        <x:v>Sofia Bennett</x:v>
      </x:c>
      <x:c r="O802" s="85" t="n">
        <x:v>45582</x:v>
      </x:c>
      <x:c r="P802" s="84" t="str">
        <x:v>MKT_2024_10</x:v>
      </x:c>
      <x:c r="Q802" s="84" t="str">
        <x:v>Food Storage Set</x:v>
      </x:c>
      <x:c r="R802" s="84" t="str">
        <x:v>Home &amp; Kitchen</x:v>
      </x:c>
    </x:row>
    <x:row r="803">
      <x:c r="A803" s="84" t="str">
        <x:v>ORD-2024-01324</x:v>
      </x:c>
      <x:c r="B803" s="85" t="n">
        <x:v>45577</x:v>
      </x:c>
      <x:c r="C803" s="84" t="str">
        <x:v>CUST-0544</x:v>
      </x:c>
      <x:c r="D803" s="84" t="str">
        <x:v>Victoria Garcia</x:v>
      </x:c>
      <x:c r="E803" s="84" t="str">
        <x:v>Consumer</x:v>
      </x:c>
      <x:c r="F803" s="84" t="str">
        <x:v>West</x:v>
      </x:c>
      <x:c r="G803" s="84" t="str">
        <x:v>seattle</x:v>
      </x:c>
      <x:c r="H803" s="84" t="str">
        <x:v>Retail Store</x:v>
      </x:c>
      <x:c r="I803" s="84" t="str">
        <x:v>ELEC-006</x:v>
      </x:c>
      <x:c r="J803" s="86" t="n">
        <x:v>1</x:v>
      </x:c>
      <x:c r="K803" s="87" t="n">
        <x:v>0.15</x:v>
      </x:c>
      <x:c r="L803" s="84" t="str">
        <x:v>completed</x:v>
      </x:c>
      <x:c r="M803" s="84" t="str">
        <x:v>Mobile Wallet</x:v>
      </x:c>
      <x:c r="N803" s="84" t="str">
        <x:v>Nora Kim</x:v>
      </x:c>
      <x:c r="O803" s="85" t="n">
        <x:v>45578</x:v>
      </x:c>
      <x:c r="P803" s="84" t="str">
        <x:v>POS_2024_10</x:v>
      </x:c>
      <x:c r="Q803" s="84" t="str">
        <x:v>Portable SSD </x:v>
      </x:c>
      <x:c r="R803" s="84" t="str">
        <x:v> ELECTRONICS </x:v>
      </x:c>
    </x:row>
    <x:row r="804">
      <x:c r="A804" s="84" t="str">
        <x:v>ORD-2024-01593</x:v>
      </x:c>
      <x:c r="B804" s="85" t="n">
        <x:v>45577</x:v>
      </x:c>
      <x:c r="C804" s="84" t="str">
        <x:v>CUST-0171</x:v>
      </x:c>
      <x:c r="D804" s="84" t="str">
        <x:v>Jonah Nelson</x:v>
      </x:c>
      <x:c r="E804" s="84" t="str">
        <x:v>Small Business</x:v>
      </x:c>
      <x:c r="F804" s="84" t="str">
        <x:v>Southeast </x:v>
      </x:c>
      <x:c r="G804" s="84" t="str">
        <x:v>Atlanta</x:v>
      </x:c>
      <x:c r="H804" s="84" t="str">
        <x:v>Retail Store</x:v>
      </x:c>
      <x:c r="I804" s="84" t="str">
        <x:v>OFFC-003</x:v>
      </x:c>
      <x:c r="J804" s="86" t="n">
        <x:v>1</x:v>
      </x:c>
      <x:c r="K804" s="87" t="n">
        <x:v>0</x:v>
      </x:c>
      <x:c r="L804" s="84" t="str">
        <x:v>Completed</x:v>
      </x:c>
      <x:c r="M804" s="84" t="str">
        <x:v>Cash</x:v>
      </x:c>
      <x:c r="N804" s="84" t="str">
        <x:v>Liam Parker </x:v>
      </x:c>
      <x:c r="O804" s="85" t="n">
        <x:v>45578</x:v>
      </x:c>
      <x:c r="P804" s="84" t="str">
        <x:v>POS_2024_10</x:v>
      </x:c>
      <x:c r="Q804" s="84" t="str">
        <x:v>led desk lamp</x:v>
      </x:c>
      <x:c r="R804" s="84" t="str">
        <x:v>Office</x:v>
      </x:c>
    </x:row>
    <x:row r="805">
      <x:c r="A805" s="84" t="str">
        <x:v>ORD-2024-02035</x:v>
      </x:c>
      <x:c r="B805" s="85" t="n">
        <x:v>45577</x:v>
      </x:c>
      <x:c r="C805" s="84" t="str">
        <x:v>CUST-0121</x:v>
      </x:c>
      <x:c r="D805" s="84" t="str">
        <x:v>Zara Patel </x:v>
      </x:c>
      <x:c r="E805" s="84" t="str">
        <x:v>corporate</x:v>
      </x:c>
      <x:c r="F805" s="84" t="str">
        <x:v>West</x:v>
      </x:c>
      <x:c r="G805" s="84" t="str">
        <x:v>Denver</x:v>
      </x:c>
      <x:c r="H805" s="84" t="str">
        <x:v>online</x:v>
      </x:c>
      <x:c r="I805" s="84" t="str">
        <x:v>ACCS-006</x:v>
      </x:c>
      <x:c r="J805" s="86" t="n">
        <x:v>3</x:v>
      </x:c>
      <x:c r="K805" s="87" t="n">
        <x:v>0</x:v>
      </x:c>
      <x:c r="L805" s="84" t="str">
        <x:v>Completed</x:v>
      </x:c>
      <x:c r="M805" s="84" t="str">
        <x:v>Debit Card </x:v>
      </x:c>
      <x:c r="N805" s="84" t="str">
        <x:v>Nora Kim</x:v>
      </x:c>
      <x:c r="O805" s="85" t="n">
        <x:v>45581</x:v>
      </x:c>
      <x:c r="P805" s="84" t="str">
        <x:v>WEB_2024_10</x:v>
      </x:c>
      <x:c r="Q805" s="84" t="str">
        <x:v>Insulated Lunch Bag</x:v>
      </x:c>
      <x:c r="R805" s="84" t="str">
        <x:v>Accessories</x:v>
      </x:c>
    </x:row>
    <x:row r="806">
      <x:c r="A806" s="84" t="str">
        <x:v>ORD-2024-00037</x:v>
      </x:c>
      <x:c r="B806" s="85" t="n">
        <x:v>45578</x:v>
      </x:c>
      <x:c r="C806" s="84" t="str">
        <x:v>CUST-0396</x:v>
      </x:c>
      <x:c r="D806" s="84" t="str">
        <x:v>Victoria Carter</x:v>
      </x:c>
      <x:c r="E806" s="84" t="str">
        <x:v>Consumer</x:v>
      </x:c>
      <x:c r="F806" s="84" t="str">
        <x:v>Southeast</x:v>
      </x:c>
      <x:c r="G806" s="84" t="str">
        <x:v>nashville</x:v>
      </x:c>
      <x:c r="H806" s="84" t="str">
        <x:v>Online</x:v>
      </x:c>
      <x:c r="I806" s="84" t="str">
        <x:v>FITN-005</x:v>
      </x:c>
      <x:c r="J806" s="86" t="n">
        <x:v>1</x:v>
      </x:c>
      <x:c r="K806" s="87" t="n">
        <x:v>0.15</x:v>
      </x:c>
      <x:c r="L806" s="84" t="str">
        <x:v>completed</x:v>
      </x:c>
      <x:c r="M806" s="84" t="str">
        <x:v>PayPal</x:v>
      </x:c>
      <x:c r="N806" s="84" t="str">
        <x:v> NOAH REED </x:v>
      </x:c>
      <x:c r="O806" s="85" t="n">
        <x:v>45582</x:v>
      </x:c>
      <x:c r="P806" s="84" t="str">
        <x:v>WEB_2024_10</x:v>
      </x:c>
      <x:c r="Q806" s="84" t="str">
        <x:v>Sports Water Bottle</x:v>
      </x:c>
      <x:c r="R806" s="84" t="str">
        <x:v>Fitness </x:v>
      </x:c>
    </x:row>
    <x:row r="807">
      <x:c r="A807" s="84" t="str">
        <x:v>ORD-2024-00118</x:v>
      </x:c>
      <x:c r="B807" s="85" t="n">
        <x:v>45578</x:v>
      </x:c>
      <x:c r="C807" s="84" t="str">
        <x:v>CUST-0056</x:v>
      </x:c>
      <x:c r="D807" s="84" t="str">
        <x:v>Priya Baker</x:v>
      </x:c>
      <x:c r="E807" s="84" t="str">
        <x:v>Consumer</x:v>
      </x:c>
      <x:c r="F807" s="84" t="str">
        <x:v>southeast</x:v>
      </x:c>
      <x:c r="G807" s="84" t="str">
        <x:v>Charlotte</x:v>
      </x:c>
      <x:c r="H807" s="84" t="str">
        <x:v>Marketplace</x:v>
      </x:c>
      <x:c r="I807" s="84" t="str">
        <x:v>FITN-006</x:v>
      </x:c>
      <x:c r="J807" s="86" t="n">
        <x:v>3</x:v>
      </x:c>
      <x:c r="K807" s="87" t="n">
        <x:v>0.05</x:v>
      </x:c>
      <x:c r="L807" s="84" t="str">
        <x:v>Completed </x:v>
      </x:c>
      <x:c r="M807" s="84" t="str">
        <x:v>Credit Card</x:v>
      </x:c>
      <x:c r="N807" s="84" t="str">
        <x:v>Noah Reed</x:v>
      </x:c>
      <x:c r="O807" s="85" t="n">
        <x:v>45584</x:v>
      </x:c>
      <x:c r="P807" s="84" t="str">
        <x:v>MKT_2024_10</x:v>
      </x:c>
      <x:c r="Q807" s="84" t="str">
        <x:v>Foam Roller</x:v>
      </x:c>
      <x:c r="R807" s="84" t="str">
        <x:v>Fitness</x:v>
      </x:c>
    </x:row>
    <x:row r="808">
      <x:c r="A808" s="84" t="str">
        <x:v>ORD-2024-00199</x:v>
      </x:c>
      <x:c r="B808" s="85" t="n">
        <x:v>45578</x:v>
      </x:c>
      <x:c r="C808" s="84" t="str">
        <x:v>CUST-0259</x:v>
      </x:c>
      <x:c r="D808" s="84" t="str">
        <x:v>Caleb Foster</x:v>
      </x:c>
      <x:c r="E808" s="84" t="str">
        <x:v>Consumer</x:v>
      </x:c>
      <x:c r="F808" s="84" t="str">
        <x:v>Northeast</x:v>
      </x:c>
      <x:c r="G808" s="84" t="str">
        <x:v>New York</x:v>
      </x:c>
      <x:c r="H808" s="84" t="str">
        <x:v>Online </x:v>
      </x:c>
      <x:c r="I808" s="84" t="str">
        <x:v>FITN-006</x:v>
      </x:c>
      <x:c r="J808" s="86" t="n">
        <x:v>1</x:v>
      </x:c>
      <x:c r="K808" s="87" t="n">
        <x:v>0.05</x:v>
      </x:c>
      <x:c r="L808" s="84" t="str">
        <x:v>Completed</x:v>
      </x:c>
      <x:c r="M808" s="84" t="str">
        <x:v>Mobile Wallet</x:v>
      </x:c>
      <x:c r="N808" s="84" t="str">
        <x:v>Sofia Bennett</x:v>
      </x:c>
      <x:c r="O808" s="85" t="n">
        <x:v>45582</x:v>
      </x:c>
      <x:c r="P808" s="84" t="str">
        <x:v>WEB_2024_10</x:v>
      </x:c>
      <x:c r="Q808" s="84" t="str">
        <x:v>Foam Roller</x:v>
      </x:c>
      <x:c r="R808" s="84" t="str">
        <x:v>Fitness</x:v>
      </x:c>
    </x:row>
    <x:row r="809">
      <x:c r="A809" s="84" t="str">
        <x:v>ORD-2024-00742</x:v>
      </x:c>
      <x:c r="B809" s="85" t="n">
        <x:v>45578</x:v>
      </x:c>
      <x:c r="C809" s="84" t="str">
        <x:v>CUST-0333</x:v>
      </x:c>
      <x:c r="D809" s="84" t="str">
        <x:v>Priya Khan</x:v>
      </x:c>
      <x:c r="E809" s="84" t="str">
        <x:v>Consumer </x:v>
      </x:c>
      <x:c r="F809" s="84" t="str">
        <x:v>Southeast</x:v>
      </x:c>
      <x:c r="G809" s="84" t="str">
        <x:v>Charlotte </x:v>
      </x:c>
      <x:c r="H809" s="84" t="str">
        <x:v>Online</x:v>
      </x:c>
      <x:c r="I809" s="84" t="str">
        <x:v>FITN-004</x:v>
      </x:c>
      <x:c r="J809" s="86" t="n">
        <x:v>1</x:v>
      </x:c>
      <x:c r="K809" s="87" t="n">
        <x:v>0.2</x:v>
      </x:c>
      <x:c r="L809" s="84" t="str">
        <x:v>Completed</x:v>
      </x:c>
      <x:c r="M809" s="84" t="str">
        <x:v> MOBILE WALLET </x:v>
      </x:c>
      <x:c r="N809" s="84" t="str">
        <x:v>Liam Parker</x:v>
      </x:c>
      <x:c r="O809" s="85" t="n">
        <x:v>45581</x:v>
      </x:c>
      <x:c r="P809" s="84" t="str">
        <x:v>WEB_2024_10</x:v>
      </x:c>
      <x:c r="Q809" s="84" t="str">
        <x:v>Fitness Tracker</x:v>
      </x:c>
      <x:c r="R809" s="84" t="str">
        <x:v>Fitness</x:v>
      </x:c>
    </x:row>
    <x:row r="810">
      <x:c r="A810" s="84" t="str">
        <x:v>ORD-2024-01923</x:v>
      </x:c>
      <x:c r="B810" s="85" t="n">
        <x:v>45578</x:v>
      </x:c>
      <x:c r="C810" s="84" t="str">
        <x:v>CUST-0352</x:v>
      </x:c>
      <x:c r="D810" s="84" t="str">
        <x:v>Theo Garcia </x:v>
      </x:c>
      <x:c r="E810" s="84" t="str">
        <x:v>Consumer</x:v>
      </x:c>
      <x:c r="F810" s="84" t="str">
        <x:v>West</x:v>
      </x:c>
      <x:c r="G810" s="84" t="str">
        <x:v>Seattle</x:v>
      </x:c>
      <x:c r="H810" s="84" t="str">
        <x:v>Online</x:v>
      </x:c>
      <x:c r="I810" s="84" t="str">
        <x:v>ACCS-003</x:v>
      </x:c>
      <x:c r="J810" s="86" t="n">
        <x:v>3</x:v>
      </x:c>
      <x:c r="K810" s="87" t="n">
        <x:v>0</x:v>
      </x:c>
      <x:c r="L810" s="84" t="str">
        <x:v>Completed</x:v>
      </x:c>
      <x:c r="M810" s="84" t="str">
        <x:v>Debit Card </x:v>
      </x:c>
      <x:c r="N810" s="84" t="str">
        <x:v>Nora Kim</x:v>
      </x:c>
      <x:c r="O810" s="85" t="n">
        <x:v>45582</x:v>
      </x:c>
      <x:c r="P810" s="84" t="str">
        <x:v>WEB_2024_10</x:v>
      </x:c>
      <x:c r="Q810" s="84" t="str">
        <x:v>polarized sunglasses</x:v>
      </x:c>
      <x:c r="R810" s="84" t="str">
        <x:v>Accessories</x:v>
      </x:c>
    </x:row>
    <x:row r="811">
      <x:c r="A811" s="84" t="str">
        <x:v>ORD-2024-01967</x:v>
      </x:c>
      <x:c r="B811" s="85" t="n">
        <x:v>45578</x:v>
      </x:c>
      <x:c r="C811" s="84" t="str">
        <x:v>CUST-0013</x:v>
      </x:c>
      <x:c r="D811" s="84" t="str">
        <x:v>Marcus Moore</x:v>
      </x:c>
      <x:c r="E811" s="84" t="str">
        <x:v>Consumer </x:v>
      </x:c>
      <x:c r="F811" s="84" t="str">
        <x:v>Midwest</x:v>
      </x:c>
      <x:c r="G811" s="84" t="str">
        <x:v>Columbus </x:v>
      </x:c>
      <x:c r="H811" s="84" t="str">
        <x:v>Retail Store</x:v>
      </x:c>
      <x:c r="I811" s="84" t="str">
        <x:v>HOME-005</x:v>
      </x:c>
      <x:c r="J811" s="86" t="n">
        <x:v>2</x:v>
      </x:c>
      <x:c r="K811" s="87" t="n">
        <x:v>0.1</x:v>
      </x:c>
      <x:c r="L811" s="84" t="str">
        <x:v>Completed</x:v>
      </x:c>
      <x:c r="M811" s="84" t="str">
        <x:v>Cash</x:v>
      </x:c>
      <x:c r="N811" s="84" t="str">
        <x:v>Lucas Grant</x:v>
      </x:c>
      <x:c r="O811" s="85" t="n">
        <x:v>45578</x:v>
      </x:c>
      <x:c r="P811" s="84" t="str">
        <x:v>POS_2024_10</x:v>
      </x:c>
      <x:c r="Q811" s="84" t="str">
        <x:v>cordless vacuum</x:v>
      </x:c>
      <x:c r="R811" s="84" t="str">
        <x:v>Home &amp; Kitchen</x:v>
      </x:c>
    </x:row>
    <x:row r="812">
      <x:c r="A812" s="84" t="str">
        <x:v>ORD-2024-00002</x:v>
      </x:c>
      <x:c r="B812" s="85" t="n">
        <x:v>45579</x:v>
      </x:c>
      <x:c r="C812" s="84" t="str">
        <x:v>CUST-0411</x:v>
      </x:c>
      <x:c r="D812" s="84" t="str">
        <x:v>Daniel Young</x:v>
      </x:c>
      <x:c r="E812" s="84" t="str">
        <x:v>Corporate</x:v>
      </x:c>
      <x:c r="F812" s="84" t="str">
        <x:v>West</x:v>
      </x:c>
      <x:c r="G812" s="84" t="str">
        <x:v>Denver</x:v>
      </x:c>
      <x:c r="H812" s="84" t="str">
        <x:v>Online</x:v>
      </x:c>
      <x:c r="I812" s="84" t="str">
        <x:v>HOME-002</x:v>
      </x:c>
      <x:c r="J812" s="86" t="n">
        <x:v>5</x:v>
      </x:c>
      <x:c r="K812" s="87" t="n">
        <x:v>0</x:v>
      </x:c>
      <x:c r="L812" s="84" t="str">
        <x:v>Completed</x:v>
      </x:c>
      <x:c r="M812" s="84" t="str">
        <x:v>Credit Card</x:v>
      </x:c>
      <x:c r="N812" s="84" t="str">
        <x:v>nora kim</x:v>
      </x:c>
      <x:c r="O812" s="85" t="n">
        <x:v>45584</x:v>
      </x:c>
      <x:c r="P812" s="84" t="str">
        <x:v>WEB_2024_10</x:v>
      </x:c>
      <x:c r="Q812" s="84" t="str">
        <x:v>Electric Kettle</x:v>
      </x:c>
      <x:c r="R812" s="84" t="str">
        <x:v>Home &amp; Kitchen </x:v>
      </x:c>
    </x:row>
    <x:row r="813">
      <x:c r="A813" s="84" t="str">
        <x:v>ORD-2024-01314</x:v>
      </x:c>
      <x:c r="B813" s="85" t="n">
        <x:v>45579</x:v>
      </x:c>
      <x:c r="C813" s="84" t="str">
        <x:v>CUST-0407</x:v>
      </x:c>
      <x:c r="D813" s="84" t="str">
        <x:v>William Taylor </x:v>
      </x:c>
      <x:c r="E813" s="84" t="str">
        <x:v>Corporate</x:v>
      </x:c>
      <x:c r="F813" s="84" t="str">
        <x:v>West</x:v>
      </x:c>
      <x:c r="G813" s="84" t="str">
        <x:v>Phoenix</x:v>
      </x:c>
      <x:c r="H813" s="84" t="str">
        <x:v>Marketplace</x:v>
      </x:c>
      <x:c r="I813" s="84" t="str">
        <x:v>ELEC-003</x:v>
      </x:c>
      <x:c r="J813" s="86" t="n">
        <x:v>6</x:v>
      </x:c>
      <x:c r="K813" s="87" t="n">
        <x:v>0.15</x:v>
      </x:c>
      <x:c r="L813" s="84" t="str">
        <x:v> COMPLETED </x:v>
      </x:c>
      <x:c r="M813" s="84" t="str">
        <x:v>Credit Card </x:v>
      </x:c>
      <x:c r="N813" s="84" t="str">
        <x:v>Mia Chen</x:v>
      </x:c>
      <x:c r="O813" s="85" t="n">
        <x:v>45582</x:v>
      </x:c>
      <x:c r="P813" s="84" t="str">
        <x:v>MKT_2024_10</x:v>
      </x:c>
      <x:c r="Q813" s="84" t="str">
        <x:v>Bluetooth Speaker</x:v>
      </x:c>
      <x:c r="R813" s="84" t="str">
        <x:v>Electronics</x:v>
      </x:c>
    </x:row>
    <x:row r="814">
      <x:c r="A814" s="84" t="str">
        <x:v>ORD-2024-01262</x:v>
      </x:c>
      <x:c r="B814" s="85" t="n">
        <x:v>45580</x:v>
      </x:c>
      <x:c r="C814" s="84" t="str">
        <x:v>CUST-0205</x:v>
      </x:c>
      <x:c r="D814" s="84" t="str">
        <x:v>Elena Young</x:v>
      </x:c>
      <x:c r="E814" s="84" t="str">
        <x:v>Corporate</x:v>
      </x:c>
      <x:c r="F814" s="84" t="str">
        <x:v>west</x:v>
      </x:c>
      <x:c r="G814" s="84" t="str">
        <x:v>Denver</x:v>
      </x:c>
      <x:c r="H814" s="84" t="str">
        <x:v>Retail Store</x:v>
      </x:c>
      <x:c r="I814" s="84" t="str">
        <x:v>HOME-002</x:v>
      </x:c>
      <x:c r="J814" s="86" t="n">
        <x:v>2</x:v>
      </x:c>
      <x:c r="K814" s="87" t="n">
        <x:v>0</x:v>
      </x:c>
      <x:c r="L814" s="84" t="str">
        <x:v>Completed</x:v>
      </x:c>
      <x:c r="M814" s="84" t="str">
        <x:v>Cash</x:v>
      </x:c>
      <x:c r="N814" s="84" t="str">
        <x:v>Mia Chen</x:v>
      </x:c>
      <x:c r="O814" s="85" t="n">
        <x:v>45580</x:v>
      </x:c>
      <x:c r="P814" s="84" t="str">
        <x:v>POS_2024_10</x:v>
      </x:c>
      <x:c r="Q814" s="84" t="str">
        <x:v> ELECTRIC KETTLE </x:v>
      </x:c>
      <x:c r="R814" s="84" t="str">
        <x:v>Home &amp; Kitchen </x:v>
      </x:c>
    </x:row>
    <x:row r="815">
      <x:c r="A815" s="84" t="str">
        <x:v>ORD-2024-00019</x:v>
      </x:c>
      <x:c r="B815" s="85" t="n">
        <x:v>45581</x:v>
      </x:c>
      <x:c r="C815" s="84" t="str">
        <x:v>CUST-0199</x:v>
      </x:c>
      <x:c r="D815" s="84" t="str">
        <x:v>Theo Adams </x:v>
      </x:c>
      <x:c r="E815" s="84" t="str">
        <x:v>Corporate</x:v>
      </x:c>
      <x:c r="F815" s="84" t="str">
        <x:v>northeast</x:v>
      </x:c>
      <x:c r="G815" s="84" t="str">
        <x:v>Philadelphia</x:v>
      </x:c>
      <x:c r="H815" s="84" t="str">
        <x:v>Marketplace</x:v>
      </x:c>
      <x:c r="I815" s="84" t="str">
        <x:v>FITN-006</x:v>
      </x:c>
      <x:c r="J815" s="86" t="n">
        <x:v>2</x:v>
      </x:c>
      <x:c r="K815" s="87" t="n">
        <x:v>0</x:v>
      </x:c>
      <x:c r="L815" s="84" t="str">
        <x:v>Completed</x:v>
      </x:c>
      <x:c r="M815" s="84" t="str">
        <x:v>Credit Card </x:v>
      </x:c>
      <x:c r="N815" s="84" t="str">
        <x:v>Sofia Bennett</x:v>
      </x:c>
      <x:c r="O815" s="85" t="n">
        <x:v>45587</x:v>
      </x:c>
      <x:c r="P815" s="84" t="str">
        <x:v>MKT_2024_10</x:v>
      </x:c>
      <x:c r="Q815" s="84" t="str">
        <x:v>Foam Roller</x:v>
      </x:c>
      <x:c r="R815" s="84" t="str">
        <x:v>Fitness</x:v>
      </x:c>
    </x:row>
    <x:row r="816">
      <x:c r="A816" s="84" t="str">
        <x:v>ORD-2024-00595</x:v>
      </x:c>
      <x:c r="B816" s="85" t="n">
        <x:v>45581</x:v>
      </x:c>
      <x:c r="C816" s="84" t="str">
        <x:v>CUST-0173</x:v>
      </x:c>
      <x:c r="D816" s="84" t="str">
        <x:v>Theo Evans</x:v>
      </x:c>
      <x:c r="E816" s="84" t="str">
        <x:v> CONSUMER </x:v>
      </x:c>
      <x:c r="F816" s="84" t="str">
        <x:v>Northeast</x:v>
      </x:c>
      <x:c r="G816" s="84" t="str">
        <x:v>Boston </x:v>
      </x:c>
      <x:c r="H816" s="84" t="str">
        <x:v>Retail Store</x:v>
      </x:c>
      <x:c r="I816" s="84" t="str">
        <x:v>HOME-004</x:v>
      </x:c>
      <x:c r="J816" s="86" t="n">
        <x:v>1</x:v>
      </x:c>
      <x:c r="K816" s="87" t="n">
        <x:v>0.15</x:v>
      </x:c>
      <x:c r="L816" s="84" t="str">
        <x:v>Completed</x:v>
      </x:c>
      <x:c r="M816" s="84" t="str">
        <x:v>Credit Card</x:v>
      </x:c>
      <x:c r="N816" s="84" t="str">
        <x:v>Maya Brooks</x:v>
      </x:c>
      <x:c r="O816" s="85" t="n">
        <x:v>45582</x:v>
      </x:c>
      <x:c r="P816" s="84" t="str">
        <x:v>POS_2024_10</x:v>
      </x:c>
      <x:c r="Q816" s="84" t="str">
        <x:v>Coffee Maker</x:v>
      </x:c>
      <x:c r="R816" s="84" t="str">
        <x:v>Home &amp; Kitchen</x:v>
      </x:c>
    </x:row>
    <x:row r="817">
      <x:c r="A817" s="84" t="str">
        <x:v>ORD-2024-00646</x:v>
      </x:c>
      <x:c r="B817" s="85" t="n">
        <x:v>45581</x:v>
      </x:c>
      <x:c r="C817" s="84" t="str">
        <x:v>CUST-0048</x:v>
      </x:c>
      <x:c r="D817" s="84" t="str">
        <x:v>Nathan Walker</x:v>
      </x:c>
      <x:c r="E817" s="84" t="str">
        <x:v> CONSUMER </x:v>
      </x:c>
      <x:c r="F817" s="84" t="str">
        <x:v>west</x:v>
      </x:c>
      <x:c r="G817" s="84" t="str">
        <x:v>Denver</x:v>
      </x:c>
      <x:c r="H817" s="84" t="str">
        <x:v>Retail Store</x:v>
      </x:c>
      <x:c r="I817" s="84" t="str">
        <x:v>HOME-004</x:v>
      </x:c>
      <x:c r="J817" s="86" t="n">
        <x:v>1</x:v>
      </x:c>
      <x:c r="K817" s="87" t="n">
        <x:v>0.1</x:v>
      </x:c>
      <x:c r="L817" s="84" t="str">
        <x:v>Completed</x:v>
      </x:c>
      <x:c r="M817" s="84" t="str">
        <x:v>Debit Card</x:v>
      </x:c>
      <x:c r="N817" s="84" t="str">
        <x:v>Leo Martinez</x:v>
      </x:c>
      <x:c r="O817" s="85" t="n">
        <x:v>45581</x:v>
      </x:c>
      <x:c r="P817" s="84" t="str">
        <x:v>POS_2024_10</x:v>
      </x:c>
      <x:c r="Q817" s="84" t="str">
        <x:v>Coffee Maker</x:v>
      </x:c>
      <x:c r="R817" s="84" t="str">
        <x:v>Home &amp; Kitchen </x:v>
      </x:c>
    </x:row>
    <x:row r="818">
      <x:c r="A818" s="84" t="str">
        <x:v>ORD-2024-01144</x:v>
      </x:c>
      <x:c r="B818" s="85" t="n">
        <x:v>45581</x:v>
      </x:c>
      <x:c r="C818" s="84" t="str">
        <x:v>CUST-0331</x:v>
      </x:c>
      <x:c r="D818" s="84" t="str">
        <x:v>Elias Young</x:v>
      </x:c>
      <x:c r="E818" s="84" t="str">
        <x:v>consumer</x:v>
      </x:c>
      <x:c r="F818" s="84" t="str">
        <x:v>West</x:v>
      </x:c>
      <x:c r="G818" s="84" t="str">
        <x:v>Seattle</x:v>
      </x:c>
      <x:c r="H818" s="84" t="str">
        <x:v>retail store</x:v>
      </x:c>
      <x:c r="I818" s="84" t="str">
        <x:v>ACCS-004</x:v>
      </x:c>
      <x:c r="J818" s="86" t="n">
        <x:v>2</x:v>
      </x:c>
      <x:c r="K818" s="87" t="n">
        <x:v>0</x:v>
      </x:c>
      <x:c r="L818" s="84" t="str">
        <x:v> COMPLETED </x:v>
      </x:c>
      <x:c r="M818" s="84" t="str">
        <x:v>Debit Card</x:v>
      </x:c>
      <x:c r="N818" s="84" t="str">
        <x:v>Leo Martinez</x:v>
      </x:c>
      <x:c r="O818" s="85" t="n">
        <x:v>45581</x:v>
      </x:c>
      <x:c r="P818" s="84" t="str">
        <x:v>POS_2024_10</x:v>
      </x:c>
      <x:c r="Q818" s="84" t="str">
        <x:v>Leather Wallet</x:v>
      </x:c>
      <x:c r="R818" s="84" t="str">
        <x:v>Accessories</x:v>
      </x:c>
    </x:row>
    <x:row r="819">
      <x:c r="A819" s="84" t="str">
        <x:v>ORD-2024-01521</x:v>
      </x:c>
      <x:c r="B819" s="85" t="n">
        <x:v>45581</x:v>
      </x:c>
      <x:c r="C819" s="84" t="str">
        <x:v>CUST-0444</x:v>
      </x:c>
      <x:c r="D819" s="84" t="str">
        <x:v>Amelia Walker</x:v>
      </x:c>
      <x:c r="E819" s="84" t="str">
        <x:v>Consumer</x:v>
      </x:c>
      <x:c r="F819" s="84" t="str">
        <x:v>Northeast</x:v>
      </x:c>
      <x:c r="G819" s="84" t="str">
        <x:v>Philadelphia</x:v>
      </x:c>
      <x:c r="H819" s="84" t="str">
        <x:v>Online</x:v>
      </x:c>
      <x:c r="I819" s="84" t="str">
        <x:v>FITN-002</x:v>
      </x:c>
      <x:c r="J819" s="86" t="n">
        <x:v>3</x:v>
      </x:c>
      <x:c r="K819" s="87" t="n">
        <x:v>0</x:v>
      </x:c>
      <x:c r="L819" s="84" t="str">
        <x:v>Completed</x:v>
      </x:c>
      <x:c r="M819" s="84" t="str">
        <x:v>PayPal</x:v>
      </x:c>
      <x:c r="N819" s="84" t="str">
        <x:v>Sofia Bennett</x:v>
      </x:c>
      <x:c r="O819" s="85" t="n">
        <x:v>45584</x:v>
      </x:c>
      <x:c r="P819" s="84" t="str">
        <x:v>WEB_2024_10</x:v>
      </x:c>
      <x:c r="Q819" s="84" t="str">
        <x:v>Adjustable Dumbbell Set</x:v>
      </x:c>
      <x:c r="R819" s="84" t="str">
        <x:v>fitness</x:v>
      </x:c>
    </x:row>
    <x:row r="820">
      <x:c r="A820" s="84" t="str">
        <x:v>ORD-2024-01690</x:v>
      </x:c>
      <x:c r="B820" s="85" t="n">
        <x:v>45581</x:v>
      </x:c>
      <x:c r="C820" s="84" t="str">
        <x:v>CUST-0224</x:v>
      </x:c>
      <x:c r="D820" s="84" t="str">
        <x:v>jonah nelson</x:v>
      </x:c>
      <x:c r="E820" s="84" t="str">
        <x:v>Consumer</x:v>
      </x:c>
      <x:c r="F820" s="84" t="str">
        <x:v>Southeast</x:v>
      </x:c>
      <x:c r="G820" s="84" t="str">
        <x:v>Miami</x:v>
      </x:c>
      <x:c r="H820" s="84" t="str">
        <x:v>Retail Store </x:v>
      </x:c>
      <x:c r="I820" s="84" t="str">
        <x:v>OFFC-003</x:v>
      </x:c>
      <x:c r="J820" s="86" t="n">
        <x:v>2</x:v>
      </x:c>
      <x:c r="K820" s="87" t="n">
        <x:v>0.1</x:v>
      </x:c>
      <x:c r="L820" s="84" t="str">
        <x:v>Completed</x:v>
      </x:c>
      <x:c r="M820" s="84" t="str">
        <x:v>Credit Card</x:v>
      </x:c>
      <x:c r="N820" s="84" t="str">
        <x:v>Liam Parker</x:v>
      </x:c>
      <x:c r="O820" s="85" t="n">
        <x:v>45581</x:v>
      </x:c>
      <x:c r="P820" s="84" t="str">
        <x:v>POS_2024_10</x:v>
      </x:c>
      <x:c r="Q820" s="84" t="str">
        <x:v>LED Desk Lamp</x:v>
      </x:c>
      <x:c r="R820" s="84" t="str">
        <x:v>Office</x:v>
      </x:c>
    </x:row>
    <x:row r="821">
      <x:c r="A821" s="84" t="str">
        <x:v>ORD-2024-00364</x:v>
      </x:c>
      <x:c r="B821" s="85" t="n">
        <x:v>45582</x:v>
      </x:c>
      <x:c r="C821" s="84" t="str">
        <x:v>CUST-0106</x:v>
      </x:c>
      <x:c r="D821" s="84" t="str">
        <x:v>Zara Johnson</x:v>
      </x:c>
      <x:c r="E821" s="84" t="str">
        <x:v>Consumer </x:v>
      </x:c>
      <x:c r="F821" s="84" t="str">
        <x:v>West</x:v>
      </x:c>
      <x:c r="G821" s="84" t="str">
        <x:v>Denver </x:v>
      </x:c>
      <x:c r="H821" s="84" t="str">
        <x:v>Online</x:v>
      </x:c>
      <x:c r="I821" s="84" t="str">
        <x:v>ACCS-006</x:v>
      </x:c>
      <x:c r="J821" s="86" t="n">
        <x:v>1</x:v>
      </x:c>
      <x:c r="K821" s="87" t="n">
        <x:v>0.05</x:v>
      </x:c>
      <x:c r="L821" s="84" t="str">
        <x:v>Completed</x:v>
      </x:c>
      <x:c r="M821" s="84" t="str">
        <x:v>Debit Card</x:v>
      </x:c>
      <x:c r="N821" s="84" t="str">
        <x:v>Leo Martinez</x:v>
      </x:c>
      <x:c r="O821" s="85" t="n">
        <x:v>45585</x:v>
      </x:c>
      <x:c r="P821" s="84" t="str">
        <x:v>WEB_2024_10</x:v>
      </x:c>
      <x:c r="Q821" s="84" t="str">
        <x:v>Insulated Lunch Bag</x:v>
      </x:c>
      <x:c r="R821" s="84" t="str">
        <x:v>Accessories</x:v>
      </x:c>
    </x:row>
    <x:row r="822">
      <x:c r="A822" s="84" t="str">
        <x:v>ORD-2024-00760</x:v>
      </x:c>
      <x:c r="B822" s="85" t="n">
        <x:v>45582</x:v>
      </x:c>
      <x:c r="C822" s="84" t="str">
        <x:v>CUST-0284</x:v>
      </x:c>
      <x:c r="D822" s="84" t="str">
        <x:v>Marcus Foster</x:v>
      </x:c>
      <x:c r="E822" s="84" t="str">
        <x:v>Consumer</x:v>
      </x:c>
      <x:c r="F822" s="84" t="str">
        <x:v>Midwest </x:v>
      </x:c>
      <x:c r="G822" s="84" t="str">
        <x:v>Detroit</x:v>
      </x:c>
      <x:c r="H822" s="84" t="str">
        <x:v>Online</x:v>
      </x:c>
      <x:c r="I822" s="84" t="str">
        <x:v>CARE-003</x:v>
      </x:c>
      <x:c r="J822" s="86" t="n">
        <x:v>2</x:v>
      </x:c>
      <x:c r="K822" s="87" t="n">
        <x:v>0.05</x:v>
      </x:c>
      <x:c r="L822" s="84" t="str">
        <x:v>Completed</x:v>
      </x:c>
      <x:c r="M822" s="84" t="str">
        <x:v>Debit Card</x:v>
      </x:c>
      <x:c r="N822" s="84" t="str">
        <x:v>Zoe Turner </x:v>
      </x:c>
      <x:c r="O822" s="85" t="n">
        <x:v>45585</x:v>
      </x:c>
      <x:c r="P822" s="84" t="str">
        <x:v>WEB_2024_10</x:v>
      </x:c>
      <x:c r="Q822" s="84" t="str">
        <x:v>Facial Cleanser</x:v>
      </x:c>
      <x:c r="R822" s="84" t="str">
        <x:v>Personal Care</x:v>
      </x:c>
    </x:row>
    <x:row r="823">
      <x:c r="A823" s="84" t="str">
        <x:v>ORD-2024-01067</x:v>
      </x:c>
      <x:c r="B823" s="85" t="n">
        <x:v>45582</x:v>
      </x:c>
      <x:c r="C823" s="84" t="str">
        <x:v>CUST-0017</x:v>
      </x:c>
      <x:c r="D823" s="84" t="str">
        <x:v>Victoria Evans</x:v>
      </x:c>
      <x:c r="E823" s="84" t="str">
        <x:v>corporate</x:v>
      </x:c>
      <x:c r="F823" s="84" t="str">
        <x:v>Northeast</x:v>
      </x:c>
      <x:c r="G823" s="84" t="str">
        <x:v>Newark</x:v>
      </x:c>
      <x:c r="H823" s="84" t="str">
        <x:v>online</x:v>
      </x:c>
      <x:c r="I823" s="84" t="str">
        <x:v>ELEC-001</x:v>
      </x:c>
      <x:c r="J823" s="86" t="n">
        <x:v>6</x:v>
      </x:c>
      <x:c r="K823" s="87" t="n">
        <x:v>0.05</x:v>
      </x:c>
      <x:c r="L823" s="84" t="str">
        <x:v>Completed</x:v>
      </x:c>
      <x:c r="M823" s="84" t="str">
        <x:v>Credit Card</x:v>
      </x:c>
      <x:c r="N823" s="84" t="str">
        <x:v>Sofia Bennett</x:v>
      </x:c>
      <x:c r="O823" s="85" t="n">
        <x:v>45586</x:v>
      </x:c>
      <x:c r="P823" s="84" t="str">
        <x:v>WEB_2024_10</x:v>
      </x:c>
      <x:c r="Q823" s="84" t="str">
        <x:v>Wireless Earbuds</x:v>
      </x:c>
      <x:c r="R823" s="84" t="str">
        <x:v>Electronics</x:v>
      </x:c>
    </x:row>
    <x:row r="824">
      <x:c r="A824" s="84" t="str">
        <x:v>ORD-2024-00664</x:v>
      </x:c>
      <x:c r="B824" s="85" t="n">
        <x:v>45583</x:v>
      </x:c>
      <x:c r="C824" s="84" t="str">
        <x:v>CUST-0347</x:v>
      </x:c>
      <x:c r="D824" s="84" t="str">
        <x:v>Owen Nelson</x:v>
      </x:c>
      <x:c r="E824" s="84" t="str">
        <x:v>Consumer</x:v>
      </x:c>
      <x:c r="F824" s="84" t="str">
        <x:v>Midwest</x:v>
      </x:c>
      <x:c r="G824" s="84" t="str">
        <x:v>minneapolis</x:v>
      </x:c>
      <x:c r="H824" s="84" t="str">
        <x:v>Retail Store</x:v>
      </x:c>
      <x:c r="I824" s="84" t="str">
        <x:v>FITN-001</x:v>
      </x:c>
      <x:c r="J824" s="86" t="n">
        <x:v>2</x:v>
      </x:c>
      <x:c r="K824" s="87" t="n">
        <x:v>0.1</x:v>
      </x:c>
      <x:c r="L824" s="84" t="str">
        <x:v>completed</x:v>
      </x:c>
      <x:c r="M824" s="84" t="str">
        <x:v>Cash</x:v>
      </x:c>
      <x:c r="N824" s="84" t="str">
        <x:v>Zoe Turner</x:v>
      </x:c>
      <x:c r="O824" s="85" t="n">
        <x:v>45584</x:v>
      </x:c>
      <x:c r="P824" s="84" t="str">
        <x:v>POS_2024_10</x:v>
      </x:c>
      <x:c r="Q824" s="84" t="str">
        <x:v>Yoga Mat</x:v>
      </x:c>
      <x:c r="R824" s="84" t="str">
        <x:v>Fitness</x:v>
      </x:c>
    </x:row>
    <x:row r="825">
      <x:c r="A825" s="84" t="str">
        <x:v>ORD-2024-00930</x:v>
      </x:c>
      <x:c r="B825" s="85" t="n">
        <x:v>45583</x:v>
      </x:c>
      <x:c r="C825" s="84" t="str">
        <x:v>CUST-0240</x:v>
      </x:c>
      <x:c r="D825" s="84" t="str">
        <x:v>Elena Garcia</x:v>
      </x:c>
      <x:c r="E825" s="84" t="str">
        <x:v>Consumer</x:v>
      </x:c>
      <x:c r="F825" s="84" t="str">
        <x:v>Midwest</x:v>
      </x:c>
      <x:c r="G825" s="84" t="str">
        <x:v>Detroit</x:v>
      </x:c>
      <x:c r="H825" s="84" t="str">
        <x:v>Online</x:v>
      </x:c>
      <x:c r="I825" s="84" t="str">
        <x:v>HOME-002</x:v>
      </x:c>
      <x:c r="J825" s="86" t="n">
        <x:v>3</x:v>
      </x:c>
      <x:c r="K825" s="87" t="n">
        <x:v>0</x:v>
      </x:c>
      <x:c r="L825" s="84" t="str">
        <x:v>Completed </x:v>
      </x:c>
      <x:c r="M825" s="84" t="str">
        <x:v>Debit Card</x:v>
      </x:c>
      <x:c r="N825" s="84" t="str">
        <x:v>Emma Hayes</x:v>
      </x:c>
      <x:c r="O825" s="85" t="n">
        <x:v>45588</x:v>
      </x:c>
      <x:c r="P825" s="84" t="str">
        <x:v>WEB_2024_10</x:v>
      </x:c>
      <x:c r="Q825" s="84" t="str">
        <x:v>Electric Kettle</x:v>
      </x:c>
      <x:c r="R825" s="84" t="str">
        <x:v>Home &amp; Kitchen</x:v>
      </x:c>
    </x:row>
    <x:row r="826">
      <x:c r="A826" s="84" t="str">
        <x:v>ORD-2024-01260</x:v>
      </x:c>
      <x:c r="B826" s="85" t="n">
        <x:v>45583</x:v>
      </x:c>
      <x:c r="C826" s="84" t="str">
        <x:v>CUST-0413</x:v>
      </x:c>
      <x:c r="D826" s="84" t="str">
        <x:v>Grace Taylor</x:v>
      </x:c>
      <x:c r="E826" s="84" t="str">
        <x:v>Corporate </x:v>
      </x:c>
      <x:c r="F826" s="84" t="str">
        <x:v>Northeast</x:v>
      </x:c>
      <x:c r="G826" s="84" t="str">
        <x:v>Philadelphia </x:v>
      </x:c>
      <x:c r="H826" s="84" t="str">
        <x:v>Marketplace</x:v>
      </x:c>
      <x:c r="I826" s="84" t="str">
        <x:v>OFFC-001</x:v>
      </x:c>
      <x:c r="J826" s="86" t="n">
        <x:v>3</x:v>
      </x:c>
      <x:c r="K826" s="87" t="n">
        <x:v>0</x:v>
      </x:c>
      <x:c r="L826" s="84" t="str">
        <x:v>Completed</x:v>
      </x:c>
      <x:c r="M826" s="84" t="str">
        <x:v>Debit Card</x:v>
      </x:c>
      <x:c r="N826" s="84" t="str">
        <x:v>Maya Brooks</x:v>
      </x:c>
      <x:c r="O826" s="85" t="n">
        <x:v>45589</x:v>
      </x:c>
      <x:c r="P826" s="84" t="str">
        <x:v>MKT_2024_10</x:v>
      </x:c>
      <x:c r="Q826" s="84" t="str">
        <x:v>Ergonomic Chair</x:v>
      </x:c>
      <x:c r="R826" s="84" t="str">
        <x:v>Office</x:v>
      </x:c>
    </x:row>
    <x:row r="827">
      <x:c r="A827" s="84" t="str">
        <x:v>ORD-2024-00147</x:v>
      </x:c>
      <x:c r="B827" s="85" t="n">
        <x:v>45584</x:v>
      </x:c>
      <x:c r="C827" s="84" t="str">
        <x:v>CUST-0254</x:v>
      </x:c>
      <x:c r="D827" s="84" t="str">
        <x:v>Marcus Carter</x:v>
      </x:c>
      <x:c r="E827" s="84" t="str">
        <x:v>Consumer </x:v>
      </x:c>
      <x:c r="F827" s="84" t="str">
        <x:v>Northeast</x:v>
      </x:c>
      <x:c r="G827" s="84" t="str">
        <x:v>boston</x:v>
      </x:c>
      <x:c r="H827" s="84" t="str">
        <x:v>Retail Store</x:v>
      </x:c>
      <x:c r="I827" s="84" t="str">
        <x:v>ELEC-006</x:v>
      </x:c>
      <x:c r="J827" s="86" t="n">
        <x:v>2</x:v>
      </x:c>
      <x:c r="K827" s="87" t="n">
        <x:v>0.05</x:v>
      </x:c>
      <x:c r="L827" s="84" t="str">
        <x:v>completed</x:v>
      </x:c>
      <x:c r="M827" s="84" t="str">
        <x:v> MOBILE WALLET </x:v>
      </x:c>
      <x:c r="N827" s="84" t="str">
        <x:v>Maya Brooks</x:v>
      </x:c>
      <x:c r="O827" s="85" t="n">
        <x:v>45584</x:v>
      </x:c>
      <x:c r="P827" s="84" t="str">
        <x:v>POS_2024_10</x:v>
      </x:c>
      <x:c r="Q827" s="84" t="str">
        <x:v>Portable SSD</x:v>
      </x:c>
      <x:c r="R827" s="84" t="str">
        <x:v>Electronics</x:v>
      </x:c>
    </x:row>
    <x:row r="828">
      <x:c r="A828" s="84" t="str">
        <x:v>ORD-2024-00367</x:v>
      </x:c>
      <x:c r="B828" s="85" t="n">
        <x:v>45584</x:v>
      </x:c>
      <x:c r="C828" s="84" t="str">
        <x:v>CUST-0595</x:v>
      </x:c>
      <x:c r="D828" s="84" t="str">
        <x:v>Daniel Evans</x:v>
      </x:c>
      <x:c r="E828" s="84" t="str">
        <x:v>Corporate</x:v>
      </x:c>
      <x:c r="F828" s="84" t="str">
        <x:v>Northeast</x:v>
      </x:c>
      <x:c r="G828" s="84" t="str">
        <x:v> NEWARK </x:v>
      </x:c>
      <x:c r="H828" s="84" t="str">
        <x:v>Retail Store </x:v>
      </x:c>
      <x:c r="I828" s="84" t="str">
        <x:v>OFFC-002</x:v>
      </x:c>
      <x:c r="J828" s="86" t="n">
        <x:v>1</x:v>
      </x:c>
      <x:c r="K828" s="87" t="n">
        <x:v>0.05</x:v>
      </x:c>
      <x:c r="L828" s="84" t="str">
        <x:v>completed</x:v>
      </x:c>
      <x:c r="M828" s="84" t="str">
        <x:v>Mobile Wallet</x:v>
      </x:c>
      <x:c r="N828" s="84" t="str">
        <x:v>Sofia Bennett</x:v>
      </x:c>
      <x:c r="O828" s="85" t="n">
        <x:v>45585</x:v>
      </x:c>
      <x:c r="P828" s="84" t="str">
        <x:v>POS_2024_10</x:v>
      </x:c>
      <x:c r="Q828" s="84" t="str">
        <x:v>Standing Desk</x:v>
      </x:c>
      <x:c r="R828" s="84" t="str">
        <x:v>Office</x:v>
      </x:c>
    </x:row>
    <x:row r="829">
      <x:c r="A829" s="84" t="str">
        <x:v>ORD-2024-00846</x:v>
      </x:c>
      <x:c r="B829" s="85" t="n">
        <x:v>45584</x:v>
      </x:c>
      <x:c r="C829" s="84" t="str">
        <x:v>CUST-0015</x:v>
      </x:c>
      <x:c r="D829" s="84" t="str">
        <x:v>Elena Walker</x:v>
      </x:c>
      <x:c r="E829" s="84" t="str">
        <x:v>Consumer</x:v>
      </x:c>
      <x:c r="F829" s="84" t="str">
        <x:v>West</x:v>
      </x:c>
      <x:c r="G829" s="84" t="str">
        <x:v>Denver</x:v>
      </x:c>
      <x:c r="H829" s="84" t="str">
        <x:v>Marketplace</x:v>
      </x:c>
      <x:c r="I829" s="84" t="str">
        <x:v>HOME-006</x:v>
      </x:c>
      <x:c r="J829" s="86" t="n">
        <x:v>3</x:v>
      </x:c>
      <x:c r="K829" s="87" t="n">
        <x:v>0</x:v>
      </x:c>
      <x:c r="L829" s="84" t="str">
        <x:v>Returned </x:v>
      </x:c>
      <x:c r="M829" s="84" t="str">
        <x:v>credit card</x:v>
      </x:c>
      <x:c r="N829" s="84" t="str">
        <x:v>Nora Kim</x:v>
      </x:c>
      <x:c r="O829" s="85" t="n">
        <x:v>45592</x:v>
      </x:c>
      <x:c r="P829" s="84" t="str">
        <x:v>MKT_2024_10</x:v>
      </x:c>
      <x:c r="Q829" s="84" t="str">
        <x:v>Food Storage Set</x:v>
      </x:c>
      <x:c r="R829" s="84" t="str">
        <x:v>Home &amp; Kitchen</x:v>
      </x:c>
    </x:row>
    <x:row r="830">
      <x:c r="A830" s="84" t="str">
        <x:v>ORD-2024-01653</x:v>
      </x:c>
      <x:c r="B830" s="85" t="n">
        <x:v>45584</x:v>
      </x:c>
      <x:c r="C830" s="84" t="str">
        <x:v>CUST-0501</x:v>
      </x:c>
      <x:c r="D830" s="84" t="str">
        <x:v>Priya Garcia</x:v>
      </x:c>
      <x:c r="E830" s="84" t="str">
        <x:v>Consumer</x:v>
      </x:c>
      <x:c r="F830" s="84" t="str">
        <x:v>Northeast</x:v>
      </x:c>
      <x:c r="G830" s="84" t="str">
        <x:v>Boston</x:v>
      </x:c>
      <x:c r="H830" s="84" t="str">
        <x:v>Online</x:v>
      </x:c>
      <x:c r="I830" s="84" t="str">
        <x:v>CARE-005</x:v>
      </x:c>
      <x:c r="J830" s="86" t="n">
        <x:v>2</x:v>
      </x:c>
      <x:c r="K830" s="87" t="n">
        <x:v>0.05</x:v>
      </x:c>
      <x:c r="L830" s="84" t="str">
        <x:v>Completed</x:v>
      </x:c>
      <x:c r="M830" s="84" t="str">
        <x:v>PayPal</x:v>
      </x:c>
      <x:c r="N830" s="84" t="str">
        <x:v>Maya Brooks</x:v>
      </x:c>
      <x:c r="O830" s="85" t="n">
        <x:v>45586</x:v>
      </x:c>
      <x:c r="P830" s="84" t="str">
        <x:v>WEB_2024_10</x:v>
      </x:c>
      <x:c r="Q830" s="84" t="str">
        <x:v> SKIN CARE STARTER KIT </x:v>
      </x:c>
      <x:c r="R830" s="84" t="str">
        <x:v>personal care</x:v>
      </x:c>
    </x:row>
    <x:row r="831">
      <x:c r="A831" s="84" t="str">
        <x:v>ORD-2024-02285</x:v>
      </x:c>
      <x:c r="B831" s="85" t="n">
        <x:v>45584</x:v>
      </x:c>
      <x:c r="C831" s="84" t="str">
        <x:v>CUST-0259</x:v>
      </x:c>
      <x:c r="D831" s="84" t="str">
        <x:v>Caleb Foster</x:v>
      </x:c>
      <x:c r="E831" s="84" t="str">
        <x:v>Consumer</x:v>
      </x:c>
      <x:c r="F831" s="84" t="str">
        <x:v>northeast</x:v>
      </x:c>
      <x:c r="G831" s="84" t="str">
        <x:v>New York</x:v>
      </x:c>
      <x:c r="H831" s="84" t="str">
        <x:v>Retail Store </x:v>
      </x:c>
      <x:c r="I831" s="84" t="str">
        <x:v>ELEC-002</x:v>
      </x:c>
      <x:c r="J831" s="86" t="n">
        <x:v>1</x:v>
      </x:c>
      <x:c r="K831" s="87" t="n">
        <x:v>0</x:v>
      </x:c>
      <x:c r="L831" s="84" t="str">
        <x:v>Completed</x:v>
      </x:c>
      <x:c r="M831" s="84" t="str">
        <x:v>Credit Card</x:v>
      </x:c>
      <x:c r="N831" s="84" t="str">
        <x:v>Sofia Bennett</x:v>
      </x:c>
      <x:c r="O831" s="85" t="n">
        <x:v>45584</x:v>
      </x:c>
      <x:c r="P831" s="84" t="str">
        <x:v>POS_2024_10</x:v>
      </x:c>
      <x:c r="Q831" s="84" t="str">
        <x:v>Smartwatch</x:v>
      </x:c>
      <x:c r="R831" s="84" t="str">
        <x:v>Electronics</x:v>
      </x:c>
    </x:row>
    <x:row r="832">
      <x:c r="A832" s="84" t="str">
        <x:v>ORD-2024-00135</x:v>
      </x:c>
      <x:c r="B832" s="85" t="n">
        <x:v>45587</x:v>
      </x:c>
      <x:c r="C832" s="84" t="str">
        <x:v>CUST-0353</x:v>
      </x:c>
      <x:c r="D832" s="84" t="str">
        <x:v>Elias Hall</x:v>
      </x:c>
      <x:c r="E832" s="84" t="str">
        <x:v>Consumer</x:v>
      </x:c>
      <x:c r="F832" s="84" t="str">
        <x:v>Northeast</x:v>
      </x:c>
      <x:c r="G832" s="84" t="str">
        <x:v>New York</x:v>
      </x:c>
      <x:c r="H832" s="84" t="str">
        <x:v>Retail Store</x:v>
      </x:c>
      <x:c r="I832" s="84" t="str">
        <x:v>HOME-003</x:v>
      </x:c>
      <x:c r="J832" s="86" t="n">
        <x:v>1</x:v>
      </x:c>
      <x:c r="K832" s="87" t="n">
        <x:v>0.1</x:v>
      </x:c>
      <x:c r="L832" s="84" t="str">
        <x:v>Completed</x:v>
      </x:c>
      <x:c r="M832" s="84" t="str">
        <x:v>Debit Card</x:v>
      </x:c>
      <x:c r="N832" s="84" t="str">
        <x:v>Maya Brooks</x:v>
      </x:c>
      <x:c r="O832" s="85" t="n">
        <x:v>45587</x:v>
      </x:c>
      <x:c r="P832" s="84" t="str">
        <x:v>POS_2024_10</x:v>
      </x:c>
      <x:c r="Q832" s="84" t="str">
        <x:v>Countertop Blender</x:v>
      </x:c>
      <x:c r="R832" s="84" t="str">
        <x:v>home &amp; kitchen</x:v>
      </x:c>
    </x:row>
    <x:row r="833">
      <x:c r="A833" s="84" t="str">
        <x:v>ORD-2024-00573</x:v>
      </x:c>
      <x:c r="B833" s="85" t="n">
        <x:v>45587</x:v>
      </x:c>
      <x:c r="C833" s="84" t="str">
        <x:v>CUST-0599</x:v>
      </x:c>
      <x:c r="D833" s="84" t="str">
        <x:v>Caleb Adams</x:v>
      </x:c>
      <x:c r="E833" s="84" t="str">
        <x:v>Consumer</x:v>
      </x:c>
      <x:c r="F833" s="84" t="str">
        <x:v>West</x:v>
      </x:c>
      <x:c r="G833" s="84" t="str">
        <x:v>Phoenix</x:v>
      </x:c>
      <x:c r="H833" s="84" t="str">
        <x:v>Retail Store</x:v>
      </x:c>
      <x:c r="I833" s="84" t="str">
        <x:v>HOME-002</x:v>
      </x:c>
      <x:c r="J833" s="86" t="n">
        <x:v>3</x:v>
      </x:c>
      <x:c r="K833" s="87" t="n">
        <x:v>0.1</x:v>
      </x:c>
      <x:c r="L833" s="84" t="str">
        <x:v>Completed </x:v>
      </x:c>
      <x:c r="M833" s="84" t="str">
        <x:v>Mobile Wallet</x:v>
      </x:c>
      <x:c r="N833" s="84" t="str">
        <x:v>Leo Martinez</x:v>
      </x:c>
      <x:c r="O833" s="85" t="n">
        <x:v>45587</x:v>
      </x:c>
      <x:c r="P833" s="84" t="str">
        <x:v>POS_2024_10</x:v>
      </x:c>
      <x:c r="Q833" s="84" t="str">
        <x:v>Electric Kettle</x:v>
      </x:c>
      <x:c r="R833" s="84" t="str">
        <x:v>Home &amp; Kitchen</x:v>
      </x:c>
    </x:row>
    <x:row r="834">
      <x:c r="A834" s="84" t="str">
        <x:v>ORD-2024-01176</x:v>
      </x:c>
      <x:c r="B834" s="85" t="n">
        <x:v>45587</x:v>
      </x:c>
      <x:c r="C834" s="84" t="str">
        <x:v>CUST-0561</x:v>
      </x:c>
      <x:c r="D834" s="84" t="str">
        <x:v>Marcus Johnson</x:v>
      </x:c>
      <x:c r="E834" s="84" t="str">
        <x:v>Consumer </x:v>
      </x:c>
      <x:c r="F834" s="84" t="str">
        <x:v>Southeast</x:v>
      </x:c>
      <x:c r="G834" s="84" t="str">
        <x:v>Nashville </x:v>
      </x:c>
      <x:c r="H834" s="84" t="str">
        <x:v>Retail Store</x:v>
      </x:c>
      <x:c r="I834" s="84" t="str">
        <x:v>ELEC-001</x:v>
      </x:c>
      <x:c r="J834" s="86" t="n">
        <x:v>1</x:v>
      </x:c>
      <x:c r="K834" s="87" t="n">
        <x:v>0.15</x:v>
      </x:c>
      <x:c r="L834" s="84" t="str">
        <x:v>Completed</x:v>
      </x:c>
      <x:c r="M834" s="84" t="str">
        <x:v>debit card</x:v>
      </x:c>
      <x:c r="N834" s="84" t="str">
        <x:v> AVA MITCHELL </x:v>
      </x:c>
      <x:c r="O834" s="85" t="n">
        <x:v>45587</x:v>
      </x:c>
      <x:c r="P834" s="84" t="str">
        <x:v>POS_2024_10</x:v>
      </x:c>
      <x:c r="Q834" s="84" t="str">
        <x:v>Wireless Earbuds</x:v>
      </x:c>
      <x:c r="R834" s="84" t="str">
        <x:v>Electronics</x:v>
      </x:c>
    </x:row>
    <x:row r="835">
      <x:c r="A835" s="84" t="str">
        <x:v>ORD-2024-01279</x:v>
      </x:c>
      <x:c r="B835" s="85" t="n">
        <x:v>45587</x:v>
      </x:c>
      <x:c r="C835" s="84" t="str">
        <x:v>CUST-0130</x:v>
      </x:c>
      <x:c r="D835" s="84" t="str">
        <x:v>Maya Lewis </x:v>
      </x:c>
      <x:c r="E835" s="84" t="str">
        <x:v>Consumer</x:v>
      </x:c>
      <x:c r="F835" s="84" t="str">
        <x:v>Southeast</x:v>
      </x:c>
      <x:c r="G835" s="84" t="str">
        <x:v>Nashville</x:v>
      </x:c>
      <x:c r="H835" s="84" t="str">
        <x:v>Online</x:v>
      </x:c>
      <x:c r="I835" s="84" t="str">
        <x:v>ELEC-005</x:v>
      </x:c>
      <x:c r="J835" s="86" t="n">
        <x:v>1</x:v>
      </x:c>
      <x:c r="K835" s="87" t="n">
        <x:v>0</x:v>
      </x:c>
      <x:c r="L835" s="84" t="str">
        <x:v>Completed</x:v>
      </x:c>
      <x:c r="M835" s="84" t="str">
        <x:v>Mobile Wallet </x:v>
      </x:c>
      <x:c r="N835" s="84" t="str">
        <x:v>Ava Mitchell</x:v>
      </x:c>
      <x:c r="O835" s="85" t="n">
        <x:v>45591</x:v>
      </x:c>
      <x:c r="P835" s="84" t="str">
        <x:v>WEB_2024_10</x:v>
      </x:c>
      <x:c r="Q835" s="84" t="str">
        <x:v> HD WEBCAM </x:v>
      </x:c>
      <x:c r="R835" s="84" t="str">
        <x:v>electronics</x:v>
      </x:c>
    </x:row>
    <x:row r="836">
      <x:c r="A836" s="84" t="str">
        <x:v>ORD-2024-00138</x:v>
      </x:c>
      <x:c r="B836" s="85" t="n">
        <x:v>45588</x:v>
      </x:c>
      <x:c r="C836" s="84" t="str">
        <x:v>CUST-0253</x:v>
      </x:c>
      <x:c r="D836" s="84" t="str">
        <x:v>Caleb Quinn </x:v>
      </x:c>
      <x:c r="E836" s="84" t="str">
        <x:v>Corporate</x:v>
      </x:c>
      <x:c r="F836" s="84" t="str">
        <x:v>Midwest</x:v>
      </x:c>
      <x:c r="G836" s="84" t="str">
        <x:v>Chicago</x:v>
      </x:c>
      <x:c r="H836" s="84" t="str">
        <x:v>Online</x:v>
      </x:c>
      <x:c r="I836" s="84" t="str">
        <x:v>FITN-006</x:v>
      </x:c>
      <x:c r="J836" s="86" t="n">
        <x:v>3</x:v>
      </x:c>
      <x:c r="K836" s="87" t="n">
        <x:v>0</x:v>
      </x:c>
      <x:c r="L836" s="84" t="str">
        <x:v>Completed</x:v>
      </x:c>
      <x:c r="M836" s="84" t="str">
        <x:v>Debit Card </x:v>
      </x:c>
      <x:c r="N836" s="84" t="str">
        <x:v>Zoe Turner</x:v>
      </x:c>
      <x:c r="O836" s="85" t="n">
        <x:v>45591</x:v>
      </x:c>
      <x:c r="P836" s="84" t="str">
        <x:v>WEB_2024_10</x:v>
      </x:c>
      <x:c r="Q836" s="84" t="str">
        <x:v>Foam Roller</x:v>
      </x:c>
      <x:c r="R836" s="84" t="str">
        <x:v>Fitness</x:v>
      </x:c>
    </x:row>
    <x:row r="837">
      <x:c r="A837" s="84" t="str">
        <x:v>ORD-2024-01092</x:v>
      </x:c>
      <x:c r="B837" s="85" t="n">
        <x:v>45588</x:v>
      </x:c>
      <x:c r="C837" s="84" t="str">
        <x:v>CUST-0099</x:v>
      </x:c>
      <x:c r="D837" s="84" t="str">
        <x:v>Maya Adams</x:v>
      </x:c>
      <x:c r="E837" s="84" t="str">
        <x:v>Consumer </x:v>
      </x:c>
      <x:c r="F837" s="84" t="str">
        <x:v>Southeast</x:v>
      </x:c>
      <x:c r="G837" s="84" t="str">
        <x:v>Miami </x:v>
      </x:c>
      <x:c r="H837" s="84" t="str">
        <x:v>Retail Store</x:v>
      </x:c>
      <x:c r="I837" s="84" t="str">
        <x:v>ACCS-006</x:v>
      </x:c>
      <x:c r="J837" s="86" t="n">
        <x:v>1</x:v>
      </x:c>
      <x:c r="K837" s="87" t="n">
        <x:v>0</x:v>
      </x:c>
      <x:c r="L837" s="84" t="str">
        <x:v>Completed</x:v>
      </x:c>
      <x:c r="M837" s="84" t="str">
        <x:v>Credit Card</x:v>
      </x:c>
      <x:c r="N837" s="84" t="str">
        <x:v>Noah Reed</x:v>
      </x:c>
      <x:c r="O837" s="85" t="n">
        <x:v>45588</x:v>
      </x:c>
      <x:c r="P837" s="84" t="str">
        <x:v>POS_2024_10</x:v>
      </x:c>
      <x:c r="Q837" s="84" t="str">
        <x:v> INSULATED LUNCH BAG </x:v>
      </x:c>
      <x:c r="R837" s="84" t="str">
        <x:v>accessories</x:v>
      </x:c>
    </x:row>
    <x:row r="838">
      <x:c r="A838" s="84" t="str">
        <x:v>ORD-2024-01151</x:v>
      </x:c>
      <x:c r="B838" s="85" t="n">
        <x:v>45588</x:v>
      </x:c>
      <x:c r="C838" s="84" t="str">
        <x:v>CUST-0216</x:v>
      </x:c>
      <x:c r="D838" s="84" t="str">
        <x:v>aiden hall</x:v>
      </x:c>
      <x:c r="E838" s="84" t="str">
        <x:v>Consumer</x:v>
      </x:c>
      <x:c r="F838" s="84" t="str">
        <x:v>Midwest</x:v>
      </x:c>
      <x:c r="G838" s="84" t="str">
        <x:v>Columbus</x:v>
      </x:c>
      <x:c r="H838" s="84" t="str">
        <x:v>Online </x:v>
      </x:c>
      <x:c r="I838" s="84" t="str">
        <x:v>CARE-002</x:v>
      </x:c>
      <x:c r="J838" s="86" t="n">
        <x:v>3</x:v>
      </x:c>
      <x:c r="K838" s="87" t="n">
        <x:v>0.05</x:v>
      </x:c>
      <x:c r="L838" s="84" t="str">
        <x:v>Completed</x:v>
      </x:c>
      <x:c r="M838" s="84" t="str">
        <x:v>Debit Card</x:v>
      </x:c>
      <x:c r="N838" s="84" t="str">
        <x:v>Emma Hayes</x:v>
      </x:c>
      <x:c r="O838" s="85" t="n">
        <x:v>45594</x:v>
      </x:c>
      <x:c r="P838" s="84" t="str">
        <x:v>WEB_2024_10</x:v>
      </x:c>
      <x:c r="Q838" s="84" t="str">
        <x:v>Rechargeable Trimmer</x:v>
      </x:c>
      <x:c r="R838" s="84" t="str">
        <x:v>Personal Care</x:v>
      </x:c>
    </x:row>
    <x:row r="839">
      <x:c r="A839" s="84" t="str">
        <x:v>ORD-2024-00666</x:v>
      </x:c>
      <x:c r="B839" s="85" t="n">
        <x:v>45589</x:v>
      </x:c>
      <x:c r="C839" s="84" t="str">
        <x:v>CUST-0205</x:v>
      </x:c>
      <x:c r="D839" s="84" t="str">
        <x:v>Elena Young</x:v>
      </x:c>
      <x:c r="E839" s="84" t="str">
        <x:v>Corporate</x:v>
      </x:c>
      <x:c r="F839" s="84" t="str">
        <x:v>West</x:v>
      </x:c>
      <x:c r="G839" s="84" t="str">
        <x:v>Denver</x:v>
      </x:c>
      <x:c r="H839" s="84" t="str">
        <x:v>Online</x:v>
      </x:c>
      <x:c r="I839" s="84" t="str">
        <x:v>HOME-005</x:v>
      </x:c>
      <x:c r="J839" s="86" t="n">
        <x:v>3</x:v>
      </x:c>
      <x:c r="K839" s="87" t="n">
        <x:v>0</x:v>
      </x:c>
      <x:c r="L839" s="84" t="str">
        <x:v>Completed</x:v>
      </x:c>
      <x:c r="M839" s="84" t="str">
        <x:v>Debit Card</x:v>
      </x:c>
      <x:c r="N839" s="84" t="str">
        <x:v> LEO MARTINEZ </x:v>
      </x:c>
      <x:c r="O839" s="85" t="n">
        <x:v>45593</x:v>
      </x:c>
      <x:c r="P839" s="84" t="str">
        <x:v>WEB_2024_10</x:v>
      </x:c>
      <x:c r="Q839" s="84" t="str">
        <x:v>Cordless Vacuum </x:v>
      </x:c>
      <x:c r="R839" s="84" t="str">
        <x:v>Home &amp; Kitchen</x:v>
      </x:c>
    </x:row>
    <x:row r="840">
      <x:c r="A840" s="84" t="str">
        <x:v>ORD-2024-01190</x:v>
      </x:c>
      <x:c r="B840" s="85" t="n">
        <x:v>45589</x:v>
      </x:c>
      <x:c r="C840" s="84" t="str">
        <x:v>CUST-0341</x:v>
      </x:c>
      <x:c r="D840" s="84" t="str">
        <x:v>Grace Ortiz</x:v>
      </x:c>
      <x:c r="E840" s="84" t="str">
        <x:v> CORPORATE </x:v>
      </x:c>
      <x:c r="F840" s="84" t="str">
        <x:v>Southeast</x:v>
      </x:c>
      <x:c r="G840" s="84" t="str">
        <x:v>Atlanta </x:v>
      </x:c>
      <x:c r="H840" s="84" t="str">
        <x:v>Marketplace</x:v>
      </x:c>
      <x:c r="I840" s="84" t="str">
        <x:v>CARE-006</x:v>
      </x:c>
      <x:c r="J840" s="86" t="n">
        <x:v>2</x:v>
      </x:c>
      <x:c r="K840" s="87" t="n">
        <x:v>0.1</x:v>
      </x:c>
      <x:c r="L840" s="84" t="str">
        <x:v>Completed</x:v>
      </x:c>
      <x:c r="M840" s="84" t="str">
        <x:v>Credit Card</x:v>
      </x:c>
      <x:c r="N840" s="84" t="str">
        <x:v>liam parker</x:v>
      </x:c>
      <x:c r="O840" s="85" t="n">
        <x:v>45593</x:v>
      </x:c>
      <x:c r="P840" s="84" t="str">
        <x:v>MKT_2024_10</x:v>
      </x:c>
      <x:c r="Q840" s="84" t="str">
        <x:v>Percussion Massage Gun</x:v>
      </x:c>
      <x:c r="R840" s="84" t="str">
        <x:v>Personal Care</x:v>
      </x:c>
    </x:row>
    <x:row r="841">
      <x:c r="A841" s="84" t="str">
        <x:v>ORD-2024-02046</x:v>
      </x:c>
      <x:c r="B841" s="85" t="n">
        <x:v>45589</x:v>
      </x:c>
      <x:c r="C841" s="84" t="str">
        <x:v>CUST-0565</x:v>
      </x:c>
      <x:c r="D841" s="84" t="str">
        <x:v>Nathan Taylor</x:v>
      </x:c>
      <x:c r="E841" s="84" t="str">
        <x:v>consumer</x:v>
      </x:c>
      <x:c r="F841" s="84" t="str">
        <x:v>West</x:v>
      </x:c>
      <x:c r="G841" s="84" t="str">
        <x:v>Phoenix</x:v>
      </x:c>
      <x:c r="H841" s="84" t="str">
        <x:v> ONLINE </x:v>
      </x:c>
      <x:c r="I841" s="84" t="str">
        <x:v>HOME-005</x:v>
      </x:c>
      <x:c r="J841" s="86" t="n">
        <x:v>1</x:v>
      </x:c>
      <x:c r="K841" s="87" t="n">
        <x:v>0</x:v>
      </x:c>
      <x:c r="L841" s="84" t="str">
        <x:v>Completed</x:v>
      </x:c>
      <x:c r="M841" s="84" t="str">
        <x:v>Credit Card</x:v>
      </x:c>
      <x:c r="N841" s="84" t="str">
        <x:v>Leo Martinez</x:v>
      </x:c>
      <x:c r="O841" s="85" t="n">
        <x:v>45595</x:v>
      </x:c>
      <x:c r="P841" s="84" t="str">
        <x:v>WEB_2024_10</x:v>
      </x:c>
      <x:c r="Q841" s="84" t="str">
        <x:v>Cordless Vacuum</x:v>
      </x:c>
      <x:c r="R841" s="84" t="str">
        <x:v>Home &amp; Kitchen </x:v>
      </x:c>
    </x:row>
    <x:row r="842">
      <x:c r="A842" s="84" t="str">
        <x:v>ORD-2024-00148</x:v>
      </x:c>
      <x:c r="B842" s="85" t="n">
        <x:v>45590</x:v>
      </x:c>
      <x:c r="C842" s="84" t="str">
        <x:v>CUST-0125</x:v>
      </x:c>
      <x:c r="D842" s="84" t="str">
        <x:v>Marcus Carter</x:v>
      </x:c>
      <x:c r="E842" s="84" t="str">
        <x:v>Consumer</x:v>
      </x:c>
      <x:c r="F842" s="84" t="str">
        <x:v>West</x:v>
      </x:c>
      <x:c r="G842" s="84" t="str">
        <x:v>Phoenix</x:v>
      </x:c>
      <x:c r="H842" s="84" t="str">
        <x:v>Retail Store</x:v>
      </x:c>
      <x:c r="I842" s="84" t="str">
        <x:v>HOME-001</x:v>
      </x:c>
      <x:c r="J842" s="86" t="n">
        <x:v>2</x:v>
      </x:c>
      <x:c r="K842" s="87" t="n">
        <x:v>0.15</x:v>
      </x:c>
      <x:c r="L842" s="84" t="str">
        <x:v>Completed</x:v>
      </x:c>
      <x:c r="M842" s="84" t="str">
        <x:v>Credit Card</x:v>
      </x:c>
      <x:c r="N842" s="84" t="str">
        <x:v>Mia Chen</x:v>
      </x:c>
      <x:c r="O842" s="85" t="n">
        <x:v>45590</x:v>
      </x:c>
      <x:c r="P842" s="84" t="str">
        <x:v>POS_2024_10</x:v>
      </x:c>
      <x:c r="Q842" s="84" t="str">
        <x:v>Air Fryer </x:v>
      </x:c>
      <x:c r="R842" s="84" t="str">
        <x:v>Home &amp; Kitchen</x:v>
      </x:c>
    </x:row>
    <x:row r="843">
      <x:c r="A843" s="84" t="str">
        <x:v>ORD-2024-00935</x:v>
      </x:c>
      <x:c r="B843" s="85" t="n">
        <x:v>45590</x:v>
      </x:c>
      <x:c r="C843" s="84" t="str">
        <x:v>CUST-0567</x:v>
      </x:c>
      <x:c r="D843" s="84" t="str">
        <x:v>Amelia Walker</x:v>
      </x:c>
      <x:c r="E843" s="84" t="str">
        <x:v> CONSUMER </x:v>
      </x:c>
      <x:c r="F843" s="84" t="str">
        <x:v>West </x:v>
      </x:c>
      <x:c r="G843" s="84" t="str">
        <x:v>Denver</x:v>
      </x:c>
      <x:c r="H843" s="84" t="str">
        <x:v>marketplace</x:v>
      </x:c>
      <x:c r="I843" s="84" t="str">
        <x:v>CARE-006</x:v>
      </x:c>
      <x:c r="J843" s="86" t="n">
        <x:v>1</x:v>
      </x:c>
      <x:c r="K843" s="87" t="n">
        <x:v>0</x:v>
      </x:c>
      <x:c r="L843" s="84" t="str">
        <x:v>Completed</x:v>
      </x:c>
      <x:c r="M843" s="84" t="str">
        <x:v>PayPal</x:v>
      </x:c>
      <x:c r="N843" s="84" t="str">
        <x:v>Nora Kim </x:v>
      </x:c>
      <x:c r="O843" s="85" t="n">
        <x:v>45596</x:v>
      </x:c>
      <x:c r="P843" s="84" t="str">
        <x:v>MKT_2024_10</x:v>
      </x:c>
      <x:c r="Q843" s="84" t="str">
        <x:v>Percussion Massage Gun</x:v>
      </x:c>
      <x:c r="R843" s="84" t="str">
        <x:v>Personal Care</x:v>
      </x:c>
    </x:row>
    <x:row r="844">
      <x:c r="A844" s="84" t="str">
        <x:v>ORD-2024-01238</x:v>
      </x:c>
      <x:c r="B844" s="85" t="n">
        <x:v>45590</x:v>
      </x:c>
      <x:c r="C844" s="84" t="str">
        <x:v>CUST-0257</x:v>
      </x:c>
      <x:c r="D844" s="84" t="str">
        <x:v> ELIAS DAVIS </x:v>
      </x:c>
      <x:c r="E844" s="84" t="str">
        <x:v>Corporate</x:v>
      </x:c>
      <x:c r="F844" s="84" t="str">
        <x:v> NORTHEAST </x:v>
      </x:c>
      <x:c r="G844" s="84" t="str">
        <x:v>Boston</x:v>
      </x:c>
      <x:c r="H844" s="84" t="str">
        <x:v>Retail Store</x:v>
      </x:c>
      <x:c r="I844" s="84" t="str">
        <x:v>FITN-001</x:v>
      </x:c>
      <x:c r="J844" s="86" t="n">
        <x:v>4</x:v>
      </x:c>
      <x:c r="K844" s="87" t="n">
        <x:v>0.05</x:v>
      </x:c>
      <x:c r="L844" s="84" t="str">
        <x:v>Returned </x:v>
      </x:c>
      <x:c r="M844" s="84" t="str">
        <x:v>Credit Card</x:v>
      </x:c>
      <x:c r="N844" s="84" t="str">
        <x:v>Ethan Cole</x:v>
      </x:c>
      <x:c r="O844" s="85" t="n">
        <x:v>45590</x:v>
      </x:c>
      <x:c r="P844" s="84" t="str">
        <x:v>POS_2024_10</x:v>
      </x:c>
      <x:c r="Q844" s="84" t="str">
        <x:v>Yoga Mat</x:v>
      </x:c>
      <x:c r="R844" s="84" t="str">
        <x:v>Fitness</x:v>
      </x:c>
    </x:row>
    <x:row r="845">
      <x:c r="A845" s="84" t="str">
        <x:v>ORD-2024-01421</x:v>
      </x:c>
      <x:c r="B845" s="85" t="n">
        <x:v>45591</x:v>
      </x:c>
      <x:c r="C845" s="84" t="str">
        <x:v>CUST-0067</x:v>
      </x:c>
      <x:c r="D845" s="84" t="str">
        <x:v>William Garcia</x:v>
      </x:c>
      <x:c r="E845" s="84" t="str">
        <x:v>Consumer </x:v>
      </x:c>
      <x:c r="F845" s="84" t="str">
        <x:v>West</x:v>
      </x:c>
      <x:c r="G845" s="84" t="str">
        <x:v> PHOENIX </x:v>
      </x:c>
      <x:c r="H845" s="84" t="str">
        <x:v>Online</x:v>
      </x:c>
      <x:c r="I845" s="84" t="str">
        <x:v>HOME-003</x:v>
      </x:c>
      <x:c r="J845" s="86" t="n">
        <x:v>1</x:v>
      </x:c>
      <x:c r="K845" s="87" t="n">
        <x:v>0.05</x:v>
      </x:c>
      <x:c r="L845" s="84" t="str">
        <x:v>Completed</x:v>
      </x:c>
      <x:c r="M845" s="84" t="str">
        <x:v>PayPal</x:v>
      </x:c>
      <x:c r="N845" s="84" t="str">
        <x:v>mia chen</x:v>
      </x:c>
      <x:c r="O845" s="85" t="n">
        <x:v>45596</x:v>
      </x:c>
      <x:c r="P845" s="84" t="str">
        <x:v>WEB_2024_10</x:v>
      </x:c>
      <x:c r="Q845" s="84" t="str">
        <x:v>Countertop Blender</x:v>
      </x:c>
      <x:c r="R845" s="84" t="str">
        <x:v>Home &amp; Kitchen</x:v>
      </x:c>
    </x:row>
    <x:row r="846">
      <x:c r="A846" s="84" t="str">
        <x:v>ORD-2024-02240</x:v>
      </x:c>
      <x:c r="B846" s="85" t="n">
        <x:v>45591</x:v>
      </x:c>
      <x:c r="C846" s="84" t="str">
        <x:v>CUST-0600</x:v>
      </x:c>
      <x:c r="D846" s="84" t="str">
        <x:v>theo walker</x:v>
      </x:c>
      <x:c r="E846" s="84" t="str">
        <x:v>Consumer </x:v>
      </x:c>
      <x:c r="F846" s="84" t="str">
        <x:v>Southeast</x:v>
      </x:c>
      <x:c r="G846" s="84" t="str">
        <x:v>Charlotte </x:v>
      </x:c>
      <x:c r="H846" s="84" t="str">
        <x:v>Retail Store</x:v>
      </x:c>
      <x:c r="I846" s="84" t="str">
        <x:v>FITN-005</x:v>
      </x:c>
      <x:c r="J846" s="86" t="n">
        <x:v>1</x:v>
      </x:c>
      <x:c r="K846" s="87" t="n">
        <x:v>0</x:v>
      </x:c>
      <x:c r="L846" s="84" t="str">
        <x:v>Completed</x:v>
      </x:c>
      <x:c r="M846" s="84" t="str">
        <x:v>Mobile Wallet</x:v>
      </x:c>
      <x:c r="N846" s="84" t="str">
        <x:v>Liam Parker</x:v>
      </x:c>
      <x:c r="O846" s="85" t="n">
        <x:v>45591</x:v>
      </x:c>
      <x:c r="P846" s="84" t="str">
        <x:v>POS_2024_10</x:v>
      </x:c>
      <x:c r="Q846" s="84" t="str">
        <x:v>Sports Water Bottle</x:v>
      </x:c>
      <x:c r="R846" s="84" t="str">
        <x:v>Fitness</x:v>
      </x:c>
    </x:row>
    <x:row r="847">
      <x:c r="A847" s="84" t="str">
        <x:v>ORD-2024-00561</x:v>
      </x:c>
      <x:c r="B847" s="85" t="n">
        <x:v>45592</x:v>
      </x:c>
      <x:c r="C847" s="84" t="str">
        <x:v>CUST-0016</x:v>
      </x:c>
      <x:c r="D847" s="84" t="str">
        <x:v>Jonah Young</x:v>
      </x:c>
      <x:c r="E847" s="84" t="str">
        <x:v> CONSUMER </x:v>
      </x:c>
      <x:c r="F847" s="84" t="str">
        <x:v>Northeast</x:v>
      </x:c>
      <x:c r="G847" s="84" t="str">
        <x:v>New York</x:v>
      </x:c>
      <x:c r="H847" s="84" t="str">
        <x:v>retail store</x:v>
      </x:c>
      <x:c r="I847" s="84" t="str">
        <x:v>OFFC-005</x:v>
      </x:c>
      <x:c r="J847" s="86" t="n">
        <x:v>1</x:v>
      </x:c>
      <x:c r="K847" s="87" t="n">
        <x:v>0</x:v>
      </x:c>
      <x:c r="L847" s="84" t="str">
        <x:v>Completed</x:v>
      </x:c>
      <x:c r="M847" s="84" t="str">
        <x:v>Cash</x:v>
      </x:c>
      <x:c r="N847" s="84" t="str">
        <x:v>Ethan Cole</x:v>
      </x:c>
      <x:c r="O847" s="85" t="n">
        <x:v>45593</x:v>
      </x:c>
      <x:c r="P847" s="84" t="str">
        <x:v>POS_2024_10</x:v>
      </x:c>
      <x:c r="Q847" s="84" t="str">
        <x:v>Wireless Keyboard </x:v>
      </x:c>
      <x:c r="R847" s="84" t="str">
        <x:v>Office</x:v>
      </x:c>
    </x:row>
    <x:row r="848">
      <x:c r="A848" s="84" t="str">
        <x:v>ORD-2024-00086</x:v>
      </x:c>
      <x:c r="B848" s="85" t="n">
        <x:v>45593</x:v>
      </x:c>
      <x:c r="C848" s="84" t="str">
        <x:v>CUST-0253</x:v>
      </x:c>
      <x:c r="D848" s="84" t="str">
        <x:v>Caleb Quinn</x:v>
      </x:c>
      <x:c r="E848" s="84" t="str">
        <x:v>Corporate</x:v>
      </x:c>
      <x:c r="F848" s="84" t="str">
        <x:v>Midwest</x:v>
      </x:c>
      <x:c r="G848" s="84" t="str">
        <x:v>Chicago</x:v>
      </x:c>
      <x:c r="H848" s="84" t="str">
        <x:v>Retail Store</x:v>
      </x:c>
      <x:c r="I848" s="84" t="str">
        <x:v>CARE-002</x:v>
      </x:c>
      <x:c r="J848" s="86" t="n">
        <x:v>4</x:v>
      </x:c>
      <x:c r="K848" s="87" t="n">
        <x:v>0.05</x:v>
      </x:c>
      <x:c r="L848" s="84" t="str">
        <x:v>Completed</x:v>
      </x:c>
      <x:c r="M848" s="84" t="str">
        <x:v>Credit Card</x:v>
      </x:c>
      <x:c r="N848" s="84" t="str">
        <x:v>Zoe Turner</x:v>
      </x:c>
      <x:c r="O848" s="85" t="n">
        <x:v>45593</x:v>
      </x:c>
      <x:c r="P848" s="84" t="str">
        <x:v>POS_2024_10</x:v>
      </x:c>
      <x:c r="Q848" s="84" t="str">
        <x:v>rechargeable trimmer</x:v>
      </x:c>
      <x:c r="R848" s="84" t="str">
        <x:v>Personal Care </x:v>
      </x:c>
    </x:row>
    <x:row r="849">
      <x:c r="A849" s="84" t="str">
        <x:v>ORD-2024-00320</x:v>
      </x:c>
      <x:c r="B849" s="85" t="n">
        <x:v>45593</x:v>
      </x:c>
      <x:c r="C849" s="84" t="str">
        <x:v>CUST-0297</x:v>
      </x:c>
      <x:c r="D849" s="84" t="str">
        <x:v> NATHAN DAVIS </x:v>
      </x:c>
      <x:c r="E849" s="84" t="str">
        <x:v>Consumer</x:v>
      </x:c>
      <x:c r="F849" s="84" t="str">
        <x:v> MIDWEST </x:v>
      </x:c>
      <x:c r="G849" s="84" t="str">
        <x:v>Minneapolis</x:v>
      </x:c>
      <x:c r="H849" s="84" t="str">
        <x:v>Marketplace</x:v>
      </x:c>
      <x:c r="I849" s="84" t="str">
        <x:v>FITN-006</x:v>
      </x:c>
      <x:c r="J849" s="86" t="n">
        <x:v>1</x:v>
      </x:c>
      <x:c r="K849" s="87" t="n">
        <x:v>0.1</x:v>
      </x:c>
      <x:c r="L849" s="84" t="str">
        <x:v>Completed</x:v>
      </x:c>
      <x:c r="M849" s="84" t="str">
        <x:v>Credit Card </x:v>
      </x:c>
      <x:c r="N849" s="84" t="str">
        <x:v>Emma Hayes</x:v>
      </x:c>
      <x:c r="O849" s="85" t="n">
        <x:v>45599</x:v>
      </x:c>
      <x:c r="P849" s="84" t="str">
        <x:v>MKT_2024_10</x:v>
      </x:c>
      <x:c r="Q849" s="84" t="str">
        <x:v>Foam Roller</x:v>
      </x:c>
      <x:c r="R849" s="84" t="str">
        <x:v>Fitness</x:v>
      </x:c>
    </x:row>
    <x:row r="850">
      <x:c r="A850" s="84" t="str">
        <x:v>ORD-2024-00488</x:v>
      </x:c>
      <x:c r="B850" s="85" t="n">
        <x:v>45593</x:v>
      </x:c>
      <x:c r="C850" s="84" t="str">
        <x:v>CUST-0418</x:v>
      </x:c>
      <x:c r="D850" s="84" t="str">
        <x:v>Grace Ortiz </x:v>
      </x:c>
      <x:c r="E850" s="84" t="str"/>
      <x:c r="F850" s="84" t="str">
        <x:v>West</x:v>
      </x:c>
      <x:c r="G850" s="84" t="str">
        <x:v>seattle</x:v>
      </x:c>
      <x:c r="H850" s="84" t="str">
        <x:v>Online</x:v>
      </x:c>
      <x:c r="I850" s="84" t="str">
        <x:v>ELEC-001</x:v>
      </x:c>
      <x:c r="J850" s="86" t="n">
        <x:v>3</x:v>
      </x:c>
      <x:c r="K850" s="87" t="n">
        <x:v>0.05</x:v>
      </x:c>
      <x:c r="L850" s="84" t="str">
        <x:v>completed</x:v>
      </x:c>
      <x:c r="M850" s="84" t="str">
        <x:v>Debit Card </x:v>
      </x:c>
      <x:c r="N850" s="84" t="str">
        <x:v>Nora Kim</x:v>
      </x:c>
      <x:c r="O850" s="85" t="n">
        <x:v>45595</x:v>
      </x:c>
      <x:c r="P850" s="84" t="str">
        <x:v>WEB_2024_10</x:v>
      </x:c>
      <x:c r="Q850" s="84" t="str">
        <x:v>Wireless Earbuds</x:v>
      </x:c>
      <x:c r="R850" s="84" t="str">
        <x:v>Electronics</x:v>
      </x:c>
    </x:row>
    <x:row r="851">
      <x:c r="A851" s="84" t="str">
        <x:v>ORD-2024-00576</x:v>
      </x:c>
      <x:c r="B851" s="85" t="n">
        <x:v>45593</x:v>
      </x:c>
      <x:c r="C851" s="84" t="str">
        <x:v>CUST-0420</x:v>
      </x:c>
      <x:c r="D851" s="84" t="str">
        <x:v>William Evans</x:v>
      </x:c>
      <x:c r="E851" s="84" t="str">
        <x:v>Small Business</x:v>
      </x:c>
      <x:c r="F851" s="84" t="str">
        <x:v>Southeast</x:v>
      </x:c>
      <x:c r="G851" s="84" t="str">
        <x:v>atlanta</x:v>
      </x:c>
      <x:c r="H851" s="84" t="str">
        <x:v>Marketplace</x:v>
      </x:c>
      <x:c r="I851" s="84" t="str">
        <x:v>HOME-003</x:v>
      </x:c>
      <x:c r="J851" s="86" t="n">
        <x:v>3</x:v>
      </x:c>
      <x:c r="K851" s="87" t="n">
        <x:v>0</x:v>
      </x:c>
      <x:c r="L851" s="84" t="str">
        <x:v>completed</x:v>
      </x:c>
      <x:c r="M851" s="84" t="str">
        <x:v>Credit Card</x:v>
      </x:c>
      <x:c r="N851" s="84" t="str">
        <x:v>Liam Parker</x:v>
      </x:c>
      <x:c r="O851" s="85" t="n">
        <x:v>45601</x:v>
      </x:c>
      <x:c r="P851" s="84" t="str">
        <x:v>MKT_2024_10</x:v>
      </x:c>
      <x:c r="Q851" s="84" t="str">
        <x:v>Countertop Blender</x:v>
      </x:c>
      <x:c r="R851" s="84" t="str">
        <x:v> HOME &amp; KITCHEN </x:v>
      </x:c>
    </x:row>
    <x:row r="852">
      <x:c r="A852" s="84" t="str">
        <x:v>ORD-2024-00706</x:v>
      </x:c>
      <x:c r="B852" s="85" t="n">
        <x:v>45593</x:v>
      </x:c>
      <x:c r="C852" s="84" t="str">
        <x:v>CUST-0008</x:v>
      </x:c>
      <x:c r="D852" s="84" t="str">
        <x:v>Nathan Foster</x:v>
      </x:c>
      <x:c r="E852" s="84" t="str">
        <x:v>Consumer</x:v>
      </x:c>
      <x:c r="F852" s="84" t="str">
        <x:v>West</x:v>
      </x:c>
      <x:c r="G852" s="84" t="str">
        <x:v>Denver</x:v>
      </x:c>
      <x:c r="H852" s="84" t="str">
        <x:v>Retail Store</x:v>
      </x:c>
      <x:c r="I852" s="84" t="str">
        <x:v>CARE-003</x:v>
      </x:c>
      <x:c r="J852" s="86" t="n">
        <x:v>1</x:v>
      </x:c>
      <x:c r="K852" s="87" t="n">
        <x:v>0.1</x:v>
      </x:c>
      <x:c r="L852" s="84" t="str">
        <x:v>Completed </x:v>
      </x:c>
      <x:c r="M852" s="84" t="str">
        <x:v>Mobile Wallet</x:v>
      </x:c>
      <x:c r="N852" s="84" t="str">
        <x:v>nora kim</x:v>
      </x:c>
      <x:c r="O852" s="85" t="n">
        <x:v>45594</x:v>
      </x:c>
      <x:c r="P852" s="84" t="str">
        <x:v>POS_2024_10</x:v>
      </x:c>
      <x:c r="Q852" s="84" t="str">
        <x:v>Facial Cleanser</x:v>
      </x:c>
      <x:c r="R852" s="84" t="str">
        <x:v>Personal Care</x:v>
      </x:c>
    </x:row>
    <x:row r="853">
      <x:c r="A853" s="84" t="str">
        <x:v>ORD-2024-00914</x:v>
      </x:c>
      <x:c r="B853" s="85" t="n">
        <x:v>45593</x:v>
      </x:c>
      <x:c r="C853" s="84" t="str">
        <x:v>CUST-0174</x:v>
      </x:c>
      <x:c r="D853" s="84" t="str">
        <x:v>Victoria Walker</x:v>
      </x:c>
      <x:c r="E853" s="84" t="str">
        <x:v>Small Business</x:v>
      </x:c>
      <x:c r="F853" s="84" t="str">
        <x:v>Northeast </x:v>
      </x:c>
      <x:c r="G853" s="84" t="str">
        <x:v>New York</x:v>
      </x:c>
      <x:c r="H853" s="84" t="str">
        <x:v>Online</x:v>
      </x:c>
      <x:c r="I853" s="84" t="str">
        <x:v>HOME-002</x:v>
      </x:c>
      <x:c r="J853" s="86" t="n">
        <x:v>1</x:v>
      </x:c>
      <x:c r="K853" s="87" t="n">
        <x:v>0</x:v>
      </x:c>
      <x:c r="L853" s="84" t="str">
        <x:v>Completed</x:v>
      </x:c>
      <x:c r="M853" s="84" t="str">
        <x:v>Debit Card</x:v>
      </x:c>
      <x:c r="N853" s="84" t="str">
        <x:v>Sofia Bennett </x:v>
      </x:c>
      <x:c r="O853" s="85" t="n">
        <x:v>45595</x:v>
      </x:c>
      <x:c r="P853" s="84" t="str">
        <x:v>WEB_2024_10</x:v>
      </x:c>
      <x:c r="Q853" s="84" t="str">
        <x:v>Electric Kettle</x:v>
      </x:c>
      <x:c r="R853" s="84" t="str">
        <x:v>Home &amp; Kitchen</x:v>
      </x:c>
    </x:row>
    <x:row r="854">
      <x:c r="A854" s="84" t="str">
        <x:v>ORD-2024-01363</x:v>
      </x:c>
      <x:c r="B854" s="85" t="n">
        <x:v>45593</x:v>
      </x:c>
      <x:c r="C854" s="84" t="str">
        <x:v>CUST-0615</x:v>
      </x:c>
      <x:c r="D854" s="84" t="str">
        <x:v>Jonah Quinn </x:v>
      </x:c>
      <x:c r="E854" s="84" t="str">
        <x:v>Consumer</x:v>
      </x:c>
      <x:c r="F854" s="84" t="str">
        <x:v>Midwest</x:v>
      </x:c>
      <x:c r="G854" s="84" t="str">
        <x:v>Minneapolis</x:v>
      </x:c>
      <x:c r="H854" s="84" t="str">
        <x:v>Online</x:v>
      </x:c>
      <x:c r="I854" s="84" t="str">
        <x:v>CARE-006</x:v>
      </x:c>
      <x:c r="J854" s="86" t="n">
        <x:v>1</x:v>
      </x:c>
      <x:c r="K854" s="87" t="n">
        <x:v>0</x:v>
      </x:c>
      <x:c r="L854" s="84" t="str">
        <x:v>Completed</x:v>
      </x:c>
      <x:c r="M854" s="84" t="str">
        <x:v>credit card</x:v>
      </x:c>
      <x:c r="N854" s="84" t="str">
        <x:v> EMMA HAYES </x:v>
      </x:c>
      <x:c r="O854" s="85" t="n">
        <x:v>45595</x:v>
      </x:c>
      <x:c r="P854" s="84" t="str">
        <x:v>WEB_2024_10</x:v>
      </x:c>
      <x:c r="Q854" s="84" t="str">
        <x:v>Percussion Massage Gun</x:v>
      </x:c>
      <x:c r="R854" s="84" t="str">
        <x:v>Personal Care</x:v>
      </x:c>
    </x:row>
    <x:row r="855">
      <x:c r="A855" s="84" t="str">
        <x:v>ORD-2024-01669</x:v>
      </x:c>
      <x:c r="B855" s="85" t="n">
        <x:v>45593</x:v>
      </x:c>
      <x:c r="C855" s="84" t="str">
        <x:v>CUST-0299</x:v>
      </x:c>
      <x:c r="D855" s="84" t="str">
        <x:v>Caleb Lewis</x:v>
      </x:c>
      <x:c r="E855" s="84" t="str">
        <x:v>Consumer</x:v>
      </x:c>
      <x:c r="F855" s="84" t="str">
        <x:v>northeast</x:v>
      </x:c>
      <x:c r="G855" s="84" t="str">
        <x:v>New York</x:v>
      </x:c>
      <x:c r="H855" s="84" t="str">
        <x:v>Retail Store </x:v>
      </x:c>
      <x:c r="I855" s="84" t="str">
        <x:v>OFFC-001</x:v>
      </x:c>
      <x:c r="J855" s="86" t="n">
        <x:v>1</x:v>
      </x:c>
      <x:c r="K855" s="87" t="n">
        <x:v>0</x:v>
      </x:c>
      <x:c r="L855" s="84" t="str">
        <x:v>Completed</x:v>
      </x:c>
      <x:c r="M855" s="84" t="str">
        <x:v>Cash</x:v>
      </x:c>
      <x:c r="N855" s="84" t="str">
        <x:v> MAYA BROOKS </x:v>
      </x:c>
      <x:c r="O855" s="85" t="n">
        <x:v>45593</x:v>
      </x:c>
      <x:c r="P855" s="84" t="str">
        <x:v>POS_2024_10</x:v>
      </x:c>
      <x:c r="Q855" s="84" t="str">
        <x:v>Ergonomic Chair</x:v>
      </x:c>
      <x:c r="R855" s="84" t="str">
        <x:v>Office</x:v>
      </x:c>
    </x:row>
    <x:row r="856">
      <x:c r="A856" s="84" t="str">
        <x:v>ORD-2024-01669</x:v>
      </x:c>
      <x:c r="B856" s="85" t="n">
        <x:v>45593</x:v>
      </x:c>
      <x:c r="C856" s="84" t="str">
        <x:v>CUST-0299</x:v>
      </x:c>
      <x:c r="D856" s="84" t="str">
        <x:v>Caleb Lewis</x:v>
      </x:c>
      <x:c r="E856" s="84" t="str">
        <x:v>Consumer</x:v>
      </x:c>
      <x:c r="F856" s="84" t="str">
        <x:v>northeast</x:v>
      </x:c>
      <x:c r="G856" s="84" t="str">
        <x:v>New York</x:v>
      </x:c>
      <x:c r="H856" s="84" t="str">
        <x:v>Retail Store </x:v>
      </x:c>
      <x:c r="I856" s="84" t="str">
        <x:v>OFFC-001</x:v>
      </x:c>
      <x:c r="J856" s="86" t="n">
        <x:v>1</x:v>
      </x:c>
      <x:c r="K856" s="87" t="n">
        <x:v>0</x:v>
      </x:c>
      <x:c r="L856" s="84" t="str">
        <x:v>Completed</x:v>
      </x:c>
      <x:c r="M856" s="84" t="str">
        <x:v>Cash</x:v>
      </x:c>
      <x:c r="N856" s="84" t="str">
        <x:v> MAYA BROOKS </x:v>
      </x:c>
      <x:c r="O856" s="85" t="n">
        <x:v>45593</x:v>
      </x:c>
      <x:c r="P856" s="84" t="str">
        <x:v>RELOAD_POS_2024_10</x:v>
      </x:c>
      <x:c r="Q856" s="84" t="str">
        <x:v>Ergonomic Chair</x:v>
      </x:c>
      <x:c r="R856" s="84" t="str">
        <x:v>Office</x:v>
      </x:c>
    </x:row>
    <x:row r="857">
      <x:c r="A857" s="84" t="str">
        <x:v>ORD-2024-02075</x:v>
      </x:c>
      <x:c r="B857" s="85" t="n">
        <x:v>45593</x:v>
      </x:c>
      <x:c r="C857" s="84" t="str">
        <x:v>CUST-0336</x:v>
      </x:c>
      <x:c r="D857" s="84" t="str">
        <x:v>jonah garcia</x:v>
      </x:c>
      <x:c r="E857" s="84" t="str">
        <x:v>Consumer</x:v>
      </x:c>
      <x:c r="F857" s="84" t="str">
        <x:v>West</x:v>
      </x:c>
      <x:c r="G857" s="84" t="str">
        <x:v>Phoenix</x:v>
      </x:c>
      <x:c r="H857" s="84" t="str">
        <x:v>Online </x:v>
      </x:c>
      <x:c r="I857" s="84" t="str">
        <x:v>FITN-005</x:v>
      </x:c>
      <x:c r="J857" s="86" t="n">
        <x:v>2</x:v>
      </x:c>
      <x:c r="K857" s="87" t="n">
        <x:v>0</x:v>
      </x:c>
      <x:c r="L857" s="84" t="str">
        <x:v>Completed</x:v>
      </x:c>
      <x:c r="M857" s="84" t="str">
        <x:v>Credit Card</x:v>
      </x:c>
      <x:c r="N857" s="84" t="str">
        <x:v>Nora Kim</x:v>
      </x:c>
      <x:c r="O857" s="85" t="n">
        <x:v>45596</x:v>
      </x:c>
      <x:c r="P857" s="84" t="str">
        <x:v>WEB_2024_10</x:v>
      </x:c>
      <x:c r="Q857" s="84" t="str">
        <x:v>Sports Water Bottle</x:v>
      </x:c>
      <x:c r="R857" s="84" t="str">
        <x:v>Fitness</x:v>
      </x:c>
    </x:row>
    <x:row r="858">
      <x:c r="A858" s="84" t="str">
        <x:v>ORD-2024-02382</x:v>
      </x:c>
      <x:c r="B858" s="85" t="n">
        <x:v>45593</x:v>
      </x:c>
      <x:c r="C858" s="84" t="str">
        <x:v>CUST-0500</x:v>
      </x:c>
      <x:c r="D858" s="84" t="str">
        <x:v>Sara Baker</x:v>
      </x:c>
      <x:c r="E858" s="84" t="str">
        <x:v>Consumer</x:v>
      </x:c>
      <x:c r="F858" s="84" t="str">
        <x:v>Midwest</x:v>
      </x:c>
      <x:c r="G858" s="84" t="str">
        <x:v>Minneapolis</x:v>
      </x:c>
      <x:c r="H858" s="84" t="str">
        <x:v>Retail Store</x:v>
      </x:c>
      <x:c r="I858" s="84" t="str">
        <x:v>OFFC-001</x:v>
      </x:c>
      <x:c r="J858" s="86" t="n">
        <x:v>1</x:v>
      </x:c>
      <x:c r="K858" s="87" t="n">
        <x:v>0.05</x:v>
      </x:c>
      <x:c r="L858" s="84" t="str">
        <x:v>Completed</x:v>
      </x:c>
      <x:c r="M858" s="84" t="str">
        <x:v>Credit Card</x:v>
      </x:c>
      <x:c r="N858" s="84" t="str">
        <x:v>Emma Hayes</x:v>
      </x:c>
      <x:c r="O858" s="85" t="n">
        <x:v>45593</x:v>
      </x:c>
      <x:c r="P858" s="84" t="str">
        <x:v>POS_2024_10</x:v>
      </x:c>
      <x:c r="Q858" s="84" t="str">
        <x:v>Ergonomic Chair</x:v>
      </x:c>
      <x:c r="R858" s="84" t="str">
        <x:v>Office </x:v>
      </x:c>
    </x:row>
    <x:row r="859">
      <x:c r="A859" s="84" t="str">
        <x:v>ORD-2024-00007</x:v>
      </x:c>
      <x:c r="B859" s="85" t="n">
        <x:v>45595</x:v>
      </x:c>
      <x:c r="C859" s="84" t="str">
        <x:v>CUST-0422</x:v>
      </x:c>
      <x:c r="D859" s="84" t="str">
        <x:v>william adams</x:v>
      </x:c>
      <x:c r="E859" s="84" t="str">
        <x:v>Consumer </x:v>
      </x:c>
      <x:c r="F859" s="84" t="str">
        <x:v>Midwest</x:v>
      </x:c>
      <x:c r="G859" s="84" t="str">
        <x:v>Detroit </x:v>
      </x:c>
      <x:c r="H859" s="84" t="str">
        <x:v>Retail Store</x:v>
      </x:c>
      <x:c r="I859" s="84" t="str">
        <x:v>HOME-003</x:v>
      </x:c>
      <x:c r="J859" s="86" t="n">
        <x:v>1</x:v>
      </x:c>
      <x:c r="K859" s="87" t="n">
        <x:v>0</x:v>
      </x:c>
      <x:c r="L859" s="84" t="str">
        <x:v>Completed</x:v>
      </x:c>
      <x:c r="M859" s="84" t="str">
        <x:v>Debit Card</x:v>
      </x:c>
      <x:c r="N859" s="84" t="str">
        <x:v>Emma Hayes</x:v>
      </x:c>
      <x:c r="O859" s="85" t="n">
        <x:v>45595</x:v>
      </x:c>
      <x:c r="P859" s="84" t="str">
        <x:v>POS_2024_10</x:v>
      </x:c>
      <x:c r="Q859" s="84" t="str">
        <x:v>Countertop Blender</x:v>
      </x:c>
      <x:c r="R859" s="84" t="str">
        <x:v>Home &amp; Kitchen</x:v>
      </x:c>
    </x:row>
    <x:row r="860">
      <x:c r="A860" s="84" t="str">
        <x:v>ORD-2024-00197</x:v>
      </x:c>
      <x:c r="B860" s="85" t="n">
        <x:v>45595</x:v>
      </x:c>
      <x:c r="C860" s="84" t="str">
        <x:v>CUST-0243</x:v>
      </x:c>
      <x:c r="D860" s="84" t="str">
        <x:v>Jasmine Johnson</x:v>
      </x:c>
      <x:c r="E860" s="84" t="str">
        <x:v>Corporate</x:v>
      </x:c>
      <x:c r="F860" s="84" t="str">
        <x:v>Northeast</x:v>
      </x:c>
      <x:c r="G860" s="84" t="str">
        <x:v> NEWARK </x:v>
      </x:c>
      <x:c r="H860" s="84" t="str">
        <x:v>Retail Store</x:v>
      </x:c>
      <x:c r="I860" s="84" t="str">
        <x:v>ACCS-006</x:v>
      </x:c>
      <x:c r="J860" s="86" t="n">
        <x:v>1</x:v>
      </x:c>
      <x:c r="K860" s="87" t="n">
        <x:v>0.15</x:v>
      </x:c>
      <x:c r="L860" s="84" t="str">
        <x:v>Completed</x:v>
      </x:c>
      <x:c r="M860" s="84" t="str">
        <x:v>credit card</x:v>
      </x:c>
      <x:c r="N860" s="84" t="str">
        <x:v>Ethan Cole</x:v>
      </x:c>
      <x:c r="O860" s="85" t="n">
        <x:v>45595</x:v>
      </x:c>
      <x:c r="P860" s="84" t="str">
        <x:v>POS_2024_10</x:v>
      </x:c>
      <x:c r="Q860" s="84" t="str">
        <x:v>Insulated Lunch Bag </x:v>
      </x:c>
      <x:c r="R860" s="84" t="str">
        <x:v>Accessories</x:v>
      </x:c>
    </x:row>
    <x:row r="861">
      <x:c r="A861" s="84" t="str">
        <x:v>ORD-2024-00523</x:v>
      </x:c>
      <x:c r="B861" s="85" t="n">
        <x:v>45595</x:v>
      </x:c>
      <x:c r="C861" s="84" t="str">
        <x:v>CUST-0180</x:v>
      </x:c>
      <x:c r="D861" s="84" t="str">
        <x:v>Chloe Irwin </x:v>
      </x:c>
      <x:c r="E861" s="84" t="str">
        <x:v>Consumer</x:v>
      </x:c>
      <x:c r="F861" s="84" t="str">
        <x:v>Southeast</x:v>
      </x:c>
      <x:c r="G861" s="84" t="str">
        <x:v>Miami</x:v>
      </x:c>
      <x:c r="H861" s="84" t="str">
        <x:v>Retail Store</x:v>
      </x:c>
      <x:c r="I861" s="84" t="str">
        <x:v>ACCS-006</x:v>
      </x:c>
      <x:c r="J861" s="86" t="n">
        <x:v>1</x:v>
      </x:c>
      <x:c r="K861" s="87" t="n">
        <x:v>0.15</x:v>
      </x:c>
      <x:c r="L861" s="84" t="str">
        <x:v>Completed</x:v>
      </x:c>
      <x:c r="M861" s="84" t="str">
        <x:v>Debit Card </x:v>
      </x:c>
      <x:c r="N861" s="84" t="str">
        <x:v>Ava Mitchell</x:v>
      </x:c>
      <x:c r="O861" s="85" t="n">
        <x:v>45596</x:v>
      </x:c>
      <x:c r="P861" s="84" t="str">
        <x:v>POS_2024_10</x:v>
      </x:c>
      <x:c r="Q861" s="84" t="str">
        <x:v>Insulated Lunch Bag</x:v>
      </x:c>
      <x:c r="R861" s="84" t="str">
        <x:v>Accessories</x:v>
      </x:c>
    </x:row>
    <x:row r="862">
      <x:c r="A862" s="84" t="str">
        <x:v>ORD-2024-00743</x:v>
      </x:c>
      <x:c r="B862" s="85" t="n">
        <x:v>45595</x:v>
      </x:c>
      <x:c r="C862" s="84" t="str">
        <x:v>CUST-0194</x:v>
      </x:c>
      <x:c r="D862" s="84" t="str">
        <x:v>Samuel Roberts</x:v>
      </x:c>
      <x:c r="E862" s="84" t="str">
        <x:v>Small Business</x:v>
      </x:c>
      <x:c r="F862" s="84" t="str">
        <x:v>Southeast</x:v>
      </x:c>
      <x:c r="G862" s="84" t="str">
        <x:v>Atlanta</x:v>
      </x:c>
      <x:c r="H862" s="84" t="str">
        <x:v>Marketplace</x:v>
      </x:c>
      <x:c r="I862" s="84" t="str">
        <x:v>ELEC-002</x:v>
      </x:c>
      <x:c r="J862" s="86" t="n">
        <x:v>1</x:v>
      </x:c>
      <x:c r="K862" s="87" t="n">
        <x:v>0.2</x:v>
      </x:c>
      <x:c r="L862" s="84" t="str">
        <x:v>Completed</x:v>
      </x:c>
      <x:c r="M862" s="84" t="str">
        <x:v>PayPal</x:v>
      </x:c>
      <x:c r="N862" s="84" t="str">
        <x:v>Noah Reed</x:v>
      </x:c>
      <x:c r="O862" s="85" t="n">
        <x:v>45600</x:v>
      </x:c>
      <x:c r="P862" s="84" t="str">
        <x:v>MKT_2024_10</x:v>
      </x:c>
      <x:c r="Q862" s="84" t="str">
        <x:v>Smartwatch </x:v>
      </x:c>
      <x:c r="R862" s="84" t="str">
        <x:v>Electronics</x:v>
      </x:c>
    </x:row>
    <x:row r="863">
      <x:c r="A863" s="84" t="str">
        <x:v>ORD-2024-01926</x:v>
      </x:c>
      <x:c r="B863" s="85" t="n">
        <x:v>45595</x:v>
      </x:c>
      <x:c r="C863" s="84" t="str">
        <x:v>CUST-0011</x:v>
      </x:c>
      <x:c r="D863" s="84" t="str">
        <x:v>Priya Hall</x:v>
      </x:c>
      <x:c r="E863" s="84" t="str">
        <x:v>Consumer</x:v>
      </x:c>
      <x:c r="F863" s="84" t="str">
        <x:v>Midwest</x:v>
      </x:c>
      <x:c r="G863" s="84" t="str">
        <x:v>Minneapolis</x:v>
      </x:c>
      <x:c r="H863" s="84" t="str">
        <x:v>Online</x:v>
      </x:c>
      <x:c r="I863" s="84" t="str">
        <x:v>CARE-006</x:v>
      </x:c>
      <x:c r="J863" s="86" t="n">
        <x:v>3</x:v>
      </x:c>
      <x:c r="K863" s="87" t="n">
        <x:v>0.05</x:v>
      </x:c>
      <x:c r="L863" s="84" t="str">
        <x:v> COMPLETED </x:v>
      </x:c>
      <x:c r="M863" s="84" t="str">
        <x:v>Credit Card</x:v>
      </x:c>
      <x:c r="N863" s="84" t="str">
        <x:v>Emma Hayes</x:v>
      </x:c>
      <x:c r="O863" s="85" t="n">
        <x:v>45599</x:v>
      </x:c>
      <x:c r="P863" s="84" t="str">
        <x:v>WEB_2024_10</x:v>
      </x:c>
      <x:c r="Q863" s="84" t="str">
        <x:v>Percussion Massage Gun </x:v>
      </x:c>
      <x:c r="R863" s="84" t="str">
        <x:v>Personal Care</x:v>
      </x:c>
    </x:row>
    <x:row r="864">
      <x:c r="A864" s="84" t="str">
        <x:v>ORD-2024-01643</x:v>
      </x:c>
      <x:c r="B864" s="85" t="n">
        <x:v>45596</x:v>
      </x:c>
      <x:c r="C864" s="84" t="str">
        <x:v>CUST-0294</x:v>
      </x:c>
      <x:c r="D864" s="84" t="str">
        <x:v>Aiden Evans </x:v>
      </x:c>
      <x:c r="E864" s="84" t="str">
        <x:v>Consumer</x:v>
      </x:c>
      <x:c r="F864" s="84" t="str">
        <x:v>Northeast</x:v>
      </x:c>
      <x:c r="G864" s="84" t="str">
        <x:v>newark</x:v>
      </x:c>
      <x:c r="H864" s="84" t="str">
        <x:v>Online</x:v>
      </x:c>
      <x:c r="I864" s="84" t="str">
        <x:v>FITN-005</x:v>
      </x:c>
      <x:c r="J864" s="86" t="n">
        <x:v>2</x:v>
      </x:c>
      <x:c r="K864" s="87" t="n">
        <x:v>0.1</x:v>
      </x:c>
      <x:c r="L864" s="84" t="str">
        <x:v>completed</x:v>
      </x:c>
      <x:c r="M864" s="84" t="str">
        <x:v> CREDIT CARD </x:v>
      </x:c>
      <x:c r="N864" s="84" t="str">
        <x:v>Maya Brooks</x:v>
      </x:c>
      <x:c r="O864" s="85" t="n">
        <x:v>45601</x:v>
      </x:c>
      <x:c r="P864" s="84" t="str">
        <x:v>WEB_2024_10</x:v>
      </x:c>
      <x:c r="Q864" s="84" t="str">
        <x:v>Sports Water Bottle</x:v>
      </x:c>
      <x:c r="R864" s="84" t="str">
        <x:v>Fitness</x:v>
      </x:c>
    </x:row>
    <x:row r="865">
      <x:c r="A865" s="84" t="str">
        <x:v>ORD-2024-01803</x:v>
      </x:c>
      <x:c r="B865" s="85" t="n">
        <x:v>45597</x:v>
      </x:c>
      <x:c r="C865" s="84" t="str">
        <x:v>CUST-0036</x:v>
      </x:c>
      <x:c r="D865" s="84" t="str">
        <x:v>Victoria Ortiz</x:v>
      </x:c>
      <x:c r="E865" s="84" t="str">
        <x:v>Small Business</x:v>
      </x:c>
      <x:c r="F865" s="84" t="str">
        <x:v>Northeast </x:v>
      </x:c>
      <x:c r="G865" s="84" t="str">
        <x:v>Philadelphia</x:v>
      </x:c>
      <x:c r="H865" s="84" t="str">
        <x:v>Online</x:v>
      </x:c>
      <x:c r="I865" s="84" t="str">
        <x:v>OFFC-002</x:v>
      </x:c>
      <x:c r="J865" s="86" t="n">
        <x:v>2</x:v>
      </x:c>
      <x:c r="K865" s="87" t="n">
        <x:v>0.15</x:v>
      </x:c>
      <x:c r="L865" s="84" t="str">
        <x:v>Returned</x:v>
      </x:c>
      <x:c r="M865" s="84" t="str">
        <x:v>credit card</x:v>
      </x:c>
      <x:c r="N865" s="84" t="str">
        <x:v>Sofia Bennett </x:v>
      </x:c>
      <x:c r="O865" s="85" t="n">
        <x:v>45601</x:v>
      </x:c>
      <x:c r="P865" s="84" t="str">
        <x:v>WEB_2024_11</x:v>
      </x:c>
      <x:c r="Q865" s="84" t="str">
        <x:v>Standing Desk</x:v>
      </x:c>
      <x:c r="R865" s="84" t="str">
        <x:v>Office</x:v>
      </x:c>
    </x:row>
    <x:row r="866">
      <x:c r="A866" s="84" t="str">
        <x:v>ORD-2024-02084</x:v>
      </x:c>
      <x:c r="B866" s="85" t="n">
        <x:v>45597</x:v>
      </x:c>
      <x:c r="C866" s="84" t="str">
        <x:v>CUST-0301</x:v>
      </x:c>
      <x:c r="D866" s="84" t="str">
        <x:v>Elias Smith </x:v>
      </x:c>
      <x:c r="E866" s="84" t="str">
        <x:v>Consumer</x:v>
      </x:c>
      <x:c r="F866" s="84" t="str">
        <x:v>Southeast</x:v>
      </x:c>
      <x:c r="G866" s="84" t="str">
        <x:v> CHARLOTTE </x:v>
      </x:c>
      <x:c r="H866" s="84" t="str">
        <x:v>Retail Store</x:v>
      </x:c>
      <x:c r="I866" s="84" t="str">
        <x:v>OFFC-004</x:v>
      </x:c>
      <x:c r="J866" s="86" t="n">
        <x:v>3</x:v>
      </x:c>
      <x:c r="K866" s="87" t="n">
        <x:v>0</x:v>
      </x:c>
      <x:c r="L866" s="84" t="str">
        <x:v>Completed</x:v>
      </x:c>
      <x:c r="M866" s="84" t="str">
        <x:v>Credit Card </x:v>
      </x:c>
      <x:c r="N866" s="84" t="str">
        <x:v>Liam Parker</x:v>
      </x:c>
      <x:c r="O866" s="85" t="n">
        <x:v>45597</x:v>
      </x:c>
      <x:c r="P866" s="84" t="str">
        <x:v>POS_2024_11</x:v>
      </x:c>
      <x:c r="Q866" s="84" t="str">
        <x:v>Premium Notebook Pack</x:v>
      </x:c>
      <x:c r="R866" s="84" t="str">
        <x:v>Office</x:v>
      </x:c>
    </x:row>
    <x:row r="867">
      <x:c r="A867" s="84" t="str">
        <x:v>ORD-2024-00173</x:v>
      </x:c>
      <x:c r="B867" s="85" t="n">
        <x:v>45598</x:v>
      </x:c>
      <x:c r="C867" s="84" t="str">
        <x:v>CUST-0173</x:v>
      </x:c>
      <x:c r="D867" s="84" t="str">
        <x:v>Theo Evans </x:v>
      </x:c>
      <x:c r="E867" s="84" t="str">
        <x:v>Consumer</x:v>
      </x:c>
      <x:c r="F867" s="84" t="str">
        <x:v>northeast</x:v>
      </x:c>
      <x:c r="G867" s="84" t="str">
        <x:v>Boston</x:v>
      </x:c>
      <x:c r="H867" s="84" t="str">
        <x:v>Marketplace</x:v>
      </x:c>
      <x:c r="I867" s="84" t="str">
        <x:v>ACCS-005</x:v>
      </x:c>
      <x:c r="J867" s="86" t="n">
        <x:v>1</x:v>
      </x:c>
      <x:c r="K867" s="87" t="n">
        <x:v>0</x:v>
      </x:c>
      <x:c r="L867" s="84" t="str">
        <x:v>Completed</x:v>
      </x:c>
      <x:c r="M867" s="84" t="str">
        <x:v>PayPal </x:v>
      </x:c>
      <x:c r="N867" s="84" t="str">
        <x:v> SOFIA BENNETT </x:v>
      </x:c>
      <x:c r="O867" s="85" t="n">
        <x:v>45603</x:v>
      </x:c>
      <x:c r="P867" s="84" t="str">
        <x:v>MKT_2024_11</x:v>
      </x:c>
      <x:c r="Q867" s="84" t="str">
        <x:v>Protective Phone Case</x:v>
      </x:c>
      <x:c r="R867" s="84" t="str">
        <x:v>Accessories</x:v>
      </x:c>
    </x:row>
    <x:row r="868">
      <x:c r="A868" s="84" t="str">
        <x:v>ORD-2024-00207</x:v>
      </x:c>
      <x:c r="B868" s="85" t="n">
        <x:v>45598</x:v>
      </x:c>
      <x:c r="C868" s="84" t="str">
        <x:v>CUST-0042</x:v>
      </x:c>
      <x:c r="D868" s="84" t="str">
        <x:v>Daniel Johnson</x:v>
      </x:c>
      <x:c r="E868" s="84" t="str">
        <x:v>Consumer</x:v>
      </x:c>
      <x:c r="F868" s="84" t="str">
        <x:v>Northeast </x:v>
      </x:c>
      <x:c r="G868" s="84" t="str">
        <x:v>Newark</x:v>
      </x:c>
      <x:c r="H868" s="84" t="str">
        <x:v>Online</x:v>
      </x:c>
      <x:c r="I868" s="84" t="str">
        <x:v>CARE-002</x:v>
      </x:c>
      <x:c r="J868" s="86" t="n">
        <x:v>3</x:v>
      </x:c>
      <x:c r="K868" s="87" t="n">
        <x:v>0</x:v>
      </x:c>
      <x:c r="L868" s="84" t="str">
        <x:v>Completed</x:v>
      </x:c>
      <x:c r="M868" s="84" t="str">
        <x:v>Credit Card</x:v>
      </x:c>
      <x:c r="N868" s="84" t="str">
        <x:v> SOFIA BENNETT </x:v>
      </x:c>
      <x:c r="O868" s="85" t="n">
        <x:v>45600</x:v>
      </x:c>
      <x:c r="P868" s="84" t="str">
        <x:v>WEB_2024_11</x:v>
      </x:c>
      <x:c r="Q868" s="84" t="str">
        <x:v>rechargeable trimmer</x:v>
      </x:c>
      <x:c r="R868" s="84" t="str">
        <x:v>Personal Care</x:v>
      </x:c>
    </x:row>
    <x:row r="869">
      <x:c r="A869" s="84" t="str">
        <x:v>ORD-2024-00290</x:v>
      </x:c>
      <x:c r="B869" s="85" t="n">
        <x:v>45598</x:v>
      </x:c>
      <x:c r="C869" s="84" t="str">
        <x:v>CUST-0351</x:v>
      </x:c>
      <x:c r="D869" s="84" t="str">
        <x:v>Sara Garcia</x:v>
      </x:c>
      <x:c r="E869" s="84" t="str">
        <x:v>Consumer</x:v>
      </x:c>
      <x:c r="F869" s="84" t="str">
        <x:v>Midwest</x:v>
      </x:c>
      <x:c r="G869" s="84" t="str">
        <x:v>columbus</x:v>
      </x:c>
      <x:c r="H869" s="84" t="str">
        <x:v>Marketplace </x:v>
      </x:c>
      <x:c r="I869" s="84" t="str">
        <x:v>ELEC-003</x:v>
      </x:c>
      <x:c r="J869" s="86" t="n">
        <x:v>2</x:v>
      </x:c>
      <x:c r="K869" s="87" t="n">
        <x:v>0.2</x:v>
      </x:c>
      <x:c r="L869" s="84" t="str">
        <x:v>completed</x:v>
      </x:c>
      <x:c r="M869" s="84" t="str">
        <x:v>Mobile Wallet</x:v>
      </x:c>
      <x:c r="N869" s="84" t="str">
        <x:v>Emma Hayes</x:v>
      </x:c>
      <x:c r="O869" s="85" t="n">
        <x:v>45603</x:v>
      </x:c>
      <x:c r="P869" s="84" t="str">
        <x:v>MKT_2024_11</x:v>
      </x:c>
      <x:c r="Q869" s="84" t="str">
        <x:v>Bluetooth Speaker</x:v>
      </x:c>
      <x:c r="R869" s="84" t="str">
        <x:v>Electronics</x:v>
      </x:c>
    </x:row>
    <x:row r="870">
      <x:c r="A870" s="84" t="str">
        <x:v>ORD-2024-00689</x:v>
      </x:c>
      <x:c r="B870" s="85" t="n">
        <x:v>45598</x:v>
      </x:c>
      <x:c r="C870" s="84" t="str">
        <x:v>CUST-0429</x:v>
      </x:c>
      <x:c r="D870" s="84" t="str">
        <x:v>maya smith</x:v>
      </x:c>
      <x:c r="E870" s="84" t="str">
        <x:v>Small Business</x:v>
      </x:c>
      <x:c r="F870" s="84" t="str">
        <x:v>West</x:v>
      </x:c>
      <x:c r="G870" s="84" t="str">
        <x:v>Los Angeles</x:v>
      </x:c>
      <x:c r="H870" s="84" t="str">
        <x:v>Retail Store </x:v>
      </x:c>
      <x:c r="I870" s="84" t="str">
        <x:v>ACCS-004</x:v>
      </x:c>
      <x:c r="J870" s="86" t="n">
        <x:v>1</x:v>
      </x:c>
      <x:c r="K870" s="87" t="n">
        <x:v>0.05</x:v>
      </x:c>
      <x:c r="L870" s="84" t="str">
        <x:v>Completed</x:v>
      </x:c>
      <x:c r="M870" s="84" t="str">
        <x:v>Cash</x:v>
      </x:c>
      <x:c r="N870" s="84" t="str">
        <x:v>Mia Chen</x:v>
      </x:c>
      <x:c r="O870" s="85" t="n">
        <x:v>45598</x:v>
      </x:c>
      <x:c r="P870" s="84" t="str">
        <x:v>POS_2024_11</x:v>
      </x:c>
      <x:c r="Q870" s="84" t="str">
        <x:v>Leather Wallet</x:v>
      </x:c>
      <x:c r="R870" s="84" t="str">
        <x:v>Accessories</x:v>
      </x:c>
    </x:row>
    <x:row r="871">
      <x:c r="A871" s="84" t="str">
        <x:v>ORD-2024-01201</x:v>
      </x:c>
      <x:c r="B871" s="85" t="n">
        <x:v>45598</x:v>
      </x:c>
      <x:c r="C871" s="84" t="str">
        <x:v>CUST-0378</x:v>
      </x:c>
      <x:c r="D871" s="84" t="str">
        <x:v>Victoria Nelson</x:v>
      </x:c>
      <x:c r="E871" s="84" t="str">
        <x:v>Consumer</x:v>
      </x:c>
      <x:c r="F871" s="84" t="str">
        <x:v>Midwest </x:v>
      </x:c>
      <x:c r="G871" s="84" t="str">
        <x:v>Chicago</x:v>
      </x:c>
      <x:c r="H871" s="84" t="str">
        <x:v>Online</x:v>
      </x:c>
      <x:c r="I871" s="84" t="str">
        <x:v>HOME-003</x:v>
      </x:c>
      <x:c r="J871" s="86" t="n">
        <x:v>1</x:v>
      </x:c>
      <x:c r="K871" s="87" t="n">
        <x:v>0.1</x:v>
      </x:c>
      <x:c r="L871" s="84" t="str">
        <x:v>Completed</x:v>
      </x:c>
      <x:c r="M871" s="84" t="str">
        <x:v> PAYPAL </x:v>
      </x:c>
      <x:c r="N871" s="84" t="str">
        <x:v>emma hayes</x:v>
      </x:c>
      <x:c r="O871" s="85" t="n">
        <x:v>45600</x:v>
      </x:c>
      <x:c r="P871" s="84" t="str">
        <x:v>WEB_2024_11</x:v>
      </x:c>
      <x:c r="Q871" s="84" t="str">
        <x:v>Countertop Blender</x:v>
      </x:c>
      <x:c r="R871" s="84" t="str">
        <x:v>Home &amp; Kitchen</x:v>
      </x:c>
    </x:row>
    <x:row r="872">
      <x:c r="A872" s="84" t="str">
        <x:v>ORD-2024-01221</x:v>
      </x:c>
      <x:c r="B872" s="85" t="n">
        <x:v>45598</x:v>
      </x:c>
      <x:c r="C872" s="84" t="str">
        <x:v>CUST-0282</x:v>
      </x:c>
      <x:c r="D872" s="84" t="str">
        <x:v> CALEB CARTER </x:v>
      </x:c>
      <x:c r="E872" s="84" t="str">
        <x:v>consumer</x:v>
      </x:c>
      <x:c r="F872" s="84" t="str">
        <x:v> NORTHEAST </x:v>
      </x:c>
      <x:c r="G872" s="84" t="str">
        <x:v>Boston</x:v>
      </x:c>
      <x:c r="H872" s="84" t="str">
        <x:v>online</x:v>
      </x:c>
      <x:c r="I872" s="84" t="str">
        <x:v>HOME-006</x:v>
      </x:c>
      <x:c r="J872" s="86" t="n">
        <x:v>1</x:v>
      </x:c>
      <x:c r="K872" s="87" t="n">
        <x:v>0.2</x:v>
      </x:c>
      <x:c r="L872" s="84" t="str">
        <x:v>Completed</x:v>
      </x:c>
      <x:c r="M872" s="84" t="str">
        <x:v>Mobile Wallet</x:v>
      </x:c>
      <x:c r="N872" s="84" t="str">
        <x:v>Ethan Cole</x:v>
      </x:c>
      <x:c r="O872" s="85" t="n">
        <x:v>45601</x:v>
      </x:c>
      <x:c r="P872" s="84" t="str">
        <x:v>WEB_2024_11</x:v>
      </x:c>
      <x:c r="Q872" s="84" t="str">
        <x:v>Food Storage Set</x:v>
      </x:c>
      <x:c r="R872" s="84" t="str">
        <x:v>Home &amp; Kitchen</x:v>
      </x:c>
    </x:row>
    <x:row r="873">
      <x:c r="A873" s="84" t="str">
        <x:v>ORD-2024-01282</x:v>
      </x:c>
      <x:c r="B873" s="85" t="n">
        <x:v>45598</x:v>
      </x:c>
      <x:c r="C873" s="84" t="str">
        <x:v>CUST-0161</x:v>
      </x:c>
      <x:c r="D873" s="84" t="str">
        <x:v>Sara Patel</x:v>
      </x:c>
      <x:c r="E873" s="84" t="str">
        <x:v>Consumer</x:v>
      </x:c>
      <x:c r="F873" s="84" t="str">
        <x:v>Southeast</x:v>
      </x:c>
      <x:c r="G873" s="84" t="str">
        <x:v>Atlanta</x:v>
      </x:c>
      <x:c r="H873" s="84" t="str">
        <x:v>Online</x:v>
      </x:c>
      <x:c r="I873" s="84" t="str">
        <x:v>ACCS-005</x:v>
      </x:c>
      <x:c r="J873" s="86" t="n">
        <x:v>3</x:v>
      </x:c>
      <x:c r="K873" s="87" t="n">
        <x:v>0</x:v>
      </x:c>
      <x:c r="L873" s="84" t="str">
        <x:v>Completed</x:v>
      </x:c>
      <x:c r="M873" s="84" t="str">
        <x:v>PayPal</x:v>
      </x:c>
      <x:c r="N873" s="84" t="str">
        <x:v>Noah Reed</x:v>
      </x:c>
      <x:c r="O873" s="85" t="n">
        <x:v>45602</x:v>
      </x:c>
      <x:c r="P873" s="84" t="str">
        <x:v>WEB_2024_11</x:v>
      </x:c>
      <x:c r="Q873" s="84" t="str">
        <x:v>Protective Phone Case </x:v>
      </x:c>
      <x:c r="R873" s="84" t="str">
        <x:v>Accessories</x:v>
      </x:c>
    </x:row>
    <x:row r="874">
      <x:c r="A874" s="84" t="str">
        <x:v>ORD-2024-01310</x:v>
      </x:c>
      <x:c r="B874" s="85" t="n">
        <x:v>45598</x:v>
      </x:c>
      <x:c r="C874" s="84" t="str">
        <x:v>CUST-0509</x:v>
      </x:c>
      <x:c r="D874" s="84" t="str">
        <x:v>Daniel Moore</x:v>
      </x:c>
      <x:c r="E874" s="84" t="str">
        <x:v>Corporate</x:v>
      </x:c>
      <x:c r="F874" s="84" t="str">
        <x:v>Southeast</x:v>
      </x:c>
      <x:c r="G874" s="84" t="str">
        <x:v>Atlanta</x:v>
      </x:c>
      <x:c r="H874" s="84" t="str">
        <x:v>Retail Store</x:v>
      </x:c>
      <x:c r="I874" s="84" t="str">
        <x:v>ELEC-002</x:v>
      </x:c>
      <x:c r="J874" s="86" t="n">
        <x:v>8</x:v>
      </x:c>
      <x:c r="K874" s="87" t="n">
        <x:v>0.15</x:v>
      </x:c>
      <x:c r="L874" s="84" t="str">
        <x:v>Completed</x:v>
      </x:c>
      <x:c r="M874" s="84" t="str">
        <x:v>Mobile Wallet</x:v>
      </x:c>
      <x:c r="N874" s="84" t="str">
        <x:v>Ava Mitchell</x:v>
      </x:c>
      <x:c r="O874" s="85" t="n">
        <x:v>45599</x:v>
      </x:c>
      <x:c r="P874" s="84" t="str">
        <x:v>POS_2024_11</x:v>
      </x:c>
      <x:c r="Q874" s="84" t="str">
        <x:v>Smartwatch </x:v>
      </x:c>
      <x:c r="R874" s="84" t="str">
        <x:v>Electronics</x:v>
      </x:c>
    </x:row>
    <x:row r="875">
      <x:c r="A875" s="84" t="str">
        <x:v>ORD-2024-02114</x:v>
      </x:c>
      <x:c r="B875" s="85" t="n">
        <x:v>45598</x:v>
      </x:c>
      <x:c r="C875" s="84" t="str">
        <x:v>CUST-0109</x:v>
      </x:c>
      <x:c r="D875" s="84" t="str">
        <x:v>Maya Evans</x:v>
      </x:c>
      <x:c r="E875" s="84" t="str">
        <x:v>Consumer </x:v>
      </x:c>
      <x:c r="F875" s="84" t="str">
        <x:v>West</x:v>
      </x:c>
      <x:c r="G875" s="84" t="str">
        <x:v>Seattle </x:v>
      </x:c>
      <x:c r="H875" s="84" t="str">
        <x:v> ONLINE </x:v>
      </x:c>
      <x:c r="I875" s="84" t="str">
        <x:v>ACCS-005</x:v>
      </x:c>
      <x:c r="J875" s="86" t="n">
        <x:v>4</x:v>
      </x:c>
      <x:c r="K875" s="87" t="n">
        <x:v>0</x:v>
      </x:c>
      <x:c r="L875" s="84" t="str">
        <x:v>Completed</x:v>
      </x:c>
      <x:c r="M875" s="84" t="str">
        <x:v>Credit Card</x:v>
      </x:c>
      <x:c r="N875" s="84" t="str">
        <x:v>leo martinez</x:v>
      </x:c>
      <x:c r="O875" s="85" t="n">
        <x:v>45600</x:v>
      </x:c>
      <x:c r="P875" s="84" t="str">
        <x:v>WEB_2024_11</x:v>
      </x:c>
      <x:c r="Q875" s="84" t="str">
        <x:v>Protective Phone Case</x:v>
      </x:c>
      <x:c r="R875" s="84" t="str">
        <x:v>Accessories</x:v>
      </x:c>
    </x:row>
    <x:row r="876">
      <x:c r="A876" s="84" t="str">
        <x:v>ORD-2024-02254</x:v>
      </x:c>
      <x:c r="B876" s="85" t="n">
        <x:v>45598</x:v>
      </x:c>
      <x:c r="C876" s="84" t="str">
        <x:v>CUST-0306</x:v>
      </x:c>
      <x:c r="D876" s="84" t="str">
        <x:v>Sara Garcia</x:v>
      </x:c>
      <x:c r="E876" s="84" t="str">
        <x:v>Consumer </x:v>
      </x:c>
      <x:c r="F876" s="84" t="str">
        <x:v>Southeast</x:v>
      </x:c>
      <x:c r="G876" s="84" t="str">
        <x:v> ATLANTA </x:v>
      </x:c>
      <x:c r="H876" s="84" t="str">
        <x:v>Online</x:v>
      </x:c>
      <x:c r="I876" s="84" t="str">
        <x:v>ELEC-005</x:v>
      </x:c>
      <x:c r="J876" s="86" t="n">
        <x:v>1</x:v>
      </x:c>
      <x:c r="K876" s="87" t="n">
        <x:v>0.15</x:v>
      </x:c>
      <x:c r="L876" s="84" t="str">
        <x:v>Completed</x:v>
      </x:c>
      <x:c r="M876" s="84" t="str">
        <x:v>paypal</x:v>
      </x:c>
      <x:c r="N876" s="84" t="str">
        <x:v>Liam Parker</x:v>
      </x:c>
      <x:c r="O876" s="85" t="n">
        <x:v>45602</x:v>
      </x:c>
      <x:c r="P876" s="84" t="str">
        <x:v>WEB_2024_11</x:v>
      </x:c>
      <x:c r="Q876" s="84" t="str">
        <x:v>HD Webcam</x:v>
      </x:c>
      <x:c r="R876" s="84" t="str">
        <x:v>Electronics</x:v>
      </x:c>
    </x:row>
    <x:row r="877">
      <x:c r="A877" s="84" t="str">
        <x:v>ORD-2024-02255</x:v>
      </x:c>
      <x:c r="B877" s="85" t="n">
        <x:v>45598</x:v>
      </x:c>
      <x:c r="C877" s="84" t="str">
        <x:v>CUST-0096</x:v>
      </x:c>
      <x:c r="D877" s="84" t="str">
        <x:v>Nina Irwin</x:v>
      </x:c>
      <x:c r="E877" s="84" t="str">
        <x:v>consumer</x:v>
      </x:c>
      <x:c r="F877" s="84" t="str">
        <x:v>Southeast</x:v>
      </x:c>
      <x:c r="G877" s="84" t="str">
        <x:v>Miami</x:v>
      </x:c>
      <x:c r="H877" s="84" t="str">
        <x:v>marketplace</x:v>
      </x:c>
      <x:c r="I877" s="84" t="str">
        <x:v>ELEC-002</x:v>
      </x:c>
      <x:c r="J877" s="86" t="n">
        <x:v>2</x:v>
      </x:c>
      <x:c r="K877" s="87" t="n">
        <x:v>0.15</x:v>
      </x:c>
      <x:c r="L877" s="84" t="str">
        <x:v>Completed</x:v>
      </x:c>
      <x:c r="M877" s="84" t="str">
        <x:v> CREDIT CARD </x:v>
      </x:c>
      <x:c r="N877" s="84" t="str">
        <x:v>Liam Parker</x:v>
      </x:c>
      <x:c r="O877" s="85" t="n">
        <x:v>45602</x:v>
      </x:c>
      <x:c r="P877" s="84" t="str">
        <x:v>MKT_2024_11</x:v>
      </x:c>
      <x:c r="Q877" s="84" t="str">
        <x:v>Smartwatch </x:v>
      </x:c>
      <x:c r="R877" s="84" t="str">
        <x:v>Electronics</x:v>
      </x:c>
    </x:row>
    <x:row r="878">
      <x:c r="A878" s="84" t="str">
        <x:v>ORD-2024-01644</x:v>
      </x:c>
      <x:c r="B878" s="85" t="n">
        <x:v>45599</x:v>
      </x:c>
      <x:c r="C878" s="84" t="str">
        <x:v>CUST-0075</x:v>
      </x:c>
      <x:c r="D878" s="84" t="str">
        <x:v>Theo Walker</x:v>
      </x:c>
      <x:c r="E878" s="84" t="str">
        <x:v>Consumer</x:v>
      </x:c>
      <x:c r="F878" s="84" t="str">
        <x:v>Northeast</x:v>
      </x:c>
      <x:c r="G878" s="84" t="str">
        <x:v>Philadelphia</x:v>
      </x:c>
      <x:c r="H878" s="84" t="str">
        <x:v>Retail Store</x:v>
      </x:c>
      <x:c r="I878" s="84" t="str">
        <x:v>OFFC-002</x:v>
      </x:c>
      <x:c r="J878" s="86" t="n">
        <x:v>1</x:v>
      </x:c>
      <x:c r="K878" s="87" t="n">
        <x:v>0.15</x:v>
      </x:c>
      <x:c r="L878" s="84" t="str">
        <x:v>Completed </x:v>
      </x:c>
      <x:c r="M878" s="84" t="str">
        <x:v>Credit Card</x:v>
      </x:c>
      <x:c r="N878" s="84" t="str">
        <x:v>Sofia Bennett</x:v>
      </x:c>
      <x:c r="O878" s="85" t="n">
        <x:v>45599</x:v>
      </x:c>
      <x:c r="P878" s="84" t="str">
        <x:v>POS_2024_11</x:v>
      </x:c>
      <x:c r="Q878" s="84" t="str">
        <x:v>Standing Desk</x:v>
      </x:c>
      <x:c r="R878" s="84" t="str">
        <x:v>Office</x:v>
      </x:c>
    </x:row>
    <x:row r="879">
      <x:c r="A879" s="84" t="str">
        <x:v>ORD-2024-00672</x:v>
      </x:c>
      <x:c r="B879" s="85" t="n">
        <x:v>45600</x:v>
      </x:c>
      <x:c r="C879" s="84" t="str">
        <x:v>CUST-0279</x:v>
      </x:c>
      <x:c r="D879" s="84" t="str">
        <x:v>Priya Johnson</x:v>
      </x:c>
      <x:c r="E879" s="84" t="str">
        <x:v>Consumer </x:v>
      </x:c>
      <x:c r="F879" s="84" t="str">
        <x:v>West</x:v>
      </x:c>
      <x:c r="G879" s="84" t="str">
        <x:v>Seattle </x:v>
      </x:c>
      <x:c r="H879" s="84" t="str">
        <x:v>Retail Store</x:v>
      </x:c>
      <x:c r="I879" s="84" t="str">
        <x:v>FITN-001</x:v>
      </x:c>
      <x:c r="J879" s="86" t="n">
        <x:v>2</x:v>
      </x:c>
      <x:c r="K879" s="87" t="n">
        <x:v>0.1</x:v>
      </x:c>
      <x:c r="L879" s="84" t="str">
        <x:v>Completed</x:v>
      </x:c>
      <x:c r="M879" s="84" t="str">
        <x:v>Cash</x:v>
      </x:c>
      <x:c r="N879" s="84" t="str">
        <x:v>Nora Kim</x:v>
      </x:c>
      <x:c r="O879" s="85" t="n">
        <x:v>45600</x:v>
      </x:c>
      <x:c r="P879" s="84" t="str">
        <x:v>POS_2024_11</x:v>
      </x:c>
      <x:c r="Q879" s="84" t="str">
        <x:v>Yoga Mat</x:v>
      </x:c>
      <x:c r="R879" s="84" t="str">
        <x:v>Fitness</x:v>
      </x:c>
    </x:row>
    <x:row r="880">
      <x:c r="A880" s="84" t="str">
        <x:v>ORD-2024-00965</x:v>
      </x:c>
      <x:c r="B880" s="85" t="n">
        <x:v>45600</x:v>
      </x:c>
      <x:c r="C880" s="84" t="str">
        <x:v>CUST-0230</x:v>
      </x:c>
      <x:c r="D880" s="84" t="str">
        <x:v>Elias Evans</x:v>
      </x:c>
      <x:c r="E880" s="84" t="str">
        <x:v>Small Business</x:v>
      </x:c>
      <x:c r="F880" s="84" t="str">
        <x:v>southeast</x:v>
      </x:c>
      <x:c r="G880" s="84" t="str">
        <x:v>Miami</x:v>
      </x:c>
      <x:c r="H880" s="84" t="str">
        <x:v>Online</x:v>
      </x:c>
      <x:c r="I880" s="84" t="str">
        <x:v>ELEC-004</x:v>
      </x:c>
      <x:c r="J880" s="86" t="n">
        <x:v>1</x:v>
      </x:c>
      <x:c r="K880" s="87" t="n">
        <x:v>0.1</x:v>
      </x:c>
      <x:c r="L880" s="84" t="str">
        <x:v>Completed </x:v>
      </x:c>
      <x:c r="M880" s="84" t="str">
        <x:v>Debit Card</x:v>
      </x:c>
      <x:c r="N880" s="84" t="str">
        <x:v>Liam Parker</x:v>
      </x:c>
      <x:c r="O880" s="85" t="n">
        <x:v>45604</x:v>
      </x:c>
      <x:c r="P880" s="84" t="str">
        <x:v>WEB_2024_11</x:v>
      </x:c>
      <x:c r="Q880" s="84" t="str">
        <x:v>Power Bank</x:v>
      </x:c>
      <x:c r="R880" s="84" t="str">
        <x:v>Electronics</x:v>
      </x:c>
    </x:row>
    <x:row r="881">
      <x:c r="A881" s="84" t="str">
        <x:v>ORD-2024-01126</x:v>
      </x:c>
      <x:c r="B881" s="85" t="n">
        <x:v>45600</x:v>
      </x:c>
      <x:c r="C881" s="84" t="str">
        <x:v>CUST-0269</x:v>
      </x:c>
      <x:c r="D881" s="84" t="str">
        <x:v>Daniel Evans</x:v>
      </x:c>
      <x:c r="E881" s="84" t="str">
        <x:v>Small Business</x:v>
      </x:c>
      <x:c r="F881" s="84" t="str">
        <x:v>Southeast</x:v>
      </x:c>
      <x:c r="G881" s="84" t="str">
        <x:v>charlotte</x:v>
      </x:c>
      <x:c r="H881" s="84" t="str">
        <x:v>Marketplace</x:v>
      </x:c>
      <x:c r="I881" s="84" t="str">
        <x:v>OFFC-006</x:v>
      </x:c>
      <x:c r="J881" s="86" t="n">
        <x:v>2</x:v>
      </x:c>
      <x:c r="K881" s="87" t="n">
        <x:v>0.15</x:v>
      </x:c>
      <x:c r="L881" s="84" t="str">
        <x:v>completed</x:v>
      </x:c>
      <x:c r="M881" s="84" t="str">
        <x:v>Debit Card</x:v>
      </x:c>
      <x:c r="N881" s="84" t="str">
        <x:v>Ava Mitchell</x:v>
      </x:c>
      <x:c r="O881" s="85" t="n">
        <x:v>45606</x:v>
      </x:c>
      <x:c r="P881" s="84" t="str">
        <x:v>MKT_2024_11</x:v>
      </x:c>
      <x:c r="Q881" s="84" t="str">
        <x:v> MONITOR STAND </x:v>
      </x:c>
      <x:c r="R881" s="84" t="str">
        <x:v>Office</x:v>
      </x:c>
    </x:row>
    <x:row r="882">
      <x:c r="A882" s="84" t="str">
        <x:v>ORD-2024-01486</x:v>
      </x:c>
      <x:c r="B882" s="85" t="n">
        <x:v>45600</x:v>
      </x:c>
      <x:c r="C882" s="84" t="str">
        <x:v>CUST-0101</x:v>
      </x:c>
      <x:c r="D882" s="84" t="str">
        <x:v>Jonah Patel</x:v>
      </x:c>
      <x:c r="E882" s="84" t="str">
        <x:v>Consumer</x:v>
      </x:c>
      <x:c r="F882" s="84" t="str">
        <x:v>Northeast</x:v>
      </x:c>
      <x:c r="G882" s="84" t="str">
        <x:v>Boston</x:v>
      </x:c>
      <x:c r="H882" s="84" t="str">
        <x:v>Retail Store</x:v>
      </x:c>
      <x:c r="I882" s="84" t="str">
        <x:v>ELEC-002</x:v>
      </x:c>
      <x:c r="J882" s="86" t="n">
        <x:v>1</x:v>
      </x:c>
      <x:c r="K882" s="87" t="n">
        <x:v>0.15</x:v>
      </x:c>
      <x:c r="L882" s="84" t="str">
        <x:v>Completed</x:v>
      </x:c>
      <x:c r="M882" s="84" t="str">
        <x:v>Credit Card</x:v>
      </x:c>
      <x:c r="N882" s="84" t="str">
        <x:v>Sofia Bennett</x:v>
      </x:c>
      <x:c r="O882" s="85" t="n">
        <x:v>45600</x:v>
      </x:c>
      <x:c r="P882" s="84" t="str">
        <x:v>POS_2024_11</x:v>
      </x:c>
      <x:c r="Q882" s="84" t="str">
        <x:v>Smartwatch</x:v>
      </x:c>
      <x:c r="R882" s="84" t="str">
        <x:v>Electronics </x:v>
      </x:c>
    </x:row>
    <x:row r="883">
      <x:c r="A883" s="84" t="str">
        <x:v>ORD-2024-02030</x:v>
      </x:c>
      <x:c r="B883" s="85" t="n">
        <x:v>45600</x:v>
      </x:c>
      <x:c r="C883" s="84" t="str">
        <x:v>CUST-0215</x:v>
      </x:c>
      <x:c r="D883" s="84" t="str">
        <x:v>Priya Adams</x:v>
      </x:c>
      <x:c r="E883" s="84" t="str">
        <x:v>Consumer </x:v>
      </x:c>
      <x:c r="F883" s="84" t="str">
        <x:v>Midwest</x:v>
      </x:c>
      <x:c r="G883" s="84" t="str">
        <x:v>Columbus </x:v>
      </x:c>
      <x:c r="H883" s="84" t="str">
        <x:v>Marketplace</x:v>
      </x:c>
      <x:c r="I883" s="84" t="str">
        <x:v>CARE-001</x:v>
      </x:c>
      <x:c r="J883" s="86" t="n">
        <x:v>1</x:v>
      </x:c>
      <x:c r="K883" s="87" t="n">
        <x:v>0.15</x:v>
      </x:c>
      <x:c r="L883" s="84" t="str">
        <x:v>Completed</x:v>
      </x:c>
      <x:c r="M883" s="84" t="str">
        <x:v>Debit Card</x:v>
      </x:c>
      <x:c r="N883" s="84" t="str">
        <x:v>Zoe Turner</x:v>
      </x:c>
      <x:c r="O883" s="85" t="n">
        <x:v>45606</x:v>
      </x:c>
      <x:c r="P883" s="84" t="str">
        <x:v>MKT_2024_11</x:v>
      </x:c>
      <x:c r="Q883" s="84" t="str">
        <x:v>Ionic Hair Dryer</x:v>
      </x:c>
      <x:c r="R883" s="84" t="str">
        <x:v>Personal Care</x:v>
      </x:c>
    </x:row>
    <x:row r="884">
      <x:c r="A884" s="84" t="str">
        <x:v>ORD-2024-02301</x:v>
      </x:c>
      <x:c r="B884" s="85" t="n">
        <x:v>45600</x:v>
      </x:c>
      <x:c r="C884" s="84" t="str">
        <x:v>CUST-0278</x:v>
      </x:c>
      <x:c r="D884" s="84" t="str">
        <x:v>Sara Ortiz </x:v>
      </x:c>
      <x:c r="E884" s="84" t="str">
        <x:v>Corporate</x:v>
      </x:c>
      <x:c r="F884" s="84" t="str">
        <x:v>Southeast</x:v>
      </x:c>
      <x:c r="G884" s="84" t="str">
        <x:v>Charlotte</x:v>
      </x:c>
      <x:c r="H884" s="84" t="str">
        <x:v> MARKETPLACE </x:v>
      </x:c>
      <x:c r="I884" s="84" t="str">
        <x:v>ELEC-001</x:v>
      </x:c>
      <x:c r="J884" s="86" t="n">
        <x:v>2</x:v>
      </x:c>
      <x:c r="K884" s="87" t="n">
        <x:v>0</x:v>
      </x:c>
      <x:c r="L884" s="84" t="str">
        <x:v>Completed</x:v>
      </x:c>
      <x:c r="M884" s="84" t="str">
        <x:v>PayPal </x:v>
      </x:c>
      <x:c r="N884" s="84" t="str">
        <x:v>liam parker</x:v>
      </x:c>
      <x:c r="O884" s="85" t="n">
        <x:v>45606</x:v>
      </x:c>
      <x:c r="P884" s="84" t="str">
        <x:v>MKT_2024_11</x:v>
      </x:c>
      <x:c r="Q884" s="84" t="str">
        <x:v>Wireless Earbuds</x:v>
      </x:c>
      <x:c r="R884" s="84" t="str">
        <x:v>Electronics</x:v>
      </x:c>
    </x:row>
    <x:row r="885">
      <x:c r="A885" s="84" t="str">
        <x:v>ORD-2024-00256</x:v>
      </x:c>
      <x:c r="B885" s="85" t="n">
        <x:v>45601</x:v>
      </x:c>
      <x:c r="C885" s="84" t="str">
        <x:v>CUST-0596</x:v>
      </x:c>
      <x:c r="D885" s="84" t="str">
        <x:v>Grace Khan</x:v>
      </x:c>
      <x:c r="E885" s="84" t="str">
        <x:v>Consumer</x:v>
      </x:c>
      <x:c r="F885" s="84" t="str">
        <x:v>West </x:v>
      </x:c>
      <x:c r="G885" s="84" t="str">
        <x:v>Denver</x:v>
      </x:c>
      <x:c r="H885" s="84" t="str">
        <x:v>Marketplace</x:v>
      </x:c>
      <x:c r="I885" s="84" t="str">
        <x:v>ELEC-001</x:v>
      </x:c>
      <x:c r="J885" s="86" t="n">
        <x:v>1</x:v>
      </x:c>
      <x:c r="K885" s="87" t="n">
        <x:v>0.2</x:v>
      </x:c>
      <x:c r="L885" s="84" t="str">
        <x:v>Completed</x:v>
      </x:c>
      <x:c r="M885" s="84" t="str">
        <x:v>Debit Card</x:v>
      </x:c>
      <x:c r="N885" s="84" t="str">
        <x:v>Leo Martinez </x:v>
      </x:c>
      <x:c r="O885" s="85" t="n">
        <x:v>45605</x:v>
      </x:c>
      <x:c r="P885" s="84" t="str">
        <x:v>MKT_2024_11</x:v>
      </x:c>
      <x:c r="Q885" s="84" t="str">
        <x:v>Wireless Earbuds</x:v>
      </x:c>
      <x:c r="R885" s="84" t="str">
        <x:v>electronics</x:v>
      </x:c>
    </x:row>
    <x:row r="886">
      <x:c r="A886" s="84" t="str">
        <x:v>ORD-2024-00783</x:v>
      </x:c>
      <x:c r="B886" s="85" t="n">
        <x:v>45601</x:v>
      </x:c>
      <x:c r="C886" s="84" t="str">
        <x:v>CUST-0329</x:v>
      </x:c>
      <x:c r="D886" s="84" t="str">
        <x:v>Theo Nelson</x:v>
      </x:c>
      <x:c r="E886" s="84" t="str">
        <x:v>Consumer</x:v>
      </x:c>
      <x:c r="F886" s="84" t="str">
        <x:v>Southeast</x:v>
      </x:c>
      <x:c r="G886" s="84" t="str">
        <x:v>Atlanta</x:v>
      </x:c>
      <x:c r="H886" s="84" t="str">
        <x:v>Retail Store</x:v>
      </x:c>
      <x:c r="I886" s="84" t="str">
        <x:v>HOME-004</x:v>
      </x:c>
      <x:c r="J886" s="86" t="n">
        <x:v>1</x:v>
      </x:c>
      <x:c r="K886" s="87" t="n">
        <x:v>0.15</x:v>
      </x:c>
      <x:c r="L886" s="84" t="str">
        <x:v>Completed </x:v>
      </x:c>
      <x:c r="M886" s="84" t="str">
        <x:v>Cash</x:v>
      </x:c>
      <x:c r="N886" s="84" t="str">
        <x:v>liam parker</x:v>
      </x:c>
      <x:c r="O886" s="85" t="n">
        <x:v>45601</x:v>
      </x:c>
      <x:c r="P886" s="84" t="str">
        <x:v>POS_2024_11</x:v>
      </x:c>
      <x:c r="Q886" s="84" t="str">
        <x:v>Coffee Maker</x:v>
      </x:c>
      <x:c r="R886" s="84" t="str">
        <x:v>Home &amp; Kitchen</x:v>
      </x:c>
    </x:row>
    <x:row r="887">
      <x:c r="A887" s="84" t="str">
        <x:v>ORD-2024-00810</x:v>
      </x:c>
      <x:c r="B887" s="85" t="n">
        <x:v>45601</x:v>
      </x:c>
      <x:c r="C887" s="84" t="str">
        <x:v>CUST-0428</x:v>
      </x:c>
      <x:c r="D887" s="84" t="str">
        <x:v>theo taylor</x:v>
      </x:c>
      <x:c r="E887" s="84" t="str">
        <x:v>Consumer</x:v>
      </x:c>
      <x:c r="F887" s="84" t="str">
        <x:v>Midwest</x:v>
      </x:c>
      <x:c r="G887" s="84" t="str">
        <x:v>Chicago</x:v>
      </x:c>
      <x:c r="H887" s="84" t="str">
        <x:v>Online</x:v>
      </x:c>
      <x:c r="I887" s="84" t="str">
        <x:v>CARE-001</x:v>
      </x:c>
      <x:c r="J887" s="86" t="n">
        <x:v>1</x:v>
      </x:c>
      <x:c r="K887" s="87" t="n">
        <x:v>0</x:v>
      </x:c>
      <x:c r="L887" s="84" t="str">
        <x:v>Completed</x:v>
      </x:c>
      <x:c r="M887" s="84" t="str">
        <x:v> DEBIT CARD </x:v>
      </x:c>
      <x:c r="N887" s="84" t="str">
        <x:v>Lucas Grant</x:v>
      </x:c>
      <x:c r="O887" s="85" t="n">
        <x:v>45603</x:v>
      </x:c>
      <x:c r="P887" s="84" t="str">
        <x:v>WEB_2024_11</x:v>
      </x:c>
      <x:c r="Q887" s="84" t="str">
        <x:v>Ionic Hair Dryer</x:v>
      </x:c>
      <x:c r="R887" s="84" t="str">
        <x:v>Personal Care</x:v>
      </x:c>
    </x:row>
    <x:row r="888">
      <x:c r="A888" s="84" t="str">
        <x:v>ORD-2024-01343</x:v>
      </x:c>
      <x:c r="B888" s="85" t="n">
        <x:v>45601</x:v>
      </x:c>
      <x:c r="C888" s="84" t="str">
        <x:v>CUST-0431</x:v>
      </x:c>
      <x:c r="D888" s="84" t="str">
        <x:v>Jonah Garcia</x:v>
      </x:c>
      <x:c r="E888" s="84" t="str">
        <x:v> CORPORATE </x:v>
      </x:c>
      <x:c r="F888" s="84" t="str">
        <x:v>West</x:v>
      </x:c>
      <x:c r="G888" s="84" t="str">
        <x:v>Denver</x:v>
      </x:c>
      <x:c r="H888" s="84" t="str">
        <x:v>Retail Store</x:v>
      </x:c>
      <x:c r="I888" s="84" t="str">
        <x:v>HOME-005</x:v>
      </x:c>
      <x:c r="J888" s="86" t="n">
        <x:v>4</x:v>
      </x:c>
      <x:c r="K888" s="87" t="n">
        <x:v>0</x:v>
      </x:c>
      <x:c r="L888" s="84" t="str">
        <x:v>Completed </x:v>
      </x:c>
      <x:c r="M888" s="84" t="str">
        <x:v>Credit Card</x:v>
      </x:c>
      <x:c r="N888" s="84" t="str">
        <x:v>Leo Martinez</x:v>
      </x:c>
      <x:c r="O888" s="85" t="n">
        <x:v>45602</x:v>
      </x:c>
      <x:c r="P888" s="84" t="str">
        <x:v>POS_2024_11</x:v>
      </x:c>
      <x:c r="Q888" s="84" t="str">
        <x:v>Cordless Vacuum</x:v>
      </x:c>
      <x:c r="R888" s="84" t="str">
        <x:v>Home &amp; Kitchen</x:v>
      </x:c>
    </x:row>
    <x:row r="889">
      <x:c r="A889" s="84" t="str">
        <x:v>ORD-2024-01524</x:v>
      </x:c>
      <x:c r="B889" s="85" t="n">
        <x:v>45601</x:v>
      </x:c>
      <x:c r="C889" s="84" t="str">
        <x:v>CUST-0042</x:v>
      </x:c>
      <x:c r="D889" s="84" t="str">
        <x:v>Daniel Johnson </x:v>
      </x:c>
      <x:c r="E889" s="84" t="str">
        <x:v>Consumer</x:v>
      </x:c>
      <x:c r="F889" s="84" t="str">
        <x:v>Northeast</x:v>
      </x:c>
      <x:c r="G889" s="84" t="str">
        <x:v>Newark</x:v>
      </x:c>
      <x:c r="H889" s="84" t="str">
        <x:v>Marketplace</x:v>
      </x:c>
      <x:c r="I889" s="84" t="str">
        <x:v>ACCS-001</x:v>
      </x:c>
      <x:c r="J889" s="86" t="n">
        <x:v>1</x:v>
      </x:c>
      <x:c r="K889" s="87" t="n">
        <x:v>0.2</x:v>
      </x:c>
      <x:c r="L889" s="84" t="str">
        <x:v>Completed</x:v>
      </x:c>
      <x:c r="M889" s="84" t="str">
        <x:v> CREDIT CARD </x:v>
      </x:c>
      <x:c r="N889" s="84" t="str">
        <x:v>Sofia Bennett</x:v>
      </x:c>
      <x:c r="O889" s="85" t="n">
        <x:v>45605</x:v>
      </x:c>
      <x:c r="P889" s="84" t="str">
        <x:v>MKT_2024_11</x:v>
      </x:c>
      <x:c r="Q889" s="84" t="str">
        <x:v>Canvas Tote Bag</x:v>
      </x:c>
      <x:c r="R889" s="84" t="str">
        <x:v>Accessories</x:v>
      </x:c>
    </x:row>
    <x:row r="890">
      <x:c r="A890" s="84" t="str">
        <x:v>ORD-2024-00297</x:v>
      </x:c>
      <x:c r="B890" s="85" t="n">
        <x:v>45602</x:v>
      </x:c>
      <x:c r="C890" s="84" t="str">
        <x:v>CUST-0508</x:v>
      </x:c>
      <x:c r="D890" s="84" t="str">
        <x:v>Nina Smith</x:v>
      </x:c>
      <x:c r="E890" s="84" t="str">
        <x:v>consumer</x:v>
      </x:c>
      <x:c r="F890" s="84" t="str">
        <x:v>West</x:v>
      </x:c>
      <x:c r="G890" s="84" t="str">
        <x:v>Denver</x:v>
      </x:c>
      <x:c r="H890" s="84" t="str">
        <x:v>retail store</x:v>
      </x:c>
      <x:c r="I890" s="84" t="str">
        <x:v>OFFC-001</x:v>
      </x:c>
      <x:c r="J890" s="86" t="n">
        <x:v>1</x:v>
      </x:c>
      <x:c r="K890" s="87" t="n">
        <x:v>0.1</x:v>
      </x:c>
      <x:c r="L890" s="84" t="str">
        <x:v>Completed</x:v>
      </x:c>
      <x:c r="M890" s="84" t="str">
        <x:v>Credit Card</x:v>
      </x:c>
      <x:c r="N890" s="84" t="str">
        <x:v>Nora Kim</x:v>
      </x:c>
      <x:c r="O890" s="85" t="n">
        <x:v>45603</x:v>
      </x:c>
      <x:c r="P890" s="84" t="str">
        <x:v>POS_2024_11</x:v>
      </x:c>
      <x:c r="Q890" s="84" t="str">
        <x:v>Ergonomic Chair</x:v>
      </x:c>
      <x:c r="R890" s="84" t="str">
        <x:v>Office</x:v>
      </x:c>
    </x:row>
    <x:row r="891">
      <x:c r="A891" s="84" t="str">
        <x:v>ORD-2024-01385</x:v>
      </x:c>
      <x:c r="B891" s="85" t="n">
        <x:v>45602</x:v>
      </x:c>
      <x:c r="C891" s="84" t="str">
        <x:v>CUST-0084</x:v>
      </x:c>
      <x:c r="D891" s="84" t="str">
        <x:v>Marcus Davis</x:v>
      </x:c>
      <x:c r="E891" s="84" t="str">
        <x:v>Corporate</x:v>
      </x:c>
      <x:c r="F891" s="84" t="str">
        <x:v>Southeast</x:v>
      </x:c>
      <x:c r="G891" s="84" t="str">
        <x:v>Miami</x:v>
      </x:c>
      <x:c r="H891" s="84" t="str">
        <x:v>Marketplace</x:v>
      </x:c>
      <x:c r="I891" s="84" t="str">
        <x:v>ACCS-004</x:v>
      </x:c>
      <x:c r="J891" s="86" t="n">
        <x:v>2</x:v>
      </x:c>
      <x:c r="K891" s="87" t="n">
        <x:v>0.15</x:v>
      </x:c>
      <x:c r="L891" s="84" t="str">
        <x:v>Completed </x:v>
      </x:c>
      <x:c r="M891" s="84" t="str">
        <x:v>mobile wallet</x:v>
      </x:c>
      <x:c r="N891" s="84" t="str">
        <x:v>Ava Mitchell</x:v>
      </x:c>
      <x:c r="O891" s="85" t="n">
        <x:v>45609</x:v>
      </x:c>
      <x:c r="P891" s="84" t="str">
        <x:v>MKT_2024_11</x:v>
      </x:c>
      <x:c r="Q891" s="84" t="str">
        <x:v>Leather Wallet</x:v>
      </x:c>
      <x:c r="R891" s="84" t="str">
        <x:v>Accessories</x:v>
      </x:c>
    </x:row>
    <x:row r="892">
      <x:c r="A892" s="84" t="str">
        <x:v>ORD-2024-01618</x:v>
      </x:c>
      <x:c r="B892" s="85" t="n">
        <x:v>45602</x:v>
      </x:c>
      <x:c r="C892" s="84" t="str">
        <x:v>CUST-0503</x:v>
      </x:c>
      <x:c r="D892" s="84" t="str">
        <x:v>Elena Foster</x:v>
      </x:c>
      <x:c r="E892" s="84" t="str">
        <x:v>Consumer</x:v>
      </x:c>
      <x:c r="F892" s="84" t="str">
        <x:v>Southeast</x:v>
      </x:c>
      <x:c r="G892" s="84" t="str">
        <x:v>Charlotte</x:v>
      </x:c>
      <x:c r="H892" s="84" t="str">
        <x:v>Marketplace</x:v>
      </x:c>
      <x:c r="I892" s="84" t="str">
        <x:v>CARE-001</x:v>
      </x:c>
      <x:c r="J892" s="86" t="n">
        <x:v>3</x:v>
      </x:c>
      <x:c r="K892" s="87" t="n">
        <x:v>0.2</x:v>
      </x:c>
      <x:c r="L892" s="84" t="str">
        <x:v>Completed</x:v>
      </x:c>
      <x:c r="M892" s="84" t="str">
        <x:v>Debit Card</x:v>
      </x:c>
      <x:c r="N892" s="84" t="str">
        <x:v> NOAH REED </x:v>
      </x:c>
      <x:c r="O892" s="85" t="n">
        <x:v>45609</x:v>
      </x:c>
      <x:c r="P892" s="84" t="str">
        <x:v>MKT_2024_11</x:v>
      </x:c>
      <x:c r="Q892" s="84" t="str">
        <x:v>Ionic Hair Dryer </x:v>
      </x:c>
      <x:c r="R892" s="84" t="str">
        <x:v>Personal Care</x:v>
      </x:c>
    </x:row>
    <x:row r="893">
      <x:c r="A893" s="84" t="str">
        <x:v>ORD-2024-00356</x:v>
      </x:c>
      <x:c r="B893" s="85" t="n">
        <x:v>45603</x:v>
      </x:c>
      <x:c r="C893" s="84" t="str">
        <x:v>CUST-0580</x:v>
      </x:c>
      <x:c r="D893" s="84" t="str">
        <x:v>Zara Foster</x:v>
      </x:c>
      <x:c r="E893" s="84" t="str">
        <x:v>Consumer</x:v>
      </x:c>
      <x:c r="F893" s="84" t="str">
        <x:v>Northeast</x:v>
      </x:c>
      <x:c r="G893" s="84" t="str">
        <x:v>philadelphia</x:v>
      </x:c>
      <x:c r="H893" s="84" t="str">
        <x:v>Online</x:v>
      </x:c>
      <x:c r="I893" s="84" t="str">
        <x:v>HOME-004</x:v>
      </x:c>
      <x:c r="J893" s="86" t="n">
        <x:v>1</x:v>
      </x:c>
      <x:c r="K893" s="87" t="n">
        <x:v>0.1</x:v>
      </x:c>
      <x:c r="L893" s="84" t="str">
        <x:v>completed</x:v>
      </x:c>
      <x:c r="M893" s="84" t="str">
        <x:v>Credit Card</x:v>
      </x:c>
      <x:c r="N893" s="84" t="str">
        <x:v>Ethan Cole</x:v>
      </x:c>
      <x:c r="O893" s="85" t="n">
        <x:v>45605</x:v>
      </x:c>
      <x:c r="P893" s="84" t="str">
        <x:v>WEB_2024_11</x:v>
      </x:c>
      <x:c r="Q893" s="84" t="str">
        <x:v>Coffee Maker</x:v>
      </x:c>
      <x:c r="R893" s="84" t="str">
        <x:v>Home &amp; Kitchen</x:v>
      </x:c>
    </x:row>
    <x:row r="894">
      <x:c r="A894" s="84" t="str">
        <x:v>ORD-2024-01416</x:v>
      </x:c>
      <x:c r="B894" s="85" t="n">
        <x:v>45603</x:v>
      </x:c>
      <x:c r="C894" s="84" t="str">
        <x:v>CUST-0342</x:v>
      </x:c>
      <x:c r="D894" s="84" t="str">
        <x:v>Nathan Carter</x:v>
      </x:c>
      <x:c r="E894" s="84" t="str">
        <x:v>Small Business</x:v>
      </x:c>
      <x:c r="F894" s="84" t="str">
        <x:v>northeast</x:v>
      </x:c>
      <x:c r="G894" s="84" t="str">
        <x:v>New York</x:v>
      </x:c>
      <x:c r="H894" s="84" t="str">
        <x:v>Online</x:v>
      </x:c>
      <x:c r="I894" s="84" t="str">
        <x:v>ACCS-003</x:v>
      </x:c>
      <x:c r="J894" s="86" t="n">
        <x:v>2</x:v>
      </x:c>
      <x:c r="K894" s="87" t="n">
        <x:v>0</x:v>
      </x:c>
      <x:c r="L894" s="84" t="str">
        <x:v> COMPLETED </x:v>
      </x:c>
      <x:c r="M894" s="84" t="str">
        <x:v>Credit Card</x:v>
      </x:c>
      <x:c r="N894" s="84" t="str">
        <x:v>Ethan Cole</x:v>
      </x:c>
      <x:c r="O894" s="85" t="n">
        <x:v>45606</x:v>
      </x:c>
      <x:c r="P894" s="84" t="str">
        <x:v>WEB_2024_11</x:v>
      </x:c>
      <x:c r="Q894" s="84" t="str">
        <x:v>Polarized Sunglasses</x:v>
      </x:c>
      <x:c r="R894" s="84" t="str">
        <x:v>Accessories </x:v>
      </x:c>
    </x:row>
    <x:row r="895">
      <x:c r="A895" s="84" t="str">
        <x:v>ORD-2024-01424</x:v>
      </x:c>
      <x:c r="B895" s="85" t="n">
        <x:v>45603</x:v>
      </x:c>
      <x:c r="C895" s="84" t="str">
        <x:v>CUST-0033</x:v>
      </x:c>
      <x:c r="D895" s="84" t="str">
        <x:v>Sara Khan</x:v>
      </x:c>
      <x:c r="E895" s="84" t="str">
        <x:v>Consumer</x:v>
      </x:c>
      <x:c r="F895" s="84" t="str">
        <x:v>Midwest</x:v>
      </x:c>
      <x:c r="G895" s="84" t="str">
        <x:v>Minneapolis</x:v>
      </x:c>
      <x:c r="H895" s="84" t="str">
        <x:v>Online </x:v>
      </x:c>
      <x:c r="I895" s="84" t="str">
        <x:v>CARE-002</x:v>
      </x:c>
      <x:c r="J895" s="86" t="n">
        <x:v>1</x:v>
      </x:c>
      <x:c r="K895" s="87" t="n">
        <x:v>0.05</x:v>
      </x:c>
      <x:c r="L895" s="84" t="str">
        <x:v>Completed</x:v>
      </x:c>
      <x:c r="M895" s="84" t="str">
        <x:v>Mobile Wallet</x:v>
      </x:c>
      <x:c r="N895" s="84" t="str">
        <x:v>Emma Hayes</x:v>
      </x:c>
      <x:c r="O895" s="85" t="n">
        <x:v>45608</x:v>
      </x:c>
      <x:c r="P895" s="84" t="str">
        <x:v>WEB_2024_11</x:v>
      </x:c>
      <x:c r="Q895" s="84" t="str">
        <x:v>Rechargeable Trimmer</x:v>
      </x:c>
      <x:c r="R895" s="84" t="str">
        <x:v>Personal Care</x:v>
      </x:c>
    </x:row>
    <x:row r="896">
      <x:c r="A896" s="84" t="str">
        <x:v>ORD-2024-01756</x:v>
      </x:c>
      <x:c r="B896" s="85" t="n">
        <x:v>45603</x:v>
      </x:c>
      <x:c r="C896" s="84" t="str">
        <x:v>CUST-0593</x:v>
      </x:c>
      <x:c r="D896" s="84" t="str">
        <x:v>nathan johnson</x:v>
      </x:c>
      <x:c r="E896" s="84" t="str">
        <x:v>Corporate</x:v>
      </x:c>
      <x:c r="F896" s="84" t="str">
        <x:v>West</x:v>
      </x:c>
      <x:c r="G896" s="84" t="str">
        <x:v>Denver</x:v>
      </x:c>
      <x:c r="H896" s="84" t="str">
        <x:v>Retail Store</x:v>
      </x:c>
      <x:c r="I896" s="84" t="str">
        <x:v>ELEC-001</x:v>
      </x:c>
      <x:c r="J896" s="86" t="n">
        <x:v>1</x:v>
      </x:c>
      <x:c r="K896" s="87" t="n">
        <x:v>0.1</x:v>
      </x:c>
      <x:c r="L896" s="84" t="str">
        <x:v> RETURNED </x:v>
      </x:c>
      <x:c r="M896" s="84" t="str">
        <x:v>Debit Card</x:v>
      </x:c>
      <x:c r="N896" s="84" t="str">
        <x:v>Mia Chen</x:v>
      </x:c>
      <x:c r="O896" s="85" t="n">
        <x:v>45603</x:v>
      </x:c>
      <x:c r="P896" s="84" t="str">
        <x:v>POS_2024_11</x:v>
      </x:c>
      <x:c r="Q896" s="84" t="str">
        <x:v>Wireless Earbuds</x:v>
      </x:c>
      <x:c r="R896" s="84" t="str">
        <x:v>Electronics</x:v>
      </x:c>
    </x:row>
    <x:row r="897">
      <x:c r="A897" s="84" t="str">
        <x:v>ORD-2024-01792</x:v>
      </x:c>
      <x:c r="B897" s="85" t="n">
        <x:v>45603</x:v>
      </x:c>
      <x:c r="C897" s="84" t="str">
        <x:v>CUST-0124</x:v>
      </x:c>
      <x:c r="D897" s="84" t="str">
        <x:v>Priya Lewis</x:v>
      </x:c>
      <x:c r="E897" s="84" t="str">
        <x:v>Consumer </x:v>
      </x:c>
      <x:c r="F897" s="84" t="str">
        <x:v>Midwest</x:v>
      </x:c>
      <x:c r="G897" s="84" t="str">
        <x:v>Chicago </x:v>
      </x:c>
      <x:c r="H897" s="84" t="str">
        <x:v>Retail Store</x:v>
      </x:c>
      <x:c r="I897" s="84" t="str">
        <x:v>CARE-003</x:v>
      </x:c>
      <x:c r="J897" s="86" t="n">
        <x:v>4</x:v>
      </x:c>
      <x:c r="K897" s="87" t="n">
        <x:v>0.15</x:v>
      </x:c>
      <x:c r="L897" s="84" t="str">
        <x:v>Completed</x:v>
      </x:c>
      <x:c r="M897" s="84" t="str">
        <x:v>mobile wallet</x:v>
      </x:c>
      <x:c r="N897" s="84" t="str">
        <x:v>Lucas Grant</x:v>
      </x:c>
      <x:c r="O897" s="85" t="n">
        <x:v>45603</x:v>
      </x:c>
      <x:c r="P897" s="84" t="str">
        <x:v>POS_2024_11</x:v>
      </x:c>
      <x:c r="Q897" s="84" t="str">
        <x:v>Facial Cleanser</x:v>
      </x:c>
      <x:c r="R897" s="84" t="str">
        <x:v>Personal Care</x:v>
      </x:c>
    </x:row>
    <x:row r="898">
      <x:c r="A898" s="84" t="str">
        <x:v>ORD-2024-00396</x:v>
      </x:c>
      <x:c r="B898" s="85" t="n">
        <x:v>45604</x:v>
      </x:c>
      <x:c r="C898" s="84" t="str">
        <x:v>CUST-0627</x:v>
      </x:c>
      <x:c r="D898" s="84" t="str">
        <x:v>Priya Walker</x:v>
      </x:c>
      <x:c r="E898" s="84" t="str">
        <x:v>consumer</x:v>
      </x:c>
      <x:c r="F898" s="84" t="str">
        <x:v>West </x:v>
      </x:c>
      <x:c r="G898" s="84" t="str">
        <x:v>Seattle</x:v>
      </x:c>
      <x:c r="H898" s="84" t="str">
        <x:v>online</x:v>
      </x:c>
      <x:c r="I898" s="84" t="str">
        <x:v>CARE-003</x:v>
      </x:c>
      <x:c r="J898" s="86" t="n">
        <x:v>1</x:v>
      </x:c>
      <x:c r="K898" s="87" t="n">
        <x:v>0.15</x:v>
      </x:c>
      <x:c r="L898" s="84" t="str">
        <x:v> COMPLETED </x:v>
      </x:c>
      <x:c r="M898" s="84" t="str">
        <x:v>Mobile Wallet</x:v>
      </x:c>
      <x:c r="N898" s="84" t="str">
        <x:v>Leo Martinez </x:v>
      </x:c>
      <x:c r="O898" s="85" t="n">
        <x:v>45606</x:v>
      </x:c>
      <x:c r="P898" s="84" t="str">
        <x:v>WEB_2024_11</x:v>
      </x:c>
      <x:c r="Q898" s="84" t="str">
        <x:v>Facial Cleanser</x:v>
      </x:c>
      <x:c r="R898" s="84" t="str">
        <x:v>Personal Care</x:v>
      </x:c>
    </x:row>
    <x:row r="899">
      <x:c r="A899" s="84" t="str">
        <x:v>ORD-2024-01753</x:v>
      </x:c>
      <x:c r="B899" s="85" t="n">
        <x:v>45604</x:v>
      </x:c>
      <x:c r="C899" s="84" t="str">
        <x:v>CUST-0568</x:v>
      </x:c>
      <x:c r="D899" s="84" t="str">
        <x:v>Owen Carter</x:v>
      </x:c>
      <x:c r="E899" s="84" t="str">
        <x:v>Consumer</x:v>
      </x:c>
      <x:c r="F899" s="84" t="str">
        <x:v>Southeast</x:v>
      </x:c>
      <x:c r="G899" s="84" t="str">
        <x:v>miami</x:v>
      </x:c>
      <x:c r="H899" s="84" t="str">
        <x:v>Online </x:v>
      </x:c>
      <x:c r="I899" s="84" t="str">
        <x:v>ELEC-002</x:v>
      </x:c>
      <x:c r="J899" s="86" t="n">
        <x:v>2</x:v>
      </x:c>
      <x:c r="K899" s="87" t="n">
        <x:v>0.1</x:v>
      </x:c>
      <x:c r="L899" s="84" t="str">
        <x:v>completed</x:v>
      </x:c>
      <x:c r="M899" s="84" t="str">
        <x:v>Credit Card</x:v>
      </x:c>
      <x:c r="N899" s="84" t="str">
        <x:v>Noah Reed</x:v>
      </x:c>
      <x:c r="O899" s="85" t="n">
        <x:v>45609</x:v>
      </x:c>
      <x:c r="P899" s="84" t="str">
        <x:v>WEB_2024_11</x:v>
      </x:c>
      <x:c r="Q899" s="84" t="str">
        <x:v>Smartwatch</x:v>
      </x:c>
      <x:c r="R899" s="84" t="str">
        <x:v>Electronics</x:v>
      </x:c>
    </x:row>
    <x:row r="900">
      <x:c r="A900" s="84" t="str">
        <x:v>ORD-2024-01607</x:v>
      </x:c>
      <x:c r="B900" s="85" t="n">
        <x:v>45605</x:v>
      </x:c>
      <x:c r="C900" s="84" t="str">
        <x:v>CUST-0466</x:v>
      </x:c>
      <x:c r="D900" s="84" t="str">
        <x:v>Sara Young</x:v>
      </x:c>
      <x:c r="E900" s="84" t="str">
        <x:v>Corporate</x:v>
      </x:c>
      <x:c r="F900" s="84" t="str">
        <x:v>West </x:v>
      </x:c>
      <x:c r="G900" s="84" t="str">
        <x:v>Los Angeles</x:v>
      </x:c>
      <x:c r="H900" s="84" t="str">
        <x:v>Retail Store</x:v>
      </x:c>
      <x:c r="I900" s="84" t="str">
        <x:v>FITN-005</x:v>
      </x:c>
      <x:c r="J900" s="86" t="n">
        <x:v>2</x:v>
      </x:c>
      <x:c r="K900" s="87" t="n">
        <x:v>0.1</x:v>
      </x:c>
      <x:c r="L900" s="84" t="str">
        <x:v>Completed</x:v>
      </x:c>
      <x:c r="M900" s="84" t="str">
        <x:v>Cash</x:v>
      </x:c>
      <x:c r="N900" s="84" t="str">
        <x:v>Nora Kim </x:v>
      </x:c>
      <x:c r="O900" s="85" t="n">
        <x:v>45605</x:v>
      </x:c>
      <x:c r="P900" s="84" t="str">
        <x:v>POS_2024_11</x:v>
      </x:c>
      <x:c r="Q900" s="84" t="str">
        <x:v>Sports Water Bottle</x:v>
      </x:c>
      <x:c r="R900" s="84" t="str">
        <x:v>Fitness</x:v>
      </x:c>
    </x:row>
    <x:row r="901">
      <x:c r="A901" s="84" t="str">
        <x:v>ORD-2024-01672</x:v>
      </x:c>
      <x:c r="B901" s="85" t="n">
        <x:v>45605</x:v>
      </x:c>
      <x:c r="C901" s="84" t="str">
        <x:v>CUST-0586</x:v>
      </x:c>
      <x:c r="D901" s="84" t="str">
        <x:v>Isaac Adams</x:v>
      </x:c>
      <x:c r="E901" s="84" t="str">
        <x:v>small business</x:v>
      </x:c>
      <x:c r="F901" s="84" t="str">
        <x:v>Midwest</x:v>
      </x:c>
      <x:c r="G901" s="84" t="str">
        <x:v>Detroit</x:v>
      </x:c>
      <x:c r="H901" s="84" t="str">
        <x:v> RETAIL STORE </x:v>
      </x:c>
      <x:c r="I901" s="84" t="str">
        <x:v>ACCS-001</x:v>
      </x:c>
      <x:c r="J901" s="86" t="n">
        <x:v>1</x:v>
      </x:c>
      <x:c r="K901" s="87" t="n">
        <x:v>0</x:v>
      </x:c>
      <x:c r="L901" s="84" t="str">
        <x:v>Completed </x:v>
      </x:c>
      <x:c r="M901" s="84" t="str">
        <x:v>Debit Card</x:v>
      </x:c>
      <x:c r="N901" s="84" t="str">
        <x:v>Zoe Turner</x:v>
      </x:c>
      <x:c r="O901" s="85" t="n">
        <x:v>45606</x:v>
      </x:c>
      <x:c r="P901" s="84" t="str">
        <x:v>POS_2024_11</x:v>
      </x:c>
      <x:c r="Q901" s="84" t="str">
        <x:v>Canvas Tote Bag</x:v>
      </x:c>
      <x:c r="R901" s="84" t="str">
        <x:v>Accessories</x:v>
      </x:c>
    </x:row>
    <x:row r="902">
      <x:c r="A902" s="84" t="str">
        <x:v>ORD-2024-02184</x:v>
      </x:c>
      <x:c r="B902" s="85" t="n">
        <x:v>45605</x:v>
      </x:c>
      <x:c r="C902" s="84" t="str">
        <x:v>CUST-0617</x:v>
      </x:c>
      <x:c r="D902" s="84" t="str">
        <x:v>Layla Hall</x:v>
      </x:c>
      <x:c r="E902" s="84" t="str">
        <x:v>Consumer </x:v>
      </x:c>
      <x:c r="F902" s="84" t="str">
        <x:v>Southeast</x:v>
      </x:c>
      <x:c r="G902" s="84" t="str">
        <x:v>Nashville </x:v>
      </x:c>
      <x:c r="H902" s="84" t="str">
        <x:v>Retail Store</x:v>
      </x:c>
      <x:c r="I902" s="84" t="str">
        <x:v>ELEC-004</x:v>
      </x:c>
      <x:c r="J902" s="86" t="n">
        <x:v>1</x:v>
      </x:c>
      <x:c r="K902" s="87" t="n">
        <x:v>0.1</x:v>
      </x:c>
      <x:c r="L902" s="84" t="str">
        <x:v>Completed</x:v>
      </x:c>
      <x:c r="M902" s="84" t="str">
        <x:v>Mobile Wallet</x:v>
      </x:c>
      <x:c r="N902" s="84" t="str">
        <x:v>Noah Reed</x:v>
      </x:c>
      <x:c r="O902" s="85" t="n">
        <x:v>45605</x:v>
      </x:c>
      <x:c r="P902" s="84" t="str">
        <x:v>POS_2024_11</x:v>
      </x:c>
      <x:c r="Q902" s="84" t="str">
        <x:v>Power Bank</x:v>
      </x:c>
      <x:c r="R902" s="84" t="str">
        <x:v>Electronics</x:v>
      </x:c>
    </x:row>
    <x:row r="903">
      <x:c r="A903" s="84" t="str">
        <x:v>ORD-2024-01148</x:v>
      </x:c>
      <x:c r="B903" s="85" t="n">
        <x:v>45606</x:v>
      </x:c>
      <x:c r="C903" s="84" t="str">
        <x:v>CUST-0132</x:v>
      </x:c>
      <x:c r="D903" s="84" t="str">
        <x:v>Chloe Taylor</x:v>
      </x:c>
      <x:c r="E903" s="84" t="str">
        <x:v>Corporate </x:v>
      </x:c>
      <x:c r="F903" s="84" t="str">
        <x:v>Southeast</x:v>
      </x:c>
      <x:c r="G903" s="84" t="str">
        <x:v>atlanta</x:v>
      </x:c>
      <x:c r="H903" s="84" t="str">
        <x:v>Retail Store</x:v>
      </x:c>
      <x:c r="I903" s="84" t="str">
        <x:v>ACCS-004</x:v>
      </x:c>
      <x:c r="J903" s="86" t="n">
        <x:v>8</x:v>
      </x:c>
      <x:c r="K903" s="87" t="n">
        <x:v>0</x:v>
      </x:c>
      <x:c r="L903" s="84" t="str">
        <x:v>completed</x:v>
      </x:c>
      <x:c r="M903" s="84" t="str">
        <x:v>Debit Card</x:v>
      </x:c>
      <x:c r="N903" s="84" t="str">
        <x:v>Ava Mitchell</x:v>
      </x:c>
      <x:c r="O903" s="85" t="n">
        <x:v>45606</x:v>
      </x:c>
      <x:c r="P903" s="84" t="str">
        <x:v>POS_2024_11</x:v>
      </x:c>
      <x:c r="Q903" s="84" t="str">
        <x:v>Leather Wallet</x:v>
      </x:c>
      <x:c r="R903" s="84" t="str">
        <x:v>Accessories</x:v>
      </x:c>
    </x:row>
    <x:row r="904">
      <x:c r="A904" s="84" t="str">
        <x:v>ORD-2024-01594</x:v>
      </x:c>
      <x:c r="B904" s="85" t="n">
        <x:v>45606</x:v>
      </x:c>
      <x:c r="C904" s="84" t="str">
        <x:v>CUST-0617</x:v>
      </x:c>
      <x:c r="D904" s="84" t="str">
        <x:v>Layla Hall </x:v>
      </x:c>
      <x:c r="E904" s="84" t="str">
        <x:v>Consumer</x:v>
      </x:c>
      <x:c r="F904" s="84" t="str">
        <x:v>Southeast</x:v>
      </x:c>
      <x:c r="G904" s="84" t="str">
        <x:v>Nashville</x:v>
      </x:c>
      <x:c r="H904" s="84" t="str">
        <x:v>Retail Store</x:v>
      </x:c>
      <x:c r="I904" s="84" t="str">
        <x:v>ELEC-002</x:v>
      </x:c>
      <x:c r="J904" s="86" t="n">
        <x:v>1</x:v>
      </x:c>
      <x:c r="K904" s="87" t="n">
        <x:v>0.2</x:v>
      </x:c>
      <x:c r="L904" s="84" t="str">
        <x:v>Completed</x:v>
      </x:c>
      <x:c r="M904" s="84" t="str">
        <x:v>debit card</x:v>
      </x:c>
      <x:c r="N904" s="84" t="str">
        <x:v>Ava Mitchell</x:v>
      </x:c>
      <x:c r="O904" s="85" t="n">
        <x:v>45607</x:v>
      </x:c>
      <x:c r="P904" s="84" t="str">
        <x:v>POS_2024_11</x:v>
      </x:c>
      <x:c r="Q904" s="84" t="str">
        <x:v>Smartwatch</x:v>
      </x:c>
      <x:c r="R904" s="84" t="str">
        <x:v>Electronics</x:v>
      </x:c>
    </x:row>
    <x:row r="905">
      <x:c r="A905" s="84" t="str">
        <x:v>ORD-2024-00261</x:v>
      </x:c>
      <x:c r="B905" s="85" t="n">
        <x:v>45607</x:v>
      </x:c>
      <x:c r="C905" s="84" t="str">
        <x:v>CUST-0538</x:v>
      </x:c>
      <x:c r="D905" s="84" t="str">
        <x:v>Elena Ortiz</x:v>
      </x:c>
      <x:c r="E905" s="84" t="str">
        <x:v>Consumer</x:v>
      </x:c>
      <x:c r="F905" s="84" t="str">
        <x:v>west</x:v>
      </x:c>
      <x:c r="G905" s="84" t="str">
        <x:v>Seattle</x:v>
      </x:c>
      <x:c r="H905" s="84" t="str">
        <x:v> ONLINE </x:v>
      </x:c>
      <x:c r="I905" s="84" t="str">
        <x:v>ELEC-001</x:v>
      </x:c>
      <x:c r="J905" s="86" t="n">
        <x:v>1</x:v>
      </x:c>
      <x:c r="K905" s="87" t="n">
        <x:v>0.15</x:v>
      </x:c>
      <x:c r="L905" s="84" t="str">
        <x:v>Completed</x:v>
      </x:c>
      <x:c r="M905" s="84" t="str">
        <x:v>PayPal</x:v>
      </x:c>
      <x:c r="N905" s="84" t="str">
        <x:v>Nora Kim</x:v>
      </x:c>
      <x:c r="O905" s="85" t="n">
        <x:v>45611</x:v>
      </x:c>
      <x:c r="P905" s="84" t="str">
        <x:v>WEB_2024_11</x:v>
      </x:c>
      <x:c r="Q905" s="84" t="str">
        <x:v>Wireless Earbuds</x:v>
      </x:c>
      <x:c r="R905" s="84" t="str">
        <x:v>Electronics </x:v>
      </x:c>
    </x:row>
    <x:row r="906">
      <x:c r="A906" s="84" t="str">
        <x:v>ORD-2024-00504</x:v>
      </x:c>
      <x:c r="B906" s="85" t="n">
        <x:v>45607</x:v>
      </x:c>
      <x:c r="C906" s="84" t="str">
        <x:v>CUST-0103</x:v>
      </x:c>
      <x:c r="D906" s="84" t="str">
        <x:v>Layla Garcia</x:v>
      </x:c>
      <x:c r="E906" s="84" t="str">
        <x:v>Consumer </x:v>
      </x:c>
      <x:c r="F906" s="84" t="str">
        <x:v>Southeast</x:v>
      </x:c>
      <x:c r="G906" s="84" t="str">
        <x:v>Atlanta </x:v>
      </x:c>
      <x:c r="H906" s="84" t="str">
        <x:v>Retail Store</x:v>
      </x:c>
      <x:c r="I906" s="84" t="str">
        <x:v>ELEC-006</x:v>
      </x:c>
      <x:c r="J906" s="86" t="n">
        <x:v>1</x:v>
      </x:c>
      <x:c r="K906" s="87" t="n">
        <x:v>0</x:v>
      </x:c>
      <x:c r="L906" s="84" t="str">
        <x:v>Completed</x:v>
      </x:c>
      <x:c r="M906" s="84" t="str">
        <x:v> CASH </x:v>
      </x:c>
      <x:c r="N906" s="84" t="str">
        <x:v>Noah Reed</x:v>
      </x:c>
      <x:c r="O906" s="85" t="n">
        <x:v>45607</x:v>
      </x:c>
      <x:c r="P906" s="84" t="str">
        <x:v>POS_2024_11</x:v>
      </x:c>
      <x:c r="Q906" s="84" t="str">
        <x:v>portable ssd</x:v>
      </x:c>
      <x:c r="R906" s="84" t="str">
        <x:v>Electronics</x:v>
      </x:c>
    </x:row>
    <x:row r="907">
      <x:c r="A907" s="84" t="str">
        <x:v>ORD-2024-00938</x:v>
      </x:c>
      <x:c r="B907" s="85" t="n">
        <x:v>45607</x:v>
      </x:c>
      <x:c r="C907" s="84" t="str">
        <x:v>CUST-0248</x:v>
      </x:c>
      <x:c r="D907" s="84" t="str">
        <x:v>Chloe Khan</x:v>
      </x:c>
      <x:c r="E907" s="84" t="str">
        <x:v>Corporate </x:v>
      </x:c>
      <x:c r="F907" s="84" t="str">
        <x:v>Midwest</x:v>
      </x:c>
      <x:c r="G907" s="84" t="str">
        <x:v>Chicago </x:v>
      </x:c>
      <x:c r="H907" s="84" t="str">
        <x:v>Retail Store</x:v>
      </x:c>
      <x:c r="I907" s="84" t="str">
        <x:v>ELEC-006</x:v>
      </x:c>
      <x:c r="J907" s="86" t="n">
        <x:v>4</x:v>
      </x:c>
      <x:c r="K907" s="87" t="n">
        <x:v>0.05</x:v>
      </x:c>
      <x:c r="L907" s="84" t="str">
        <x:v>Completed</x:v>
      </x:c>
      <x:c r="M907" s="84" t="str">
        <x:v>Mobile Wallet</x:v>
      </x:c>
      <x:c r="N907" s="84" t="str">
        <x:v> LUCAS GRANT </x:v>
      </x:c>
      <x:c r="O907" s="85" t="n">
        <x:v>45607</x:v>
      </x:c>
      <x:c r="P907" s="84" t="str">
        <x:v>POS_2024_11</x:v>
      </x:c>
      <x:c r="Q907" s="84" t="str">
        <x:v>Portable SSD</x:v>
      </x:c>
      <x:c r="R907" s="84" t="str">
        <x:v>electronics</x:v>
      </x:c>
    </x:row>
    <x:row r="908">
      <x:c r="A908" s="84" t="str">
        <x:v>ORD-2024-01939</x:v>
      </x:c>
      <x:c r="B908" s="85" t="n">
        <x:v>45607</x:v>
      </x:c>
      <x:c r="C908" s="84" t="str">
        <x:v>CUST-0486</x:v>
      </x:c>
      <x:c r="D908" s="84" t="str">
        <x:v>Zara Evans</x:v>
      </x:c>
      <x:c r="E908" s="84" t="str">
        <x:v>Consumer </x:v>
      </x:c>
      <x:c r="F908" s="84" t="str">
        <x:v>Southeast</x:v>
      </x:c>
      <x:c r="G908" s="84" t="str">
        <x:v>Nashville </x:v>
      </x:c>
      <x:c r="H908" s="84" t="str">
        <x:v>Online</x:v>
      </x:c>
      <x:c r="I908" s="84" t="str">
        <x:v>ELEC-004</x:v>
      </x:c>
      <x:c r="J908" s="86" t="n">
        <x:v>4</x:v>
      </x:c>
      <x:c r="K908" s="87" t="n">
        <x:v>0.1</x:v>
      </x:c>
      <x:c r="L908" s="84" t="str">
        <x:v>Completed</x:v>
      </x:c>
      <x:c r="M908" s="84" t="str">
        <x:v>Credit Card</x:v>
      </x:c>
      <x:c r="N908" s="84" t="str">
        <x:v>Ava Mitchell</x:v>
      </x:c>
      <x:c r="O908" s="85" t="n">
        <x:v>45611</x:v>
      </x:c>
      <x:c r="P908" s="84" t="str">
        <x:v>WEB_2024_11</x:v>
      </x:c>
      <x:c r="Q908" s="84" t="str">
        <x:v>Power Bank</x:v>
      </x:c>
      <x:c r="R908" s="84" t="str">
        <x:v>electronics</x:v>
      </x:c>
    </x:row>
    <x:row r="909">
      <x:c r="A909" s="84" t="str">
        <x:v>ORD-2024-02349</x:v>
      </x:c>
      <x:c r="B909" s="85" t="n">
        <x:v>45607</x:v>
      </x:c>
      <x:c r="C909" s="84" t="str">
        <x:v>CUST-0412</x:v>
      </x:c>
      <x:c r="D909" s="84" t="str">
        <x:v>Nina Baker</x:v>
      </x:c>
      <x:c r="E909" s="84" t="str">
        <x:v>Corporate</x:v>
      </x:c>
      <x:c r="F909" s="84" t="str">
        <x:v>Southeast </x:v>
      </x:c>
      <x:c r="G909" s="84" t="str">
        <x:v>Nashville</x:v>
      </x:c>
      <x:c r="H909" s="84" t="str">
        <x:v>Retail Store</x:v>
      </x:c>
      <x:c r="I909" s="84" t="str">
        <x:v>ELEC-004</x:v>
      </x:c>
      <x:c r="J909" s="86" t="n">
        <x:v>4</x:v>
      </x:c>
      <x:c r="K909" s="87" t="n">
        <x:v>0.1</x:v>
      </x:c>
      <x:c r="L909" s="84" t="str">
        <x:v>Completed</x:v>
      </x:c>
      <x:c r="M909" s="84" t="str">
        <x:v>Credit Card</x:v>
      </x:c>
      <x:c r="N909" s="84" t="str">
        <x:v> LIAM PARKER </x:v>
      </x:c>
      <x:c r="O909" s="85" t="n">
        <x:v>45607</x:v>
      </x:c>
      <x:c r="P909" s="84" t="str">
        <x:v>POS_2024_11</x:v>
      </x:c>
      <x:c r="Q909" s="84" t="str">
        <x:v>Power Bank</x:v>
      </x:c>
      <x:c r="R909" s="84" t="str">
        <x:v>Electronics</x:v>
      </x:c>
    </x:row>
    <x:row r="910">
      <x:c r="A910" s="84" t="str">
        <x:v>ORD-2024-00471</x:v>
      </x:c>
      <x:c r="B910" s="85" t="n">
        <x:v>45608</x:v>
      </x:c>
      <x:c r="C910" s="84" t="str">
        <x:v>CUST-0119</x:v>
      </x:c>
      <x:c r="D910" s="84" t="str">
        <x:v>Grace Nelson</x:v>
      </x:c>
      <x:c r="E910" s="84" t="str">
        <x:v>Small Business</x:v>
      </x:c>
      <x:c r="F910" s="84" t="str">
        <x:v>West</x:v>
      </x:c>
      <x:c r="G910" s="84" t="str">
        <x:v>Denver</x:v>
      </x:c>
      <x:c r="H910" s="84" t="str">
        <x:v>Online</x:v>
      </x:c>
      <x:c r="I910" s="84" t="str">
        <x:v>ELEC-002</x:v>
      </x:c>
      <x:c r="J910" s="86" t="n">
        <x:v>1</x:v>
      </x:c>
      <x:c r="K910" s="87" t="n">
        <x:v>0.2</x:v>
      </x:c>
      <x:c r="L910" s="84" t="str">
        <x:v>Completed</x:v>
      </x:c>
      <x:c r="M910" s="84" t="str">
        <x:v>Debit Card</x:v>
      </x:c>
      <x:c r="N910" s="84" t="str">
        <x:v>Leo Martinez</x:v>
      </x:c>
      <x:c r="O910" s="85" t="n">
        <x:v>45613</x:v>
      </x:c>
      <x:c r="P910" s="84" t="str">
        <x:v>WEB_2024_11</x:v>
      </x:c>
      <x:c r="Q910" s="84" t="str">
        <x:v>smartwatch</x:v>
      </x:c>
      <x:c r="R910" s="84" t="str">
        <x:v>Electronics </x:v>
      </x:c>
    </x:row>
    <x:row r="911">
      <x:c r="A911" s="84" t="str">
        <x:v>ORD-2024-00811</x:v>
      </x:c>
      <x:c r="B911" s="85" t="n">
        <x:v>45608</x:v>
      </x:c>
      <x:c r="C911" s="84" t="str">
        <x:v>CUST-0405</x:v>
      </x:c>
      <x:c r="D911" s="84" t="str">
        <x:v>Daniel Irwin</x:v>
      </x:c>
      <x:c r="E911" s="84" t="str">
        <x:v>Corporate</x:v>
      </x:c>
      <x:c r="F911" s="84" t="str">
        <x:v>west</x:v>
      </x:c>
      <x:c r="G911" s="84" t="str">
        <x:v>Seattle</x:v>
      </x:c>
      <x:c r="H911" s="84" t="str">
        <x:v>Online</x:v>
      </x:c>
      <x:c r="I911" s="84" t="str">
        <x:v>CARE-002</x:v>
      </x:c>
      <x:c r="J911" s="86" t="n">
        <x:v>2</x:v>
      </x:c>
      <x:c r="K911" s="87" t="n">
        <x:v>0.2</x:v>
      </x:c>
      <x:c r="L911" s="84" t="str">
        <x:v>Completed </x:v>
      </x:c>
      <x:c r="M911" s="84" t="str">
        <x:v>Credit Card</x:v>
      </x:c>
      <x:c r="N911" s="84" t="str">
        <x:v>Nora Kim</x:v>
      </x:c>
      <x:c r="O911" s="85" t="n">
        <x:v>45612</x:v>
      </x:c>
      <x:c r="P911" s="84" t="str">
        <x:v>WEB_2024_11</x:v>
      </x:c>
      <x:c r="Q911" s="84" t="str">
        <x:v>Rechargeable Trimmer</x:v>
      </x:c>
      <x:c r="R911" s="84" t="str">
        <x:v>Personal Care</x:v>
      </x:c>
    </x:row>
    <x:row r="912">
      <x:c r="A912" s="84" t="str">
        <x:v>ORD-2024-01422</x:v>
      </x:c>
      <x:c r="B912" s="85" t="n">
        <x:v>45608</x:v>
      </x:c>
      <x:c r="C912" s="84" t="str">
        <x:v>CUST-0293</x:v>
      </x:c>
      <x:c r="D912" s="84" t="str">
        <x:v>Marcus Johnson</x:v>
      </x:c>
      <x:c r="E912" s="84" t="str">
        <x:v>Consumer</x:v>
      </x:c>
      <x:c r="F912" s="84" t="str">
        <x:v>West</x:v>
      </x:c>
      <x:c r="G912" s="84" t="str">
        <x:v>Denver</x:v>
      </x:c>
      <x:c r="H912" s="84" t="str">
        <x:v>Retail Store</x:v>
      </x:c>
      <x:c r="I912" s="84" t="str">
        <x:v>FITN-004</x:v>
      </x:c>
      <x:c r="J912" s="86" t="n">
        <x:v>1</x:v>
      </x:c>
      <x:c r="K912" s="87" t="n">
        <x:v>0.15</x:v>
      </x:c>
      <x:c r="L912" s="84" t="str">
        <x:v>Completed</x:v>
      </x:c>
      <x:c r="M912" s="84" t="str">
        <x:v> CREDIT CARD </x:v>
      </x:c>
      <x:c r="N912" s="84" t="str">
        <x:v>Mia Chen</x:v>
      </x:c>
      <x:c r="O912" s="85" t="n">
        <x:v>45608</x:v>
      </x:c>
      <x:c r="P912" s="84" t="str">
        <x:v>POS_2024_11</x:v>
      </x:c>
      <x:c r="Q912" s="84" t="str">
        <x:v>Fitness Tracker </x:v>
      </x:c>
      <x:c r="R912" s="84" t="str">
        <x:v>fitness</x:v>
      </x:c>
    </x:row>
    <x:row r="913">
      <x:c r="A913" s="84" t="str">
        <x:v>ORD-2024-01452</x:v>
      </x:c>
      <x:c r="B913" s="85" t="n">
        <x:v>45608</x:v>
      </x:c>
      <x:c r="C913" s="84" t="str">
        <x:v>CUST-0192</x:v>
      </x:c>
      <x:c r="D913" s="84" t="str">
        <x:v>Caleb Young</x:v>
      </x:c>
      <x:c r="E913" s="84" t="str">
        <x:v>corporate</x:v>
      </x:c>
      <x:c r="F913" s="84" t="str">
        <x:v>West</x:v>
      </x:c>
      <x:c r="G913" s="84" t="str">
        <x:v>Seattle</x:v>
      </x:c>
      <x:c r="H913" s="84" t="str">
        <x:v>online</x:v>
      </x:c>
      <x:c r="I913" s="84" t="str">
        <x:v>HOME-006</x:v>
      </x:c>
      <x:c r="J913" s="86" t="n">
        <x:v>3</x:v>
      </x:c>
      <x:c r="K913" s="87" t="n">
        <x:v>0.1</x:v>
      </x:c>
      <x:c r="L913" s="84" t="str">
        <x:v>Completed</x:v>
      </x:c>
      <x:c r="M913" s="84" t="str">
        <x:v>Credit Card</x:v>
      </x:c>
      <x:c r="N913" s="84" t="str">
        <x:v>Mia Chen</x:v>
      </x:c>
      <x:c r="O913" s="85" t="n">
        <x:v>45614</x:v>
      </x:c>
      <x:c r="P913" s="84" t="str">
        <x:v>WEB_2024_11</x:v>
      </x:c>
      <x:c r="Q913" s="84" t="str">
        <x:v>Food Storage Set</x:v>
      </x:c>
      <x:c r="R913" s="84" t="str">
        <x:v>Home &amp; Kitchen</x:v>
      </x:c>
    </x:row>
    <x:row r="914">
      <x:c r="A914" s="84" t="str">
        <x:v>ORD-2024-01596</x:v>
      </x:c>
      <x:c r="B914" s="85" t="n">
        <x:v>45608</x:v>
      </x:c>
      <x:c r="C914" s="84" t="str">
        <x:v>CUST-0263</x:v>
      </x:c>
      <x:c r="D914" s="84" t="str">
        <x:v>Theo Smith</x:v>
      </x:c>
      <x:c r="E914" s="84" t="str">
        <x:v>Consumer </x:v>
      </x:c>
      <x:c r="F914" s="84" t="str">
        <x:v>West</x:v>
      </x:c>
      <x:c r="G914" s="84" t="str">
        <x:v>Seattle </x:v>
      </x:c>
      <x:c r="H914" s="84" t="str">
        <x:v>Online</x:v>
      </x:c>
      <x:c r="I914" s="84" t="str">
        <x:v>OFFC-002</x:v>
      </x:c>
      <x:c r="J914" s="86" t="n">
        <x:v>2</x:v>
      </x:c>
      <x:c r="K914" s="87" t="n">
        <x:v>0.1</x:v>
      </x:c>
      <x:c r="L914" s="84" t="str">
        <x:v>Completed</x:v>
      </x:c>
      <x:c r="M914" s="84" t="str">
        <x:v>Mobile Wallet</x:v>
      </x:c>
      <x:c r="N914" s="84" t="str">
        <x:v>Nora Kim</x:v>
      </x:c>
      <x:c r="O914" s="85" t="n">
        <x:v>45613</x:v>
      </x:c>
      <x:c r="P914" s="84" t="str">
        <x:v>WEB_2024_11</x:v>
      </x:c>
      <x:c r="Q914" s="84" t="str">
        <x:v>Standing Desk</x:v>
      </x:c>
      <x:c r="R914" s="84" t="str">
        <x:v> OFFICE </x:v>
      </x:c>
    </x:row>
    <x:row r="915">
      <x:c r="A915" s="84" t="str">
        <x:v>ORD-2024-01843</x:v>
      </x:c>
      <x:c r="B915" s="85" t="n">
        <x:v>45608</x:v>
      </x:c>
      <x:c r="C915" s="84" t="str">
        <x:v>CUST-0399</x:v>
      </x:c>
      <x:c r="D915" s="84" t="str">
        <x:v>Aiden Foster</x:v>
      </x:c>
      <x:c r="E915" s="84" t="str">
        <x:v>Consumer</x:v>
      </x:c>
      <x:c r="F915" s="84" t="str">
        <x:v>Midwest</x:v>
      </x:c>
      <x:c r="G915" s="84" t="str">
        <x:v>Detroit</x:v>
      </x:c>
      <x:c r="H915" s="84" t="str">
        <x:v>Retail Store</x:v>
      </x:c>
      <x:c r="I915" s="84" t="str">
        <x:v>ACCS-003</x:v>
      </x:c>
      <x:c r="J915" s="86" t="n">
        <x:v>1</x:v>
      </x:c>
      <x:c r="K915" s="87" t="n">
        <x:v>0</x:v>
      </x:c>
      <x:c r="L915" s="84" t="str">
        <x:v>Completed</x:v>
      </x:c>
      <x:c r="M915" s="84" t="str">
        <x:v>Credit Card</x:v>
      </x:c>
      <x:c r="N915" s="84" t="str">
        <x:v>Emma Hayes</x:v>
      </x:c>
      <x:c r="O915" s="85" t="n">
        <x:v>45608</x:v>
      </x:c>
      <x:c r="P915" s="84" t="str">
        <x:v>POS_2024_11</x:v>
      </x:c>
      <x:c r="Q915" s="84" t="str">
        <x:v>Polarized Sunglasses</x:v>
      </x:c>
      <x:c r="R915" s="84" t="str">
        <x:v>Accessories </x:v>
      </x:c>
    </x:row>
    <x:row r="916">
      <x:c r="A916" s="84" t="str">
        <x:v>ORD-2024-01902</x:v>
      </x:c>
      <x:c r="B916" s="85" t="n">
        <x:v>45608</x:v>
      </x:c>
      <x:c r="C916" s="84" t="str">
        <x:v>CUST-0520</x:v>
      </x:c>
      <x:c r="D916" s="84" t="str">
        <x:v>Theo Quinn </x:v>
      </x:c>
      <x:c r="E916" s="84" t="str">
        <x:v>Consumer</x:v>
      </x:c>
      <x:c r="F916" s="84" t="str">
        <x:v>Northeast</x:v>
      </x:c>
      <x:c r="G916" s="84" t="str">
        <x:v>Boston</x:v>
      </x:c>
      <x:c r="H916" s="84" t="str">
        <x:v>Retail Store</x:v>
      </x:c>
      <x:c r="I916" s="84" t="str">
        <x:v>ACCS-003</x:v>
      </x:c>
      <x:c r="J916" s="86" t="n">
        <x:v>1</x:v>
      </x:c>
      <x:c r="K916" s="87" t="n">
        <x:v>0.15</x:v>
      </x:c>
      <x:c r="L916" s="84" t="str">
        <x:v>Completed</x:v>
      </x:c>
      <x:c r="M916" s="84" t="str">
        <x:v>credit card</x:v>
      </x:c>
      <x:c r="N916" s="84" t="str">
        <x:v>Maya Brooks</x:v>
      </x:c>
      <x:c r="O916" s="85" t="n">
        <x:v>45608</x:v>
      </x:c>
      <x:c r="P916" s="84" t="str">
        <x:v>POS_2024_11</x:v>
      </x:c>
      <x:c r="Q916" s="84" t="str">
        <x:v>Polarized Sunglasses</x:v>
      </x:c>
      <x:c r="R916" s="84" t="str">
        <x:v> ACCESSORIES </x:v>
      </x:c>
    </x:row>
    <x:row r="917">
      <x:c r="A917" s="84" t="str">
        <x:v>ORD-2024-00919</x:v>
      </x:c>
      <x:c r="B917" s="85" t="n">
        <x:v>45609</x:v>
      </x:c>
      <x:c r="C917" s="84" t="str">
        <x:v>CUST-0244</x:v>
      </x:c>
      <x:c r="D917" s="84" t="str">
        <x:v>Caleb Nelson</x:v>
      </x:c>
      <x:c r="E917" s="84" t="str">
        <x:v>Small Business</x:v>
      </x:c>
      <x:c r="F917" s="84" t="str">
        <x:v>Midwest</x:v>
      </x:c>
      <x:c r="G917" s="84" t="str">
        <x:v>Detroit</x:v>
      </x:c>
      <x:c r="H917" s="84" t="str">
        <x:v>Retail Store</x:v>
      </x:c>
      <x:c r="I917" s="84" t="str">
        <x:v>HOME-005</x:v>
      </x:c>
      <x:c r="J917" s="86" t="n">
        <x:v>1</x:v>
      </x:c>
      <x:c r="K917" s="87" t="n">
        <x:v>0.05</x:v>
      </x:c>
      <x:c r="L917" s="84" t="str">
        <x:v>Completed</x:v>
      </x:c>
      <x:c r="M917" s="84" t="str">
        <x:v>Credit Card</x:v>
      </x:c>
      <x:c r="N917" s="84" t="str">
        <x:v>Lucas Grant</x:v>
      </x:c>
      <x:c r="O917" s="85" t="n">
        <x:v>45609</x:v>
      </x:c>
      <x:c r="P917" s="84" t="str">
        <x:v>POS_2024_11</x:v>
      </x:c>
      <x:c r="Q917" s="84" t="str">
        <x:v>Cordless Vacuum</x:v>
      </x:c>
      <x:c r="R917" s="84" t="str">
        <x:v>Home &amp; Kitchen </x:v>
      </x:c>
    </x:row>
    <x:row r="918">
      <x:c r="A918" s="84" t="str">
        <x:v>ORD-2024-01721</x:v>
      </x:c>
      <x:c r="B918" s="85" t="n">
        <x:v>45609</x:v>
      </x:c>
      <x:c r="C918" s="84" t="str">
        <x:v>CUST-0122</x:v>
      </x:c>
      <x:c r="D918" s="84" t="str">
        <x:v>Priya Young</x:v>
      </x:c>
      <x:c r="E918" s="84" t="str">
        <x:v>Small Business</x:v>
      </x:c>
      <x:c r="F918" s="84" t="str">
        <x:v>West</x:v>
      </x:c>
      <x:c r="G918" s="84" t="str">
        <x:v>Los Angeles</x:v>
      </x:c>
      <x:c r="H918" s="84" t="str">
        <x:v>Retail Store</x:v>
      </x:c>
      <x:c r="I918" s="84" t="str">
        <x:v>CARE-006</x:v>
      </x:c>
      <x:c r="J918" s="86" t="n">
        <x:v>1</x:v>
      </x:c>
      <x:c r="K918" s="87" t="n">
        <x:v>0.05</x:v>
      </x:c>
      <x:c r="L918" s="84" t="str">
        <x:v>Completed </x:v>
      </x:c>
      <x:c r="M918" s="84" t="str">
        <x:v>Debit Card</x:v>
      </x:c>
      <x:c r="N918" s="84" t="str">
        <x:v>Leo Martinez</x:v>
      </x:c>
      <x:c r="O918" s="85" t="n">
        <x:v>45609</x:v>
      </x:c>
      <x:c r="P918" s="84" t="str">
        <x:v>POS_2024_11</x:v>
      </x:c>
      <x:c r="Q918" s="84" t="str">
        <x:v> PERCUSSION MASSAGE GUN </x:v>
      </x:c>
      <x:c r="R918" s="84" t="str">
        <x:v>Personal Care</x:v>
      </x:c>
    </x:row>
    <x:row r="919">
      <x:c r="A919" s="84" t="str">
        <x:v>ORD-2024-01772</x:v>
      </x:c>
      <x:c r="B919" s="85" t="n">
        <x:v>45609</x:v>
      </x:c>
      <x:c r="C919" s="84" t="str">
        <x:v>CUST-0315</x:v>
      </x:c>
      <x:c r="D919" s="84" t="str">
        <x:v>Caleb Lewis</x:v>
      </x:c>
      <x:c r="E919" s="84" t="str">
        <x:v>Small Business</x:v>
      </x:c>
      <x:c r="F919" s="84" t="str">
        <x:v>West</x:v>
      </x:c>
      <x:c r="G919" s="84" t="str">
        <x:v>Seattle</x:v>
      </x:c>
      <x:c r="H919" s="84" t="str">
        <x:v>Marketplace</x:v>
      </x:c>
      <x:c r="I919" s="84" t="str">
        <x:v>FITN-006</x:v>
      </x:c>
      <x:c r="J919" s="86" t="n">
        <x:v>1</x:v>
      </x:c>
      <x:c r="K919" s="87" t="n">
        <x:v>0.15</x:v>
      </x:c>
      <x:c r="L919" s="84" t="str">
        <x:v>Completed</x:v>
      </x:c>
      <x:c r="M919" s="84" t="str">
        <x:v>Debit Card</x:v>
      </x:c>
      <x:c r="N919" s="84" t="str">
        <x:v>Mia Chen</x:v>
      </x:c>
      <x:c r="O919" s="85" t="n">
        <x:v>45612</x:v>
      </x:c>
      <x:c r="P919" s="84" t="str">
        <x:v>MKT_2024_11</x:v>
      </x:c>
      <x:c r="Q919" s="84" t="str">
        <x:v> FOAM ROLLER </x:v>
      </x:c>
      <x:c r="R919" s="84" t="str">
        <x:v>Fitness</x:v>
      </x:c>
    </x:row>
    <x:row r="920">
      <x:c r="A920" s="84" t="str">
        <x:v>ORD-2024-01322</x:v>
      </x:c>
      <x:c r="B920" s="85" t="n">
        <x:v>45610</x:v>
      </x:c>
      <x:c r="C920" s="84" t="str">
        <x:v>CUST-0039</x:v>
      </x:c>
      <x:c r="D920" s="84" t="str">
        <x:v>Amelia Patel</x:v>
      </x:c>
      <x:c r="E920" s="84" t="str">
        <x:v>Consumer</x:v>
      </x:c>
      <x:c r="F920" s="84" t="str">
        <x:v>West</x:v>
      </x:c>
      <x:c r="G920" s="84" t="str">
        <x:v>Denver</x:v>
      </x:c>
      <x:c r="H920" s="84" t="str">
        <x:v>Online</x:v>
      </x:c>
      <x:c r="I920" s="84" t="str">
        <x:v>ELEC-003</x:v>
      </x:c>
      <x:c r="J920" s="86" t="n">
        <x:v>1</x:v>
      </x:c>
      <x:c r="K920" s="87" t="n">
        <x:v>0</x:v>
      </x:c>
      <x:c r="L920" s="84" t="str">
        <x:v>Completed </x:v>
      </x:c>
      <x:c r="M920" s="84" t="str">
        <x:v>Debit Card</x:v>
      </x:c>
      <x:c r="N920" s="84" t="str">
        <x:v>nora kim</x:v>
      </x:c>
      <x:c r="O920" s="85" t="n">
        <x:v>45614</x:v>
      </x:c>
      <x:c r="P920" s="84" t="str">
        <x:v>WEB_2024_11</x:v>
      </x:c>
      <x:c r="Q920" s="84" t="str">
        <x:v>Bluetooth Speaker</x:v>
      </x:c>
      <x:c r="R920" s="84" t="str">
        <x:v>Electronics</x:v>
      </x:c>
    </x:row>
    <x:row r="921">
      <x:c r="A921" s="84" t="str">
        <x:v>ORD-2024-01628</x:v>
      </x:c>
      <x:c r="B921" s="85" t="n">
        <x:v>45610</x:v>
      </x:c>
      <x:c r="C921" s="84" t="str">
        <x:v>CUST-0336</x:v>
      </x:c>
      <x:c r="D921" s="84" t="str">
        <x:v>Jonah Garcia</x:v>
      </x:c>
      <x:c r="E921" s="84" t="str">
        <x:v>consumer</x:v>
      </x:c>
      <x:c r="F921" s="84" t="str">
        <x:v>West </x:v>
      </x:c>
      <x:c r="G921" s="84" t="str">
        <x:v>Phoenix</x:v>
      </x:c>
      <x:c r="H921" s="84" t="str">
        <x:v>retail store</x:v>
      </x:c>
      <x:c r="I921" s="84" t="str">
        <x:v>ELEC-005</x:v>
      </x:c>
      <x:c r="J921" s="86" t="n">
        <x:v>1</x:v>
      </x:c>
      <x:c r="K921" s="87" t="n">
        <x:v>0.1</x:v>
      </x:c>
      <x:c r="L921" s="84" t="str">
        <x:v>Completed</x:v>
      </x:c>
      <x:c r="M921" s="84" t="str">
        <x:v>Credit Card</x:v>
      </x:c>
      <x:c r="N921" s="84" t="str">
        <x:v>Mia Chen </x:v>
      </x:c>
      <x:c r="O921" s="85" t="n">
        <x:v>45610</x:v>
      </x:c>
      <x:c r="P921" s="84" t="str">
        <x:v>POS_2024_11</x:v>
      </x:c>
      <x:c r="Q921" s="84" t="str">
        <x:v>HD Webcam</x:v>
      </x:c>
      <x:c r="R921" s="84" t="str">
        <x:v>Electronics</x:v>
      </x:c>
    </x:row>
    <x:row r="922">
      <x:c r="A922" s="84" t="str">
        <x:v>ORD-2024-01892</x:v>
      </x:c>
      <x:c r="B922" s="85" t="n">
        <x:v>45610</x:v>
      </x:c>
      <x:c r="C922" s="84" t="str">
        <x:v>CUST-0436</x:v>
      </x:c>
      <x:c r="D922" s="84" t="str">
        <x:v>Nathan Hall</x:v>
      </x:c>
      <x:c r="E922" s="84" t="str">
        <x:v>consumer</x:v>
      </x:c>
      <x:c r="F922" s="84" t="str">
        <x:v>West</x:v>
      </x:c>
      <x:c r="G922" s="84" t="str">
        <x:v>Phoenix</x:v>
      </x:c>
      <x:c r="H922" s="84" t="str">
        <x:v>marketplace</x:v>
      </x:c>
      <x:c r="I922" s="84" t="str">
        <x:v>ACCS-003</x:v>
      </x:c>
      <x:c r="J922" s="86" t="n">
        <x:v>1</x:v>
      </x:c>
      <x:c r="K922" s="87" t="n">
        <x:v>0.15</x:v>
      </x:c>
      <x:c r="L922" s="84" t="str">
        <x:v> COMPLETED </x:v>
      </x:c>
      <x:c r="M922" s="84" t="str">
        <x:v>PayPal</x:v>
      </x:c>
      <x:c r="N922" s="84" t="str">
        <x:v>Leo Martinez</x:v>
      </x:c>
      <x:c r="O922" s="85" t="n">
        <x:v>45617</x:v>
      </x:c>
      <x:c r="P922" s="84" t="str">
        <x:v>MKT_2024_11</x:v>
      </x:c>
      <x:c r="Q922" s="84" t="str">
        <x:v>Polarized Sunglasses</x:v>
      </x:c>
      <x:c r="R922" s="84" t="str">
        <x:v>Accessories </x:v>
      </x:c>
    </x:row>
    <x:row r="923">
      <x:c r="A923" s="84" t="str">
        <x:v>ORD-2024-02067</x:v>
      </x:c>
      <x:c r="B923" s="85" t="n">
        <x:v>45610</x:v>
      </x:c>
      <x:c r="C923" s="84" t="str">
        <x:v>CUST-0367</x:v>
      </x:c>
      <x:c r="D923" s="84" t="str">
        <x:v>Zara Young</x:v>
      </x:c>
      <x:c r="E923" s="84" t="str">
        <x:v>Consumer</x:v>
      </x:c>
      <x:c r="F923" s="84" t="str">
        <x:v>Northeast</x:v>
      </x:c>
      <x:c r="G923" s="84" t="str">
        <x:v> NEW YORK </x:v>
      </x:c>
      <x:c r="H923" s="84" t="str">
        <x:v>Retail Store</x:v>
      </x:c>
      <x:c r="I923" s="84" t="str">
        <x:v>ELEC-002</x:v>
      </x:c>
      <x:c r="J923" s="86" t="n">
        <x:v>1</x:v>
      </x:c>
      <x:c r="K923" s="87" t="n">
        <x:v>0.1</x:v>
      </x:c>
      <x:c r="L923" s="84" t="str">
        <x:v>Completed</x:v>
      </x:c>
      <x:c r="M923" s="84" t="str">
        <x:v>mobile wallet</x:v>
      </x:c>
      <x:c r="N923" s="84" t="str">
        <x:v>Sofia Bennett</x:v>
      </x:c>
      <x:c r="O923" s="85" t="n">
        <x:v>45610</x:v>
      </x:c>
      <x:c r="P923" s="84" t="str">
        <x:v>POS_2024_11</x:v>
      </x:c>
      <x:c r="Q923" s="84" t="str">
        <x:v>Smartwatch</x:v>
      </x:c>
      <x:c r="R923" s="84" t="str">
        <x:v>Electronics </x:v>
      </x:c>
    </x:row>
    <x:row r="924">
      <x:c r="A924" s="84" t="str">
        <x:v>ORD-2024-02158</x:v>
      </x:c>
      <x:c r="B924" s="85" t="n">
        <x:v>45611</x:v>
      </x:c>
      <x:c r="C924" s="84" t="str">
        <x:v>CUST-0636</x:v>
      </x:c>
      <x:c r="D924" s="84" t="str">
        <x:v>Nina Baker</x:v>
      </x:c>
      <x:c r="E924" s="84" t="str">
        <x:v>Small Business</x:v>
      </x:c>
      <x:c r="F924" s="84" t="str">
        <x:v>Midwest</x:v>
      </x:c>
      <x:c r="G924" s="84" t="str">
        <x:v>Chicago</x:v>
      </x:c>
      <x:c r="H924" s="84" t="str">
        <x:v>Online</x:v>
      </x:c>
      <x:c r="I924" s="84" t="str">
        <x:v>ACCS-001</x:v>
      </x:c>
      <x:c r="J924" s="86" t="n">
        <x:v>1</x:v>
      </x:c>
      <x:c r="K924" s="87" t="n">
        <x:v>0</x:v>
      </x:c>
      <x:c r="L924" s="84" t="str">
        <x:v>Completed</x:v>
      </x:c>
      <x:c r="M924" s="84" t="str">
        <x:v>PayPal</x:v>
      </x:c>
      <x:c r="N924" s="84" t="str">
        <x:v>emma hayes</x:v>
      </x:c>
      <x:c r="O924" s="85" t="n">
        <x:v>45614</x:v>
      </x:c>
      <x:c r="P924" s="84" t="str">
        <x:v>WEB_2024_11</x:v>
      </x:c>
      <x:c r="Q924" s="84" t="str">
        <x:v>Canvas Tote Bag</x:v>
      </x:c>
      <x:c r="R924" s="84" t="str">
        <x:v>Accessories </x:v>
      </x:c>
    </x:row>
    <x:row r="925">
      <x:c r="A925" s="84" t="str">
        <x:v>ORD-2024-00171</x:v>
      </x:c>
      <x:c r="B925" s="85" t="n">
        <x:v>45612</x:v>
      </x:c>
      <x:c r="C925" s="84" t="str">
        <x:v>CUST-0139</x:v>
      </x:c>
      <x:c r="D925" s="84" t="str">
        <x:v>William Evans</x:v>
      </x:c>
      <x:c r="E925" s="84" t="str">
        <x:v>Consumer</x:v>
      </x:c>
      <x:c r="F925" s="84" t="str">
        <x:v>West</x:v>
      </x:c>
      <x:c r="G925" s="84" t="str">
        <x:v>Seattle</x:v>
      </x:c>
      <x:c r="H925" s="84" t="str">
        <x:v>Online </x:v>
      </x:c>
      <x:c r="I925" s="84" t="str">
        <x:v>HOME-006</x:v>
      </x:c>
      <x:c r="J925" s="86" t="n">
        <x:v>2</x:v>
      </x:c>
      <x:c r="K925" s="87" t="n">
        <x:v>0.1</x:v>
      </x:c>
      <x:c r="L925" s="84" t="str">
        <x:v>Completed</x:v>
      </x:c>
      <x:c r="M925" s="84" t="str">
        <x:v>PayPal</x:v>
      </x:c>
      <x:c r="N925" s="84" t="str">
        <x:v>Leo Martinez</x:v>
      </x:c>
      <x:c r="O925" s="85" t="n">
        <x:v>45616</x:v>
      </x:c>
      <x:c r="P925" s="84" t="str">
        <x:v>WEB_2024_11</x:v>
      </x:c>
      <x:c r="Q925" s="84" t="str">
        <x:v>Food Storage Set</x:v>
      </x:c>
      <x:c r="R925" s="84" t="str">
        <x:v>Home &amp; Kitchen</x:v>
      </x:c>
    </x:row>
    <x:row r="926">
      <x:c r="A926" s="84" t="str">
        <x:v>ORD-2024-00501</x:v>
      </x:c>
      <x:c r="B926" s="85" t="n">
        <x:v>45612</x:v>
      </x:c>
      <x:c r="C926" s="84" t="str">
        <x:v>CUST-0121</x:v>
      </x:c>
      <x:c r="D926" s="84" t="str">
        <x:v>Zara Patel</x:v>
      </x:c>
      <x:c r="E926" s="84" t="str">
        <x:v>Corporate</x:v>
      </x:c>
      <x:c r="F926" s="84" t="str">
        <x:v>West </x:v>
      </x:c>
      <x:c r="G926" s="84" t="str">
        <x:v>Denver</x:v>
      </x:c>
      <x:c r="H926" s="84" t="str">
        <x:v>Online</x:v>
      </x:c>
      <x:c r="I926" s="84" t="str">
        <x:v>OFFC-004</x:v>
      </x:c>
      <x:c r="J926" s="86" t="n">
        <x:v>3</x:v>
      </x:c>
      <x:c r="K926" s="87" t="n">
        <x:v>0</x:v>
      </x:c>
      <x:c r="L926" s="84" t="str">
        <x:v>Completed</x:v>
      </x:c>
      <x:c r="M926" s="84" t="str">
        <x:v>Credit Card</x:v>
      </x:c>
      <x:c r="N926" s="84" t="str">
        <x:v>Nora Kim </x:v>
      </x:c>
      <x:c r="O926" s="85" t="n">
        <x:v>45616</x:v>
      </x:c>
      <x:c r="P926" s="84" t="str">
        <x:v>WEB_2024_11</x:v>
      </x:c>
      <x:c r="Q926" s="84" t="str">
        <x:v>Premium Notebook Pack</x:v>
      </x:c>
      <x:c r="R926" s="84" t="str">
        <x:v>Office</x:v>
      </x:c>
    </x:row>
    <x:row r="927">
      <x:c r="A927" s="84" t="str">
        <x:v>ORD-2024-00815</x:v>
      </x:c>
      <x:c r="B927" s="85" t="n">
        <x:v>45612</x:v>
      </x:c>
      <x:c r="C927" s="84" t="str">
        <x:v>CUST-0387</x:v>
      </x:c>
      <x:c r="D927" s="84" t="str">
        <x:v>Samuel Evans</x:v>
      </x:c>
      <x:c r="E927" s="84" t="str">
        <x:v>Small Business</x:v>
      </x:c>
      <x:c r="F927" s="84" t="str">
        <x:v>West</x:v>
      </x:c>
      <x:c r="G927" s="84" t="str">
        <x:v>Denver</x:v>
      </x:c>
      <x:c r="H927" s="84" t="str">
        <x:v>Retail Store </x:v>
      </x:c>
      <x:c r="I927" s="84" t="str">
        <x:v>OFFC-004</x:v>
      </x:c>
      <x:c r="J927" s="86" t="n">
        <x:v>4</x:v>
      </x:c>
      <x:c r="K927" s="87" t="n">
        <x:v>0.05</x:v>
      </x:c>
      <x:c r="L927" s="84" t="str">
        <x:v>Completed</x:v>
      </x:c>
      <x:c r="M927" s="84" t="str">
        <x:v>Credit Card</x:v>
      </x:c>
      <x:c r="N927" s="84" t="str">
        <x:v>Leo Martinez</x:v>
      </x:c>
      <x:c r="O927" s="85" t="n">
        <x:v>45612</x:v>
      </x:c>
      <x:c r="P927" s="84" t="str">
        <x:v>POS_2024_11</x:v>
      </x:c>
      <x:c r="Q927" s="84" t="str">
        <x:v>Premium Notebook Pack</x:v>
      </x:c>
      <x:c r="R927" s="84" t="str">
        <x:v>Office</x:v>
      </x:c>
    </x:row>
    <x:row r="928">
      <x:c r="A928" s="84" t="str">
        <x:v>ORD-2024-01005</x:v>
      </x:c>
      <x:c r="B928" s="85" t="n">
        <x:v>45612</x:v>
      </x:c>
      <x:c r="C928" s="84" t="str">
        <x:v>CUST-0532</x:v>
      </x:c>
      <x:c r="D928" s="84" t="str">
        <x:v>Elena Hall</x:v>
      </x:c>
      <x:c r="E928" s="84" t="str">
        <x:v>Small Business</x:v>
      </x:c>
      <x:c r="F928" s="84" t="str">
        <x:v>Southeast </x:v>
      </x:c>
      <x:c r="G928" s="84" t="str">
        <x:v>charlotte</x:v>
      </x:c>
      <x:c r="H928" s="84" t="str">
        <x:v>Online</x:v>
      </x:c>
      <x:c r="I928" s="84" t="str">
        <x:v>ELEC-006</x:v>
      </x:c>
      <x:c r="J928" s="86" t="n">
        <x:v>2</x:v>
      </x:c>
      <x:c r="K928" s="87" t="n">
        <x:v>0</x:v>
      </x:c>
      <x:c r="L928" s="84" t="str">
        <x:v>completed</x:v>
      </x:c>
      <x:c r="M928" s="84" t="str">
        <x:v>Debit Card</x:v>
      </x:c>
      <x:c r="N928" s="84" t="str">
        <x:v>Liam Parker </x:v>
      </x:c>
      <x:c r="O928" s="85" t="n">
        <x:v>45616</x:v>
      </x:c>
      <x:c r="P928" s="84" t="str">
        <x:v>WEB_2024_11</x:v>
      </x:c>
      <x:c r="Q928" s="84" t="str">
        <x:v>Portable SSD</x:v>
      </x:c>
      <x:c r="R928" s="84" t="str">
        <x:v>Electronics</x:v>
      </x:c>
    </x:row>
    <x:row r="929">
      <x:c r="A929" s="84" t="str">
        <x:v>ORD-2024-01295</x:v>
      </x:c>
      <x:c r="B929" s="85" t="n">
        <x:v>45612</x:v>
      </x:c>
      <x:c r="C929" s="84" t="str">
        <x:v>CUST-0329</x:v>
      </x:c>
      <x:c r="D929" s="84" t="str">
        <x:v>Theo Nelson</x:v>
      </x:c>
      <x:c r="E929" s="84" t="str">
        <x:v>Consumer </x:v>
      </x:c>
      <x:c r="F929" s="84" t="str">
        <x:v>southeast</x:v>
      </x:c>
      <x:c r="G929" s="84" t="str">
        <x:v>Atlanta </x:v>
      </x:c>
      <x:c r="H929" s="84" t="str">
        <x:v>Online</x:v>
      </x:c>
      <x:c r="I929" s="84" t="str">
        <x:v>ELEC-006</x:v>
      </x:c>
      <x:c r="J929" s="86" t="n">
        <x:v>3</x:v>
      </x:c>
      <x:c r="K929" s="87" t="n">
        <x:v>0.2</x:v>
      </x:c>
      <x:c r="L929" s="84" t="str">
        <x:v>Completed</x:v>
      </x:c>
      <x:c r="M929" s="84" t="str">
        <x:v>Credit Card</x:v>
      </x:c>
      <x:c r="N929" s="84" t="str">
        <x:v> AVA MITCHELL </x:v>
      </x:c>
      <x:c r="O929" s="85" t="n">
        <x:v>45615</x:v>
      </x:c>
      <x:c r="P929" s="84" t="str">
        <x:v>WEB_2024_11</x:v>
      </x:c>
      <x:c r="Q929" s="84" t="str">
        <x:v>Portable SSD</x:v>
      </x:c>
      <x:c r="R929" s="84" t="str">
        <x:v>Electronics</x:v>
      </x:c>
    </x:row>
    <x:row r="930">
      <x:c r="A930" s="84" t="str">
        <x:v>ORD-2024-01931</x:v>
      </x:c>
      <x:c r="B930" s="85" t="n">
        <x:v>45612</x:v>
      </x:c>
      <x:c r="C930" s="84" t="str">
        <x:v>CUST-0318</x:v>
      </x:c>
      <x:c r="D930" s="84" t="str">
        <x:v>Theo Baker</x:v>
      </x:c>
      <x:c r="E930" s="84" t="str">
        <x:v>Consumer</x:v>
      </x:c>
      <x:c r="F930" s="84" t="str">
        <x:v>Midwest</x:v>
      </x:c>
      <x:c r="G930" s="84" t="str">
        <x:v> DETROIT </x:v>
      </x:c>
      <x:c r="H930" s="84" t="str">
        <x:v>Retail Store</x:v>
      </x:c>
      <x:c r="I930" s="84" t="str">
        <x:v>OFFC-005</x:v>
      </x:c>
      <x:c r="J930" s="86" t="n">
        <x:v>1</x:v>
      </x:c>
      <x:c r="K930" s="87" t="n">
        <x:v>0.15</x:v>
      </x:c>
      <x:c r="L930" s="84" t="str">
        <x:v>Completed </x:v>
      </x:c>
      <x:c r="M930" s="84" t="str">
        <x:v>Credit Card</x:v>
      </x:c>
      <x:c r="N930" s="84" t="str">
        <x:v>Lucas Grant</x:v>
      </x:c>
      <x:c r="O930" s="85" t="n">
        <x:v>45613</x:v>
      </x:c>
      <x:c r="P930" s="84" t="str">
        <x:v>POS_2024_11</x:v>
      </x:c>
      <x:c r="Q930" s="84" t="str">
        <x:v>Wireless Keyboard</x:v>
      </x:c>
      <x:c r="R930" s="84" t="str">
        <x:v>Office</x:v>
      </x:c>
    </x:row>
    <x:row r="931">
      <x:c r="A931" s="84" t="str">
        <x:v>ORD-2024-01539</x:v>
      </x:c>
      <x:c r="B931" s="85" t="n">
        <x:v>45613</x:v>
      </x:c>
      <x:c r="C931" s="84" t="str">
        <x:v>CUST-0583</x:v>
      </x:c>
      <x:c r="D931" s="84" t="str">
        <x:v>Nina Irwin</x:v>
      </x:c>
      <x:c r="E931" s="84" t="str">
        <x:v>Consumer</x:v>
      </x:c>
      <x:c r="F931" s="84" t="str">
        <x:v>Southeast</x:v>
      </x:c>
      <x:c r="G931" s="84" t="str">
        <x:v>Charlotte</x:v>
      </x:c>
      <x:c r="H931" s="84" t="str">
        <x:v>Marketplace</x:v>
      </x:c>
      <x:c r="I931" s="84" t="str">
        <x:v>HOME-003</x:v>
      </x:c>
      <x:c r="J931" s="86" t="n">
        <x:v>2</x:v>
      </x:c>
      <x:c r="K931" s="87" t="n">
        <x:v>0.2</x:v>
      </x:c>
      <x:c r="L931" s="84" t="str">
        <x:v>Completed </x:v>
      </x:c>
      <x:c r="M931" s="84" t="str">
        <x:v>mobile wallet</x:v>
      </x:c>
      <x:c r="N931" s="84" t="str">
        <x:v>Ava Mitchell</x:v>
      </x:c>
      <x:c r="O931" s="85" t="n">
        <x:v>45619</x:v>
      </x:c>
      <x:c r="P931" s="84" t="str">
        <x:v>MKT_2024_11</x:v>
      </x:c>
      <x:c r="Q931" s="84" t="str">
        <x:v>Countertop Blender</x:v>
      </x:c>
      <x:c r="R931" s="84" t="str">
        <x:v>Home &amp; Kitchen</x:v>
      </x:c>
    </x:row>
    <x:row r="932">
      <x:c r="A932" s="84" t="str">
        <x:v>ORD-2024-02130</x:v>
      </x:c>
      <x:c r="B932" s="85" t="n">
        <x:v>45613</x:v>
      </x:c>
      <x:c r="C932" s="84" t="str">
        <x:v>CUST-0588</x:v>
      </x:c>
      <x:c r="D932" s="84" t="str">
        <x:v>nathan johnson</x:v>
      </x:c>
      <x:c r="E932" s="84" t="str">
        <x:v>Consumer</x:v>
      </x:c>
      <x:c r="F932" s="84" t="str">
        <x:v>Midwest</x:v>
      </x:c>
      <x:c r="G932" s="84" t="str">
        <x:v>Detroit</x:v>
      </x:c>
      <x:c r="H932" s="84" t="str">
        <x:v>Retail Store</x:v>
      </x:c>
      <x:c r="I932" s="84" t="str">
        <x:v>ACCS-006</x:v>
      </x:c>
      <x:c r="J932" s="86" t="n">
        <x:v>1</x:v>
      </x:c>
      <x:c r="K932" s="87" t="n">
        <x:v>0.05</x:v>
      </x:c>
      <x:c r="L932" s="84" t="str">
        <x:v> COMPLETED </x:v>
      </x:c>
      <x:c r="M932" s="84" t="str">
        <x:v>Debit Card</x:v>
      </x:c>
      <x:c r="N932" s="84" t="str">
        <x:v>Zoe Turner</x:v>
      </x:c>
      <x:c r="O932" s="85" t="n">
        <x:v>45614</x:v>
      </x:c>
      <x:c r="P932" s="84" t="str">
        <x:v>POS_2024_11</x:v>
      </x:c>
      <x:c r="Q932" s="84" t="str">
        <x:v>Insulated Lunch Bag</x:v>
      </x:c>
      <x:c r="R932" s="84" t="str">
        <x:v>Accessories </x:v>
      </x:c>
    </x:row>
    <x:row r="933">
      <x:c r="A933" s="84" t="str">
        <x:v>ORD-2024-00144</x:v>
      </x:c>
      <x:c r="B933" s="85" t="n">
        <x:v>45614</x:v>
      </x:c>
      <x:c r="C933" s="84" t="str">
        <x:v>CUST-0517</x:v>
      </x:c>
      <x:c r="D933" s="84" t="str">
        <x:v>Layla Irwin</x:v>
      </x:c>
      <x:c r="E933" s="84" t="str">
        <x:v>Corporate</x:v>
      </x:c>
      <x:c r="F933" s="84" t="str">
        <x:v>Northeast </x:v>
      </x:c>
      <x:c r="G933" s="84" t="str">
        <x:v>Newark</x:v>
      </x:c>
      <x:c r="H933" s="84" t="str">
        <x:v>Marketplace</x:v>
      </x:c>
      <x:c r="I933" s="84" t="str">
        <x:v>HOME-004</x:v>
      </x:c>
      <x:c r="J933" s="86" t="n">
        <x:v>2</x:v>
      </x:c>
      <x:c r="K933" s="87" t="n">
        <x:v>0.05</x:v>
      </x:c>
      <x:c r="L933" s="84" t="str">
        <x:v>Completed</x:v>
      </x:c>
      <x:c r="M933" s="84" t="str">
        <x:v>Credit Card</x:v>
      </x:c>
      <x:c r="N933" s="84" t="str">
        <x:v>Sofia Bennett </x:v>
      </x:c>
      <x:c r="O933" s="85" t="n">
        <x:v>45620</x:v>
      </x:c>
      <x:c r="P933" s="84" t="str">
        <x:v>MKT_2024_11</x:v>
      </x:c>
      <x:c r="Q933" s="84" t="str">
        <x:v>Coffee Maker</x:v>
      </x:c>
      <x:c r="R933" s="84" t="str">
        <x:v>Home &amp; Kitchen</x:v>
      </x:c>
    </x:row>
    <x:row r="934">
      <x:c r="A934" s="84" t="str">
        <x:v>ORD-2024-00146</x:v>
      </x:c>
      <x:c r="B934" s="85" t="n">
        <x:v>45614</x:v>
      </x:c>
      <x:c r="C934" s="84" t="str">
        <x:v>CUST-0566</x:v>
      </x:c>
      <x:c r="D934" s="84" t="str">
        <x:v>Jonah Quinn</x:v>
      </x:c>
      <x:c r="E934" s="84" t="str">
        <x:v>Small Business</x:v>
      </x:c>
      <x:c r="F934" s="84" t="str">
        <x:v>Northeast</x:v>
      </x:c>
      <x:c r="G934" s="84" t="str">
        <x:v> NEW YORK </x:v>
      </x:c>
      <x:c r="H934" s="84" t="str">
        <x:v>Retail Store</x:v>
      </x:c>
      <x:c r="I934" s="84" t="str">
        <x:v>ACCS-003</x:v>
      </x:c>
      <x:c r="J934" s="86" t="n">
        <x:v>1</x:v>
      </x:c>
      <x:c r="K934" s="87" t="n">
        <x:v>0.1</x:v>
      </x:c>
      <x:c r="L934" s="84" t="str">
        <x:v>Completed </x:v>
      </x:c>
      <x:c r="M934" s="84" t="str">
        <x:v>Cash</x:v>
      </x:c>
      <x:c r="N934" s="84" t="str">
        <x:v>Sofia Bennett</x:v>
      </x:c>
      <x:c r="O934" s="85" t="n">
        <x:v>45614</x:v>
      </x:c>
      <x:c r="P934" s="84" t="str">
        <x:v>POS_2024_11</x:v>
      </x:c>
      <x:c r="Q934" s="84" t="str">
        <x:v>Polarized Sunglasses</x:v>
      </x:c>
      <x:c r="R934" s="84" t="str">
        <x:v>accessories</x:v>
      </x:c>
    </x:row>
    <x:row r="935">
      <x:c r="A935" s="84" t="str">
        <x:v>ORD-2024-00172</x:v>
      </x:c>
      <x:c r="B935" s="85" t="n">
        <x:v>45614</x:v>
      </x:c>
      <x:c r="C935" s="84" t="str">
        <x:v>CUST-0330</x:v>
      </x:c>
      <x:c r="D935" s="84" t="str">
        <x:v>daniel carter</x:v>
      </x:c>
      <x:c r="E935" s="84" t="str">
        <x:v>Corporate</x:v>
      </x:c>
      <x:c r="F935" s="84" t="str">
        <x:v>Southeast </x:v>
      </x:c>
      <x:c r="G935" s="84" t="str">
        <x:v>Nashville</x:v>
      </x:c>
      <x:c r="H935" s="84" t="str">
        <x:v>Marketplace</x:v>
      </x:c>
      <x:c r="I935" s="84" t="str">
        <x:v>FITN-003</x:v>
      </x:c>
      <x:c r="J935" s="86" t="n">
        <x:v>2</x:v>
      </x:c>
      <x:c r="K935" s="87" t="n">
        <x:v>0.1</x:v>
      </x:c>
      <x:c r="L935" s="84" t="str">
        <x:v>Completed</x:v>
      </x:c>
      <x:c r="M935" s="84" t="str">
        <x:v>Debit Card</x:v>
      </x:c>
      <x:c r="N935" s="84" t="str">
        <x:v>Ava Mitchell </x:v>
      </x:c>
      <x:c r="O935" s="85" t="n">
        <x:v>45618</x:v>
      </x:c>
      <x:c r="P935" s="84" t="str">
        <x:v>MKT_2024_11</x:v>
      </x:c>
      <x:c r="Q935" s="84" t="str">
        <x:v>Resistance Band Set</x:v>
      </x:c>
      <x:c r="R935" s="84" t="str">
        <x:v>Fitness</x:v>
      </x:c>
    </x:row>
    <x:row r="936">
      <x:c r="A936" s="84" t="str">
        <x:v>ORD-2024-00253</x:v>
      </x:c>
      <x:c r="B936" s="85" t="n">
        <x:v>45614</x:v>
      </x:c>
      <x:c r="C936" s="84" t="str">
        <x:v>CUST-0140</x:v>
      </x:c>
      <x:c r="D936" s="84" t="str">
        <x:v>William Irwin</x:v>
      </x:c>
      <x:c r="E936" s="84" t="str">
        <x:v>corporate</x:v>
      </x:c>
      <x:c r="F936" s="84" t="str">
        <x:v>Midwest</x:v>
      </x:c>
      <x:c r="G936" s="84" t="str">
        <x:v>Detroit</x:v>
      </x:c>
      <x:c r="H936" s="84" t="str">
        <x:v>marketplace</x:v>
      </x:c>
      <x:c r="I936" s="84" t="str">
        <x:v>ELEC-001</x:v>
      </x:c>
      <x:c r="J936" s="86" t="n">
        <x:v>4</x:v>
      </x:c>
      <x:c r="K936" s="87" t="n">
        <x:v>0</x:v>
      </x:c>
      <x:c r="L936" s="84" t="str">
        <x:v>Completed</x:v>
      </x:c>
      <x:c r="M936" s="84" t="str">
        <x:v>PayPal</x:v>
      </x:c>
      <x:c r="N936" s="84" t="str">
        <x:v>Emma Hayes</x:v>
      </x:c>
      <x:c r="O936" s="85" t="n">
        <x:v>45619</x:v>
      </x:c>
      <x:c r="P936" s="84" t="str">
        <x:v>MKT_2024_11</x:v>
      </x:c>
      <x:c r="Q936" s="84" t="str">
        <x:v>Wireless Earbuds </x:v>
      </x:c>
      <x:c r="R936" s="84" t="str">
        <x:v> ELECTRONICS </x:v>
      </x:c>
    </x:row>
    <x:row r="937">
      <x:c r="A937" s="84" t="str">
        <x:v>ORD-2024-00452</x:v>
      </x:c>
      <x:c r="B937" s="85" t="n">
        <x:v>45614</x:v>
      </x:c>
      <x:c r="C937" s="84" t="str">
        <x:v>CUST-0229</x:v>
      </x:c>
      <x:c r="D937" s="84" t="str">
        <x:v>Maya Evans</x:v>
      </x:c>
      <x:c r="E937" s="84" t="str">
        <x:v>Small Business</x:v>
      </x:c>
      <x:c r="F937" s="84" t="str">
        <x:v>Southeast </x:v>
      </x:c>
      <x:c r="G937" s="84" t="str">
        <x:v> MIAMI </x:v>
      </x:c>
      <x:c r="H937" s="84" t="str">
        <x:v>Retail Store</x:v>
      </x:c>
      <x:c r="I937" s="84" t="str">
        <x:v>HOME-002</x:v>
      </x:c>
      <x:c r="J937" s="86" t="n">
        <x:v>1</x:v>
      </x:c>
      <x:c r="K937" s="87" t="n">
        <x:v>0.15</x:v>
      </x:c>
      <x:c r="L937" s="84" t="str">
        <x:v>Completed</x:v>
      </x:c>
      <x:c r="M937" s="84" t="str">
        <x:v>Credit Card</x:v>
      </x:c>
      <x:c r="N937" s="84" t="str">
        <x:v>Ava Mitchell </x:v>
      </x:c>
      <x:c r="O937" s="85" t="n">
        <x:v>45615</x:v>
      </x:c>
      <x:c r="P937" s="84" t="str">
        <x:v>POS_2024_11</x:v>
      </x:c>
      <x:c r="Q937" s="84" t="str">
        <x:v>Electric Kettle</x:v>
      </x:c>
      <x:c r="R937" s="84" t="str">
        <x:v>Home &amp; Kitchen</x:v>
      </x:c>
    </x:row>
    <x:row r="938">
      <x:c r="A938" s="84" t="str">
        <x:v>ORD-2024-00461</x:v>
      </x:c>
      <x:c r="B938" s="85" t="n">
        <x:v>45614</x:v>
      </x:c>
      <x:c r="C938" s="84" t="str">
        <x:v>CUST-0383</x:v>
      </x:c>
      <x:c r="D938" s="84" t="str">
        <x:v>Maya Adams</x:v>
      </x:c>
      <x:c r="E938" s="84" t="str">
        <x:v>Consumer</x:v>
      </x:c>
      <x:c r="F938" s="84" t="str">
        <x:v>Southeast</x:v>
      </x:c>
      <x:c r="G938" s="84" t="str">
        <x:v>Nashville</x:v>
      </x:c>
      <x:c r="H938" s="84" t="str">
        <x:v>Online</x:v>
      </x:c>
      <x:c r="I938" s="84" t="str">
        <x:v>HOME-004</x:v>
      </x:c>
      <x:c r="J938" s="86" t="n">
        <x:v>1</x:v>
      </x:c>
      <x:c r="K938" s="87" t="n">
        <x:v>0.2</x:v>
      </x:c>
      <x:c r="L938" s="84" t="str">
        <x:v>Completed </x:v>
      </x:c>
      <x:c r="M938" s="84" t="str">
        <x:v>mobile wallet</x:v>
      </x:c>
      <x:c r="N938" s="84" t="str">
        <x:v>Liam Parker</x:v>
      </x:c>
      <x:c r="O938" s="85" t="n">
        <x:v>45619</x:v>
      </x:c>
      <x:c r="P938" s="84" t="str">
        <x:v>WEB_2024_11</x:v>
      </x:c>
      <x:c r="Q938" s="84" t="str">
        <x:v>Coffee Maker</x:v>
      </x:c>
      <x:c r="R938" s="84" t="str">
        <x:v>Home &amp; Kitchen</x:v>
      </x:c>
    </x:row>
    <x:row r="939">
      <x:c r="A939" s="84" t="str">
        <x:v>ORD-2024-00584</x:v>
      </x:c>
      <x:c r="B939" s="85" t="n">
        <x:v>45614</x:v>
      </x:c>
      <x:c r="C939" s="84" t="str">
        <x:v>CUST-0375</x:v>
      </x:c>
      <x:c r="D939" s="84" t="str">
        <x:v>Grace Baker</x:v>
      </x:c>
      <x:c r="E939" s="84" t="str">
        <x:v>Consumer</x:v>
      </x:c>
      <x:c r="F939" s="84" t="str">
        <x:v>Midwest</x:v>
      </x:c>
      <x:c r="G939" s="84" t="str">
        <x:v>Minneapolis</x:v>
      </x:c>
      <x:c r="H939" s="84" t="str">
        <x:v> ONLINE </x:v>
      </x:c>
      <x:c r="I939" s="84" t="str">
        <x:v>ACCS-002</x:v>
      </x:c>
      <x:c r="J939" s="86" t="n">
        <x:v>1</x:v>
      </x:c>
      <x:c r="K939" s="87" t="n">
        <x:v>0.1</x:v>
      </x:c>
      <x:c r="L939" s="84" t="str">
        <x:v>Completed</x:v>
      </x:c>
      <x:c r="M939" s="84" t="str">
        <x:v>Mobile Wallet</x:v>
      </x:c>
      <x:c r="N939" s="84" t="str">
        <x:v>Lucas Grant</x:v>
      </x:c>
      <x:c r="O939" s="85" t="n">
        <x:v>45617</x:v>
      </x:c>
      <x:c r="P939" s="84" t="str">
        <x:v>WEB_2024_11</x:v>
      </x:c>
      <x:c r="Q939" s="84" t="str">
        <x:v>Travel Backpack</x:v>
      </x:c>
      <x:c r="R939" s="84" t="str">
        <x:v>Accessories</x:v>
      </x:c>
    </x:row>
    <x:row r="940">
      <x:c r="A940" s="84" t="str">
        <x:v>ORD-2024-00895</x:v>
      </x:c>
      <x:c r="B940" s="85" t="n">
        <x:v>45614</x:v>
      </x:c>
      <x:c r="C940" s="84" t="str">
        <x:v>CUST-0237</x:v>
      </x:c>
      <x:c r="D940" s="84" t="str">
        <x:v>Chloe Garcia</x:v>
      </x:c>
      <x:c r="E940" s="84" t="str">
        <x:v>Small Business</x:v>
      </x:c>
      <x:c r="F940" s="84" t="str">
        <x:v>Midwest</x:v>
      </x:c>
      <x:c r="G940" s="84" t="str">
        <x:v>detroit</x:v>
      </x:c>
      <x:c r="H940" s="84" t="str">
        <x:v>Marketplace</x:v>
      </x:c>
      <x:c r="I940" s="84" t="str">
        <x:v>ELEC-001</x:v>
      </x:c>
      <x:c r="J940" s="86" t="n">
        <x:v>1</x:v>
      </x:c>
      <x:c r="K940" s="87" t="n">
        <x:v>0.2</x:v>
      </x:c>
      <x:c r="L940" s="84" t="str">
        <x:v>completed</x:v>
      </x:c>
      <x:c r="M940" s="84" t="str">
        <x:v> DEBIT CARD </x:v>
      </x:c>
      <x:c r="N940" s="84" t="str">
        <x:v>Emma Hayes</x:v>
      </x:c>
      <x:c r="O940" s="85" t="n">
        <x:v>45618</x:v>
      </x:c>
      <x:c r="P940" s="84" t="str">
        <x:v>MKT_2024_11</x:v>
      </x:c>
      <x:c r="Q940" s="84" t="str">
        <x:v>Wireless Earbuds</x:v>
      </x:c>
      <x:c r="R940" s="84" t="str">
        <x:v>Electronics</x:v>
      </x:c>
    </x:row>
    <x:row r="941">
      <x:c r="A941" s="84" t="str">
        <x:v>ORD-2024-01485</x:v>
      </x:c>
      <x:c r="B941" s="85" t="n">
        <x:v>45614</x:v>
      </x:c>
      <x:c r="C941" s="84" t="str">
        <x:v>CUST-0467</x:v>
      </x:c>
      <x:c r="D941" s="84" t="str">
        <x:v>Owen Khan</x:v>
      </x:c>
      <x:c r="E941" s="84" t="str">
        <x:v>consumer</x:v>
      </x:c>
      <x:c r="F941" s="84" t="str">
        <x:v>Northeast</x:v>
      </x:c>
      <x:c r="G941" s="84" t="str">
        <x:v>New York</x:v>
      </x:c>
      <x:c r="H941" s="84" t="str">
        <x:v> ONLINE </x:v>
      </x:c>
      <x:c r="I941" s="84" t="str">
        <x:v>FITN-003</x:v>
      </x:c>
      <x:c r="J941" s="86" t="n">
        <x:v>2</x:v>
      </x:c>
      <x:c r="K941" s="87" t="n">
        <x:v>0</x:v>
      </x:c>
      <x:c r="L941" s="84" t="str">
        <x:v>Completed</x:v>
      </x:c>
      <x:c r="M941" s="84" t="str">
        <x:v>Credit Card</x:v>
      </x:c>
      <x:c r="N941" s="84" t="str">
        <x:v>Ethan Cole</x:v>
      </x:c>
      <x:c r="O941" s="85" t="n">
        <x:v>45617</x:v>
      </x:c>
      <x:c r="P941" s="84" t="str">
        <x:v>WEB_2024_11</x:v>
      </x:c>
      <x:c r="Q941" s="84" t="str">
        <x:v>Resistance Band Set </x:v>
      </x:c>
      <x:c r="R941" s="84" t="str">
        <x:v>Fitness</x:v>
      </x:c>
    </x:row>
    <x:row r="942">
      <x:c r="A942" s="84" t="str">
        <x:v>ORD-2024-01797</x:v>
      </x:c>
      <x:c r="B942" s="85" t="n">
        <x:v>45614</x:v>
      </x:c>
      <x:c r="C942" s="84" t="str">
        <x:v>CUST-0044</x:v>
      </x:c>
      <x:c r="D942" s="84" t="str">
        <x:v>Grace Nelson </x:v>
      </x:c>
      <x:c r="E942" s="84" t="str">
        <x:v>Small Business</x:v>
      </x:c>
      <x:c r="F942" s="84" t="str">
        <x:v>Northeast</x:v>
      </x:c>
      <x:c r="G942" s="84" t="str">
        <x:v>new york</x:v>
      </x:c>
      <x:c r="H942" s="84" t="str">
        <x:v>Retail Store</x:v>
      </x:c>
      <x:c r="I942" s="84" t="str">
        <x:v>CARE-003</x:v>
      </x:c>
      <x:c r="J942" s="86" t="n">
        <x:v>2</x:v>
      </x:c>
      <x:c r="K942" s="87" t="n">
        <x:v>0.1</x:v>
      </x:c>
      <x:c r="L942" s="84" t="str">
        <x:v>completed</x:v>
      </x:c>
      <x:c r="M942" s="84" t="str">
        <x:v>Credit Card </x:v>
      </x:c>
      <x:c r="N942" s="84" t="str">
        <x:v>Sofia Bennett</x:v>
      </x:c>
      <x:c r="O942" s="85" t="n">
        <x:v>45614</x:v>
      </x:c>
      <x:c r="P942" s="84" t="str">
        <x:v>POS_2024_11</x:v>
      </x:c>
      <x:c r="Q942" s="84" t="str">
        <x:v>Facial Cleanser</x:v>
      </x:c>
      <x:c r="R942" s="84" t="str">
        <x:v>Personal Care</x:v>
      </x:c>
    </x:row>
    <x:row r="943">
      <x:c r="A943" s="84" t="str">
        <x:v>ORD-2024-01799</x:v>
      </x:c>
      <x:c r="B943" s="85" t="n">
        <x:v>45614</x:v>
      </x:c>
      <x:c r="C943" s="84" t="str">
        <x:v>CUST-0208</x:v>
      </x:c>
      <x:c r="D943" s="84" t="str">
        <x:v> LAYLA PATEL </x:v>
      </x:c>
      <x:c r="E943" s="84" t="str">
        <x:v>Consumer </x:v>
      </x:c>
      <x:c r="F943" s="84" t="str">
        <x:v> WEST </x:v>
      </x:c>
      <x:c r="G943" s="84" t="str">
        <x:v>Los Angeles </x:v>
      </x:c>
      <x:c r="H943" s="84" t="str">
        <x:v>Online</x:v>
      </x:c>
      <x:c r="I943" s="84" t="str">
        <x:v>CARE-002</x:v>
      </x:c>
      <x:c r="J943" s="86" t="n">
        <x:v>3</x:v>
      </x:c>
      <x:c r="K943" s="87" t="n">
        <x:v>0</x:v>
      </x:c>
      <x:c r="L943" s="84" t="str">
        <x:v>Completed</x:v>
      </x:c>
      <x:c r="M943" s="84" t="str">
        <x:v>Credit Card</x:v>
      </x:c>
      <x:c r="N943" s="84" t="str">
        <x:v>Mia Chen</x:v>
      </x:c>
      <x:c r="O943" s="85" t="n">
        <x:v>45619</x:v>
      </x:c>
      <x:c r="P943" s="84" t="str">
        <x:v>WEB_2024_11</x:v>
      </x:c>
      <x:c r="Q943" s="84" t="str">
        <x:v>Rechargeable Trimmer</x:v>
      </x:c>
      <x:c r="R943" s="84" t="str">
        <x:v>Personal Care</x:v>
      </x:c>
    </x:row>
    <x:row r="944">
      <x:c r="A944" s="84" t="str">
        <x:v>ORD-2024-01932</x:v>
      </x:c>
      <x:c r="B944" s="85" t="n">
        <x:v>45614</x:v>
      </x:c>
      <x:c r="C944" s="84" t="str">
        <x:v>CUST-0059</x:v>
      </x:c>
      <x:c r="D944" s="84" t="str">
        <x:v>samuel lewis</x:v>
      </x:c>
      <x:c r="E944" s="84" t="str">
        <x:v>Consumer </x:v>
      </x:c>
      <x:c r="F944" s="84" t="str">
        <x:v>Midwest</x:v>
      </x:c>
      <x:c r="G944" s="84" t="str">
        <x:v>Minneapolis </x:v>
      </x:c>
      <x:c r="H944" s="84" t="str">
        <x:v>Online</x:v>
      </x:c>
      <x:c r="I944" s="84" t="str">
        <x:v>OFFC-001</x:v>
      </x:c>
      <x:c r="J944" s="86" t="n">
        <x:v>1</x:v>
      </x:c>
      <x:c r="K944" s="87" t="n">
        <x:v>0.1</x:v>
      </x:c>
      <x:c r="L944" s="84" t="str">
        <x:v>Completed</x:v>
      </x:c>
      <x:c r="M944" s="84" t="str">
        <x:v> DEBIT CARD </x:v>
      </x:c>
      <x:c r="N944" s="84" t="str">
        <x:v>Zoe Turner</x:v>
      </x:c>
      <x:c r="O944" s="85" t="n">
        <x:v>45617</x:v>
      </x:c>
      <x:c r="P944" s="84" t="str">
        <x:v>WEB_2024_11</x:v>
      </x:c>
      <x:c r="Q944" s="84" t="str">
        <x:v>Ergonomic Chair</x:v>
      </x:c>
      <x:c r="R944" s="84" t="str">
        <x:v>Office</x:v>
      </x:c>
    </x:row>
    <x:row r="945">
      <x:c r="A945" s="84" t="str">
        <x:v>ORD-2024-00024</x:v>
      </x:c>
      <x:c r="B945" s="85" t="n">
        <x:v>45615</x:v>
      </x:c>
      <x:c r="C945" s="84" t="str">
        <x:v>CUST-0056</x:v>
      </x:c>
      <x:c r="D945" s="84" t="str">
        <x:v>Priya Baker</x:v>
      </x:c>
      <x:c r="E945" s="84" t="str">
        <x:v>Consumer</x:v>
      </x:c>
      <x:c r="F945" s="84" t="str">
        <x:v>Southeast</x:v>
      </x:c>
      <x:c r="G945" s="84" t="str">
        <x:v>Charlotte</x:v>
      </x:c>
      <x:c r="H945" s="84" t="str">
        <x:v>Online </x:v>
      </x:c>
      <x:c r="I945" s="84" t="str">
        <x:v>OFFC-004</x:v>
      </x:c>
      <x:c r="J945" s="86" t="n">
        <x:v>1</x:v>
      </x:c>
      <x:c r="K945" s="87" t="n">
        <x:v>0</x:v>
      </x:c>
      <x:c r="L945" s="84" t="str">
        <x:v>Completed</x:v>
      </x:c>
      <x:c r="M945" s="84" t="str">
        <x:v>PayPal</x:v>
      </x:c>
      <x:c r="N945" s="84" t="str">
        <x:v>ava mitchell</x:v>
      </x:c>
      <x:c r="O945" s="85" t="n">
        <x:v>45620</x:v>
      </x:c>
      <x:c r="P945" s="84" t="str">
        <x:v>WEB_2024_11</x:v>
      </x:c>
      <x:c r="Q945" s="84" t="str">
        <x:v>Premium Notebook Pack</x:v>
      </x:c>
      <x:c r="R945" s="84" t="str">
        <x:v>Office</x:v>
      </x:c>
    </x:row>
    <x:row r="946">
      <x:c r="A946" s="84" t="str">
        <x:v>ORD-2024-00582</x:v>
      </x:c>
      <x:c r="B946" s="85" t="n">
        <x:v>45615</x:v>
      </x:c>
      <x:c r="C946" s="84" t="str">
        <x:v>CUST-0583</x:v>
      </x:c>
      <x:c r="D946" s="84" t="str">
        <x:v>Nina Irwin</x:v>
      </x:c>
      <x:c r="E946" s="84" t="str">
        <x:v>Consumer</x:v>
      </x:c>
      <x:c r="F946" s="84" t="str">
        <x:v>Southeast</x:v>
      </x:c>
      <x:c r="G946" s="84" t="str">
        <x:v>Charlotte</x:v>
      </x:c>
      <x:c r="H946" s="84" t="str">
        <x:v>Online</x:v>
      </x:c>
      <x:c r="I946" s="84" t="str">
        <x:v>HOME-006</x:v>
      </x:c>
      <x:c r="J946" s="86" t="n">
        <x:v>1</x:v>
      </x:c>
      <x:c r="K946" s="87" t="n">
        <x:v>0</x:v>
      </x:c>
      <x:c r="L946" s="84" t="str">
        <x:v>Completed</x:v>
      </x:c>
      <x:c r="M946" s="84" t="str">
        <x:v>paypal</x:v>
      </x:c>
      <x:c r="N946" s="84" t="str">
        <x:v>Noah Reed</x:v>
      </x:c>
      <x:c r="O946" s="85" t="n">
        <x:v>45619</x:v>
      </x:c>
      <x:c r="P946" s="84" t="str">
        <x:v>WEB_2024_11</x:v>
      </x:c>
      <x:c r="Q946" s="84" t="str">
        <x:v> FOOD STORAGE SET </x:v>
      </x:c>
      <x:c r="R946" s="84" t="str">
        <x:v>Home &amp; Kitchen</x:v>
      </x:c>
    </x:row>
    <x:row r="947">
      <x:c r="A947" s="84" t="str">
        <x:v>ORD-2024-01420</x:v>
      </x:c>
      <x:c r="B947" s="85" t="n">
        <x:v>45615</x:v>
      </x:c>
      <x:c r="C947" s="84" t="str">
        <x:v>CUST-0083</x:v>
      </x:c>
      <x:c r="D947" s="84" t="str">
        <x:v>Theo Davis</x:v>
      </x:c>
      <x:c r="E947" s="84" t="str">
        <x:v>Consumer</x:v>
      </x:c>
      <x:c r="F947" s="84" t="str">
        <x:v>West</x:v>
      </x:c>
      <x:c r="G947" s="84" t="str">
        <x:v>Phoenix</x:v>
      </x:c>
      <x:c r="H947" s="84" t="str">
        <x:v>Retail Store</x:v>
      </x:c>
      <x:c r="I947" s="84" t="str">
        <x:v>ELEC-003</x:v>
      </x:c>
      <x:c r="J947" s="86" t="n">
        <x:v>3</x:v>
      </x:c>
      <x:c r="K947" s="87" t="n">
        <x:v>0.15</x:v>
      </x:c>
      <x:c r="L947" s="84" t="str">
        <x:v>Completed </x:v>
      </x:c>
      <x:c r="M947" s="84" t="str">
        <x:v>Credit Card</x:v>
      </x:c>
      <x:c r="N947" s="84" t="str">
        <x:v>Nora Kim</x:v>
      </x:c>
      <x:c r="O947" s="85" t="n">
        <x:v>45615</x:v>
      </x:c>
      <x:c r="P947" s="84" t="str">
        <x:v>POS_2024_11</x:v>
      </x:c>
      <x:c r="Q947" s="84" t="str">
        <x:v>Bluetooth Speaker</x:v>
      </x:c>
      <x:c r="R947" s="84" t="str">
        <x:v>Electronics</x:v>
      </x:c>
    </x:row>
    <x:row r="948">
      <x:c r="A948" s="84" t="str">
        <x:v>ORD-2024-02170</x:v>
      </x:c>
      <x:c r="B948" s="85" t="n">
        <x:v>45615</x:v>
      </x:c>
      <x:c r="C948" s="84" t="str">
        <x:v>CUST-0640</x:v>
      </x:c>
      <x:c r="D948" s="84" t="str">
        <x:v>Maya Patel</x:v>
      </x:c>
      <x:c r="E948" s="84" t="str">
        <x:v>Corporate </x:v>
      </x:c>
      <x:c r="F948" s="84" t="str">
        <x:v>Midwest</x:v>
      </x:c>
      <x:c r="G948" s="84" t="str">
        <x:v>Columbus </x:v>
      </x:c>
      <x:c r="H948" s="84" t="str">
        <x:v>Retail Store</x:v>
      </x:c>
      <x:c r="I948" s="84" t="str">
        <x:v>CARE-006</x:v>
      </x:c>
      <x:c r="J948" s="86" t="n">
        <x:v>6</x:v>
      </x:c>
      <x:c r="K948" s="87" t="n">
        <x:v>0.1</x:v>
      </x:c>
      <x:c r="L948" s="84" t="str">
        <x:v>Completed</x:v>
      </x:c>
      <x:c r="M948" s="84" t="str">
        <x:v> DEBIT CARD </x:v>
      </x:c>
      <x:c r="N948" s="84" t="str">
        <x:v>Zoe Turner</x:v>
      </x:c>
      <x:c r="O948" s="85" t="n">
        <x:v>45615</x:v>
      </x:c>
      <x:c r="P948" s="84" t="str">
        <x:v>POS_2024_11</x:v>
      </x:c>
      <x:c r="Q948" s="84" t="str">
        <x:v>Percussion Massage Gun</x:v>
      </x:c>
      <x:c r="R948" s="84" t="str">
        <x:v>personal care</x:v>
      </x:c>
    </x:row>
    <x:row r="949">
      <x:c r="A949" s="84" t="str">
        <x:v>ORD-2024-00456</x:v>
      </x:c>
      <x:c r="B949" s="85" t="n">
        <x:v>45616</x:v>
      </x:c>
      <x:c r="C949" s="84" t="str">
        <x:v>CUST-0181</x:v>
      </x:c>
      <x:c r="D949" s="84" t="str">
        <x:v> CHLOE BAKER </x:v>
      </x:c>
      <x:c r="E949" s="84" t="str">
        <x:v>Corporate</x:v>
      </x:c>
      <x:c r="F949" s="84" t="str">
        <x:v> NORTHEAST </x:v>
      </x:c>
      <x:c r="G949" s="84" t="str">
        <x:v>Boston</x:v>
      </x:c>
      <x:c r="H949" s="84" t="str">
        <x:v>Retail Store</x:v>
      </x:c>
      <x:c r="I949" s="84" t="str">
        <x:v>ELEC-006</x:v>
      </x:c>
      <x:c r="J949" s="86" t="n">
        <x:v>2</x:v>
      </x:c>
      <x:c r="K949" s="87" t="n">
        <x:v>0.05</x:v>
      </x:c>
      <x:c r="L949" s="84" t="str">
        <x:v>Completed</x:v>
      </x:c>
      <x:c r="M949" s="84" t="str">
        <x:v>Mobile Wallet</x:v>
      </x:c>
      <x:c r="N949" s="84" t="str">
        <x:v>Maya Brooks</x:v>
      </x:c>
      <x:c r="O949" s="85" t="n">
        <x:v>45616</x:v>
      </x:c>
      <x:c r="P949" s="84" t="str">
        <x:v>POS_2024_11</x:v>
      </x:c>
      <x:c r="Q949" s="84" t="str">
        <x:v>Portable SSD </x:v>
      </x:c>
      <x:c r="R949" s="84" t="str">
        <x:v>Electronics</x:v>
      </x:c>
    </x:row>
    <x:row r="950">
      <x:c r="A950" s="84" t="str">
        <x:v>ORD-2024-00465</x:v>
      </x:c>
      <x:c r="B950" s="85" t="n">
        <x:v>45616</x:v>
      </x:c>
      <x:c r="C950" s="84" t="str">
        <x:v>CUST-0432</x:v>
      </x:c>
      <x:c r="D950" s="84" t="str">
        <x:v>Caleb Young</x:v>
      </x:c>
      <x:c r="E950" s="84" t="str">
        <x:v>Consumer</x:v>
      </x:c>
      <x:c r="F950" s="84" t="str">
        <x:v>Northeast</x:v>
      </x:c>
      <x:c r="G950" s="84" t="str">
        <x:v>New York</x:v>
      </x:c>
      <x:c r="H950" s="84" t="str">
        <x:v> ONLINE </x:v>
      </x:c>
      <x:c r="I950" s="84" t="str">
        <x:v>CARE-001</x:v>
      </x:c>
      <x:c r="J950" s="86" t="n">
        <x:v>3</x:v>
      </x:c>
      <x:c r="K950" s="87" t="n">
        <x:v>0</x:v>
      </x:c>
      <x:c r="L950" s="84" t="str">
        <x:v>Completed</x:v>
      </x:c>
      <x:c r="M950" s="84" t="str">
        <x:v>Debit Card</x:v>
      </x:c>
      <x:c r="N950" s="84" t="str">
        <x:v>Sofia Bennett</x:v>
      </x:c>
      <x:c r="O950" s="85" t="n">
        <x:v>45619</x:v>
      </x:c>
      <x:c r="P950" s="84" t="str">
        <x:v>WEB_2024_11</x:v>
      </x:c>
      <x:c r="Q950" s="84" t="str">
        <x:v>Ionic Hair Dryer</x:v>
      </x:c>
      <x:c r="R950" s="84" t="str">
        <x:v>personal care</x:v>
      </x:c>
    </x:row>
    <x:row r="951">
      <x:c r="A951" s="84" t="str">
        <x:v>ORD-2024-01079</x:v>
      </x:c>
      <x:c r="B951" s="85" t="n">
        <x:v>45616</x:v>
      </x:c>
      <x:c r="C951" s="84" t="str">
        <x:v>CUST-0074</x:v>
      </x:c>
      <x:c r="D951" s="84" t="str">
        <x:v>Grace Taylor</x:v>
      </x:c>
      <x:c r="E951" s="84" t="str">
        <x:v>Consumer</x:v>
      </x:c>
      <x:c r="F951" s="84" t="str">
        <x:v>West</x:v>
      </x:c>
      <x:c r="G951" s="84" t="str">
        <x:v>Seattle</x:v>
      </x:c>
      <x:c r="H951" s="84" t="str">
        <x:v>Marketplace</x:v>
      </x:c>
      <x:c r="I951" s="84" t="str">
        <x:v>CARE-001</x:v>
      </x:c>
      <x:c r="J951" s="86" t="n">
        <x:v>2</x:v>
      </x:c>
      <x:c r="K951" s="87" t="n">
        <x:v>0</x:v>
      </x:c>
      <x:c r="L951" s="84" t="str">
        <x:v>Completed</x:v>
      </x:c>
      <x:c r="M951" s="84" t="str">
        <x:v>Credit Card</x:v>
      </x:c>
      <x:c r="N951" s="84" t="str">
        <x:v>Mia Chen</x:v>
      </x:c>
      <x:c r="O951" s="85" t="n">
        <x:v>45621</x:v>
      </x:c>
      <x:c r="P951" s="84" t="str">
        <x:v>MKT_2024_11</x:v>
      </x:c>
      <x:c r="Q951" s="84" t="str">
        <x:v>Ionic Hair Dryer </x:v>
      </x:c>
      <x:c r="R951" s="84" t="str">
        <x:v>Personal Care</x:v>
      </x:c>
    </x:row>
    <x:row r="952">
      <x:c r="A952" s="84" t="str">
        <x:v>ORD-2024-01277</x:v>
      </x:c>
      <x:c r="B952" s="85" t="n">
        <x:v>45616</x:v>
      </x:c>
      <x:c r="C952" s="84" t="str">
        <x:v>CUST-0119</x:v>
      </x:c>
      <x:c r="D952" s="84" t="str">
        <x:v>Grace Nelson</x:v>
      </x:c>
      <x:c r="E952" s="84" t="str">
        <x:v>Small Business</x:v>
      </x:c>
      <x:c r="F952" s="84" t="str">
        <x:v>West</x:v>
      </x:c>
      <x:c r="G952" s="84" t="str">
        <x:v>Denver</x:v>
      </x:c>
      <x:c r="H952" s="84" t="str">
        <x:v>Marketplace </x:v>
      </x:c>
      <x:c r="I952" s="84" t="str">
        <x:v>FITN-004</x:v>
      </x:c>
      <x:c r="J952" s="86" t="n">
        <x:v>1</x:v>
      </x:c>
      <x:c r="K952" s="87" t="n">
        <x:v>0.15</x:v>
      </x:c>
      <x:c r="L952" s="84" t="str">
        <x:v>Completed</x:v>
      </x:c>
      <x:c r="M952" s="84" t="str">
        <x:v>Credit Card</x:v>
      </x:c>
      <x:c r="N952" s="84" t="str">
        <x:v>Nora Kim</x:v>
      </x:c>
      <x:c r="O952" s="85" t="n">
        <x:v>45621</x:v>
      </x:c>
      <x:c r="P952" s="84" t="str">
        <x:v>MKT_2024_11</x:v>
      </x:c>
      <x:c r="Q952" s="84" t="str">
        <x:v>Fitness Tracker</x:v>
      </x:c>
      <x:c r="R952" s="84" t="str">
        <x:v>Fitness</x:v>
      </x:c>
    </x:row>
    <x:row r="953">
      <x:c r="A953" s="84" t="str">
        <x:v>ORD-2024-01599</x:v>
      </x:c>
      <x:c r="B953" s="85" t="n">
        <x:v>45616</x:v>
      </x:c>
      <x:c r="C953" s="84" t="str">
        <x:v>CUST-0461</x:v>
      </x:c>
      <x:c r="D953" s="84" t="str">
        <x:v>Nina Irwin</x:v>
      </x:c>
      <x:c r="E953" s="84" t="str">
        <x:v>Corporate</x:v>
      </x:c>
      <x:c r="F953" s="84" t="str">
        <x:v>Southeast</x:v>
      </x:c>
      <x:c r="G953" s="84" t="str">
        <x:v>miami</x:v>
      </x:c>
      <x:c r="H953" s="84" t="str">
        <x:v>Retail Store </x:v>
      </x:c>
      <x:c r="I953" s="84" t="str">
        <x:v>HOME-004</x:v>
      </x:c>
      <x:c r="J953" s="86" t="n">
        <x:v>2</x:v>
      </x:c>
      <x:c r="K953" s="87" t="n">
        <x:v>0.15</x:v>
      </x:c>
      <x:c r="L953" s="84" t="str">
        <x:v>completed</x:v>
      </x:c>
      <x:c r="M953" s="84" t="str">
        <x:v>Debit Card</x:v>
      </x:c>
      <x:c r="N953" s="84" t="str">
        <x:v>Noah Reed</x:v>
      </x:c>
      <x:c r="O953" s="85" t="n">
        <x:v>45617</x:v>
      </x:c>
      <x:c r="P953" s="84" t="str">
        <x:v>POS_2024_11</x:v>
      </x:c>
      <x:c r="Q953" s="84" t="str">
        <x:v>Coffee Maker</x:v>
      </x:c>
      <x:c r="R953" s="84" t="str">
        <x:v>Home &amp; Kitchen</x:v>
      </x:c>
    </x:row>
    <x:row r="954">
      <x:c r="A954" s="84" t="str">
        <x:v>ORD-2024-02237</x:v>
      </x:c>
      <x:c r="B954" s="85" t="n">
        <x:v>45616</x:v>
      </x:c>
      <x:c r="C954" s="84" t="str">
        <x:v>CUST-0156</x:v>
      </x:c>
      <x:c r="D954" s="84" t="str">
        <x:v>Nina Ortiz</x:v>
      </x:c>
      <x:c r="E954" s="84" t="str">
        <x:v>Consumer</x:v>
      </x:c>
      <x:c r="F954" s="84" t="str">
        <x:v>Southeast </x:v>
      </x:c>
      <x:c r="G954" s="84" t="str">
        <x:v> CHARLOTTE </x:v>
      </x:c>
      <x:c r="H954" s="84" t="str">
        <x:v>Retail Store</x:v>
      </x:c>
      <x:c r="I954" s="84" t="str">
        <x:v>FITN-001</x:v>
      </x:c>
      <x:c r="J954" s="86" t="n">
        <x:v>2</x:v>
      </x:c>
      <x:c r="K954" s="87" t="n">
        <x:v>0.15</x:v>
      </x:c>
      <x:c r="L954" s="84" t="str">
        <x:v>completed</x:v>
      </x:c>
      <x:c r="M954" s="84" t="str">
        <x:v>Cash</x:v>
      </x:c>
      <x:c r="N954" s="84" t="str">
        <x:v>Ava Mitchell </x:v>
      </x:c>
      <x:c r="O954" s="85" t="n">
        <x:v>45616</x:v>
      </x:c>
      <x:c r="P954" s="84" t="str">
        <x:v>POS_2024_11</x:v>
      </x:c>
      <x:c r="Q954" s="84" t="str">
        <x:v>Yoga Mat</x:v>
      </x:c>
      <x:c r="R954" s="84" t="str">
        <x:v>Fitness</x:v>
      </x:c>
    </x:row>
    <x:row r="955">
      <x:c r="A955" s="84" t="str">
        <x:v>ORD-2024-02322</x:v>
      </x:c>
      <x:c r="B955" s="85" t="n">
        <x:v>45616</x:v>
      </x:c>
      <x:c r="C955" s="84" t="str">
        <x:v>CUST-0103</x:v>
      </x:c>
      <x:c r="D955" s="84" t="str">
        <x:v>Layla Garcia </x:v>
      </x:c>
      <x:c r="E955" s="84" t="str">
        <x:v>Consumer</x:v>
      </x:c>
      <x:c r="F955" s="84" t="str">
        <x:v>Southeast</x:v>
      </x:c>
      <x:c r="G955" s="84" t="str">
        <x:v> ATLANTA </x:v>
      </x:c>
      <x:c r="H955" s="84" t="str">
        <x:v>Retail Store</x:v>
      </x:c>
      <x:c r="I955" s="84" t="str">
        <x:v>HOME-004</x:v>
      </x:c>
      <x:c r="J955" s="86" t="n">
        <x:v>3</x:v>
      </x:c>
      <x:c r="K955" s="87" t="n">
        <x:v>0.2</x:v>
      </x:c>
      <x:c r="L955" s="84" t="str">
        <x:v>Completed</x:v>
      </x:c>
      <x:c r="M955" s="84" t="str">
        <x:v>Mobile Wallet </x:v>
      </x:c>
      <x:c r="N955" s="84" t="str">
        <x:v>Noah Reed</x:v>
      </x:c>
      <x:c r="O955" s="85" t="n">
        <x:v>45616</x:v>
      </x:c>
      <x:c r="P955" s="84" t="str">
        <x:v>POS_2024_11</x:v>
      </x:c>
      <x:c r="Q955" s="84" t="str">
        <x:v>Coffee Maker</x:v>
      </x:c>
      <x:c r="R955" s="84" t="str">
        <x:v>Home &amp; Kitchen</x:v>
      </x:c>
    </x:row>
    <x:row r="956">
      <x:c r="A956" s="84" t="str">
        <x:v>ORD-2024-00352</x:v>
      </x:c>
      <x:c r="B956" s="85" t="n">
        <x:v>45617</x:v>
      </x:c>
      <x:c r="C956" s="84" t="str">
        <x:v>CUST-0386</x:v>
      </x:c>
      <x:c r="D956" s="84" t="str">
        <x:v>Marcus Foster</x:v>
      </x:c>
      <x:c r="E956" s="84" t="str">
        <x:v>small business</x:v>
      </x:c>
      <x:c r="F956" s="84" t="str">
        <x:v>Southeast</x:v>
      </x:c>
      <x:c r="G956" s="84" t="str">
        <x:v>Miami</x:v>
      </x:c>
      <x:c r="H956" s="84" t="str">
        <x:v>marketplace</x:v>
      </x:c>
      <x:c r="I956" s="84" t="str">
        <x:v>CARE-003</x:v>
      </x:c>
      <x:c r="J956" s="86" t="n">
        <x:v>1</x:v>
      </x:c>
      <x:c r="K956" s="87" t="n">
        <x:v>0.05</x:v>
      </x:c>
      <x:c r="L956" s="84" t="str">
        <x:v>Completed</x:v>
      </x:c>
      <x:c r="M956" s="84" t="str">
        <x:v>Credit Card</x:v>
      </x:c>
      <x:c r="N956" s="84" t="str">
        <x:v>Liam Parker</x:v>
      </x:c>
      <x:c r="O956" s="85" t="n">
        <x:v>45624</x:v>
      </x:c>
      <x:c r="P956" s="84" t="str">
        <x:v>MKT_2024_11</x:v>
      </x:c>
      <x:c r="Q956" s="84" t="str">
        <x:v>Facial Cleanser</x:v>
      </x:c>
      <x:c r="R956" s="84" t="str">
        <x:v>Personal Care </x:v>
      </x:c>
    </x:row>
    <x:row r="957">
      <x:c r="A957" s="84" t="str">
        <x:v>ORD-2024-00464</x:v>
      </x:c>
      <x:c r="B957" s="85" t="n">
        <x:v>45617</x:v>
      </x:c>
      <x:c r="C957" s="84" t="str">
        <x:v>CUST-0194</x:v>
      </x:c>
      <x:c r="D957" s="84" t="str">
        <x:v>Samuel Roberts</x:v>
      </x:c>
      <x:c r="E957" s="84" t="str">
        <x:v>Small Business</x:v>
      </x:c>
      <x:c r="F957" s="84" t="str">
        <x:v>Southeast</x:v>
      </x:c>
      <x:c r="G957" s="84" t="str">
        <x:v>Atlanta</x:v>
      </x:c>
      <x:c r="H957" s="84" t="str">
        <x:v>Online</x:v>
      </x:c>
      <x:c r="I957" s="84" t="str">
        <x:v>ELEC-006</x:v>
      </x:c>
      <x:c r="J957" s="86" t="n">
        <x:v>1</x:v>
      </x:c>
      <x:c r="K957" s="87" t="n">
        <x:v>0.15</x:v>
      </x:c>
      <x:c r="L957" s="84" t="str">
        <x:v> COMPLETED </x:v>
      </x:c>
      <x:c r="M957" s="84" t="str">
        <x:v>Credit Card</x:v>
      </x:c>
      <x:c r="N957" s="84" t="str">
        <x:v>liam parker</x:v>
      </x:c>
      <x:c r="O957" s="85" t="n">
        <x:v>45620</x:v>
      </x:c>
      <x:c r="P957" s="84" t="str">
        <x:v>WEB_2024_11</x:v>
      </x:c>
      <x:c r="Q957" s="84" t="str">
        <x:v>Portable SSD</x:v>
      </x:c>
      <x:c r="R957" s="84" t="str">
        <x:v>Electronics </x:v>
      </x:c>
    </x:row>
    <x:row r="958">
      <x:c r="A958" s="84" t="str">
        <x:v>ORD-2024-00691</x:v>
      </x:c>
      <x:c r="B958" s="85" t="n">
        <x:v>45617</x:v>
      </x:c>
      <x:c r="C958" s="84" t="str">
        <x:v>CUST-0196</x:v>
      </x:c>
      <x:c r="D958" s="84" t="str">
        <x:v>Nina Baker </x:v>
      </x:c>
      <x:c r="E958" s="84" t="str">
        <x:v>Consumer</x:v>
      </x:c>
      <x:c r="F958" s="84" t="str">
        <x:v>Northeast</x:v>
      </x:c>
      <x:c r="G958" s="84" t="str">
        <x:v>Boston</x:v>
      </x:c>
      <x:c r="H958" s="84" t="str">
        <x:v>Online</x:v>
      </x:c>
      <x:c r="I958" s="84" t="str">
        <x:v>HOME-001</x:v>
      </x:c>
      <x:c r="J958" s="86" t="n">
        <x:v>2</x:v>
      </x:c>
      <x:c r="K958" s="87" t="n">
        <x:v>0.15</x:v>
      </x:c>
      <x:c r="L958" s="84" t="str">
        <x:v>Completed</x:v>
      </x:c>
      <x:c r="M958" s="84" t="str">
        <x:v> CREDIT CARD </x:v>
      </x:c>
      <x:c r="N958" s="84" t="str">
        <x:v>Maya Brooks</x:v>
      </x:c>
      <x:c r="O958" s="85" t="n">
        <x:v>45620</x:v>
      </x:c>
      <x:c r="P958" s="84" t="str">
        <x:v>WEB_2024_11</x:v>
      </x:c>
      <x:c r="Q958" s="84" t="str">
        <x:v>air fryer</x:v>
      </x:c>
      <x:c r="R958" s="84" t="str">
        <x:v>Home &amp; Kitchen</x:v>
      </x:c>
    </x:row>
    <x:row r="959">
      <x:c r="A959" s="84" t="str">
        <x:v>ORD-2024-02345</x:v>
      </x:c>
      <x:c r="B959" s="85" t="n">
        <x:v>45617</x:v>
      </x:c>
      <x:c r="C959" s="84" t="str">
        <x:v>CUST-0051</x:v>
      </x:c>
      <x:c r="D959" s="84" t="str">
        <x:v>Marcus Moore</x:v>
      </x:c>
      <x:c r="E959" s="84" t="str">
        <x:v>Consumer </x:v>
      </x:c>
      <x:c r="F959" s="84" t="str">
        <x:v>West</x:v>
      </x:c>
      <x:c r="G959" s="84" t="str">
        <x:v>Seattle </x:v>
      </x:c>
      <x:c r="H959" s="84" t="str">
        <x:v>Marketplace</x:v>
      </x:c>
      <x:c r="I959" s="84" t="str">
        <x:v>CARE-002</x:v>
      </x:c>
      <x:c r="J959" s="86" t="n">
        <x:v>4</x:v>
      </x:c>
      <x:c r="K959" s="87" t="n">
        <x:v>0</x:v>
      </x:c>
      <x:c r="L959" s="84" t="str">
        <x:v>Completed</x:v>
      </x:c>
      <x:c r="M959" s="84" t="str">
        <x:v>PayPal</x:v>
      </x:c>
      <x:c r="N959" s="84" t="str">
        <x:v>mia chen</x:v>
      </x:c>
      <x:c r="O959" s="85" t="n">
        <x:v>45620</x:v>
      </x:c>
      <x:c r="P959" s="84" t="str">
        <x:v>MKT_2024_11</x:v>
      </x:c>
      <x:c r="Q959" s="84" t="str">
        <x:v>Rechargeable Trimmer</x:v>
      </x:c>
      <x:c r="R959" s="84" t="str">
        <x:v>Personal Care</x:v>
      </x:c>
    </x:row>
    <x:row r="960">
      <x:c r="A960" s="84" t="str">
        <x:v>ORD-2024-00973</x:v>
      </x:c>
      <x:c r="B960" s="85" t="n">
        <x:v>45618</x:v>
      </x:c>
      <x:c r="C960" s="84" t="str">
        <x:v>CUST-0120</x:v>
      </x:c>
      <x:c r="D960" s="84" t="str">
        <x:v>Aiden Foster</x:v>
      </x:c>
      <x:c r="E960" s="84" t="str">
        <x:v>Consumer </x:v>
      </x:c>
      <x:c r="F960" s="84" t="str">
        <x:v>Midwest</x:v>
      </x:c>
      <x:c r="G960" s="84" t="str">
        <x:v>Minneapolis </x:v>
      </x:c>
      <x:c r="H960" s="84" t="str">
        <x:v>Online</x:v>
      </x:c>
      <x:c r="I960" s="84" t="str">
        <x:v>ELEC-006</x:v>
      </x:c>
      <x:c r="J960" s="86" t="n">
        <x:v>2</x:v>
      </x:c>
      <x:c r="K960" s="87" t="n">
        <x:v>0</x:v>
      </x:c>
      <x:c r="L960" s="84" t="str">
        <x:v>Completed</x:v>
      </x:c>
      <x:c r="M960" s="84" t="str">
        <x:v>Debit Card</x:v>
      </x:c>
      <x:c r="N960" s="84" t="str">
        <x:v>Lucas Grant</x:v>
      </x:c>
      <x:c r="O960" s="85" t="n">
        <x:v>45621</x:v>
      </x:c>
      <x:c r="P960" s="84" t="str">
        <x:v>WEB_2024_11</x:v>
      </x:c>
      <x:c r="Q960" s="84" t="str">
        <x:v> PORTABLE SSD </x:v>
      </x:c>
      <x:c r="R960" s="84" t="str">
        <x:v>Electronics</x:v>
      </x:c>
    </x:row>
    <x:row r="961">
      <x:c r="A961" s="84" t="str">
        <x:v>ORD-2024-01263</x:v>
      </x:c>
      <x:c r="B961" s="85" t="n">
        <x:v>45618</x:v>
      </x:c>
      <x:c r="C961" s="84" t="str">
        <x:v>CUST-0421</x:v>
      </x:c>
      <x:c r="D961" s="84" t="str">
        <x:v>Daniel Hall</x:v>
      </x:c>
      <x:c r="E961" s="84" t="str">
        <x:v>Consumer</x:v>
      </x:c>
      <x:c r="F961" s="84" t="str">
        <x:v>Northeast</x:v>
      </x:c>
      <x:c r="G961" s="84" t="str">
        <x:v>New York</x:v>
      </x:c>
      <x:c r="H961" s="84" t="str">
        <x:v>Online </x:v>
      </x:c>
      <x:c r="I961" s="84" t="str">
        <x:v>OFFC-004</x:v>
      </x:c>
      <x:c r="J961" s="86" t="n">
        <x:v>1</x:v>
      </x:c>
      <x:c r="K961" s="87" t="n">
        <x:v>0.2</x:v>
      </x:c>
      <x:c r="L961" s="84" t="str">
        <x:v> COMPLETED </x:v>
      </x:c>
      <x:c r="M961" s="84" t="str">
        <x:v>Mobile Wallet</x:v>
      </x:c>
      <x:c r="N961" s="84" t="str">
        <x:v>Ethan Cole</x:v>
      </x:c>
      <x:c r="O961" s="85" t="n">
        <x:v>45622</x:v>
      </x:c>
      <x:c r="P961" s="84" t="str">
        <x:v>WEB_2024_11</x:v>
      </x:c>
      <x:c r="Q961" s="84" t="str">
        <x:v>premium notebook pack</x:v>
      </x:c>
      <x:c r="R961" s="84" t="str">
        <x:v>Office</x:v>
      </x:c>
    </x:row>
    <x:row r="962">
      <x:c r="A962" s="84" t="str">
        <x:v>ORD-2024-00222</x:v>
      </x:c>
      <x:c r="B962" s="85" t="n">
        <x:v>45619</x:v>
      </x:c>
      <x:c r="C962" s="84" t="str">
        <x:v>CUST-0232</x:v>
      </x:c>
      <x:c r="D962" s="84" t="str">
        <x:v>Layla Smith </x:v>
      </x:c>
      <x:c r="E962" s="84" t="str">
        <x:v>Consumer</x:v>
      </x:c>
      <x:c r="F962" s="84" t="str">
        <x:v>Southeast</x:v>
      </x:c>
      <x:c r="G962" s="84" t="str">
        <x:v>Atlanta</x:v>
      </x:c>
      <x:c r="H962" s="84" t="str">
        <x:v>Marketplace</x:v>
      </x:c>
      <x:c r="I962" s="84" t="str">
        <x:v>ELEC-003</x:v>
      </x:c>
      <x:c r="J962" s="86" t="n">
        <x:v>1</x:v>
      </x:c>
      <x:c r="K962" s="87" t="n">
        <x:v>0.2</x:v>
      </x:c>
      <x:c r="L962" s="84" t="str">
        <x:v>Completed</x:v>
      </x:c>
      <x:c r="M962" s="84" t="str">
        <x:v>Debit Card </x:v>
      </x:c>
      <x:c r="N962" s="84" t="str">
        <x:v>liam parker</x:v>
      </x:c>
      <x:c r="O962" s="85" t="n">
        <x:v>45624</x:v>
      </x:c>
      <x:c r="P962" s="84" t="str">
        <x:v>MKT_2024_11</x:v>
      </x:c>
      <x:c r="Q962" s="84" t="str">
        <x:v>Bluetooth Speaker</x:v>
      </x:c>
      <x:c r="R962" s="84" t="str">
        <x:v>Electronics</x:v>
      </x:c>
    </x:row>
    <x:row r="963">
      <x:c r="A963" s="84" t="str">
        <x:v>ORD-2024-01900</x:v>
      </x:c>
      <x:c r="B963" s="85" t="n">
        <x:v>45619</x:v>
      </x:c>
      <x:c r="C963" s="84" t="str">
        <x:v>CUST-0204</x:v>
      </x:c>
      <x:c r="D963" s="84" t="str">
        <x:v>Jasmine Nelson</x:v>
      </x:c>
      <x:c r="E963" s="84" t="str">
        <x:v>Consumer</x:v>
      </x:c>
      <x:c r="F963" s="84" t="str">
        <x:v>midwest</x:v>
      </x:c>
      <x:c r="G963" s="84" t="str">
        <x:v>Minneapolis</x:v>
      </x:c>
      <x:c r="H963" s="84" t="str">
        <x:v>Marketplace </x:v>
      </x:c>
      <x:c r="I963" s="84" t="str">
        <x:v>ACCS-002</x:v>
      </x:c>
      <x:c r="J963" s="86" t="n">
        <x:v>2</x:v>
      </x:c>
      <x:c r="K963" s="87" t="n">
        <x:v>0</x:v>
      </x:c>
      <x:c r="L963" s="84" t="str">
        <x:v>Completed</x:v>
      </x:c>
      <x:c r="M963" s="84" t="str">
        <x:v>Credit Card</x:v>
      </x:c>
      <x:c r="N963" s="84" t="str">
        <x:v>Lucas Grant</x:v>
      </x:c>
      <x:c r="O963" s="85" t="n">
        <x:v>45623</x:v>
      </x:c>
      <x:c r="P963" s="84" t="str">
        <x:v>MKT_2024_11</x:v>
      </x:c>
      <x:c r="Q963" s="84" t="str">
        <x:v>Travel Backpack</x:v>
      </x:c>
      <x:c r="R963" s="84" t="str">
        <x:v>Accessories</x:v>
      </x:c>
    </x:row>
    <x:row r="964">
      <x:c r="A964" s="84" t="str">
        <x:v>ORD-2024-02165</x:v>
      </x:c>
      <x:c r="B964" s="85" t="n">
        <x:v>45619</x:v>
      </x:c>
      <x:c r="C964" s="84" t="str">
        <x:v>CUST-0432</x:v>
      </x:c>
      <x:c r="D964" s="84" t="str">
        <x:v>Caleb Young</x:v>
      </x:c>
      <x:c r="E964" s="84" t="str">
        <x:v>Consumer</x:v>
      </x:c>
      <x:c r="F964" s="84" t="str">
        <x:v>Northeast</x:v>
      </x:c>
      <x:c r="G964" s="84" t="str">
        <x:v>New York</x:v>
      </x:c>
      <x:c r="H964" s="84" t="str">
        <x:v> RETAIL STORE </x:v>
      </x:c>
      <x:c r="I964" s="84" t="str">
        <x:v>FITN-005</x:v>
      </x:c>
      <x:c r="J964" s="86" t="n">
        <x:v>1</x:v>
      </x:c>
      <x:c r="K964" s="87" t="n">
        <x:v>0.05</x:v>
      </x:c>
      <x:c r="L964" s="84" t="str">
        <x:v>Completed</x:v>
      </x:c>
      <x:c r="M964" s="84" t="str">
        <x:v>Credit Card</x:v>
      </x:c>
      <x:c r="N964" s="84" t="str">
        <x:v>Ethan Cole</x:v>
      </x:c>
      <x:c r="O964" s="85" t="n">
        <x:v>45619</x:v>
      </x:c>
      <x:c r="P964" s="84" t="str">
        <x:v>POS_2024_11</x:v>
      </x:c>
      <x:c r="Q964" s="84" t="str">
        <x:v>sports water bottle</x:v>
      </x:c>
      <x:c r="R964" s="84" t="str">
        <x:v>Fitness </x:v>
      </x:c>
    </x:row>
    <x:row r="965">
      <x:c r="A965" s="84" t="str">
        <x:v>ORD-2024-00717</x:v>
      </x:c>
      <x:c r="B965" s="85" t="n">
        <x:v>45620</x:v>
      </x:c>
      <x:c r="C965" s="84" t="str">
        <x:v>CUST-0306</x:v>
      </x:c>
      <x:c r="D965" s="84" t="str">
        <x:v>Sara Garcia</x:v>
      </x:c>
      <x:c r="E965" s="84" t="str">
        <x:v>Consumer</x:v>
      </x:c>
      <x:c r="F965" s="84" t="str">
        <x:v>Southeast</x:v>
      </x:c>
      <x:c r="G965" s="84" t="str">
        <x:v>Atlanta</x:v>
      </x:c>
      <x:c r="H965" s="84" t="str">
        <x:v>Marketplace </x:v>
      </x:c>
      <x:c r="I965" s="84" t="str">
        <x:v>OFFC-006</x:v>
      </x:c>
      <x:c r="J965" s="86" t="n">
        <x:v>1</x:v>
      </x:c>
      <x:c r="K965" s="87" t="n">
        <x:v>0</x:v>
      </x:c>
      <x:c r="L965" s="84" t="str">
        <x:v>Completed</x:v>
      </x:c>
      <x:c r="M965" s="84" t="str">
        <x:v>Credit Card</x:v>
      </x:c>
      <x:c r="N965" s="84" t="str">
        <x:v> NOAH REED </x:v>
      </x:c>
      <x:c r="O965" s="85" t="n">
        <x:v>45625</x:v>
      </x:c>
      <x:c r="P965" s="84" t="str">
        <x:v>MKT_2024_11</x:v>
      </x:c>
      <x:c r="Q965" s="84" t="str">
        <x:v>Monitor Stand</x:v>
      </x:c>
      <x:c r="R965" s="84" t="str">
        <x:v>Office</x:v>
      </x:c>
    </x:row>
    <x:row r="966">
      <x:c r="A966" s="84" t="str">
        <x:v>ORD-2024-01028</x:v>
      </x:c>
      <x:c r="B966" s="85" t="n">
        <x:v>45620</x:v>
      </x:c>
      <x:c r="C966" s="84" t="str">
        <x:v>CUST-0127</x:v>
      </x:c>
      <x:c r="D966" s="84" t="str">
        <x:v>Elias Nelson</x:v>
      </x:c>
      <x:c r="E966" s="84" t="str">
        <x:v>Corporate</x:v>
      </x:c>
      <x:c r="F966" s="84" t="str">
        <x:v>West</x:v>
      </x:c>
      <x:c r="G966" s="84" t="str">
        <x:v>Seattle</x:v>
      </x:c>
      <x:c r="H966" s="84" t="str">
        <x:v>Online</x:v>
      </x:c>
      <x:c r="I966" s="84" t="str">
        <x:v>ELEC-002</x:v>
      </x:c>
      <x:c r="J966" s="86" t="n">
        <x:v>2</x:v>
      </x:c>
      <x:c r="K966" s="87" t="n">
        <x:v>0.2</x:v>
      </x:c>
      <x:c r="L966" s="84" t="str">
        <x:v>Completed </x:v>
      </x:c>
      <x:c r="M966" s="84" t="str">
        <x:v>PayPal</x:v>
      </x:c>
      <x:c r="N966" s="84" t="str">
        <x:v>Mia Chen</x:v>
      </x:c>
      <x:c r="O966" s="85" t="n">
        <x:v>45626</x:v>
      </x:c>
      <x:c r="P966" s="84" t="str">
        <x:v>WEB_2024_11</x:v>
      </x:c>
      <x:c r="Q966" s="84" t="str">
        <x:v>Smartwatch</x:v>
      </x:c>
      <x:c r="R966" s="84" t="str">
        <x:v>Electronics</x:v>
      </x:c>
    </x:row>
    <x:row r="967">
      <x:c r="A967" s="84" t="str">
        <x:v>ORD-2024-01463</x:v>
      </x:c>
      <x:c r="B967" s="85" t="n">
        <x:v>45620</x:v>
      </x:c>
      <x:c r="C967" s="84" t="str">
        <x:v>CUST-0024</x:v>
      </x:c>
      <x:c r="D967" s="84" t="str">
        <x:v>Zara Quinn</x:v>
      </x:c>
      <x:c r="E967" s="84" t="str">
        <x:v>consumer</x:v>
      </x:c>
      <x:c r="F967" s="84" t="str">
        <x:v>Midwest</x:v>
      </x:c>
      <x:c r="G967" s="84" t="str">
        <x:v>Columbus </x:v>
      </x:c>
      <x:c r="H967" s="84" t="str">
        <x:v>retail store</x:v>
      </x:c>
      <x:c r="I967" s="84" t="str">
        <x:v>OFFC-004</x:v>
      </x:c>
      <x:c r="J967" s="86" t="n">
        <x:v>1</x:v>
      </x:c>
      <x:c r="K967" s="87" t="n">
        <x:v>0.15</x:v>
      </x:c>
      <x:c r="L967" s="84" t="str">
        <x:v>Completed</x:v>
      </x:c>
      <x:c r="M967" s="84" t="str">
        <x:v>Mobile Wallet</x:v>
      </x:c>
      <x:c r="N967" s="84" t="str">
        <x:v>Zoe Turner</x:v>
      </x:c>
      <x:c r="O967" s="85" t="n">
        <x:v>45620</x:v>
      </x:c>
      <x:c r="P967" s="84" t="str">
        <x:v>POS_2024_11</x:v>
      </x:c>
      <x:c r="Q967" s="84" t="str">
        <x:v>Premium Notebook Pack</x:v>
      </x:c>
      <x:c r="R967" s="84" t="str">
        <x:v>Office</x:v>
      </x:c>
    </x:row>
    <x:row r="968">
      <x:c r="A968" s="84" t="str">
        <x:v>ORD-2024-01495</x:v>
      </x:c>
      <x:c r="B968" s="85" t="n">
        <x:v>45620</x:v>
      </x:c>
      <x:c r="C968" s="84" t="str">
        <x:v>CUST-0154</x:v>
      </x:c>
      <x:c r="D968" s="84" t="str">
        <x:v>Priya Moore</x:v>
      </x:c>
      <x:c r="E968" s="84" t="str">
        <x:v>Consumer</x:v>
      </x:c>
      <x:c r="F968" s="84" t="str">
        <x:v>West </x:v>
      </x:c>
      <x:c r="G968" s="84" t="str">
        <x:v>Denver</x:v>
      </x:c>
      <x:c r="H968" s="84" t="str">
        <x:v>Retail Store</x:v>
      </x:c>
      <x:c r="I968" s="84" t="str">
        <x:v>ACCS-001</x:v>
      </x:c>
      <x:c r="J968" s="86" t="n">
        <x:v>2</x:v>
      </x:c>
      <x:c r="K968" s="87" t="n">
        <x:v>0</x:v>
      </x:c>
      <x:c r="L968" s="84" t="str">
        <x:v>Completed</x:v>
      </x:c>
      <x:c r="M968" s="84" t="str">
        <x:v>debit card</x:v>
      </x:c>
      <x:c r="N968" s="84" t="str">
        <x:v>Nora Kim </x:v>
      </x:c>
      <x:c r="O968" s="85" t="n">
        <x:v>45620</x:v>
      </x:c>
      <x:c r="P968" s="84" t="str">
        <x:v>POS_2024_11</x:v>
      </x:c>
      <x:c r="Q968" s="84" t="str">
        <x:v>Canvas Tote Bag</x:v>
      </x:c>
      <x:c r="R968" s="84" t="str">
        <x:v>Accessories</x:v>
      </x:c>
    </x:row>
    <x:row r="969">
      <x:c r="A969" s="84" t="str">
        <x:v>ORD-2024-01654</x:v>
      </x:c>
      <x:c r="B969" s="85" t="n">
        <x:v>45620</x:v>
      </x:c>
      <x:c r="C969" s="84" t="str">
        <x:v>CUST-0064</x:v>
      </x:c>
      <x:c r="D969" s="84" t="str">
        <x:v>Nina Walker</x:v>
      </x:c>
      <x:c r="E969" s="84" t="str">
        <x:v>Consumer</x:v>
      </x:c>
      <x:c r="F969" s="84" t="str">
        <x:v>Midwest</x:v>
      </x:c>
      <x:c r="G969" s="84" t="str">
        <x:v>columbus</x:v>
      </x:c>
      <x:c r="H969" s="84" t="str">
        <x:v>Online</x:v>
      </x:c>
      <x:c r="I969" s="84" t="str">
        <x:v>HOME-005</x:v>
      </x:c>
      <x:c r="J969" s="86" t="n">
        <x:v>1</x:v>
      </x:c>
      <x:c r="K969" s="87" t="n">
        <x:v>0.2</x:v>
      </x:c>
      <x:c r="L969" s="84" t="str">
        <x:v> COMPLETED </x:v>
      </x:c>
      <x:c r="M969" s="84" t="str">
        <x:v>Credit Card</x:v>
      </x:c>
      <x:c r="N969" s="84" t="str">
        <x:v>Emma Hayes</x:v>
      </x:c>
      <x:c r="O969" s="85" t="n">
        <x:v>45624</x:v>
      </x:c>
      <x:c r="P969" s="84" t="str">
        <x:v>WEB_2024_11</x:v>
      </x:c>
      <x:c r="Q969" s="84" t="str">
        <x:v>Cordless Vacuum</x:v>
      </x:c>
      <x:c r="R969" s="84" t="str">
        <x:v>Home &amp; Kitchen </x:v>
      </x:c>
    </x:row>
    <x:row r="970">
      <x:c r="A970" s="84" t="str">
        <x:v>ORD-2024-00532</x:v>
      </x:c>
      <x:c r="B970" s="85" t="n">
        <x:v>45621</x:v>
      </x:c>
      <x:c r="C970" s="84" t="str">
        <x:v>CUST-0184</x:v>
      </x:c>
      <x:c r="D970" s="84" t="str">
        <x:v>Elena Patel</x:v>
      </x:c>
      <x:c r="E970" s="84" t="str">
        <x:v>Consumer </x:v>
      </x:c>
      <x:c r="F970" s="84" t="str">
        <x:v>Southeast</x:v>
      </x:c>
      <x:c r="G970" s="84" t="str">
        <x:v>miami</x:v>
      </x:c>
      <x:c r="H970" s="84" t="str">
        <x:v>Marketplace</x:v>
      </x:c>
      <x:c r="I970" s="84" t="str">
        <x:v>OFFC-006</x:v>
      </x:c>
      <x:c r="J970" s="86" t="n">
        <x:v>1</x:v>
      </x:c>
      <x:c r="K970" s="87" t="n">
        <x:v>0.05</x:v>
      </x:c>
      <x:c r="L970" s="84" t="str">
        <x:v> RETURNED </x:v>
      </x:c>
      <x:c r="M970" s="84" t="str">
        <x:v>Credit Card</x:v>
      </x:c>
      <x:c r="N970" s="84" t="str">
        <x:v>Liam Parker</x:v>
      </x:c>
      <x:c r="O970" s="85" t="n">
        <x:v>45627</x:v>
      </x:c>
      <x:c r="P970" s="84" t="str">
        <x:v>MKT_2024_11</x:v>
      </x:c>
      <x:c r="Q970" s="84" t="str">
        <x:v>Monitor Stand</x:v>
      </x:c>
      <x:c r="R970" s="84" t="str">
        <x:v>Office</x:v>
      </x:c>
    </x:row>
    <x:row r="971">
      <x:c r="A971" s="84" t="str">
        <x:v>ORD-2024-01267</x:v>
      </x:c>
      <x:c r="B971" s="85" t="n">
        <x:v>45621</x:v>
      </x:c>
      <x:c r="C971" s="84" t="str">
        <x:v>CUST-0450</x:v>
      </x:c>
      <x:c r="D971" s="84" t="str">
        <x:v>Samuel Garcia</x:v>
      </x:c>
      <x:c r="E971" s="84" t="str">
        <x:v>Small Business </x:v>
      </x:c>
      <x:c r="F971" s="84" t="str">
        <x:v>West</x:v>
      </x:c>
      <x:c r="G971" s="84" t="str">
        <x:v>Seattle </x:v>
      </x:c>
      <x:c r="H971" s="84" t="str">
        <x:v>Online</x:v>
      </x:c>
      <x:c r="I971" s="84" t="str">
        <x:v>ELEC-002</x:v>
      </x:c>
      <x:c r="J971" s="86" t="n">
        <x:v>1</x:v>
      </x:c>
      <x:c r="K971" s="87" t="n">
        <x:v>0.1</x:v>
      </x:c>
      <x:c r="L971" s="84" t="str">
        <x:v>Completed</x:v>
      </x:c>
      <x:c r="M971" s="84" t="str">
        <x:v>Credit Card</x:v>
      </x:c>
      <x:c r="N971" s="84" t="str">
        <x:v>nora kim</x:v>
      </x:c>
      <x:c r="O971" s="85" t="n">
        <x:v>45624</x:v>
      </x:c>
      <x:c r="P971" s="84" t="str">
        <x:v>WEB_2024_11</x:v>
      </x:c>
      <x:c r="Q971" s="84" t="str">
        <x:v>Smartwatch</x:v>
      </x:c>
      <x:c r="R971" s="84" t="str">
        <x:v>Electronics</x:v>
      </x:c>
    </x:row>
    <x:row r="972">
      <x:c r="A972" s="84" t="str">
        <x:v>ORD-2024-01270</x:v>
      </x:c>
      <x:c r="B972" s="85" t="n">
        <x:v>45621</x:v>
      </x:c>
      <x:c r="C972" s="84" t="str">
        <x:v>CUST-0183</x:v>
      </x:c>
      <x:c r="D972" s="84" t="str">
        <x:v>Jasmine Taylor</x:v>
      </x:c>
      <x:c r="E972" s="84" t="str">
        <x:v>Corporate</x:v>
      </x:c>
      <x:c r="F972" s="84" t="str">
        <x:v>West</x:v>
      </x:c>
      <x:c r="G972" s="84" t="str">
        <x:v>Denver</x:v>
      </x:c>
      <x:c r="H972" s="84" t="str">
        <x:v>Online </x:v>
      </x:c>
      <x:c r="I972" s="84" t="str">
        <x:v>HOME-003</x:v>
      </x:c>
      <x:c r="J972" s="86" t="n">
        <x:v>3</x:v>
      </x:c>
      <x:c r="K972" s="87" t="n">
        <x:v>0.05</x:v>
      </x:c>
      <x:c r="L972" s="84" t="str">
        <x:v>Completed</x:v>
      </x:c>
      <x:c r="M972" s="84" t="str">
        <x:v>Debit Card</x:v>
      </x:c>
      <x:c r="N972" s="84" t="str">
        <x:v>Mia Chen</x:v>
      </x:c>
      <x:c r="O972" s="85" t="n">
        <x:v>45624</x:v>
      </x:c>
      <x:c r="P972" s="84" t="str">
        <x:v>WEB_2024_11</x:v>
      </x:c>
      <x:c r="Q972" s="84" t="str">
        <x:v>Countertop Blender</x:v>
      </x:c>
      <x:c r="R972" s="84" t="str">
        <x:v>Home &amp; Kitchen</x:v>
      </x:c>
    </x:row>
    <x:row r="973">
      <x:c r="A973" s="84" t="str">
        <x:v>ORD-2024-01498</x:v>
      </x:c>
      <x:c r="B973" s="85" t="n">
        <x:v>45621</x:v>
      </x:c>
      <x:c r="C973" s="84" t="str">
        <x:v>CUST-0509</x:v>
      </x:c>
      <x:c r="D973" s="84" t="str">
        <x:v>Daniel Moore</x:v>
      </x:c>
      <x:c r="E973" s="84" t="str">
        <x:v>Corporate </x:v>
      </x:c>
      <x:c r="F973" s="84" t="str">
        <x:v>Southeast</x:v>
      </x:c>
      <x:c r="G973" s="84" t="str">
        <x:v>Atlanta </x:v>
      </x:c>
      <x:c r="H973" s="84" t="str">
        <x:v>Retail Store</x:v>
      </x:c>
      <x:c r="I973" s="84" t="str">
        <x:v>ACCS-001</x:v>
      </x:c>
      <x:c r="J973" s="86" t="n">
        <x:v>4</x:v>
      </x:c>
      <x:c r="K973" s="87" t="n">
        <x:v>0</x:v>
      </x:c>
      <x:c r="L973" s="84" t="str">
        <x:v>Completed</x:v>
      </x:c>
      <x:c r="M973" s="84" t="str">
        <x:v>Credit Card</x:v>
      </x:c>
      <x:c r="N973" s="84" t="str">
        <x:v>liam parker</x:v>
      </x:c>
      <x:c r="O973" s="85" t="n">
        <x:v>45622</x:v>
      </x:c>
      <x:c r="P973" s="84" t="str">
        <x:v>POS_2024_11</x:v>
      </x:c>
      <x:c r="Q973" s="84" t="str">
        <x:v>Canvas Tote Bag</x:v>
      </x:c>
      <x:c r="R973" s="84" t="str">
        <x:v>Accessories</x:v>
      </x:c>
    </x:row>
    <x:row r="974">
      <x:c r="A974" s="84" t="str">
        <x:v>ORD-2024-00241</x:v>
      </x:c>
      <x:c r="B974" s="85" t="n">
        <x:v>45622</x:v>
      </x:c>
      <x:c r="C974" s="84" t="str">
        <x:v>CUST-0393</x:v>
      </x:c>
      <x:c r="D974" s="84" t="str">
        <x:v>Owen Carter</x:v>
      </x:c>
      <x:c r="E974" s="84" t="str">
        <x:v>Consumer</x:v>
      </x:c>
      <x:c r="F974" s="84" t="str">
        <x:v>Midwest</x:v>
      </x:c>
      <x:c r="G974" s="84" t="str">
        <x:v>Columbus</x:v>
      </x:c>
      <x:c r="H974" s="84" t="str">
        <x:v>Online </x:v>
      </x:c>
      <x:c r="I974" s="84" t="str">
        <x:v>CARE-003</x:v>
      </x:c>
      <x:c r="J974" s="86" t="n">
        <x:v>1</x:v>
      </x:c>
      <x:c r="K974" s="87" t="n">
        <x:v>0</x:v>
      </x:c>
      <x:c r="L974" s="84" t="str">
        <x:v>Completed</x:v>
      </x:c>
      <x:c r="M974" s="84" t="str">
        <x:v>credit card</x:v>
      </x:c>
      <x:c r="N974" s="84" t="str">
        <x:v> LUCAS GRANT </x:v>
      </x:c>
      <x:c r="O974" s="85" t="n">
        <x:v>45624</x:v>
      </x:c>
      <x:c r="P974" s="84" t="str">
        <x:v>WEB_2024_11</x:v>
      </x:c>
      <x:c r="Q974" s="84" t="str">
        <x:v>Facial Cleanser</x:v>
      </x:c>
      <x:c r="R974" s="84" t="str">
        <x:v>Personal Care</x:v>
      </x:c>
    </x:row>
    <x:row r="975">
      <x:c r="A975" s="84" t="str">
        <x:v>ORD-2024-01040</x:v>
      </x:c>
      <x:c r="B975" s="85" t="n">
        <x:v>45622</x:v>
      </x:c>
      <x:c r="C975" s="84" t="str">
        <x:v>CUST-0152</x:v>
      </x:c>
      <x:c r="D975" s="84" t="str">
        <x:v>Aiden Ortiz</x:v>
      </x:c>
      <x:c r="E975" s="84" t="str">
        <x:v>Consumer</x:v>
      </x:c>
      <x:c r="F975" s="84" t="str">
        <x:v>West </x:v>
      </x:c>
      <x:c r="G975" s="84" t="str">
        <x:v>Denver</x:v>
      </x:c>
      <x:c r="H975" s="84" t="str">
        <x:v>Online</x:v>
      </x:c>
      <x:c r="I975" s="84" t="str">
        <x:v>HOME-005</x:v>
      </x:c>
      <x:c r="J975" s="86" t="n">
        <x:v>1</x:v>
      </x:c>
      <x:c r="K975" s="87" t="n">
        <x:v>0.15</x:v>
      </x:c>
      <x:c r="L975" s="84" t="str">
        <x:v>Completed</x:v>
      </x:c>
      <x:c r="M975" s="84" t="str">
        <x:v>Mobile Wallet</x:v>
      </x:c>
      <x:c r="N975" s="84" t="str">
        <x:v> LEO MARTINEZ </x:v>
      </x:c>
      <x:c r="O975" s="85" t="n">
        <x:v>45625</x:v>
      </x:c>
      <x:c r="P975" s="84" t="str">
        <x:v>WEB_2024_11</x:v>
      </x:c>
      <x:c r="Q975" s="84" t="str">
        <x:v>Cordless Vacuum</x:v>
      </x:c>
      <x:c r="R975" s="84" t="str">
        <x:v>Home &amp; Kitchen</x:v>
      </x:c>
    </x:row>
    <x:row r="976">
      <x:c r="A976" s="84" t="str">
        <x:v>ORD-2024-01686</x:v>
      </x:c>
      <x:c r="B976" s="85" t="n">
        <x:v>45622</x:v>
      </x:c>
      <x:c r="C976" s="84" t="str">
        <x:v>CUST-0463</x:v>
      </x:c>
      <x:c r="D976" s="84" t="str">
        <x:v>Aiden Lewis</x:v>
      </x:c>
      <x:c r="E976" s="84" t="str">
        <x:v>Consumer</x:v>
      </x:c>
      <x:c r="F976" s="84" t="str">
        <x:v>Northeast</x:v>
      </x:c>
      <x:c r="G976" s="84" t="str">
        <x:v>Newark</x:v>
      </x:c>
      <x:c r="H976" s="84" t="str">
        <x:v>Retail Store</x:v>
      </x:c>
      <x:c r="I976" s="84" t="str">
        <x:v>OFFC-005</x:v>
      </x:c>
      <x:c r="J976" s="86" t="n">
        <x:v>1</x:v>
      </x:c>
      <x:c r="K976" s="87" t="n">
        <x:v>0.1</x:v>
      </x:c>
      <x:c r="L976" s="84" t="str">
        <x:v>Completed </x:v>
      </x:c>
      <x:c r="M976" s="84" t="str">
        <x:v>Credit Card</x:v>
      </x:c>
      <x:c r="N976" s="84" t="str">
        <x:v> SOFIA BENNETT </x:v>
      </x:c>
      <x:c r="O976" s="85" t="n">
        <x:v>45622</x:v>
      </x:c>
      <x:c r="P976" s="84" t="str">
        <x:v>POS_2024_11</x:v>
      </x:c>
      <x:c r="Q976" s="84" t="str">
        <x:v>Wireless Keyboard</x:v>
      </x:c>
      <x:c r="R976" s="84" t="str">
        <x:v>office</x:v>
      </x:c>
    </x:row>
    <x:row r="977">
      <x:c r="A977" s="84" t="str">
        <x:v>ORD-2024-01545</x:v>
      </x:c>
      <x:c r="B977" s="85" t="n">
        <x:v>45623</x:v>
      </x:c>
      <x:c r="C977" s="84" t="str">
        <x:v>CUST-0487</x:v>
      </x:c>
      <x:c r="D977" s="84" t="str">
        <x:v>Marcus Adams </x:v>
      </x:c>
      <x:c r="E977" s="84" t="str">
        <x:v>Consumer</x:v>
      </x:c>
      <x:c r="F977" s="84" t="str">
        <x:v>Southeast</x:v>
      </x:c>
      <x:c r="G977" s="84" t="str">
        <x:v>Atlanta</x:v>
      </x:c>
      <x:c r="H977" s="84" t="str">
        <x:v>Retail Store</x:v>
      </x:c>
      <x:c r="I977" s="84" t="str">
        <x:v>HOME-001</x:v>
      </x:c>
      <x:c r="J977" s="86" t="n">
        <x:v>1</x:v>
      </x:c>
      <x:c r="K977" s="87" t="n">
        <x:v>0</x:v>
      </x:c>
      <x:c r="L977" s="84" t="str">
        <x:v>Completed</x:v>
      </x:c>
      <x:c r="M977" s="84" t="str">
        <x:v>Debit Card </x:v>
      </x:c>
      <x:c r="N977" s="84" t="str">
        <x:v>Liam Parker</x:v>
      </x:c>
      <x:c r="O977" s="85" t="n">
        <x:v>45623</x:v>
      </x:c>
      <x:c r="P977" s="84" t="str">
        <x:v>POS_2024_11</x:v>
      </x:c>
      <x:c r="Q977" s="84" t="str">
        <x:v>Air Fryer</x:v>
      </x:c>
      <x:c r="R977" s="84" t="str">
        <x:v> HOME &amp; KITCHEN </x:v>
      </x:c>
    </x:row>
    <x:row r="978">
      <x:c r="A978" s="84" t="str">
        <x:v>ORD-2024-00293</x:v>
      </x:c>
      <x:c r="B978" s="85" t="n">
        <x:v>45624</x:v>
      </x:c>
      <x:c r="C978" s="84" t="str">
        <x:v>CUST-0592</x:v>
      </x:c>
      <x:c r="D978" s="84" t="str">
        <x:v>theo patel</x:v>
      </x:c>
      <x:c r="E978" s="84" t="str">
        <x:v>Corporate</x:v>
      </x:c>
      <x:c r="F978" s="84" t="str">
        <x:v>Southeast</x:v>
      </x:c>
      <x:c r="G978" s="84" t="str">
        <x:v>Nashville</x:v>
      </x:c>
      <x:c r="H978" s="84" t="str">
        <x:v>Marketplace</x:v>
      </x:c>
      <x:c r="I978" s="84" t="str">
        <x:v>CARE-002</x:v>
      </x:c>
      <x:c r="J978" s="86" t="n">
        <x:v>5</x:v>
      </x:c>
      <x:c r="K978" s="87" t="n">
        <x:v>0.1</x:v>
      </x:c>
      <x:c r="L978" s="84" t="str">
        <x:v>Completed </x:v>
      </x:c>
      <x:c r="M978" s="84" t="str">
        <x:v>Credit Card</x:v>
      </x:c>
      <x:c r="N978" s="84" t="str">
        <x:v>Noah Reed</x:v>
      </x:c>
      <x:c r="O978" s="85" t="n">
        <x:v>45627</x:v>
      </x:c>
      <x:c r="P978" s="84" t="str">
        <x:v>MKT_2024_11</x:v>
      </x:c>
      <x:c r="Q978" s="84" t="str">
        <x:v> RECHARGEABLE TRIMMER </x:v>
      </x:c>
      <x:c r="R978" s="84" t="str">
        <x:v>Personal Care</x:v>
      </x:c>
    </x:row>
    <x:row r="979">
      <x:c r="A979" s="84" t="str">
        <x:v>ORD-2024-00543</x:v>
      </x:c>
      <x:c r="B979" s="85" t="n">
        <x:v>45624</x:v>
      </x:c>
      <x:c r="C979" s="84" t="str">
        <x:v>CUST-0377</x:v>
      </x:c>
      <x:c r="D979" s="84" t="str">
        <x:v>Owen Adams</x:v>
      </x:c>
      <x:c r="E979" s="84" t="str">
        <x:v>Consumer</x:v>
      </x:c>
      <x:c r="F979" s="84" t="str">
        <x:v>Northeast </x:v>
      </x:c>
      <x:c r="G979" s="84" t="str">
        <x:v>boston</x:v>
      </x:c>
      <x:c r="H979" s="84" t="str">
        <x:v>Retail Store</x:v>
      </x:c>
      <x:c r="I979" s="84" t="str">
        <x:v>ELEC-005</x:v>
      </x:c>
      <x:c r="J979" s="86" t="n">
        <x:v>1</x:v>
      </x:c>
      <x:c r="K979" s="87" t="n">
        <x:v>0</x:v>
      </x:c>
      <x:c r="L979" s="84" t="str">
        <x:v>completed</x:v>
      </x:c>
      <x:c r="M979" s="84" t="str">
        <x:v>Debit Card</x:v>
      </x:c>
      <x:c r="N979" s="84" t="str">
        <x:v>Ethan Cole </x:v>
      </x:c>
      <x:c r="O979" s="85" t="n">
        <x:v>45624</x:v>
      </x:c>
      <x:c r="P979" s="84" t="str">
        <x:v>POS_2024_11</x:v>
      </x:c>
      <x:c r="Q979" s="84" t="str">
        <x:v>HD Webcam</x:v>
      </x:c>
      <x:c r="R979" s="84" t="str">
        <x:v>Electronics</x:v>
      </x:c>
    </x:row>
    <x:row r="980">
      <x:c r="A980" s="84" t="str">
        <x:v>ORD-2024-00705</x:v>
      </x:c>
      <x:c r="B980" s="85" t="n">
        <x:v>45624</x:v>
      </x:c>
      <x:c r="C980" s="84" t="str">
        <x:v>CUST-0053</x:v>
      </x:c>
      <x:c r="D980" s="84" t="str">
        <x:v>Theo Patel </x:v>
      </x:c>
      <x:c r="E980" s="84" t="str">
        <x:v>Small Business</x:v>
      </x:c>
      <x:c r="F980" s="84" t="str">
        <x:v>West</x:v>
      </x:c>
      <x:c r="G980" s="84" t="str">
        <x:v>Los Angeles</x:v>
      </x:c>
      <x:c r="H980" s="84" t="str">
        <x:v>Marketplace</x:v>
      </x:c>
      <x:c r="I980" s="84" t="str">
        <x:v>HOME-002</x:v>
      </x:c>
      <x:c r="J980" s="86" t="n">
        <x:v>1</x:v>
      </x:c>
      <x:c r="K980" s="87" t="n">
        <x:v>0.2</x:v>
      </x:c>
      <x:c r="L980" s="84" t="str">
        <x:v>Completed</x:v>
      </x:c>
      <x:c r="M980" s="84" t="str">
        <x:v>Mobile Wallet </x:v>
      </x:c>
      <x:c r="N980" s="84" t="str">
        <x:v>Nora Kim</x:v>
      </x:c>
      <x:c r="O980" s="85" t="n">
        <x:v>45629</x:v>
      </x:c>
      <x:c r="P980" s="84" t="str">
        <x:v>MKT_2024_11</x:v>
      </x:c>
      <x:c r="Q980" s="84" t="str">
        <x:v>Electric Kettle</x:v>
      </x:c>
      <x:c r="R980" s="84" t="str">
        <x:v>Home &amp; Kitchen</x:v>
      </x:c>
    </x:row>
    <x:row r="981">
      <x:c r="A981" s="84" t="str">
        <x:v>ORD-2024-00891</x:v>
      </x:c>
      <x:c r="B981" s="85" t="n">
        <x:v>45624</x:v>
      </x:c>
      <x:c r="C981" s="84" t="str">
        <x:v>CUST-0295</x:v>
      </x:c>
      <x:c r="D981" s="84" t="str">
        <x:v>Nina Garcia</x:v>
      </x:c>
      <x:c r="E981" s="84" t="str">
        <x:v>consumer</x:v>
      </x:c>
      <x:c r="F981" s="84" t="str">
        <x:v>Northeast</x:v>
      </x:c>
      <x:c r="G981" s="84" t="str">
        <x:v>Boston</x:v>
      </x:c>
      <x:c r="H981" s="84" t="str">
        <x:v>online</x:v>
      </x:c>
      <x:c r="I981" s="84" t="str">
        <x:v>ACCS-003</x:v>
      </x:c>
      <x:c r="J981" s="86" t="n">
        <x:v>2</x:v>
      </x:c>
      <x:c r="K981" s="87" t="n">
        <x:v>0.05</x:v>
      </x:c>
      <x:c r="L981" s="84" t="str">
        <x:v>Completed</x:v>
      </x:c>
      <x:c r="M981" s="84" t="str">
        <x:v>PayPal</x:v>
      </x:c>
      <x:c r="N981" s="84" t="str">
        <x:v>Ethan Cole</x:v>
      </x:c>
      <x:c r="O981" s="85" t="n">
        <x:v>45628</x:v>
      </x:c>
      <x:c r="P981" s="84" t="str">
        <x:v>WEB_2024_11</x:v>
      </x:c>
      <x:c r="Q981" s="84" t="str">
        <x:v>Polarized Sunglasses</x:v>
      </x:c>
      <x:c r="R981" s="84" t="str">
        <x:v>Accessories </x:v>
      </x:c>
    </x:row>
    <x:row r="982">
      <x:c r="A982" s="84" t="str">
        <x:v>ORD-2024-00968</x:v>
      </x:c>
      <x:c r="B982" s="85" t="n">
        <x:v>45624</x:v>
      </x:c>
      <x:c r="C982" s="84" t="str">
        <x:v>CUST-0601</x:v>
      </x:c>
      <x:c r="D982" s="84" t="str">
        <x:v>Grace Taylor</x:v>
      </x:c>
      <x:c r="E982" s="84" t="str">
        <x:v>small business</x:v>
      </x:c>
      <x:c r="F982" s="84" t="str">
        <x:v>Northeast</x:v>
      </x:c>
      <x:c r="G982" s="84" t="str">
        <x:v>Philadelphia</x:v>
      </x:c>
      <x:c r="H982" s="84" t="str">
        <x:v>retail store</x:v>
      </x:c>
      <x:c r="I982" s="84" t="str">
        <x:v>CARE-003</x:v>
      </x:c>
      <x:c r="J982" s="86" t="n">
        <x:v>1</x:v>
      </x:c>
      <x:c r="K982" s="87" t="n">
        <x:v>0.1</x:v>
      </x:c>
      <x:c r="L982" s="84" t="str">
        <x:v>Completed</x:v>
      </x:c>
      <x:c r="M982" s="84" t="str">
        <x:v>Cash</x:v>
      </x:c>
      <x:c r="N982" s="84" t="str">
        <x:v>Maya Brooks</x:v>
      </x:c>
      <x:c r="O982" s="85" t="n">
        <x:v>45625</x:v>
      </x:c>
      <x:c r="P982" s="84" t="str">
        <x:v>POS_2024_11</x:v>
      </x:c>
      <x:c r="Q982" s="84" t="str">
        <x:v>Facial Cleanser</x:v>
      </x:c>
      <x:c r="R982" s="84" t="str">
        <x:v>Personal Care </x:v>
      </x:c>
    </x:row>
    <x:row r="983">
      <x:c r="A983" s="84" t="str">
        <x:v>ORD-2024-01086</x:v>
      </x:c>
      <x:c r="B983" s="85" t="n">
        <x:v>45624</x:v>
      </x:c>
      <x:c r="C983" s="84" t="str">
        <x:v>CUST-0336</x:v>
      </x:c>
      <x:c r="D983" s="84" t="str">
        <x:v>Jonah Garcia</x:v>
      </x:c>
      <x:c r="E983" s="84" t="str">
        <x:v>Consumer</x:v>
      </x:c>
      <x:c r="F983" s="84" t="str">
        <x:v>west</x:v>
      </x:c>
      <x:c r="G983" s="84" t="str">
        <x:v>Phoenix</x:v>
      </x:c>
      <x:c r="H983" s="84" t="str">
        <x:v>Online</x:v>
      </x:c>
      <x:c r="I983" s="84" t="str">
        <x:v>ELEC-002</x:v>
      </x:c>
      <x:c r="J983" s="86" t="n">
        <x:v>1</x:v>
      </x:c>
      <x:c r="K983" s="87" t="n">
        <x:v>0.15</x:v>
      </x:c>
      <x:c r="L983" s="84" t="str">
        <x:v>Completed</x:v>
      </x:c>
      <x:c r="M983" s="84" t="str">
        <x:v>Credit Card</x:v>
      </x:c>
      <x:c r="N983" s="84" t="str">
        <x:v>Nora Kim</x:v>
      </x:c>
      <x:c r="O983" s="85" t="n">
        <x:v>45629</x:v>
      </x:c>
      <x:c r="P983" s="84" t="str">
        <x:v>WEB_2024_11</x:v>
      </x:c>
      <x:c r="Q983" s="84" t="str">
        <x:v>Smartwatch </x:v>
      </x:c>
      <x:c r="R983" s="84" t="str">
        <x:v> ELECTRONICS </x:v>
      </x:c>
    </x:row>
    <x:row r="984">
      <x:c r="A984" s="84" t="str">
        <x:v>ORD-2024-02360</x:v>
      </x:c>
      <x:c r="B984" s="85" t="n">
        <x:v>45624</x:v>
      </x:c>
      <x:c r="C984" s="84" t="str">
        <x:v>CUST-0516</x:v>
      </x:c>
      <x:c r="D984" s="84" t="str">
        <x:v> JASMINE ORTIZ </x:v>
      </x:c>
      <x:c r="E984" s="84" t="str">
        <x:v>Small Business</x:v>
      </x:c>
      <x:c r="F984" s="84" t="str">
        <x:v> SOUTHEAST </x:v>
      </x:c>
      <x:c r="G984" s="84" t="str">
        <x:v>Charlotte</x:v>
      </x:c>
      <x:c r="H984" s="84" t="str">
        <x:v>Online</x:v>
      </x:c>
      <x:c r="I984" s="84" t="str">
        <x:v>HOME-003</x:v>
      </x:c>
      <x:c r="J984" s="86" t="n">
        <x:v>1</x:v>
      </x:c>
      <x:c r="K984" s="87" t="n">
        <x:v>0.1</x:v>
      </x:c>
      <x:c r="L984" s="84" t="str">
        <x:v>Completed</x:v>
      </x:c>
      <x:c r="M984" s="84" t="str">
        <x:v>Credit Card</x:v>
      </x:c>
      <x:c r="N984" s="84" t="str">
        <x:v>Ava Mitchell</x:v>
      </x:c>
      <x:c r="O984" s="85" t="n">
        <x:v>45628</x:v>
      </x:c>
      <x:c r="P984" s="84" t="str">
        <x:v>WEB_2024_11</x:v>
      </x:c>
      <x:c r="Q984" s="84" t="str">
        <x:v>Countertop Blender </x:v>
      </x:c>
      <x:c r="R984" s="84" t="str">
        <x:v>Home &amp; Kitchen</x:v>
      </x:c>
    </x:row>
    <x:row r="985">
      <x:c r="A985" s="84" t="str">
        <x:v>ORD-2024-00067</x:v>
      </x:c>
      <x:c r="B985" s="85" t="n">
        <x:v>45625</x:v>
      </x:c>
      <x:c r="C985" s="84" t="str">
        <x:v>CUST-0032</x:v>
      </x:c>
      <x:c r="D985" s="84" t="str">
        <x:v>Nina Johnson</x:v>
      </x:c>
      <x:c r="E985" s="84" t="str">
        <x:v>Consumer</x:v>
      </x:c>
      <x:c r="F985" s="84" t="str">
        <x:v>Northeast </x:v>
      </x:c>
      <x:c r="G985" s="84" t="str">
        <x:v>Philadelphia</x:v>
      </x:c>
      <x:c r="H985" s="84" t="str">
        <x:v>Online</x:v>
      </x:c>
      <x:c r="I985" s="84" t="str">
        <x:v>OFFC-005</x:v>
      </x:c>
      <x:c r="J985" s="86" t="n">
        <x:v>3</x:v>
      </x:c>
      <x:c r="K985" s="87" t="n">
        <x:v>0.1</x:v>
      </x:c>
      <x:c r="L985" s="84" t="str">
        <x:v>Completed</x:v>
      </x:c>
      <x:c r="M985" s="84" t="str">
        <x:v>Credit Card</x:v>
      </x:c>
      <x:c r="N985" s="84" t="str">
        <x:v>Sofia Bennett </x:v>
      </x:c>
      <x:c r="O985" s="85" t="n">
        <x:v>45627</x:v>
      </x:c>
      <x:c r="P985" s="84" t="str">
        <x:v>WEB_2024_11</x:v>
      </x:c>
      <x:c r="Q985" s="84" t="str">
        <x:v>Wireless Keyboard</x:v>
      </x:c>
      <x:c r="R985" s="84" t="str">
        <x:v>Office</x:v>
      </x:c>
    </x:row>
    <x:row r="986">
      <x:c r="A986" s="84" t="str">
        <x:v>ORD-2024-00333</x:v>
      </x:c>
      <x:c r="B986" s="85" t="n">
        <x:v>45625</x:v>
      </x:c>
      <x:c r="C986" s="84" t="str">
        <x:v>CUST-0081</x:v>
      </x:c>
      <x:c r="D986" s="84" t="str">
        <x:v>Grace Young</x:v>
      </x:c>
      <x:c r="E986" s="84" t="str">
        <x:v>Small Business</x:v>
      </x:c>
      <x:c r="F986" s="84" t="str">
        <x:v>Northeast </x:v>
      </x:c>
      <x:c r="G986" s="84" t="str">
        <x:v> NEW YORK </x:v>
      </x:c>
      <x:c r="H986" s="84" t="str">
        <x:v>Online</x:v>
      </x:c>
      <x:c r="I986" s="84" t="str">
        <x:v>OFFC-003</x:v>
      </x:c>
      <x:c r="J986" s="86" t="n">
        <x:v>3</x:v>
      </x:c>
      <x:c r="K986" s="87" t="n">
        <x:v>0.15</x:v>
      </x:c>
      <x:c r="L986" s="84" t="str">
        <x:v>Completed</x:v>
      </x:c>
      <x:c r="M986" s="84" t="str">
        <x:v>Credit Card</x:v>
      </x:c>
      <x:c r="N986" s="84" t="str">
        <x:v>Sofia Bennett </x:v>
      </x:c>
      <x:c r="O986" s="85" t="n">
        <x:v>45630</x:v>
      </x:c>
      <x:c r="P986" s="84" t="str">
        <x:v>WEB_2024_11</x:v>
      </x:c>
      <x:c r="Q986" s="84" t="str">
        <x:v>LED Desk Lamp</x:v>
      </x:c>
      <x:c r="R986" s="84" t="str">
        <x:v>office</x:v>
      </x:c>
    </x:row>
    <x:row r="987">
      <x:c r="A987" s="84" t="str">
        <x:v>ORD-2024-00839</x:v>
      </x:c>
      <x:c r="B987" s="85" t="n">
        <x:v>45625</x:v>
      </x:c>
      <x:c r="C987" s="84" t="str">
        <x:v>CUST-0031</x:v>
      </x:c>
      <x:c r="D987" s="84" t="str">
        <x:v>Theo Smith</x:v>
      </x:c>
      <x:c r="E987" s="84" t="str">
        <x:v>Consumer</x:v>
      </x:c>
      <x:c r="F987" s="84" t="str">
        <x:v>Southeast</x:v>
      </x:c>
      <x:c r="G987" s="84" t="str">
        <x:v>Atlanta</x:v>
      </x:c>
      <x:c r="H987" s="84" t="str">
        <x:v> ONLINE </x:v>
      </x:c>
      <x:c r="I987" s="84" t="str">
        <x:v>ACCS-001</x:v>
      </x:c>
      <x:c r="J987" s="86" t="n">
        <x:v>1</x:v>
      </x:c>
      <x:c r="K987" s="87" t="n">
        <x:v>0.1</x:v>
      </x:c>
      <x:c r="L987" s="84" t="str">
        <x:v>Completed </x:v>
      </x:c>
      <x:c r="M987" s="84" t="str">
        <x:v>Debit Card</x:v>
      </x:c>
      <x:c r="N987" s="84" t="str">
        <x:v>Ava Mitchell</x:v>
      </x:c>
      <x:c r="O987" s="85" t="n">
        <x:v>45629</x:v>
      </x:c>
      <x:c r="P987" s="84" t="str">
        <x:v>WEB_2024_11</x:v>
      </x:c>
      <x:c r="Q987" s="84" t="str">
        <x:v>Canvas Tote Bag</x:v>
      </x:c>
      <x:c r="R987" s="84" t="str">
        <x:v>accessories</x:v>
      </x:c>
    </x:row>
    <x:row r="988">
      <x:c r="A988" s="84" t="str">
        <x:v>ORD-2024-01438</x:v>
      </x:c>
      <x:c r="B988" s="85" t="n">
        <x:v>45625</x:v>
      </x:c>
      <x:c r="C988" s="84" t="str">
        <x:v>CUST-0076</x:v>
      </x:c>
      <x:c r="D988" s="84" t="str">
        <x:v>Jonah Patel</x:v>
      </x:c>
      <x:c r="E988" s="84" t="str">
        <x:v>Small Business</x:v>
      </x:c>
      <x:c r="F988" s="84" t="str">
        <x:v>southeast</x:v>
      </x:c>
      <x:c r="G988" s="84" t="str">
        <x:v> CHARLOTTE </x:v>
      </x:c>
      <x:c r="H988" s="84" t="str">
        <x:v>Retail Store </x:v>
      </x:c>
      <x:c r="I988" s="84" t="str">
        <x:v>ELEC-003</x:v>
      </x:c>
      <x:c r="J988" s="86" t="n">
        <x:v>3</x:v>
      </x:c>
      <x:c r="K988" s="87" t="n">
        <x:v>0</x:v>
      </x:c>
      <x:c r="L988" s="84" t="str">
        <x:v>Returned</x:v>
      </x:c>
      <x:c r="M988" s="84" t="str">
        <x:v>Cash</x:v>
      </x:c>
      <x:c r="N988" s="84" t="str">
        <x:v>Liam Parker</x:v>
      </x:c>
      <x:c r="O988" s="85" t="n">
        <x:v>45625</x:v>
      </x:c>
      <x:c r="P988" s="84" t="str">
        <x:v>POS_2024_11</x:v>
      </x:c>
      <x:c r="Q988" s="84" t="str">
        <x:v>Bluetooth Speaker</x:v>
      </x:c>
      <x:c r="R988" s="84" t="str">
        <x:v>Electronics</x:v>
      </x:c>
    </x:row>
    <x:row r="989">
      <x:c r="A989" s="84" t="str">
        <x:v>ORD-2024-02063</x:v>
      </x:c>
      <x:c r="B989" s="85" t="n">
        <x:v>45625</x:v>
      </x:c>
      <x:c r="C989" s="84" t="str">
        <x:v>CUST-0047</x:v>
      </x:c>
      <x:c r="D989" s="84" t="str">
        <x:v>Isaac Adams </x:v>
      </x:c>
      <x:c r="E989" s="84" t="str">
        <x:v>Consumer</x:v>
      </x:c>
      <x:c r="F989" s="84" t="str">
        <x:v>Southeast</x:v>
      </x:c>
      <x:c r="G989" s="84" t="str">
        <x:v>Nashville</x:v>
      </x:c>
      <x:c r="H989" s="84" t="str">
        <x:v> ONLINE </x:v>
      </x:c>
      <x:c r="I989" s="84" t="str">
        <x:v>HOME-003</x:v>
      </x:c>
      <x:c r="J989" s="86" t="n">
        <x:v>2</x:v>
      </x:c>
      <x:c r="K989" s="87" t="n">
        <x:v>0.15</x:v>
      </x:c>
      <x:c r="L989" s="84" t="str">
        <x:v>Completed</x:v>
      </x:c>
      <x:c r="M989" s="84" t="str">
        <x:v>Credit Card </x:v>
      </x:c>
      <x:c r="N989" s="84" t="str">
        <x:v>Noah Reed</x:v>
      </x:c>
      <x:c r="O989" s="85" t="n">
        <x:v>45627</x:v>
      </x:c>
      <x:c r="P989" s="84" t="str">
        <x:v>WEB_2024_11</x:v>
      </x:c>
      <x:c r="Q989" s="84" t="str">
        <x:v>Countertop Blender</x:v>
      </x:c>
      <x:c r="R989" s="84" t="str">
        <x:v>Home &amp; Kitchen</x:v>
      </x:c>
    </x:row>
    <x:row r="990">
      <x:c r="A990" s="84" t="str">
        <x:v>ORD-2024-02281</x:v>
      </x:c>
      <x:c r="B990" s="85" t="n">
        <x:v>45625</x:v>
      </x:c>
      <x:c r="C990" s="84" t="str">
        <x:v>CUST-0129</x:v>
      </x:c>
      <x:c r="D990" s="84" t="str">
        <x:v>Owen Walker</x:v>
      </x:c>
      <x:c r="E990" s="84" t="str">
        <x:v>Corporate</x:v>
      </x:c>
      <x:c r="F990" s="84" t="str">
        <x:v>Midwest</x:v>
      </x:c>
      <x:c r="G990" s="84" t="str">
        <x:v>chicago</x:v>
      </x:c>
      <x:c r="H990" s="84" t="str">
        <x:v>Retail Store</x:v>
      </x:c>
      <x:c r="I990" s="84" t="str">
        <x:v>OFFC-005</x:v>
      </x:c>
      <x:c r="J990" s="86" t="n">
        <x:v>2</x:v>
      </x:c>
      <x:c r="K990" s="87" t="n">
        <x:v>0.05</x:v>
      </x:c>
      <x:c r="L990" s="84" t="str">
        <x:v>completed</x:v>
      </x:c>
      <x:c r="M990" s="84" t="str">
        <x:v>Cash</x:v>
      </x:c>
      <x:c r="N990" s="84" t="str">
        <x:v> ZOE TURNER </x:v>
      </x:c>
      <x:c r="O990" s="85" t="n">
        <x:v>45625</x:v>
      </x:c>
      <x:c r="P990" s="84" t="str">
        <x:v>POS_2024_11</x:v>
      </x:c>
      <x:c r="Q990" s="84" t="str">
        <x:v>Wireless Keyboard</x:v>
      </x:c>
      <x:c r="R990" s="84" t="str">
        <x:v>Office</x:v>
      </x:c>
    </x:row>
    <x:row r="991">
      <x:c r="A991" s="84" t="str">
        <x:v>ORD-2024-00048</x:v>
      </x:c>
      <x:c r="B991" s="85" t="n">
        <x:v>45626</x:v>
      </x:c>
      <x:c r="C991" s="84" t="str">
        <x:v>CUST-0626</x:v>
      </x:c>
      <x:c r="D991" s="84" t="str">
        <x:v> THEO IRWIN </x:v>
      </x:c>
      <x:c r="E991" s="84" t="str">
        <x:v>Corporate</x:v>
      </x:c>
      <x:c r="F991" s="84" t="str">
        <x:v> MIDWEST </x:v>
      </x:c>
      <x:c r="G991" s="84" t="str">
        <x:v>minneapolis</x:v>
      </x:c>
      <x:c r="H991" s="84" t="str">
        <x:v>Retail Store</x:v>
      </x:c>
      <x:c r="I991" s="84" t="str">
        <x:v>FITN-004</x:v>
      </x:c>
      <x:c r="J991" s="86" t="n">
        <x:v>3</x:v>
      </x:c>
      <x:c r="K991" s="87" t="n">
        <x:v>0.15</x:v>
      </x:c>
      <x:c r="L991" s="84" t="str">
        <x:v>completed</x:v>
      </x:c>
      <x:c r="M991" s="84" t="str">
        <x:v>Cash</x:v>
      </x:c>
      <x:c r="N991" s="84" t="str">
        <x:v>Zoe Turner</x:v>
      </x:c>
      <x:c r="O991" s="85" t="n">
        <x:v>45626</x:v>
      </x:c>
      <x:c r="P991" s="84" t="str">
        <x:v>POS_2024_11</x:v>
      </x:c>
      <x:c r="Q991" s="84" t="str">
        <x:v>Fitness Tracker</x:v>
      </x:c>
      <x:c r="R991" s="84" t="str">
        <x:v>Fitness</x:v>
      </x:c>
    </x:row>
    <x:row r="992">
      <x:c r="A992" s="84" t="str">
        <x:v>ORD-2024-00807</x:v>
      </x:c>
      <x:c r="B992" s="85" t="n">
        <x:v>45626</x:v>
      </x:c>
      <x:c r="C992" s="84" t="str">
        <x:v>CUST-0404</x:v>
      </x:c>
      <x:c r="D992" s="84" t="str">
        <x:v>Nina Baker</x:v>
      </x:c>
      <x:c r="E992" s="84" t="str">
        <x:v>Consumer</x:v>
      </x:c>
      <x:c r="F992" s="84" t="str">
        <x:v>West</x:v>
      </x:c>
      <x:c r="G992" s="84" t="str">
        <x:v>los angeles</x:v>
      </x:c>
      <x:c r="H992" s="84" t="str">
        <x:v>Retail Store</x:v>
      </x:c>
      <x:c r="I992" s="84" t="str">
        <x:v>ELEC-003</x:v>
      </x:c>
      <x:c r="J992" s="86" t="n">
        <x:v>2</x:v>
      </x:c>
      <x:c r="K992" s="87" t="n">
        <x:v>0.05</x:v>
      </x:c>
      <x:c r="L992" s="84" t="str">
        <x:v>completed</x:v>
      </x:c>
      <x:c r="M992" s="84" t="str">
        <x:v>Credit Card</x:v>
      </x:c>
      <x:c r="N992" s="84" t="str">
        <x:v>Mia Chen</x:v>
      </x:c>
      <x:c r="O992" s="85" t="n">
        <x:v>45626</x:v>
      </x:c>
      <x:c r="P992" s="84" t="str">
        <x:v>POS_2024_11</x:v>
      </x:c>
      <x:c r="Q992" s="84" t="str">
        <x:v>Bluetooth Speaker</x:v>
      </x:c>
      <x:c r="R992" s="84" t="str">
        <x:v>Electronics </x:v>
      </x:c>
    </x:row>
    <x:row r="993">
      <x:c r="A993" s="84" t="str">
        <x:v>ORD-2024-01003</x:v>
      </x:c>
      <x:c r="B993" s="85" t="n">
        <x:v>45626</x:v>
      </x:c>
      <x:c r="C993" s="84" t="str">
        <x:v>CUST-0437</x:v>
      </x:c>
      <x:c r="D993" s="84" t="str">
        <x:v>Nathan Garcia</x:v>
      </x:c>
      <x:c r="E993" s="84" t="str">
        <x:v> CORPORATE </x:v>
      </x:c>
      <x:c r="F993" s="84" t="str">
        <x:v>Northeast</x:v>
      </x:c>
      <x:c r="G993" s="84" t="str">
        <x:v>Philadelphia</x:v>
      </x:c>
      <x:c r="H993" s="84" t="str">
        <x:v>Online</x:v>
      </x:c>
      <x:c r="I993" s="84" t="str">
        <x:v>ACCS-006</x:v>
      </x:c>
      <x:c r="J993" s="86" t="n">
        <x:v>3</x:v>
      </x:c>
      <x:c r="K993" s="87" t="n">
        <x:v>0.15</x:v>
      </x:c>
      <x:c r="L993" s="84" t="str">
        <x:v>Completed</x:v>
      </x:c>
      <x:c r="M993" s="84" t="str">
        <x:v>Mobile Wallet</x:v>
      </x:c>
      <x:c r="N993" s="84" t="str">
        <x:v>ethan cole</x:v>
      </x:c>
      <x:c r="O993" s="85" t="n">
        <x:v>45630</x:v>
      </x:c>
      <x:c r="P993" s="84" t="str">
        <x:v>WEB_2024_11</x:v>
      </x:c>
      <x:c r="Q993" s="84" t="str">
        <x:v>Insulated Lunch Bag</x:v>
      </x:c>
      <x:c r="R993" s="84" t="str">
        <x:v>Accessories </x:v>
      </x:c>
    </x:row>
    <x:row r="994">
      <x:c r="A994" s="84" t="str">
        <x:v>ORD-2024-01475</x:v>
      </x:c>
      <x:c r="B994" s="85" t="n">
        <x:v>45626</x:v>
      </x:c>
      <x:c r="C994" s="84" t="str">
        <x:v>CUST-0349</x:v>
      </x:c>
      <x:c r="D994" s="84" t="str">
        <x:v>Amelia Lewis </x:v>
      </x:c>
      <x:c r="E994" s="84" t="str">
        <x:v>Small Business</x:v>
      </x:c>
      <x:c r="F994" s="84" t="str">
        <x:v>Southeast</x:v>
      </x:c>
      <x:c r="G994" s="84" t="str">
        <x:v>Miami</x:v>
      </x:c>
      <x:c r="H994" s="84" t="str">
        <x:v>Retail Store</x:v>
      </x:c>
      <x:c r="I994" s="84" t="str">
        <x:v>HOME-003</x:v>
      </x:c>
      <x:c r="J994" s="86" t="n">
        <x:v>4</x:v>
      </x:c>
      <x:c r="K994" s="87" t="n">
        <x:v>0.1</x:v>
      </x:c>
      <x:c r="L994" s="84" t="str">
        <x:v>Completed</x:v>
      </x:c>
      <x:c r="M994" s="84" t="str">
        <x:v>Cash </x:v>
      </x:c>
      <x:c r="N994" s="84" t="str">
        <x:v>Liam Parker</x:v>
      </x:c>
      <x:c r="O994" s="85" t="n">
        <x:v>45627</x:v>
      </x:c>
      <x:c r="P994" s="84" t="str">
        <x:v>POS_2024_11</x:v>
      </x:c>
      <x:c r="Q994" s="84" t="str">
        <x:v>Countertop Blender</x:v>
      </x:c>
      <x:c r="R994" s="84" t="str">
        <x:v>Home &amp; Kitchen</x:v>
      </x:c>
    </x:row>
    <x:row r="995">
      <x:c r="A995" s="84" t="str">
        <x:v>ORD-2024-01999</x:v>
      </x:c>
      <x:c r="B995" s="85" t="n">
        <x:v>45626</x:v>
      </x:c>
      <x:c r="C995" s="84" t="str">
        <x:v>CUST-0357</x:v>
      </x:c>
      <x:c r="D995" s="84" t="str">
        <x:v>Priya Baker</x:v>
      </x:c>
      <x:c r="E995" s="84" t="str">
        <x:v>Consumer</x:v>
      </x:c>
      <x:c r="F995" s="84" t="str">
        <x:v>southeast</x:v>
      </x:c>
      <x:c r="G995" s="84" t="str">
        <x:v> ATLANTA </x:v>
      </x:c>
      <x:c r="H995" s="84" t="str">
        <x:v>Retail Store</x:v>
      </x:c>
      <x:c r="I995" s="84" t="str">
        <x:v>ACCS-002</x:v>
      </x:c>
      <x:c r="J995" s="86" t="n">
        <x:v>1</x:v>
      </x:c>
      <x:c r="K995" s="87" t="n">
        <x:v>0.2</x:v>
      </x:c>
      <x:c r="L995" s="84" t="str">
        <x:v>Completed</x:v>
      </x:c>
      <x:c r="M995" s="84" t="str">
        <x:v>Debit Card</x:v>
      </x:c>
      <x:c r="N995" s="84" t="str">
        <x:v>Liam Parker </x:v>
      </x:c>
      <x:c r="O995" s="85" t="n">
        <x:v>45626</x:v>
      </x:c>
      <x:c r="P995" s="84" t="str">
        <x:v>POS_2024_11</x:v>
      </x:c>
      <x:c r="Q995" s="84" t="str">
        <x:v>Travel Backpack</x:v>
      </x:c>
      <x:c r="R995" s="84" t="str">
        <x:v>Accessories</x:v>
      </x:c>
    </x:row>
    <x:row r="996">
      <x:c r="A996" s="84" t="str">
        <x:v>ORD-2024-00626</x:v>
      </x:c>
      <x:c r="B996" s="85" t="n">
        <x:v>45627</x:v>
      </x:c>
      <x:c r="C996" s="84" t="str">
        <x:v>CUST-0304</x:v>
      </x:c>
      <x:c r="D996" s="84" t="str">
        <x:v> ISAAC CARTER </x:v>
      </x:c>
      <x:c r="E996" s="84" t="str">
        <x:v>Corporate</x:v>
      </x:c>
      <x:c r="F996" s="84" t="str">
        <x:v> NORTHEAST </x:v>
      </x:c>
      <x:c r="G996" s="84" t="str">
        <x:v>New York</x:v>
      </x:c>
      <x:c r="H996" s="84" t="str">
        <x:v>Retail Store </x:v>
      </x:c>
      <x:c r="I996" s="84" t="str">
        <x:v>FITN-004</x:v>
      </x:c>
      <x:c r="J996" s="86" t="n">
        <x:v>3</x:v>
      </x:c>
      <x:c r="K996" s="87" t="n">
        <x:v>0</x:v>
      </x:c>
      <x:c r="L996" s="84" t="str">
        <x:v>Completed</x:v>
      </x:c>
      <x:c r="M996" s="84" t="str">
        <x:v>cash</x:v>
      </x:c>
      <x:c r="N996" s="84" t="str">
        <x:v>Maya Brooks</x:v>
      </x:c>
      <x:c r="O996" s="85" t="n">
        <x:v>45628</x:v>
      </x:c>
      <x:c r="P996" s="84" t="str">
        <x:v>POS_2024_12</x:v>
      </x:c>
      <x:c r="Q996" s="84" t="str">
        <x:v>Fitness Tracker</x:v>
      </x:c>
      <x:c r="R996" s="84" t="str">
        <x:v>Fitness</x:v>
      </x:c>
    </x:row>
    <x:row r="997">
      <x:c r="A997" s="84" t="str">
        <x:v>ORD-2024-00870</x:v>
      </x:c>
      <x:c r="B997" s="85" t="n">
        <x:v>45627</x:v>
      </x:c>
      <x:c r="C997" s="84" t="str">
        <x:v>CUST-0453</x:v>
      </x:c>
      <x:c r="D997" s="84" t="str">
        <x:v>Victoria Foster</x:v>
      </x:c>
      <x:c r="E997" s="84" t="str">
        <x:v>Consumer</x:v>
      </x:c>
      <x:c r="F997" s="84" t="str">
        <x:v>Southeast</x:v>
      </x:c>
      <x:c r="G997" s="84" t="str">
        <x:v>Atlanta</x:v>
      </x:c>
      <x:c r="H997" s="84" t="str">
        <x:v>Marketplace</x:v>
      </x:c>
      <x:c r="I997" s="84" t="str">
        <x:v>ACCS-002</x:v>
      </x:c>
      <x:c r="J997" s="86" t="n">
        <x:v>1</x:v>
      </x:c>
      <x:c r="K997" s="87" t="n">
        <x:v>0.05</x:v>
      </x:c>
      <x:c r="L997" s="84" t="str">
        <x:v>Completed</x:v>
      </x:c>
      <x:c r="M997" s="84" t="str">
        <x:v>Credit Card</x:v>
      </x:c>
      <x:c r="N997" s="84" t="str">
        <x:v> AVA MITCHELL </x:v>
      </x:c>
      <x:c r="O997" s="85" t="n">
        <x:v>45630</x:v>
      </x:c>
      <x:c r="P997" s="84" t="str">
        <x:v>MKT_2024_12</x:v>
      </x:c>
      <x:c r="Q997" s="84" t="str">
        <x:v>Travel Backpack</x:v>
      </x:c>
      <x:c r="R997" s="84" t="str">
        <x:v>Accessories </x:v>
      </x:c>
    </x:row>
    <x:row r="998">
      <x:c r="A998" s="84" t="str">
        <x:v>ORD-2024-02113</x:v>
      </x:c>
      <x:c r="B998" s="85" t="n">
        <x:v>45627</x:v>
      </x:c>
      <x:c r="C998" s="84" t="str">
        <x:v>CUST-0071</x:v>
      </x:c>
      <x:c r="D998" s="84" t="str">
        <x:v>Owen Foster</x:v>
      </x:c>
      <x:c r="E998" s="84" t="str">
        <x:v>Consumer</x:v>
      </x:c>
      <x:c r="F998" s="84" t="str">
        <x:v>Midwest</x:v>
      </x:c>
      <x:c r="G998" s="84" t="str">
        <x:v>Detroit</x:v>
      </x:c>
      <x:c r="H998" s="84" t="str">
        <x:v>Marketplace</x:v>
      </x:c>
      <x:c r="I998" s="84" t="str">
        <x:v>OFFC-004</x:v>
      </x:c>
      <x:c r="J998" s="86" t="n">
        <x:v>3</x:v>
      </x:c>
      <x:c r="K998" s="87" t="n">
        <x:v>0.1</x:v>
      </x:c>
      <x:c r="L998" s="84" t="str">
        <x:v> COMPLETED </x:v>
      </x:c>
      <x:c r="M998" s="84" t="str">
        <x:v>PayPal</x:v>
      </x:c>
      <x:c r="N998" s="84" t="str">
        <x:v>Zoe Turner</x:v>
      </x:c>
      <x:c r="O998" s="85" t="n">
        <x:v>45633</x:v>
      </x:c>
      <x:c r="P998" s="84" t="str">
        <x:v>MKT_2024_12</x:v>
      </x:c>
      <x:c r="Q998" s="84" t="str">
        <x:v>Premium Notebook Pack</x:v>
      </x:c>
      <x:c r="R998" s="84" t="str">
        <x:v>Office</x:v>
      </x:c>
    </x:row>
    <x:row r="999">
      <x:c r="A999" s="84" t="str">
        <x:v>ORD-2024-02168</x:v>
      </x:c>
      <x:c r="B999" s="85" t="n">
        <x:v>45627</x:v>
      </x:c>
      <x:c r="C999" s="84" t="str">
        <x:v>CUST-0335</x:v>
      </x:c>
      <x:c r="D999" s="84" t="str">
        <x:v>Elias Roberts </x:v>
      </x:c>
      <x:c r="E999" s="84" t="str">
        <x:v>Consumer</x:v>
      </x:c>
      <x:c r="F999" s="84" t="str">
        <x:v>West</x:v>
      </x:c>
      <x:c r="G999" s="84" t="str">
        <x:v>Los Angeles</x:v>
      </x:c>
      <x:c r="H999" s="84" t="str">
        <x:v>Online</x:v>
      </x:c>
      <x:c r="I999" s="84" t="str">
        <x:v>HOME-006</x:v>
      </x:c>
      <x:c r="J999" s="86" t="n">
        <x:v>4</x:v>
      </x:c>
      <x:c r="K999" s="87" t="n">
        <x:v>0</x:v>
      </x:c>
      <x:c r="L999" s="84" t="str">
        <x:v>Completed</x:v>
      </x:c>
      <x:c r="M999" s="84" t="str">
        <x:v>Debit Card </x:v>
      </x:c>
      <x:c r="N999" s="84" t="str">
        <x:v>Nora Kim</x:v>
      </x:c>
      <x:c r="O999" s="85" t="n">
        <x:v>45632</x:v>
      </x:c>
      <x:c r="P999" s="84" t="str">
        <x:v>WEB_2024_12</x:v>
      </x:c>
      <x:c r="Q999" s="84" t="str">
        <x:v>Food Storage Set</x:v>
      </x:c>
      <x:c r="R999" s="84" t="str">
        <x:v>Home &amp; Kitchen</x:v>
      </x:c>
    </x:row>
    <x:row r="1000">
      <x:c r="A1000" s="84" t="str">
        <x:v>ORD-2024-02316</x:v>
      </x:c>
      <x:c r="B1000" s="85" t="n">
        <x:v>45627</x:v>
      </x:c>
      <x:c r="C1000" s="84" t="str">
        <x:v>CUST-0236</x:v>
      </x:c>
      <x:c r="D1000" s="84" t="str">
        <x:v>Chloe Ortiz</x:v>
      </x:c>
      <x:c r="E1000" s="84" t="str">
        <x:v>Consumer</x:v>
      </x:c>
      <x:c r="F1000" s="84" t="str">
        <x:v>Midwest</x:v>
      </x:c>
      <x:c r="G1000" s="84" t="str">
        <x:v>Minneapolis</x:v>
      </x:c>
      <x:c r="H1000" s="84" t="str">
        <x:v>Marketplace</x:v>
      </x:c>
      <x:c r="I1000" s="84" t="str">
        <x:v>ACCS-002</x:v>
      </x:c>
      <x:c r="J1000" s="86" t="n">
        <x:v>2</x:v>
      </x:c>
      <x:c r="K1000" s="87" t="n">
        <x:v>0.15</x:v>
      </x:c>
      <x:c r="L1000" s="84" t="str">
        <x:v>Completed </x:v>
      </x:c>
      <x:c r="M1000" s="84" t="str">
        <x:v>Credit Card</x:v>
      </x:c>
      <x:c r="N1000" s="84" t="str">
        <x:v>Zoe Turner</x:v>
      </x:c>
      <x:c r="O1000" s="85" t="n">
        <x:v>45632</x:v>
      </x:c>
      <x:c r="P1000" s="84" t="str">
        <x:v>MKT_2024_12</x:v>
      </x:c>
      <x:c r="Q1000" s="84" t="str">
        <x:v> TRAVEL BACKPACK </x:v>
      </x:c>
      <x:c r="R1000" s="84" t="str">
        <x:v>Accessories</x:v>
      </x:c>
    </x:row>
    <x:row r="1001">
      <x:c r="A1001" s="84" t="str">
        <x:v>ORD-2024-01046</x:v>
      </x:c>
      <x:c r="B1001" s="85" t="n">
        <x:v>45628</x:v>
      </x:c>
      <x:c r="C1001" s="84" t="str">
        <x:v>CUST-0208</x:v>
      </x:c>
      <x:c r="D1001" s="84" t="str">
        <x:v>Layla Patel</x:v>
      </x:c>
      <x:c r="E1001" s="84" t="str">
        <x:v>Consumer</x:v>
      </x:c>
      <x:c r="F1001" s="84" t="str">
        <x:v>West</x:v>
      </x:c>
      <x:c r="G1001" s="84" t="str">
        <x:v>Los Angeles</x:v>
      </x:c>
      <x:c r="H1001" s="84" t="str">
        <x:v>Online </x:v>
      </x:c>
      <x:c r="I1001" s="84" t="str">
        <x:v>OFFC-001</x:v>
      </x:c>
      <x:c r="J1001" s="86" t="n">
        <x:v>1</x:v>
      </x:c>
      <x:c r="K1001" s="87" t="n">
        <x:v>0.05</x:v>
      </x:c>
      <x:c r="L1001" s="84" t="str">
        <x:v>Completed</x:v>
      </x:c>
      <x:c r="M1001" s="84" t="str">
        <x:v>Mobile Wallet</x:v>
      </x:c>
      <x:c r="N1001" s="84" t="str">
        <x:v>Leo Martinez</x:v>
      </x:c>
      <x:c r="O1001" s="85" t="n">
        <x:v>45631</x:v>
      </x:c>
      <x:c r="P1001" s="84" t="str">
        <x:v>WEB_2024_12</x:v>
      </x:c>
      <x:c r="Q1001" s="84" t="str">
        <x:v>Ergonomic Chair</x:v>
      </x:c>
      <x:c r="R1001" s="84" t="str">
        <x:v>Office</x:v>
      </x:c>
    </x:row>
    <x:row r="1002">
      <x:c r="A1002" s="84" t="str">
        <x:v>ORD-2024-01382</x:v>
      </x:c>
      <x:c r="B1002" s="85" t="n">
        <x:v>45628</x:v>
      </x:c>
      <x:c r="C1002" s="84" t="str">
        <x:v>CUST-0297</x:v>
      </x:c>
      <x:c r="D1002" s="84" t="str">
        <x:v>nathan davis</x:v>
      </x:c>
      <x:c r="E1002" s="84" t="str">
        <x:v>Consumer</x:v>
      </x:c>
      <x:c r="F1002" s="84" t="str">
        <x:v>Midwest</x:v>
      </x:c>
      <x:c r="G1002" s="84" t="str">
        <x:v>Minneapolis</x:v>
      </x:c>
      <x:c r="H1002" s="84" t="str">
        <x:v>Online </x:v>
      </x:c>
      <x:c r="I1002" s="84" t="str">
        <x:v>OFFC-005</x:v>
      </x:c>
      <x:c r="J1002" s="86" t="n">
        <x:v>2</x:v>
      </x:c>
      <x:c r="K1002" s="87" t="n">
        <x:v>0</x:v>
      </x:c>
      <x:c r="L1002" s="84" t="str">
        <x:v> COMPLETED </x:v>
      </x:c>
      <x:c r="M1002" s="84" t="str">
        <x:v>Mobile Wallet</x:v>
      </x:c>
      <x:c r="N1002" s="84" t="str">
        <x:v>Lucas Grant</x:v>
      </x:c>
      <x:c r="O1002" s="85" t="n">
        <x:v>45630</x:v>
      </x:c>
      <x:c r="P1002" s="84" t="str">
        <x:v>WEB_2024_12</x:v>
      </x:c>
      <x:c r="Q1002" s="84" t="str">
        <x:v>Wireless Keyboard</x:v>
      </x:c>
      <x:c r="R1002" s="84" t="str">
        <x:v>Office</x:v>
      </x:c>
    </x:row>
    <x:row r="1003">
      <x:c r="A1003" s="84" t="str">
        <x:v>ORD-2024-01813</x:v>
      </x:c>
      <x:c r="B1003" s="85" t="n">
        <x:v>45628</x:v>
      </x:c>
      <x:c r="C1003" s="84" t="str">
        <x:v>CUST-0301</x:v>
      </x:c>
      <x:c r="D1003" s="84" t="str">
        <x:v>Elias Smith</x:v>
      </x:c>
      <x:c r="E1003" s="84" t="str">
        <x:v>Consumer </x:v>
      </x:c>
      <x:c r="F1003" s="84" t="str">
        <x:v>Southeast</x:v>
      </x:c>
      <x:c r="G1003" s="84" t="str">
        <x:v>Charlotte </x:v>
      </x:c>
      <x:c r="H1003" s="84" t="str">
        <x:v>Marketplace</x:v>
      </x:c>
      <x:c r="I1003" s="84" t="str">
        <x:v>ACCS-004</x:v>
      </x:c>
      <x:c r="J1003" s="86" t="n">
        <x:v>2</x:v>
      </x:c>
      <x:c r="K1003" s="87" t="n">
        <x:v>0.15</x:v>
      </x:c>
      <x:c r="L1003" s="84" t="str">
        <x:v>Completed</x:v>
      </x:c>
      <x:c r="M1003" s="84" t="str">
        <x:v> CREDIT CARD </x:v>
      </x:c>
      <x:c r="N1003" s="84" t="str">
        <x:v>Noah Reed</x:v>
      </x:c>
      <x:c r="O1003" s="85" t="n">
        <x:v>45634</x:v>
      </x:c>
      <x:c r="P1003" s="84" t="str">
        <x:v>MKT_2024_12</x:v>
      </x:c>
      <x:c r="Q1003" s="84" t="str">
        <x:v>leather wallet</x:v>
      </x:c>
      <x:c r="R1003" s="84" t="str">
        <x:v>Accessories</x:v>
      </x:c>
    </x:row>
    <x:row r="1004">
      <x:c r="A1004" s="84" t="str">
        <x:v>ORD-2024-02329</x:v>
      </x:c>
      <x:c r="B1004" s="85" t="n">
        <x:v>45629</x:v>
      </x:c>
      <x:c r="C1004" s="84" t="str">
        <x:v>CUST-0516</x:v>
      </x:c>
      <x:c r="D1004" s="84" t="str">
        <x:v>Jasmine Ortiz </x:v>
      </x:c>
      <x:c r="E1004" s="84" t="str">
        <x:v> SMALL BUSINESS </x:v>
      </x:c>
      <x:c r="F1004" s="84" t="str">
        <x:v>southeast</x:v>
      </x:c>
      <x:c r="G1004" s="84" t="str">
        <x:v>Charlotte</x:v>
      </x:c>
      <x:c r="H1004" s="84" t="str">
        <x:v>Marketplace</x:v>
      </x:c>
      <x:c r="I1004" s="84" t="str">
        <x:v>HOME-005</x:v>
      </x:c>
      <x:c r="J1004" s="86" t="n">
        <x:v>2</x:v>
      </x:c>
      <x:c r="K1004" s="87" t="n">
        <x:v>0.15</x:v>
      </x:c>
      <x:c r="L1004" s="84" t="str">
        <x:v>Completed</x:v>
      </x:c>
      <x:c r="M1004" s="84" t="str">
        <x:v>Credit Card </x:v>
      </x:c>
      <x:c r="N1004" s="84" t="str">
        <x:v>Noah Reed</x:v>
      </x:c>
      <x:c r="O1004" s="85" t="n">
        <x:v>45633</x:v>
      </x:c>
      <x:c r="P1004" s="84" t="str">
        <x:v>MKT_2024_12</x:v>
      </x:c>
      <x:c r="Q1004" s="84" t="str">
        <x:v>Cordless Vacuum</x:v>
      </x:c>
      <x:c r="R1004" s="84" t="str">
        <x:v>Home &amp; Kitchen</x:v>
      </x:c>
    </x:row>
    <x:row r="1005">
      <x:c r="A1005" s="84" t="str">
        <x:v>ORD-2024-00296</x:v>
      </x:c>
      <x:c r="B1005" s="85" t="n">
        <x:v>45630</x:v>
      </x:c>
      <x:c r="C1005" s="84" t="str">
        <x:v>CUST-0442</x:v>
      </x:c>
      <x:c r="D1005" s="84" t="str">
        <x:v>Elena Irwin</x:v>
      </x:c>
      <x:c r="E1005" s="84" t="str">
        <x:v>Consumer</x:v>
      </x:c>
      <x:c r="F1005" s="84" t="str">
        <x:v>Northeast</x:v>
      </x:c>
      <x:c r="G1005" s="84" t="str">
        <x:v>Boston</x:v>
      </x:c>
      <x:c r="H1005" s="84" t="str">
        <x:v>Retail Store</x:v>
      </x:c>
      <x:c r="I1005" s="84" t="str">
        <x:v>HOME-002</x:v>
      </x:c>
      <x:c r="J1005" s="86" t="n">
        <x:v>2</x:v>
      </x:c>
      <x:c r="K1005" s="87" t="n">
        <x:v>0.1</x:v>
      </x:c>
      <x:c r="L1005" s="84" t="str">
        <x:v>Completed</x:v>
      </x:c>
      <x:c r="M1005" s="84" t="str">
        <x:v>debit card</x:v>
      </x:c>
      <x:c r="N1005" s="84" t="str">
        <x:v>Maya Brooks</x:v>
      </x:c>
      <x:c r="O1005" s="85" t="n">
        <x:v>45630</x:v>
      </x:c>
      <x:c r="P1005" s="84" t="str">
        <x:v>POS_2024_12</x:v>
      </x:c>
      <x:c r="Q1005" s="84" t="str">
        <x:v>Electric Kettle</x:v>
      </x:c>
      <x:c r="R1005" s="84" t="str">
        <x:v>Home &amp; Kitchen </x:v>
      </x:c>
    </x:row>
    <x:row r="1006">
      <x:c r="A1006" s="84" t="str">
        <x:v>ORD-2024-00681</x:v>
      </x:c>
      <x:c r="B1006" s="85" t="n">
        <x:v>45630</x:v>
      </x:c>
      <x:c r="C1006" s="84" t="str">
        <x:v>CUST-0527</x:v>
      </x:c>
      <x:c r="D1006" s="84" t="str">
        <x:v>Theo Hall</x:v>
      </x:c>
      <x:c r="E1006" s="84" t="str">
        <x:v>Consumer</x:v>
      </x:c>
      <x:c r="F1006" s="84" t="str">
        <x:v>Southeast</x:v>
      </x:c>
      <x:c r="G1006" s="84" t="str">
        <x:v>Nashville</x:v>
      </x:c>
      <x:c r="H1006" s="84" t="str">
        <x:v>Online</x:v>
      </x:c>
      <x:c r="I1006" s="84" t="str">
        <x:v>ACCS-004</x:v>
      </x:c>
      <x:c r="J1006" s="86" t="n">
        <x:v>1</x:v>
      </x:c>
      <x:c r="K1006" s="87" t="n">
        <x:v>0.05</x:v>
      </x:c>
      <x:c r="L1006" s="84" t="str">
        <x:v>Completed</x:v>
      </x:c>
      <x:c r="M1006" s="84" t="str">
        <x:v>credit card</x:v>
      </x:c>
      <x:c r="N1006" s="84" t="str">
        <x:v>Ava Mitchell</x:v>
      </x:c>
      <x:c r="O1006" s="85" t="n">
        <x:v>45633</x:v>
      </x:c>
      <x:c r="P1006" s="84" t="str">
        <x:v>WEB_2024_12</x:v>
      </x:c>
      <x:c r="Q1006" s="84" t="str">
        <x:v>Leather Wallet</x:v>
      </x:c>
      <x:c r="R1006" s="84" t="str">
        <x:v>Accessories </x:v>
      </x:c>
    </x:row>
    <x:row r="1007">
      <x:c r="A1007" s="84" t="str">
        <x:v>ORD-2024-00863</x:v>
      </x:c>
      <x:c r="B1007" s="85" t="n">
        <x:v>45630</x:v>
      </x:c>
      <x:c r="C1007" s="84" t="str">
        <x:v>CUST-0514</x:v>
      </x:c>
      <x:c r="D1007" s="84" t="str">
        <x:v>Caleb Young</x:v>
      </x:c>
      <x:c r="E1007" s="84" t="str">
        <x:v>Consumer</x:v>
      </x:c>
      <x:c r="F1007" s="84" t="str">
        <x:v>Northeast</x:v>
      </x:c>
      <x:c r="G1007" s="84" t="str">
        <x:v>Boston</x:v>
      </x:c>
      <x:c r="H1007" s="84" t="str">
        <x:v>Online</x:v>
      </x:c>
      <x:c r="I1007" s="84" t="str">
        <x:v>OFFC-006</x:v>
      </x:c>
      <x:c r="J1007" s="86" t="n">
        <x:v>1</x:v>
      </x:c>
      <x:c r="K1007" s="87" t="n">
        <x:v>0.2</x:v>
      </x:c>
      <x:c r="L1007" s="84" t="str">
        <x:v>Completed</x:v>
      </x:c>
      <x:c r="M1007" s="84" t="str">
        <x:v>Debit Card</x:v>
      </x:c>
      <x:c r="N1007" s="84" t="str">
        <x:v>Sofia Bennett</x:v>
      </x:c>
      <x:c r="O1007" s="85" t="n">
        <x:v>45634</x:v>
      </x:c>
      <x:c r="P1007" s="84" t="str">
        <x:v>WEB_2024_12</x:v>
      </x:c>
      <x:c r="Q1007" s="84" t="str">
        <x:v>Monitor Stand</x:v>
      </x:c>
      <x:c r="R1007" s="84" t="str">
        <x:v>Office </x:v>
      </x:c>
    </x:row>
    <x:row r="1008">
      <x:c r="A1008" s="84" t="str">
        <x:v>ORD-2024-01019</x:v>
      </x:c>
      <x:c r="B1008" s="85" t="n">
        <x:v>45630</x:v>
      </x:c>
      <x:c r="C1008" s="84" t="str">
        <x:v>CUST-0244</x:v>
      </x:c>
      <x:c r="D1008" s="84" t="str">
        <x:v>caleb nelson</x:v>
      </x:c>
      <x:c r="E1008" s="84" t="str">
        <x:v>Small Business</x:v>
      </x:c>
      <x:c r="F1008" s="84" t="str">
        <x:v>Midwest </x:v>
      </x:c>
      <x:c r="G1008" s="84" t="str">
        <x:v>Detroit</x:v>
      </x:c>
      <x:c r="H1008" s="84" t="str">
        <x:v>Online</x:v>
      </x:c>
      <x:c r="I1008" s="84" t="str">
        <x:v>ACCS-002</x:v>
      </x:c>
      <x:c r="J1008" s="86" t="n">
        <x:v>1</x:v>
      </x:c>
      <x:c r="K1008" s="87" t="n">
        <x:v>0.05</x:v>
      </x:c>
      <x:c r="L1008" s="84" t="str">
        <x:v>Completed</x:v>
      </x:c>
      <x:c r="M1008" s="84" t="str">
        <x:v>Credit Card</x:v>
      </x:c>
      <x:c r="N1008" s="84" t="str">
        <x:v>Lucas Grant </x:v>
      </x:c>
      <x:c r="O1008" s="85" t="n">
        <x:v>45634</x:v>
      </x:c>
      <x:c r="P1008" s="84" t="str">
        <x:v>WEB_2024_12</x:v>
      </x:c>
      <x:c r="Q1008" s="84" t="str">
        <x:v>Travel Backpack</x:v>
      </x:c>
      <x:c r="R1008" s="84" t="str">
        <x:v>Accessories</x:v>
      </x:c>
    </x:row>
    <x:row r="1009">
      <x:c r="A1009" s="84" t="str">
        <x:v>ORD-2024-01205</x:v>
      </x:c>
      <x:c r="B1009" s="85" t="n">
        <x:v>45630</x:v>
      </x:c>
      <x:c r="C1009" s="84" t="str">
        <x:v>CUST-0470</x:v>
      </x:c>
      <x:c r="D1009" s="84" t="str">
        <x:v>Jasmine Lewis</x:v>
      </x:c>
      <x:c r="E1009" s="84" t="str">
        <x:v>Corporate</x:v>
      </x:c>
      <x:c r="F1009" s="84" t="str">
        <x:v>Southeast</x:v>
      </x:c>
      <x:c r="G1009" s="84" t="str">
        <x:v>Miami</x:v>
      </x:c>
      <x:c r="H1009" s="84" t="str">
        <x:v>Marketplace</x:v>
      </x:c>
      <x:c r="I1009" s="84" t="str">
        <x:v>ACCS-006</x:v>
      </x:c>
      <x:c r="J1009" s="86" t="n">
        <x:v>6</x:v>
      </x:c>
      <x:c r="K1009" s="87" t="n">
        <x:v>0</x:v>
      </x:c>
      <x:c r="L1009" s="84" t="str">
        <x:v>Completed</x:v>
      </x:c>
      <x:c r="M1009" s="84" t="str">
        <x:v>Credit Card</x:v>
      </x:c>
      <x:c r="N1009" s="84" t="str">
        <x:v>Ava Mitchell</x:v>
      </x:c>
      <x:c r="O1009" s="85" t="n">
        <x:v>45635</x:v>
      </x:c>
      <x:c r="P1009" s="84" t="str">
        <x:v>MKT_2024_12</x:v>
      </x:c>
      <x:c r="Q1009" s="84" t="str">
        <x:v>Insulated Lunch Bag </x:v>
      </x:c>
      <x:c r="R1009" s="84" t="str">
        <x:v> ACCESSORIES </x:v>
      </x:c>
    </x:row>
    <x:row r="1010">
      <x:c r="A1010" s="84" t="str">
        <x:v>ORD-2024-01428</x:v>
      </x:c>
      <x:c r="B1010" s="85" t="n">
        <x:v>45630</x:v>
      </x:c>
      <x:c r="C1010" s="84" t="str">
        <x:v>CUST-0099</x:v>
      </x:c>
      <x:c r="D1010" s="84" t="str">
        <x:v>Maya Adams</x:v>
      </x:c>
      <x:c r="E1010" s="84" t="str">
        <x:v> CONSUMER </x:v>
      </x:c>
      <x:c r="F1010" s="84" t="str">
        <x:v>Southeast</x:v>
      </x:c>
      <x:c r="G1010" s="84" t="str">
        <x:v>Miami </x:v>
      </x:c>
      <x:c r="H1010" s="84" t="str">
        <x:v>Online</x:v>
      </x:c>
      <x:c r="I1010" s="84" t="str">
        <x:v>OFFC-006</x:v>
      </x:c>
      <x:c r="J1010" s="86" t="n">
        <x:v>4</x:v>
      </x:c>
      <x:c r="K1010" s="87" t="n">
        <x:v>0.1</x:v>
      </x:c>
      <x:c r="L1010" s="84" t="str">
        <x:v>Completed</x:v>
      </x:c>
      <x:c r="M1010" s="84" t="str">
        <x:v>Credit Card</x:v>
      </x:c>
      <x:c r="N1010" s="84" t="str">
        <x:v>Liam Parker</x:v>
      </x:c>
      <x:c r="O1010" s="85" t="n">
        <x:v>45636</x:v>
      </x:c>
      <x:c r="P1010" s="84" t="str">
        <x:v>WEB_2024_12</x:v>
      </x:c>
      <x:c r="Q1010" s="84" t="str">
        <x:v>monitor stand</x:v>
      </x:c>
      <x:c r="R1010" s="84" t="str">
        <x:v>Office</x:v>
      </x:c>
    </x:row>
    <x:row r="1011">
      <x:c r="A1011" s="84" t="str">
        <x:v>ORD-2024-01845</x:v>
      </x:c>
      <x:c r="B1011" s="85" t="n">
        <x:v>45630</x:v>
      </x:c>
      <x:c r="C1011" s="84" t="str">
        <x:v>CUST-0319</x:v>
      </x:c>
      <x:c r="D1011" s="84" t="str">
        <x:v>Amelia Young</x:v>
      </x:c>
      <x:c r="E1011" s="84" t="str">
        <x:v>Consumer</x:v>
      </x:c>
      <x:c r="F1011" s="84" t="str">
        <x:v>southeast</x:v>
      </x:c>
      <x:c r="G1011" s="84" t="str">
        <x:v>Nashville</x:v>
      </x:c>
      <x:c r="H1011" s="84" t="str">
        <x:v>Marketplace</x:v>
      </x:c>
      <x:c r="I1011" s="84" t="str">
        <x:v>ELEC-006</x:v>
      </x:c>
      <x:c r="J1011" s="86" t="n">
        <x:v>3</x:v>
      </x:c>
      <x:c r="K1011" s="87" t="n">
        <x:v>0.1</x:v>
      </x:c>
      <x:c r="L1011" s="84" t="str">
        <x:v>Completed</x:v>
      </x:c>
      <x:c r="M1011" s="84" t="str">
        <x:v>Debit Card</x:v>
      </x:c>
      <x:c r="N1011" s="84" t="str">
        <x:v>Noah Reed </x:v>
      </x:c>
      <x:c r="O1011" s="85" t="n">
        <x:v>45634</x:v>
      </x:c>
      <x:c r="P1011" s="84" t="str">
        <x:v>MKT_2024_12</x:v>
      </x:c>
      <x:c r="Q1011" s="84" t="str">
        <x:v>Portable SSD</x:v>
      </x:c>
      <x:c r="R1011" s="84" t="str">
        <x:v>Electronics</x:v>
      </x:c>
    </x:row>
    <x:row r="1012">
      <x:c r="A1012" s="84" t="str">
        <x:v>ORD-2024-01976</x:v>
      </x:c>
      <x:c r="B1012" s="85" t="n">
        <x:v>45630</x:v>
      </x:c>
      <x:c r="C1012" s="84" t="str">
        <x:v>CUST-0093</x:v>
      </x:c>
      <x:c r="D1012" s="84" t="str">
        <x:v>priya lewis</x:v>
      </x:c>
      <x:c r="E1012" s="84" t="str">
        <x:v>Corporate</x:v>
      </x:c>
      <x:c r="F1012" s="84" t="str">
        <x:v>Southeast</x:v>
      </x:c>
      <x:c r="G1012" s="84" t="str">
        <x:v>Charlotte</x:v>
      </x:c>
      <x:c r="H1012" s="84" t="str">
        <x:v>Retail Store</x:v>
      </x:c>
      <x:c r="I1012" s="84" t="str">
        <x:v>ELEC-004</x:v>
      </x:c>
      <x:c r="J1012" s="86" t="n">
        <x:v>5</x:v>
      </x:c>
      <x:c r="K1012" s="87" t="n">
        <x:v>0.05</x:v>
      </x:c>
      <x:c r="L1012" s="84" t="str">
        <x:v>Completed</x:v>
      </x:c>
      <x:c r="M1012" s="84" t="str">
        <x:v>Debit Card</x:v>
      </x:c>
      <x:c r="N1012" s="84" t="str">
        <x:v>Liam Parker</x:v>
      </x:c>
      <x:c r="O1012" s="85" t="n">
        <x:v>45630</x:v>
      </x:c>
      <x:c r="P1012" s="84" t="str">
        <x:v>POS_2024_12</x:v>
      </x:c>
      <x:c r="Q1012" s="84" t="str">
        <x:v> POWER BANK </x:v>
      </x:c>
      <x:c r="R1012" s="84" t="str">
        <x:v>Electronics </x:v>
      </x:c>
    </x:row>
    <x:row r="1013">
      <x:c r="A1013" s="84" t="str">
        <x:v>ORD-2024-02018</x:v>
      </x:c>
      <x:c r="B1013" s="85" t="n">
        <x:v>45630</x:v>
      </x:c>
      <x:c r="C1013" s="84" t="str">
        <x:v>CUST-0506</x:v>
      </x:c>
      <x:c r="D1013" s="84" t="str">
        <x:v>Layla Baker</x:v>
      </x:c>
      <x:c r="E1013" s="84" t="str">
        <x:v>Consumer</x:v>
      </x:c>
      <x:c r="F1013" s="84" t="str">
        <x:v>Midwest</x:v>
      </x:c>
      <x:c r="G1013" s="84" t="str">
        <x:v>Columbus</x:v>
      </x:c>
      <x:c r="H1013" s="84" t="str">
        <x:v>Retail Store</x:v>
      </x:c>
      <x:c r="I1013" s="84" t="str">
        <x:v>OFFC-001</x:v>
      </x:c>
      <x:c r="J1013" s="86" t="n">
        <x:v>2</x:v>
      </x:c>
      <x:c r="K1013" s="87" t="n">
        <x:v>0.1</x:v>
      </x:c>
      <x:c r="L1013" s="84" t="str">
        <x:v>Completed</x:v>
      </x:c>
      <x:c r="M1013" s="84" t="str">
        <x:v>Credit Card</x:v>
      </x:c>
      <x:c r="N1013" s="84" t="str">
        <x:v>Zoe Turner</x:v>
      </x:c>
      <x:c r="O1013" s="85" t="n">
        <x:v>45630</x:v>
      </x:c>
      <x:c r="P1013" s="84" t="str">
        <x:v>POS_2024_12</x:v>
      </x:c>
      <x:c r="Q1013" s="84" t="str">
        <x:v>Ergonomic Chair</x:v>
      </x:c>
      <x:c r="R1013" s="84" t="str">
        <x:v>Office </x:v>
      </x:c>
    </x:row>
    <x:row r="1014">
      <x:c r="A1014" s="84" t="str">
        <x:v>ORD-2024-01717</x:v>
      </x:c>
      <x:c r="B1014" s="85" t="n">
        <x:v>45631</x:v>
      </x:c>
      <x:c r="C1014" s="84" t="str">
        <x:v>CUST-0380</x:v>
      </x:c>
      <x:c r="D1014" s="84" t="str">
        <x:v>Caleb Patel</x:v>
      </x:c>
      <x:c r="E1014" s="84" t="str">
        <x:v> CONSUMER </x:v>
      </x:c>
      <x:c r="F1014" s="84" t="str">
        <x:v>Southeast</x:v>
      </x:c>
      <x:c r="G1014" s="84" t="str">
        <x:v>Nashville</x:v>
      </x:c>
      <x:c r="H1014" s="84" t="str">
        <x:v>Online</x:v>
      </x:c>
      <x:c r="I1014" s="84" t="str">
        <x:v>CARE-004</x:v>
      </x:c>
      <x:c r="J1014" s="86" t="n">
        <x:v>2</x:v>
      </x:c>
      <x:c r="K1014" s="87" t="n">
        <x:v>0.2</x:v>
      </x:c>
      <x:c r="L1014" s="84" t="str">
        <x:v>Completed</x:v>
      </x:c>
      <x:c r="M1014" s="84" t="str">
        <x:v>Credit Card</x:v>
      </x:c>
      <x:c r="N1014" s="84" t="str">
        <x:v>Liam Parker</x:v>
      </x:c>
      <x:c r="O1014" s="85" t="n">
        <x:v>45634</x:v>
      </x:c>
      <x:c r="P1014" s="84" t="str">
        <x:v>WEB_2024_12</x:v>
      </x:c>
      <x:c r="Q1014" s="84" t="str">
        <x:v>Electric Toothbrush</x:v>
      </x:c>
      <x:c r="R1014" s="84" t="str">
        <x:v>Personal Care </x:v>
      </x:c>
    </x:row>
    <x:row r="1015">
      <x:c r="A1015" s="84" t="str">
        <x:v>ORD-2024-02355</x:v>
      </x:c>
      <x:c r="B1015" s="85" t="n">
        <x:v>45631</x:v>
      </x:c>
      <x:c r="C1015" s="84" t="str">
        <x:v>CUST-0331</x:v>
      </x:c>
      <x:c r="D1015" s="84" t="str">
        <x:v>Elias Young</x:v>
      </x:c>
      <x:c r="E1015" s="84" t="str">
        <x:v>Consumer</x:v>
      </x:c>
      <x:c r="F1015" s="84" t="str">
        <x:v>West</x:v>
      </x:c>
      <x:c r="G1015" s="84" t="str">
        <x:v>Seattle</x:v>
      </x:c>
      <x:c r="H1015" s="84" t="str">
        <x:v>Marketplace </x:v>
      </x:c>
      <x:c r="I1015" s="84" t="str">
        <x:v>ELEC-002</x:v>
      </x:c>
      <x:c r="J1015" s="86" t="n">
        <x:v>4</x:v>
      </x:c>
      <x:c r="K1015" s="87" t="n">
        <x:v>0.2</x:v>
      </x:c>
      <x:c r="L1015" s="84" t="str">
        <x:v>Completed</x:v>
      </x:c>
      <x:c r="M1015" s="84" t="str">
        <x:v>Credit Card</x:v>
      </x:c>
      <x:c r="N1015" s="84" t="str">
        <x:v>Nora Kim</x:v>
      </x:c>
      <x:c r="O1015" s="85" t="n">
        <x:v>45636</x:v>
      </x:c>
      <x:c r="P1015" s="84" t="str">
        <x:v>MKT_2024_12</x:v>
      </x:c>
      <x:c r="Q1015" s="84" t="str">
        <x:v>Smartwatch</x:v>
      </x:c>
      <x:c r="R1015" s="84" t="str">
        <x:v>Electronics</x:v>
      </x:c>
    </x:row>
    <x:row r="1016">
      <x:c r="A1016" s="84" t="str">
        <x:v>ORD-2024-01388</x:v>
      </x:c>
      <x:c r="B1016" s="85" t="n">
        <x:v>45632</x:v>
      </x:c>
      <x:c r="C1016" s="84" t="str">
        <x:v>CUST-0578</x:v>
      </x:c>
      <x:c r="D1016" s="84" t="str">
        <x:v>Priya Smith</x:v>
      </x:c>
      <x:c r="E1016" s="84" t="str">
        <x:v>Corporate</x:v>
      </x:c>
      <x:c r="F1016" s="84" t="str">
        <x:v>Northeast</x:v>
      </x:c>
      <x:c r="G1016" s="84" t="str">
        <x:v>Newark</x:v>
      </x:c>
      <x:c r="H1016" s="84" t="str">
        <x:v>Marketplace</x:v>
      </x:c>
      <x:c r="I1016" s="84" t="str">
        <x:v>ACCS-001</x:v>
      </x:c>
      <x:c r="J1016" s="86" t="n">
        <x:v>2</x:v>
      </x:c>
      <x:c r="K1016" s="87" t="n">
        <x:v>0.05</x:v>
      </x:c>
      <x:c r="L1016" s="84" t="str">
        <x:v>Completed</x:v>
      </x:c>
      <x:c r="M1016" s="84" t="str">
        <x:v> DEBIT CARD </x:v>
      </x:c>
      <x:c r="N1016" s="84" t="str">
        <x:v>sofia bennett</x:v>
      </x:c>
      <x:c r="O1016" s="85" t="n">
        <x:v>45636</x:v>
      </x:c>
      <x:c r="P1016" s="84" t="str">
        <x:v>MKT_2024_12</x:v>
      </x:c>
      <x:c r="Q1016" s="84" t="str">
        <x:v>Canvas Tote Bag</x:v>
      </x:c>
      <x:c r="R1016" s="84" t="str">
        <x:v>Accessories </x:v>
      </x:c>
    </x:row>
    <x:row r="1017">
      <x:c r="A1017" s="84" t="str">
        <x:v>ORD-2024-01824</x:v>
      </x:c>
      <x:c r="B1017" s="85" t="n">
        <x:v>45632</x:v>
      </x:c>
      <x:c r="C1017" s="84" t="str">
        <x:v>CUST-0026</x:v>
      </x:c>
      <x:c r="D1017" s="84" t="str">
        <x:v>Nina Roberts</x:v>
      </x:c>
      <x:c r="E1017" s="84" t="str">
        <x:v>Small Business</x:v>
      </x:c>
      <x:c r="F1017" s="84" t="str">
        <x:v>West </x:v>
      </x:c>
      <x:c r="G1017" s="84" t="str">
        <x:v>Denver</x:v>
      </x:c>
      <x:c r="H1017" s="84" t="str">
        <x:v>Retail Store</x:v>
      </x:c>
      <x:c r="I1017" s="84" t="str">
        <x:v>HOME-003</x:v>
      </x:c>
      <x:c r="J1017" s="86" t="n">
        <x:v>2</x:v>
      </x:c>
      <x:c r="K1017" s="87" t="n">
        <x:v>0.15</x:v>
      </x:c>
      <x:c r="L1017" s="84" t="str">
        <x:v> COMPLETED </x:v>
      </x:c>
      <x:c r="M1017" s="84" t="str">
        <x:v>Credit Card</x:v>
      </x:c>
      <x:c r="N1017" s="84" t="str">
        <x:v>Mia Chen </x:v>
      </x:c>
      <x:c r="O1017" s="85" t="n">
        <x:v>45632</x:v>
      </x:c>
      <x:c r="P1017" s="84" t="str">
        <x:v>POS_2024_12</x:v>
      </x:c>
      <x:c r="Q1017" s="84" t="str">
        <x:v>countertop blender</x:v>
      </x:c>
      <x:c r="R1017" s="84" t="str">
        <x:v>Home &amp; Kitchen</x:v>
      </x:c>
    </x:row>
    <x:row r="1018">
      <x:c r="A1018" s="84" t="str">
        <x:v>ORD-2024-02019</x:v>
      </x:c>
      <x:c r="B1018" s="85" t="n">
        <x:v>45632</x:v>
      </x:c>
      <x:c r="C1018" s="84" t="str">
        <x:v>CUST-0516</x:v>
      </x:c>
      <x:c r="D1018" s="84" t="str">
        <x:v>Jasmine Ortiz</x:v>
      </x:c>
      <x:c r="E1018" s="84" t="str">
        <x:v>Small Business</x:v>
      </x:c>
      <x:c r="F1018" s="84" t="str">
        <x:v>Southeast</x:v>
      </x:c>
      <x:c r="G1018" s="84" t="str">
        <x:v>Charlotte</x:v>
      </x:c>
      <x:c r="H1018" s="84" t="str">
        <x:v>Marketplace </x:v>
      </x:c>
      <x:c r="I1018" s="84" t="str">
        <x:v>FITN-004</x:v>
      </x:c>
      <x:c r="J1018" s="86" t="n">
        <x:v>1</x:v>
      </x:c>
      <x:c r="K1018" s="87" t="n">
        <x:v>0.15</x:v>
      </x:c>
      <x:c r="L1018" s="84" t="str">
        <x:v>Completed</x:v>
      </x:c>
      <x:c r="M1018" s="84" t="str">
        <x:v>Credit Card</x:v>
      </x:c>
      <x:c r="N1018" s="84" t="str">
        <x:v>Ava Mitchell</x:v>
      </x:c>
      <x:c r="O1018" s="85" t="n">
        <x:v>45638</x:v>
      </x:c>
      <x:c r="P1018" s="84" t="str">
        <x:v>MKT_2024_12</x:v>
      </x:c>
      <x:c r="Q1018" s="84" t="str">
        <x:v>Fitness Tracker</x:v>
      </x:c>
      <x:c r="R1018" s="84" t="str">
        <x:v>Fitness</x:v>
      </x:c>
    </x:row>
    <x:row r="1019">
      <x:c r="A1019" s="84" t="str">
        <x:v>ORD-2024-02243</x:v>
      </x:c>
      <x:c r="B1019" s="85" t="n">
        <x:v>45632</x:v>
      </x:c>
      <x:c r="C1019" s="84" t="str">
        <x:v>CUST-0613</x:v>
      </x:c>
      <x:c r="D1019" s="84" t="str">
        <x:v>Owen Hall</x:v>
      </x:c>
      <x:c r="E1019" s="84" t="str">
        <x:v>Consumer</x:v>
      </x:c>
      <x:c r="F1019" s="84" t="str">
        <x:v>Southeast</x:v>
      </x:c>
      <x:c r="G1019" s="84" t="str">
        <x:v>Nashville</x:v>
      </x:c>
      <x:c r="H1019" s="84" t="str">
        <x:v>Retail Store </x:v>
      </x:c>
      <x:c r="I1019" s="84" t="str">
        <x:v>HOME-003</x:v>
      </x:c>
      <x:c r="J1019" s="86" t="n">
        <x:v>2</x:v>
      </x:c>
      <x:c r="K1019" s="87" t="n">
        <x:v>0</x:v>
      </x:c>
      <x:c r="L1019" s="84" t="str">
        <x:v>Completed</x:v>
      </x:c>
      <x:c r="M1019" s="84" t="str">
        <x:v>mobile wallet</x:v>
      </x:c>
      <x:c r="N1019" s="84" t="str">
        <x:v>Ava Mitchell</x:v>
      </x:c>
      <x:c r="O1019" s="85" t="n">
        <x:v>45633</x:v>
      </x:c>
      <x:c r="P1019" s="84" t="str">
        <x:v>POS_2024_12</x:v>
      </x:c>
      <x:c r="Q1019" s="84" t="str">
        <x:v>Countertop Blender</x:v>
      </x:c>
      <x:c r="R1019" s="84" t="str">
        <x:v>Home &amp; Kitchen</x:v>
      </x:c>
    </x:row>
    <x:row r="1020">
      <x:c r="A1020" s="84" t="str">
        <x:v>ORD-2024-00187</x:v>
      </x:c>
      <x:c r="B1020" s="85" t="n">
        <x:v>45633</x:v>
      </x:c>
      <x:c r="C1020" s="84" t="str">
        <x:v>CUST-0262</x:v>
      </x:c>
      <x:c r="D1020" s="84" t="str">
        <x:v>Owen Carter </x:v>
      </x:c>
      <x:c r="E1020" s="84" t="str">
        <x:v> SMALL BUSINESS </x:v>
      </x:c>
      <x:c r="F1020" s="84" t="str">
        <x:v>Northeast</x:v>
      </x:c>
      <x:c r="G1020" s="84" t="str">
        <x:v>New York</x:v>
      </x:c>
      <x:c r="H1020" s="84" t="str">
        <x:v>retail store</x:v>
      </x:c>
      <x:c r="I1020" s="84" t="str">
        <x:v>HOME-004</x:v>
      </x:c>
      <x:c r="J1020" s="86" t="n">
        <x:v>1</x:v>
      </x:c>
      <x:c r="K1020" s="87" t="n">
        <x:v>0.05</x:v>
      </x:c>
      <x:c r="L1020" s="84" t="str">
        <x:v>Completed</x:v>
      </x:c>
      <x:c r="M1020" s="84" t="str">
        <x:v>Debit Card </x:v>
      </x:c>
      <x:c r="N1020" s="84" t="str">
        <x:v>Sofia Bennett</x:v>
      </x:c>
      <x:c r="O1020" s="85" t="n">
        <x:v>45633</x:v>
      </x:c>
      <x:c r="P1020" s="84" t="str">
        <x:v>POS_2024_12</x:v>
      </x:c>
      <x:c r="Q1020" s="84" t="str">
        <x:v>Coffee Maker</x:v>
      </x:c>
      <x:c r="R1020" s="84" t="str">
        <x:v>Home &amp; Kitchen</x:v>
      </x:c>
    </x:row>
    <x:row r="1021">
      <x:c r="A1021" s="84" t="str">
        <x:v>ORD-2024-00449</x:v>
      </x:c>
      <x:c r="B1021" s="85" t="n">
        <x:v>45633</x:v>
      </x:c>
      <x:c r="C1021" s="84" t="str">
        <x:v>CUST-0321</x:v>
      </x:c>
      <x:c r="D1021" s="84" t="str">
        <x:v>Grace Smith</x:v>
      </x:c>
      <x:c r="E1021" s="84" t="str">
        <x:v>Corporate</x:v>
      </x:c>
      <x:c r="F1021" s="84" t="str">
        <x:v>Southeast</x:v>
      </x:c>
      <x:c r="G1021" s="84" t="str">
        <x:v>Miami</x:v>
      </x:c>
      <x:c r="H1021" s="84" t="str">
        <x:v>Online</x:v>
      </x:c>
      <x:c r="I1021" s="84" t="str">
        <x:v>FITN-001</x:v>
      </x:c>
      <x:c r="J1021" s="86" t="n">
        <x:v>3</x:v>
      </x:c>
      <x:c r="K1021" s="87" t="n">
        <x:v>0</x:v>
      </x:c>
      <x:c r="L1021" s="84" t="str">
        <x:v>Completed</x:v>
      </x:c>
      <x:c r="M1021" s="84" t="str">
        <x:v>Credit Card</x:v>
      </x:c>
      <x:c r="N1021" s="84" t="str">
        <x:v>Ava Mitchell</x:v>
      </x:c>
      <x:c r="O1021" s="85" t="n">
        <x:v>45639</x:v>
      </x:c>
      <x:c r="P1021" s="84" t="str">
        <x:v>WEB_2024_12</x:v>
      </x:c>
      <x:c r="Q1021" s="84" t="str">
        <x:v>yoga mat</x:v>
      </x:c>
      <x:c r="R1021" s="84" t="str">
        <x:v>Fitness</x:v>
      </x:c>
    </x:row>
    <x:row r="1022">
      <x:c r="A1022" s="84" t="str">
        <x:v>ORD-2024-01417</x:v>
      </x:c>
      <x:c r="B1022" s="85" t="n">
        <x:v>45633</x:v>
      </x:c>
      <x:c r="C1022" s="84" t="str">
        <x:v>CUST-0194</x:v>
      </x:c>
      <x:c r="D1022" s="84" t="str">
        <x:v>Samuel Roberts</x:v>
      </x:c>
      <x:c r="E1022" s="84" t="str">
        <x:v>Small Business</x:v>
      </x:c>
      <x:c r="F1022" s="84" t="str">
        <x:v>Southeast</x:v>
      </x:c>
      <x:c r="G1022" s="84" t="str">
        <x:v>Atlanta</x:v>
      </x:c>
      <x:c r="H1022" s="84" t="str">
        <x:v> ONLINE </x:v>
      </x:c>
      <x:c r="I1022" s="84" t="str">
        <x:v>ELEC-006</x:v>
      </x:c>
      <x:c r="J1022" s="86" t="n">
        <x:v>1</x:v>
      </x:c>
      <x:c r="K1022" s="87" t="n">
        <x:v>0.05</x:v>
      </x:c>
      <x:c r="L1022" s="84" t="str">
        <x:v>Completed</x:v>
      </x:c>
      <x:c r="M1022" s="84" t="str">
        <x:v>Debit Card</x:v>
      </x:c>
      <x:c r="N1022" s="84" t="str">
        <x:v>Ava Mitchell</x:v>
      </x:c>
      <x:c r="O1022" s="85" t="n">
        <x:v>45636</x:v>
      </x:c>
      <x:c r="P1022" s="84" t="str">
        <x:v>WEB_2024_12</x:v>
      </x:c>
      <x:c r="Q1022" s="84" t="str">
        <x:v>portable ssd</x:v>
      </x:c>
      <x:c r="R1022" s="84" t="str">
        <x:v>Electronics</x:v>
      </x:c>
    </x:row>
    <x:row r="1023">
      <x:c r="A1023" s="84" t="str">
        <x:v>ORD-2024-00058</x:v>
      </x:c>
      <x:c r="B1023" s="85" t="n">
        <x:v>45634</x:v>
      </x:c>
      <x:c r="C1023" s="84" t="str">
        <x:v>CUST-0495</x:v>
      </x:c>
      <x:c r="D1023" s="84" t="str">
        <x:v>Victoria Walker</x:v>
      </x:c>
      <x:c r="E1023" s="84" t="str">
        <x:v>Consumer</x:v>
      </x:c>
      <x:c r="F1023" s="84" t="str">
        <x:v>West</x:v>
      </x:c>
      <x:c r="G1023" s="84" t="str">
        <x:v>Denver</x:v>
      </x:c>
      <x:c r="H1023" s="84" t="str">
        <x:v>Online</x:v>
      </x:c>
      <x:c r="I1023" s="84" t="str">
        <x:v>CARE-003</x:v>
      </x:c>
      <x:c r="J1023" s="86" t="n">
        <x:v>1</x:v>
      </x:c>
      <x:c r="K1023" s="87" t="n">
        <x:v>0.1</x:v>
      </x:c>
      <x:c r="L1023" s="84" t="str">
        <x:v>Completed</x:v>
      </x:c>
      <x:c r="M1023" s="84" t="str">
        <x:v>Credit Card</x:v>
      </x:c>
      <x:c r="N1023" s="84" t="str">
        <x:v>Nora Kim</x:v>
      </x:c>
      <x:c r="O1023" s="85" t="n">
        <x:v>45636</x:v>
      </x:c>
      <x:c r="P1023" s="84" t="str">
        <x:v>WEB_2024_12</x:v>
      </x:c>
      <x:c r="Q1023" s="84" t="str">
        <x:v>Facial Cleanser</x:v>
      </x:c>
      <x:c r="R1023" s="84" t="str">
        <x:v>personal care</x:v>
      </x:c>
    </x:row>
    <x:row r="1024">
      <x:c r="A1024" s="84" t="str">
        <x:v>ORD-2024-01197</x:v>
      </x:c>
      <x:c r="B1024" s="85" t="n">
        <x:v>45634</x:v>
      </x:c>
      <x:c r="C1024" s="84" t="str">
        <x:v>CUST-0477</x:v>
      </x:c>
      <x:c r="D1024" s="84" t="str">
        <x:v>William Adams</x:v>
      </x:c>
      <x:c r="E1024" s="84" t="str">
        <x:v>Small Business </x:v>
      </x:c>
      <x:c r="F1024" s="84" t="str">
        <x:v>Southeast</x:v>
      </x:c>
      <x:c r="G1024" s="84" t="str">
        <x:v>Nashville </x:v>
      </x:c>
      <x:c r="H1024" s="84" t="str">
        <x:v>Retail Store</x:v>
      </x:c>
      <x:c r="I1024" s="84" t="str">
        <x:v>HOME-003</x:v>
      </x:c>
      <x:c r="J1024" s="86" t="n">
        <x:v>3</x:v>
      </x:c>
      <x:c r="K1024" s="87" t="n">
        <x:v>0</x:v>
      </x:c>
      <x:c r="L1024" s="84" t="str">
        <x:v>Completed</x:v>
      </x:c>
      <x:c r="M1024" s="84" t="str">
        <x:v>Cash</x:v>
      </x:c>
      <x:c r="N1024" s="84" t="str">
        <x:v>Noah Reed</x:v>
      </x:c>
      <x:c r="O1024" s="85" t="n">
        <x:v>45634</x:v>
      </x:c>
      <x:c r="P1024" s="84" t="str">
        <x:v>POS_2024_12</x:v>
      </x:c>
      <x:c r="Q1024" s="84" t="str">
        <x:v>countertop blender</x:v>
      </x:c>
      <x:c r="R1024" s="84" t="str">
        <x:v>Home &amp; Kitchen</x:v>
      </x:c>
    </x:row>
    <x:row r="1025">
      <x:c r="A1025" s="84" t="str">
        <x:v>ORD-2024-01290</x:v>
      </x:c>
      <x:c r="B1025" s="85" t="n">
        <x:v>45634</x:v>
      </x:c>
      <x:c r="C1025" s="84" t="str">
        <x:v>CUST-0131</x:v>
      </x:c>
      <x:c r="D1025" s="84" t="str">
        <x:v>Theo Patel</x:v>
      </x:c>
      <x:c r="E1025" s="84" t="str">
        <x:v>Consumer</x:v>
      </x:c>
      <x:c r="F1025" s="84" t="str">
        <x:v>Southeast</x:v>
      </x:c>
      <x:c r="G1025" s="84" t="str">
        <x:v>Nashville</x:v>
      </x:c>
      <x:c r="H1025" s="84" t="str">
        <x:v>Online</x:v>
      </x:c>
      <x:c r="I1025" s="84" t="str">
        <x:v>FITN-004</x:v>
      </x:c>
      <x:c r="J1025" s="86" t="n">
        <x:v>2</x:v>
      </x:c>
      <x:c r="K1025" s="87" t="n">
        <x:v>0.05</x:v>
      </x:c>
      <x:c r="L1025" s="84" t="str">
        <x:v>Completed</x:v>
      </x:c>
      <x:c r="M1025" s="84" t="str">
        <x:v>PayPal</x:v>
      </x:c>
      <x:c r="N1025" s="84" t="str">
        <x:v>Ava Mitchell</x:v>
      </x:c>
      <x:c r="O1025" s="85" t="n">
        <x:v>45639</x:v>
      </x:c>
      <x:c r="P1025" s="84" t="str">
        <x:v>WEB_2024_12</x:v>
      </x:c>
      <x:c r="Q1025" s="84" t="str">
        <x:v>Fitness Tracker</x:v>
      </x:c>
      <x:c r="R1025" s="84" t="str">
        <x:v> FITNESS </x:v>
      </x:c>
    </x:row>
    <x:row r="1026">
      <x:c r="A1026" s="84" t="str">
        <x:v>ORD-2024-02100</x:v>
      </x:c>
      <x:c r="B1026" s="85" t="n">
        <x:v>45634</x:v>
      </x:c>
      <x:c r="C1026" s="84" t="str">
        <x:v>CUST-0599</x:v>
      </x:c>
      <x:c r="D1026" s="84" t="str">
        <x:v>Caleb Adams</x:v>
      </x:c>
      <x:c r="E1026" s="84" t="str">
        <x:v>Consumer </x:v>
      </x:c>
      <x:c r="F1026" s="84" t="str">
        <x:v>West</x:v>
      </x:c>
      <x:c r="G1026" s="84" t="str">
        <x:v>Phoenix </x:v>
      </x:c>
      <x:c r="H1026" s="84" t="str">
        <x:v>Online</x:v>
      </x:c>
      <x:c r="I1026" s="84" t="str">
        <x:v>HOME-006</x:v>
      </x:c>
      <x:c r="J1026" s="86" t="n">
        <x:v>1</x:v>
      </x:c>
      <x:c r="K1026" s="87" t="n">
        <x:v>0.1</x:v>
      </x:c>
      <x:c r="L1026" s="84" t="str">
        <x:v>Completed</x:v>
      </x:c>
      <x:c r="M1026" s="84" t="str">
        <x:v>paypal</x:v>
      </x:c>
      <x:c r="N1026" s="84" t="str">
        <x:v>Leo Martinez</x:v>
      </x:c>
      <x:c r="O1026" s="85" t="n">
        <x:v>45639</x:v>
      </x:c>
      <x:c r="P1026" s="84" t="str">
        <x:v>WEB_2024_12</x:v>
      </x:c>
      <x:c r="Q1026" s="84" t="str">
        <x:v>Food Storage Set</x:v>
      </x:c>
      <x:c r="R1026" s="84" t="str">
        <x:v>Home &amp; Kitchen</x:v>
      </x:c>
    </x:row>
    <x:row r="1027">
      <x:c r="A1027" s="84" t="str">
        <x:v>ORD-2024-02239</x:v>
      </x:c>
      <x:c r="B1027" s="85" t="n">
        <x:v>45634</x:v>
      </x:c>
      <x:c r="C1027" s="84" t="str">
        <x:v>CUST-0374</x:v>
      </x:c>
      <x:c r="D1027" s="84" t="str">
        <x:v>Priya Lewis</x:v>
      </x:c>
      <x:c r="E1027" s="84" t="str">
        <x:v>Corporate</x:v>
      </x:c>
      <x:c r="F1027" s="84" t="str">
        <x:v>Southeast</x:v>
      </x:c>
      <x:c r="G1027" s="84" t="str">
        <x:v>Miami</x:v>
      </x:c>
      <x:c r="H1027" s="84" t="str">
        <x:v>Marketplace</x:v>
      </x:c>
      <x:c r="I1027" s="84" t="str">
        <x:v>ACCS-003</x:v>
      </x:c>
      <x:c r="J1027" s="86" t="n">
        <x:v>3</x:v>
      </x:c>
      <x:c r="K1027" s="87" t="n">
        <x:v>0.05</x:v>
      </x:c>
      <x:c r="L1027" s="84" t="str">
        <x:v>Completed </x:v>
      </x:c>
      <x:c r="M1027" s="84" t="str">
        <x:v>Debit Card</x:v>
      </x:c>
      <x:c r="N1027" s="84" t="str">
        <x:v>Liam Parker</x:v>
      </x:c>
      <x:c r="O1027" s="85" t="n">
        <x:v>45641</x:v>
      </x:c>
      <x:c r="P1027" s="84" t="str">
        <x:v>MKT_2024_12</x:v>
      </x:c>
      <x:c r="Q1027" s="84" t="str">
        <x:v>Polarized Sunglasses</x:v>
      </x:c>
      <x:c r="R1027" s="84" t="str">
        <x:v>Accessories</x:v>
      </x:c>
    </x:row>
    <x:row r="1028">
      <x:c r="A1028" s="84" t="str">
        <x:v>ORD-2024-02390</x:v>
      </x:c>
      <x:c r="B1028" s="85" t="n">
        <x:v>45634</x:v>
      </x:c>
      <x:c r="C1028" s="84" t="str">
        <x:v>CUST-0339</x:v>
      </x:c>
      <x:c r="D1028" s="84" t="str">
        <x:v>Marcus Walker</x:v>
      </x:c>
      <x:c r="E1028" s="84" t="str">
        <x:v>Consumer</x:v>
      </x:c>
      <x:c r="F1028" s="84" t="str">
        <x:v>Midwest</x:v>
      </x:c>
      <x:c r="G1028" s="84" t="str">
        <x:v> COLUMBUS </x:v>
      </x:c>
      <x:c r="H1028" s="84" t="str">
        <x:v>Online </x:v>
      </x:c>
      <x:c r="I1028" s="84" t="str">
        <x:v>ELEC-004</x:v>
      </x:c>
      <x:c r="J1028" s="86" t="n">
        <x:v>1</x:v>
      </x:c>
      <x:c r="K1028" s="87" t="n">
        <x:v>0.1</x:v>
      </x:c>
      <x:c r="L1028" s="84" t="str">
        <x:v>Completed</x:v>
      </x:c>
      <x:c r="M1028" s="84" t="str">
        <x:v>PayPal</x:v>
      </x:c>
      <x:c r="N1028" s="84" t="str">
        <x:v>Lucas Grant</x:v>
      </x:c>
      <x:c r="O1028" s="85" t="n">
        <x:v>45638</x:v>
      </x:c>
      <x:c r="P1028" s="84" t="str">
        <x:v>WEB_2024_12</x:v>
      </x:c>
      <x:c r="Q1028" s="84" t="str">
        <x:v>Power Bank</x:v>
      </x:c>
      <x:c r="R1028" s="84" t="str">
        <x:v>electronics</x:v>
      </x:c>
    </x:row>
    <x:row r="1029">
      <x:c r="A1029" s="84" t="str">
        <x:v>ORD-2024-00012</x:v>
      </x:c>
      <x:c r="B1029" s="85" t="n">
        <x:v>45635</x:v>
      </x:c>
      <x:c r="C1029" s="84" t="str">
        <x:v>CUST-0508</x:v>
      </x:c>
      <x:c r="D1029" s="84" t="str">
        <x:v>Nina Smith </x:v>
      </x:c>
      <x:c r="E1029" s="84" t="str">
        <x:v>Consumer</x:v>
      </x:c>
      <x:c r="F1029" s="84" t="str">
        <x:v>West</x:v>
      </x:c>
      <x:c r="G1029" s="84" t="str">
        <x:v>Denver</x:v>
      </x:c>
      <x:c r="H1029" s="84" t="str">
        <x:v>Online</x:v>
      </x:c>
      <x:c r="I1029" s="84" t="str">
        <x:v>ACCS-005</x:v>
      </x:c>
      <x:c r="J1029" s="86" t="n">
        <x:v>1</x:v>
      </x:c>
      <x:c r="K1029" s="87" t="n">
        <x:v>0</x:v>
      </x:c>
      <x:c r="L1029" s="84" t="str">
        <x:v>Completed</x:v>
      </x:c>
      <x:c r="M1029" s="84" t="str">
        <x:v>Credit Card </x:v>
      </x:c>
      <x:c r="N1029" s="84" t="str">
        <x:v>Nora Kim</x:v>
      </x:c>
      <x:c r="O1029" s="85" t="n">
        <x:v>45638</x:v>
      </x:c>
      <x:c r="P1029" s="84" t="str">
        <x:v>WEB_2024_12</x:v>
      </x:c>
      <x:c r="Q1029" s="84" t="str">
        <x:v>Protective Phone Case</x:v>
      </x:c>
      <x:c r="R1029" s="84" t="str">
        <x:v>Accessories</x:v>
      </x:c>
    </x:row>
    <x:row r="1030">
      <x:c r="A1030" s="84" t="str">
        <x:v>ORD-2024-01418</x:v>
      </x:c>
      <x:c r="B1030" s="85" t="n">
        <x:v>45635</x:v>
      </x:c>
      <x:c r="C1030" s="84" t="str">
        <x:v>CUST-0416</x:v>
      </x:c>
      <x:c r="D1030" s="84" t="str">
        <x:v>Isaac Garcia</x:v>
      </x:c>
      <x:c r="E1030" s="84" t="str">
        <x:v>Consumer</x:v>
      </x:c>
      <x:c r="F1030" s="84" t="str">
        <x:v>Midwest </x:v>
      </x:c>
      <x:c r="G1030" s="84" t="str">
        <x:v>Chicago</x:v>
      </x:c>
      <x:c r="H1030" s="84" t="str">
        <x:v>Retail Store</x:v>
      </x:c>
      <x:c r="I1030" s="84" t="str">
        <x:v>OFFC-005</x:v>
      </x:c>
      <x:c r="J1030" s="86" t="n">
        <x:v>2</x:v>
      </x:c>
      <x:c r="K1030" s="87" t="n">
        <x:v>0</x:v>
      </x:c>
      <x:c r="L1030" s="84" t="str">
        <x:v>Completed</x:v>
      </x:c>
      <x:c r="M1030" s="84" t="str">
        <x:v>cash</x:v>
      </x:c>
      <x:c r="N1030" s="84" t="str">
        <x:v>Zoe Turner </x:v>
      </x:c>
      <x:c r="O1030" s="85" t="n">
        <x:v>45636</x:v>
      </x:c>
      <x:c r="P1030" s="84" t="str">
        <x:v>POS_2024_12</x:v>
      </x:c>
      <x:c r="Q1030" s="84" t="str">
        <x:v>Wireless Keyboard</x:v>
      </x:c>
      <x:c r="R1030" s="84" t="str">
        <x:v>Office</x:v>
      </x:c>
    </x:row>
    <x:row r="1031">
      <x:c r="A1031" s="84" t="str">
        <x:v>ORD-2024-01557</x:v>
      </x:c>
      <x:c r="B1031" s="85" t="n">
        <x:v>45635</x:v>
      </x:c>
      <x:c r="C1031" s="84" t="str">
        <x:v>CUST-0474</x:v>
      </x:c>
      <x:c r="D1031" s="84" t="str">
        <x:v>Aiden Foster</x:v>
      </x:c>
      <x:c r="E1031" s="84" t="str">
        <x:v>Consumer</x:v>
      </x:c>
      <x:c r="F1031" s="84" t="str">
        <x:v>Southeast</x:v>
      </x:c>
      <x:c r="G1031" s="84" t="str">
        <x:v> MIAMI </x:v>
      </x:c>
      <x:c r="H1031" s="84" t="str">
        <x:v>Marketplace </x:v>
      </x:c>
      <x:c r="I1031" s="84" t="str">
        <x:v>ELEC-004</x:v>
      </x:c>
      <x:c r="J1031" s="86" t="n">
        <x:v>1</x:v>
      </x:c>
      <x:c r="K1031" s="87" t="n">
        <x:v>0.15</x:v>
      </x:c>
      <x:c r="L1031" s="84" t="str">
        <x:v>Completed</x:v>
      </x:c>
      <x:c r="M1031" s="84" t="str">
        <x:v>Debit Card</x:v>
      </x:c>
      <x:c r="N1031" s="84" t="str">
        <x:v>Noah Reed</x:v>
      </x:c>
      <x:c r="O1031" s="85" t="n">
        <x:v>45641</x:v>
      </x:c>
      <x:c r="P1031" s="84" t="str">
        <x:v>MKT_2024_12</x:v>
      </x:c>
      <x:c r="Q1031" s="84" t="str">
        <x:v>Power Bank</x:v>
      </x:c>
      <x:c r="R1031" s="84" t="str">
        <x:v>Electronics</x:v>
      </x:c>
    </x:row>
    <x:row r="1032">
      <x:c r="A1032" s="84" t="str">
        <x:v>ORD-2024-01766</x:v>
      </x:c>
      <x:c r="B1032" s="85" t="n">
        <x:v>45635</x:v>
      </x:c>
      <x:c r="C1032" s="84" t="str">
        <x:v>CUST-0229</x:v>
      </x:c>
      <x:c r="D1032" s="84" t="str">
        <x:v>Maya Evans</x:v>
      </x:c>
      <x:c r="E1032" s="84" t="str">
        <x:v>Small Business</x:v>
      </x:c>
      <x:c r="F1032" s="84" t="str">
        <x:v>Southeast</x:v>
      </x:c>
      <x:c r="G1032" s="84" t="str">
        <x:v>Miami</x:v>
      </x:c>
      <x:c r="H1032" s="84" t="str">
        <x:v>Marketplace</x:v>
      </x:c>
      <x:c r="I1032" s="84" t="str">
        <x:v>ACCS-001</x:v>
      </x:c>
      <x:c r="J1032" s="86" t="n">
        <x:v>2</x:v>
      </x:c>
      <x:c r="K1032" s="87" t="n">
        <x:v>0.15</x:v>
      </x:c>
      <x:c r="L1032" s="84" t="str">
        <x:v>Completed</x:v>
      </x:c>
      <x:c r="M1032" s="84" t="str">
        <x:v>Credit Card</x:v>
      </x:c>
      <x:c r="N1032" s="84" t="str">
        <x:v>Ava Mitchell</x:v>
      </x:c>
      <x:c r="O1032" s="85" t="n">
        <x:v>45642</x:v>
      </x:c>
      <x:c r="P1032" s="84" t="str">
        <x:v>MKT_2024_12</x:v>
      </x:c>
      <x:c r="Q1032" s="84" t="str">
        <x:v>Canvas Tote Bag</x:v>
      </x:c>
      <x:c r="R1032" s="84" t="str">
        <x:v> ACCESSORIES </x:v>
      </x:c>
    </x:row>
    <x:row r="1033">
      <x:c r="A1033" s="84" t="str">
        <x:v>ORD-2024-00047</x:v>
      </x:c>
      <x:c r="B1033" s="85" t="n">
        <x:v>45636</x:v>
      </x:c>
      <x:c r="C1033" s="84" t="str">
        <x:v>CUST-0199</x:v>
      </x:c>
      <x:c r="D1033" s="84" t="str">
        <x:v>Theo Adams </x:v>
      </x:c>
      <x:c r="E1033" s="84" t="str">
        <x:v>Corporate</x:v>
      </x:c>
      <x:c r="F1033" s="84" t="str">
        <x:v>Northeast</x:v>
      </x:c>
      <x:c r="G1033" s="84" t="str">
        <x:v>Philadelphia</x:v>
      </x:c>
      <x:c r="H1033" s="84" t="str">
        <x:v>Online</x:v>
      </x:c>
      <x:c r="I1033" s="84" t="str">
        <x:v>ACCS-002</x:v>
      </x:c>
      <x:c r="J1033" s="86" t="n">
        <x:v>2</x:v>
      </x:c>
      <x:c r="K1033" s="87" t="n">
        <x:v>0.2</x:v>
      </x:c>
      <x:c r="L1033" s="84" t="str">
        <x:v>Completed</x:v>
      </x:c>
      <x:c r="M1033" s="84" t="str">
        <x:v>Debit Card </x:v>
      </x:c>
      <x:c r="N1033" s="84" t="str">
        <x:v>Ethan Cole</x:v>
      </x:c>
      <x:c r="O1033" s="85" t="n">
        <x:v>45642</x:v>
      </x:c>
      <x:c r="P1033" s="84" t="str">
        <x:v>WEB_2024_12</x:v>
      </x:c>
      <x:c r="Q1033" s="84" t="str">
        <x:v>Travel Backpack</x:v>
      </x:c>
      <x:c r="R1033" s="84" t="str">
        <x:v>accessories</x:v>
      </x:c>
    </x:row>
    <x:row r="1034">
      <x:c r="A1034" s="84" t="str">
        <x:v>ORD-2024-00069</x:v>
      </x:c>
      <x:c r="B1034" s="85" t="n">
        <x:v>45636</x:v>
      </x:c>
      <x:c r="C1034" s="84" t="str">
        <x:v>CUST-0166</x:v>
      </x:c>
      <x:c r="D1034" s="84" t="str">
        <x:v>Marcus Young</x:v>
      </x:c>
      <x:c r="E1034" s="84" t="str">
        <x:v>Consumer</x:v>
      </x:c>
      <x:c r="F1034" s="84" t="str">
        <x:v>West</x:v>
      </x:c>
      <x:c r="G1034" s="84" t="str">
        <x:v>Phoenix</x:v>
      </x:c>
      <x:c r="H1034" s="84" t="str">
        <x:v>Retail Store</x:v>
      </x:c>
      <x:c r="I1034" s="84" t="str">
        <x:v>ACCS-005</x:v>
      </x:c>
      <x:c r="J1034" s="86" t="n">
        <x:v>1</x:v>
      </x:c>
      <x:c r="K1034" s="87" t="n">
        <x:v>0.1</x:v>
      </x:c>
      <x:c r="L1034" s="84" t="str">
        <x:v>Completed </x:v>
      </x:c>
      <x:c r="M1034" s="84" t="str">
        <x:v>Debit Card</x:v>
      </x:c>
      <x:c r="N1034" s="84" t="str">
        <x:v>Leo Martinez</x:v>
      </x:c>
      <x:c r="O1034" s="85" t="n">
        <x:v>45636</x:v>
      </x:c>
      <x:c r="P1034" s="84" t="str">
        <x:v>POS_2024_12</x:v>
      </x:c>
      <x:c r="Q1034" s="84" t="str">
        <x:v>Protective Phone Case</x:v>
      </x:c>
      <x:c r="R1034" s="84" t="str">
        <x:v>accessories</x:v>
      </x:c>
    </x:row>
    <x:row r="1035">
      <x:c r="A1035" s="84" t="str">
        <x:v>ORD-2024-00329</x:v>
      </x:c>
      <x:c r="B1035" s="85" t="n">
        <x:v>45636</x:v>
      </x:c>
      <x:c r="C1035" s="84" t="str">
        <x:v>CUST-0248</x:v>
      </x:c>
      <x:c r="D1035" s="84" t="str">
        <x:v>Chloe Khan</x:v>
      </x:c>
      <x:c r="E1035" s="84" t="str">
        <x:v>Corporate </x:v>
      </x:c>
      <x:c r="F1035" s="84" t="str">
        <x:v>Midwest</x:v>
      </x:c>
      <x:c r="G1035" s="84" t="str">
        <x:v>Chicago </x:v>
      </x:c>
      <x:c r="H1035" s="84" t="str">
        <x:v> MARKETPLACE </x:v>
      </x:c>
      <x:c r="I1035" s="84" t="str">
        <x:v>ELEC-001</x:v>
      </x:c>
      <x:c r="J1035" s="86" t="n">
        <x:v>3</x:v>
      </x:c>
      <x:c r="K1035" s="87" t="n">
        <x:v>0.1</x:v>
      </x:c>
      <x:c r="L1035" s="84" t="str">
        <x:v>Completed</x:v>
      </x:c>
      <x:c r="M1035" s="84" t="str">
        <x:v>paypal</x:v>
      </x:c>
      <x:c r="N1035" s="84" t="str">
        <x:v>Zoe Turner</x:v>
      </x:c>
      <x:c r="O1035" s="85" t="n">
        <x:v>45640</x:v>
      </x:c>
      <x:c r="P1035" s="84" t="str">
        <x:v>MKT_2024_12</x:v>
      </x:c>
      <x:c r="Q1035" s="84" t="str">
        <x:v>Wireless Earbuds</x:v>
      </x:c>
      <x:c r="R1035" s="84" t="str">
        <x:v>Electronics</x:v>
      </x:c>
    </x:row>
    <x:row r="1036">
      <x:c r="A1036" s="84" t="str">
        <x:v>ORD-2024-01222</x:v>
      </x:c>
      <x:c r="B1036" s="85" t="n">
        <x:v>45636</x:v>
      </x:c>
      <x:c r="C1036" s="84" t="str">
        <x:v>CUST-0079</x:v>
      </x:c>
      <x:c r="D1036" s="84" t="str">
        <x:v>Isaac Foster</x:v>
      </x:c>
      <x:c r="E1036" s="84" t="str">
        <x:v>Consumer</x:v>
      </x:c>
      <x:c r="F1036" s="84" t="str">
        <x:v>Midwest </x:v>
      </x:c>
      <x:c r="G1036" s="84" t="str">
        <x:v>Minneapolis</x:v>
      </x:c>
      <x:c r="H1036" s="84" t="str">
        <x:v>Retail Store</x:v>
      </x:c>
      <x:c r="I1036" s="84" t="str">
        <x:v>CARE-005</x:v>
      </x:c>
      <x:c r="J1036" s="86" t="n">
        <x:v>1</x:v>
      </x:c>
      <x:c r="K1036" s="87" t="n">
        <x:v>0</x:v>
      </x:c>
      <x:c r="L1036" s="84" t="str">
        <x:v>Completed</x:v>
      </x:c>
      <x:c r="M1036" s="84" t="str">
        <x:v>Debit Card</x:v>
      </x:c>
      <x:c r="N1036" s="84" t="str">
        <x:v>Lucas Grant </x:v>
      </x:c>
      <x:c r="O1036" s="85" t="n">
        <x:v>45636</x:v>
      </x:c>
      <x:c r="P1036" s="84" t="str">
        <x:v>POS_2024_12</x:v>
      </x:c>
      <x:c r="Q1036" s="84" t="str">
        <x:v>Skin Care Starter Kit</x:v>
      </x:c>
      <x:c r="R1036" s="84" t="str">
        <x:v> PERSONAL CARE </x:v>
      </x:c>
    </x:row>
    <x:row r="1037">
      <x:c r="A1037" s="84" t="str">
        <x:v>ORD-2024-01381</x:v>
      </x:c>
      <x:c r="B1037" s="85" t="n">
        <x:v>45636</x:v>
      </x:c>
      <x:c r="C1037" s="84" t="str">
        <x:v>CUST-0598</x:v>
      </x:c>
      <x:c r="D1037" s="84" t="str">
        <x:v>Amelia Evans</x:v>
      </x:c>
      <x:c r="E1037" s="84" t="str">
        <x:v>Corporate</x:v>
      </x:c>
      <x:c r="F1037" s="84" t="str">
        <x:v>Southeast</x:v>
      </x:c>
      <x:c r="G1037" s="84" t="str">
        <x:v>Nashville</x:v>
      </x:c>
      <x:c r="H1037" s="84" t="str">
        <x:v>Retail Store</x:v>
      </x:c>
      <x:c r="I1037" s="84" t="str">
        <x:v>HOME-004</x:v>
      </x:c>
      <x:c r="J1037" s="86" t="n">
        <x:v>4</x:v>
      </x:c>
      <x:c r="K1037" s="87" t="n">
        <x:v>0.1</x:v>
      </x:c>
      <x:c r="L1037" s="84" t="str">
        <x:v>Completed</x:v>
      </x:c>
      <x:c r="M1037" s="84" t="str">
        <x:v>Credit Card</x:v>
      </x:c>
      <x:c r="N1037" s="84" t="str">
        <x:v>Liam Parker</x:v>
      </x:c>
      <x:c r="O1037" s="85" t="n">
        <x:v>45636</x:v>
      </x:c>
      <x:c r="P1037" s="84" t="str">
        <x:v>POS_2024_12</x:v>
      </x:c>
      <x:c r="Q1037" s="84" t="str">
        <x:v> COFFEE MAKER </x:v>
      </x:c>
      <x:c r="R1037" s="84" t="str">
        <x:v>Home &amp; Kitchen </x:v>
      </x:c>
    </x:row>
    <x:row r="1038">
      <x:c r="A1038" s="84" t="str">
        <x:v>ORD-2024-01440</x:v>
      </x:c>
      <x:c r="B1038" s="85" t="n">
        <x:v>45636</x:v>
      </x:c>
      <x:c r="C1038" s="84" t="str">
        <x:v>CUST-0183</x:v>
      </x:c>
      <x:c r="D1038" s="84" t="str">
        <x:v>Jasmine Taylor </x:v>
      </x:c>
      <x:c r="E1038" s="84" t="str">
        <x:v>Corporate</x:v>
      </x:c>
      <x:c r="F1038" s="84" t="str">
        <x:v>West</x:v>
      </x:c>
      <x:c r="G1038" s="84" t="str">
        <x:v>Denver</x:v>
      </x:c>
      <x:c r="H1038" s="84" t="str">
        <x:v>Online</x:v>
      </x:c>
      <x:c r="I1038" s="84" t="str">
        <x:v>ELEC-001</x:v>
      </x:c>
      <x:c r="J1038" s="86" t="n">
        <x:v>6</x:v>
      </x:c>
      <x:c r="K1038" s="87" t="n">
        <x:v>0</x:v>
      </x:c>
      <x:c r="L1038" s="84" t="str">
        <x:v>Completed</x:v>
      </x:c>
      <x:c r="M1038" s="84" t="str">
        <x:v>credit card</x:v>
      </x:c>
      <x:c r="N1038" s="84" t="str">
        <x:v>Nora Kim</x:v>
      </x:c>
      <x:c r="O1038" s="85" t="n">
        <x:v>45639</x:v>
      </x:c>
      <x:c r="P1038" s="84" t="str">
        <x:v>WEB_2024_12</x:v>
      </x:c>
      <x:c r="Q1038" s="84" t="str">
        <x:v>Wireless Earbuds</x:v>
      </x:c>
      <x:c r="R1038" s="84" t="str">
        <x:v>Electronics</x:v>
      </x:c>
    </x:row>
    <x:row r="1039">
      <x:c r="A1039" s="84" t="str">
        <x:v>ORD-2024-01651</x:v>
      </x:c>
      <x:c r="B1039" s="85" t="n">
        <x:v>45636</x:v>
      </x:c>
      <x:c r="C1039" s="84" t="str">
        <x:v>CUST-0177</x:v>
      </x:c>
      <x:c r="D1039" s="84" t="str">
        <x:v>Elena Quinn</x:v>
      </x:c>
      <x:c r="E1039" s="84" t="str">
        <x:v>Consumer</x:v>
      </x:c>
      <x:c r="F1039" s="84" t="str">
        <x:v>Southeast</x:v>
      </x:c>
      <x:c r="G1039" s="84" t="str">
        <x:v>Nashville</x:v>
      </x:c>
      <x:c r="H1039" s="84" t="str">
        <x:v>Online</x:v>
      </x:c>
      <x:c r="I1039" s="84" t="str">
        <x:v>ELEC-002</x:v>
      </x:c>
      <x:c r="J1039" s="86" t="n">
        <x:v>3</x:v>
      </x:c>
      <x:c r="K1039" s="87" t="n">
        <x:v>0.2</x:v>
      </x:c>
      <x:c r="L1039" s="84" t="str">
        <x:v>Completed </x:v>
      </x:c>
      <x:c r="M1039" s="84" t="str">
        <x:v>Debit Card</x:v>
      </x:c>
      <x:c r="N1039" s="84" t="str">
        <x:v>Ava Mitchell</x:v>
      </x:c>
      <x:c r="O1039" s="85" t="n">
        <x:v>45638</x:v>
      </x:c>
      <x:c r="P1039" s="84" t="str">
        <x:v>WEB_2024_12</x:v>
      </x:c>
      <x:c r="Q1039" s="84" t="str">
        <x:v>Smartwatch</x:v>
      </x:c>
      <x:c r="R1039" s="84" t="str">
        <x:v>Electronics</x:v>
      </x:c>
    </x:row>
    <x:row r="1040">
      <x:c r="A1040" s="84" t="str">
        <x:v>ORD-2024-00562</x:v>
      </x:c>
      <x:c r="B1040" s="85" t="n">
        <x:v>45637</x:v>
      </x:c>
      <x:c r="C1040" s="84" t="str">
        <x:v>CUST-0434</x:v>
      </x:c>
      <x:c r="D1040" s="84" t="str">
        <x:v>Aiden Smith</x:v>
      </x:c>
      <x:c r="E1040" s="84" t="str">
        <x:v>Corporate</x:v>
      </x:c>
      <x:c r="F1040" s="84" t="str">
        <x:v>Northeast</x:v>
      </x:c>
      <x:c r="G1040" s="84" t="str">
        <x:v>New York</x:v>
      </x:c>
      <x:c r="H1040" s="84" t="str">
        <x:v>Retail Store</x:v>
      </x:c>
      <x:c r="I1040" s="84" t="str">
        <x:v>OFFC-005</x:v>
      </x:c>
      <x:c r="J1040" s="86" t="n">
        <x:v>2</x:v>
      </x:c>
      <x:c r="K1040" s="87" t="n">
        <x:v>0.1</x:v>
      </x:c>
      <x:c r="L1040" s="84" t="str">
        <x:v>Completed</x:v>
      </x:c>
      <x:c r="M1040" s="84" t="str">
        <x:v>Credit Card</x:v>
      </x:c>
      <x:c r="N1040" s="84" t="str">
        <x:v>Maya Brooks</x:v>
      </x:c>
      <x:c r="O1040" s="85" t="n">
        <x:v>45637</x:v>
      </x:c>
      <x:c r="P1040" s="84" t="str">
        <x:v>POS_2024_12</x:v>
      </x:c>
      <x:c r="Q1040" s="84" t="str">
        <x:v>Wireless Keyboard</x:v>
      </x:c>
      <x:c r="R1040" s="84" t="str">
        <x:v>Office </x:v>
      </x:c>
    </x:row>
    <x:row r="1041">
      <x:c r="A1041" s="84" t="str">
        <x:v>ORD-2024-01142</x:v>
      </x:c>
      <x:c r="B1041" s="85" t="n">
        <x:v>45637</x:v>
      </x:c>
      <x:c r="C1041" s="84" t="str">
        <x:v>CUST-0303</x:v>
      </x:c>
      <x:c r="D1041" s="84" t="str">
        <x:v>Caleb Roberts</x:v>
      </x:c>
      <x:c r="E1041" s="84" t="str">
        <x:v>Corporate</x:v>
      </x:c>
      <x:c r="F1041" s="84" t="str">
        <x:v>West</x:v>
      </x:c>
      <x:c r="G1041" s="84" t="str">
        <x:v>Seattle</x:v>
      </x:c>
      <x:c r="H1041" s="84" t="str">
        <x:v>Online</x:v>
      </x:c>
      <x:c r="I1041" s="84" t="str">
        <x:v>HOME-006</x:v>
      </x:c>
      <x:c r="J1041" s="86" t="n">
        <x:v>5</x:v>
      </x:c>
      <x:c r="K1041" s="87" t="n">
        <x:v>0.1</x:v>
      </x:c>
      <x:c r="L1041" s="84" t="str">
        <x:v>Completed</x:v>
      </x:c>
      <x:c r="M1041" s="84" t="str">
        <x:v>Credit Card</x:v>
      </x:c>
      <x:c r="N1041" s="84" t="str">
        <x:v> MIA CHEN </x:v>
      </x:c>
      <x:c r="O1041" s="85" t="n">
        <x:v>45641</x:v>
      </x:c>
      <x:c r="P1041" s="84" t="str">
        <x:v>WEB_2024_12</x:v>
      </x:c>
      <x:c r="Q1041" s="84" t="str">
        <x:v>food storage set</x:v>
      </x:c>
      <x:c r="R1041" s="84" t="str">
        <x:v>Home &amp; Kitchen</x:v>
      </x:c>
    </x:row>
    <x:row r="1042">
      <x:c r="A1042" s="84" t="str">
        <x:v>ORD-2024-02124</x:v>
      </x:c>
      <x:c r="B1042" s="85" t="n">
        <x:v>45637</x:v>
      </x:c>
      <x:c r="C1042" s="84" t="str">
        <x:v>CUST-0611</x:v>
      </x:c>
      <x:c r="D1042" s="84" t="str">
        <x:v>Aiden Irwin</x:v>
      </x:c>
      <x:c r="E1042" s="84" t="str">
        <x:v>Corporate</x:v>
      </x:c>
      <x:c r="F1042" s="84" t="str">
        <x:v>Midwest</x:v>
      </x:c>
      <x:c r="G1042" s="84" t="str">
        <x:v>Chicago</x:v>
      </x:c>
      <x:c r="H1042" s="84" t="str">
        <x:v>Online </x:v>
      </x:c>
      <x:c r="I1042" s="84" t="str">
        <x:v>ELEC-003</x:v>
      </x:c>
      <x:c r="J1042" s="86" t="n">
        <x:v>6</x:v>
      </x:c>
      <x:c r="K1042" s="87" t="n">
        <x:v>0.15</x:v>
      </x:c>
      <x:c r="L1042" s="84" t="str">
        <x:v>Completed</x:v>
      </x:c>
      <x:c r="M1042" s="84" t="str">
        <x:v>Debit Card</x:v>
      </x:c>
      <x:c r="N1042" s="84" t="str">
        <x:v>Zoe Turner</x:v>
      </x:c>
      <x:c r="O1042" s="85" t="n">
        <x:v>45641</x:v>
      </x:c>
      <x:c r="P1042" s="84" t="str">
        <x:v>WEB_2024_12</x:v>
      </x:c>
      <x:c r="Q1042" s="84" t="str">
        <x:v>Bluetooth Speaker</x:v>
      </x:c>
      <x:c r="R1042" s="84" t="str">
        <x:v>Electronics</x:v>
      </x:c>
    </x:row>
    <x:row r="1043">
      <x:c r="A1043" s="84" t="str">
        <x:v>ORD-2024-00213</x:v>
      </x:c>
      <x:c r="B1043" s="85" t="n">
        <x:v>45638</x:v>
      </x:c>
      <x:c r="C1043" s="84" t="str">
        <x:v>CUST-0111</x:v>
      </x:c>
      <x:c r="D1043" s="84" t="str">
        <x:v>Elias Evans</x:v>
      </x:c>
      <x:c r="E1043" s="84" t="str">
        <x:v>Small Business</x:v>
      </x:c>
      <x:c r="F1043" s="84" t="str">
        <x:v>Northeast</x:v>
      </x:c>
      <x:c r="G1043" s="84" t="str">
        <x:v>new york</x:v>
      </x:c>
      <x:c r="H1043" s="84" t="str">
        <x:v>Marketplace </x:v>
      </x:c>
      <x:c r="I1043" s="84" t="str">
        <x:v>ELEC-006</x:v>
      </x:c>
      <x:c r="J1043" s="86" t="n">
        <x:v>1</x:v>
      </x:c>
      <x:c r="K1043" s="87" t="n">
        <x:v>0</x:v>
      </x:c>
      <x:c r="L1043" s="84" t="str">
        <x:v>completed</x:v>
      </x:c>
      <x:c r="M1043" s="84" t="str">
        <x:v>Mobile Wallet</x:v>
      </x:c>
      <x:c r="N1043" s="84" t="str">
        <x:v>Sofia Bennett</x:v>
      </x:c>
      <x:c r="O1043" s="85" t="n">
        <x:v>45642</x:v>
      </x:c>
      <x:c r="P1043" s="84" t="str">
        <x:v>MKT_2024_12</x:v>
      </x:c>
      <x:c r="Q1043" s="84" t="str">
        <x:v>Portable SSD</x:v>
      </x:c>
      <x:c r="R1043" s="84" t="str">
        <x:v>Electronics</x:v>
      </x:c>
    </x:row>
    <x:row r="1044">
      <x:c r="A1044" s="84" t="str">
        <x:v>ORD-2024-00338</x:v>
      </x:c>
      <x:c r="B1044" s="85" t="n">
        <x:v>45638</x:v>
      </x:c>
      <x:c r="C1044" s="84" t="str">
        <x:v>CUST-0030</x:v>
      </x:c>
      <x:c r="D1044" s="84" t="str">
        <x:v>Owen Patel</x:v>
      </x:c>
      <x:c r="E1044" s="84" t="str">
        <x:v>Corporate</x:v>
      </x:c>
      <x:c r="F1044" s="84" t="str">
        <x:v>southeast</x:v>
      </x:c>
      <x:c r="G1044" s="84" t="str">
        <x:v>Charlotte</x:v>
      </x:c>
      <x:c r="H1044" s="84" t="str">
        <x:v>Marketplace</x:v>
      </x:c>
      <x:c r="I1044" s="84" t="str">
        <x:v>OFFC-006</x:v>
      </x:c>
      <x:c r="J1044" s="86" t="n">
        <x:v>2</x:v>
      </x:c>
      <x:c r="K1044" s="87" t="n">
        <x:v>0.15</x:v>
      </x:c>
      <x:c r="L1044" s="84" t="str">
        <x:v>Completed</x:v>
      </x:c>
      <x:c r="M1044" s="84" t="str">
        <x:v>Credit Card</x:v>
      </x:c>
      <x:c r="N1044" s="84" t="str">
        <x:v>Ava Mitchell</x:v>
      </x:c>
      <x:c r="O1044" s="85" t="n">
        <x:v>45645</x:v>
      </x:c>
      <x:c r="P1044" s="84" t="str">
        <x:v>MKT_2024_12</x:v>
      </x:c>
      <x:c r="Q1044" s="84" t="str">
        <x:v>Monitor Stand</x:v>
      </x:c>
      <x:c r="R1044" s="84" t="str">
        <x:v> OFFICE </x:v>
      </x:c>
    </x:row>
    <x:row r="1045">
      <x:c r="A1045" s="84" t="str">
        <x:v>ORD-2024-00865</x:v>
      </x:c>
      <x:c r="B1045" s="85" t="n">
        <x:v>45638</x:v>
      </x:c>
      <x:c r="C1045" s="84" t="str">
        <x:v>CUST-0415</x:v>
      </x:c>
      <x:c r="D1045" s="84" t="str">
        <x:v>zara foster</x:v>
      </x:c>
      <x:c r="E1045" s="84" t="str">
        <x:v>Corporate</x:v>
      </x:c>
      <x:c r="F1045" s="84" t="str">
        <x:v>Southeast </x:v>
      </x:c>
      <x:c r="G1045" s="84" t="str">
        <x:v>Charlotte</x:v>
      </x:c>
      <x:c r="H1045" s="84" t="str">
        <x:v>Online</x:v>
      </x:c>
      <x:c r="I1045" s="84" t="str">
        <x:v>ELEC-003</x:v>
      </x:c>
      <x:c r="J1045" s="86" t="n">
        <x:v>6</x:v>
      </x:c>
      <x:c r="K1045" s="87" t="n">
        <x:v>0</x:v>
      </x:c>
      <x:c r="L1045" s="84" t="str">
        <x:v>Completed</x:v>
      </x:c>
      <x:c r="M1045" s="84" t="str">
        <x:v>Mobile Wallet</x:v>
      </x:c>
      <x:c r="N1045" s="84" t="str">
        <x:v>Ava Mitchell </x:v>
      </x:c>
      <x:c r="O1045" s="85" t="n">
        <x:v>45642</x:v>
      </x:c>
      <x:c r="P1045" s="84" t="str">
        <x:v>WEB_2024_12</x:v>
      </x:c>
      <x:c r="Q1045" s="84" t="str">
        <x:v>Bluetooth Speaker</x:v>
      </x:c>
      <x:c r="R1045" s="84" t="str">
        <x:v> ELECTRONICS </x:v>
      </x:c>
    </x:row>
    <x:row r="1046">
      <x:c r="A1046" s="84" t="str">
        <x:v>ORD-2024-01016</x:v>
      </x:c>
      <x:c r="B1046" s="85" t="n">
        <x:v>45638</x:v>
      </x:c>
      <x:c r="C1046" s="84" t="str">
        <x:v>CUST-0604</x:v>
      </x:c>
      <x:c r="D1046" s="84" t="str">
        <x:v>William Adams</x:v>
      </x:c>
      <x:c r="E1046" s="84" t="str">
        <x:v>Consumer</x:v>
      </x:c>
      <x:c r="F1046" s="84" t="str">
        <x:v>Northeast</x:v>
      </x:c>
      <x:c r="G1046" s="84" t="str">
        <x:v>newark</x:v>
      </x:c>
      <x:c r="H1046" s="84" t="str">
        <x:v>Retail Store</x:v>
      </x:c>
      <x:c r="I1046" s="84" t="str">
        <x:v>OFFC-006</x:v>
      </x:c>
      <x:c r="J1046" s="86" t="n">
        <x:v>1</x:v>
      </x:c>
      <x:c r="K1046" s="87" t="n">
        <x:v>0</x:v>
      </x:c>
      <x:c r="L1046" s="84" t="str">
        <x:v>completed</x:v>
      </x:c>
      <x:c r="M1046" s="84" t="str">
        <x:v>Cash</x:v>
      </x:c>
      <x:c r="N1046" s="84" t="str">
        <x:v>Sofia Bennett</x:v>
      </x:c>
      <x:c r="O1046" s="85" t="n">
        <x:v>45638</x:v>
      </x:c>
      <x:c r="P1046" s="84" t="str">
        <x:v>POS_2024_12</x:v>
      </x:c>
      <x:c r="Q1046" s="84" t="str">
        <x:v>Monitor Stand </x:v>
      </x:c>
      <x:c r="R1046" s="84" t="str">
        <x:v>Office</x:v>
      </x:c>
    </x:row>
    <x:row r="1047">
      <x:c r="A1047" s="84" t="str">
        <x:v>ORD-2024-01716</x:v>
      </x:c>
      <x:c r="B1047" s="85" t="n">
        <x:v>45638</x:v>
      </x:c>
      <x:c r="C1047" s="84" t="str">
        <x:v>CUST-0188</x:v>
      </x:c>
      <x:c r="D1047" s="84" t="str">
        <x:v>Marcus Baker</x:v>
      </x:c>
      <x:c r="E1047" s="84" t="str">
        <x:v>corporate</x:v>
      </x:c>
      <x:c r="F1047" s="84" t="str">
        <x:v>Southeast</x:v>
      </x:c>
      <x:c r="G1047" s="84" t="str">
        <x:v>Atlanta</x:v>
      </x:c>
      <x:c r="H1047" s="84" t="str">
        <x:v>retail store</x:v>
      </x:c>
      <x:c r="I1047" s="84" t="str">
        <x:v>ACCS-002</x:v>
      </x:c>
      <x:c r="J1047" s="86" t="n">
        <x:v>4</x:v>
      </x:c>
      <x:c r="K1047" s="87" t="n">
        <x:v>0.2</x:v>
      </x:c>
      <x:c r="L1047" s="84" t="str">
        <x:v>Completed</x:v>
      </x:c>
      <x:c r="M1047" s="84" t="str">
        <x:v>Mobile Wallet</x:v>
      </x:c>
      <x:c r="N1047" s="84" t="str">
        <x:v>Noah Reed</x:v>
      </x:c>
      <x:c r="O1047" s="85" t="n">
        <x:v>45639</x:v>
      </x:c>
      <x:c r="P1047" s="84" t="str">
        <x:v>POS_2024_12</x:v>
      </x:c>
      <x:c r="Q1047" s="84" t="str">
        <x:v>Travel Backpack </x:v>
      </x:c>
      <x:c r="R1047" s="84" t="str">
        <x:v>Accessories</x:v>
      </x:c>
    </x:row>
    <x:row r="1048">
      <x:c r="A1048" s="84" t="str">
        <x:v>ORD-2024-01625</x:v>
      </x:c>
      <x:c r="B1048" s="85" t="n">
        <x:v>45639</x:v>
      </x:c>
      <x:c r="C1048" s="84" t="str">
        <x:v>CUST-0169</x:v>
      </x:c>
      <x:c r="D1048" s="84" t="str">
        <x:v>Marcus Evans</x:v>
      </x:c>
      <x:c r="E1048" s="84" t="str">
        <x:v>Corporate</x:v>
      </x:c>
      <x:c r="F1048" s="84" t="str">
        <x:v>northeast</x:v>
      </x:c>
      <x:c r="G1048" s="84" t="str">
        <x:v> NEW YORK </x:v>
      </x:c>
      <x:c r="H1048" s="84" t="str">
        <x:v>Online</x:v>
      </x:c>
      <x:c r="I1048" s="84" t="str">
        <x:v>ELEC-004</x:v>
      </x:c>
      <x:c r="J1048" s="86" t="n">
        <x:v>5</x:v>
      </x:c>
      <x:c r="K1048" s="87" t="n">
        <x:v>0.05</x:v>
      </x:c>
      <x:c r="L1048" s="84" t="str">
        <x:v>Completed</x:v>
      </x:c>
      <x:c r="M1048" s="84" t="str">
        <x:v>Debit Card</x:v>
      </x:c>
      <x:c r="N1048" s="84" t="str">
        <x:v>Ethan Cole</x:v>
      </x:c>
      <x:c r="O1048" s="85" t="n">
        <x:v>45643</x:v>
      </x:c>
      <x:c r="P1048" s="84" t="str">
        <x:v>WEB_2024_12</x:v>
      </x:c>
      <x:c r="Q1048" s="84" t="str">
        <x:v>Power Bank </x:v>
      </x:c>
      <x:c r="R1048" s="84" t="str">
        <x:v>Electronics</x:v>
      </x:c>
    </x:row>
    <x:row r="1049">
      <x:c r="A1049" s="84" t="str">
        <x:v>ORD-2024-00009</x:v>
      </x:c>
      <x:c r="B1049" s="85" t="n">
        <x:v>45640</x:v>
      </x:c>
      <x:c r="C1049" s="84" t="str">
        <x:v>CUST-0297</x:v>
      </x:c>
      <x:c r="D1049" s="84" t="str">
        <x:v>Nathan Davis</x:v>
      </x:c>
      <x:c r="E1049" s="84" t="str">
        <x:v>Consumer</x:v>
      </x:c>
      <x:c r="F1049" s="84" t="str">
        <x:v>Midwest</x:v>
      </x:c>
      <x:c r="G1049" s="84" t="str">
        <x:v>Minneapolis</x:v>
      </x:c>
      <x:c r="H1049" s="84" t="str">
        <x:v>Marketplace</x:v>
      </x:c>
      <x:c r="I1049" s="84" t="str">
        <x:v>ELEC-001</x:v>
      </x:c>
      <x:c r="J1049" s="86" t="n">
        <x:v>3</x:v>
      </x:c>
      <x:c r="K1049" s="87" t="n">
        <x:v>0.2</x:v>
      </x:c>
      <x:c r="L1049" s="84" t="str">
        <x:v>Completed</x:v>
      </x:c>
      <x:c r="M1049" s="84" t="str">
        <x:v>Debit Card</x:v>
      </x:c>
      <x:c r="N1049" s="84" t="str">
        <x:v>Lucas Grant</x:v>
      </x:c>
      <x:c r="O1049" s="85" t="n">
        <x:v>45644</x:v>
      </x:c>
      <x:c r="P1049" s="84" t="str">
        <x:v>MKT_2024_12</x:v>
      </x:c>
      <x:c r="Q1049" s="84" t="str">
        <x:v>wireless earbuds</x:v>
      </x:c>
      <x:c r="R1049" s="84" t="str">
        <x:v>Electronics </x:v>
      </x:c>
    </x:row>
    <x:row r="1050">
      <x:c r="A1050" s="84" t="str">
        <x:v>ORD-2024-00312</x:v>
      </x:c>
      <x:c r="B1050" s="85" t="n">
        <x:v>45640</x:v>
      </x:c>
      <x:c r="C1050" s="84" t="str">
        <x:v>CUST-0160</x:v>
      </x:c>
      <x:c r="D1050" s="84" t="str">
        <x:v>Amelia Adams</x:v>
      </x:c>
      <x:c r="E1050" s="84" t="str">
        <x:v>Consumer</x:v>
      </x:c>
      <x:c r="F1050" s="84" t="str">
        <x:v>Southeast </x:v>
      </x:c>
      <x:c r="G1050" s="84" t="str">
        <x:v>atlanta</x:v>
      </x:c>
      <x:c r="H1050" s="84" t="str">
        <x:v> RETAIL STORE </x:v>
      </x:c>
      <x:c r="I1050" s="84" t="str">
        <x:v>ELEC-002</x:v>
      </x:c>
      <x:c r="J1050" s="86" t="n">
        <x:v>3</x:v>
      </x:c>
      <x:c r="K1050" s="87" t="n">
        <x:v>0.05</x:v>
      </x:c>
      <x:c r="L1050" s="84" t="str">
        <x:v>completed</x:v>
      </x:c>
      <x:c r="M1050" s="84" t="str">
        <x:v>Credit Card</x:v>
      </x:c>
      <x:c r="N1050" s="84" t="str">
        <x:v>Liam Parker </x:v>
      </x:c>
      <x:c r="O1050" s="85" t="n">
        <x:v>45641</x:v>
      </x:c>
      <x:c r="P1050" s="84" t="str">
        <x:v>POS_2024_12</x:v>
      </x:c>
      <x:c r="Q1050" s="84" t="str">
        <x:v>Smartwatch</x:v>
      </x:c>
      <x:c r="R1050" s="84" t="str">
        <x:v>Electronics</x:v>
      </x:c>
    </x:row>
    <x:row r="1051">
      <x:c r="A1051" s="84" t="str">
        <x:v>ORD-2024-00395</x:v>
      </x:c>
      <x:c r="B1051" s="85" t="n">
        <x:v>45640</x:v>
      </x:c>
      <x:c r="C1051" s="84" t="str">
        <x:v>CUST-0289</x:v>
      </x:c>
      <x:c r="D1051" s="84" t="str">
        <x:v>Chloe Patel</x:v>
      </x:c>
      <x:c r="E1051" s="84" t="str">
        <x:v>Consumer</x:v>
      </x:c>
      <x:c r="F1051" s="84" t="str">
        <x:v>West</x:v>
      </x:c>
      <x:c r="G1051" s="84" t="str">
        <x:v>Denver</x:v>
      </x:c>
      <x:c r="H1051" s="84" t="str">
        <x:v>Online </x:v>
      </x:c>
      <x:c r="I1051" s="84" t="str">
        <x:v>OFFC-002</x:v>
      </x:c>
      <x:c r="J1051" s="86" t="n">
        <x:v>1</x:v>
      </x:c>
      <x:c r="K1051" s="87" t="n">
        <x:v>0</x:v>
      </x:c>
      <x:c r="L1051" s="84" t="str">
        <x:v>Completed</x:v>
      </x:c>
      <x:c r="M1051" s="84" t="str">
        <x:v>debit card</x:v>
      </x:c>
      <x:c r="N1051" s="84" t="str">
        <x:v>Mia Chen</x:v>
      </x:c>
      <x:c r="O1051" s="85" t="n">
        <x:v>45643</x:v>
      </x:c>
      <x:c r="P1051" s="84" t="str">
        <x:v>WEB_2024_12</x:v>
      </x:c>
      <x:c r="Q1051" s="84" t="str">
        <x:v> STANDING DESK </x:v>
      </x:c>
      <x:c r="R1051" s="84" t="str">
        <x:v>Office</x:v>
      </x:c>
    </x:row>
    <x:row r="1052">
      <x:c r="A1052" s="84" t="str">
        <x:v>ORD-2024-00076</x:v>
      </x:c>
      <x:c r="B1052" s="85" t="n">
        <x:v>45641</x:v>
      </x:c>
      <x:c r="C1052" s="84" t="str">
        <x:v>CUST-0411</x:v>
      </x:c>
      <x:c r="D1052" s="84" t="str">
        <x:v>Daniel Young</x:v>
      </x:c>
      <x:c r="E1052" s="84" t="str">
        <x:v>Corporate</x:v>
      </x:c>
      <x:c r="F1052" s="84" t="str">
        <x:v>West</x:v>
      </x:c>
      <x:c r="G1052" s="84" t="str">
        <x:v>Denver</x:v>
      </x:c>
      <x:c r="H1052" s="84" t="str">
        <x:v>Retail Store</x:v>
      </x:c>
      <x:c r="I1052" s="84" t="str">
        <x:v>ACCS-003</x:v>
      </x:c>
      <x:c r="J1052" s="86" t="n">
        <x:v>6</x:v>
      </x:c>
      <x:c r="K1052" s="87" t="n">
        <x:v>0.1</x:v>
      </x:c>
      <x:c r="L1052" s="84" t="str">
        <x:v>Completed </x:v>
      </x:c>
      <x:c r="M1052" s="84" t="str">
        <x:v>mobile wallet</x:v>
      </x:c>
      <x:c r="N1052" s="84" t="str">
        <x:v>Leo Martinez</x:v>
      </x:c>
      <x:c r="O1052" s="85" t="n">
        <x:v>45641</x:v>
      </x:c>
      <x:c r="P1052" s="84" t="str">
        <x:v>POS_2024_12</x:v>
      </x:c>
      <x:c r="Q1052" s="84" t="str">
        <x:v>Polarized Sunglasses</x:v>
      </x:c>
      <x:c r="R1052" s="84" t="str">
        <x:v>Accessories</x:v>
      </x:c>
    </x:row>
    <x:row r="1053">
      <x:c r="A1053" s="84" t="str">
        <x:v>ORD-2024-00359</x:v>
      </x:c>
      <x:c r="B1053" s="85" t="n">
        <x:v>45641</x:v>
      </x:c>
      <x:c r="C1053" s="84" t="str">
        <x:v>CUST-0170</x:v>
      </x:c>
      <x:c r="D1053" s="84" t="str">
        <x:v>victoria garcia</x:v>
      </x:c>
      <x:c r="E1053" s="84" t="str">
        <x:v>Small Business</x:v>
      </x:c>
      <x:c r="F1053" s="84" t="str">
        <x:v>West</x:v>
      </x:c>
      <x:c r="G1053" s="84" t="str">
        <x:v>Seattle</x:v>
      </x:c>
      <x:c r="H1053" s="84" t="str">
        <x:v>Online</x:v>
      </x:c>
      <x:c r="I1053" s="84" t="str">
        <x:v>OFFC-004</x:v>
      </x:c>
      <x:c r="J1053" s="86" t="n">
        <x:v>3</x:v>
      </x:c>
      <x:c r="K1053" s="87" t="n">
        <x:v>0</x:v>
      </x:c>
      <x:c r="L1053" s="84" t="str">
        <x:v>Completed</x:v>
      </x:c>
      <x:c r="M1053" s="84" t="str">
        <x:v>Credit Card</x:v>
      </x:c>
      <x:c r="N1053" s="84" t="str">
        <x:v>Nora Kim</x:v>
      </x:c>
      <x:c r="O1053" s="85" t="n">
        <x:v>45646</x:v>
      </x:c>
      <x:c r="P1053" s="84" t="str">
        <x:v>WEB_2024_12</x:v>
      </x:c>
      <x:c r="Q1053" s="84" t="str">
        <x:v>Premium Notebook Pack</x:v>
      </x:c>
      <x:c r="R1053" s="84" t="str">
        <x:v>Office </x:v>
      </x:c>
    </x:row>
    <x:row r="1054">
      <x:c r="A1054" s="84" t="str">
        <x:v>ORD-2024-00698</x:v>
      </x:c>
      <x:c r="B1054" s="85" t="n">
        <x:v>45641</x:v>
      </x:c>
      <x:c r="C1054" s="84" t="str">
        <x:v>CUST-0576</x:v>
      </x:c>
      <x:c r="D1054" s="84" t="str">
        <x:v>Maya Walker </x:v>
      </x:c>
      <x:c r="E1054" s="84" t="str">
        <x:v>Corporate</x:v>
      </x:c>
      <x:c r="F1054" s="84" t="str">
        <x:v>Northeast</x:v>
      </x:c>
      <x:c r="G1054" s="84" t="str">
        <x:v>New York</x:v>
      </x:c>
      <x:c r="H1054" s="84" t="str">
        <x:v>Online</x:v>
      </x:c>
      <x:c r="I1054" s="84" t="str">
        <x:v>FITN-005</x:v>
      </x:c>
      <x:c r="J1054" s="86" t="n">
        <x:v>1</x:v>
      </x:c>
      <x:c r="K1054" s="87" t="n">
        <x:v>0.1</x:v>
      </x:c>
      <x:c r="L1054" s="84" t="str">
        <x:v>Completed</x:v>
      </x:c>
      <x:c r="M1054" s="84" t="str">
        <x:v>Debit Card </x:v>
      </x:c>
      <x:c r="N1054" s="84" t="str">
        <x:v>Ethan Cole</x:v>
      </x:c>
      <x:c r="O1054" s="85" t="n">
        <x:v>45645</x:v>
      </x:c>
      <x:c r="P1054" s="84" t="str">
        <x:v>WEB_2024_12</x:v>
      </x:c>
      <x:c r="Q1054" s="84" t="str">
        <x:v>Sports Water Bottle</x:v>
      </x:c>
      <x:c r="R1054" s="84" t="str">
        <x:v>Fitness</x:v>
      </x:c>
    </x:row>
    <x:row r="1055">
      <x:c r="A1055" s="84" t="str">
        <x:v>ORD-2024-00875</x:v>
      </x:c>
      <x:c r="B1055" s="85" t="n">
        <x:v>45641</x:v>
      </x:c>
      <x:c r="C1055" s="84" t="str">
        <x:v>CUST-0052</x:v>
      </x:c>
      <x:c r="D1055" s="84" t="str">
        <x:v>Elias Adams</x:v>
      </x:c>
      <x:c r="E1055" s="84" t="str">
        <x:v>Consumer </x:v>
      </x:c>
      <x:c r="F1055" s="84" t="str">
        <x:v>Southeast</x:v>
      </x:c>
      <x:c r="G1055" s="84" t="str">
        <x:v>Atlanta </x:v>
      </x:c>
      <x:c r="H1055" s="84" t="str">
        <x:v>Retail Store</x:v>
      </x:c>
      <x:c r="I1055" s="84" t="str">
        <x:v>ELEC-003</x:v>
      </x:c>
      <x:c r="J1055" s="86" t="n">
        <x:v>1</x:v>
      </x:c>
      <x:c r="K1055" s="87" t="n">
        <x:v>0</x:v>
      </x:c>
      <x:c r="L1055" s="84" t="str">
        <x:v>Completed</x:v>
      </x:c>
      <x:c r="M1055" s="84" t="str">
        <x:v>Credit Card</x:v>
      </x:c>
      <x:c r="N1055" s="84" t="str">
        <x:v>Ava Mitchell</x:v>
      </x:c>
      <x:c r="O1055" s="85" t="n">
        <x:v>45641</x:v>
      </x:c>
      <x:c r="P1055" s="84" t="str">
        <x:v>POS_2024_12</x:v>
      </x:c>
      <x:c r="Q1055" s="84" t="str">
        <x:v>Bluetooth Speaker</x:v>
      </x:c>
      <x:c r="R1055" s="84" t="str">
        <x:v>Electronics</x:v>
      </x:c>
    </x:row>
    <x:row r="1056">
      <x:c r="A1056" s="84" t="str">
        <x:v>ORD-2024-00665</x:v>
      </x:c>
      <x:c r="B1056" s="85" t="n">
        <x:v>45642</x:v>
      </x:c>
      <x:c r="C1056" s="84" t="str">
        <x:v>CUST-0628</x:v>
      </x:c>
      <x:c r="D1056" s="84" t="str">
        <x:v>Isaac Young</x:v>
      </x:c>
      <x:c r="E1056" s="84" t="str">
        <x:v>Small Business </x:v>
      </x:c>
      <x:c r="F1056" s="84" t="str">
        <x:v>West</x:v>
      </x:c>
      <x:c r="G1056" s="84" t="str">
        <x:v>Denver </x:v>
      </x:c>
      <x:c r="H1056" s="84" t="str">
        <x:v>Retail Store</x:v>
      </x:c>
      <x:c r="I1056" s="84" t="str">
        <x:v>ELEC-001</x:v>
      </x:c>
      <x:c r="J1056" s="86" t="n">
        <x:v>2</x:v>
      </x:c>
      <x:c r="K1056" s="87" t="n">
        <x:v>0.05</x:v>
      </x:c>
      <x:c r="L1056" s="84" t="str">
        <x:v>Completed</x:v>
      </x:c>
      <x:c r="M1056" s="84" t="str">
        <x:v>Cash</x:v>
      </x:c>
      <x:c r="N1056" s="84" t="str">
        <x:v>Mia Chen</x:v>
      </x:c>
      <x:c r="O1056" s="85" t="n">
        <x:v>45642</x:v>
      </x:c>
      <x:c r="P1056" s="84" t="str">
        <x:v>POS_2024_12</x:v>
      </x:c>
      <x:c r="Q1056" s="84" t="str">
        <x:v>Wireless Earbuds</x:v>
      </x:c>
      <x:c r="R1056" s="84" t="str">
        <x:v>Electronics</x:v>
      </x:c>
    </x:row>
    <x:row r="1057">
      <x:c r="A1057" s="84" t="str">
        <x:v>ORD-2024-00707</x:v>
      </x:c>
      <x:c r="B1057" s="85" t="n">
        <x:v>45642</x:v>
      </x:c>
      <x:c r="C1057" s="84" t="str">
        <x:v>CUST-0111</x:v>
      </x:c>
      <x:c r="D1057" s="84" t="str">
        <x:v>Elias Evans</x:v>
      </x:c>
      <x:c r="E1057" s="84" t="str">
        <x:v>Small Business </x:v>
      </x:c>
      <x:c r="F1057" s="84" t="str">
        <x:v>Northeast</x:v>
      </x:c>
      <x:c r="G1057" s="84" t="str">
        <x:v> NEW YORK </x:v>
      </x:c>
      <x:c r="H1057" s="84" t="str">
        <x:v>Retail Store</x:v>
      </x:c>
      <x:c r="I1057" s="84" t="str">
        <x:v>ELEC-005</x:v>
      </x:c>
      <x:c r="J1057" s="86" t="n">
        <x:v>3</x:v>
      </x:c>
      <x:c r="K1057" s="87" t="n">
        <x:v>0.2</x:v>
      </x:c>
      <x:c r="L1057" s="84" t="str">
        <x:v>Completed</x:v>
      </x:c>
      <x:c r="M1057" s="84" t="str">
        <x:v>Debit Card</x:v>
      </x:c>
      <x:c r="N1057" s="84" t="str">
        <x:v>Maya Brooks</x:v>
      </x:c>
      <x:c r="O1057" s="85" t="n">
        <x:v>45643</x:v>
      </x:c>
      <x:c r="P1057" s="84" t="str">
        <x:v>POS_2024_12</x:v>
      </x:c>
      <x:c r="Q1057" s="84" t="str">
        <x:v>HD Webcam</x:v>
      </x:c>
      <x:c r="R1057" s="84" t="str">
        <x:v>electronics</x:v>
      </x:c>
    </x:row>
    <x:row r="1058">
      <x:c r="A1058" s="84" t="str">
        <x:v>ORD-2024-01992</x:v>
      </x:c>
      <x:c r="B1058" s="85" t="n">
        <x:v>45642</x:v>
      </x:c>
      <x:c r="C1058" s="84" t="str">
        <x:v>CUST-0509</x:v>
      </x:c>
      <x:c r="D1058" s="84" t="str">
        <x:v>Daniel Moore</x:v>
      </x:c>
      <x:c r="E1058" s="84" t="str">
        <x:v>Corporate</x:v>
      </x:c>
      <x:c r="F1058" s="84" t="str">
        <x:v>Southeast </x:v>
      </x:c>
      <x:c r="G1058" s="84" t="str">
        <x:v>Atlanta</x:v>
      </x:c>
      <x:c r="H1058" s="84" t="str">
        <x:v>Retail Store</x:v>
      </x:c>
      <x:c r="I1058" s="84" t="str">
        <x:v>ACCS-004</x:v>
      </x:c>
      <x:c r="J1058" s="86" t="n">
        <x:v>3</x:v>
      </x:c>
      <x:c r="K1058" s="87" t="n">
        <x:v>0.2</x:v>
      </x:c>
      <x:c r="L1058" s="84" t="str">
        <x:v>Returned</x:v>
      </x:c>
      <x:c r="M1058" s="84" t="str">
        <x:v>Mobile Wallet</x:v>
      </x:c>
      <x:c r="N1058" s="84" t="str">
        <x:v> LIAM PARKER </x:v>
      </x:c>
      <x:c r="O1058" s="85" t="n">
        <x:v>45642</x:v>
      </x:c>
      <x:c r="P1058" s="84" t="str">
        <x:v>POS_2024_12</x:v>
      </x:c>
      <x:c r="Q1058" s="84" t="str">
        <x:v>Leather Wallet</x:v>
      </x:c>
      <x:c r="R1058" s="84" t="str">
        <x:v>Accessories</x:v>
      </x:c>
    </x:row>
    <x:row r="1059">
      <x:c r="A1059" s="84" t="str">
        <x:v>ORD-2024-01992</x:v>
      </x:c>
      <x:c r="B1059" s="85" t="n">
        <x:v>45642</x:v>
      </x:c>
      <x:c r="C1059" s="84" t="str">
        <x:v>CUST-0509</x:v>
      </x:c>
      <x:c r="D1059" s="84" t="str">
        <x:v>Daniel Moore</x:v>
      </x:c>
      <x:c r="E1059" s="84" t="str">
        <x:v>Corporate</x:v>
      </x:c>
      <x:c r="F1059" s="84" t="str">
        <x:v>Southeast </x:v>
      </x:c>
      <x:c r="G1059" s="84" t="str">
        <x:v>Atlanta</x:v>
      </x:c>
      <x:c r="H1059" s="84" t="str">
        <x:v>Retail Store</x:v>
      </x:c>
      <x:c r="I1059" s="84" t="str">
        <x:v>ACCS-004</x:v>
      </x:c>
      <x:c r="J1059" s="86" t="n">
        <x:v>3</x:v>
      </x:c>
      <x:c r="K1059" s="87" t="n">
        <x:v>0.2</x:v>
      </x:c>
      <x:c r="L1059" s="84" t="str">
        <x:v>Returned</x:v>
      </x:c>
      <x:c r="M1059" s="84" t="str">
        <x:v>Mobile Wallet</x:v>
      </x:c>
      <x:c r="N1059" s="84" t="str">
        <x:v> LIAM PARKER </x:v>
      </x:c>
      <x:c r="O1059" s="85" t="n">
        <x:v>45642</x:v>
      </x:c>
      <x:c r="P1059" s="84" t="str">
        <x:v>RELOAD_POS_2024_12</x:v>
      </x:c>
      <x:c r="Q1059" s="84" t="str">
        <x:v>Leather Wallet</x:v>
      </x:c>
      <x:c r="R1059" s="84" t="str">
        <x:v>Accessories</x:v>
      </x:c>
    </x:row>
    <x:row r="1060">
      <x:c r="A1060" s="84" t="str">
        <x:v>ORD-2024-00652</x:v>
      </x:c>
      <x:c r="B1060" s="85" t="n">
        <x:v>45643</x:v>
      </x:c>
      <x:c r="C1060" s="84" t="str">
        <x:v>CUST-0024</x:v>
      </x:c>
      <x:c r="D1060" s="84" t="str">
        <x:v>Zara Quinn</x:v>
      </x:c>
      <x:c r="E1060" s="84" t="str">
        <x:v>Consumer</x:v>
      </x:c>
      <x:c r="F1060" s="84" t="str">
        <x:v>Midwest</x:v>
      </x:c>
      <x:c r="G1060" s="84" t="str">
        <x:v>Columbus</x:v>
      </x:c>
      <x:c r="H1060" s="84" t="str">
        <x:v> RETAIL STORE </x:v>
      </x:c>
      <x:c r="I1060" s="84" t="str">
        <x:v>FITN-005</x:v>
      </x:c>
      <x:c r="J1060" s="86" t="n">
        <x:v>1</x:v>
      </x:c>
      <x:c r="K1060" s="87" t="n">
        <x:v>0.05</x:v>
      </x:c>
      <x:c r="L1060" s="84" t="str">
        <x:v>Completed</x:v>
      </x:c>
      <x:c r="M1060" s="84" t="str">
        <x:v>Debit Card</x:v>
      </x:c>
      <x:c r="N1060" s="84" t="str">
        <x:v>Emma Hayes</x:v>
      </x:c>
      <x:c r="O1060" s="85" t="n">
        <x:v>45643</x:v>
      </x:c>
      <x:c r="P1060" s="84" t="str">
        <x:v>POS_2024_12</x:v>
      </x:c>
      <x:c r="Q1060" s="84" t="str">
        <x:v>Sports Water Bottle </x:v>
      </x:c>
      <x:c r="R1060" s="84" t="str">
        <x:v>fitness</x:v>
      </x:c>
    </x:row>
    <x:row r="1061">
      <x:c r="A1061" s="84" t="str">
        <x:v>ORD-2024-00748</x:v>
      </x:c>
      <x:c r="B1061" s="85" t="n">
        <x:v>45643</x:v>
      </x:c>
      <x:c r="C1061" s="84" t="str">
        <x:v>CUST-0181</x:v>
      </x:c>
      <x:c r="D1061" s="84" t="str">
        <x:v>Chloe Baker</x:v>
      </x:c>
      <x:c r="E1061" s="84" t="str">
        <x:v> CORPORATE </x:v>
      </x:c>
      <x:c r="F1061" s="84" t="str">
        <x:v>Northeast</x:v>
      </x:c>
      <x:c r="G1061" s="84" t="str">
        <x:v>Boston</x:v>
      </x:c>
      <x:c r="H1061" s="84" t="str">
        <x:v>marketplace</x:v>
      </x:c>
      <x:c r="I1061" s="84" t="str">
        <x:v>FITN-005</x:v>
      </x:c>
      <x:c r="J1061" s="86" t="n">
        <x:v>4</x:v>
      </x:c>
      <x:c r="K1061" s="87" t="n">
        <x:v>0.2</x:v>
      </x:c>
      <x:c r="L1061" s="84" t="str">
        <x:v>Completed </x:v>
      </x:c>
      <x:c r="M1061" s="84" t="str">
        <x:v>Credit Card</x:v>
      </x:c>
      <x:c r="N1061" s="84" t="str">
        <x:v>Ethan Cole</x:v>
      </x:c>
      <x:c r="O1061" s="85" t="n">
        <x:v>45648</x:v>
      </x:c>
      <x:c r="P1061" s="84" t="str">
        <x:v>MKT_2024_12</x:v>
      </x:c>
      <x:c r="Q1061" s="84" t="str">
        <x:v>Sports Water Bottle</x:v>
      </x:c>
      <x:c r="R1061" s="84" t="str">
        <x:v>Fitness</x:v>
      </x:c>
    </x:row>
    <x:row r="1062">
      <x:c r="A1062" s="84" t="str">
        <x:v>ORD-2024-01241</x:v>
      </x:c>
      <x:c r="B1062" s="85" t="n">
        <x:v>45643</x:v>
      </x:c>
      <x:c r="C1062" s="84" t="str">
        <x:v>CUST-0373</x:v>
      </x:c>
      <x:c r="D1062" s="84" t="str">
        <x:v>Caleb Taylor</x:v>
      </x:c>
      <x:c r="E1062" s="84" t="str">
        <x:v> CORPORATE </x:v>
      </x:c>
      <x:c r="F1062" s="84" t="str">
        <x:v>Midwest</x:v>
      </x:c>
      <x:c r="G1062" s="84" t="str">
        <x:v>Columbus</x:v>
      </x:c>
      <x:c r="H1062" s="84" t="str">
        <x:v>Retail Store</x:v>
      </x:c>
      <x:c r="I1062" s="84" t="str">
        <x:v>HOME-001</x:v>
      </x:c>
      <x:c r="J1062" s="86" t="n">
        <x:v>6</x:v>
      </x:c>
      <x:c r="K1062" s="87" t="n">
        <x:v>0.15</x:v>
      </x:c>
      <x:c r="L1062" s="84" t="str">
        <x:v>Completed</x:v>
      </x:c>
      <x:c r="M1062" s="84" t="str">
        <x:v>Mobile Wallet</x:v>
      </x:c>
      <x:c r="N1062" s="84" t="str">
        <x:v>Emma Hayes</x:v>
      </x:c>
      <x:c r="O1062" s="85" t="n">
        <x:v>45643</x:v>
      </x:c>
      <x:c r="P1062" s="84" t="str">
        <x:v>POS_2024_12</x:v>
      </x:c>
      <x:c r="Q1062" s="84" t="str">
        <x:v>air fryer</x:v>
      </x:c>
      <x:c r="R1062" s="84" t="str">
        <x:v>Home &amp; Kitchen </x:v>
      </x:c>
    </x:row>
    <x:row r="1063">
      <x:c r="A1063" s="84" t="str">
        <x:v>ORD-2024-02016</x:v>
      </x:c>
      <x:c r="B1063" s="85" t="n">
        <x:v>45643</x:v>
      </x:c>
      <x:c r="C1063" s="84" t="str">
        <x:v>CUST-0171</x:v>
      </x:c>
      <x:c r="D1063" s="84" t="str">
        <x:v>Jonah Nelson</x:v>
      </x:c>
      <x:c r="E1063" s="84" t="str">
        <x:v>Small Business </x:v>
      </x:c>
      <x:c r="F1063" s="84" t="str">
        <x:v>Southeast</x:v>
      </x:c>
      <x:c r="G1063" s="84" t="str">
        <x:v> ATLANTA </x:v>
      </x:c>
      <x:c r="H1063" s="84" t="str">
        <x:v>Retail Store</x:v>
      </x:c>
      <x:c r="I1063" s="84" t="str">
        <x:v>HOME-003</x:v>
      </x:c>
      <x:c r="J1063" s="86" t="n">
        <x:v>2</x:v>
      </x:c>
      <x:c r="K1063" s="87" t="n">
        <x:v>0.1</x:v>
      </x:c>
      <x:c r="L1063" s="84" t="str">
        <x:v>Completed</x:v>
      </x:c>
      <x:c r="M1063" s="84" t="str">
        <x:v>Cash</x:v>
      </x:c>
      <x:c r="N1063" s="84" t="str">
        <x:v>Liam Parker</x:v>
      </x:c>
      <x:c r="O1063" s="85" t="n">
        <x:v>45643</x:v>
      </x:c>
      <x:c r="P1063" s="84" t="str">
        <x:v>POS_2024_12</x:v>
      </x:c>
      <x:c r="Q1063" s="84" t="str">
        <x:v>Countertop Blender</x:v>
      </x:c>
      <x:c r="R1063" s="84" t="str">
        <x:v>home &amp; kitchen</x:v>
      </x:c>
    </x:row>
    <x:row r="1064">
      <x:c r="A1064" s="84" t="str">
        <x:v>ORD-2024-00624</x:v>
      </x:c>
      <x:c r="B1064" s="85" t="n">
        <x:v>45644</x:v>
      </x:c>
      <x:c r="C1064" s="84" t="str">
        <x:v>CUST-0585</x:v>
      </x:c>
      <x:c r="D1064" s="84" t="str">
        <x:v>Isaac Patel</x:v>
      </x:c>
      <x:c r="E1064" s="84" t="str">
        <x:v>Consumer</x:v>
      </x:c>
      <x:c r="F1064" s="84" t="str">
        <x:v>northeast</x:v>
      </x:c>
      <x:c r="G1064" s="84" t="str">
        <x:v>New York</x:v>
      </x:c>
      <x:c r="H1064" s="84" t="str">
        <x:v>Online</x:v>
      </x:c>
      <x:c r="I1064" s="84" t="str">
        <x:v>ACCS-003</x:v>
      </x:c>
      <x:c r="J1064" s="86" t="n">
        <x:v>1</x:v>
      </x:c>
      <x:c r="K1064" s="87" t="n">
        <x:v>0</x:v>
      </x:c>
      <x:c r="L1064" s="84" t="str">
        <x:v>Completed</x:v>
      </x:c>
      <x:c r="M1064" s="84" t="str">
        <x:v>Mobile Wallet</x:v>
      </x:c>
      <x:c r="N1064" s="84" t="str">
        <x:v>Maya Brooks</x:v>
      </x:c>
      <x:c r="O1064" s="85" t="n">
        <x:v>45649</x:v>
      </x:c>
      <x:c r="P1064" s="84" t="str">
        <x:v>WEB_2024_12</x:v>
      </x:c>
      <x:c r="Q1064" s="84" t="str">
        <x:v>Polarized Sunglasses </x:v>
      </x:c>
      <x:c r="R1064" s="84" t="str">
        <x:v>Accessories</x:v>
      </x:c>
    </x:row>
    <x:row r="1065">
      <x:c r="A1065" s="84" t="str">
        <x:v>ORD-2024-00776</x:v>
      </x:c>
      <x:c r="B1065" s="85" t="n">
        <x:v>45644</x:v>
      </x:c>
      <x:c r="C1065" s="84" t="str">
        <x:v>CUST-0055</x:v>
      </x:c>
      <x:c r="D1065" s="84" t="str">
        <x:v>Isaac Baker</x:v>
      </x:c>
      <x:c r="E1065" s="84" t="str">
        <x:v>Small Business</x:v>
      </x:c>
      <x:c r="F1065" s="84" t="str">
        <x:v>Midwest</x:v>
      </x:c>
      <x:c r="G1065" s="84" t="str">
        <x:v>Detroit</x:v>
      </x:c>
      <x:c r="H1065" s="84" t="str">
        <x:v>Online</x:v>
      </x:c>
      <x:c r="I1065" s="84" t="str">
        <x:v>ELEC-004</x:v>
      </x:c>
      <x:c r="J1065" s="86" t="n">
        <x:v>2</x:v>
      </x:c>
      <x:c r="K1065" s="87" t="n">
        <x:v>0.2</x:v>
      </x:c>
      <x:c r="L1065" s="84" t="str">
        <x:v>Completed </x:v>
      </x:c>
      <x:c r="M1065" s="84" t="str">
        <x:v> CREDIT CARD </x:v>
      </x:c>
      <x:c r="N1065" s="84" t="str">
        <x:v>Emma Hayes</x:v>
      </x:c>
      <x:c r="O1065" s="85" t="n">
        <x:v>45647</x:v>
      </x:c>
      <x:c r="P1065" s="84" t="str">
        <x:v>WEB_2024_12</x:v>
      </x:c>
      <x:c r="Q1065" s="84" t="str">
        <x:v>Power Bank</x:v>
      </x:c>
      <x:c r="R1065" s="84" t="str">
        <x:v>Electronics</x:v>
      </x:c>
    </x:row>
    <x:row r="1066">
      <x:c r="A1066" s="84" t="str">
        <x:v>ORD-2024-01386</x:v>
      </x:c>
      <x:c r="B1066" s="85" t="n">
        <x:v>45644</x:v>
      </x:c>
      <x:c r="C1066" s="84" t="str">
        <x:v>CUST-0413</x:v>
      </x:c>
      <x:c r="D1066" s="84" t="str">
        <x:v>Grace Taylor</x:v>
      </x:c>
      <x:c r="E1066" s="84" t="str">
        <x:v>corporate</x:v>
      </x:c>
      <x:c r="F1066" s="84" t="str">
        <x:v>Northeast</x:v>
      </x:c>
      <x:c r="G1066" s="84" t="str">
        <x:v>Philadelphia </x:v>
      </x:c>
      <x:c r="H1066" s="84" t="str">
        <x:v>online</x:v>
      </x:c>
      <x:c r="I1066" s="84" t="str">
        <x:v>ELEC-005</x:v>
      </x:c>
      <x:c r="J1066" s="86" t="n">
        <x:v>3</x:v>
      </x:c>
      <x:c r="K1066" s="87" t="n">
        <x:v>0.1</x:v>
      </x:c>
      <x:c r="L1066" s="84" t="str">
        <x:v>Completed</x:v>
      </x:c>
      <x:c r="M1066" s="84" t="str">
        <x:v>PayPal</x:v>
      </x:c>
      <x:c r="N1066" s="84" t="str">
        <x:v>Ethan Cole</x:v>
      </x:c>
      <x:c r="O1066" s="85" t="n">
        <x:v>45646</x:v>
      </x:c>
      <x:c r="P1066" s="84" t="str">
        <x:v>WEB_2024_12</x:v>
      </x:c>
      <x:c r="Q1066" s="84" t="str">
        <x:v>HD Webcam</x:v>
      </x:c>
      <x:c r="R1066" s="84" t="str">
        <x:v>Electronics</x:v>
      </x:c>
    </x:row>
    <x:row r="1067">
      <x:c r="A1067" s="84" t="str">
        <x:v>ORD-2024-01806</x:v>
      </x:c>
      <x:c r="B1067" s="85" t="n">
        <x:v>45644</x:v>
      </x:c>
      <x:c r="C1067" s="84" t="str">
        <x:v>CUST-0638</x:v>
      </x:c>
      <x:c r="D1067" s="84" t="str">
        <x:v>Zara Roberts</x:v>
      </x:c>
      <x:c r="E1067" s="84" t="str">
        <x:v>Consumer </x:v>
      </x:c>
      <x:c r="F1067" s="84" t="str">
        <x:v>Northeast</x:v>
      </x:c>
      <x:c r="G1067" s="84" t="str">
        <x:v>Philadelphia </x:v>
      </x:c>
      <x:c r="H1067" s="84" t="str">
        <x:v>Retail Store</x:v>
      </x:c>
      <x:c r="I1067" s="84" t="str">
        <x:v>ELEC-002</x:v>
      </x:c>
      <x:c r="J1067" s="86" t="n">
        <x:v>1</x:v>
      </x:c>
      <x:c r="K1067" s="87" t="n">
        <x:v>0</x:v>
      </x:c>
      <x:c r="L1067" s="84" t="str">
        <x:v>Completed</x:v>
      </x:c>
      <x:c r="M1067" s="84" t="str">
        <x:v>Cash</x:v>
      </x:c>
      <x:c r="N1067" s="84" t="str">
        <x:v>ethan cole</x:v>
      </x:c>
      <x:c r="O1067" s="85" t="n">
        <x:v>45644</x:v>
      </x:c>
      <x:c r="P1067" s="84" t="str">
        <x:v>POS_2024_12</x:v>
      </x:c>
      <x:c r="Q1067" s="84" t="str">
        <x:v> SMARTWATCH </x:v>
      </x:c>
      <x:c r="R1067" s="84" t="str">
        <x:v>Electronics</x:v>
      </x:c>
    </x:row>
    <x:row r="1068">
      <x:c r="A1068" s="84" t="str">
        <x:v>ORD-2024-02116</x:v>
      </x:c>
      <x:c r="B1068" s="85" t="n">
        <x:v>45644</x:v>
      </x:c>
      <x:c r="C1068" s="84" t="str">
        <x:v>CUST-0527</x:v>
      </x:c>
      <x:c r="D1068" s="84" t="str">
        <x:v>Theo Hall</x:v>
      </x:c>
      <x:c r="E1068" s="84" t="str">
        <x:v>Consumer</x:v>
      </x:c>
      <x:c r="F1068" s="84" t="str">
        <x:v>Southeast</x:v>
      </x:c>
      <x:c r="G1068" s="84" t="str">
        <x:v>nashville</x:v>
      </x:c>
      <x:c r="H1068" s="84" t="str">
        <x:v>Online</x:v>
      </x:c>
      <x:c r="I1068" s="84" t="str">
        <x:v>OFFC-001</x:v>
      </x:c>
      <x:c r="J1068" s="86" t="n">
        <x:v>2</x:v>
      </x:c>
      <x:c r="K1068" s="87" t="n">
        <x:v>0</x:v>
      </x:c>
      <x:c r="L1068" s="84" t="str">
        <x:v>completed</x:v>
      </x:c>
      <x:c r="M1068" s="84" t="str">
        <x:v>Debit Card</x:v>
      </x:c>
      <x:c r="N1068" s="84" t="str">
        <x:v>Noah Reed</x:v>
      </x:c>
      <x:c r="O1068" s="85" t="n">
        <x:v>45650</x:v>
      </x:c>
      <x:c r="P1068" s="84" t="str">
        <x:v>WEB_2024_12</x:v>
      </x:c>
      <x:c r="Q1068" s="84" t="str">
        <x:v>Ergonomic Chair</x:v>
      </x:c>
      <x:c r="R1068" s="84" t="str">
        <x:v>Office </x:v>
      </x:c>
    </x:row>
    <x:row r="1069">
      <x:c r="A1069" s="84" t="str">
        <x:v>ORD-2024-00490</x:v>
      </x:c>
      <x:c r="B1069" s="85" t="n">
        <x:v>45645</x:v>
      </x:c>
      <x:c r="C1069" s="84" t="str">
        <x:v>CUST-0608</x:v>
      </x:c>
      <x:c r="D1069" s="84" t="str">
        <x:v> VICTORIA PATEL </x:v>
      </x:c>
      <x:c r="E1069" s="84" t="str">
        <x:v>Consumer </x:v>
      </x:c>
      <x:c r="F1069" s="84" t="str">
        <x:v> MIDWEST </x:v>
      </x:c>
      <x:c r="G1069" s="84" t="str">
        <x:v>Chicago </x:v>
      </x:c>
      <x:c r="H1069" s="84" t="str">
        <x:v>Retail Store</x:v>
      </x:c>
      <x:c r="I1069" s="84" t="str">
        <x:v>OFFC-004</x:v>
      </x:c>
      <x:c r="J1069" s="86" t="n">
        <x:v>3</x:v>
      </x:c>
      <x:c r="K1069" s="87" t="n">
        <x:v>0.15</x:v>
      </x:c>
      <x:c r="L1069" s="84" t="str">
        <x:v>Completed</x:v>
      </x:c>
      <x:c r="M1069" s="84" t="str">
        <x:v>Cash</x:v>
      </x:c>
      <x:c r="N1069" s="84" t="str">
        <x:v>Lucas Grant</x:v>
      </x:c>
      <x:c r="O1069" s="85" t="n">
        <x:v>45645</x:v>
      </x:c>
      <x:c r="P1069" s="84" t="str">
        <x:v>POS_2024_12</x:v>
      </x:c>
      <x:c r="Q1069" s="84" t="str">
        <x:v>Premium Notebook Pack</x:v>
      </x:c>
      <x:c r="R1069" s="84" t="str">
        <x:v>Office</x:v>
      </x:c>
    </x:row>
    <x:row r="1070">
      <x:c r="A1070" s="84" t="str">
        <x:v>ORD-2024-00631</x:v>
      </x:c>
      <x:c r="B1070" s="85" t="n">
        <x:v>45645</x:v>
      </x:c>
      <x:c r="C1070" s="84" t="str">
        <x:v>CUST-0385</x:v>
      </x:c>
      <x:c r="D1070" s="84" t="str">
        <x:v>Elias Garcia</x:v>
      </x:c>
      <x:c r="E1070" s="84" t="str">
        <x:v>Corporate</x:v>
      </x:c>
      <x:c r="F1070" s="84" t="str">
        <x:v>Southeast</x:v>
      </x:c>
      <x:c r="G1070" s="84" t="str">
        <x:v>atlanta</x:v>
      </x:c>
      <x:c r="H1070" s="84" t="str">
        <x:v>Online</x:v>
      </x:c>
      <x:c r="I1070" s="84" t="str">
        <x:v>ACCS-001</x:v>
      </x:c>
      <x:c r="J1070" s="86" t="n">
        <x:v>2</x:v>
      </x:c>
      <x:c r="K1070" s="87" t="n">
        <x:v>0.15</x:v>
      </x:c>
      <x:c r="L1070" s="84" t="str">
        <x:v>completed</x:v>
      </x:c>
      <x:c r="M1070" s="84" t="str">
        <x:v>Mobile Wallet</x:v>
      </x:c>
      <x:c r="N1070" s="84" t="str">
        <x:v>Ava Mitchell</x:v>
      </x:c>
      <x:c r="O1070" s="85" t="n">
        <x:v>45647</x:v>
      </x:c>
      <x:c r="P1070" s="84" t="str">
        <x:v>WEB_2024_12</x:v>
      </x:c>
      <x:c r="Q1070" s="84" t="str">
        <x:v>Canvas Tote Bag </x:v>
      </x:c>
      <x:c r="R1070" s="84" t="str">
        <x:v>Accessories</x:v>
      </x:c>
    </x:row>
    <x:row r="1071">
      <x:c r="A1071" s="84" t="str">
        <x:v>ORD-2024-00860</x:v>
      </x:c>
      <x:c r="B1071" s="85" t="n">
        <x:v>45645</x:v>
      </x:c>
      <x:c r="C1071" s="84" t="str">
        <x:v>CUST-0124</x:v>
      </x:c>
      <x:c r="D1071" s="84" t="str">
        <x:v>Priya Lewis</x:v>
      </x:c>
      <x:c r="E1071" s="84" t="str">
        <x:v>Consumer</x:v>
      </x:c>
      <x:c r="F1071" s="84" t="str">
        <x:v>Midwest</x:v>
      </x:c>
      <x:c r="G1071" s="84" t="str">
        <x:v> CHICAGO </x:v>
      </x:c>
      <x:c r="H1071" s="84" t="str">
        <x:v>Retail Store</x:v>
      </x:c>
      <x:c r="I1071" s="84" t="str">
        <x:v>HOME-002</x:v>
      </x:c>
      <x:c r="J1071" s="86" t="n">
        <x:v>1</x:v>
      </x:c>
      <x:c r="K1071" s="87" t="n">
        <x:v>0.15</x:v>
      </x:c>
      <x:c r="L1071" s="84" t="str">
        <x:v>Returned </x:v>
      </x:c>
      <x:c r="M1071" s="84" t="str">
        <x:v>Credit Card</x:v>
      </x:c>
      <x:c r="N1071" s="84" t="str">
        <x:v>zoe turner</x:v>
      </x:c>
      <x:c r="O1071" s="85" t="n">
        <x:v>45645</x:v>
      </x:c>
      <x:c r="P1071" s="84" t="str">
        <x:v>POS_2024_12</x:v>
      </x:c>
      <x:c r="Q1071" s="84" t="str">
        <x:v>Electric Kettle</x:v>
      </x:c>
      <x:c r="R1071" s="84" t="str">
        <x:v>Home &amp; Kitchen</x:v>
      </x:c>
    </x:row>
    <x:row r="1072">
      <x:c r="A1072" s="84" t="str">
        <x:v>ORD-2024-01134</x:v>
      </x:c>
      <x:c r="B1072" s="85" t="n">
        <x:v>45645</x:v>
      </x:c>
      <x:c r="C1072" s="84" t="str">
        <x:v>CUST-0560</x:v>
      </x:c>
      <x:c r="D1072" s="84" t="str">
        <x:v>Sara Khan</x:v>
      </x:c>
      <x:c r="E1072" s="84" t="str">
        <x:v>Consumer </x:v>
      </x:c>
      <x:c r="F1072" s="84" t="str">
        <x:v>Northeast</x:v>
      </x:c>
      <x:c r="G1072" s="84" t="str">
        <x:v>Philadelphia </x:v>
      </x:c>
      <x:c r="H1072" s="84" t="str">
        <x:v>Online</x:v>
      </x:c>
      <x:c r="I1072" s="84" t="str">
        <x:v>ELEC-005</x:v>
      </x:c>
      <x:c r="J1072" s="86" t="n">
        <x:v>2</x:v>
      </x:c>
      <x:c r="K1072" s="87" t="n">
        <x:v>0.05</x:v>
      </x:c>
      <x:c r="L1072" s="84" t="str">
        <x:v>Completed</x:v>
      </x:c>
      <x:c r="M1072" s="84" t="str">
        <x:v>PayPal</x:v>
      </x:c>
      <x:c r="N1072" s="84" t="str">
        <x:v>Ethan Cole</x:v>
      </x:c>
      <x:c r="O1072" s="85" t="n">
        <x:v>45649</x:v>
      </x:c>
      <x:c r="P1072" s="84" t="str">
        <x:v>WEB_2024_12</x:v>
      </x:c>
      <x:c r="Q1072" s="84" t="str">
        <x:v>HD Webcam</x:v>
      </x:c>
      <x:c r="R1072" s="84" t="str">
        <x:v>Electronics</x:v>
      </x:c>
    </x:row>
    <x:row r="1073">
      <x:c r="A1073" s="84" t="str">
        <x:v>ORD-2024-01294</x:v>
      </x:c>
      <x:c r="B1073" s="85" t="n">
        <x:v>45645</x:v>
      </x:c>
      <x:c r="C1073" s="84" t="str">
        <x:v>CUST-0116</x:v>
      </x:c>
      <x:c r="D1073" s="84" t="str">
        <x:v>amelia khan</x:v>
      </x:c>
      <x:c r="E1073" s="84" t="str">
        <x:v>Consumer</x:v>
      </x:c>
      <x:c r="F1073" s="84" t="str">
        <x:v>Midwest</x:v>
      </x:c>
      <x:c r="G1073" s="84" t="str">
        <x:v>Minneapolis</x:v>
      </x:c>
      <x:c r="H1073" s="84" t="str">
        <x:v>Online</x:v>
      </x:c>
      <x:c r="I1073" s="84" t="str">
        <x:v>ACCS-003</x:v>
      </x:c>
      <x:c r="J1073" s="86" t="n">
        <x:v>1</x:v>
      </x:c>
      <x:c r="K1073" s="87" t="n">
        <x:v>0.1</x:v>
      </x:c>
      <x:c r="L1073" s="84" t="str">
        <x:v>Completed </x:v>
      </x:c>
      <x:c r="M1073" s="84" t="str">
        <x:v>Credit Card</x:v>
      </x:c>
      <x:c r="N1073" s="84" t="str">
        <x:v>Zoe Turner</x:v>
      </x:c>
      <x:c r="O1073" s="85" t="n">
        <x:v>45648</x:v>
      </x:c>
      <x:c r="P1073" s="84" t="str">
        <x:v>WEB_2024_12</x:v>
      </x:c>
      <x:c r="Q1073" s="84" t="str">
        <x:v>Polarized Sunglasses</x:v>
      </x:c>
      <x:c r="R1073" s="84" t="str">
        <x:v>Accessories</x:v>
      </x:c>
    </x:row>
    <x:row r="1074">
      <x:c r="A1074" s="84" t="str">
        <x:v>ORD-2024-00008</x:v>
      </x:c>
      <x:c r="B1074" s="85" t="n">
        <x:v>45646</x:v>
      </x:c>
      <x:c r="C1074" s="84" t="str">
        <x:v>CUST-0408</x:v>
      </x:c>
      <x:c r="D1074" s="84" t="str">
        <x:v>Caleb Smith</x:v>
      </x:c>
      <x:c r="E1074" s="84" t="str">
        <x:v>Small Business</x:v>
      </x:c>
      <x:c r="F1074" s="84" t="str">
        <x:v>southeast</x:v>
      </x:c>
      <x:c r="G1074" s="84" t="str">
        <x:v>Miami</x:v>
      </x:c>
      <x:c r="H1074" s="84" t="str">
        <x:v>Online</x:v>
      </x:c>
      <x:c r="I1074" s="84" t="str">
        <x:v>ELEC-001</x:v>
      </x:c>
      <x:c r="J1074" s="86" t="n">
        <x:v>1</x:v>
      </x:c>
      <x:c r="K1074" s="87" t="n">
        <x:v>0</x:v>
      </x:c>
      <x:c r="L1074" s="84" t="str">
        <x:v>Completed</x:v>
      </x:c>
      <x:c r="M1074" s="84" t="str">
        <x:v>Credit Card</x:v>
      </x:c>
      <x:c r="N1074" s="84" t="str">
        <x:v>Noah Reed</x:v>
      </x:c>
      <x:c r="O1074" s="85" t="n">
        <x:v>45649</x:v>
      </x:c>
      <x:c r="P1074" s="84" t="str">
        <x:v>WEB_2024_12</x:v>
      </x:c>
      <x:c r="Q1074" s="84" t="str">
        <x:v>Wireless Earbuds </x:v>
      </x:c>
      <x:c r="R1074" s="84" t="str">
        <x:v>Electronics</x:v>
      </x:c>
    </x:row>
    <x:row r="1075">
      <x:c r="A1075" s="84" t="str">
        <x:v>ORD-2024-00132</x:v>
      </x:c>
      <x:c r="B1075" s="85" t="n">
        <x:v>45646</x:v>
      </x:c>
      <x:c r="C1075" s="84" t="str">
        <x:v>CUST-0110</x:v>
      </x:c>
      <x:c r="D1075" s="84" t="str">
        <x:v>Chloe Hall</x:v>
      </x:c>
      <x:c r="E1075" s="84" t="str">
        <x:v>corporate</x:v>
      </x:c>
      <x:c r="F1075" s="84" t="str">
        <x:v>Southeast</x:v>
      </x:c>
      <x:c r="G1075" s="84" t="str">
        <x:v>Atlanta</x:v>
      </x:c>
      <x:c r="H1075" s="84" t="str">
        <x:v>retail store</x:v>
      </x:c>
      <x:c r="I1075" s="84" t="str">
        <x:v>ELEC-006</x:v>
      </x:c>
      <x:c r="J1075" s="86" t="n">
        <x:v>3</x:v>
      </x:c>
      <x:c r="K1075" s="87" t="n">
        <x:v>0.1</x:v>
      </x:c>
      <x:c r="L1075" s="84" t="str">
        <x:v>Completed </x:v>
      </x:c>
      <x:c r="M1075" s="84" t="str">
        <x:v>Cash</x:v>
      </x:c>
      <x:c r="N1075" s="84" t="str">
        <x:v>Ava Mitchell</x:v>
      </x:c>
      <x:c r="O1075" s="85" t="n">
        <x:v>45646</x:v>
      </x:c>
      <x:c r="P1075" s="84" t="str">
        <x:v>POS_2024_12</x:v>
      </x:c>
      <x:c r="Q1075" s="84" t="str">
        <x:v>Portable SSD</x:v>
      </x:c>
      <x:c r="R1075" s="84" t="str">
        <x:v>Electronics</x:v>
      </x:c>
    </x:row>
    <x:row r="1076">
      <x:c r="A1076" s="84" t="str">
        <x:v>ORD-2024-00670</x:v>
      </x:c>
      <x:c r="B1076" s="85" t="n">
        <x:v>45646</x:v>
      </x:c>
      <x:c r="C1076" s="84" t="str">
        <x:v>CUST-0116</x:v>
      </x:c>
      <x:c r="D1076" s="84" t="str">
        <x:v>Amelia Khan </x:v>
      </x:c>
      <x:c r="E1076" s="84" t="str">
        <x:v>Consumer</x:v>
      </x:c>
      <x:c r="F1076" s="84" t="str">
        <x:v>Midwest</x:v>
      </x:c>
      <x:c r="G1076" s="84" t="str">
        <x:v>Minneapolis</x:v>
      </x:c>
      <x:c r="H1076" s="84" t="str">
        <x:v>Retail Store</x:v>
      </x:c>
      <x:c r="I1076" s="84" t="str">
        <x:v>ELEC-006</x:v>
      </x:c>
      <x:c r="J1076" s="86" t="n">
        <x:v>3</x:v>
      </x:c>
      <x:c r="K1076" s="87" t="n">
        <x:v>0.15</x:v>
      </x:c>
      <x:c r="L1076" s="84" t="str">
        <x:v>Completed</x:v>
      </x:c>
      <x:c r="M1076" s="84" t="str">
        <x:v>debit card</x:v>
      </x:c>
      <x:c r="N1076" s="84" t="str">
        <x:v>Lucas Grant</x:v>
      </x:c>
      <x:c r="O1076" s="85" t="n">
        <x:v>45647</x:v>
      </x:c>
      <x:c r="P1076" s="84" t="str">
        <x:v>POS_2024_12</x:v>
      </x:c>
      <x:c r="Q1076" s="84" t="str">
        <x:v>Portable SSD</x:v>
      </x:c>
      <x:c r="R1076" s="84" t="str">
        <x:v>Electronics</x:v>
      </x:c>
    </x:row>
    <x:row r="1077">
      <x:c r="A1077" s="84" t="str">
        <x:v>ORD-2024-01095</x:v>
      </x:c>
      <x:c r="B1077" s="85" t="n">
        <x:v>45646</x:v>
      </x:c>
      <x:c r="C1077" s="84" t="str">
        <x:v>CUST-0023</x:v>
      </x:c>
      <x:c r="D1077" s="84" t="str">
        <x:v>Layla Nelson</x:v>
      </x:c>
      <x:c r="E1077" s="84" t="str">
        <x:v>Consumer</x:v>
      </x:c>
      <x:c r="F1077" s="84" t="str">
        <x:v>Northeast</x:v>
      </x:c>
      <x:c r="G1077" s="84" t="str">
        <x:v>New York</x:v>
      </x:c>
      <x:c r="H1077" s="84" t="str">
        <x:v>Online </x:v>
      </x:c>
      <x:c r="I1077" s="84" t="str">
        <x:v>HOME-006</x:v>
      </x:c>
      <x:c r="J1077" s="86" t="n">
        <x:v>2</x:v>
      </x:c>
      <x:c r="K1077" s="87" t="n">
        <x:v>0.2</x:v>
      </x:c>
      <x:c r="L1077" s="84" t="str">
        <x:v>Completed</x:v>
      </x:c>
      <x:c r="M1077" s="84" t="str">
        <x:v>Debit Card</x:v>
      </x:c>
      <x:c r="N1077" s="84" t="str">
        <x:v>Maya Brooks</x:v>
      </x:c>
      <x:c r="O1077" s="85" t="n">
        <x:v>45649</x:v>
      </x:c>
      <x:c r="P1077" s="84" t="str">
        <x:v>WEB_2024_12</x:v>
      </x:c>
      <x:c r="Q1077" s="84" t="str">
        <x:v>Food Storage Set</x:v>
      </x:c>
      <x:c r="R1077" s="84" t="str">
        <x:v>Home &amp; Kitchen</x:v>
      </x:c>
    </x:row>
    <x:row r="1078">
      <x:c r="A1078" s="84" t="str">
        <x:v>ORD-2024-01955</x:v>
      </x:c>
      <x:c r="B1078" s="85" t="n">
        <x:v>45646</x:v>
      </x:c>
      <x:c r="C1078" s="84" t="str">
        <x:v>CUST-0380</x:v>
      </x:c>
      <x:c r="D1078" s="84" t="str">
        <x:v>Caleb Patel</x:v>
      </x:c>
      <x:c r="E1078" s="84" t="str">
        <x:v> CONSUMER </x:v>
      </x:c>
      <x:c r="F1078" s="84" t="str">
        <x:v>southeast</x:v>
      </x:c>
      <x:c r="G1078" s="84" t="str">
        <x:v>Nashville</x:v>
      </x:c>
      <x:c r="H1078" s="84" t="str">
        <x:v>Marketplace</x:v>
      </x:c>
      <x:c r="I1078" s="84" t="str">
        <x:v>HOME-002</x:v>
      </x:c>
      <x:c r="J1078" s="86" t="n">
        <x:v>1</x:v>
      </x:c>
      <x:c r="K1078" s="87" t="n">
        <x:v>0.2</x:v>
      </x:c>
      <x:c r="L1078" s="84" t="str">
        <x:v>Completed</x:v>
      </x:c>
      <x:c r="M1078" s="84" t="str">
        <x:v>Credit Card</x:v>
      </x:c>
      <x:c r="N1078" s="84" t="str">
        <x:v>Ava Mitchell</x:v>
      </x:c>
      <x:c r="O1078" s="85" t="n">
        <x:v>45652</x:v>
      </x:c>
      <x:c r="P1078" s="84" t="str">
        <x:v>MKT_2024_12</x:v>
      </x:c>
      <x:c r="Q1078" s="84" t="str">
        <x:v>Electric Kettle</x:v>
      </x:c>
      <x:c r="R1078" s="84" t="str">
        <x:v>Home &amp; Kitchen </x:v>
      </x:c>
    </x:row>
    <x:row r="1079">
      <x:c r="A1079" s="84" t="str">
        <x:v>ORD-2024-00258</x:v>
      </x:c>
      <x:c r="B1079" s="85" t="n">
        <x:v>45647</x:v>
      </x:c>
      <x:c r="C1079" s="84" t="str">
        <x:v>CUST-0556</x:v>
      </x:c>
      <x:c r="D1079" s="84" t="str">
        <x:v>Grace Khan</x:v>
      </x:c>
      <x:c r="E1079" s="84" t="str">
        <x:v>Corporate</x:v>
      </x:c>
      <x:c r="F1079" s="84" t="str">
        <x:v>West</x:v>
      </x:c>
      <x:c r="G1079" s="84" t="str">
        <x:v>Los Angeles</x:v>
      </x:c>
      <x:c r="H1079" s="84" t="str">
        <x:v>Online</x:v>
      </x:c>
      <x:c r="I1079" s="84" t="str">
        <x:v>ELEC-005</x:v>
      </x:c>
      <x:c r="J1079" s="86" t="n">
        <x:v>8</x:v>
      </x:c>
      <x:c r="K1079" s="87" t="n">
        <x:v>0.1</x:v>
      </x:c>
      <x:c r="L1079" s="84" t="str">
        <x:v>Returned </x:v>
      </x:c>
      <x:c r="M1079" s="84" t="str">
        <x:v>Credit Card</x:v>
      </x:c>
      <x:c r="N1079" s="84" t="str">
        <x:v> LEO MARTINEZ </x:v>
      </x:c>
      <x:c r="O1079" s="85" t="n">
        <x:v>45652</x:v>
      </x:c>
      <x:c r="P1079" s="84" t="str">
        <x:v>WEB_2024_12</x:v>
      </x:c>
      <x:c r="Q1079" s="84" t="str">
        <x:v>HD Webcam</x:v>
      </x:c>
      <x:c r="R1079" s="84" t="str">
        <x:v>Electronics</x:v>
      </x:c>
    </x:row>
    <x:row r="1080">
      <x:c r="A1080" s="84" t="str">
        <x:v>ORD-2024-00398</x:v>
      </x:c>
      <x:c r="B1080" s="85" t="n">
        <x:v>45647</x:v>
      </x:c>
      <x:c r="C1080" s="84" t="str">
        <x:v>CUST-0260</x:v>
      </x:c>
      <x:c r="D1080" s="84" t="str">
        <x:v>Caleb Ortiz</x:v>
      </x:c>
      <x:c r="E1080" s="84" t="str">
        <x:v>Corporate</x:v>
      </x:c>
      <x:c r="F1080" s="84" t="str">
        <x:v>West</x:v>
      </x:c>
      <x:c r="G1080" s="84" t="str">
        <x:v>Los Angeles</x:v>
      </x:c>
      <x:c r="H1080" s="84" t="str">
        <x:v>Marketplace</x:v>
      </x:c>
      <x:c r="I1080" s="84" t="str">
        <x:v>ELEC-004</x:v>
      </x:c>
      <x:c r="J1080" s="86" t="n">
        <x:v>2</x:v>
      </x:c>
      <x:c r="K1080" s="87" t="n">
        <x:v>0.05</x:v>
      </x:c>
      <x:c r="L1080" s="84" t="str">
        <x:v>Completed </x:v>
      </x:c>
      <x:c r="M1080" s="84" t="str">
        <x:v>Credit Card</x:v>
      </x:c>
      <x:c r="N1080" s="84" t="str">
        <x:v>leo martinez</x:v>
      </x:c>
      <x:c r="O1080" s="85" t="n">
        <x:v>45655</x:v>
      </x:c>
      <x:c r="P1080" s="84" t="str">
        <x:v>MKT_2024_12</x:v>
      </x:c>
      <x:c r="Q1080" s="84" t="str">
        <x:v>Power Bank</x:v>
      </x:c>
      <x:c r="R1080" s="84" t="str">
        <x:v>Electronics</x:v>
      </x:c>
    </x:row>
    <x:row r="1081">
      <x:c r="A1081" s="84" t="str">
        <x:v>ORD-2024-01072</x:v>
      </x:c>
      <x:c r="B1081" s="85" t="n">
        <x:v>45647</x:v>
      </x:c>
      <x:c r="C1081" s="84" t="str">
        <x:v>CUST-0608</x:v>
      </x:c>
      <x:c r="D1081" s="84" t="str">
        <x:v>Victoria Patel</x:v>
      </x:c>
      <x:c r="E1081" s="84" t="str">
        <x:v>Consumer</x:v>
      </x:c>
      <x:c r="F1081" s="84" t="str">
        <x:v>Midwest</x:v>
      </x:c>
      <x:c r="G1081" s="84" t="str">
        <x:v>Chicago</x:v>
      </x:c>
      <x:c r="H1081" s="84" t="str">
        <x:v>Online</x:v>
      </x:c>
      <x:c r="I1081" s="84" t="str">
        <x:v>ELEC-002</x:v>
      </x:c>
      <x:c r="J1081" s="86" t="n">
        <x:v>1</x:v>
      </x:c>
      <x:c r="K1081" s="87" t="n">
        <x:v>0.1</x:v>
      </x:c>
      <x:c r="L1081" s="84" t="str">
        <x:v>Completed</x:v>
      </x:c>
      <x:c r="M1081" s="84" t="str">
        <x:v>PayPal</x:v>
      </x:c>
      <x:c r="N1081" s="84" t="str">
        <x:v>Lucas Grant</x:v>
      </x:c>
      <x:c r="O1081" s="85" t="n">
        <x:v>45650</x:v>
      </x:c>
      <x:c r="P1081" s="84" t="str">
        <x:v>WEB_2024_12</x:v>
      </x:c>
      <x:c r="Q1081" s="84" t="str">
        <x:v>Smartwatch </x:v>
      </x:c>
      <x:c r="R1081" s="84" t="str">
        <x:v>Electronics</x:v>
      </x:c>
    </x:row>
    <x:row r="1082">
      <x:c r="A1082" s="84" t="str">
        <x:v>ORD-2024-01168</x:v>
      </x:c>
      <x:c r="B1082" s="85" t="n">
        <x:v>45647</x:v>
      </x:c>
      <x:c r="C1082" s="84" t="str">
        <x:v>CUST-0344</x:v>
      </x:c>
      <x:c r="D1082" s="84" t="str">
        <x:v>Elena Quinn</x:v>
      </x:c>
      <x:c r="E1082" s="84" t="str">
        <x:v>Small Business</x:v>
      </x:c>
      <x:c r="F1082" s="84" t="str">
        <x:v>Northeast</x:v>
      </x:c>
      <x:c r="G1082" s="84" t="str">
        <x:v>Newark</x:v>
      </x:c>
      <x:c r="H1082" s="84" t="str">
        <x:v>Online</x:v>
      </x:c>
      <x:c r="I1082" s="84" t="str">
        <x:v>ACCS-006</x:v>
      </x:c>
      <x:c r="J1082" s="86" t="n">
        <x:v>1</x:v>
      </x:c>
      <x:c r="K1082" s="87" t="n">
        <x:v>0.15</x:v>
      </x:c>
      <x:c r="L1082" s="84" t="str">
        <x:v>Completed </x:v>
      </x:c>
      <x:c r="M1082" s="84" t="str">
        <x:v>Credit Card</x:v>
      </x:c>
      <x:c r="N1082" s="84" t="str">
        <x:v>maya brooks</x:v>
      </x:c>
      <x:c r="O1082" s="85" t="n">
        <x:v>45652</x:v>
      </x:c>
      <x:c r="P1082" s="84" t="str">
        <x:v>WEB_2024_12</x:v>
      </x:c>
      <x:c r="Q1082" s="84" t="str">
        <x:v>Insulated Lunch Bag</x:v>
      </x:c>
      <x:c r="R1082" s="84" t="str">
        <x:v>Accessories</x:v>
      </x:c>
    </x:row>
    <x:row r="1083">
      <x:c r="A1083" s="84" t="str">
        <x:v>ORD-2024-01558</x:v>
      </x:c>
      <x:c r="B1083" s="85" t="n">
        <x:v>45647</x:v>
      </x:c>
      <x:c r="C1083" s="84" t="str">
        <x:v>CUST-0008</x:v>
      </x:c>
      <x:c r="D1083" s="84" t="str">
        <x:v>nathan foster</x:v>
      </x:c>
      <x:c r="E1083" s="84" t="str">
        <x:v>Consumer</x:v>
      </x:c>
      <x:c r="F1083" s="84" t="str">
        <x:v>West </x:v>
      </x:c>
      <x:c r="G1083" s="84" t="str">
        <x:v>Denver</x:v>
      </x:c>
      <x:c r="H1083" s="84" t="str">
        <x:v>Retail Store</x:v>
      </x:c>
      <x:c r="I1083" s="84" t="str">
        <x:v>CARE-005</x:v>
      </x:c>
      <x:c r="J1083" s="86" t="n">
        <x:v>1</x:v>
      </x:c>
      <x:c r="K1083" s="87" t="n">
        <x:v>0.15</x:v>
      </x:c>
      <x:c r="L1083" s="84" t="str">
        <x:v>Completed</x:v>
      </x:c>
      <x:c r="M1083" s="84" t="str">
        <x:v> DEBIT CARD </x:v>
      </x:c>
      <x:c r="N1083" s="84" t="str">
        <x:v>Nora Kim </x:v>
      </x:c>
      <x:c r="O1083" s="85" t="n">
        <x:v>45648</x:v>
      </x:c>
      <x:c r="P1083" s="84" t="str">
        <x:v>POS_2024_12</x:v>
      </x:c>
      <x:c r="Q1083" s="84" t="str">
        <x:v>Skin Care Starter Kit</x:v>
      </x:c>
      <x:c r="R1083" s="84" t="str">
        <x:v>Personal Care</x:v>
      </x:c>
    </x:row>
    <x:row r="1084">
      <x:c r="A1084" s="84" t="str">
        <x:v>ORD-2024-01676</x:v>
      </x:c>
      <x:c r="B1084" s="85" t="n">
        <x:v>45647</x:v>
      </x:c>
      <x:c r="C1084" s="84" t="str">
        <x:v>CUST-0014</x:v>
      </x:c>
      <x:c r="D1084" s="84" t="str">
        <x:v>Jonah Irwin</x:v>
      </x:c>
      <x:c r="E1084" s="84" t="str">
        <x:v>Consumer</x:v>
      </x:c>
      <x:c r="F1084" s="84" t="str">
        <x:v>Southeast</x:v>
      </x:c>
      <x:c r="G1084" s="84" t="str">
        <x:v> MIAMI </x:v>
      </x:c>
      <x:c r="H1084" s="84" t="str">
        <x:v>Online </x:v>
      </x:c>
      <x:c r="I1084" s="84" t="str">
        <x:v>FITN-004</x:v>
      </x:c>
      <x:c r="J1084" s="86" t="n">
        <x:v>3</x:v>
      </x:c>
      <x:c r="K1084" s="87" t="n">
        <x:v>0</x:v>
      </x:c>
      <x:c r="L1084" s="84" t="str">
        <x:v>completed</x:v>
      </x:c>
      <x:c r="M1084" s="84" t="str">
        <x:v>Credit Card</x:v>
      </x:c>
      <x:c r="N1084" s="84" t="str">
        <x:v>Liam Parker</x:v>
      </x:c>
      <x:c r="O1084" s="85" t="n">
        <x:v>45652</x:v>
      </x:c>
      <x:c r="P1084" s="84" t="str">
        <x:v>WEB_2024_12</x:v>
      </x:c>
      <x:c r="Q1084" s="84" t="str">
        <x:v>Fitness Tracker</x:v>
      </x:c>
      <x:c r="R1084" s="84" t="str">
        <x:v>Fitness</x:v>
      </x:c>
    </x:row>
    <x:row r="1085">
      <x:c r="A1085" s="84" t="str">
        <x:v>ORD-2024-02249</x:v>
      </x:c>
      <x:c r="B1085" s="85" t="n">
        <x:v>45647</x:v>
      </x:c>
      <x:c r="C1085" s="84" t="str">
        <x:v>CUST-0385</x:v>
      </x:c>
      <x:c r="D1085" s="84" t="str">
        <x:v>Elias Garcia</x:v>
      </x:c>
      <x:c r="E1085" s="84" t="str">
        <x:v>Corporate</x:v>
      </x:c>
      <x:c r="F1085" s="84" t="str">
        <x:v>Southeast</x:v>
      </x:c>
      <x:c r="G1085" s="84" t="str">
        <x:v>Atlanta</x:v>
      </x:c>
      <x:c r="H1085" s="84" t="str">
        <x:v>Marketplace</x:v>
      </x:c>
      <x:c r="I1085" s="84" t="str">
        <x:v>ELEC-001</x:v>
      </x:c>
      <x:c r="J1085" s="86" t="n">
        <x:v>8</x:v>
      </x:c>
      <x:c r="K1085" s="87" t="n">
        <x:v>0.05</x:v>
      </x:c>
      <x:c r="L1085" s="84" t="str">
        <x:v> COMPLETED </x:v>
      </x:c>
      <x:c r="M1085" s="84" t="str">
        <x:v>Credit Card</x:v>
      </x:c>
      <x:c r="N1085" s="84" t="str">
        <x:v>Liam Parker</x:v>
      </x:c>
      <x:c r="O1085" s="85" t="n">
        <x:v>45655</x:v>
      </x:c>
      <x:c r="P1085" s="84" t="str">
        <x:v>MKT_2024_12</x:v>
      </x:c>
      <x:c r="Q1085" s="84" t="str">
        <x:v>Wireless Earbuds</x:v>
      </x:c>
      <x:c r="R1085" s="84" t="str">
        <x:v>Electronics </x:v>
      </x:c>
    </x:row>
    <x:row r="1086">
      <x:c r="A1086" s="84" t="str">
        <x:v>ORD-2024-00658</x:v>
      </x:c>
      <x:c r="B1086" s="85" t="n">
        <x:v>45648</x:v>
      </x:c>
      <x:c r="C1086" s="84" t="str">
        <x:v>CUST-0111</x:v>
      </x:c>
      <x:c r="D1086" s="84" t="str">
        <x:v>Elias Evans</x:v>
      </x:c>
      <x:c r="E1086" s="84" t="str">
        <x:v>Small Business </x:v>
      </x:c>
      <x:c r="F1086" s="84" t="str">
        <x:v>Northeast</x:v>
      </x:c>
      <x:c r="G1086" s="84" t="str">
        <x:v>New York </x:v>
      </x:c>
      <x:c r="H1086" s="84" t="str">
        <x:v>Marketplace</x:v>
      </x:c>
      <x:c r="I1086" s="84" t="str">
        <x:v>ACCS-005</x:v>
      </x:c>
      <x:c r="J1086" s="86" t="n">
        <x:v>1</x:v>
      </x:c>
      <x:c r="K1086" s="87" t="n">
        <x:v>0.1</x:v>
      </x:c>
      <x:c r="L1086" s="84" t="str">
        <x:v>Completed</x:v>
      </x:c>
      <x:c r="M1086" s="84" t="str">
        <x:v>Credit Card</x:v>
      </x:c>
      <x:c r="N1086" s="84" t="str">
        <x:v>Ethan Cole</x:v>
      </x:c>
      <x:c r="O1086" s="85" t="n">
        <x:v>45652</x:v>
      </x:c>
      <x:c r="P1086" s="84" t="str">
        <x:v>MKT_2024_12</x:v>
      </x:c>
      <x:c r="Q1086" s="84" t="str">
        <x:v>protective phone case</x:v>
      </x:c>
      <x:c r="R1086" s="84" t="str">
        <x:v>Accessories</x:v>
      </x:c>
    </x:row>
    <x:row r="1087">
      <x:c r="A1087" s="84" t="str">
        <x:v>ORD-2024-01818</x:v>
      </x:c>
      <x:c r="B1087" s="85" t="n">
        <x:v>45648</x:v>
      </x:c>
      <x:c r="C1087" s="84" t="str">
        <x:v>CUST-0350</x:v>
      </x:c>
      <x:c r="D1087" s="84" t="str">
        <x:v>Victoria Lewis </x:v>
      </x:c>
      <x:c r="E1087" s="84" t="str">
        <x:v>Consumer</x:v>
      </x:c>
      <x:c r="F1087" s="84" t="str">
        <x:v>Northeast</x:v>
      </x:c>
      <x:c r="G1087" s="84" t="str">
        <x:v>Philadelphia</x:v>
      </x:c>
      <x:c r="H1087" s="84" t="str">
        <x:v>Retail Store</x:v>
      </x:c>
      <x:c r="I1087" s="84" t="str">
        <x:v>OFFC-004</x:v>
      </x:c>
      <x:c r="J1087" s="86" t="n">
        <x:v>1</x:v>
      </x:c>
      <x:c r="K1087" s="87" t="n">
        <x:v>0.2</x:v>
      </x:c>
      <x:c r="L1087" s="84" t="str">
        <x:v>Completed</x:v>
      </x:c>
      <x:c r="M1087" s="84" t="str">
        <x:v>Cash </x:v>
      </x:c>
      <x:c r="N1087" s="84" t="str">
        <x:v>Ethan Cole</x:v>
      </x:c>
      <x:c r="O1087" s="85" t="n">
        <x:v>45648</x:v>
      </x:c>
      <x:c r="P1087" s="84" t="str">
        <x:v>POS_2024_12</x:v>
      </x:c>
      <x:c r="Q1087" s="84" t="str">
        <x:v>Premium Notebook Pack</x:v>
      </x:c>
      <x:c r="R1087" s="84" t="str">
        <x:v>office</x:v>
      </x:c>
    </x:row>
    <x:row r="1088">
      <x:c r="A1088" s="84" t="str">
        <x:v>ORD-2024-02324</x:v>
      </x:c>
      <x:c r="B1088" s="85" t="n">
        <x:v>45648</x:v>
      </x:c>
      <x:c r="C1088" s="84" t="str">
        <x:v>CUST-0178</x:v>
      </x:c>
      <x:c r="D1088" s="84" t="str">
        <x:v>Jasmine Baker</x:v>
      </x:c>
      <x:c r="E1088" s="84" t="str">
        <x:v>Corporate </x:v>
      </x:c>
      <x:c r="F1088" s="84" t="str">
        <x:v>Northeast</x:v>
      </x:c>
      <x:c r="G1088" s="84" t="str">
        <x:v>New York </x:v>
      </x:c>
      <x:c r="H1088" s="84" t="str">
        <x:v>Retail Store</x:v>
      </x:c>
      <x:c r="I1088" s="84" t="str">
        <x:v>ELEC-004</x:v>
      </x:c>
      <x:c r="J1088" s="86" t="n">
        <x:v>3</x:v>
      </x:c>
      <x:c r="K1088" s="87" t="n">
        <x:v>0</x:v>
      </x:c>
      <x:c r="L1088" s="84" t="str">
        <x:v>Completed</x:v>
      </x:c>
      <x:c r="M1088" s="84" t="str">
        <x:v>Debit Card</x:v>
      </x:c>
      <x:c r="N1088" s="84" t="str">
        <x:v>Ethan Cole</x:v>
      </x:c>
      <x:c r="O1088" s="85" t="n">
        <x:v>45648</x:v>
      </x:c>
      <x:c r="P1088" s="84" t="str">
        <x:v>POS_2024_12</x:v>
      </x:c>
      <x:c r="Q1088" s="84" t="str">
        <x:v>Power Bank</x:v>
      </x:c>
      <x:c r="R1088" s="84" t="str">
        <x:v>electronics</x:v>
      </x:c>
    </x:row>
    <x:row r="1089">
      <x:c r="A1089" s="84" t="str">
        <x:v>ORD-2024-00362</x:v>
      </x:c>
      <x:c r="B1089" s="85" t="n">
        <x:v>45649</x:v>
      </x:c>
      <x:c r="C1089" s="84" t="str">
        <x:v>CUST-0447</x:v>
      </x:c>
      <x:c r="D1089" s="84" t="str">
        <x:v>Elena Patel </x:v>
      </x:c>
      <x:c r="E1089" s="84" t="str">
        <x:v>Corporate</x:v>
      </x:c>
      <x:c r="F1089" s="84" t="str">
        <x:v>Midwest</x:v>
      </x:c>
      <x:c r="G1089" s="84" t="str">
        <x:v>Chicago</x:v>
      </x:c>
      <x:c r="H1089" s="84" t="str">
        <x:v>Retail Store</x:v>
      </x:c>
      <x:c r="I1089" s="84" t="str">
        <x:v>HOME-006</x:v>
      </x:c>
      <x:c r="J1089" s="86" t="n">
        <x:v>4</x:v>
      </x:c>
      <x:c r="K1089" s="87" t="n">
        <x:v>0.15</x:v>
      </x:c>
      <x:c r="L1089" s="84" t="str">
        <x:v> COMPLETED </x:v>
      </x:c>
      <x:c r="M1089" s="84" t="str">
        <x:v>credit card</x:v>
      </x:c>
      <x:c r="N1089" s="84" t="str">
        <x:v>Zoe Turner</x:v>
      </x:c>
      <x:c r="O1089" s="85" t="n">
        <x:v>45649</x:v>
      </x:c>
      <x:c r="P1089" s="84" t="str">
        <x:v>POS_2024_12</x:v>
      </x:c>
      <x:c r="Q1089" s="84" t="str">
        <x:v>Food Storage Set</x:v>
      </x:c>
      <x:c r="R1089" s="84" t="str">
        <x:v>Home &amp; Kitchen</x:v>
      </x:c>
    </x:row>
    <x:row r="1090">
      <x:c r="A1090" s="84" t="str">
        <x:v>ORD-2024-01123</x:v>
      </x:c>
      <x:c r="B1090" s="85" t="n">
        <x:v>45649</x:v>
      </x:c>
      <x:c r="C1090" s="84" t="str">
        <x:v>CUST-0532</x:v>
      </x:c>
      <x:c r="D1090" s="84" t="str">
        <x:v>Elena Hall</x:v>
      </x:c>
      <x:c r="E1090" s="84" t="str">
        <x:v>Small Business</x:v>
      </x:c>
      <x:c r="F1090" s="84" t="str">
        <x:v>Southeast</x:v>
      </x:c>
      <x:c r="G1090" s="84" t="str">
        <x:v>Charlotte</x:v>
      </x:c>
      <x:c r="H1090" s="84" t="str">
        <x:v>Retail Store </x:v>
      </x:c>
      <x:c r="I1090" s="84" t="str">
        <x:v>CARE-001</x:v>
      </x:c>
      <x:c r="J1090" s="86" t="n">
        <x:v>1</x:v>
      </x:c>
      <x:c r="K1090" s="87" t="n">
        <x:v>0</x:v>
      </x:c>
      <x:c r="L1090" s="84" t="str">
        <x:v>Completed</x:v>
      </x:c>
      <x:c r="M1090" s="84" t="str">
        <x:v>Debit Card</x:v>
      </x:c>
      <x:c r="N1090" s="84" t="str">
        <x:v>Ava Mitchell</x:v>
      </x:c>
      <x:c r="O1090" s="85" t="n">
        <x:v>45650</x:v>
      </x:c>
      <x:c r="P1090" s="84" t="str">
        <x:v>POS_2024_12</x:v>
      </x:c>
      <x:c r="Q1090" s="84" t="str">
        <x:v>Ionic Hair Dryer</x:v>
      </x:c>
      <x:c r="R1090" s="84" t="str">
        <x:v>Personal Care</x:v>
      </x:c>
    </x:row>
    <x:row r="1091">
      <x:c r="A1091" s="84" t="str">
        <x:v>ORD-2024-01198</x:v>
      </x:c>
      <x:c r="B1091" s="85" t="n">
        <x:v>45649</x:v>
      </x:c>
      <x:c r="C1091" s="84" t="str">
        <x:v>CUST-0518</x:v>
      </x:c>
      <x:c r="D1091" s="84" t="str">
        <x:v>Victoria Hall</x:v>
      </x:c>
      <x:c r="E1091" s="84" t="str">
        <x:v>Consumer</x:v>
      </x:c>
      <x:c r="F1091" s="84" t="str">
        <x:v>Midwest</x:v>
      </x:c>
      <x:c r="G1091" s="84" t="str">
        <x:v>Chicago</x:v>
      </x:c>
      <x:c r="H1091" s="84" t="str">
        <x:v>Retail Store</x:v>
      </x:c>
      <x:c r="I1091" s="84" t="str">
        <x:v>FITN-004</x:v>
      </x:c>
      <x:c r="J1091" s="86" t="n">
        <x:v>1</x:v>
      </x:c>
      <x:c r="K1091" s="87" t="n">
        <x:v>0.05</x:v>
      </x:c>
      <x:c r="L1091" s="84" t="str">
        <x:v>Completed</x:v>
      </x:c>
      <x:c r="M1091" s="84" t="str">
        <x:v>mobile wallet</x:v>
      </x:c>
      <x:c r="N1091" s="84" t="str">
        <x:v>Emma Hayes</x:v>
      </x:c>
      <x:c r="O1091" s="85" t="n">
        <x:v>45649</x:v>
      </x:c>
      <x:c r="P1091" s="84" t="str">
        <x:v>POS_2024_12</x:v>
      </x:c>
      <x:c r="Q1091" s="84" t="str">
        <x:v>Fitness Tracker </x:v>
      </x:c>
      <x:c r="R1091" s="84" t="str">
        <x:v>Fitness</x:v>
      </x:c>
    </x:row>
    <x:row r="1092">
      <x:c r="A1092" s="84" t="str">
        <x:v>ORD-2024-02246</x:v>
      </x:c>
      <x:c r="B1092" s="85" t="n">
        <x:v>45649</x:v>
      </x:c>
      <x:c r="C1092" s="84" t="str">
        <x:v>CUST-0238</x:v>
      </x:c>
      <x:c r="D1092" s="84" t="str">
        <x:v>Aiden Ortiz</x:v>
      </x:c>
      <x:c r="E1092" s="84" t="str">
        <x:v>Small Business</x:v>
      </x:c>
      <x:c r="F1092" s="84" t="str">
        <x:v>West</x:v>
      </x:c>
      <x:c r="G1092" s="84" t="str">
        <x:v>Phoenix</x:v>
      </x:c>
      <x:c r="H1092" s="84" t="str">
        <x:v>Retail Store</x:v>
      </x:c>
      <x:c r="I1092" s="84" t="str">
        <x:v>ELEC-004</x:v>
      </x:c>
      <x:c r="J1092" s="86" t="n">
        <x:v>2</x:v>
      </x:c>
      <x:c r="K1092" s="87" t="n">
        <x:v>0.15</x:v>
      </x:c>
      <x:c r="L1092" s="84" t="str">
        <x:v>Completed </x:v>
      </x:c>
      <x:c r="M1092" s="84" t="str">
        <x:v>Credit Card</x:v>
      </x:c>
      <x:c r="N1092" s="84" t="str">
        <x:v>leo martinez</x:v>
      </x:c>
      <x:c r="O1092" s="85" t="n">
        <x:v>45649</x:v>
      </x:c>
      <x:c r="P1092" s="84" t="str">
        <x:v>POS_2024_12</x:v>
      </x:c>
      <x:c r="Q1092" s="84" t="str">
        <x:v>Power Bank</x:v>
      </x:c>
      <x:c r="R1092" s="84" t="str">
        <x:v>Electronics</x:v>
      </x:c>
    </x:row>
    <x:row r="1093">
      <x:c r="A1093" s="84" t="str">
        <x:v>ORD-2024-00045</x:v>
      </x:c>
      <x:c r="B1093" s="85" t="n">
        <x:v>45650</x:v>
      </x:c>
      <x:c r="C1093" s="84" t="str">
        <x:v>CUST-0513</x:v>
      </x:c>
      <x:c r="D1093" s="84" t="str">
        <x:v>Zara Davis</x:v>
      </x:c>
      <x:c r="E1093" s="84" t="str">
        <x:v>Small Business</x:v>
      </x:c>
      <x:c r="F1093" s="84" t="str">
        <x:v>Midwest</x:v>
      </x:c>
      <x:c r="G1093" s="84" t="str">
        <x:v>Chicago</x:v>
      </x:c>
      <x:c r="H1093" s="84" t="str">
        <x:v>Retail Store </x:v>
      </x:c>
      <x:c r="I1093" s="84" t="str">
        <x:v>OFFC-006</x:v>
      </x:c>
      <x:c r="J1093" s="86" t="n">
        <x:v>2</x:v>
      </x:c>
      <x:c r="K1093" s="87" t="n">
        <x:v>0.15</x:v>
      </x:c>
      <x:c r="L1093" s="84" t="str">
        <x:v>Completed</x:v>
      </x:c>
      <x:c r="M1093" s="84" t="str">
        <x:v> MOBILE WALLET </x:v>
      </x:c>
      <x:c r="N1093" s="84" t="str">
        <x:v>Lucas Grant</x:v>
      </x:c>
      <x:c r="O1093" s="85" t="n">
        <x:v>45651</x:v>
      </x:c>
      <x:c r="P1093" s="84" t="str">
        <x:v>POS_2024_12</x:v>
      </x:c>
      <x:c r="Q1093" s="84" t="str">
        <x:v>Monitor Stand</x:v>
      </x:c>
      <x:c r="R1093" s="84" t="str">
        <x:v>Office</x:v>
      </x:c>
    </x:row>
    <x:row r="1094">
      <x:c r="A1094" s="84" t="str">
        <x:v>ORD-2024-00592</x:v>
      </x:c>
      <x:c r="B1094" s="85" t="n">
        <x:v>45650</x:v>
      </x:c>
      <x:c r="C1094" s="84" t="str">
        <x:v>CUST-0480</x:v>
      </x:c>
      <x:c r="D1094" s="84" t="str">
        <x:v> SAMUEL BAKER </x:v>
      </x:c>
      <x:c r="E1094" s="84" t="str">
        <x:v>Consumer</x:v>
      </x:c>
      <x:c r="F1094" s="84" t="str">
        <x:v> WEST </x:v>
      </x:c>
      <x:c r="G1094" s="84" t="str">
        <x:v>Denver</x:v>
      </x:c>
      <x:c r="H1094" s="84" t="str">
        <x:v>Marketplace</x:v>
      </x:c>
      <x:c r="I1094" s="84" t="str">
        <x:v>OFFC-006</x:v>
      </x:c>
      <x:c r="J1094" s="86" t="n">
        <x:v>2</x:v>
      </x:c>
      <x:c r="K1094" s="87" t="n">
        <x:v>0</x:v>
      </x:c>
      <x:c r="L1094" s="84" t="str">
        <x:v>Completed</x:v>
      </x:c>
      <x:c r="M1094" s="84" t="str">
        <x:v>Credit Card</x:v>
      </x:c>
      <x:c r="N1094" s="84" t="str">
        <x:v>Mia Chen </x:v>
      </x:c>
      <x:c r="O1094" s="85" t="n">
        <x:v>45655</x:v>
      </x:c>
      <x:c r="P1094" s="84" t="str">
        <x:v>MKT_2024_12</x:v>
      </x:c>
      <x:c r="Q1094" s="84" t="str">
        <x:v>monitor stand</x:v>
      </x:c>
      <x:c r="R1094" s="84" t="str">
        <x:v>Office</x:v>
      </x:c>
    </x:row>
    <x:row r="1095">
      <x:c r="A1095" s="84" t="str">
        <x:v>ORD-2024-00989</x:v>
      </x:c>
      <x:c r="B1095" s="85" t="n">
        <x:v>45650</x:v>
      </x:c>
      <x:c r="C1095" s="84" t="str">
        <x:v>CUST-0358</x:v>
      </x:c>
      <x:c r="D1095" s="84" t="str">
        <x:v>Grace Roberts</x:v>
      </x:c>
      <x:c r="E1095" s="84" t="str">
        <x:v>Consumer</x:v>
      </x:c>
      <x:c r="F1095" s="84" t="str">
        <x:v>West</x:v>
      </x:c>
      <x:c r="G1095" s="84" t="str">
        <x:v>Seattle</x:v>
      </x:c>
      <x:c r="H1095" s="84" t="str">
        <x:v>Retail Store</x:v>
      </x:c>
      <x:c r="I1095" s="84" t="str">
        <x:v>ACCS-005</x:v>
      </x:c>
      <x:c r="J1095" s="86" t="n">
        <x:v>2</x:v>
      </x:c>
      <x:c r="K1095" s="87" t="n">
        <x:v>0.15</x:v>
      </x:c>
      <x:c r="L1095" s="84" t="str">
        <x:v>Completed</x:v>
      </x:c>
      <x:c r="M1095" s="84" t="str">
        <x:v>credit card</x:v>
      </x:c>
      <x:c r="N1095" s="84" t="str">
        <x:v> LEO MARTINEZ </x:v>
      </x:c>
      <x:c r="O1095" s="85" t="n">
        <x:v>45650</x:v>
      </x:c>
      <x:c r="P1095" s="84" t="str">
        <x:v>POS_2024_12</x:v>
      </x:c>
      <x:c r="Q1095" s="84" t="str">
        <x:v>Protective Phone Case</x:v>
      </x:c>
      <x:c r="R1095" s="84" t="str">
        <x:v>Accessories </x:v>
      </x:c>
    </x:row>
    <x:row r="1096">
      <x:c r="A1096" s="84" t="str">
        <x:v>ORD-2024-01256</x:v>
      </x:c>
      <x:c r="B1096" s="85" t="n">
        <x:v>45650</x:v>
      </x:c>
      <x:c r="C1096" s="84" t="str">
        <x:v>CUST-0375</x:v>
      </x:c>
      <x:c r="D1096" s="84" t="str">
        <x:v>Grace Baker</x:v>
      </x:c>
      <x:c r="E1096" s="84" t="str">
        <x:v>Consumer</x:v>
      </x:c>
      <x:c r="F1096" s="84" t="str">
        <x:v>Midwest</x:v>
      </x:c>
      <x:c r="G1096" s="84" t="str">
        <x:v>Minneapolis</x:v>
      </x:c>
      <x:c r="H1096" s="84" t="str">
        <x:v>Retail Store </x:v>
      </x:c>
      <x:c r="I1096" s="84" t="str">
        <x:v>ACCS-001</x:v>
      </x:c>
      <x:c r="J1096" s="86" t="n">
        <x:v>1</x:v>
      </x:c>
      <x:c r="K1096" s="87" t="n">
        <x:v>0</x:v>
      </x:c>
      <x:c r="L1096" s="84" t="str">
        <x:v>Completed</x:v>
      </x:c>
      <x:c r="M1096" s="84" t="str">
        <x:v>Credit Card</x:v>
      </x:c>
      <x:c r="N1096" s="84" t="str">
        <x:v>emma hayes</x:v>
      </x:c>
      <x:c r="O1096" s="85" t="n">
        <x:v>45650</x:v>
      </x:c>
      <x:c r="P1096" s="84" t="str">
        <x:v>POS_2024_12</x:v>
      </x:c>
      <x:c r="Q1096" s="84" t="str">
        <x:v>Canvas Tote Bag</x:v>
      </x:c>
      <x:c r="R1096" s="84" t="str">
        <x:v> ACCESSORIES </x:v>
      </x:c>
    </x:row>
    <x:row r="1097">
      <x:c r="A1097" s="84" t="str">
        <x:v>ORD-2024-01397</x:v>
      </x:c>
      <x:c r="B1097" s="85" t="n">
        <x:v>45650</x:v>
      </x:c>
      <x:c r="C1097" s="84" t="str">
        <x:v>CUST-0030</x:v>
      </x:c>
      <x:c r="D1097" s="84" t="str">
        <x:v>Owen Patel</x:v>
      </x:c>
      <x:c r="E1097" s="84" t="str">
        <x:v>corporate</x:v>
      </x:c>
      <x:c r="F1097" s="84" t="str">
        <x:v>Southeast </x:v>
      </x:c>
      <x:c r="G1097" s="84" t="str">
        <x:v>Charlotte</x:v>
      </x:c>
      <x:c r="H1097" s="84" t="str">
        <x:v>marketplace</x:v>
      </x:c>
      <x:c r="I1097" s="84" t="str">
        <x:v>FITN-004</x:v>
      </x:c>
      <x:c r="J1097" s="86" t="n">
        <x:v>5</x:v>
      </x:c>
      <x:c r="K1097" s="87" t="n">
        <x:v>0.2</x:v>
      </x:c>
      <x:c r="L1097" s="84" t="str">
        <x:v>Completed</x:v>
      </x:c>
      <x:c r="M1097" s="84" t="str">
        <x:v>Credit Card</x:v>
      </x:c>
      <x:c r="N1097" s="84" t="str">
        <x:v> AVA MITCHELL </x:v>
      </x:c>
      <x:c r="O1097" s="85" t="n">
        <x:v>45657</x:v>
      </x:c>
      <x:c r="P1097" s="84" t="str">
        <x:v>MKT_2024_12</x:v>
      </x:c>
      <x:c r="Q1097" s="84" t="str">
        <x:v>Fitness Tracker</x:v>
      </x:c>
      <x:c r="R1097" s="84" t="str">
        <x:v>Fitness</x:v>
      </x:c>
    </x:row>
    <x:row r="1098">
      <x:c r="A1098" s="84" t="str">
        <x:v>ORD-2024-01936</x:v>
      </x:c>
      <x:c r="B1098" s="85" t="n">
        <x:v>45650</x:v>
      </x:c>
      <x:c r="C1098" s="84" t="str">
        <x:v>CUST-0058</x:v>
      </x:c>
      <x:c r="D1098" s="84" t="str">
        <x:v>Zara Evans</x:v>
      </x:c>
      <x:c r="E1098" s="84" t="str">
        <x:v>consumer</x:v>
      </x:c>
      <x:c r="F1098" s="84" t="str">
        <x:v>Midwest </x:v>
      </x:c>
      <x:c r="G1098" s="84" t="str">
        <x:v>Chicago</x:v>
      </x:c>
      <x:c r="H1098" s="84" t="str">
        <x:v>online</x:v>
      </x:c>
      <x:c r="I1098" s="84" t="str">
        <x:v>ELEC-003</x:v>
      </x:c>
      <x:c r="J1098" s="86" t="n">
        <x:v>1</x:v>
      </x:c>
      <x:c r="K1098" s="87" t="n">
        <x:v>0.1</x:v>
      </x:c>
      <x:c r="L1098" s="84" t="str">
        <x:v>Completed</x:v>
      </x:c>
      <x:c r="M1098" s="84" t="str">
        <x:v>PayPal</x:v>
      </x:c>
      <x:c r="N1098" s="84" t="str">
        <x:v>Zoe Turner </x:v>
      </x:c>
      <x:c r="O1098" s="85" t="n">
        <x:v>45656</x:v>
      </x:c>
      <x:c r="P1098" s="84" t="str">
        <x:v>WEB_2024_12</x:v>
      </x:c>
      <x:c r="Q1098" s="84" t="str">
        <x:v>Bluetooth Speaker</x:v>
      </x:c>
      <x:c r="R1098" s="84" t="str">
        <x:v> ELECTRONICS </x:v>
      </x:c>
    </x:row>
    <x:row r="1099">
      <x:c r="A1099" s="84" t="str">
        <x:v>ORD-2024-01132</x:v>
      </x:c>
      <x:c r="B1099" s="85" t="n">
        <x:v>45651</x:v>
      </x:c>
      <x:c r="C1099" s="84" t="str">
        <x:v>CUST-0054</x:v>
      </x:c>
      <x:c r="D1099" s="84" t="str">
        <x:v>Priya Roberts </x:v>
      </x:c>
      <x:c r="E1099" s="84" t="str">
        <x:v>Consumer</x:v>
      </x:c>
      <x:c r="F1099" s="84" t="str">
        <x:v>West</x:v>
      </x:c>
      <x:c r="G1099" s="84" t="str">
        <x:v> PHOENIX </x:v>
      </x:c>
      <x:c r="H1099" s="84" t="str">
        <x:v>Retail Store</x:v>
      </x:c>
      <x:c r="I1099" s="84" t="str">
        <x:v>ELEC-002</x:v>
      </x:c>
      <x:c r="J1099" s="86" t="n">
        <x:v>1</x:v>
      </x:c>
      <x:c r="K1099" s="87" t="n">
        <x:v>0.15</x:v>
      </x:c>
      <x:c r="L1099" s="84" t="str">
        <x:v>Completed</x:v>
      </x:c>
      <x:c r="M1099" s="84" t="str">
        <x:v>credit card</x:v>
      </x:c>
      <x:c r="N1099" s="84" t="str">
        <x:v>Nora Kim</x:v>
      </x:c>
      <x:c r="O1099" s="85" t="n">
        <x:v>45651</x:v>
      </x:c>
      <x:c r="P1099" s="84" t="str">
        <x:v>POS_2024_12</x:v>
      </x:c>
      <x:c r="Q1099" s="84" t="str">
        <x:v>Smartwatch</x:v>
      </x:c>
      <x:c r="R1099" s="84" t="str">
        <x:v>Electronics</x:v>
      </x:c>
    </x:row>
    <x:row r="1100">
      <x:c r="A1100" s="84" t="str">
        <x:v>ORD-2024-01292</x:v>
      </x:c>
      <x:c r="B1100" s="85" t="n">
        <x:v>45651</x:v>
      </x:c>
      <x:c r="C1100" s="84" t="str">
        <x:v>CUST-0336</x:v>
      </x:c>
      <x:c r="D1100" s="84" t="str">
        <x:v>Jonah Garcia</x:v>
      </x:c>
      <x:c r="E1100" s="84" t="str">
        <x:v> CONSUMER </x:v>
      </x:c>
      <x:c r="F1100" s="84" t="str">
        <x:v>West </x:v>
      </x:c>
      <x:c r="G1100" s="84" t="str">
        <x:v>Phoenix</x:v>
      </x:c>
      <x:c r="H1100" s="84" t="str">
        <x:v>Retail Store</x:v>
      </x:c>
      <x:c r="I1100" s="84" t="str">
        <x:v>HOME-002</x:v>
      </x:c>
      <x:c r="J1100" s="86" t="n">
        <x:v>3</x:v>
      </x:c>
      <x:c r="K1100" s="87" t="n">
        <x:v>0</x:v>
      </x:c>
      <x:c r="L1100" s="84" t="str">
        <x:v>Completed</x:v>
      </x:c>
      <x:c r="M1100" s="84" t="str">
        <x:v>Mobile Wallet</x:v>
      </x:c>
      <x:c r="N1100" s="84" t="str">
        <x:v>Mia Chen </x:v>
      </x:c>
      <x:c r="O1100" s="85" t="n">
        <x:v>45651</x:v>
      </x:c>
      <x:c r="P1100" s="84" t="str">
        <x:v>POS_2024_12</x:v>
      </x:c>
      <x:c r="Q1100" s="84" t="str">
        <x:v>Electric Kettle</x:v>
      </x:c>
      <x:c r="R1100" s="84" t="str">
        <x:v>Home &amp; Kitchen</x:v>
      </x:c>
    </x:row>
    <x:row r="1101">
      <x:c r="A1101" s="84" t="str">
        <x:v>ORD-2024-02284</x:v>
      </x:c>
      <x:c r="B1101" s="85" t="n">
        <x:v>45651</x:v>
      </x:c>
      <x:c r="C1101" s="84" t="str">
        <x:v>CUST-0374</x:v>
      </x:c>
      <x:c r="D1101" s="84" t="str">
        <x:v>priya lewis</x:v>
      </x:c>
      <x:c r="E1101" s="84" t="str">
        <x:v>Corporate</x:v>
      </x:c>
      <x:c r="F1101" s="84" t="str">
        <x:v>Southeast</x:v>
      </x:c>
      <x:c r="G1101" s="84" t="str">
        <x:v>Miami</x:v>
      </x:c>
      <x:c r="H1101" s="84" t="str">
        <x:v> ONLINE </x:v>
      </x:c>
      <x:c r="I1101" s="84" t="str">
        <x:v>ELEC-006</x:v>
      </x:c>
      <x:c r="J1101" s="86" t="n">
        <x:v>6</x:v>
      </x:c>
      <x:c r="K1101" s="87" t="n">
        <x:v>0.05</x:v>
      </x:c>
      <x:c r="L1101" s="84" t="str">
        <x:v>Returned</x:v>
      </x:c>
      <x:c r="M1101" s="84" t="str">
        <x:v>Debit Card</x:v>
      </x:c>
      <x:c r="N1101" s="84" t="str">
        <x:v>Ava Mitchell</x:v>
      </x:c>
      <x:c r="O1101" s="85" t="n">
        <x:v>45654</x:v>
      </x:c>
      <x:c r="P1101" s="84" t="str">
        <x:v>WEB_2024_12</x:v>
      </x:c>
      <x:c r="Q1101" s="84" t="str">
        <x:v>Portable SSD</x:v>
      </x:c>
      <x:c r="R1101" s="84" t="str">
        <x:v>Electronics </x:v>
      </x:c>
    </x:row>
    <x:row r="1102">
      <x:c r="A1102" s="84" t="str">
        <x:v>ORD-2024-00071</x:v>
      </x:c>
      <x:c r="B1102" s="85" t="n">
        <x:v>45652</x:v>
      </x:c>
      <x:c r="C1102" s="84" t="str">
        <x:v>CUST-0591</x:v>
      </x:c>
      <x:c r="D1102" s="84" t="str">
        <x:v>Grace Quinn</x:v>
      </x:c>
      <x:c r="E1102" s="84" t="str">
        <x:v>Consumer</x:v>
      </x:c>
      <x:c r="F1102" s="84" t="str">
        <x:v>Northeast</x:v>
      </x:c>
      <x:c r="G1102" s="84" t="str">
        <x:v>Philadelphia</x:v>
      </x:c>
      <x:c r="H1102" s="84" t="str">
        <x:v>Retail Store</x:v>
      </x:c>
      <x:c r="I1102" s="84" t="str">
        <x:v>ELEC-004</x:v>
      </x:c>
      <x:c r="J1102" s="86" t="n">
        <x:v>1</x:v>
      </x:c>
      <x:c r="K1102" s="87" t="n">
        <x:v>0.05</x:v>
      </x:c>
      <x:c r="L1102" s="84" t="str">
        <x:v>Completed</x:v>
      </x:c>
      <x:c r="M1102" s="84" t="str">
        <x:v>Mobile Wallet</x:v>
      </x:c>
      <x:c r="N1102" s="84" t="str">
        <x:v> ETHAN COLE </x:v>
      </x:c>
      <x:c r="O1102" s="85" t="n">
        <x:v>45652</x:v>
      </x:c>
      <x:c r="P1102" s="84" t="str">
        <x:v>POS_2024_12</x:v>
      </x:c>
      <x:c r="Q1102" s="84" t="str">
        <x:v>Power Bank </x:v>
      </x:c>
      <x:c r="R1102" s="84" t="str">
        <x:v>Electronics</x:v>
      </x:c>
    </x:row>
    <x:row r="1103">
      <x:c r="A1103" s="84" t="str">
        <x:v>ORD-2024-00988</x:v>
      </x:c>
      <x:c r="B1103" s="85" t="n">
        <x:v>45652</x:v>
      </x:c>
      <x:c r="C1103" s="84" t="str">
        <x:v>CUST-0200</x:v>
      </x:c>
      <x:c r="D1103" s="84" t="str">
        <x:v>Priya Patel</x:v>
      </x:c>
      <x:c r="E1103" s="84" t="str">
        <x:v>Consumer</x:v>
      </x:c>
      <x:c r="F1103" s="84" t="str">
        <x:v>Midwest</x:v>
      </x:c>
      <x:c r="G1103" s="84" t="str">
        <x:v>Detroit</x:v>
      </x:c>
      <x:c r="H1103" s="84" t="str">
        <x:v>Marketplace</x:v>
      </x:c>
      <x:c r="I1103" s="84" t="str">
        <x:v>HOME-003</x:v>
      </x:c>
      <x:c r="J1103" s="86" t="n">
        <x:v>2</x:v>
      </x:c>
      <x:c r="K1103" s="87" t="n">
        <x:v>0.15</x:v>
      </x:c>
      <x:c r="L1103" s="84" t="str">
        <x:v>Completed</x:v>
      </x:c>
      <x:c r="M1103" s="84" t="str">
        <x:v>Debit Card</x:v>
      </x:c>
      <x:c r="N1103" s="84" t="str">
        <x:v>Emma Hayes</x:v>
      </x:c>
      <x:c r="O1103" s="85" t="n">
        <x:v>45656</x:v>
      </x:c>
      <x:c r="P1103" s="84" t="str">
        <x:v>MKT_2024_12</x:v>
      </x:c>
      <x:c r="Q1103" s="84" t="str">
        <x:v>countertop blender</x:v>
      </x:c>
      <x:c r="R1103" s="84" t="str">
        <x:v>Home &amp; Kitchen</x:v>
      </x:c>
    </x:row>
    <x:row r="1104">
      <x:c r="A1104" s="84" t="str">
        <x:v>ORD-2024-01044</x:v>
      </x:c>
      <x:c r="B1104" s="85" t="n">
        <x:v>45652</x:v>
      </x:c>
      <x:c r="C1104" s="84" t="str">
        <x:v>CUST-0200</x:v>
      </x:c>
      <x:c r="D1104" s="84" t="str">
        <x:v>Priya Patel</x:v>
      </x:c>
      <x:c r="E1104" s="84" t="str">
        <x:v>Consumer</x:v>
      </x:c>
      <x:c r="F1104" s="84" t="str">
        <x:v>Midwest</x:v>
      </x:c>
      <x:c r="G1104" s="84" t="str">
        <x:v>Detroit</x:v>
      </x:c>
      <x:c r="H1104" s="84" t="str">
        <x:v>Retail Store</x:v>
      </x:c>
      <x:c r="I1104" s="84" t="str">
        <x:v>ACCS-001</x:v>
      </x:c>
      <x:c r="J1104" s="86" t="n">
        <x:v>1</x:v>
      </x:c>
      <x:c r="K1104" s="87" t="n">
        <x:v>0</x:v>
      </x:c>
      <x:c r="L1104" s="84" t="str">
        <x:v>Completed</x:v>
      </x:c>
      <x:c r="M1104" s="84" t="str">
        <x:v>cash</x:v>
      </x:c>
      <x:c r="N1104" s="84" t="str">
        <x:v>Lucas Grant</x:v>
      </x:c>
      <x:c r="O1104" s="85" t="n">
        <x:v>45652</x:v>
      </x:c>
      <x:c r="P1104" s="84" t="str">
        <x:v>POS_2024_12</x:v>
      </x:c>
      <x:c r="Q1104" s="84" t="str">
        <x:v>Canvas Tote Bag </x:v>
      </x:c>
      <x:c r="R1104" s="84" t="str">
        <x:v>Accessories</x:v>
      </x:c>
    </x:row>
    <x:row r="1105">
      <x:c r="A1105" s="84" t="str">
        <x:v>ORD-2024-01825</x:v>
      </x:c>
      <x:c r="B1105" s="85" t="n">
        <x:v>45652</x:v>
      </x:c>
      <x:c r="C1105" s="84" t="str">
        <x:v>CUST-0172</x:v>
      </x:c>
      <x:c r="D1105" s="84" t="str">
        <x:v>Amelia Young </x:v>
      </x:c>
      <x:c r="E1105" s="84" t="str">
        <x:v>Consumer</x:v>
      </x:c>
      <x:c r="F1105" s="84" t="str">
        <x:v>Midwest</x:v>
      </x:c>
      <x:c r="G1105" s="84" t="str">
        <x:v>Columbus</x:v>
      </x:c>
      <x:c r="H1105" s="84" t="str">
        <x:v> ONLINE </x:v>
      </x:c>
      <x:c r="I1105" s="84" t="str">
        <x:v>CARE-003</x:v>
      </x:c>
      <x:c r="J1105" s="86" t="n">
        <x:v>3</x:v>
      </x:c>
      <x:c r="K1105" s="87" t="n">
        <x:v>0.1</x:v>
      </x:c>
      <x:c r="L1105" s="84" t="str">
        <x:v>Completed</x:v>
      </x:c>
      <x:c r="M1105" s="84" t="str">
        <x:v>paypal</x:v>
      </x:c>
      <x:c r="N1105" s="84" t="str">
        <x:v>Lucas Grant</x:v>
      </x:c>
      <x:c r="O1105" s="85" t="n">
        <x:v>45658</x:v>
      </x:c>
      <x:c r="P1105" s="84" t="str">
        <x:v>WEB_2024_12</x:v>
      </x:c>
      <x:c r="Q1105" s="84" t="str">
        <x:v>Facial Cleanser</x:v>
      </x:c>
      <x:c r="R1105" s="84" t="str">
        <x:v>Personal Care</x:v>
      </x:c>
    </x:row>
    <x:row r="1106">
      <x:c r="A1106" s="84" t="str">
        <x:v>ORD-2024-00682</x:v>
      </x:c>
      <x:c r="B1106" s="85" t="n">
        <x:v>45653</x:v>
      </x:c>
      <x:c r="C1106" s="84" t="str">
        <x:v>CUST-0183</x:v>
      </x:c>
      <x:c r="D1106" s="84" t="str">
        <x:v>Jasmine Taylor</x:v>
      </x:c>
      <x:c r="E1106" s="84" t="str">
        <x:v>corporate</x:v>
      </x:c>
      <x:c r="F1106" s="84" t="str">
        <x:v>West</x:v>
      </x:c>
      <x:c r="G1106" s="84" t="str">
        <x:v>Denver</x:v>
      </x:c>
      <x:c r="H1106" s="84" t="str">
        <x:v>online</x:v>
      </x:c>
      <x:c r="I1106" s="84" t="str">
        <x:v>HOME-005</x:v>
      </x:c>
      <x:c r="J1106" s="86" t="n">
        <x:v>2</x:v>
      </x:c>
      <x:c r="K1106" s="87" t="n">
        <x:v>0.05</x:v>
      </x:c>
      <x:c r="L1106" s="84" t="str">
        <x:v>Completed</x:v>
      </x:c>
      <x:c r="M1106" s="84" t="str">
        <x:v>Debit Card</x:v>
      </x:c>
      <x:c r="N1106" s="84" t="str">
        <x:v>Mia Chen</x:v>
      </x:c>
      <x:c r="O1106" s="85" t="n">
        <x:v>45657</x:v>
      </x:c>
      <x:c r="P1106" s="84" t="str">
        <x:v>WEB_2024_12</x:v>
      </x:c>
      <x:c r="Q1106" s="84" t="str">
        <x:v>Cordless Vacuum</x:v>
      </x:c>
      <x:c r="R1106" s="84" t="str">
        <x:v>Home &amp; Kitchen</x:v>
      </x:c>
    </x:row>
    <x:row r="1107">
      <x:c r="A1107" s="84" t="str">
        <x:v>ORD-2024-01993</x:v>
      </x:c>
      <x:c r="B1107" s="85" t="n">
        <x:v>45653</x:v>
      </x:c>
      <x:c r="C1107" s="84" t="str">
        <x:v>CUST-0227</x:v>
      </x:c>
      <x:c r="D1107" s="84" t="str">
        <x:v>Maya Foster </x:v>
      </x:c>
      <x:c r="E1107" s="84" t="str">
        <x:v>Consumer</x:v>
      </x:c>
      <x:c r="F1107" s="84" t="str">
        <x:v>West</x:v>
      </x:c>
      <x:c r="G1107" s="84" t="str">
        <x:v>Phoenix</x:v>
      </x:c>
      <x:c r="H1107" s="84" t="str">
        <x:v>Marketplace</x:v>
      </x:c>
      <x:c r="I1107" s="84" t="str">
        <x:v>ACCS-002</x:v>
      </x:c>
      <x:c r="J1107" s="86" t="n">
        <x:v>1</x:v>
      </x:c>
      <x:c r="K1107" s="87" t="n">
        <x:v>0.2</x:v>
      </x:c>
      <x:c r="L1107" s="84" t="str">
        <x:v>Completed</x:v>
      </x:c>
      <x:c r="M1107" s="84" t="str">
        <x:v>Credit Card </x:v>
      </x:c>
      <x:c r="N1107" s="84" t="str">
        <x:v>nora kim</x:v>
      </x:c>
      <x:c r="O1107" s="85" t="n">
        <x:v>45659</x:v>
      </x:c>
      <x:c r="P1107" s="84" t="str">
        <x:v>MKT_2024_12</x:v>
      </x:c>
      <x:c r="Q1107" s="84" t="str">
        <x:v> TRAVEL BACKPACK </x:v>
      </x:c>
      <x:c r="R1107" s="84" t="str">
        <x:v>Accessories</x:v>
      </x:c>
    </x:row>
    <x:row r="1108">
      <x:c r="A1108" s="84" t="str">
        <x:v>ORD-2024-02005</x:v>
      </x:c>
      <x:c r="B1108" s="85" t="n">
        <x:v>45653</x:v>
      </x:c>
      <x:c r="C1108" s="84" t="str">
        <x:v>CUST-0163</x:v>
      </x:c>
      <x:c r="D1108" s="84" t="str">
        <x:v>Aiden Davis</x:v>
      </x:c>
      <x:c r="E1108" s="84" t="str">
        <x:v>Consumer</x:v>
      </x:c>
      <x:c r="F1108" s="84" t="str">
        <x:v>Midwest</x:v>
      </x:c>
      <x:c r="G1108" s="84" t="str">
        <x:v>Chicago</x:v>
      </x:c>
      <x:c r="H1108" s="84" t="str">
        <x:v>Marketplace </x:v>
      </x:c>
      <x:c r="I1108" s="84" t="str">
        <x:v>HOME-003</x:v>
      </x:c>
      <x:c r="J1108" s="86" t="n">
        <x:v>3</x:v>
      </x:c>
      <x:c r="K1108" s="87" t="n">
        <x:v>0.15</x:v>
      </x:c>
      <x:c r="L1108" s="84" t="str">
        <x:v>Completed</x:v>
      </x:c>
      <x:c r="M1108" s="84" t="str">
        <x:v>Credit Card</x:v>
      </x:c>
      <x:c r="N1108" s="84" t="str">
        <x:v>Lucas Grant</x:v>
      </x:c>
      <x:c r="O1108" s="85" t="n">
        <x:v>45659</x:v>
      </x:c>
      <x:c r="P1108" s="84" t="str">
        <x:v>MKT_2024_12</x:v>
      </x:c>
      <x:c r="Q1108" s="84" t="str">
        <x:v>Countertop Blender</x:v>
      </x:c>
      <x:c r="R1108" s="84" t="str">
        <x:v>home &amp; kitchen</x:v>
      </x:c>
    </x:row>
    <x:row r="1109">
      <x:c r="A1109" s="84" t="str">
        <x:v>ORD-2024-00004</x:v>
      </x:c>
      <x:c r="B1109" s="85" t="n">
        <x:v>45654</x:v>
      </x:c>
      <x:c r="C1109" s="84" t="str">
        <x:v>CUST-0371</x:v>
      </x:c>
      <x:c r="D1109" s="84" t="str">
        <x:v>Sara Moore</x:v>
      </x:c>
      <x:c r="E1109" s="84" t="str">
        <x:v>Small Business</x:v>
      </x:c>
      <x:c r="F1109" s="84" t="str">
        <x:v>West </x:v>
      </x:c>
      <x:c r="G1109" s="84" t="str">
        <x:v>seattle</x:v>
      </x:c>
      <x:c r="H1109" s="84" t="str">
        <x:v>Marketplace</x:v>
      </x:c>
      <x:c r="I1109" s="84" t="str">
        <x:v>ELEC-006</x:v>
      </x:c>
      <x:c r="J1109" s="86" t="n">
        <x:v>3</x:v>
      </x:c>
      <x:c r="K1109" s="87" t="n">
        <x:v>0.15</x:v>
      </x:c>
      <x:c r="L1109" s="84" t="str">
        <x:v>completed</x:v>
      </x:c>
      <x:c r="M1109" s="84" t="str">
        <x:v>Credit Card</x:v>
      </x:c>
      <x:c r="N1109" s="84" t="str">
        <x:v>Mia Chen </x:v>
      </x:c>
      <x:c r="O1109" s="85" t="n">
        <x:v>45661</x:v>
      </x:c>
      <x:c r="P1109" s="84" t="str">
        <x:v>MKT_2024_12</x:v>
      </x:c>
      <x:c r="Q1109" s="84" t="str">
        <x:v> PORTABLE SSD </x:v>
      </x:c>
      <x:c r="R1109" s="84" t="str">
        <x:v>Electronics</x:v>
      </x:c>
    </x:row>
    <x:row r="1110">
      <x:c r="A1110" s="84" t="str">
        <x:v>ORD-2024-00154</x:v>
      </x:c>
      <x:c r="B1110" s="85" t="n">
        <x:v>45654</x:v>
      </x:c>
      <x:c r="C1110" s="84" t="str">
        <x:v>CUST-0370</x:v>
      </x:c>
      <x:c r="D1110" s="84" t="str">
        <x:v>Aiden Moore</x:v>
      </x:c>
      <x:c r="E1110" s="84" t="str">
        <x:v>small business</x:v>
      </x:c>
      <x:c r="F1110" s="84" t="str">
        <x:v>West</x:v>
      </x:c>
      <x:c r="G1110" s="84" t="str">
        <x:v>Phoenix </x:v>
      </x:c>
      <x:c r="H1110" s="84" t="str">
        <x:v>online</x:v>
      </x:c>
      <x:c r="I1110" s="84" t="str">
        <x:v>ELEC-004</x:v>
      </x:c>
      <x:c r="J1110" s="86" t="n">
        <x:v>1</x:v>
      </x:c>
      <x:c r="K1110" s="87" t="n">
        <x:v>0.2</x:v>
      </x:c>
      <x:c r="L1110" s="84" t="str">
        <x:v>Completed</x:v>
      </x:c>
      <x:c r="M1110" s="84" t="str">
        <x:v>Debit Card</x:v>
      </x:c>
      <x:c r="N1110" s="84" t="str">
        <x:v>Leo Martinez</x:v>
      </x:c>
      <x:c r="O1110" s="85" t="n">
        <x:v>45658</x:v>
      </x:c>
      <x:c r="P1110" s="84" t="str">
        <x:v>WEB_2024_12</x:v>
      </x:c>
      <x:c r="Q1110" s="84" t="str">
        <x:v>Power Bank</x:v>
      </x:c>
      <x:c r="R1110" s="84" t="str">
        <x:v>Electronics</x:v>
      </x:c>
    </x:row>
    <x:row r="1111">
      <x:c r="A1111" s="84" t="str">
        <x:v>ORD-2024-00602</x:v>
      </x:c>
      <x:c r="B1111" s="85" t="n">
        <x:v>45654</x:v>
      </x:c>
      <x:c r="C1111" s="84" t="str">
        <x:v>CUST-0585</x:v>
      </x:c>
      <x:c r="D1111" s="84" t="str">
        <x:v>Isaac Patel</x:v>
      </x:c>
      <x:c r="E1111" s="84" t="str">
        <x:v>Consumer </x:v>
      </x:c>
      <x:c r="F1111" s="84" t="str">
        <x:v>northeast</x:v>
      </x:c>
      <x:c r="G1111" s="84" t="str">
        <x:v>New York </x:v>
      </x:c>
      <x:c r="H1111" s="84" t="str">
        <x:v>Retail Store</x:v>
      </x:c>
      <x:c r="I1111" s="84" t="str">
        <x:v>OFFC-001</x:v>
      </x:c>
      <x:c r="J1111" s="86" t="n">
        <x:v>1</x:v>
      </x:c>
      <x:c r="K1111" s="87" t="n">
        <x:v>0.1</x:v>
      </x:c>
      <x:c r="L1111" s="84" t="str">
        <x:v>Completed</x:v>
      </x:c>
      <x:c r="M1111" s="84" t="str">
        <x:v>Mobile Wallet</x:v>
      </x:c>
      <x:c r="N1111" s="84" t="str">
        <x:v>Ethan Cole</x:v>
      </x:c>
      <x:c r="O1111" s="85" t="n">
        <x:v>45654</x:v>
      </x:c>
      <x:c r="P1111" s="84" t="str">
        <x:v>POS_2024_12</x:v>
      </x:c>
      <x:c r="Q1111" s="84" t="str">
        <x:v>Ergonomic Chair</x:v>
      </x:c>
      <x:c r="R1111" s="84" t="str">
        <x:v>Office</x:v>
      </x:c>
    </x:row>
    <x:row r="1112">
      <x:c r="A1112" s="84" t="str">
        <x:v>ORD-2024-01400</x:v>
      </x:c>
      <x:c r="B1112" s="85" t="n">
        <x:v>45654</x:v>
      </x:c>
      <x:c r="C1112" s="84" t="str">
        <x:v>CUST-0325</x:v>
      </x:c>
      <x:c r="D1112" s="84" t="str">
        <x:v>Caleb Baker</x:v>
      </x:c>
      <x:c r="E1112" s="84" t="str">
        <x:v>Small Business </x:v>
      </x:c>
      <x:c r="F1112" s="84" t="str">
        <x:v>West</x:v>
      </x:c>
      <x:c r="G1112" s="84" t="str">
        <x:v>Phoenix </x:v>
      </x:c>
      <x:c r="H1112" s="84" t="str">
        <x:v> ONLINE </x:v>
      </x:c>
      <x:c r="I1112" s="84" t="str">
        <x:v>HOME-006</x:v>
      </x:c>
      <x:c r="J1112" s="86" t="n">
        <x:v>2</x:v>
      </x:c>
      <x:c r="K1112" s="87" t="n">
        <x:v>0</x:v>
      </x:c>
      <x:c r="L1112" s="84" t="str">
        <x:v>Completed</x:v>
      </x:c>
      <x:c r="M1112" s="84" t="str">
        <x:v>Credit Card</x:v>
      </x:c>
      <x:c r="N1112" s="84" t="str">
        <x:v>Leo Martinez</x:v>
      </x:c>
      <x:c r="O1112" s="85" t="n">
        <x:v>45656</x:v>
      </x:c>
      <x:c r="P1112" s="84" t="str">
        <x:v>WEB_2024_12</x:v>
      </x:c>
      <x:c r="Q1112" s="84" t="str">
        <x:v>Food Storage Set</x:v>
      </x:c>
      <x:c r="R1112" s="84" t="str">
        <x:v>home &amp; kitchen</x:v>
      </x:c>
    </x:row>
    <x:row r="1113">
      <x:c r="A1113" s="84" t="str">
        <x:v>ORD-2024-01627</x:v>
      </x:c>
      <x:c r="B1113" s="85" t="n">
        <x:v>45654</x:v>
      </x:c>
      <x:c r="C1113" s="84" t="str">
        <x:v>CUST-0331</x:v>
      </x:c>
      <x:c r="D1113" s="84" t="str">
        <x:v>Elias Young</x:v>
      </x:c>
      <x:c r="E1113" s="84" t="str">
        <x:v>Consumer</x:v>
      </x:c>
      <x:c r="F1113" s="84" t="str">
        <x:v>West</x:v>
      </x:c>
      <x:c r="G1113" s="84" t="str">
        <x:v>Seattle</x:v>
      </x:c>
      <x:c r="H1113" s="84" t="str">
        <x:v>Retail Store </x:v>
      </x:c>
      <x:c r="I1113" s="84" t="str">
        <x:v>ACCS-002</x:v>
      </x:c>
      <x:c r="J1113" s="86" t="n">
        <x:v>1</x:v>
      </x:c>
      <x:c r="K1113" s="87" t="n">
        <x:v>0.2</x:v>
      </x:c>
      <x:c r="L1113" s="84" t="str">
        <x:v>Completed</x:v>
      </x:c>
      <x:c r="M1113" s="84" t="str">
        <x:v>credit card</x:v>
      </x:c>
      <x:c r="N1113" s="84" t="str">
        <x:v>Leo Martinez</x:v>
      </x:c>
      <x:c r="O1113" s="85" t="n">
        <x:v>45654</x:v>
      </x:c>
      <x:c r="P1113" s="84" t="str">
        <x:v>POS_2024_12</x:v>
      </x:c>
      <x:c r="Q1113" s="84" t="str">
        <x:v>Travel Backpack</x:v>
      </x:c>
      <x:c r="R1113" s="84" t="str">
        <x:v>Accessories</x:v>
      </x:c>
    </x:row>
    <x:row r="1114">
      <x:c r="A1114" s="84" t="str">
        <x:v>ORD-2024-00127</x:v>
      </x:c>
      <x:c r="B1114" s="85" t="n">
        <x:v>45655</x:v>
      </x:c>
      <x:c r="C1114" s="84" t="str">
        <x:v>CUST-0590</x:v>
      </x:c>
      <x:c r="D1114" s="84" t="str">
        <x:v>Theo Young</x:v>
      </x:c>
      <x:c r="E1114" s="84" t="str">
        <x:v>Consumer</x:v>
      </x:c>
      <x:c r="F1114" s="84" t="str">
        <x:v>Southeast</x:v>
      </x:c>
      <x:c r="G1114" s="84" t="str">
        <x:v>Atlanta</x:v>
      </x:c>
      <x:c r="H1114" s="84" t="str">
        <x:v>Retail Store</x:v>
      </x:c>
      <x:c r="I1114" s="84" t="str">
        <x:v>FITN-005</x:v>
      </x:c>
      <x:c r="J1114" s="86" t="n">
        <x:v>1</x:v>
      </x:c>
      <x:c r="K1114" s="87" t="n">
        <x:v>0.1</x:v>
      </x:c>
      <x:c r="L1114" s="84" t="str">
        <x:v>Completed</x:v>
      </x:c>
      <x:c r="M1114" s="84" t="str">
        <x:v>Cash</x:v>
      </x:c>
      <x:c r="N1114" s="84" t="str">
        <x:v>Noah Reed</x:v>
      </x:c>
      <x:c r="O1114" s="85" t="n">
        <x:v>45656</x:v>
      </x:c>
      <x:c r="P1114" s="84" t="str">
        <x:v>POS_2024_12</x:v>
      </x:c>
      <x:c r="Q1114" s="84" t="str">
        <x:v>Sports Water Bottle </x:v>
      </x:c>
      <x:c r="R1114" s="84" t="str">
        <x:v>Fitness</x:v>
      </x:c>
    </x:row>
    <x:row r="1115">
      <x:c r="A1115" s="84" t="str">
        <x:v>ORD-2024-00281</x:v>
      </x:c>
      <x:c r="B1115" s="85" t="n">
        <x:v>45655</x:v>
      </x:c>
      <x:c r="C1115" s="84" t="str">
        <x:v>CUST-0339</x:v>
      </x:c>
      <x:c r="D1115" s="84" t="str">
        <x:v>Marcus Walker</x:v>
      </x:c>
      <x:c r="E1115" s="84" t="str">
        <x:v>Consumer</x:v>
      </x:c>
      <x:c r="F1115" s="84" t="str">
        <x:v>Midwest</x:v>
      </x:c>
      <x:c r="G1115" s="84" t="str">
        <x:v>Columbus</x:v>
      </x:c>
      <x:c r="H1115" s="84" t="str">
        <x:v>Retail Store</x:v>
      </x:c>
      <x:c r="I1115" s="84" t="str">
        <x:v>HOME-005</x:v>
      </x:c>
      <x:c r="J1115" s="86" t="n">
        <x:v>1</x:v>
      </x:c>
      <x:c r="K1115" s="87" t="n">
        <x:v>0.15</x:v>
      </x:c>
      <x:c r="L1115" s="84" t="str">
        <x:v>Completed</x:v>
      </x:c>
      <x:c r="M1115" s="84" t="str">
        <x:v>Credit Card</x:v>
      </x:c>
      <x:c r="N1115" s="84" t="str">
        <x:v>Emma Hayes</x:v>
      </x:c>
      <x:c r="O1115" s="85" t="n">
        <x:v>45655</x:v>
      </x:c>
      <x:c r="P1115" s="84" t="str">
        <x:v>POS_2024_12</x:v>
      </x:c>
      <x:c r="Q1115" s="84" t="str">
        <x:v>Cordless Vacuum </x:v>
      </x:c>
      <x:c r="R1115" s="84" t="str">
        <x:v>Home &amp; Kitchen</x:v>
      </x:c>
    </x:row>
    <x:row r="1116">
      <x:c r="A1116" s="84" t="str">
        <x:v>ORD-2024-00357</x:v>
      </x:c>
      <x:c r="B1116" s="85" t="n">
        <x:v>45655</x:v>
      </x:c>
      <x:c r="C1116" s="84" t="str">
        <x:v>CUST-0544</x:v>
      </x:c>
      <x:c r="D1116" s="84" t="str">
        <x:v>Victoria Garcia</x:v>
      </x:c>
      <x:c r="E1116" s="84" t="str">
        <x:v> CONSUMER </x:v>
      </x:c>
      <x:c r="F1116" s="84" t="str">
        <x:v>West</x:v>
      </x:c>
      <x:c r="G1116" s="84" t="str">
        <x:v>Seattle </x:v>
      </x:c>
      <x:c r="H1116" s="84" t="str">
        <x:v>Online</x:v>
      </x:c>
      <x:c r="I1116" s="84" t="str">
        <x:v>HOME-002</x:v>
      </x:c>
      <x:c r="J1116" s="86" t="n">
        <x:v>2</x:v>
      </x:c>
      <x:c r="K1116" s="87" t="n">
        <x:v>0</x:v>
      </x:c>
      <x:c r="L1116" s="84" t="str">
        <x:v>Completed</x:v>
      </x:c>
      <x:c r="M1116" s="84" t="str">
        <x:v>Credit Card</x:v>
      </x:c>
      <x:c r="N1116" s="84" t="str">
        <x:v>Mia Chen</x:v>
      </x:c>
      <x:c r="O1116" s="85" t="n">
        <x:v>45659</x:v>
      </x:c>
      <x:c r="P1116" s="84" t="str">
        <x:v>WEB_2024_12</x:v>
      </x:c>
      <x:c r="Q1116" s="84" t="str">
        <x:v>Electric Kettle</x:v>
      </x:c>
      <x:c r="R1116" s="84" t="str">
        <x:v>Home &amp; Kitchen</x:v>
      </x:c>
    </x:row>
    <x:row r="1117">
      <x:c r="A1117" s="84" t="str">
        <x:v>ORD-2024-00368</x:v>
      </x:c>
      <x:c r="B1117" s="85" t="n">
        <x:v>45655</x:v>
      </x:c>
      <x:c r="C1117" s="84" t="str">
        <x:v>CUST-0084</x:v>
      </x:c>
      <x:c r="D1117" s="84" t="str">
        <x:v>Marcus Davis</x:v>
      </x:c>
      <x:c r="E1117" s="84" t="str">
        <x:v>Corporate</x:v>
      </x:c>
      <x:c r="F1117" s="84" t="str">
        <x:v>Southeast </x:v>
      </x:c>
      <x:c r="G1117" s="84" t="str">
        <x:v>Miami</x:v>
      </x:c>
      <x:c r="H1117" s="84" t="str">
        <x:v>Retail Store</x:v>
      </x:c>
      <x:c r="I1117" s="84" t="str">
        <x:v>FITN-004</x:v>
      </x:c>
      <x:c r="J1117" s="86" t="n">
        <x:v>6</x:v>
      </x:c>
      <x:c r="K1117" s="87" t="n">
        <x:v>0.1</x:v>
      </x:c>
      <x:c r="L1117" s="84" t="str">
        <x:v>Completed</x:v>
      </x:c>
      <x:c r="M1117" s="84" t="str">
        <x:v> DEBIT CARD </x:v>
      </x:c>
      <x:c r="N1117" s="84" t="str">
        <x:v>Ava Mitchell </x:v>
      </x:c>
      <x:c r="O1117" s="85" t="n">
        <x:v>45655</x:v>
      </x:c>
      <x:c r="P1117" s="84" t="str">
        <x:v>POS_2024_12</x:v>
      </x:c>
      <x:c r="Q1117" s="84" t="str">
        <x:v>Fitness Tracker</x:v>
      </x:c>
      <x:c r="R1117" s="84" t="str">
        <x:v>Fitness</x:v>
      </x:c>
    </x:row>
    <x:row r="1118">
      <x:c r="A1118" s="84" t="str">
        <x:v>ORD-2024-00813</x:v>
      </x:c>
      <x:c r="B1118" s="85" t="n">
        <x:v>45655</x:v>
      </x:c>
      <x:c r="C1118" s="84" t="str">
        <x:v>CUST-0087</x:v>
      </x:c>
      <x:c r="D1118" s="84" t="str">
        <x:v> AMELIA EVANS </x:v>
      </x:c>
      <x:c r="E1118" s="84" t="str">
        <x:v>Consumer</x:v>
      </x:c>
      <x:c r="F1118" s="84" t="str">
        <x:v> WEST </x:v>
      </x:c>
      <x:c r="G1118" s="84" t="str">
        <x:v>Los Angeles</x:v>
      </x:c>
      <x:c r="H1118" s="84" t="str">
        <x:v>Online</x:v>
      </x:c>
      <x:c r="I1118" s="84" t="str">
        <x:v>FITN-001</x:v>
      </x:c>
      <x:c r="J1118" s="86" t="n">
        <x:v>1</x:v>
      </x:c>
      <x:c r="K1118" s="87" t="n">
        <x:v>0</x:v>
      </x:c>
      <x:c r="L1118" s="84" t="str">
        <x:v>Returned</x:v>
      </x:c>
      <x:c r="M1118" s="84" t="str">
        <x:v>debit card</x:v>
      </x:c>
      <x:c r="N1118" s="84" t="str">
        <x:v>Nora Kim</x:v>
      </x:c>
      <x:c r="O1118" s="85" t="n">
        <x:v>45658</x:v>
      </x:c>
      <x:c r="P1118" s="84" t="str">
        <x:v>WEB_2024_12</x:v>
      </x:c>
      <x:c r="Q1118" s="84" t="str">
        <x:v>Yoga Mat </x:v>
      </x:c>
      <x:c r="R1118" s="84" t="str">
        <x:v>Fitness</x:v>
      </x:c>
    </x:row>
    <x:row r="1119">
      <x:c r="A1119" s="84" t="str">
        <x:v>ORD-2024-00939</x:v>
      </x:c>
      <x:c r="B1119" s="85" t="n">
        <x:v>45655</x:v>
      </x:c>
      <x:c r="C1119" s="84" t="str">
        <x:v>CUST-0478</x:v>
      </x:c>
      <x:c r="D1119" s="84" t="str">
        <x:v>Owen Smith</x:v>
      </x:c>
      <x:c r="E1119" s="84" t="str">
        <x:v>Small Business</x:v>
      </x:c>
      <x:c r="F1119" s="84" t="str">
        <x:v>Northeast</x:v>
      </x:c>
      <x:c r="G1119" s="84" t="str">
        <x:v>new york</x:v>
      </x:c>
      <x:c r="H1119" s="84" t="str">
        <x:v>Retail Store</x:v>
      </x:c>
      <x:c r="I1119" s="84" t="str">
        <x:v>ACCS-006</x:v>
      </x:c>
      <x:c r="J1119" s="86" t="n">
        <x:v>3</x:v>
      </x:c>
      <x:c r="K1119" s="87" t="n">
        <x:v>0.1</x:v>
      </x:c>
      <x:c r="L1119" s="84" t="str">
        <x:v>completed</x:v>
      </x:c>
      <x:c r="M1119" s="84" t="str">
        <x:v>Cash</x:v>
      </x:c>
      <x:c r="N1119" s="84" t="str">
        <x:v>Sofia Bennett</x:v>
      </x:c>
      <x:c r="O1119" s="85" t="n">
        <x:v>45655</x:v>
      </x:c>
      <x:c r="P1119" s="84" t="str">
        <x:v>POS_2024_12</x:v>
      </x:c>
      <x:c r="Q1119" s="84" t="str">
        <x:v> INSULATED LUNCH BAG </x:v>
      </x:c>
      <x:c r="R1119" s="84" t="str">
        <x:v>Accessories</x:v>
      </x:c>
    </x:row>
    <x:row r="1120">
      <x:c r="A1120" s="84" t="str">
        <x:v>ORD-2024-01161</x:v>
      </x:c>
      <x:c r="B1120" s="85" t="n">
        <x:v>45655</x:v>
      </x:c>
      <x:c r="C1120" s="84" t="str">
        <x:v>CUST-0241</x:v>
      </x:c>
      <x:c r="D1120" s="84" t="str">
        <x:v>Maya Young</x:v>
      </x:c>
      <x:c r="E1120" s="84" t="str">
        <x:v>Small Business</x:v>
      </x:c>
      <x:c r="F1120" s="84" t="str">
        <x:v>Southeast</x:v>
      </x:c>
      <x:c r="G1120" s="84" t="str">
        <x:v>Atlanta</x:v>
      </x:c>
      <x:c r="H1120" s="84" t="str">
        <x:v>Retail Store</x:v>
      </x:c>
      <x:c r="I1120" s="84" t="str">
        <x:v>ELEC-003</x:v>
      </x:c>
      <x:c r="J1120" s="86" t="n">
        <x:v>1</x:v>
      </x:c>
      <x:c r="K1120" s="87" t="n">
        <x:v>0.15</x:v>
      </x:c>
      <x:c r="L1120" s="84" t="str">
        <x:v> COMPLETED </x:v>
      </x:c>
      <x:c r="M1120" s="84" t="str">
        <x:v>Mobile Wallet</x:v>
      </x:c>
      <x:c r="N1120" s="84" t="str">
        <x:v>Ava Mitchell</x:v>
      </x:c>
      <x:c r="O1120" s="85" t="n">
        <x:v>45655</x:v>
      </x:c>
      <x:c r="P1120" s="84" t="str">
        <x:v>POS_2024_12</x:v>
      </x:c>
      <x:c r="Q1120" s="84" t="str">
        <x:v>Bluetooth Speaker</x:v>
      </x:c>
      <x:c r="R1120" s="84" t="str">
        <x:v>Electronics</x:v>
      </x:c>
    </x:row>
    <x:row r="1121">
      <x:c r="A1121" s="84" t="str">
        <x:v>ORD-2024-00306</x:v>
      </x:c>
      <x:c r="B1121" s="85" t="n">
        <x:v>45656</x:v>
      </x:c>
      <x:c r="C1121" s="84" t="str">
        <x:v>CUST-0248</x:v>
      </x:c>
      <x:c r="D1121" s="84" t="str">
        <x:v>Chloe Khan </x:v>
      </x:c>
      <x:c r="E1121" s="84" t="str">
        <x:v> CORPORATE </x:v>
      </x:c>
      <x:c r="F1121" s="84" t="str">
        <x:v>Midwest</x:v>
      </x:c>
      <x:c r="G1121" s="84" t="str">
        <x:v>Chicago</x:v>
      </x:c>
      <x:c r="H1121" s="84" t="str">
        <x:v>Retail Store</x:v>
      </x:c>
      <x:c r="I1121" s="84" t="str">
        <x:v>ELEC-006</x:v>
      </x:c>
      <x:c r="J1121" s="86" t="n">
        <x:v>8</x:v>
      </x:c>
      <x:c r="K1121" s="87" t="n">
        <x:v>0.15</x:v>
      </x:c>
      <x:c r="L1121" s="84" t="str">
        <x:v>Completed</x:v>
      </x:c>
      <x:c r="M1121" s="84" t="str">
        <x:v>Cash </x:v>
      </x:c>
      <x:c r="N1121" s="84" t="str">
        <x:v>Zoe Turner</x:v>
      </x:c>
      <x:c r="O1121" s="85" t="n">
        <x:v>45656</x:v>
      </x:c>
      <x:c r="P1121" s="84" t="str">
        <x:v>POS_2024_12</x:v>
      </x:c>
      <x:c r="Q1121" s="84" t="str">
        <x:v>portable ssd</x:v>
      </x:c>
      <x:c r="R1121" s="84" t="str">
        <x:v>Electronics</x:v>
      </x:c>
    </x:row>
    <x:row r="1122">
      <x:c r="A1122" s="84" t="str">
        <x:v>ORD-2024-00400</x:v>
      </x:c>
      <x:c r="B1122" s="85" t="n">
        <x:v>45656</x:v>
      </x:c>
      <x:c r="C1122" s="84" t="str">
        <x:v>CUST-0265</x:v>
      </x:c>
      <x:c r="D1122" s="84" t="str">
        <x:v>Sara Adams</x:v>
      </x:c>
      <x:c r="E1122" s="84" t="str">
        <x:v>Consumer</x:v>
      </x:c>
      <x:c r="F1122" s="84" t="str">
        <x:v>Southeast</x:v>
      </x:c>
      <x:c r="G1122" s="84" t="str">
        <x:v>nashville</x:v>
      </x:c>
      <x:c r="H1122" s="84" t="str">
        <x:v>Retail Store</x:v>
      </x:c>
      <x:c r="I1122" s="84" t="str">
        <x:v>ELEC-006</x:v>
      </x:c>
      <x:c r="J1122" s="86" t="n">
        <x:v>1</x:v>
      </x:c>
      <x:c r="K1122" s="87" t="n">
        <x:v>0.1</x:v>
      </x:c>
      <x:c r="L1122" s="84" t="str">
        <x:v>completed</x:v>
      </x:c>
      <x:c r="M1122" s="84" t="str">
        <x:v>Debit Card</x:v>
      </x:c>
      <x:c r="N1122" s="84" t="str">
        <x:v>Ava Mitchell</x:v>
      </x:c>
      <x:c r="O1122" s="85" t="n">
        <x:v>45656</x:v>
      </x:c>
      <x:c r="P1122" s="84" t="str">
        <x:v>POS_2024_12</x:v>
      </x:c>
      <x:c r="Q1122" s="84" t="str">
        <x:v>Portable SSD </x:v>
      </x:c>
      <x:c r="R1122" s="84" t="str">
        <x:v>Electronics</x:v>
      </x:c>
    </x:row>
    <x:row r="1123">
      <x:c r="A1123" s="84" t="str">
        <x:v>ORD-2024-01362</x:v>
      </x:c>
      <x:c r="B1123" s="85" t="n">
        <x:v>45656</x:v>
      </x:c>
      <x:c r="C1123" s="84" t="str">
        <x:v>CUST-0003</x:v>
      </x:c>
      <x:c r="D1123" s="84" t="str">
        <x:v>Victoria Foster</x:v>
      </x:c>
      <x:c r="E1123" s="84" t="str">
        <x:v>Consumer</x:v>
      </x:c>
      <x:c r="F1123" s="84" t="str">
        <x:v>West </x:v>
      </x:c>
      <x:c r="G1123" s="84" t="str">
        <x:v>Seattle</x:v>
      </x:c>
      <x:c r="H1123" s="84" t="str">
        <x:v>Marketplace</x:v>
      </x:c>
      <x:c r="I1123" s="84" t="str">
        <x:v>CARE-005</x:v>
      </x:c>
      <x:c r="J1123" s="86" t="n">
        <x:v>1</x:v>
      </x:c>
      <x:c r="K1123" s="87" t="n">
        <x:v>0.15</x:v>
      </x:c>
      <x:c r="L1123" s="84" t="str">
        <x:v>Returned</x:v>
      </x:c>
      <x:c r="M1123" s="84" t="str">
        <x:v>Mobile Wallet</x:v>
      </x:c>
      <x:c r="N1123" s="84" t="str">
        <x:v>Nora Kim </x:v>
      </x:c>
      <x:c r="O1123" s="85" t="n">
        <x:v>45663</x:v>
      </x:c>
      <x:c r="P1123" s="84" t="str">
        <x:v>MKT_2024_12</x:v>
      </x:c>
      <x:c r="Q1123" s="84" t="str">
        <x:v>skin care starter kit</x:v>
      </x:c>
      <x:c r="R1123" s="84" t="str">
        <x:v>Personal Care</x:v>
      </x:c>
    </x:row>
    <x:row r="1124">
      <x:c r="A1124" s="84" t="str">
        <x:v>ORD-2024-01374</x:v>
      </x:c>
      <x:c r="B1124" s="85" t="n">
        <x:v>45656</x:v>
      </x:c>
      <x:c r="C1124" s="84" t="str">
        <x:v>CUST-0063</x:v>
      </x:c>
      <x:c r="D1124" s="84" t="str">
        <x:v> JONAH IRWIN </x:v>
      </x:c>
      <x:c r="E1124" s="84" t="str">
        <x:v>Small Business</x:v>
      </x:c>
      <x:c r="F1124" s="84" t="str">
        <x:v> MIDWEST </x:v>
      </x:c>
      <x:c r="G1124" s="84" t="str">
        <x:v>Detroit</x:v>
      </x:c>
      <x:c r="H1124" s="84" t="str">
        <x:v>Online</x:v>
      </x:c>
      <x:c r="I1124" s="84" t="str">
        <x:v>CARE-006</x:v>
      </x:c>
      <x:c r="J1124" s="86" t="n">
        <x:v>2</x:v>
      </x:c>
      <x:c r="K1124" s="87" t="n">
        <x:v>0.05</x:v>
      </x:c>
      <x:c r="L1124" s="84" t="str">
        <x:v>Completed</x:v>
      </x:c>
      <x:c r="M1124" s="84" t="str">
        <x:v>paypal</x:v>
      </x:c>
      <x:c r="N1124" s="84" t="str">
        <x:v>Zoe Turner</x:v>
      </x:c>
      <x:c r="O1124" s="85" t="n">
        <x:v>45660</x:v>
      </x:c>
      <x:c r="P1124" s="84" t="str">
        <x:v>WEB_2024_12</x:v>
      </x:c>
      <x:c r="Q1124" s="84" t="str">
        <x:v>Percussion Massage Gun</x:v>
      </x:c>
      <x:c r="R1124" s="84" t="str">
        <x:v>Personal Care </x:v>
      </x:c>
    </x:row>
    <x:row r="1125">
      <x:c r="A1125" s="84" t="str">
        <x:v>ORD-2024-00202</x:v>
      </x:c>
      <x:c r="B1125" s="85" t="n">
        <x:v>45657</x:v>
      </x:c>
      <x:c r="C1125" s="84" t="str">
        <x:v>CUST-0487</x:v>
      </x:c>
      <x:c r="D1125" s="84" t="str">
        <x:v>Marcus Adams</x:v>
      </x:c>
      <x:c r="E1125" s="84" t="str">
        <x:v>Consumer</x:v>
      </x:c>
      <x:c r="F1125" s="84" t="str">
        <x:v>Southeast</x:v>
      </x:c>
      <x:c r="G1125" s="84" t="str">
        <x:v>atlanta</x:v>
      </x:c>
      <x:c r="H1125" s="84" t="str">
        <x:v>Retail Store</x:v>
      </x:c>
      <x:c r="I1125" s="84" t="str">
        <x:v>ACCS-005</x:v>
      </x:c>
      <x:c r="J1125" s="86" t="n">
        <x:v>3</x:v>
      </x:c>
      <x:c r="K1125" s="87" t="n">
        <x:v>0</x:v>
      </x:c>
      <x:c r="L1125" s="84" t="str">
        <x:v>completed</x:v>
      </x:c>
      <x:c r="M1125" s="84" t="str">
        <x:v>Mobile Wallet</x:v>
      </x:c>
      <x:c r="N1125" s="84" t="str">
        <x:v>Liam Parker</x:v>
      </x:c>
      <x:c r="O1125" s="85" t="n">
        <x:v>45657</x:v>
      </x:c>
      <x:c r="P1125" s="84" t="str">
        <x:v>POS_2024_12</x:v>
      </x:c>
      <x:c r="Q1125" s="84" t="str">
        <x:v>Protective Phone Case</x:v>
      </x:c>
      <x:c r="R1125" s="84" t="str">
        <x:v> ACCESSORIES </x:v>
      </x:c>
    </x:row>
    <x:row r="1126">
      <x:c r="A1126" s="84" t="str">
        <x:v>ORD-2024-01208</x:v>
      </x:c>
      <x:c r="B1126" s="85" t="n">
        <x:v>45657</x:v>
      </x:c>
      <x:c r="C1126" s="84" t="str">
        <x:v>CUST-0059</x:v>
      </x:c>
      <x:c r="D1126" s="84" t="str">
        <x:v>Samuel Lewis</x:v>
      </x:c>
      <x:c r="E1126" s="84" t="str">
        <x:v>Consumer</x:v>
      </x:c>
      <x:c r="F1126" s="84" t="str">
        <x:v>Midwest </x:v>
      </x:c>
      <x:c r="G1126" s="84" t="str">
        <x:v>Minneapolis</x:v>
      </x:c>
      <x:c r="H1126" s="84" t="str">
        <x:v>Retail Store</x:v>
      </x:c>
      <x:c r="I1126" s="84" t="str">
        <x:v>FITN-003</x:v>
      </x:c>
      <x:c r="J1126" s="86" t="n">
        <x:v>2</x:v>
      </x:c>
      <x:c r="K1126" s="87" t="n">
        <x:v>0.2</x:v>
      </x:c>
      <x:c r="L1126" s="84" t="str">
        <x:v>Completed</x:v>
      </x:c>
      <x:c r="M1126" s="84" t="str">
        <x:v>Credit Card</x:v>
      </x:c>
      <x:c r="N1126" s="84" t="str">
        <x:v>Emma Hayes </x:v>
      </x:c>
      <x:c r="O1126" s="85" t="n">
        <x:v>45657</x:v>
      </x:c>
      <x:c r="P1126" s="84" t="str">
        <x:v>POS_2024_12</x:v>
      </x:c>
      <x:c r="Q1126" s="84" t="str">
        <x:v>resistance band set</x:v>
      </x:c>
      <x:c r="R1126" s="84" t="str">
        <x:v>Fitness</x:v>
      </x:c>
    </x:row>
    <x:row r="1127">
      <x:c r="A1127" s="84" t="str">
        <x:v>ORD-2024-01646</x:v>
      </x:c>
      <x:c r="B1127" s="85" t="n">
        <x:v>45657</x:v>
      </x:c>
      <x:c r="C1127" s="84" t="str">
        <x:v>CUST-0451</x:v>
      </x:c>
      <x:c r="D1127" s="84" t="str">
        <x:v> THEO ROBERTS </x:v>
      </x:c>
      <x:c r="E1127" s="84" t="str">
        <x:v>Small Business</x:v>
      </x:c>
      <x:c r="F1127" s="84" t="str">
        <x:v> WEST </x:v>
      </x:c>
      <x:c r="G1127" s="84" t="str">
        <x:v>Phoenix</x:v>
      </x:c>
      <x:c r="H1127" s="84" t="str">
        <x:v>Online</x:v>
      </x:c>
      <x:c r="I1127" s="84" t="str">
        <x:v>ELEC-001</x:v>
      </x:c>
      <x:c r="J1127" s="86" t="n">
        <x:v>1</x:v>
      </x:c>
      <x:c r="K1127" s="87" t="n">
        <x:v>0.05</x:v>
      </x:c>
      <x:c r="L1127" s="84" t="str">
        <x:v>Completed</x:v>
      </x:c>
      <x:c r="M1127" s="84" t="str">
        <x:v>PayPal</x:v>
      </x:c>
      <x:c r="N1127" s="84" t="str">
        <x:v>Nora Kim</x:v>
      </x:c>
      <x:c r="O1127" s="85" t="n">
        <x:v>45659</x:v>
      </x:c>
      <x:c r="P1127" s="84" t="str">
        <x:v>WEB_2024_12</x:v>
      </x:c>
      <x:c r="Q1127" s="84" t="str">
        <x:v>Wireless Earbuds </x:v>
      </x:c>
      <x:c r="R1127" s="84" t="str">
        <x:v>Electronics</x:v>
      </x:c>
    </x:row>
    <x:row r="1128">
      <x:c r="A1128" s="84" t="str">
        <x:v>ORD-2024-01870</x:v>
      </x:c>
      <x:c r="B1128" s="85" t="n">
        <x:v>45657</x:v>
      </x:c>
      <x:c r="C1128" s="84" t="str">
        <x:v>CUST-0575</x:v>
      </x:c>
      <x:c r="D1128" s="84" t="str">
        <x:v>Elena Walker</x:v>
      </x:c>
      <x:c r="E1128" s="84" t="str">
        <x:v> CONSUMER </x:v>
      </x:c>
      <x:c r="F1128" s="84" t="str">
        <x:v>Northeast</x:v>
      </x:c>
      <x:c r="G1128" s="84" t="str">
        <x:v>Philadelphia</x:v>
      </x:c>
      <x:c r="H1128" s="84" t="str">
        <x:v>marketplace</x:v>
      </x:c>
      <x:c r="I1128" s="84" t="str">
        <x:v>ELEC-006</x:v>
      </x:c>
      <x:c r="J1128" s="86" t="n">
        <x:v>3</x:v>
      </x:c>
      <x:c r="K1128" s="87" t="n">
        <x:v>0.15</x:v>
      </x:c>
      <x:c r="L1128" s="84" t="str">
        <x:v>Completed</x:v>
      </x:c>
      <x:c r="M1128" s="84" t="str">
        <x:v>PayPal</x:v>
      </x:c>
      <x:c r="N1128" s="84" t="str">
        <x:v>Ethan Cole</x:v>
      </x:c>
      <x:c r="O1128" s="85" t="n">
        <x:v>45662</x:v>
      </x:c>
      <x:c r="P1128" s="84" t="str">
        <x:v>MKT_2024_12</x:v>
      </x:c>
      <x:c r="Q1128" s="84" t="str">
        <x:v>Portable SSD </x:v>
      </x:c>
      <x:c r="R1128" s="84" t="str">
        <x:v>Electronics</x:v>
      </x:c>
    </x:row>
    <x:row r="1129">
      <x:c r="A1129" s="84" t="str">
        <x:v>ORD-2024-02036</x:v>
      </x:c>
      <x:c r="B1129" s="85" t="n">
        <x:v>45657</x:v>
      </x:c>
      <x:c r="C1129" s="84" t="str">
        <x:v>CUST-0378</x:v>
      </x:c>
      <x:c r="D1129" s="84" t="str">
        <x:v>Victoria Nelson</x:v>
      </x:c>
      <x:c r="E1129" s="84" t="str">
        <x:v>Consumer</x:v>
      </x:c>
      <x:c r="F1129" s="84" t="str">
        <x:v>Midwest</x:v>
      </x:c>
      <x:c r="G1129" s="84" t="str">
        <x:v>Chicago</x:v>
      </x:c>
      <x:c r="H1129" s="84" t="str">
        <x:v>Retail Store</x:v>
      </x:c>
      <x:c r="I1129" s="84" t="str">
        <x:v>ACCS-003</x:v>
      </x:c>
      <x:c r="J1129" s="86" t="n">
        <x:v>4</x:v>
      </x:c>
      <x:c r="K1129" s="87" t="n">
        <x:v>0.1</x:v>
      </x:c>
      <x:c r="L1129" s="84" t="str">
        <x:v>Completed </x:v>
      </x:c>
      <x:c r="M1129" s="84" t="str">
        <x:v>Cash</x:v>
      </x:c>
      <x:c r="N1129" s="84" t="str">
        <x:v>Zoe Turner</x:v>
      </x:c>
      <x:c r="O1129" s="85" t="n">
        <x:v>45657</x:v>
      </x:c>
      <x:c r="P1129" s="84" t="str">
        <x:v>POS_2024_12</x:v>
      </x:c>
      <x:c r="Q1129" s="84" t="str">
        <x:v>Polarized Sunglasses</x:v>
      </x:c>
      <x:c r="R1129" s="84" t="str">
        <x:v>Accessories</x:v>
      </x:c>
    </x:row>
    <x:row r="1130">
      <x:c r="A1130" s="84" t="str">
        <x:v>ORD-2025-00615</x:v>
      </x:c>
      <x:c r="B1130" s="85" t="n">
        <x:v>45658</x:v>
      </x:c>
      <x:c r="C1130" s="84" t="str">
        <x:v>CUST-0021</x:v>
      </x:c>
      <x:c r="D1130" s="84" t="str">
        <x:v>Elena Adams</x:v>
      </x:c>
      <x:c r="E1130" s="84" t="str">
        <x:v>Consumer</x:v>
      </x:c>
      <x:c r="F1130" s="84" t="str">
        <x:v>West</x:v>
      </x:c>
      <x:c r="G1130" s="84" t="str">
        <x:v>Denver</x:v>
      </x:c>
      <x:c r="H1130" s="84" t="str">
        <x:v>Online</x:v>
      </x:c>
      <x:c r="I1130" s="84" t="str">
        <x:v>ELEC-003</x:v>
      </x:c>
      <x:c r="J1130" s="86" t="n">
        <x:v>1</x:v>
      </x:c>
      <x:c r="K1130" s="87" t="n">
        <x:v>0</x:v>
      </x:c>
      <x:c r="L1130" s="84" t="str">
        <x:v>Completed </x:v>
      </x:c>
      <x:c r="M1130" s="84" t="str">
        <x:v>credit card</x:v>
      </x:c>
      <x:c r="N1130" s="84" t="str">
        <x:v> NORA KIM </x:v>
      </x:c>
      <x:c r="O1130" s="85" t="n">
        <x:v>45663</x:v>
      </x:c>
      <x:c r="P1130" s="84" t="str">
        <x:v>WEB_2025_01</x:v>
      </x:c>
      <x:c r="Q1130" s="84" t="str">
        <x:v>Bluetooth Speaker</x:v>
      </x:c>
      <x:c r="R1130" s="84" t="str">
        <x:v>Electronics</x:v>
      </x:c>
    </x:row>
    <x:row r="1131">
      <x:c r="A1131" s="84" t="str">
        <x:v>ORD-2025-01149</x:v>
      </x:c>
      <x:c r="B1131" s="85" t="n">
        <x:v>45658</x:v>
      </x:c>
      <x:c r="C1131" s="84" t="str">
        <x:v>CUST-0505</x:v>
      </x:c>
      <x:c r="D1131" s="84" t="str">
        <x:v>Daniel Taylor</x:v>
      </x:c>
      <x:c r="E1131" s="84" t="str">
        <x:v>Small Business</x:v>
      </x:c>
      <x:c r="F1131" s="84" t="str">
        <x:v>Northeast</x:v>
      </x:c>
      <x:c r="G1131" s="84" t="str">
        <x:v> BOSTON </x:v>
      </x:c>
      <x:c r="H1131" s="84" t="str">
        <x:v>Retail Store</x:v>
      </x:c>
      <x:c r="I1131" s="84" t="str">
        <x:v>OFFC-003</x:v>
      </x:c>
      <x:c r="J1131" s="86" t="n">
        <x:v>2</x:v>
      </x:c>
      <x:c r="K1131" s="87" t="n">
        <x:v>0</x:v>
      </x:c>
      <x:c r="L1131" s="84" t="str">
        <x:v>Completed</x:v>
      </x:c>
      <x:c r="M1131" s="84" t="str">
        <x:v>Cash</x:v>
      </x:c>
      <x:c r="N1131" s="84" t="str">
        <x:v>Ethan Cole</x:v>
      </x:c>
      <x:c r="O1131" s="85" t="n">
        <x:v>45658</x:v>
      </x:c>
      <x:c r="P1131" s="84" t="str">
        <x:v>POS_2025_01</x:v>
      </x:c>
      <x:c r="Q1131" s="84" t="str">
        <x:v>LED Desk Lamp </x:v>
      </x:c>
      <x:c r="R1131" s="84" t="str">
        <x:v>Office</x:v>
      </x:c>
    </x:row>
    <x:row r="1132">
      <x:c r="A1132" s="84" t="str">
        <x:v>ORD-2025-01404</x:v>
      </x:c>
      <x:c r="B1132" s="85" t="n">
        <x:v>45658</x:v>
      </x:c>
      <x:c r="C1132" s="84" t="str">
        <x:v>CUST-0337</x:v>
      </x:c>
      <x:c r="D1132" s="84" t="str">
        <x:v>owen garcia</x:v>
      </x:c>
      <x:c r="E1132" s="84" t="str">
        <x:v>Consumer</x:v>
      </x:c>
      <x:c r="F1132" s="84" t="str">
        <x:v>West </x:v>
      </x:c>
      <x:c r="G1132" s="84" t="str">
        <x:v> LOS ANGELES </x:v>
      </x:c>
      <x:c r="H1132" s="84" t="str">
        <x:v>Marketplace</x:v>
      </x:c>
      <x:c r="I1132" s="84" t="str">
        <x:v>ELEC-004</x:v>
      </x:c>
      <x:c r="J1132" s="86" t="n">
        <x:v>1</x:v>
      </x:c>
      <x:c r="K1132" s="87" t="n">
        <x:v>0.05</x:v>
      </x:c>
      <x:c r="L1132" s="84" t="str">
        <x:v>Returned</x:v>
      </x:c>
      <x:c r="M1132" s="84" t="str">
        <x:v>Debit Card</x:v>
      </x:c>
      <x:c r="N1132" s="84" t="str">
        <x:v>Leo Martinez </x:v>
      </x:c>
      <x:c r="O1132" s="85" t="n">
        <x:v>45663</x:v>
      </x:c>
      <x:c r="P1132" s="84" t="str">
        <x:v>MKT_2025_01</x:v>
      </x:c>
      <x:c r="Q1132" s="84" t="str">
        <x:v>Power Bank</x:v>
      </x:c>
      <x:c r="R1132" s="84" t="str">
        <x:v>Electronics</x:v>
      </x:c>
    </x:row>
    <x:row r="1133">
      <x:c r="A1133" s="84" t="str">
        <x:v>ORD-2025-01523</x:v>
      </x:c>
      <x:c r="B1133" s="85" t="n">
        <x:v>45658</x:v>
      </x:c>
      <x:c r="C1133" s="84" t="str">
        <x:v>CUST-0304</x:v>
      </x:c>
      <x:c r="D1133" s="84" t="str">
        <x:v>Isaac Carter</x:v>
      </x:c>
      <x:c r="E1133" s="84" t="str">
        <x:v>Corporate</x:v>
      </x:c>
      <x:c r="F1133" s="84" t="str">
        <x:v>Northeast </x:v>
      </x:c>
      <x:c r="G1133" s="84" t="str">
        <x:v> NEW YORK </x:v>
      </x:c>
      <x:c r="H1133" s="84" t="str">
        <x:v>Marketplace</x:v>
      </x:c>
      <x:c r="I1133" s="84" t="str">
        <x:v>OFFC-002</x:v>
      </x:c>
      <x:c r="J1133" s="86" t="n">
        <x:v>3</x:v>
      </x:c>
      <x:c r="K1133" s="87" t="n">
        <x:v>0.1</x:v>
      </x:c>
      <x:c r="L1133" s="84" t="str">
        <x:v>Completed</x:v>
      </x:c>
      <x:c r="M1133" s="84" t="str">
        <x:v>Debit Card</x:v>
      </x:c>
      <x:c r="N1133" s="84" t="str">
        <x:v>Ethan Cole </x:v>
      </x:c>
      <x:c r="O1133" s="85" t="n">
        <x:v>45661</x:v>
      </x:c>
      <x:c r="P1133" s="84" t="str">
        <x:v>MKT_2025_01</x:v>
      </x:c>
      <x:c r="Q1133" s="84" t="str">
        <x:v>Standing Desk</x:v>
      </x:c>
      <x:c r="R1133" s="84" t="str">
        <x:v>Office</x:v>
      </x:c>
    </x:row>
    <x:row r="1134">
      <x:c r="A1134" s="84" t="str">
        <x:v>ORD-2025-01744</x:v>
      </x:c>
      <x:c r="B1134" s="85" t="n">
        <x:v>45658</x:v>
      </x:c>
      <x:c r="C1134" s="84" t="str">
        <x:v>CUST-0588</x:v>
      </x:c>
      <x:c r="D1134" s="84" t="str">
        <x:v>Nathan Johnson</x:v>
      </x:c>
      <x:c r="E1134" s="84" t="str">
        <x:v>Consumer</x:v>
      </x:c>
      <x:c r="F1134" s="84" t="str">
        <x:v>Midwest</x:v>
      </x:c>
      <x:c r="G1134" s="84" t="str">
        <x:v> DETROIT </x:v>
      </x:c>
      <x:c r="H1134" s="84" t="str">
        <x:v>Retail Store</x:v>
      </x:c>
      <x:c r="I1134" s="84" t="str">
        <x:v>OFFC-004</x:v>
      </x:c>
      <x:c r="J1134" s="86" t="n">
        <x:v>2</x:v>
      </x:c>
      <x:c r="K1134" s="87" t="n">
        <x:v>0</x:v>
      </x:c>
      <x:c r="L1134" s="84" t="str">
        <x:v>Completed</x:v>
      </x:c>
      <x:c r="M1134" s="84" t="str">
        <x:v>Credit Card</x:v>
      </x:c>
      <x:c r="N1134" s="84" t="str">
        <x:v>Zoe Turner</x:v>
      </x:c>
      <x:c r="O1134" s="85" t="n">
        <x:v>45658</x:v>
      </x:c>
      <x:c r="P1134" s="84" t="str">
        <x:v>POS_2025_01</x:v>
      </x:c>
      <x:c r="Q1134" s="84" t="str">
        <x:v>Premium Notebook Pack </x:v>
      </x:c>
      <x:c r="R1134" s="84" t="str">
        <x:v>Office</x:v>
      </x:c>
    </x:row>
    <x:row r="1135">
      <x:c r="A1135" s="84" t="str">
        <x:v>ORD-2025-00165</x:v>
      </x:c>
      <x:c r="B1135" s="85" t="n">
        <x:v>45659</x:v>
      </x:c>
      <x:c r="C1135" s="84" t="str">
        <x:v>CUST-0421</x:v>
      </x:c>
      <x:c r="D1135" s="84" t="str">
        <x:v>Daniel Hall</x:v>
      </x:c>
      <x:c r="E1135" s="84" t="str">
        <x:v>consumer</x:v>
      </x:c>
      <x:c r="F1135" s="84" t="str">
        <x:v>Northeast </x:v>
      </x:c>
      <x:c r="G1135" s="84" t="str">
        <x:v>New York</x:v>
      </x:c>
      <x:c r="H1135" s="84" t="str">
        <x:v>online</x:v>
      </x:c>
      <x:c r="I1135" s="84" t="str">
        <x:v>FITN-004</x:v>
      </x:c>
      <x:c r="J1135" s="86" t="n">
        <x:v>3</x:v>
      </x:c>
      <x:c r="K1135" s="87" t="n">
        <x:v>0.05</x:v>
      </x:c>
      <x:c r="L1135" s="84" t="str">
        <x:v>Completed</x:v>
      </x:c>
      <x:c r="M1135" s="84" t="str">
        <x:v>PayPal</x:v>
      </x:c>
      <x:c r="N1135" s="84" t="str">
        <x:v>Ethan Cole </x:v>
      </x:c>
      <x:c r="O1135" s="85" t="n">
        <x:v>45663</x:v>
      </x:c>
      <x:c r="P1135" s="84" t="str">
        <x:v>WEB_2025_01</x:v>
      </x:c>
      <x:c r="Q1135" s="84" t="str">
        <x:v>Fitness Tracker</x:v>
      </x:c>
      <x:c r="R1135" s="84" t="str">
        <x:v>Fitness</x:v>
      </x:c>
    </x:row>
    <x:row r="1136">
      <x:c r="A1136" s="84" t="str">
        <x:v>ORD-2025-00165</x:v>
      </x:c>
      <x:c r="B1136" s="85" t="n">
        <x:v>45659</x:v>
      </x:c>
      <x:c r="C1136" s="84" t="str">
        <x:v>CUST-0421</x:v>
      </x:c>
      <x:c r="D1136" s="84" t="str">
        <x:v>Daniel Hall</x:v>
      </x:c>
      <x:c r="E1136" s="84" t="str">
        <x:v>consumer</x:v>
      </x:c>
      <x:c r="F1136" s="84" t="str">
        <x:v>Northeast </x:v>
      </x:c>
      <x:c r="G1136" s="84" t="str">
        <x:v>New York</x:v>
      </x:c>
      <x:c r="H1136" s="84" t="str">
        <x:v>online</x:v>
      </x:c>
      <x:c r="I1136" s="84" t="str">
        <x:v>FITN-004</x:v>
      </x:c>
      <x:c r="J1136" s="86" t="n">
        <x:v>3</x:v>
      </x:c>
      <x:c r="K1136" s="87" t="n">
        <x:v>0.05</x:v>
      </x:c>
      <x:c r="L1136" s="84" t="str">
        <x:v>Completed</x:v>
      </x:c>
      <x:c r="M1136" s="84" t="str">
        <x:v>PayPal</x:v>
      </x:c>
      <x:c r="N1136" s="84" t="str">
        <x:v>Ethan Cole </x:v>
      </x:c>
      <x:c r="O1136" s="85" t="n">
        <x:v>45663</x:v>
      </x:c>
      <x:c r="P1136" s="84" t="str">
        <x:v>RELOAD_WEB_2025_01</x:v>
      </x:c>
      <x:c r="Q1136" s="84" t="str">
        <x:v>Fitness Tracker</x:v>
      </x:c>
      <x:c r="R1136" s="84" t="str">
        <x:v>Fitness</x:v>
      </x:c>
    </x:row>
    <x:row r="1137">
      <x:c r="A1137" s="84" t="str">
        <x:v>ORD-2025-00374</x:v>
      </x:c>
      <x:c r="B1137" s="85" t="n">
        <x:v>45659</x:v>
      </x:c>
      <x:c r="C1137" s="84" t="str">
        <x:v>CUST-0392</x:v>
      </x:c>
      <x:c r="D1137" s="84" t="str">
        <x:v>Elias Nelson</x:v>
      </x:c>
      <x:c r="E1137" s="84" t="str">
        <x:v> CONSUMER </x:v>
      </x:c>
      <x:c r="F1137" s="84" t="str">
        <x:v>Northeast</x:v>
      </x:c>
      <x:c r="G1137" s="84" t="str">
        <x:v>Newark</x:v>
      </x:c>
      <x:c r="H1137" s="84" t="str">
        <x:v>retail store</x:v>
      </x:c>
      <x:c r="I1137" s="84" t="str">
        <x:v>ELEC-004</x:v>
      </x:c>
      <x:c r="J1137" s="86" t="n">
        <x:v>1</x:v>
      </x:c>
      <x:c r="K1137" s="87" t="n">
        <x:v>0</x:v>
      </x:c>
      <x:c r="L1137" s="84" t="str">
        <x:v>Returned</x:v>
      </x:c>
      <x:c r="M1137" s="84" t="str">
        <x:v>Debit Card</x:v>
      </x:c>
      <x:c r="N1137" s="84" t="str">
        <x:v>Sofia Bennett</x:v>
      </x:c>
      <x:c r="O1137" s="85" t="n">
        <x:v>45659</x:v>
      </x:c>
      <x:c r="P1137" s="84" t="str">
        <x:v>POS_2025_01</x:v>
      </x:c>
      <x:c r="Q1137" s="84" t="str">
        <x:v>Power Bank</x:v>
      </x:c>
      <x:c r="R1137" s="84" t="str">
        <x:v>Electronics</x:v>
      </x:c>
    </x:row>
    <x:row r="1138">
      <x:c r="A1138" s="84" t="str">
        <x:v>ORD-2025-01217</x:v>
      </x:c>
      <x:c r="B1138" s="85" t="n">
        <x:v>45659</x:v>
      </x:c>
      <x:c r="C1138" s="84" t="str">
        <x:v>CUST-0465</x:v>
      </x:c>
      <x:c r="D1138" s="84" t="str">
        <x:v>owen irwin</x:v>
      </x:c>
      <x:c r="E1138" s="84" t="str">
        <x:v>Consumer</x:v>
      </x:c>
      <x:c r="F1138" s="84" t="str">
        <x:v>Midwest</x:v>
      </x:c>
      <x:c r="G1138" s="84" t="str">
        <x:v> COLUMBUS </x:v>
      </x:c>
      <x:c r="H1138" s="84" t="str">
        <x:v>Online</x:v>
      </x:c>
      <x:c r="I1138" s="84" t="str">
        <x:v>HOME-002</x:v>
      </x:c>
      <x:c r="J1138" s="86" t="n">
        <x:v>1</x:v>
      </x:c>
      <x:c r="K1138" s="87" t="n">
        <x:v>0.05</x:v>
      </x:c>
      <x:c r="L1138" s="84" t="str">
        <x:v>Completed </x:v>
      </x:c>
      <x:c r="M1138" s="84" t="str">
        <x:v>Credit Card</x:v>
      </x:c>
      <x:c r="N1138" s="84" t="str">
        <x:v>Zoe Turner</x:v>
      </x:c>
      <x:c r="O1138" s="85" t="n">
        <x:v>45661</x:v>
      </x:c>
      <x:c r="P1138" s="84" t="str">
        <x:v>WEB_2025_01</x:v>
      </x:c>
      <x:c r="Q1138" s="84" t="str">
        <x:v>Electric Kettle</x:v>
      </x:c>
      <x:c r="R1138" s="84" t="str">
        <x:v>Home &amp; Kitchen</x:v>
      </x:c>
    </x:row>
    <x:row r="1139">
      <x:c r="A1139" s="84" t="str">
        <x:v>ORD-2025-01759</x:v>
      </x:c>
      <x:c r="B1139" s="85" t="n">
        <x:v>45659</x:v>
      </x:c>
      <x:c r="C1139" s="84" t="str">
        <x:v>CUST-0254</x:v>
      </x:c>
      <x:c r="D1139" s="84" t="str">
        <x:v>Marcus Carter</x:v>
      </x:c>
      <x:c r="E1139" s="84" t="str">
        <x:v>Consumer</x:v>
      </x:c>
      <x:c r="F1139" s="84" t="str">
        <x:v>Northeast</x:v>
      </x:c>
      <x:c r="G1139" s="84" t="str">
        <x:v>Boston</x:v>
      </x:c>
      <x:c r="H1139" s="84" t="str">
        <x:v>Retail Store</x:v>
      </x:c>
      <x:c r="I1139" s="84" t="str">
        <x:v>HOME-006</x:v>
      </x:c>
      <x:c r="J1139" s="86" t="n">
        <x:v>1</x:v>
      </x:c>
      <x:c r="K1139" s="87" t="n">
        <x:v>0.1</x:v>
      </x:c>
      <x:c r="L1139" s="84" t="str">
        <x:v>Completed</x:v>
      </x:c>
      <x:c r="M1139" s="84" t="str">
        <x:v>mobile wallet</x:v>
      </x:c>
      <x:c r="N1139" s="84" t="str">
        <x:v>Sofia Bennett</x:v>
      </x:c>
      <x:c r="O1139" s="85" t="n">
        <x:v>45659</x:v>
      </x:c>
      <x:c r="P1139" s="84" t="str">
        <x:v>POS_2025_01</x:v>
      </x:c>
      <x:c r="Q1139" s="84" t="str">
        <x:v>Food Storage Set</x:v>
      </x:c>
      <x:c r="R1139" s="84" t="str">
        <x:v>Home &amp; Kitchen </x:v>
      </x:c>
    </x:row>
    <x:row r="1140">
      <x:c r="A1140" s="84" t="str">
        <x:v>ORD-2025-00284</x:v>
      </x:c>
      <x:c r="B1140" s="85" t="n">
        <x:v>45660</x:v>
      </x:c>
      <x:c r="C1140" s="84" t="str">
        <x:v>CUST-0171</x:v>
      </x:c>
      <x:c r="D1140" s="84" t="str">
        <x:v>Jonah Nelson</x:v>
      </x:c>
      <x:c r="E1140" s="84" t="str">
        <x:v>Small Business</x:v>
      </x:c>
      <x:c r="F1140" s="84" t="str">
        <x:v>Southeast </x:v>
      </x:c>
      <x:c r="G1140" s="84" t="str">
        <x:v>Atlanta</x:v>
      </x:c>
      <x:c r="H1140" s="84" t="str">
        <x:v>Online</x:v>
      </x:c>
      <x:c r="I1140" s="84" t="str">
        <x:v>ELEC-004</x:v>
      </x:c>
      <x:c r="J1140" s="86" t="n">
        <x:v>1</x:v>
      </x:c>
      <x:c r="K1140" s="87" t="n">
        <x:v>0.05</x:v>
      </x:c>
      <x:c r="L1140" s="84" t="str">
        <x:v>Completed</x:v>
      </x:c>
      <x:c r="M1140" s="84" t="str">
        <x:v>Debit Card</x:v>
      </x:c>
      <x:c r="N1140" s="84" t="str">
        <x:v>Noah Reed </x:v>
      </x:c>
      <x:c r="O1140" s="85" t="n">
        <x:v>45664</x:v>
      </x:c>
      <x:c r="P1140" s="84" t="str">
        <x:v>WEB_2025_01</x:v>
      </x:c>
      <x:c r="Q1140" s="84" t="str">
        <x:v>power bank</x:v>
      </x:c>
      <x:c r="R1140" s="84" t="str">
        <x:v>Electronics</x:v>
      </x:c>
    </x:row>
    <x:row r="1141">
      <x:c r="A1141" s="84" t="str">
        <x:v>ORD-2025-01357</x:v>
      </x:c>
      <x:c r="B1141" s="85" t="n">
        <x:v>45660</x:v>
      </x:c>
      <x:c r="C1141" s="84" t="str">
        <x:v>CUST-0085</x:v>
      </x:c>
      <x:c r="D1141" s="84" t="str">
        <x:v> AMELIA ADAMS </x:v>
      </x:c>
      <x:c r="E1141" s="84" t="str">
        <x:v>Small Business</x:v>
      </x:c>
      <x:c r="F1141" s="84" t="str">
        <x:v> WEST </x:v>
      </x:c>
      <x:c r="G1141" s="84" t="str">
        <x:v>phoenix</x:v>
      </x:c>
      <x:c r="H1141" s="84" t="str">
        <x:v>Online</x:v>
      </x:c>
      <x:c r="I1141" s="84" t="str">
        <x:v>OFFC-002</x:v>
      </x:c>
      <x:c r="J1141" s="86" t="n">
        <x:v>3</x:v>
      </x:c>
      <x:c r="K1141" s="87" t="n">
        <x:v>0.15</x:v>
      </x:c>
      <x:c r="L1141" s="84" t="str">
        <x:v>completed</x:v>
      </x:c>
      <x:c r="M1141" s="84" t="str">
        <x:v>Mobile Wallet</x:v>
      </x:c>
      <x:c r="N1141" s="84" t="str">
        <x:v>Nora Kim</x:v>
      </x:c>
      <x:c r="O1141" s="85" t="n">
        <x:v>45665</x:v>
      </x:c>
      <x:c r="P1141" s="84" t="str">
        <x:v>WEB_2025_01</x:v>
      </x:c>
      <x:c r="Q1141" s="84" t="str">
        <x:v>Standing Desk</x:v>
      </x:c>
      <x:c r="R1141" s="84" t="str">
        <x:v>Office</x:v>
      </x:c>
    </x:row>
    <x:row r="1142">
      <x:c r="A1142" s="84" t="str">
        <x:v>ORD-2025-01376</x:v>
      </x:c>
      <x:c r="B1142" s="85" t="n">
        <x:v>45662</x:v>
      </x:c>
      <x:c r="C1142" s="84" t="str">
        <x:v>CUST-0230</x:v>
      </x:c>
      <x:c r="D1142" s="84" t="str">
        <x:v>Elias Evans</x:v>
      </x:c>
      <x:c r="E1142" s="84" t="str">
        <x:v>Small Business</x:v>
      </x:c>
      <x:c r="F1142" s="84" t="str">
        <x:v>Southeast </x:v>
      </x:c>
      <x:c r="G1142" s="84" t="str">
        <x:v>Miami</x:v>
      </x:c>
      <x:c r="H1142" s="84" t="str">
        <x:v>Online</x:v>
      </x:c>
      <x:c r="I1142" s="84" t="str">
        <x:v>HOME-003</x:v>
      </x:c>
      <x:c r="J1142" s="86" t="n">
        <x:v>1</x:v>
      </x:c>
      <x:c r="K1142" s="87" t="n">
        <x:v>0</x:v>
      </x:c>
      <x:c r="L1142" s="84" t="str">
        <x:v>Completed</x:v>
      </x:c>
      <x:c r="M1142" s="84" t="str">
        <x:v>Debit Card</x:v>
      </x:c>
      <x:c r="N1142" s="84" t="str">
        <x:v>Noah Reed </x:v>
      </x:c>
      <x:c r="O1142" s="85" t="n">
        <x:v>45666</x:v>
      </x:c>
      <x:c r="P1142" s="84" t="str">
        <x:v>WEB_2025_01</x:v>
      </x:c>
      <x:c r="Q1142" s="84" t="str">
        <x:v>Countertop Blender</x:v>
      </x:c>
      <x:c r="R1142" s="84" t="str">
        <x:v>Home &amp; Kitchen</x:v>
      </x:c>
    </x:row>
    <x:row r="1143">
      <x:c r="A1143" s="84" t="str">
        <x:v>ORD-2025-01476</x:v>
      </x:c>
      <x:c r="B1143" s="85" t="n">
        <x:v>45662</x:v>
      </x:c>
      <x:c r="C1143" s="84" t="str">
        <x:v>CUST-0415</x:v>
      </x:c>
      <x:c r="D1143" s="84" t="str">
        <x:v> ZARA FOSTER </x:v>
      </x:c>
      <x:c r="E1143" s="84" t="str">
        <x:v>Corporate</x:v>
      </x:c>
      <x:c r="F1143" s="84" t="str">
        <x:v> SOUTHEAST </x:v>
      </x:c>
      <x:c r="G1143" s="84" t="str">
        <x:v>Charlotte</x:v>
      </x:c>
      <x:c r="H1143" s="84" t="str">
        <x:v>Marketplace</x:v>
      </x:c>
      <x:c r="I1143" s="84" t="str">
        <x:v>HOME-003</x:v>
      </x:c>
      <x:c r="J1143" s="86" t="n">
        <x:v>5</x:v>
      </x:c>
      <x:c r="K1143" s="87" t="n">
        <x:v>0</x:v>
      </x:c>
      <x:c r="L1143" s="84" t="str">
        <x:v>Completed </x:v>
      </x:c>
      <x:c r="M1143" s="84" t="str">
        <x:v>Credit Card</x:v>
      </x:c>
      <x:c r="N1143" s="84" t="str">
        <x:v>ava mitchell</x:v>
      </x:c>
      <x:c r="O1143" s="85" t="n">
        <x:v>45667</x:v>
      </x:c>
      <x:c r="P1143" s="84" t="str">
        <x:v>MKT_2025_01</x:v>
      </x:c>
      <x:c r="Q1143" s="84" t="str">
        <x:v>Countertop Blender</x:v>
      </x:c>
      <x:c r="R1143" s="84" t="str">
        <x:v>Home &amp; Kitchen</x:v>
      </x:c>
    </x:row>
    <x:row r="1144">
      <x:c r="A1144" s="84" t="str">
        <x:v>ORD-2025-01553</x:v>
      </x:c>
      <x:c r="B1144" s="85" t="n">
        <x:v>45662</x:v>
      </x:c>
      <x:c r="C1144" s="84" t="str">
        <x:v>CUST-0190</x:v>
      </x:c>
      <x:c r="D1144" s="84" t="str">
        <x:v>Samuel Evans</x:v>
      </x:c>
      <x:c r="E1144" s="84" t="str">
        <x:v>Consumer</x:v>
      </x:c>
      <x:c r="F1144" s="84" t="str">
        <x:v>Midwest</x:v>
      </x:c>
      <x:c r="G1144" s="84" t="str">
        <x:v>Detroit</x:v>
      </x:c>
      <x:c r="H1144" s="84" t="str">
        <x:v> ONLINE </x:v>
      </x:c>
      <x:c r="I1144" s="84" t="str">
        <x:v>HOME-005</x:v>
      </x:c>
      <x:c r="J1144" s="86" t="n">
        <x:v>1</x:v>
      </x:c>
      <x:c r="K1144" s="87" t="n">
        <x:v>0</x:v>
      </x:c>
      <x:c r="L1144" s="84" t="str">
        <x:v>Completed </x:v>
      </x:c>
      <x:c r="M1144" s="84" t="str">
        <x:v>PayPal</x:v>
      </x:c>
      <x:c r="N1144" s="84" t="str">
        <x:v>zoe turner</x:v>
      </x:c>
      <x:c r="O1144" s="85" t="n">
        <x:v>45664</x:v>
      </x:c>
      <x:c r="P1144" s="84" t="str">
        <x:v>WEB_2025_01</x:v>
      </x:c>
      <x:c r="Q1144" s="84" t="str">
        <x:v>Cordless Vacuum</x:v>
      </x:c>
      <x:c r="R1144" s="84" t="str">
        <x:v>Home &amp; Kitchen</x:v>
      </x:c>
    </x:row>
    <x:row r="1145">
      <x:c r="A1145" s="84" t="str">
        <x:v>ORD-2025-01775</x:v>
      </x:c>
      <x:c r="B1145" s="85" t="n">
        <x:v>45662</x:v>
      </x:c>
      <x:c r="C1145" s="84" t="str">
        <x:v>CUST-0370</x:v>
      </x:c>
      <x:c r="D1145" s="84" t="str">
        <x:v>Aiden Moore</x:v>
      </x:c>
      <x:c r="E1145" s="84" t="str">
        <x:v>Small Business</x:v>
      </x:c>
      <x:c r="F1145" s="84" t="str">
        <x:v>West </x:v>
      </x:c>
      <x:c r="G1145" s="84" t="str">
        <x:v>phoenix</x:v>
      </x:c>
      <x:c r="H1145" s="84" t="str">
        <x:v>Online</x:v>
      </x:c>
      <x:c r="I1145" s="84" t="str">
        <x:v>ACCS-002</x:v>
      </x:c>
      <x:c r="J1145" s="86" t="n">
        <x:v>1</x:v>
      </x:c>
      <x:c r="K1145" s="87" t="n">
        <x:v>0</x:v>
      </x:c>
      <x:c r="L1145" s="84" t="str">
        <x:v>completed</x:v>
      </x:c>
      <x:c r="M1145" s="84" t="str">
        <x:v>Debit Card</x:v>
      </x:c>
      <x:c r="N1145" s="84" t="str">
        <x:v>Mia Chen </x:v>
      </x:c>
      <x:c r="O1145" s="85" t="n">
        <x:v>45666</x:v>
      </x:c>
      <x:c r="P1145" s="84" t="str">
        <x:v>WEB_2025_01</x:v>
      </x:c>
      <x:c r="Q1145" s="84" t="str">
        <x:v>Travel Backpack</x:v>
      </x:c>
      <x:c r="R1145" s="84" t="str">
        <x:v>Accessories</x:v>
      </x:c>
    </x:row>
    <x:row r="1146">
      <x:c r="A1146" s="84" t="str">
        <x:v>ORD-2025-00113</x:v>
      </x:c>
      <x:c r="B1146" s="85" t="n">
        <x:v>45663</x:v>
      </x:c>
      <x:c r="C1146" s="84" t="str">
        <x:v>CUST-0124</x:v>
      </x:c>
      <x:c r="D1146" s="84" t="str">
        <x:v>Priya Lewis</x:v>
      </x:c>
      <x:c r="E1146" s="84" t="str">
        <x:v>Consumer</x:v>
      </x:c>
      <x:c r="F1146" s="84" t="str">
        <x:v>Midwest</x:v>
      </x:c>
      <x:c r="G1146" s="84" t="str">
        <x:v>Chicago</x:v>
      </x:c>
      <x:c r="H1146" s="84" t="str">
        <x:v>Online</x:v>
      </x:c>
      <x:c r="I1146" s="84" t="str">
        <x:v>HOME-001</x:v>
      </x:c>
      <x:c r="J1146" s="86" t="n">
        <x:v>1</x:v>
      </x:c>
      <x:c r="K1146" s="87" t="n">
        <x:v>0.05</x:v>
      </x:c>
      <x:c r="L1146" s="84" t="str">
        <x:v>Completed</x:v>
      </x:c>
      <x:c r="M1146" s="84" t="str">
        <x:v> DEBIT CARD </x:v>
      </x:c>
      <x:c r="N1146" s="84" t="str">
        <x:v>Lucas Grant</x:v>
      </x:c>
      <x:c r="O1146" s="85" t="n">
        <x:v>45667</x:v>
      </x:c>
      <x:c r="P1146" s="84" t="str">
        <x:v>WEB_2025_01</x:v>
      </x:c>
      <x:c r="Q1146" s="84" t="str">
        <x:v>Air Fryer </x:v>
      </x:c>
      <x:c r="R1146" s="84" t="str">
        <x:v>home &amp; kitchen</x:v>
      </x:c>
    </x:row>
    <x:row r="1147">
      <x:c r="A1147" s="84" t="str">
        <x:v>ORD-2025-00829</x:v>
      </x:c>
      <x:c r="B1147" s="85" t="n">
        <x:v>45664</x:v>
      </x:c>
      <x:c r="C1147" s="84" t="str">
        <x:v>CUST-0087</x:v>
      </x:c>
      <x:c r="D1147" s="84" t="str">
        <x:v>Amelia Evans</x:v>
      </x:c>
      <x:c r="E1147" s="84" t="str">
        <x:v>Consumer</x:v>
      </x:c>
      <x:c r="F1147" s="84" t="str">
        <x:v>West</x:v>
      </x:c>
      <x:c r="G1147" s="84" t="str">
        <x:v>los angeles</x:v>
      </x:c>
      <x:c r="H1147" s="84" t="str">
        <x:v>Retail Store </x:v>
      </x:c>
      <x:c r="I1147" s="84" t="str">
        <x:v>FITN-002</x:v>
      </x:c>
      <x:c r="J1147" s="86" t="n">
        <x:v>2</x:v>
      </x:c>
      <x:c r="K1147" s="87" t="n">
        <x:v>0.05</x:v>
      </x:c>
      <x:c r="L1147" s="84" t="str">
        <x:v>completed</x:v>
      </x:c>
      <x:c r="M1147" s="84" t="str">
        <x:v>Cash</x:v>
      </x:c>
      <x:c r="N1147" s="84" t="str">
        <x:v>Leo Martinez</x:v>
      </x:c>
      <x:c r="O1147" s="85" t="n">
        <x:v>45664</x:v>
      </x:c>
      <x:c r="P1147" s="84" t="str">
        <x:v>POS_2025_01</x:v>
      </x:c>
      <x:c r="Q1147" s="84" t="str">
        <x:v>Adjustable Dumbbell Set</x:v>
      </x:c>
      <x:c r="R1147" s="84" t="str">
        <x:v>Fitness</x:v>
      </x:c>
    </x:row>
    <x:row r="1148">
      <x:c r="A1148" s="84" t="str">
        <x:v>ORD-2025-01692</x:v>
      </x:c>
      <x:c r="B1148" s="85" t="n">
        <x:v>45664</x:v>
      </x:c>
      <x:c r="C1148" s="84" t="str">
        <x:v>CUST-0595</x:v>
      </x:c>
      <x:c r="D1148" s="84" t="str">
        <x:v>Daniel Evans </x:v>
      </x:c>
      <x:c r="E1148" s="84" t="str">
        <x:v>Corporate</x:v>
      </x:c>
      <x:c r="F1148" s="84" t="str">
        <x:v>Northeast</x:v>
      </x:c>
      <x:c r="G1148" s="84" t="str">
        <x:v>Newark</x:v>
      </x:c>
      <x:c r="H1148" s="84" t="str">
        <x:v>Online</x:v>
      </x:c>
      <x:c r="I1148" s="84" t="str">
        <x:v>FITN-002</x:v>
      </x:c>
      <x:c r="J1148" s="86" t="n">
        <x:v>1</x:v>
      </x:c>
      <x:c r="K1148" s="87" t="n">
        <x:v>0.1</x:v>
      </x:c>
      <x:c r="L1148" s="84" t="str">
        <x:v>Completed</x:v>
      </x:c>
      <x:c r="M1148" s="84" t="str">
        <x:v>Credit Card </x:v>
      </x:c>
      <x:c r="N1148" s="84" t="str">
        <x:v>Sofia Bennett</x:v>
      </x:c>
      <x:c r="O1148" s="85" t="n">
        <x:v>45668</x:v>
      </x:c>
      <x:c r="P1148" s="84" t="str">
        <x:v>WEB_2025_01</x:v>
      </x:c>
      <x:c r="Q1148" s="84" t="str">
        <x:v>adjustable dumbbell set</x:v>
      </x:c>
      <x:c r="R1148" s="84" t="str">
        <x:v>Fitness</x:v>
      </x:c>
    </x:row>
    <x:row r="1149">
      <x:c r="A1149" s="84" t="str">
        <x:v>ORD-2025-00489</x:v>
      </x:c>
      <x:c r="B1149" s="85" t="n">
        <x:v>45665</x:v>
      </x:c>
      <x:c r="C1149" s="84" t="str">
        <x:v>CUST-0299</x:v>
      </x:c>
      <x:c r="D1149" s="84" t="str">
        <x:v>Caleb Lewis</x:v>
      </x:c>
      <x:c r="E1149" s="84" t="str">
        <x:v>Consumer</x:v>
      </x:c>
      <x:c r="F1149" s="84" t="str">
        <x:v>Northeast</x:v>
      </x:c>
      <x:c r="G1149" s="84" t="str">
        <x:v>New York</x:v>
      </x:c>
      <x:c r="H1149" s="84" t="str">
        <x:v>Online</x:v>
      </x:c>
      <x:c r="I1149" s="84" t="str">
        <x:v>ACCS-006</x:v>
      </x:c>
      <x:c r="J1149" s="86" t="n">
        <x:v>2</x:v>
      </x:c>
      <x:c r="K1149" s="87" t="n">
        <x:v>0.05</x:v>
      </x:c>
      <x:c r="L1149" s="84" t="str">
        <x:v>Completed </x:v>
      </x:c>
      <x:c r="M1149" s="84" t="str">
        <x:v>Debit Card</x:v>
      </x:c>
      <x:c r="N1149" s="84" t="str">
        <x:v>Ethan Cole</x:v>
      </x:c>
      <x:c r="O1149" s="85" t="n">
        <x:v>45668</x:v>
      </x:c>
      <x:c r="P1149" s="84" t="str">
        <x:v>WEB_2025_01</x:v>
      </x:c>
      <x:c r="Q1149" s="84" t="str">
        <x:v>Insulated Lunch Bag</x:v>
      </x:c>
      <x:c r="R1149" s="84" t="str">
        <x:v>Accessories</x:v>
      </x:c>
    </x:row>
    <x:row r="1150">
      <x:c r="A1150" s="84" t="str">
        <x:v>ORD-2025-00570</x:v>
      </x:c>
      <x:c r="B1150" s="85" t="n">
        <x:v>45665</x:v>
      </x:c>
      <x:c r="C1150" s="84" t="str">
        <x:v>CUST-0344</x:v>
      </x:c>
      <x:c r="D1150" s="84" t="str">
        <x:v>Elena Quinn</x:v>
      </x:c>
      <x:c r="E1150" s="84" t="str">
        <x:v>Small Business</x:v>
      </x:c>
      <x:c r="F1150" s="84" t="str">
        <x:v>Northeast</x:v>
      </x:c>
      <x:c r="G1150" s="84" t="str">
        <x:v>Newark</x:v>
      </x:c>
      <x:c r="H1150" s="84" t="str">
        <x:v>Online </x:v>
      </x:c>
      <x:c r="I1150" s="84" t="str">
        <x:v>CARE-001</x:v>
      </x:c>
      <x:c r="J1150" s="86" t="n">
        <x:v>2</x:v>
      </x:c>
      <x:c r="K1150" s="87" t="n">
        <x:v>0.1</x:v>
      </x:c>
      <x:c r="L1150" s="84" t="str">
        <x:v>Completed</x:v>
      </x:c>
      <x:c r="M1150" s="84" t="str">
        <x:v>Credit Card</x:v>
      </x:c>
      <x:c r="N1150" s="84" t="str">
        <x:v>Sofia Bennett</x:v>
      </x:c>
      <x:c r="O1150" s="85" t="n">
        <x:v>45669</x:v>
      </x:c>
      <x:c r="P1150" s="84" t="str">
        <x:v>WEB_2025_01</x:v>
      </x:c>
      <x:c r="Q1150" s="84" t="str">
        <x:v>ionic hair dryer</x:v>
      </x:c>
      <x:c r="R1150" s="84" t="str">
        <x:v>Personal Care</x:v>
      </x:c>
    </x:row>
    <x:row r="1151">
      <x:c r="A1151" s="84" t="str">
        <x:v>ORD-2025-01683</x:v>
      </x:c>
      <x:c r="B1151" s="85" t="n">
        <x:v>45665</x:v>
      </x:c>
      <x:c r="C1151" s="84" t="str">
        <x:v>CUST-0386</x:v>
      </x:c>
      <x:c r="D1151" s="84" t="str">
        <x:v>Marcus Foster</x:v>
      </x:c>
      <x:c r="E1151" s="84" t="str">
        <x:v> SMALL BUSINESS </x:v>
      </x:c>
      <x:c r="F1151" s="84" t="str">
        <x:v>Southeast</x:v>
      </x:c>
      <x:c r="G1151" s="84" t="str">
        <x:v>Miami</x:v>
      </x:c>
      <x:c r="H1151" s="84" t="str">
        <x:v>retail store</x:v>
      </x:c>
      <x:c r="I1151" s="84" t="str">
        <x:v>ACCS-004</x:v>
      </x:c>
      <x:c r="J1151" s="86" t="n">
        <x:v>1</x:v>
      </x:c>
      <x:c r="K1151" s="87" t="n">
        <x:v>0.1</x:v>
      </x:c>
      <x:c r="L1151" s="84" t="str">
        <x:v>Completed</x:v>
      </x:c>
      <x:c r="M1151" s="84" t="str">
        <x:v>Mobile Wallet</x:v>
      </x:c>
      <x:c r="N1151" s="84" t="str">
        <x:v>Noah Reed</x:v>
      </x:c>
      <x:c r="O1151" s="85" t="n">
        <x:v>45665</x:v>
      </x:c>
      <x:c r="P1151" s="84" t="str">
        <x:v>POS_2025_01</x:v>
      </x:c>
      <x:c r="Q1151" s="84" t="str">
        <x:v>Leather Wallet</x:v>
      </x:c>
      <x:c r="R1151" s="84" t="str">
        <x:v>Accessories</x:v>
      </x:c>
    </x:row>
    <x:row r="1152">
      <x:c r="A1152" s="84" t="str">
        <x:v>ORD-2025-02200</x:v>
      </x:c>
      <x:c r="B1152" s="85" t="n">
        <x:v>45665</x:v>
      </x:c>
      <x:c r="C1152" s="84" t="str">
        <x:v>CUST-0104</x:v>
      </x:c>
      <x:c r="D1152" s="84" t="str">
        <x:v>Isaac Nelson</x:v>
      </x:c>
      <x:c r="E1152" s="84" t="str">
        <x:v>consumer</x:v>
      </x:c>
      <x:c r="F1152" s="84" t="str">
        <x:v>Northeast</x:v>
      </x:c>
      <x:c r="G1152" s="84" t="str">
        <x:v>Boston</x:v>
      </x:c>
      <x:c r="H1152" s="84" t="str">
        <x:v>online</x:v>
      </x:c>
      <x:c r="I1152" s="84" t="str">
        <x:v>HOME-003</x:v>
      </x:c>
      <x:c r="J1152" s="86" t="n">
        <x:v>3</x:v>
      </x:c>
      <x:c r="K1152" s="87" t="n">
        <x:v>0</x:v>
      </x:c>
      <x:c r="L1152" s="84" t="str">
        <x:v>Completed</x:v>
      </x:c>
      <x:c r="M1152" s="84" t="str">
        <x:v>Credit Card</x:v>
      </x:c>
      <x:c r="N1152" s="84" t="str">
        <x:v>Maya Brooks</x:v>
      </x:c>
      <x:c r="O1152" s="85" t="n">
        <x:v>45668</x:v>
      </x:c>
      <x:c r="P1152" s="84" t="str">
        <x:v>WEB_2025_01</x:v>
      </x:c>
      <x:c r="Q1152" s="84" t="str">
        <x:v>Countertop Blender</x:v>
      </x:c>
      <x:c r="R1152" s="84" t="str">
        <x:v>Home &amp; Kitchen </x:v>
      </x:c>
    </x:row>
    <x:row r="1153">
      <x:c r="A1153" s="84" t="str">
        <x:v>ORD-2025-02041</x:v>
      </x:c>
      <x:c r="B1153" s="85" t="n">
        <x:v>45666</x:v>
      </x:c>
      <x:c r="C1153" s="84" t="str">
        <x:v>CUST-0397</x:v>
      </x:c>
      <x:c r="D1153" s="84" t="str">
        <x:v>Amelia Baker</x:v>
      </x:c>
      <x:c r="E1153" s="84" t="str">
        <x:v>Corporate</x:v>
      </x:c>
      <x:c r="F1153" s="84" t="str">
        <x:v>Northeast </x:v>
      </x:c>
      <x:c r="G1153" s="84" t="str">
        <x:v>Newark</x:v>
      </x:c>
      <x:c r="H1153" s="84" t="str">
        <x:v>Marketplace</x:v>
      </x:c>
      <x:c r="I1153" s="84" t="str">
        <x:v>ACCS-003</x:v>
      </x:c>
      <x:c r="J1153" s="86" t="n">
        <x:v>2</x:v>
      </x:c>
      <x:c r="K1153" s="87" t="n">
        <x:v>0.1</x:v>
      </x:c>
      <x:c r="L1153" s="84" t="str">
        <x:v>Completed</x:v>
      </x:c>
      <x:c r="M1153" s="84" t="str">
        <x:v>Mobile Wallet</x:v>
      </x:c>
      <x:c r="N1153" s="84" t="str">
        <x:v>Maya Brooks </x:v>
      </x:c>
      <x:c r="O1153" s="85" t="n">
        <x:v>45674</x:v>
      </x:c>
      <x:c r="P1153" s="84" t="str">
        <x:v>MKT_2025_01</x:v>
      </x:c>
      <x:c r="Q1153" s="84" t="str">
        <x:v>Polarized Sunglasses</x:v>
      </x:c>
      <x:c r="R1153" s="84" t="str">
        <x:v>Accessories</x:v>
      </x:c>
    </x:row>
    <x:row r="1154">
      <x:c r="A1154" s="84" t="str">
        <x:v>ORD-2025-00168</x:v>
      </x:c>
      <x:c r="B1154" s="85" t="n">
        <x:v>45667</x:v>
      </x:c>
      <x:c r="C1154" s="84" t="str">
        <x:v>CUST-0189</x:v>
      </x:c>
      <x:c r="D1154" s="84" t="str">
        <x:v>Marcus Taylor</x:v>
      </x:c>
      <x:c r="E1154" s="84" t="str">
        <x:v>Consumer </x:v>
      </x:c>
      <x:c r="F1154" s="84" t="str">
        <x:v>Midwest</x:v>
      </x:c>
      <x:c r="G1154" s="84" t="str">
        <x:v>Chicago </x:v>
      </x:c>
      <x:c r="H1154" s="84" t="str">
        <x:v>Online</x:v>
      </x:c>
      <x:c r="I1154" s="84" t="str">
        <x:v>FITN-003</x:v>
      </x:c>
      <x:c r="J1154" s="86" t="n">
        <x:v>2</x:v>
      </x:c>
      <x:c r="K1154" s="87" t="n">
        <x:v>0.15</x:v>
      </x:c>
      <x:c r="L1154" s="84" t="str">
        <x:v>Completed</x:v>
      </x:c>
      <x:c r="M1154" s="84" t="str">
        <x:v>Mobile Wallet</x:v>
      </x:c>
      <x:c r="N1154" s="84" t="str">
        <x:v>Emma Hayes</x:v>
      </x:c>
      <x:c r="O1154" s="85" t="n">
        <x:v>45670</x:v>
      </x:c>
      <x:c r="P1154" s="84" t="str">
        <x:v>WEB_2025_01</x:v>
      </x:c>
      <x:c r="Q1154" s="84" t="str">
        <x:v>Resistance Band Set</x:v>
      </x:c>
      <x:c r="R1154" s="84" t="str">
        <x:v> FITNESS </x:v>
      </x:c>
    </x:row>
    <x:row r="1155">
      <x:c r="A1155" s="84" t="str">
        <x:v>ORD-2025-00836</x:v>
      </x:c>
      <x:c r="B1155" s="85" t="n">
        <x:v>45667</x:v>
      </x:c>
      <x:c r="C1155" s="84" t="str">
        <x:v>CUST-0030</x:v>
      </x:c>
      <x:c r="D1155" s="84" t="str">
        <x:v>Owen Patel</x:v>
      </x:c>
      <x:c r="E1155" s="84" t="str">
        <x:v>corporate</x:v>
      </x:c>
      <x:c r="F1155" s="84" t="str">
        <x:v>Southeast</x:v>
      </x:c>
      <x:c r="G1155" s="84" t="str">
        <x:v>Charlotte</x:v>
      </x:c>
      <x:c r="H1155" s="84" t="str">
        <x:v>online</x:v>
      </x:c>
      <x:c r="I1155" s="84" t="str">
        <x:v>FITN-003</x:v>
      </x:c>
      <x:c r="J1155" s="86" t="n">
        <x:v>4</x:v>
      </x:c>
      <x:c r="K1155" s="87" t="n">
        <x:v>0.05</x:v>
      </x:c>
      <x:c r="L1155" s="84" t="str">
        <x:v>Completed</x:v>
      </x:c>
      <x:c r="M1155" s="84" t="str">
        <x:v>Debit Card</x:v>
      </x:c>
      <x:c r="N1155" s="84" t="str">
        <x:v> LIAM PARKER </x:v>
      </x:c>
      <x:c r="O1155" s="85" t="n">
        <x:v>45669</x:v>
      </x:c>
      <x:c r="P1155" s="84" t="str">
        <x:v>WEB_2025_01</x:v>
      </x:c>
      <x:c r="Q1155" s="84" t="str">
        <x:v>Resistance Band Set</x:v>
      </x:c>
      <x:c r="R1155" s="84" t="str">
        <x:v>Fitness</x:v>
      </x:c>
    </x:row>
    <x:row r="1156">
      <x:c r="A1156" s="84" t="str">
        <x:v>ORD-2025-01272</x:v>
      </x:c>
      <x:c r="B1156" s="85" t="n">
        <x:v>45667</x:v>
      </x:c>
      <x:c r="C1156" s="84" t="str">
        <x:v>CUST-0062</x:v>
      </x:c>
      <x:c r="D1156" s="84" t="str">
        <x:v> CALEB DAVIS </x:v>
      </x:c>
      <x:c r="E1156" s="84" t="str">
        <x:v>Consumer</x:v>
      </x:c>
      <x:c r="F1156" s="84" t="str">
        <x:v> NORTHEAST </x:v>
      </x:c>
      <x:c r="G1156" s="84" t="str">
        <x:v>New York</x:v>
      </x:c>
      <x:c r="H1156" s="84" t="str">
        <x:v>Marketplace</x:v>
      </x:c>
      <x:c r="I1156" s="84" t="str">
        <x:v>CARE-006</x:v>
      </x:c>
      <x:c r="J1156" s="86" t="n">
        <x:v>1</x:v>
      </x:c>
      <x:c r="K1156" s="87" t="n">
        <x:v>0</x:v>
      </x:c>
      <x:c r="L1156" s="84" t="str">
        <x:v>Completed</x:v>
      </x:c>
      <x:c r="M1156" s="84" t="str">
        <x:v>Credit Card </x:v>
      </x:c>
      <x:c r="N1156" s="84" t="str">
        <x:v>Sofia Bennett</x:v>
      </x:c>
      <x:c r="O1156" s="85" t="n">
        <x:v>45672</x:v>
      </x:c>
      <x:c r="P1156" s="84" t="str">
        <x:v>MKT_2025_01</x:v>
      </x:c>
      <x:c r="Q1156" s="84" t="str">
        <x:v>Percussion Massage Gun</x:v>
      </x:c>
      <x:c r="R1156" s="84" t="str">
        <x:v>Personal Care</x:v>
      </x:c>
    </x:row>
    <x:row r="1157">
      <x:c r="A1157" s="84" t="str">
        <x:v>ORD-2025-01570</x:v>
      </x:c>
      <x:c r="B1157" s="85" t="n">
        <x:v>45667</x:v>
      </x:c>
      <x:c r="C1157" s="84" t="str">
        <x:v>CUST-0258</x:v>
      </x:c>
      <x:c r="D1157" s="84" t="str">
        <x:v>Nina Walker</x:v>
      </x:c>
      <x:c r="E1157" s="84" t="str">
        <x:v>Consumer</x:v>
      </x:c>
      <x:c r="F1157" s="84" t="str">
        <x:v>west</x:v>
      </x:c>
      <x:c r="G1157" s="84" t="str">
        <x:v>Denver</x:v>
      </x:c>
      <x:c r="H1157" s="84" t="str">
        <x:v> ONLINE </x:v>
      </x:c>
      <x:c r="I1157" s="84" t="str">
        <x:v>ELEC-003</x:v>
      </x:c>
      <x:c r="J1157" s="86" t="n">
        <x:v>1</x:v>
      </x:c>
      <x:c r="K1157" s="87" t="n">
        <x:v>0</x:v>
      </x:c>
      <x:c r="L1157" s="84" t="str">
        <x:v>Completed</x:v>
      </x:c>
      <x:c r="M1157" s="84" t="str">
        <x:v>Credit Card</x:v>
      </x:c>
      <x:c r="N1157" s="84" t="str">
        <x:v>Nora Kim</x:v>
      </x:c>
      <x:c r="O1157" s="85" t="n">
        <x:v>45671</x:v>
      </x:c>
      <x:c r="P1157" s="84" t="str">
        <x:v>WEB_2025_01</x:v>
      </x:c>
      <x:c r="Q1157" s="84" t="str">
        <x:v>Bluetooth Speaker</x:v>
      </x:c>
      <x:c r="R1157" s="84" t="str">
        <x:v>Electronics </x:v>
      </x:c>
    </x:row>
    <x:row r="1158">
      <x:c r="A1158" s="84" t="str">
        <x:v>ORD-2025-00873</x:v>
      </x:c>
      <x:c r="B1158" s="85" t="n">
        <x:v>45668</x:v>
      </x:c>
      <x:c r="C1158" s="84" t="str">
        <x:v>CUST-0227</x:v>
      </x:c>
      <x:c r="D1158" s="84" t="str">
        <x:v>Maya Foster </x:v>
      </x:c>
      <x:c r="E1158" s="84" t="str">
        <x:v>Consumer</x:v>
      </x:c>
      <x:c r="F1158" s="84" t="str">
        <x:v>West</x:v>
      </x:c>
      <x:c r="G1158" s="84" t="str">
        <x:v>phoenix</x:v>
      </x:c>
      <x:c r="H1158" s="84" t="str">
        <x:v> RETAIL STORE </x:v>
      </x:c>
      <x:c r="I1158" s="84" t="str">
        <x:v>ELEC-005</x:v>
      </x:c>
      <x:c r="J1158" s="86" t="n">
        <x:v>1</x:v>
      </x:c>
      <x:c r="K1158" s="87" t="n">
        <x:v>0.05</x:v>
      </x:c>
      <x:c r="L1158" s="84" t="str">
        <x:v>completed</x:v>
      </x:c>
      <x:c r="M1158" s="84" t="str">
        <x:v>Debit Card </x:v>
      </x:c>
      <x:c r="N1158" s="84" t="str">
        <x:v>Leo Martinez</x:v>
      </x:c>
      <x:c r="O1158" s="85" t="n">
        <x:v>45668</x:v>
      </x:c>
      <x:c r="P1158" s="84" t="str">
        <x:v>POS_2025_01</x:v>
      </x:c>
      <x:c r="Q1158" s="84" t="str">
        <x:v>HD Webcam</x:v>
      </x:c>
      <x:c r="R1158" s="84" t="str">
        <x:v>Electronics</x:v>
      </x:c>
    </x:row>
    <x:row r="1159">
      <x:c r="A1159" s="84" t="str">
        <x:v>ORD-2025-00647</x:v>
      </x:c>
      <x:c r="B1159" s="85" t="n">
        <x:v>45669</x:v>
      </x:c>
      <x:c r="C1159" s="84" t="str">
        <x:v>CUST-0356</x:v>
      </x:c>
      <x:c r="D1159" s="84" t="str">
        <x:v>Grace Davis</x:v>
      </x:c>
      <x:c r="E1159" s="84" t="str">
        <x:v>Consumer</x:v>
      </x:c>
      <x:c r="F1159" s="84" t="str">
        <x:v>Northeast</x:v>
      </x:c>
      <x:c r="G1159" s="84" t="str">
        <x:v>Philadelphia</x:v>
      </x:c>
      <x:c r="H1159" s="84" t="str">
        <x:v>Retail Store </x:v>
      </x:c>
      <x:c r="I1159" s="84" t="str">
        <x:v>HOME-006</x:v>
      </x:c>
      <x:c r="J1159" s="86" t="n">
        <x:v>1</x:v>
      </x:c>
      <x:c r="K1159" s="87" t="n">
        <x:v>0</x:v>
      </x:c>
      <x:c r="L1159" s="84" t="str">
        <x:v>Completed</x:v>
      </x:c>
      <x:c r="M1159" s="84" t="str">
        <x:v>Debit Card</x:v>
      </x:c>
      <x:c r="N1159" s="84" t="str">
        <x:v>Maya Brooks</x:v>
      </x:c>
      <x:c r="O1159" s="85" t="n">
        <x:v>45669</x:v>
      </x:c>
      <x:c r="P1159" s="84" t="str">
        <x:v>POS_2025_01</x:v>
      </x:c>
      <x:c r="Q1159" s="84" t="str">
        <x:v>food storage set</x:v>
      </x:c>
      <x:c r="R1159" s="84" t="str">
        <x:v>Home &amp; Kitchen</x:v>
      </x:c>
    </x:row>
    <x:row r="1160">
      <x:c r="A1160" s="84" t="str">
        <x:v>ORD-2025-01039</x:v>
      </x:c>
      <x:c r="B1160" s="85" t="n">
        <x:v>45669</x:v>
      </x:c>
      <x:c r="C1160" s="84" t="str">
        <x:v>CUST-0472</x:v>
      </x:c>
      <x:c r="D1160" s="84" t="str">
        <x:v>Owen Davis</x:v>
      </x:c>
      <x:c r="E1160" s="84" t="str">
        <x:v>Corporate</x:v>
      </x:c>
      <x:c r="F1160" s="84" t="str">
        <x:v>West</x:v>
      </x:c>
      <x:c r="G1160" s="84" t="str">
        <x:v>Los Angeles</x:v>
      </x:c>
      <x:c r="H1160" s="84" t="str">
        <x:v>Retail Store </x:v>
      </x:c>
      <x:c r="I1160" s="84" t="str">
        <x:v>HOME-003</x:v>
      </x:c>
      <x:c r="J1160" s="86" t="n">
        <x:v>2</x:v>
      </x:c>
      <x:c r="K1160" s="87" t="n">
        <x:v>0.1</x:v>
      </x:c>
      <x:c r="L1160" s="84" t="str">
        <x:v>Completed</x:v>
      </x:c>
      <x:c r="M1160" s="84" t="str">
        <x:v>Debit Card</x:v>
      </x:c>
      <x:c r="N1160" s="84" t="str">
        <x:v>Mia Chen</x:v>
      </x:c>
      <x:c r="O1160" s="85" t="n">
        <x:v>45670</x:v>
      </x:c>
      <x:c r="P1160" s="84" t="str">
        <x:v>POS_2025_01</x:v>
      </x:c>
      <x:c r="Q1160" s="84" t="str">
        <x:v>Countertop Blender</x:v>
      </x:c>
      <x:c r="R1160" s="84" t="str">
        <x:v>Home &amp; Kitchen</x:v>
      </x:c>
    </x:row>
    <x:row r="1161">
      <x:c r="A1161" s="84" t="str">
        <x:v>ORD-2025-01414</x:v>
      </x:c>
      <x:c r="B1161" s="85" t="n">
        <x:v>45669</x:v>
      </x:c>
      <x:c r="C1161" s="84" t="str">
        <x:v>CUST-0343</x:v>
      </x:c>
      <x:c r="D1161" s="84" t="str">
        <x:v>Elias Hall</x:v>
      </x:c>
      <x:c r="E1161" s="84" t="str">
        <x:v>Consumer </x:v>
      </x:c>
      <x:c r="F1161" s="84" t="str">
        <x:v>Northeast</x:v>
      </x:c>
      <x:c r="G1161" s="84" t="str">
        <x:v>Philadelphia </x:v>
      </x:c>
      <x:c r="H1161" s="84" t="str">
        <x:v>Online</x:v>
      </x:c>
      <x:c r="I1161" s="84" t="str">
        <x:v>FITN-006</x:v>
      </x:c>
      <x:c r="J1161" s="86" t="n">
        <x:v>2</x:v>
      </x:c>
      <x:c r="K1161" s="87" t="n">
        <x:v>0.05</x:v>
      </x:c>
      <x:c r="L1161" s="84" t="str">
        <x:v>Completed</x:v>
      </x:c>
      <x:c r="M1161" s="84" t="str">
        <x:v>Credit Card</x:v>
      </x:c>
      <x:c r="N1161" s="84" t="str">
        <x:v> SOFIA BENNETT </x:v>
      </x:c>
      <x:c r="O1161" s="85" t="n">
        <x:v>45674</x:v>
      </x:c>
      <x:c r="P1161" s="84" t="str">
        <x:v>WEB_2025_01</x:v>
      </x:c>
      <x:c r="Q1161" s="84" t="str">
        <x:v>Foam Roller</x:v>
      </x:c>
      <x:c r="R1161" s="84" t="str">
        <x:v>Fitness</x:v>
      </x:c>
    </x:row>
    <x:row r="1162">
      <x:c r="A1162" s="84" t="str">
        <x:v>ORD-2025-01916</x:v>
      </x:c>
      <x:c r="B1162" s="85" t="n">
        <x:v>45669</x:v>
      </x:c>
      <x:c r="C1162" s="84" t="str">
        <x:v>CUST-0630</x:v>
      </x:c>
      <x:c r="D1162" s="84" t="str">
        <x:v>Jasmine Foster </x:v>
      </x:c>
      <x:c r="E1162" s="84" t="str">
        <x:v>Consumer</x:v>
      </x:c>
      <x:c r="F1162" s="84" t="str">
        <x:v>Southeast</x:v>
      </x:c>
      <x:c r="G1162" s="84" t="str">
        <x:v>Miami</x:v>
      </x:c>
      <x:c r="H1162" s="84" t="str">
        <x:v>Retail Store</x:v>
      </x:c>
      <x:c r="I1162" s="84" t="str">
        <x:v>ELEC-004</x:v>
      </x:c>
      <x:c r="J1162" s="86" t="n">
        <x:v>1</x:v>
      </x:c>
      <x:c r="K1162" s="87" t="n">
        <x:v>0</x:v>
      </x:c>
      <x:c r="L1162" s="84" t="str">
        <x:v>Completed</x:v>
      </x:c>
      <x:c r="M1162" s="84" t="str">
        <x:v>Credit Card </x:v>
      </x:c>
      <x:c r="N1162" s="84" t="str">
        <x:v>liam parker</x:v>
      </x:c>
      <x:c r="O1162" s="85" t="n">
        <x:v>45669</x:v>
      </x:c>
      <x:c r="P1162" s="84" t="str">
        <x:v>POS_2025_01</x:v>
      </x:c>
      <x:c r="Q1162" s="84" t="str">
        <x:v>Power Bank</x:v>
      </x:c>
      <x:c r="R1162" s="84" t="str">
        <x:v>Electronics</x:v>
      </x:c>
    </x:row>
    <x:row r="1163">
      <x:c r="A1163" s="84" t="str">
        <x:v>ORD-2025-00848</x:v>
      </x:c>
      <x:c r="B1163" s="85" t="n">
        <x:v>45670</x:v>
      </x:c>
      <x:c r="C1163" s="84" t="str">
        <x:v>CUST-0034</x:v>
      </x:c>
      <x:c r="D1163" s="84" t="str">
        <x:v>Priya Roberts</x:v>
      </x:c>
      <x:c r="E1163" s="84" t="str">
        <x:v>Consumer</x:v>
      </x:c>
      <x:c r="F1163" s="84" t="str">
        <x:v>Southeast</x:v>
      </x:c>
      <x:c r="G1163" s="84" t="str">
        <x:v>Nashville</x:v>
      </x:c>
      <x:c r="H1163" s="84" t="str">
        <x:v>Marketplace</x:v>
      </x:c>
      <x:c r="I1163" s="84" t="str">
        <x:v>ACCS-006</x:v>
      </x:c>
      <x:c r="J1163" s="86" t="n">
        <x:v>1</x:v>
      </x:c>
      <x:c r="K1163" s="87" t="n">
        <x:v>0.05</x:v>
      </x:c>
      <x:c r="L1163" s="84" t="str">
        <x:v>Completed</x:v>
      </x:c>
      <x:c r="M1163" s="84" t="str">
        <x:v>Debit Card</x:v>
      </x:c>
      <x:c r="N1163" s="84" t="str">
        <x:v>Noah Reed</x:v>
      </x:c>
      <x:c r="O1163" s="85" t="n">
        <x:v>45673</x:v>
      </x:c>
      <x:c r="P1163" s="84" t="str">
        <x:v>MKT_2025_01</x:v>
      </x:c>
      <x:c r="Q1163" s="84" t="str">
        <x:v>Insulated Lunch Bag </x:v>
      </x:c>
      <x:c r="R1163" s="84" t="str">
        <x:v> ACCESSORIES </x:v>
      </x:c>
    </x:row>
    <x:row r="1164">
      <x:c r="A1164" s="84" t="str">
        <x:v>ORD-2025-01724</x:v>
      </x:c>
      <x:c r="B1164" s="85" t="n">
        <x:v>45670</x:v>
      </x:c>
      <x:c r="C1164" s="84" t="str">
        <x:v>CUST-0623</x:v>
      </x:c>
      <x:c r="D1164" s="84" t="str">
        <x:v>Theo Roberts</x:v>
      </x:c>
      <x:c r="E1164" s="84" t="str">
        <x:v>Small Business</x:v>
      </x:c>
      <x:c r="F1164" s="84" t="str">
        <x:v>midwest</x:v>
      </x:c>
      <x:c r="G1164" s="84" t="str">
        <x:v>Detroit</x:v>
      </x:c>
      <x:c r="H1164" s="84" t="str">
        <x:v>Online</x:v>
      </x:c>
      <x:c r="I1164" s="84" t="str">
        <x:v>ACCS-001</x:v>
      </x:c>
      <x:c r="J1164" s="86" t="n">
        <x:v>1</x:v>
      </x:c>
      <x:c r="K1164" s="87" t="n">
        <x:v>0</x:v>
      </x:c>
      <x:c r="L1164" s="84" t="str">
        <x:v>Completed</x:v>
      </x:c>
      <x:c r="M1164" s="84" t="str">
        <x:v>Credit Card</x:v>
      </x:c>
      <x:c r="N1164" s="84" t="str">
        <x:v>Emma Hayes</x:v>
      </x:c>
      <x:c r="O1164" s="85" t="n">
        <x:v>45674</x:v>
      </x:c>
      <x:c r="P1164" s="84" t="str">
        <x:v>WEB_2025_01</x:v>
      </x:c>
      <x:c r="Q1164" s="84" t="str">
        <x:v>Canvas Tote Bag</x:v>
      </x:c>
      <x:c r="R1164" s="84" t="str">
        <x:v>Accessories </x:v>
      </x:c>
    </x:row>
    <x:row r="1165">
      <x:c r="A1165" s="84" t="str">
        <x:v>ORD-2025-00237</x:v>
      </x:c>
      <x:c r="B1165" s="85" t="n">
        <x:v>45671</x:v>
      </x:c>
      <x:c r="C1165" s="84" t="str">
        <x:v>CUST-0632</x:v>
      </x:c>
      <x:c r="D1165" s="84" t="str">
        <x:v>Caleb Adams</x:v>
      </x:c>
      <x:c r="E1165" s="84" t="str">
        <x:v>Consumer</x:v>
      </x:c>
      <x:c r="F1165" s="84" t="str">
        <x:v>West</x:v>
      </x:c>
      <x:c r="G1165" s="84" t="str">
        <x:v>Phoenix</x:v>
      </x:c>
      <x:c r="H1165" s="84" t="str">
        <x:v>Online</x:v>
      </x:c>
      <x:c r="I1165" s="84" t="str">
        <x:v>CARE-002</x:v>
      </x:c>
      <x:c r="J1165" s="86" t="n">
        <x:v>1</x:v>
      </x:c>
      <x:c r="K1165" s="87" t="n">
        <x:v>0.05</x:v>
      </x:c>
      <x:c r="L1165" s="84" t="str">
        <x:v>Returned </x:v>
      </x:c>
      <x:c r="M1165" s="84" t="str">
        <x:v>Debit Card</x:v>
      </x:c>
      <x:c r="N1165" s="84" t="str">
        <x:v>Nora Kim</x:v>
      </x:c>
      <x:c r="O1165" s="85" t="n">
        <x:v>45675</x:v>
      </x:c>
      <x:c r="P1165" s="84" t="str">
        <x:v>WEB_2025_01</x:v>
      </x:c>
      <x:c r="Q1165" s="84" t="str">
        <x:v>Rechargeable Trimmer</x:v>
      </x:c>
      <x:c r="R1165" s="84" t="str">
        <x:v>Personal Care</x:v>
      </x:c>
    </x:row>
    <x:row r="1166">
      <x:c r="A1166" s="84" t="str">
        <x:v>ORD-2025-01450</x:v>
      </x:c>
      <x:c r="B1166" s="85" t="n">
        <x:v>45671</x:v>
      </x:c>
      <x:c r="C1166" s="84" t="str">
        <x:v>CUST-0487</x:v>
      </x:c>
      <x:c r="D1166" s="84" t="str">
        <x:v>Marcus Adams</x:v>
      </x:c>
      <x:c r="E1166" s="84" t="str">
        <x:v>Consumer</x:v>
      </x:c>
      <x:c r="F1166" s="84" t="str">
        <x:v>Southeast</x:v>
      </x:c>
      <x:c r="G1166" s="84" t="str">
        <x:v>Atlanta</x:v>
      </x:c>
      <x:c r="H1166" s="84" t="str">
        <x:v>Online</x:v>
      </x:c>
      <x:c r="I1166" s="84" t="str">
        <x:v>CARE-001</x:v>
      </x:c>
      <x:c r="J1166" s="86" t="n">
        <x:v>2</x:v>
      </x:c>
      <x:c r="K1166" s="87" t="n">
        <x:v>0</x:v>
      </x:c>
      <x:c r="L1166" s="84" t="str">
        <x:v> COMPLETED </x:v>
      </x:c>
      <x:c r="M1166" s="84" t="str">
        <x:v>PayPal</x:v>
      </x:c>
      <x:c r="N1166" s="84" t="str">
        <x:v>Ava Mitchell</x:v>
      </x:c>
      <x:c r="O1166" s="85" t="n">
        <x:v>45673</x:v>
      </x:c>
      <x:c r="P1166" s="84" t="str">
        <x:v>WEB_2025_01</x:v>
      </x:c>
      <x:c r="Q1166" s="84" t="str">
        <x:v>ionic hair dryer</x:v>
      </x:c>
      <x:c r="R1166" s="84" t="str">
        <x:v>Personal Care</x:v>
      </x:c>
    </x:row>
    <x:row r="1167">
      <x:c r="A1167" s="84" t="str">
        <x:v>ORD-2025-01828</x:v>
      </x:c>
      <x:c r="B1167" s="85" t="n">
        <x:v>45671</x:v>
      </x:c>
      <x:c r="C1167" s="84" t="str">
        <x:v>CUST-0131</x:v>
      </x:c>
      <x:c r="D1167" s="84" t="str">
        <x:v>Theo Patel</x:v>
      </x:c>
      <x:c r="E1167" s="84" t="str">
        <x:v>Consumer</x:v>
      </x:c>
      <x:c r="F1167" s="84" t="str">
        <x:v>Southeast</x:v>
      </x:c>
      <x:c r="G1167" s="84" t="str">
        <x:v>Nashville</x:v>
      </x:c>
      <x:c r="H1167" s="84" t="str">
        <x:v>Marketplace</x:v>
      </x:c>
      <x:c r="I1167" s="84" t="str">
        <x:v>HOME-003</x:v>
      </x:c>
      <x:c r="J1167" s="86" t="n">
        <x:v>2</x:v>
      </x:c>
      <x:c r="K1167" s="87" t="n">
        <x:v>0</x:v>
      </x:c>
      <x:c r="L1167" s="84" t="str">
        <x:v>Completed</x:v>
      </x:c>
      <x:c r="M1167" s="84" t="str">
        <x:v>Debit Card</x:v>
      </x:c>
      <x:c r="N1167" s="84" t="str">
        <x:v>ava mitchell</x:v>
      </x:c>
      <x:c r="O1167" s="85" t="n">
        <x:v>45677</x:v>
      </x:c>
      <x:c r="P1167" s="84" t="str">
        <x:v>MKT_2025_01</x:v>
      </x:c>
      <x:c r="Q1167" s="84" t="str">
        <x:v>Countertop Blender </x:v>
      </x:c>
      <x:c r="R1167" s="84" t="str">
        <x:v>Home &amp; Kitchen</x:v>
      </x:c>
    </x:row>
    <x:row r="1168">
      <x:c r="A1168" s="84" t="str">
        <x:v>ORD-2025-00275</x:v>
      </x:c>
      <x:c r="B1168" s="85" t="n">
        <x:v>45673</x:v>
      </x:c>
      <x:c r="C1168" s="84" t="str">
        <x:v>CUST-0095</x:v>
      </x:c>
      <x:c r="D1168" s="84" t="str">
        <x:v>Elena Irwin</x:v>
      </x:c>
      <x:c r="E1168" s="84" t="str">
        <x:v>corporate</x:v>
      </x:c>
      <x:c r="F1168" s="84" t="str">
        <x:v>Northeast</x:v>
      </x:c>
      <x:c r="G1168" s="84" t="str">
        <x:v>Newark</x:v>
      </x:c>
      <x:c r="H1168" s="84" t="str">
        <x:v>marketplace</x:v>
      </x:c>
      <x:c r="I1168" s="84" t="str">
        <x:v>ELEC-006</x:v>
      </x:c>
      <x:c r="J1168" s="86" t="n">
        <x:v>2</x:v>
      </x:c>
      <x:c r="K1168" s="87" t="n">
        <x:v>0.05</x:v>
      </x:c>
      <x:c r="L1168" s="84" t="str">
        <x:v>Completed</x:v>
      </x:c>
      <x:c r="M1168" s="84" t="str">
        <x:v>Credit Card</x:v>
      </x:c>
      <x:c r="N1168" s="84" t="str">
        <x:v> MAYA BROOKS </x:v>
      </x:c>
      <x:c r="O1168" s="85" t="n">
        <x:v>45678</x:v>
      </x:c>
      <x:c r="P1168" s="84" t="str">
        <x:v>MKT_2025_01</x:v>
      </x:c>
      <x:c r="Q1168" s="84" t="str">
        <x:v>Portable SSD</x:v>
      </x:c>
      <x:c r="R1168" s="84" t="str">
        <x:v>Electronics </x:v>
      </x:c>
    </x:row>
    <x:row r="1169">
      <x:c r="A1169" s="84" t="str">
        <x:v>ORD-2025-00502</x:v>
      </x:c>
      <x:c r="B1169" s="85" t="n">
        <x:v>45673</x:v>
      </x:c>
      <x:c r="C1169" s="84" t="str">
        <x:v>CUST-0109</x:v>
      </x:c>
      <x:c r="D1169" s="84" t="str">
        <x:v>maya evans</x:v>
      </x:c>
      <x:c r="E1169" s="84" t="str">
        <x:v>Consumer</x:v>
      </x:c>
      <x:c r="F1169" s="84" t="str">
        <x:v>West</x:v>
      </x:c>
      <x:c r="G1169" s="84" t="str">
        <x:v>Seattle</x:v>
      </x:c>
      <x:c r="H1169" s="84" t="str">
        <x:v>Retail Store</x:v>
      </x:c>
      <x:c r="I1169" s="84" t="str">
        <x:v>FITN-006</x:v>
      </x:c>
      <x:c r="J1169" s="86" t="n">
        <x:v>3</x:v>
      </x:c>
      <x:c r="K1169" s="87" t="n">
        <x:v>0</x:v>
      </x:c>
      <x:c r="L1169" s="84" t="str">
        <x:v>Completed</x:v>
      </x:c>
      <x:c r="M1169" s="84" t="str">
        <x:v>Credit Card </x:v>
      </x:c>
      <x:c r="N1169" s="84" t="str">
        <x:v>Leo Martinez</x:v>
      </x:c>
      <x:c r="O1169" s="85" t="n">
        <x:v>45673</x:v>
      </x:c>
      <x:c r="P1169" s="84" t="str">
        <x:v>POS_2025_01</x:v>
      </x:c>
      <x:c r="Q1169" s="84" t="str">
        <x:v>Foam Roller</x:v>
      </x:c>
      <x:c r="R1169" s="84" t="str">
        <x:v>Fitness</x:v>
      </x:c>
    </x:row>
    <x:row r="1170">
      <x:c r="A1170" s="84" t="str">
        <x:v>ORD-2025-00979</x:v>
      </x:c>
      <x:c r="B1170" s="85" t="n">
        <x:v>45674</x:v>
      </x:c>
      <x:c r="C1170" s="84" t="str">
        <x:v>CUST-0052</x:v>
      </x:c>
      <x:c r="D1170" s="84" t="str">
        <x:v>Elias Adams</x:v>
      </x:c>
      <x:c r="E1170" s="84" t="str">
        <x:v>consumer</x:v>
      </x:c>
      <x:c r="F1170" s="84" t="str">
        <x:v>Southeast</x:v>
      </x:c>
      <x:c r="G1170" s="84" t="str">
        <x:v> ATLANTA </x:v>
      </x:c>
      <x:c r="H1170" s="84" t="str">
        <x:v>online</x:v>
      </x:c>
      <x:c r="I1170" s="84" t="str">
        <x:v>OFFC-001</x:v>
      </x:c>
      <x:c r="J1170" s="86" t="n">
        <x:v>4</x:v>
      </x:c>
      <x:c r="K1170" s="87" t="n">
        <x:v>0</x:v>
      </x:c>
      <x:c r="L1170" s="84" t="str">
        <x:v>Completed </x:v>
      </x:c>
      <x:c r="M1170" s="84" t="str">
        <x:v>Mobile Wallet</x:v>
      </x:c>
      <x:c r="N1170" s="84" t="str">
        <x:v>Ava Mitchell</x:v>
      </x:c>
      <x:c r="O1170" s="85" t="n">
        <x:v>45676</x:v>
      </x:c>
      <x:c r="P1170" s="84" t="str">
        <x:v>WEB_2025_01</x:v>
      </x:c>
      <x:c r="Q1170" s="84" t="str">
        <x:v>Ergonomic Chair</x:v>
      </x:c>
      <x:c r="R1170" s="84" t="str">
        <x:v>Office</x:v>
      </x:c>
    </x:row>
    <x:row r="1171">
      <x:c r="A1171" s="84" t="str">
        <x:v>ORD-2025-02346</x:v>
      </x:c>
      <x:c r="B1171" s="85" t="n">
        <x:v>45674</x:v>
      </x:c>
      <x:c r="C1171" s="84" t="str">
        <x:v>CUST-0573</x:v>
      </x:c>
      <x:c r="D1171" s="84" t="str">
        <x:v>Priya Johnson</x:v>
      </x:c>
      <x:c r="E1171" s="84" t="str">
        <x:v> CORPORATE </x:v>
      </x:c>
      <x:c r="F1171" s="84" t="str">
        <x:v>West</x:v>
      </x:c>
      <x:c r="G1171" s="84" t="str">
        <x:v>Los Angeles</x:v>
      </x:c>
      <x:c r="H1171" s="84" t="str">
        <x:v>Retail Store</x:v>
      </x:c>
      <x:c r="I1171" s="84" t="str">
        <x:v>FITN-003</x:v>
      </x:c>
      <x:c r="J1171" s="86" t="n">
        <x:v>1</x:v>
      </x:c>
      <x:c r="K1171" s="87" t="n">
        <x:v>0.2</x:v>
      </x:c>
      <x:c r="L1171" s="84" t="str">
        <x:v>Completed</x:v>
      </x:c>
      <x:c r="M1171" s="84" t="str">
        <x:v>Credit Card</x:v>
      </x:c>
      <x:c r="N1171" s="84" t="str">
        <x:v>Nora Kim</x:v>
      </x:c>
      <x:c r="O1171" s="85" t="n">
        <x:v>45674</x:v>
      </x:c>
      <x:c r="P1171" s="84" t="str">
        <x:v>POS_2025_01</x:v>
      </x:c>
      <x:c r="Q1171" s="84" t="str">
        <x:v>Resistance Band Set </x:v>
      </x:c>
      <x:c r="R1171" s="84" t="str">
        <x:v>fitness</x:v>
      </x:c>
    </x:row>
    <x:row r="1172">
      <x:c r="A1172" s="84" t="str">
        <x:v>ORD-2025-01360</x:v>
      </x:c>
      <x:c r="B1172" s="85" t="n">
        <x:v>45675</x:v>
      </x:c>
      <x:c r="C1172" s="84" t="str">
        <x:v>CUST-0391</x:v>
      </x:c>
      <x:c r="D1172" s="84" t="str">
        <x:v>amelia taylor</x:v>
      </x:c>
      <x:c r="E1172" s="84" t="str">
        <x:v> CORPORATE </x:v>
      </x:c>
      <x:c r="F1172" s="84" t="str">
        <x:v>Northeast</x:v>
      </x:c>
      <x:c r="G1172" s="84" t="str">
        <x:v>New York</x:v>
      </x:c>
      <x:c r="H1172" s="84" t="str">
        <x:v>Retail Store</x:v>
      </x:c>
      <x:c r="I1172" s="84" t="str">
        <x:v>CARE-006</x:v>
      </x:c>
      <x:c r="J1172" s="86" t="n">
        <x:v>4</x:v>
      </x:c>
      <x:c r="K1172" s="87" t="n">
        <x:v>0.05</x:v>
      </x:c>
      <x:c r="L1172" s="84" t="str">
        <x:v>Completed</x:v>
      </x:c>
      <x:c r="M1172" s="84" t="str">
        <x:v>Debit Card</x:v>
      </x:c>
      <x:c r="N1172" s="84" t="str">
        <x:v>Sofia Bennett</x:v>
      </x:c>
      <x:c r="O1172" s="85" t="n">
        <x:v>45675</x:v>
      </x:c>
      <x:c r="P1172" s="84" t="str">
        <x:v>POS_2025_01</x:v>
      </x:c>
      <x:c r="Q1172" s="84" t="str">
        <x:v>Percussion Massage Gun</x:v>
      </x:c>
      <x:c r="R1172" s="84" t="str">
        <x:v>Personal Care </x:v>
      </x:c>
    </x:row>
    <x:row r="1173">
      <x:c r="A1173" s="84" t="str">
        <x:v>ORD-2025-01829</x:v>
      </x:c>
      <x:c r="B1173" s="85" t="n">
        <x:v>45675</x:v>
      </x:c>
      <x:c r="C1173" s="84" t="str">
        <x:v>CUST-0345</x:v>
      </x:c>
      <x:c r="D1173" s="84" t="str">
        <x:v>Samuel Taylor</x:v>
      </x:c>
      <x:c r="E1173" s="84" t="str">
        <x:v>Consumer</x:v>
      </x:c>
      <x:c r="F1173" s="84" t="str">
        <x:v>Southeast</x:v>
      </x:c>
      <x:c r="G1173" s="84" t="str">
        <x:v> CHARLOTTE </x:v>
      </x:c>
      <x:c r="H1173" s="84" t="str">
        <x:v>Retail Store</x:v>
      </x:c>
      <x:c r="I1173" s="84" t="str">
        <x:v>OFFC-002</x:v>
      </x:c>
      <x:c r="J1173" s="86" t="n">
        <x:v>1</x:v>
      </x:c>
      <x:c r="K1173" s="87" t="n">
        <x:v>0</x:v>
      </x:c>
      <x:c r="L1173" s="84" t="str">
        <x:v>Completed</x:v>
      </x:c>
      <x:c r="M1173" s="84" t="str">
        <x:v>Credit Card</x:v>
      </x:c>
      <x:c r="N1173" s="84" t="str">
        <x:v>Liam Parker</x:v>
      </x:c>
      <x:c r="O1173" s="85" t="n">
        <x:v>45676</x:v>
      </x:c>
      <x:c r="P1173" s="84" t="str">
        <x:v>POS_2025_01</x:v>
      </x:c>
      <x:c r="Q1173" s="84" t="str">
        <x:v>Standing Desk</x:v>
      </x:c>
      <x:c r="R1173" s="84" t="str">
        <x:v>office</x:v>
      </x:c>
    </x:row>
    <x:row r="1174">
      <x:c r="A1174" s="84" t="str">
        <x:v>ORD-2025-01025</x:v>
      </x:c>
      <x:c r="B1174" s="85" t="n">
        <x:v>45676</x:v>
      </x:c>
      <x:c r="C1174" s="84" t="str">
        <x:v>CUST-0599</x:v>
      </x:c>
      <x:c r="D1174" s="84" t="str">
        <x:v>Caleb Adams</x:v>
      </x:c>
      <x:c r="E1174" s="84" t="str">
        <x:v>Consumer</x:v>
      </x:c>
      <x:c r="F1174" s="84" t="str">
        <x:v>West</x:v>
      </x:c>
      <x:c r="G1174" s="84" t="str">
        <x:v>Phoenix</x:v>
      </x:c>
      <x:c r="H1174" s="84" t="str">
        <x:v>Online </x:v>
      </x:c>
      <x:c r="I1174" s="84" t="str">
        <x:v>ACCS-004</x:v>
      </x:c>
      <x:c r="J1174" s="86" t="n">
        <x:v>1</x:v>
      </x:c>
      <x:c r="K1174" s="87" t="n">
        <x:v>0.1</x:v>
      </x:c>
      <x:c r="L1174" s="84" t="str">
        <x:v> COMPLETED </x:v>
      </x:c>
      <x:c r="M1174" s="84" t="str">
        <x:v>Credit Card</x:v>
      </x:c>
      <x:c r="N1174" s="84" t="str">
        <x:v>mia chen</x:v>
      </x:c>
      <x:c r="O1174" s="85" t="n">
        <x:v>45678</x:v>
      </x:c>
      <x:c r="P1174" s="84" t="str">
        <x:v>WEB_2025_01</x:v>
      </x:c>
      <x:c r="Q1174" s="84" t="str">
        <x:v>Leather Wallet</x:v>
      </x:c>
      <x:c r="R1174" s="84" t="str">
        <x:v>Accessories</x:v>
      </x:c>
    </x:row>
    <x:row r="1175">
      <x:c r="A1175" s="84" t="str">
        <x:v>ORD-2025-01101</x:v>
      </x:c>
      <x:c r="B1175" s="85" t="n">
        <x:v>45676</x:v>
      </x:c>
      <x:c r="C1175" s="84" t="str">
        <x:v>CUST-0142</x:v>
      </x:c>
      <x:c r="D1175" s="84" t="str">
        <x:v>Elena Adams</x:v>
      </x:c>
      <x:c r="E1175" s="84" t="str">
        <x:v>Consumer</x:v>
      </x:c>
      <x:c r="F1175" s="84" t="str">
        <x:v>Midwest</x:v>
      </x:c>
      <x:c r="G1175" s="84" t="str">
        <x:v>Chicago</x:v>
      </x:c>
      <x:c r="H1175" s="84" t="str">
        <x:v>Online</x:v>
      </x:c>
      <x:c r="I1175" s="84" t="str">
        <x:v>FITN-005</x:v>
      </x:c>
      <x:c r="J1175" s="86" t="n">
        <x:v>1</x:v>
      </x:c>
      <x:c r="K1175" s="87" t="n">
        <x:v>0.05</x:v>
      </x:c>
      <x:c r="L1175" s="84" t="str">
        <x:v>Completed</x:v>
      </x:c>
      <x:c r="M1175" s="84" t="str">
        <x:v>Debit Card</x:v>
      </x:c>
      <x:c r="N1175" s="84" t="str">
        <x:v>Emma Hayes</x:v>
      </x:c>
      <x:c r="O1175" s="85" t="n">
        <x:v>45679</x:v>
      </x:c>
      <x:c r="P1175" s="84" t="str">
        <x:v>WEB_2025_01</x:v>
      </x:c>
      <x:c r="Q1175" s="84" t="str">
        <x:v>Sports Water Bottle</x:v>
      </x:c>
      <x:c r="R1175" s="84" t="str">
        <x:v>Fitness </x:v>
      </x:c>
    </x:row>
    <x:row r="1176">
      <x:c r="A1176" s="84" t="str">
        <x:v>ORD-2025-00414</x:v>
      </x:c>
      <x:c r="B1176" s="85" t="n">
        <x:v>45678</x:v>
      </x:c>
      <x:c r="C1176" s="84" t="str">
        <x:v>CUST-0062</x:v>
      </x:c>
      <x:c r="D1176" s="84" t="str">
        <x:v>caleb davis</x:v>
      </x:c>
      <x:c r="E1176" s="84" t="str">
        <x:v>Consumer</x:v>
      </x:c>
      <x:c r="F1176" s="84" t="str">
        <x:v>Northeast</x:v>
      </x:c>
      <x:c r="G1176" s="84" t="str">
        <x:v>New York</x:v>
      </x:c>
      <x:c r="H1176" s="84" t="str">
        <x:v> MARKETPLACE </x:v>
      </x:c>
      <x:c r="I1176" s="84" t="str">
        <x:v>OFFC-004</x:v>
      </x:c>
      <x:c r="J1176" s="86" t="n">
        <x:v>2</x:v>
      </x:c>
      <x:c r="K1176" s="87" t="n">
        <x:v>0.15</x:v>
      </x:c>
      <x:c r="L1176" s="84" t="str">
        <x:v>Completed</x:v>
      </x:c>
      <x:c r="M1176" s="84" t="str">
        <x:v>PayPal</x:v>
      </x:c>
      <x:c r="N1176" s="84" t="str">
        <x:v>Maya Brooks</x:v>
      </x:c>
      <x:c r="O1176" s="85" t="n">
        <x:v>45683</x:v>
      </x:c>
      <x:c r="P1176" s="84" t="str">
        <x:v>MKT_2025_01</x:v>
      </x:c>
      <x:c r="Q1176" s="84" t="str">
        <x:v>Premium Notebook Pack </x:v>
      </x:c>
      <x:c r="R1176" s="84" t="str">
        <x:v>Office</x:v>
      </x:c>
    </x:row>
    <x:row r="1177">
      <x:c r="A1177" s="84" t="str">
        <x:v>ORD-2025-00451</x:v>
      </x:c>
      <x:c r="B1177" s="85" t="n">
        <x:v>45678</x:v>
      </x:c>
      <x:c r="C1177" s="84" t="str">
        <x:v>CUST-0099</x:v>
      </x:c>
      <x:c r="D1177" s="84" t="str">
        <x:v>Maya Adams</x:v>
      </x:c>
      <x:c r="E1177" s="84" t="str">
        <x:v>consumer</x:v>
      </x:c>
      <x:c r="F1177" s="84" t="str">
        <x:v>Southeast</x:v>
      </x:c>
      <x:c r="G1177" s="84" t="str">
        <x:v>Miami</x:v>
      </x:c>
      <x:c r="H1177" s="84" t="str">
        <x:v>retail store</x:v>
      </x:c>
      <x:c r="I1177" s="84" t="str">
        <x:v>CARE-005</x:v>
      </x:c>
      <x:c r="J1177" s="86" t="n">
        <x:v>1</x:v>
      </x:c>
      <x:c r="K1177" s="87" t="n">
        <x:v>0.05</x:v>
      </x:c>
      <x:c r="L1177" s="84" t="str">
        <x:v>Completed</x:v>
      </x:c>
      <x:c r="M1177" s="84" t="str">
        <x:v>Credit Card</x:v>
      </x:c>
      <x:c r="N1177" s="84" t="str">
        <x:v>Ava Mitchell</x:v>
      </x:c>
      <x:c r="O1177" s="85" t="n">
        <x:v>45678</x:v>
      </x:c>
      <x:c r="P1177" s="84" t="str">
        <x:v>POS_2025_01</x:v>
      </x:c>
      <x:c r="Q1177" s="84" t="str">
        <x:v>Skin Care Starter Kit</x:v>
      </x:c>
      <x:c r="R1177" s="84" t="str">
        <x:v>Personal Care</x:v>
      </x:c>
    </x:row>
    <x:row r="1178">
      <x:c r="A1178" s="84" t="str">
        <x:v>ORD-2025-01588</x:v>
      </x:c>
      <x:c r="B1178" s="85" t="n">
        <x:v>45678</x:v>
      </x:c>
      <x:c r="C1178" s="84" t="str">
        <x:v>CUST-0379</x:v>
      </x:c>
      <x:c r="D1178" s="84" t="str">
        <x:v>Sara Adams</x:v>
      </x:c>
      <x:c r="E1178" s="84" t="str">
        <x:v>Consumer</x:v>
      </x:c>
      <x:c r="F1178" s="84" t="str">
        <x:v>Southeast</x:v>
      </x:c>
      <x:c r="G1178" s="84" t="str">
        <x:v>atlanta</x:v>
      </x:c>
      <x:c r="H1178" s="84" t="str">
        <x:v>Retail Store</x:v>
      </x:c>
      <x:c r="I1178" s="84" t="str">
        <x:v>HOME-002</x:v>
      </x:c>
      <x:c r="J1178" s="86" t="n">
        <x:v>1</x:v>
      </x:c>
      <x:c r="K1178" s="87" t="n">
        <x:v>0.1</x:v>
      </x:c>
      <x:c r="L1178" s="84" t="str">
        <x:v>completed</x:v>
      </x:c>
      <x:c r="M1178" s="84" t="str">
        <x:v>Cash</x:v>
      </x:c>
      <x:c r="N1178" s="84" t="str">
        <x:v>Noah Reed</x:v>
      </x:c>
      <x:c r="O1178" s="85" t="n">
        <x:v>45679</x:v>
      </x:c>
      <x:c r="P1178" s="84" t="str">
        <x:v>POS_2025_01</x:v>
      </x:c>
      <x:c r="Q1178" s="84" t="str">
        <x:v>Electric Kettle</x:v>
      </x:c>
      <x:c r="R1178" s="84" t="str">
        <x:v>Home &amp; Kitchen</x:v>
      </x:c>
    </x:row>
    <x:row r="1179">
      <x:c r="A1179" s="84" t="str">
        <x:v>ORD-2025-00625</x:v>
      </x:c>
      <x:c r="B1179" s="85" t="n">
        <x:v>45679</x:v>
      </x:c>
      <x:c r="C1179" s="84" t="str">
        <x:v>CUST-0014</x:v>
      </x:c>
      <x:c r="D1179" s="84" t="str">
        <x:v>Jonah Irwin</x:v>
      </x:c>
      <x:c r="E1179" s="84" t="str">
        <x:v>Consumer</x:v>
      </x:c>
      <x:c r="F1179" s="84" t="str">
        <x:v>Southeast</x:v>
      </x:c>
      <x:c r="G1179" s="84" t="str">
        <x:v>Miami</x:v>
      </x:c>
      <x:c r="H1179" s="84" t="str">
        <x:v>Online</x:v>
      </x:c>
      <x:c r="I1179" s="84" t="str">
        <x:v>OFFC-002</x:v>
      </x:c>
      <x:c r="J1179" s="86" t="n">
        <x:v>2</x:v>
      </x:c>
      <x:c r="K1179" s="87" t="n">
        <x:v>0.1</x:v>
      </x:c>
      <x:c r="L1179" s="84" t="str">
        <x:v>Completed</x:v>
      </x:c>
      <x:c r="M1179" s="84" t="str">
        <x:v>Mobile Wallet</x:v>
      </x:c>
      <x:c r="N1179" s="84" t="str">
        <x:v>Noah Reed</x:v>
      </x:c>
      <x:c r="O1179" s="85" t="n">
        <x:v>45682</x:v>
      </x:c>
      <x:c r="P1179" s="84" t="str">
        <x:v>WEB_2025_01</x:v>
      </x:c>
      <x:c r="Q1179" s="84" t="str">
        <x:v>standing desk</x:v>
      </x:c>
      <x:c r="R1179" s="84" t="str">
        <x:v>Office </x:v>
      </x:c>
    </x:row>
    <x:row r="1180">
      <x:c r="A1180" s="84" t="str">
        <x:v>ORD-2025-01342</x:v>
      </x:c>
      <x:c r="B1180" s="85" t="n">
        <x:v>45679</x:v>
      </x:c>
      <x:c r="C1180" s="84" t="str">
        <x:v>CUST-0178</x:v>
      </x:c>
      <x:c r="D1180" s="84" t="str">
        <x:v>Jasmine Baker </x:v>
      </x:c>
      <x:c r="E1180" s="84" t="str"/>
      <x:c r="F1180" s="84" t="str">
        <x:v>Northeast</x:v>
      </x:c>
      <x:c r="G1180" s="84" t="str">
        <x:v>New York</x:v>
      </x:c>
      <x:c r="H1180" s="84" t="str">
        <x:v>marketplace</x:v>
      </x:c>
      <x:c r="I1180" s="84" t="str">
        <x:v>HOME-006</x:v>
      </x:c>
      <x:c r="J1180" s="86" t="n">
        <x:v>4</x:v>
      </x:c>
      <x:c r="K1180" s="87" t="n">
        <x:v>0.2</x:v>
      </x:c>
      <x:c r="L1180" s="84" t="str">
        <x:v>Completed</x:v>
      </x:c>
      <x:c r="M1180" s="84" t="str">
        <x:v>Credit Card </x:v>
      </x:c>
      <x:c r="N1180" s="84" t="str">
        <x:v>Ethan Cole</x:v>
      </x:c>
      <x:c r="O1180" s="85" t="n">
        <x:v>45682</x:v>
      </x:c>
      <x:c r="P1180" s="84" t="str">
        <x:v>MKT_2025_01</x:v>
      </x:c>
      <x:c r="Q1180" s="84" t="str">
        <x:v>Food Storage Set</x:v>
      </x:c>
      <x:c r="R1180" s="84" t="str">
        <x:v>Home &amp; Kitchen</x:v>
      </x:c>
    </x:row>
    <x:row r="1181">
      <x:c r="A1181" s="84" t="str">
        <x:v>ORD-2025-01592</x:v>
      </x:c>
      <x:c r="B1181" s="85" t="n">
        <x:v>45679</x:v>
      </x:c>
      <x:c r="C1181" s="84" t="str">
        <x:v>CUST-0327</x:v>
      </x:c>
      <x:c r="D1181" s="84" t="str">
        <x:v>Samuel Hall</x:v>
      </x:c>
      <x:c r="E1181" s="84" t="str">
        <x:v>Consumer</x:v>
      </x:c>
      <x:c r="F1181" s="84" t="str">
        <x:v>west</x:v>
      </x:c>
      <x:c r="G1181" s="84" t="str">
        <x:v>Los Angeles</x:v>
      </x:c>
      <x:c r="H1181" s="84" t="str">
        <x:v>Online </x:v>
      </x:c>
      <x:c r="I1181" s="84" t="str">
        <x:v>HOME-004</x:v>
      </x:c>
      <x:c r="J1181" s="86" t="n">
        <x:v>1</x:v>
      </x:c>
      <x:c r="K1181" s="87" t="n">
        <x:v>0.05</x:v>
      </x:c>
      <x:c r="L1181" s="84" t="str">
        <x:v>Completed</x:v>
      </x:c>
      <x:c r="M1181" s="84" t="str">
        <x:v> CREDIT CARD </x:v>
      </x:c>
      <x:c r="N1181" s="84" t="str">
        <x:v>Leo Martinez</x:v>
      </x:c>
      <x:c r="O1181" s="85" t="n">
        <x:v>45684</x:v>
      </x:c>
      <x:c r="P1181" s="84" t="str">
        <x:v>WEB_2025_01</x:v>
      </x:c>
      <x:c r="Q1181" s="84" t="str">
        <x:v>Coffee Maker</x:v>
      </x:c>
      <x:c r="R1181" s="84" t="str">
        <x:v>Home &amp; Kitchen</x:v>
      </x:c>
    </x:row>
    <x:row r="1182">
      <x:c r="A1182" s="84" t="str">
        <x:v>ORD-2025-01701</x:v>
      </x:c>
      <x:c r="B1182" s="85" t="n">
        <x:v>45679</x:v>
      </x:c>
      <x:c r="C1182" s="84" t="str">
        <x:v>CUST-0433</x:v>
      </x:c>
      <x:c r="D1182" s="84" t="str">
        <x:v>aiden johnson</x:v>
      </x:c>
      <x:c r="E1182" s="84" t="str">
        <x:v>Corporate </x:v>
      </x:c>
      <x:c r="F1182" s="84" t="str">
        <x:v>Midwest</x:v>
      </x:c>
      <x:c r="G1182" s="84" t="str">
        <x:v>Columbus </x:v>
      </x:c>
      <x:c r="H1182" s="84" t="str">
        <x:v>Marketplace</x:v>
      </x:c>
      <x:c r="I1182" s="84" t="str">
        <x:v>HOME-002</x:v>
      </x:c>
      <x:c r="J1182" s="86" t="n">
        <x:v>1</x:v>
      </x:c>
      <x:c r="K1182" s="87" t="n">
        <x:v>0.15</x:v>
      </x:c>
      <x:c r="L1182" s="84" t="str">
        <x:v>Completed</x:v>
      </x:c>
      <x:c r="M1182" s="84" t="str">
        <x:v>Mobile Wallet</x:v>
      </x:c>
      <x:c r="N1182" s="84" t="str">
        <x:v>Zoe Turner</x:v>
      </x:c>
      <x:c r="O1182" s="85" t="n">
        <x:v>45684</x:v>
      </x:c>
      <x:c r="P1182" s="84" t="str">
        <x:v>MKT_2025_01</x:v>
      </x:c>
      <x:c r="Q1182" s="84" t="str">
        <x:v>Electric Kettle</x:v>
      </x:c>
      <x:c r="R1182" s="84" t="str">
        <x:v>Home &amp; Kitchen</x:v>
      </x:c>
    </x:row>
    <x:row r="1183">
      <x:c r="A1183" s="84" t="str">
        <x:v>ORD-2025-00335</x:v>
      </x:c>
      <x:c r="B1183" s="85" t="n">
        <x:v>45680</x:v>
      </x:c>
      <x:c r="C1183" s="84" t="str">
        <x:v>CUST-0361</x:v>
      </x:c>
      <x:c r="D1183" s="84" t="str">
        <x:v>Priya Moore</x:v>
      </x:c>
      <x:c r="E1183" s="84" t="str">
        <x:v>Corporate</x:v>
      </x:c>
      <x:c r="F1183" s="84" t="str">
        <x:v>West</x:v>
      </x:c>
      <x:c r="G1183" s="84" t="str">
        <x:v>Phoenix</x:v>
      </x:c>
      <x:c r="H1183" s="84" t="str">
        <x:v>Retail Store</x:v>
      </x:c>
      <x:c r="I1183" s="84" t="str">
        <x:v>OFFC-001</x:v>
      </x:c>
      <x:c r="J1183" s="86" t="n">
        <x:v>3</x:v>
      </x:c>
      <x:c r="K1183" s="87" t="n">
        <x:v>0.1</x:v>
      </x:c>
      <x:c r="L1183" s="84" t="str">
        <x:v>Completed </x:v>
      </x:c>
      <x:c r="M1183" s="84" t="str">
        <x:v>Mobile Wallet</x:v>
      </x:c>
      <x:c r="N1183" s="84" t="str">
        <x:v>Nora Kim</x:v>
      </x:c>
      <x:c r="O1183" s="85" t="n">
        <x:v>45681</x:v>
      </x:c>
      <x:c r="P1183" s="84" t="str">
        <x:v>POS_2025_01</x:v>
      </x:c>
      <x:c r="Q1183" s="84" t="str">
        <x:v>Ergonomic Chair</x:v>
      </x:c>
      <x:c r="R1183" s="84" t="str">
        <x:v>Office</x:v>
      </x:c>
    </x:row>
    <x:row r="1184">
      <x:c r="A1184" s="84" t="str">
        <x:v>ORD-2025-00794</x:v>
      </x:c>
      <x:c r="B1184" s="85" t="n">
        <x:v>45680</x:v>
      </x:c>
      <x:c r="C1184" s="84" t="str">
        <x:v>CUST-0590</x:v>
      </x:c>
      <x:c r="D1184" s="84" t="str">
        <x:v>Theo Young</x:v>
      </x:c>
      <x:c r="E1184" s="84" t="str">
        <x:v>Consumer</x:v>
      </x:c>
      <x:c r="F1184" s="84" t="str">
        <x:v>Southeast</x:v>
      </x:c>
      <x:c r="G1184" s="84" t="str">
        <x:v>Atlanta</x:v>
      </x:c>
      <x:c r="H1184" s="84" t="str">
        <x:v>Marketplace </x:v>
      </x:c>
      <x:c r="I1184" s="84" t="str">
        <x:v>ACCS-001</x:v>
      </x:c>
      <x:c r="J1184" s="86" t="n">
        <x:v>1</x:v>
      </x:c>
      <x:c r="K1184" s="87" t="n">
        <x:v>0.2</x:v>
      </x:c>
      <x:c r="L1184" s="84" t="str">
        <x:v>Completed</x:v>
      </x:c>
      <x:c r="M1184" s="84" t="str">
        <x:v>Debit Card</x:v>
      </x:c>
      <x:c r="N1184" s="84" t="str">
        <x:v>liam parker</x:v>
      </x:c>
      <x:c r="O1184" s="85" t="n">
        <x:v>45686</x:v>
      </x:c>
      <x:c r="P1184" s="84" t="str">
        <x:v>MKT_2025_01</x:v>
      </x:c>
      <x:c r="Q1184" s="84" t="str">
        <x:v>Canvas Tote Bag</x:v>
      </x:c>
      <x:c r="R1184" s="84" t="str">
        <x:v>Accessories</x:v>
      </x:c>
    </x:row>
    <x:row r="1185">
      <x:c r="A1185" s="84" t="str">
        <x:v>ORD-2025-01276</x:v>
      </x:c>
      <x:c r="B1185" s="85" t="n">
        <x:v>45680</x:v>
      </x:c>
      <x:c r="C1185" s="84" t="str">
        <x:v>CUST-0467</x:v>
      </x:c>
      <x:c r="D1185" s="84" t="str">
        <x:v>Owen Khan</x:v>
      </x:c>
      <x:c r="E1185" s="84" t="str">
        <x:v>consumer</x:v>
      </x:c>
      <x:c r="F1185" s="84" t="str">
        <x:v>Northeast</x:v>
      </x:c>
      <x:c r="G1185" s="84" t="str">
        <x:v>New York</x:v>
      </x:c>
      <x:c r="H1185" s="84" t="str">
        <x:v>marketplace</x:v>
      </x:c>
      <x:c r="I1185" s="84" t="str">
        <x:v>FITN-006</x:v>
      </x:c>
      <x:c r="J1185" s="86" t="n">
        <x:v>1</x:v>
      </x:c>
      <x:c r="K1185" s="87" t="n">
        <x:v>0.05</x:v>
      </x:c>
      <x:c r="L1185" s="84" t="str">
        <x:v>Completed</x:v>
      </x:c>
      <x:c r="M1185" s="84" t="str">
        <x:v>Mobile Wallet</x:v>
      </x:c>
      <x:c r="N1185" s="84" t="str">
        <x:v>Maya Brooks</x:v>
      </x:c>
      <x:c r="O1185" s="85" t="n">
        <x:v>45685</x:v>
      </x:c>
      <x:c r="P1185" s="84" t="str">
        <x:v>MKT_2025_01</x:v>
      </x:c>
      <x:c r="Q1185" s="84" t="str">
        <x:v>Foam Roller</x:v>
      </x:c>
      <x:c r="R1185" s="84" t="str">
        <x:v>Fitness </x:v>
      </x:c>
    </x:row>
    <x:row r="1186">
      <x:c r="A1186" s="84" t="str">
        <x:v>ORD-2025-01569</x:v>
      </x:c>
      <x:c r="B1186" s="85" t="n">
        <x:v>45680</x:v>
      </x:c>
      <x:c r="C1186" s="84" t="str">
        <x:v>CUST-0566</x:v>
      </x:c>
      <x:c r="D1186" s="84" t="str">
        <x:v>jonah quinn</x:v>
      </x:c>
      <x:c r="E1186" s="84" t="str">
        <x:v>Small Business</x:v>
      </x:c>
      <x:c r="F1186" s="84" t="str">
        <x:v>Northeast</x:v>
      </x:c>
      <x:c r="G1186" s="84" t="str">
        <x:v>New York</x:v>
      </x:c>
      <x:c r="H1186" s="84" t="str">
        <x:v>Online</x:v>
      </x:c>
      <x:c r="I1186" s="84" t="str">
        <x:v>ACCS-003</x:v>
      </x:c>
      <x:c r="J1186" s="86" t="n">
        <x:v>1</x:v>
      </x:c>
      <x:c r="K1186" s="87" t="n">
        <x:v>0</x:v>
      </x:c>
      <x:c r="L1186" s="84" t="str">
        <x:v> COMPLETED </x:v>
      </x:c>
      <x:c r="M1186" s="84" t="str">
        <x:v>Mobile Wallet</x:v>
      </x:c>
      <x:c r="N1186" s="84" t="str">
        <x:v>Sofia Bennett</x:v>
      </x:c>
      <x:c r="O1186" s="85" t="n">
        <x:v>45683</x:v>
      </x:c>
      <x:c r="P1186" s="84" t="str">
        <x:v>WEB_2025_01</x:v>
      </x:c>
      <x:c r="Q1186" s="84" t="str">
        <x:v>Polarized Sunglasses </x:v>
      </x:c>
      <x:c r="R1186" s="84" t="str">
        <x:v>Accessories</x:v>
      </x:c>
    </x:row>
    <x:row r="1187">
      <x:c r="A1187" s="84" t="str">
        <x:v>ORD-2025-01740</x:v>
      </x:c>
      <x:c r="B1187" s="85" t="n">
        <x:v>45680</x:v>
      </x:c>
      <x:c r="C1187" s="84" t="str">
        <x:v>CUST-0449</x:v>
      </x:c>
      <x:c r="D1187" s="84" t="str">
        <x:v>Chloe Taylor</x:v>
      </x:c>
      <x:c r="E1187" s="84" t="str">
        <x:v>Corporate</x:v>
      </x:c>
      <x:c r="F1187" s="84" t="str">
        <x:v>West </x:v>
      </x:c>
      <x:c r="G1187" s="84" t="str">
        <x:v>Seattle</x:v>
      </x:c>
      <x:c r="H1187" s="84" t="str">
        <x:v> MARKETPLACE </x:v>
      </x:c>
      <x:c r="I1187" s="84" t="str">
        <x:v>ELEC-001</x:v>
      </x:c>
      <x:c r="J1187" s="86" t="n">
        <x:v>1</x:v>
      </x:c>
      <x:c r="K1187" s="87" t="n">
        <x:v>0.05</x:v>
      </x:c>
      <x:c r="L1187" s="84" t="str">
        <x:v>Completed</x:v>
      </x:c>
      <x:c r="M1187" s="84" t="str">
        <x:v>Credit Card</x:v>
      </x:c>
      <x:c r="N1187" s="84" t="str">
        <x:v>nora kim</x:v>
      </x:c>
      <x:c r="O1187" s="85" t="n">
        <x:v>45684</x:v>
      </x:c>
      <x:c r="P1187" s="84" t="str">
        <x:v>MKT_2025_01</x:v>
      </x:c>
      <x:c r="Q1187" s="84" t="str">
        <x:v>Wireless Earbuds</x:v>
      </x:c>
      <x:c r="R1187" s="84" t="str">
        <x:v>Electronics</x:v>
      </x:c>
    </x:row>
    <x:row r="1188">
      <x:c r="A1188" s="84" t="str">
        <x:v>ORD-2025-00410</x:v>
      </x:c>
      <x:c r="B1188" s="85" t="n">
        <x:v>45681</x:v>
      </x:c>
      <x:c r="C1188" s="84" t="str">
        <x:v>CUST-0292</x:v>
      </x:c>
      <x:c r="D1188" s="84" t="str">
        <x:v>Caleb Nelson</x:v>
      </x:c>
      <x:c r="E1188" s="84" t="str">
        <x:v>Small Business</x:v>
      </x:c>
      <x:c r="F1188" s="84" t="str">
        <x:v>Midwest </x:v>
      </x:c>
      <x:c r="G1188" s="84" t="str">
        <x:v>Columbus</x:v>
      </x:c>
      <x:c r="H1188" s="84" t="str">
        <x:v>Marketplace</x:v>
      </x:c>
      <x:c r="I1188" s="84" t="str">
        <x:v>ACCS-005</x:v>
      </x:c>
      <x:c r="J1188" s="86" t="n">
        <x:v>1</x:v>
      </x:c>
      <x:c r="K1188" s="87" t="n">
        <x:v>0</x:v>
      </x:c>
      <x:c r="L1188" s="84" t="str">
        <x:v>Completed</x:v>
      </x:c>
      <x:c r="M1188" s="84" t="str">
        <x:v>Debit Card</x:v>
      </x:c>
      <x:c r="N1188" s="84" t="str">
        <x:v>Zoe Turner </x:v>
      </x:c>
      <x:c r="O1188" s="85" t="n">
        <x:v>45685</x:v>
      </x:c>
      <x:c r="P1188" s="84" t="str">
        <x:v>MKT_2025_01</x:v>
      </x:c>
      <x:c r="Q1188" s="84" t="str">
        <x:v>Protective Phone Case</x:v>
      </x:c>
      <x:c r="R1188" s="84" t="str">
        <x:v>accessories</x:v>
      </x:c>
    </x:row>
    <x:row r="1189">
      <x:c r="A1189" s="84" t="str">
        <x:v>ORD-2025-00826</x:v>
      </x:c>
      <x:c r="B1189" s="85" t="n">
        <x:v>45681</x:v>
      </x:c>
      <x:c r="C1189" s="84" t="str">
        <x:v>CUST-0470</x:v>
      </x:c>
      <x:c r="D1189" s="84" t="str">
        <x:v>Jasmine Lewis</x:v>
      </x:c>
      <x:c r="E1189" s="84" t="str">
        <x:v>Corporate </x:v>
      </x:c>
      <x:c r="F1189" s="84" t="str">
        <x:v>Southeast</x:v>
      </x:c>
      <x:c r="G1189" s="84" t="str">
        <x:v> MIAMI </x:v>
      </x:c>
      <x:c r="H1189" s="84" t="str">
        <x:v>Retail Store</x:v>
      </x:c>
      <x:c r="I1189" s="84" t="str">
        <x:v>CARE-001</x:v>
      </x:c>
      <x:c r="J1189" s="86" t="n">
        <x:v>2</x:v>
      </x:c>
      <x:c r="K1189" s="87" t="n">
        <x:v>0.05</x:v>
      </x:c>
      <x:c r="L1189" s="84" t="str">
        <x:v>Completed</x:v>
      </x:c>
      <x:c r="M1189" s="84" t="str">
        <x:v>Credit Card</x:v>
      </x:c>
      <x:c r="N1189" s="84" t="str">
        <x:v>Ava Mitchell</x:v>
      </x:c>
      <x:c r="O1189" s="85" t="n">
        <x:v>45681</x:v>
      </x:c>
      <x:c r="P1189" s="84" t="str">
        <x:v>POS_2025_01</x:v>
      </x:c>
      <x:c r="Q1189" s="84" t="str">
        <x:v>Ionic Hair Dryer</x:v>
      </x:c>
      <x:c r="R1189" s="84" t="str">
        <x:v>Personal Care</x:v>
      </x:c>
    </x:row>
    <x:row r="1190">
      <x:c r="A1190" s="84" t="str">
        <x:v>ORD-2025-01600</x:v>
      </x:c>
      <x:c r="B1190" s="85" t="n">
        <x:v>45681</x:v>
      </x:c>
      <x:c r="C1190" s="84" t="str">
        <x:v>CUST-0199</x:v>
      </x:c>
      <x:c r="D1190" s="84" t="str">
        <x:v>Theo Adams</x:v>
      </x:c>
      <x:c r="E1190" s="84" t="str">
        <x:v>Corporate</x:v>
      </x:c>
      <x:c r="F1190" s="84" t="str">
        <x:v>Northeast </x:v>
      </x:c>
      <x:c r="G1190" s="84" t="str">
        <x:v>Philadelphia</x:v>
      </x:c>
      <x:c r="H1190" s="84" t="str">
        <x:v>Marketplace</x:v>
      </x:c>
      <x:c r="I1190" s="84" t="str">
        <x:v>ELEC-001</x:v>
      </x:c>
      <x:c r="J1190" s="86" t="n">
        <x:v>3</x:v>
      </x:c>
      <x:c r="K1190" s="87" t="n">
        <x:v>0.1</x:v>
      </x:c>
      <x:c r="L1190" s="84" t="str">
        <x:v>Completed</x:v>
      </x:c>
      <x:c r="M1190" s="84" t="str">
        <x:v>Debit Card</x:v>
      </x:c>
      <x:c r="N1190" s="84" t="str">
        <x:v>Ethan Cole </x:v>
      </x:c>
      <x:c r="O1190" s="85" t="n">
        <x:v>45686</x:v>
      </x:c>
      <x:c r="P1190" s="84" t="str">
        <x:v>MKT_2025_01</x:v>
      </x:c>
      <x:c r="Q1190" s="84" t="str">
        <x:v>Wireless Earbuds</x:v>
      </x:c>
      <x:c r="R1190" s="84" t="str">
        <x:v>Electronics</x:v>
      </x:c>
    </x:row>
    <x:row r="1191">
      <x:c r="A1191" s="84" t="str">
        <x:v>ORD-2025-02127</x:v>
      </x:c>
      <x:c r="B1191" s="85" t="n">
        <x:v>45681</x:v>
      </x:c>
      <x:c r="C1191" s="84" t="str">
        <x:v>CUST-0098</x:v>
      </x:c>
      <x:c r="D1191" s="84" t="str">
        <x:v>Sara Irwin</x:v>
      </x:c>
      <x:c r="E1191" s="84" t="str">
        <x:v>Small Business</x:v>
      </x:c>
      <x:c r="F1191" s="84" t="str">
        <x:v>Southeast</x:v>
      </x:c>
      <x:c r="G1191" s="84" t="str">
        <x:v>nashville</x:v>
      </x:c>
      <x:c r="H1191" s="84" t="str">
        <x:v>Retail Store</x:v>
      </x:c>
      <x:c r="I1191" s="84" t="str">
        <x:v>HOME-005</x:v>
      </x:c>
      <x:c r="J1191" s="86" t="n">
        <x:v>1</x:v>
      </x:c>
      <x:c r="K1191" s="87" t="n">
        <x:v>0.05</x:v>
      </x:c>
      <x:c r="L1191" s="84" t="str">
        <x:v>completed</x:v>
      </x:c>
      <x:c r="M1191" s="84" t="str">
        <x:v>Credit Card</x:v>
      </x:c>
      <x:c r="N1191" s="84" t="str">
        <x:v>Noah Reed</x:v>
      </x:c>
      <x:c r="O1191" s="85" t="n">
        <x:v>45681</x:v>
      </x:c>
      <x:c r="P1191" s="84" t="str">
        <x:v>POS_2025_01</x:v>
      </x:c>
      <x:c r="Q1191" s="84" t="str">
        <x:v>Cordless Vacuum</x:v>
      </x:c>
      <x:c r="R1191" s="84" t="str">
        <x:v>Home &amp; Kitchen</x:v>
      </x:c>
    </x:row>
    <x:row r="1192">
      <x:c r="A1192" s="84" t="str">
        <x:v>ORD-2025-01326</x:v>
      </x:c>
      <x:c r="B1192" s="85" t="n">
        <x:v>45682</x:v>
      </x:c>
      <x:c r="C1192" s="84" t="str">
        <x:v>CUST-0064</x:v>
      </x:c>
      <x:c r="D1192" s="84" t="str">
        <x:v>Nina Walker</x:v>
      </x:c>
      <x:c r="E1192" s="84" t="str">
        <x:v> CONSUMER </x:v>
      </x:c>
      <x:c r="F1192" s="84" t="str">
        <x:v>Midwest</x:v>
      </x:c>
      <x:c r="G1192" s="84" t="str">
        <x:v>Columbus</x:v>
      </x:c>
      <x:c r="H1192" s="84" t="str">
        <x:v>Retail Store </x:v>
      </x:c>
      <x:c r="I1192" s="84" t="str">
        <x:v>ELEC-004</x:v>
      </x:c>
      <x:c r="J1192" s="86" t="n">
        <x:v>3</x:v>
      </x:c>
      <x:c r="K1192" s="87" t="n">
        <x:v>0.1</x:v>
      </x:c>
      <x:c r="L1192" s="84" t="str">
        <x:v>Completed</x:v>
      </x:c>
      <x:c r="M1192" s="84" t="str">
        <x:v>Credit Card</x:v>
      </x:c>
      <x:c r="N1192" s="84" t="str">
        <x:v>Lucas Grant</x:v>
      </x:c>
      <x:c r="O1192" s="85" t="n">
        <x:v>45682</x:v>
      </x:c>
      <x:c r="P1192" s="84" t="str">
        <x:v>POS_2025_01</x:v>
      </x:c>
      <x:c r="Q1192" s="84" t="str">
        <x:v>Power Bank</x:v>
      </x:c>
      <x:c r="R1192" s="84" t="str">
        <x:v>Electronics</x:v>
      </x:c>
    </x:row>
    <x:row r="1193">
      <x:c r="A1193" s="84" t="str">
        <x:v>ORD-2025-01708</x:v>
      </x:c>
      <x:c r="B1193" s="85" t="n">
        <x:v>45682</x:v>
      </x:c>
      <x:c r="C1193" s="84" t="str">
        <x:v>CUST-0156</x:v>
      </x:c>
      <x:c r="D1193" s="84" t="str">
        <x:v>Nina Ortiz</x:v>
      </x:c>
      <x:c r="E1193" s="84" t="str"/>
      <x:c r="F1193" s="84" t="str">
        <x:v>Southeast</x:v>
      </x:c>
      <x:c r="G1193" s="84" t="str">
        <x:v>Charlotte </x:v>
      </x:c>
      <x:c r="H1193" s="84" t="str">
        <x:v>Online</x:v>
      </x:c>
      <x:c r="I1193" s="84" t="str">
        <x:v>HOME-005</x:v>
      </x:c>
      <x:c r="J1193" s="86" t="n">
        <x:v>1</x:v>
      </x:c>
      <x:c r="K1193" s="87" t="n">
        <x:v>0.15</x:v>
      </x:c>
      <x:c r="L1193" s="84" t="str">
        <x:v>Completed</x:v>
      </x:c>
      <x:c r="M1193" s="84" t="str">
        <x:v>Debit Card</x:v>
      </x:c>
      <x:c r="N1193" s="84" t="str">
        <x:v>Noah Reed</x:v>
      </x:c>
      <x:c r="O1193" s="85" t="n">
        <x:v>45688</x:v>
      </x:c>
      <x:c r="P1193" s="84" t="str">
        <x:v>WEB_2025_01</x:v>
      </x:c>
      <x:c r="Q1193" s="84" t="str">
        <x:v>Cordless Vacuum</x:v>
      </x:c>
      <x:c r="R1193" s="84" t="str">
        <x:v>home &amp; kitchen</x:v>
      </x:c>
    </x:row>
    <x:row r="1194">
      <x:c r="A1194" s="84" t="str">
        <x:v>ORD-2025-00459</x:v>
      </x:c>
      <x:c r="B1194" s="85" t="n">
        <x:v>45683</x:v>
      </x:c>
      <x:c r="C1194" s="84" t="str">
        <x:v>CUST-0450</x:v>
      </x:c>
      <x:c r="D1194" s="84" t="str">
        <x:v>Samuel Garcia</x:v>
      </x:c>
      <x:c r="E1194" s="84" t="str">
        <x:v> SMALL BUSINESS </x:v>
      </x:c>
      <x:c r="F1194" s="84" t="str">
        <x:v>west</x:v>
      </x:c>
      <x:c r="G1194" s="84" t="str">
        <x:v>Seattle</x:v>
      </x:c>
      <x:c r="H1194" s="84" t="str">
        <x:v>Retail Store</x:v>
      </x:c>
      <x:c r="I1194" s="84" t="str">
        <x:v>FITN-006</x:v>
      </x:c>
      <x:c r="J1194" s="86" t="n">
        <x:v>1</x:v>
      </x:c>
      <x:c r="K1194" s="87" t="n">
        <x:v>0.1</x:v>
      </x:c>
      <x:c r="L1194" s="84" t="str">
        <x:v>Completed</x:v>
      </x:c>
      <x:c r="M1194" s="84" t="str">
        <x:v>Credit Card</x:v>
      </x:c>
      <x:c r="N1194" s="84" t="str">
        <x:v>Mia Chen </x:v>
      </x:c>
      <x:c r="O1194" s="85" t="n">
        <x:v>45683</x:v>
      </x:c>
      <x:c r="P1194" s="84" t="str">
        <x:v>POS_2025_01</x:v>
      </x:c>
      <x:c r="Q1194" s="84" t="str">
        <x:v>Foam Roller</x:v>
      </x:c>
      <x:c r="R1194" s="84" t="str">
        <x:v>Fitness</x:v>
      </x:c>
    </x:row>
    <x:row r="1195">
      <x:c r="A1195" s="84" t="str">
        <x:v>ORD-2025-01520</x:v>
      </x:c>
      <x:c r="B1195" s="85" t="n">
        <x:v>45683</x:v>
      </x:c>
      <x:c r="C1195" s="84" t="str">
        <x:v>CUST-0357</x:v>
      </x:c>
      <x:c r="D1195" s="84" t="str">
        <x:v>Priya Baker</x:v>
      </x:c>
      <x:c r="E1195" s="84" t="str">
        <x:v>Consumer</x:v>
      </x:c>
      <x:c r="F1195" s="84" t="str">
        <x:v>Southeast</x:v>
      </x:c>
      <x:c r="G1195" s="84" t="str">
        <x:v>Atlanta</x:v>
      </x:c>
      <x:c r="H1195" s="84" t="str">
        <x:v>Marketplace</x:v>
      </x:c>
      <x:c r="I1195" s="84" t="str">
        <x:v>CARE-004</x:v>
      </x:c>
      <x:c r="J1195" s="86" t="n">
        <x:v>1</x:v>
      </x:c>
      <x:c r="K1195" s="87" t="n">
        <x:v>0.1</x:v>
      </x:c>
      <x:c r="L1195" s="84" t="str">
        <x:v>Completed</x:v>
      </x:c>
      <x:c r="M1195" s="84" t="str">
        <x:v>Mobile Wallet</x:v>
      </x:c>
      <x:c r="N1195" s="84" t="str">
        <x:v>liam parker</x:v>
      </x:c>
      <x:c r="O1195" s="85" t="n">
        <x:v>45690</x:v>
      </x:c>
      <x:c r="P1195" s="84" t="str">
        <x:v>MKT_2025_01</x:v>
      </x:c>
      <x:c r="Q1195" s="84" t="str">
        <x:v>Electric Toothbrush </x:v>
      </x:c>
      <x:c r="R1195" s="84" t="str">
        <x:v>Personal Care</x:v>
      </x:c>
    </x:row>
    <x:row r="1196">
      <x:c r="A1196" s="84" t="str">
        <x:v>ORD-2025-01469</x:v>
      </x:c>
      <x:c r="B1196" s="85" t="n">
        <x:v>45685</x:v>
      </x:c>
      <x:c r="C1196" s="84" t="str">
        <x:v>CUST-0269</x:v>
      </x:c>
      <x:c r="D1196" s="84" t="str">
        <x:v>Daniel Evans</x:v>
      </x:c>
      <x:c r="E1196" s="84" t="str">
        <x:v>Small Business</x:v>
      </x:c>
      <x:c r="F1196" s="84" t="str">
        <x:v>Southeast</x:v>
      </x:c>
      <x:c r="G1196" s="84" t="str">
        <x:v>Charlotte</x:v>
      </x:c>
      <x:c r="H1196" s="84" t="str">
        <x:v>Online</x:v>
      </x:c>
      <x:c r="I1196" s="84" t="str">
        <x:v>ELEC-003</x:v>
      </x:c>
      <x:c r="J1196" s="86" t="n">
        <x:v>2</x:v>
      </x:c>
      <x:c r="K1196" s="87" t="n">
        <x:v>0</x:v>
      </x:c>
      <x:c r="L1196" s="84" t="str">
        <x:v>Completed </x:v>
      </x:c>
      <x:c r="M1196" s="84" t="str">
        <x:v>Credit Card</x:v>
      </x:c>
      <x:c r="N1196" s="84" t="str">
        <x:v>Noah Reed</x:v>
      </x:c>
      <x:c r="O1196" s="85" t="n">
        <x:v>45689</x:v>
      </x:c>
      <x:c r="P1196" s="84" t="str">
        <x:v>WEB_2025_01</x:v>
      </x:c>
      <x:c r="Q1196" s="84" t="str">
        <x:v>Bluetooth Speaker</x:v>
      </x:c>
      <x:c r="R1196" s="84" t="str">
        <x:v>Electronics</x:v>
      </x:c>
    </x:row>
    <x:row r="1197">
      <x:c r="A1197" s="84" t="str">
        <x:v>ORD-2025-02020</x:v>
      </x:c>
      <x:c r="B1197" s="85" t="n">
        <x:v>45685</x:v>
      </x:c>
      <x:c r="C1197" s="84" t="str">
        <x:v>CUST-0090</x:v>
      </x:c>
      <x:c r="D1197" s="84" t="str">
        <x:v> JASMINE BAKER </x:v>
      </x:c>
      <x:c r="E1197" s="84" t="str">
        <x:v>Consumer</x:v>
      </x:c>
      <x:c r="F1197" s="84" t="str">
        <x:v> WEST </x:v>
      </x:c>
      <x:c r="G1197" s="84" t="str">
        <x:v>Los Angeles</x:v>
      </x:c>
      <x:c r="H1197" s="84" t="str">
        <x:v>Online</x:v>
      </x:c>
      <x:c r="I1197" s="84" t="str">
        <x:v>HOME-006</x:v>
      </x:c>
      <x:c r="J1197" s="86" t="n">
        <x:v>2</x:v>
      </x:c>
      <x:c r="K1197" s="87" t="n">
        <x:v>0.05</x:v>
      </x:c>
      <x:c r="L1197" s="84" t="str">
        <x:v>Completed</x:v>
      </x:c>
      <x:c r="M1197" s="84" t="str">
        <x:v>Debit Card</x:v>
      </x:c>
      <x:c r="N1197" s="84" t="str">
        <x:v>Mia Chen </x:v>
      </x:c>
      <x:c r="O1197" s="85" t="n">
        <x:v>45688</x:v>
      </x:c>
      <x:c r="P1197" s="84" t="str">
        <x:v>WEB_2025_01</x:v>
      </x:c>
      <x:c r="Q1197" s="84" t="str">
        <x:v>Food Storage Set</x:v>
      </x:c>
      <x:c r="R1197" s="84" t="str">
        <x:v>Home &amp; Kitchen</x:v>
      </x:c>
    </x:row>
    <x:row r="1198">
      <x:c r="A1198" s="84" t="str">
        <x:v>ORD-2025-02186</x:v>
      </x:c>
      <x:c r="B1198" s="85" t="n">
        <x:v>45685</x:v>
      </x:c>
      <x:c r="C1198" s="84" t="str">
        <x:v>CUST-0615</x:v>
      </x:c>
      <x:c r="D1198" s="84" t="str">
        <x:v>Jonah Quinn</x:v>
      </x:c>
      <x:c r="E1198" s="84" t="str">
        <x:v>Consumer</x:v>
      </x:c>
      <x:c r="F1198" s="84" t="str">
        <x:v>midwest</x:v>
      </x:c>
      <x:c r="G1198" s="84" t="str">
        <x:v> MINNEAPOLIS </x:v>
      </x:c>
      <x:c r="H1198" s="84" t="str">
        <x:v>Online</x:v>
      </x:c>
      <x:c r="I1198" s="84" t="str">
        <x:v>ACCS-006</x:v>
      </x:c>
      <x:c r="J1198" s="86" t="n">
        <x:v>3</x:v>
      </x:c>
      <x:c r="K1198" s="87" t="n">
        <x:v>0.15</x:v>
      </x:c>
      <x:c r="L1198" s="84" t="str">
        <x:v>Completed</x:v>
      </x:c>
      <x:c r="M1198" s="84" t="str">
        <x:v>Debit Card</x:v>
      </x:c>
      <x:c r="N1198" s="84" t="str">
        <x:v>Emma Hayes</x:v>
      </x:c>
      <x:c r="O1198" s="85" t="n">
        <x:v>45690</x:v>
      </x:c>
      <x:c r="P1198" s="84" t="str">
        <x:v>WEB_2025_01</x:v>
      </x:c>
      <x:c r="Q1198" s="84" t="str">
        <x:v>Insulated Lunch Bag</x:v>
      </x:c>
      <x:c r="R1198" s="84" t="str">
        <x:v>Accessories </x:v>
      </x:c>
    </x:row>
    <x:row r="1199">
      <x:c r="A1199" s="84" t="str">
        <x:v>ORD-2025-01032</x:v>
      </x:c>
      <x:c r="B1199" s="85" t="n">
        <x:v>45686</x:v>
      </x:c>
      <x:c r="C1199" s="84" t="str">
        <x:v>CUST-0601</x:v>
      </x:c>
      <x:c r="D1199" s="84" t="str">
        <x:v>Grace Taylor</x:v>
      </x:c>
      <x:c r="E1199" s="84" t="str">
        <x:v>Small Business</x:v>
      </x:c>
      <x:c r="F1199" s="84" t="str">
        <x:v>Northeast</x:v>
      </x:c>
      <x:c r="G1199" s="84" t="str">
        <x:v>Philadelphia</x:v>
      </x:c>
      <x:c r="H1199" s="84" t="str">
        <x:v>Online </x:v>
      </x:c>
      <x:c r="I1199" s="84" t="str">
        <x:v>ELEC-004</x:v>
      </x:c>
      <x:c r="J1199" s="86" t="n">
        <x:v>1</x:v>
      </x:c>
      <x:c r="K1199" s="87" t="n">
        <x:v>0</x:v>
      </x:c>
      <x:c r="L1199" s="84" t="str">
        <x:v>Returned</x:v>
      </x:c>
      <x:c r="M1199" s="84" t="str">
        <x:v>Debit Card</x:v>
      </x:c>
      <x:c r="N1199" s="84" t="str">
        <x:v>Sofia Bennett</x:v>
      </x:c>
      <x:c r="O1199" s="85" t="n">
        <x:v>45690</x:v>
      </x:c>
      <x:c r="P1199" s="84" t="str">
        <x:v>WEB_2025_01</x:v>
      </x:c>
      <x:c r="Q1199" s="84" t="str">
        <x:v>power bank</x:v>
      </x:c>
      <x:c r="R1199" s="84" t="str">
        <x:v>Electronics</x:v>
      </x:c>
    </x:row>
    <x:row r="1200">
      <x:c r="A1200" s="84" t="str">
        <x:v>ORD-2025-01206</x:v>
      </x:c>
      <x:c r="B1200" s="85" t="n">
        <x:v>45686</x:v>
      </x:c>
      <x:c r="C1200" s="84" t="str">
        <x:v>CUST-0145</x:v>
      </x:c>
      <x:c r="D1200" s="84" t="str">
        <x:v>samuel adams</x:v>
      </x:c>
      <x:c r="E1200" s="84" t="str">
        <x:v>Consumer</x:v>
      </x:c>
      <x:c r="F1200" s="84" t="str">
        <x:v>Southeast</x:v>
      </x:c>
      <x:c r="G1200" s="84" t="str">
        <x:v>Nashville</x:v>
      </x:c>
      <x:c r="H1200" s="84" t="str">
        <x:v>Marketplace</x:v>
      </x:c>
      <x:c r="I1200" s="84" t="str">
        <x:v>ACCS-004</x:v>
      </x:c>
      <x:c r="J1200" s="86" t="n">
        <x:v>1</x:v>
      </x:c>
      <x:c r="K1200" s="87" t="n">
        <x:v>0.15</x:v>
      </x:c>
      <x:c r="L1200" s="84" t="str">
        <x:v>Completed</x:v>
      </x:c>
      <x:c r="M1200" s="84" t="str">
        <x:v>Debit Card</x:v>
      </x:c>
      <x:c r="N1200" s="84" t="str">
        <x:v>Liam Parker</x:v>
      </x:c>
      <x:c r="O1200" s="85" t="n">
        <x:v>45692</x:v>
      </x:c>
      <x:c r="P1200" s="84" t="str">
        <x:v>MKT_2025_01</x:v>
      </x:c>
      <x:c r="Q1200" s="84" t="str">
        <x:v>Leather Wallet</x:v>
      </x:c>
      <x:c r="R1200" s="84" t="str">
        <x:v>Accessories </x:v>
      </x:c>
    </x:row>
    <x:row r="1201">
      <x:c r="A1201" s="84" t="str">
        <x:v>ORD-2025-01289</x:v>
      </x:c>
      <x:c r="B1201" s="85" t="n">
        <x:v>45686</x:v>
      </x:c>
      <x:c r="C1201" s="84" t="str">
        <x:v>CUST-0035</x:v>
      </x:c>
      <x:c r="D1201" s="84" t="str">
        <x:v> NATHAN ORTIZ </x:v>
      </x:c>
      <x:c r="E1201" s="84" t="str">
        <x:v>Corporate</x:v>
      </x:c>
      <x:c r="F1201" s="84" t="str">
        <x:v> SOUTHEAST </x:v>
      </x:c>
      <x:c r="G1201" s="84" t="str">
        <x:v>Charlotte</x:v>
      </x:c>
      <x:c r="H1201" s="84" t="str">
        <x:v>Retail Store</x:v>
      </x:c>
      <x:c r="I1201" s="84" t="str">
        <x:v>CARE-002</x:v>
      </x:c>
      <x:c r="J1201" s="86" t="n">
        <x:v>5</x:v>
      </x:c>
      <x:c r="K1201" s="87" t="n">
        <x:v>0</x:v>
      </x:c>
      <x:c r="L1201" s="84" t="str">
        <x:v>Completed</x:v>
      </x:c>
      <x:c r="M1201" s="84" t="str">
        <x:v>Credit Card</x:v>
      </x:c>
      <x:c r="N1201" s="84" t="str">
        <x:v>ava mitchell</x:v>
      </x:c>
      <x:c r="O1201" s="85" t="n">
        <x:v>45686</x:v>
      </x:c>
      <x:c r="P1201" s="84" t="str">
        <x:v>POS_2025_01</x:v>
      </x:c>
      <x:c r="Q1201" s="84" t="str">
        <x:v>Rechargeable Trimmer </x:v>
      </x:c>
      <x:c r="R1201" s="84" t="str">
        <x:v>Personal Care</x:v>
      </x:c>
    </x:row>
    <x:row r="1202">
      <x:c r="A1202" s="84" t="str">
        <x:v>ORD-2025-01336</x:v>
      </x:c>
      <x:c r="B1202" s="85" t="n">
        <x:v>45686</x:v>
      </x:c>
      <x:c r="C1202" s="84" t="str">
        <x:v>CUST-0161</x:v>
      </x:c>
      <x:c r="D1202" s="84" t="str">
        <x:v>Sara Patel</x:v>
      </x:c>
      <x:c r="E1202" s="84" t="str">
        <x:v>Consumer</x:v>
      </x:c>
      <x:c r="F1202" s="84" t="str">
        <x:v>Southeast</x:v>
      </x:c>
      <x:c r="G1202" s="84" t="str">
        <x:v> ATLANTA </x:v>
      </x:c>
      <x:c r="H1202" s="84" t="str">
        <x:v>Online</x:v>
      </x:c>
      <x:c r="I1202" s="84" t="str">
        <x:v>CARE-006</x:v>
      </x:c>
      <x:c r="J1202" s="86" t="n">
        <x:v>2</x:v>
      </x:c>
      <x:c r="K1202" s="87" t="n">
        <x:v>0.1</x:v>
      </x:c>
      <x:c r="L1202" s="84" t="str">
        <x:v>Completed </x:v>
      </x:c>
      <x:c r="M1202" s="84" t="str">
        <x:v>Credit Card</x:v>
      </x:c>
      <x:c r="N1202" s="84" t="str">
        <x:v>Ava Mitchell</x:v>
      </x:c>
      <x:c r="O1202" s="85" t="n">
        <x:v>45692</x:v>
      </x:c>
      <x:c r="P1202" s="84" t="str">
        <x:v>WEB_2025_01</x:v>
      </x:c>
      <x:c r="Q1202" s="84" t="str">
        <x:v>Percussion Massage Gun</x:v>
      </x:c>
      <x:c r="R1202" s="84" t="str">
        <x:v>Personal Care</x:v>
      </x:c>
    </x:row>
    <x:row r="1203">
      <x:c r="A1203" s="84" t="str">
        <x:v>ORD-2025-01621</x:v>
      </x:c>
      <x:c r="B1203" s="85" t="n">
        <x:v>45686</x:v>
      </x:c>
      <x:c r="C1203" s="84" t="str">
        <x:v>CUST-0452</x:v>
      </x:c>
      <x:c r="D1203" s="84" t="str">
        <x:v>Aiden Moore</x:v>
      </x:c>
      <x:c r="E1203" s="84" t="str">
        <x:v>Corporate</x:v>
      </x:c>
      <x:c r="F1203" s="84" t="str">
        <x:v>Northeast </x:v>
      </x:c>
      <x:c r="G1203" s="84" t="str">
        <x:v>philadelphia</x:v>
      </x:c>
      <x:c r="H1203" s="84" t="str">
        <x:v> RETAIL STORE </x:v>
      </x:c>
      <x:c r="I1203" s="84" t="str">
        <x:v>ACCS-001</x:v>
      </x:c>
      <x:c r="J1203" s="86" t="n">
        <x:v>4</x:v>
      </x:c>
      <x:c r="K1203" s="87" t="n">
        <x:v>0.1</x:v>
      </x:c>
      <x:c r="L1203" s="84" t="str">
        <x:v>completed</x:v>
      </x:c>
      <x:c r="M1203" s="84" t="str">
        <x:v>Cash</x:v>
      </x:c>
      <x:c r="N1203" s="84" t="str">
        <x:v>Maya Brooks </x:v>
      </x:c>
      <x:c r="O1203" s="85" t="n">
        <x:v>45687</x:v>
      </x:c>
      <x:c r="P1203" s="84" t="str">
        <x:v>POS_2025_01</x:v>
      </x:c>
      <x:c r="Q1203" s="84" t="str">
        <x:v>Canvas Tote Bag</x:v>
      </x:c>
      <x:c r="R1203" s="84" t="str">
        <x:v>Accessories</x:v>
      </x:c>
    </x:row>
    <x:row r="1204">
      <x:c r="A1204" s="84" t="str">
        <x:v>ORD-2025-01973</x:v>
      </x:c>
      <x:c r="B1204" s="85" t="n">
        <x:v>45686</x:v>
      </x:c>
      <x:c r="C1204" s="84" t="str">
        <x:v>CUST-0396</x:v>
      </x:c>
      <x:c r="D1204" s="84" t="str">
        <x:v>Victoria Carter</x:v>
      </x:c>
      <x:c r="E1204" s="84" t="str">
        <x:v>Consumer</x:v>
      </x:c>
      <x:c r="F1204" s="84" t="str">
        <x:v>Southeast</x:v>
      </x:c>
      <x:c r="G1204" s="84" t="str">
        <x:v>nashville</x:v>
      </x:c>
      <x:c r="H1204" s="84" t="str">
        <x:v>Retail Store</x:v>
      </x:c>
      <x:c r="I1204" s="84" t="str">
        <x:v>ELEC-006</x:v>
      </x:c>
      <x:c r="J1204" s="86" t="n">
        <x:v>1</x:v>
      </x:c>
      <x:c r="K1204" s="87" t="n">
        <x:v>0.1</x:v>
      </x:c>
      <x:c r="L1204" s="84" t="str">
        <x:v>completed</x:v>
      </x:c>
      <x:c r="M1204" s="84" t="str">
        <x:v>Mobile Wallet</x:v>
      </x:c>
      <x:c r="N1204" s="84" t="str">
        <x:v>Ava Mitchell</x:v>
      </x:c>
      <x:c r="O1204" s="85" t="n">
        <x:v>45686</x:v>
      </x:c>
      <x:c r="P1204" s="84" t="str">
        <x:v>POS_2025_01</x:v>
      </x:c>
      <x:c r="Q1204" s="84" t="str">
        <x:v>Portable SSD</x:v>
      </x:c>
      <x:c r="R1204" s="84" t="str">
        <x:v>Electronics</x:v>
      </x:c>
    </x:row>
    <x:row r="1205">
      <x:c r="A1205" s="84" t="str">
        <x:v>ORD-2025-02273</x:v>
      </x:c>
      <x:c r="B1205" s="85" t="n">
        <x:v>45686</x:v>
      </x:c>
      <x:c r="C1205" s="84" t="str">
        <x:v>CUST-0300</x:v>
      </x:c>
      <x:c r="D1205" s="84" t="str">
        <x:v>owen baker</x:v>
      </x:c>
      <x:c r="E1205" s="84" t="str">
        <x:v>Corporate</x:v>
      </x:c>
      <x:c r="F1205" s="84" t="str">
        <x:v>Northeast</x:v>
      </x:c>
      <x:c r="G1205" s="84" t="str">
        <x:v>Boston</x:v>
      </x:c>
      <x:c r="H1205" s="84" t="str">
        <x:v>Online</x:v>
      </x:c>
      <x:c r="I1205" s="84" t="str">
        <x:v>HOME-005</x:v>
      </x:c>
      <x:c r="J1205" s="86" t="n">
        <x:v>2</x:v>
      </x:c>
      <x:c r="K1205" s="87" t="n">
        <x:v>0.2</x:v>
      </x:c>
      <x:c r="L1205" s="84" t="str">
        <x:v>Completed</x:v>
      </x:c>
      <x:c r="M1205" s="84" t="str">
        <x:v>PayPal </x:v>
      </x:c>
      <x:c r="N1205" s="84" t="str">
        <x:v>Maya Brooks</x:v>
      </x:c>
      <x:c r="O1205" s="85" t="n">
        <x:v>45689</x:v>
      </x:c>
      <x:c r="P1205" s="84" t="str">
        <x:v>WEB_2025_01</x:v>
      </x:c>
      <x:c r="Q1205" s="84" t="str">
        <x:v>Cordless Vacuum</x:v>
      </x:c>
      <x:c r="R1205" s="84" t="str">
        <x:v>Home &amp; Kitchen</x:v>
      </x:c>
    </x:row>
    <x:row r="1206">
      <x:c r="A1206" s="84" t="str">
        <x:v>ORD-2025-00387</x:v>
      </x:c>
      <x:c r="B1206" s="85" t="n">
        <x:v>45687</x:v>
      </x:c>
      <x:c r="C1206" s="84" t="str">
        <x:v>CUST-0358</x:v>
      </x:c>
      <x:c r="D1206" s="84" t="str">
        <x:v>Grace Roberts</x:v>
      </x:c>
      <x:c r="E1206" s="84" t="str">
        <x:v>Consumer</x:v>
      </x:c>
      <x:c r="F1206" s="84" t="str">
        <x:v>West</x:v>
      </x:c>
      <x:c r="G1206" s="84" t="str">
        <x:v>Seattle</x:v>
      </x:c>
      <x:c r="H1206" s="84" t="str">
        <x:v>Marketplace</x:v>
      </x:c>
      <x:c r="I1206" s="84" t="str">
        <x:v>ELEC-006</x:v>
      </x:c>
      <x:c r="J1206" s="86" t="n">
        <x:v>1</x:v>
      </x:c>
      <x:c r="K1206" s="87" t="n">
        <x:v>0.1</x:v>
      </x:c>
      <x:c r="L1206" s="84" t="str">
        <x:v>Returned</x:v>
      </x:c>
      <x:c r="M1206" s="84" t="str">
        <x:v>Debit Card</x:v>
      </x:c>
      <x:c r="N1206" s="84" t="str">
        <x:v>leo martinez</x:v>
      </x:c>
      <x:c r="O1206" s="85" t="n">
        <x:v>45690</x:v>
      </x:c>
      <x:c r="P1206" s="84" t="str">
        <x:v>MKT_2025_01</x:v>
      </x:c>
      <x:c r="Q1206" s="84" t="str">
        <x:v>Portable SSD</x:v>
      </x:c>
      <x:c r="R1206" s="84" t="str">
        <x:v>Electronics </x:v>
      </x:c>
    </x:row>
    <x:row r="1207">
      <x:c r="A1207" s="84" t="str">
        <x:v>ORD-2025-01194</x:v>
      </x:c>
      <x:c r="B1207" s="85" t="n">
        <x:v>45687</x:v>
      </x:c>
      <x:c r="C1207" s="84" t="str">
        <x:v>CUST-0476</x:v>
      </x:c>
      <x:c r="D1207" s="84" t="str">
        <x:v>Victoria Irwin</x:v>
      </x:c>
      <x:c r="E1207" s="84" t="str">
        <x:v>Small Business</x:v>
      </x:c>
      <x:c r="F1207" s="84" t="str">
        <x:v>Southeast </x:v>
      </x:c>
      <x:c r="G1207" s="84" t="str">
        <x:v>Charlotte</x:v>
      </x:c>
      <x:c r="H1207" s="84" t="str">
        <x:v>Marketplace</x:v>
      </x:c>
      <x:c r="I1207" s="84" t="str">
        <x:v>OFFC-001</x:v>
      </x:c>
      <x:c r="J1207" s="86" t="n">
        <x:v>1</x:v>
      </x:c>
      <x:c r="K1207" s="87" t="n">
        <x:v>0.05</x:v>
      </x:c>
      <x:c r="L1207" s="84" t="str">
        <x:v>Completed</x:v>
      </x:c>
      <x:c r="M1207" s="84" t="str">
        <x:v>PayPal</x:v>
      </x:c>
      <x:c r="N1207" s="84" t="str">
        <x:v>Liam Parker </x:v>
      </x:c>
      <x:c r="O1207" s="85" t="n">
        <x:v>45691</x:v>
      </x:c>
      <x:c r="P1207" s="84" t="str">
        <x:v>MKT_2025_01</x:v>
      </x:c>
      <x:c r="Q1207" s="84" t="str">
        <x:v> ERGONOMIC CHAIR </x:v>
      </x:c>
      <x:c r="R1207" s="84" t="str">
        <x:v>Office</x:v>
      </x:c>
    </x:row>
    <x:row r="1208">
      <x:c r="A1208" s="84" t="str">
        <x:v>ORD-2025-00526</x:v>
      </x:c>
      <x:c r="B1208" s="85" t="n">
        <x:v>45688</x:v>
      </x:c>
      <x:c r="C1208" s="84" t="str">
        <x:v>CUST-0422</x:v>
      </x:c>
      <x:c r="D1208" s="84" t="str">
        <x:v>William Adams</x:v>
      </x:c>
      <x:c r="E1208" s="84" t="str">
        <x:v>Consumer</x:v>
      </x:c>
      <x:c r="F1208" s="84" t="str">
        <x:v>Midwest</x:v>
      </x:c>
      <x:c r="G1208" s="84" t="str">
        <x:v>Detroit</x:v>
      </x:c>
      <x:c r="H1208" s="84" t="str">
        <x:v>Marketplace</x:v>
      </x:c>
      <x:c r="I1208" s="84" t="str">
        <x:v>ACCS-006</x:v>
      </x:c>
      <x:c r="J1208" s="86" t="n">
        <x:v>1</x:v>
      </x:c>
      <x:c r="K1208" s="87" t="n">
        <x:v>0</x:v>
      </x:c>
      <x:c r="L1208" s="84" t="str">
        <x:v>Completed</x:v>
      </x:c>
      <x:c r="M1208" s="84" t="str">
        <x:v>Credit Card</x:v>
      </x:c>
      <x:c r="N1208" s="84" t="str">
        <x:v>Zoe Turner</x:v>
      </x:c>
      <x:c r="O1208" s="85" t="n">
        <x:v>45694</x:v>
      </x:c>
      <x:c r="P1208" s="84" t="str">
        <x:v>MKT_2025_01</x:v>
      </x:c>
      <x:c r="Q1208" s="84" t="str">
        <x:v>insulated lunch bag</x:v>
      </x:c>
      <x:c r="R1208" s="84" t="str">
        <x:v>Accessories</x:v>
      </x:c>
    </x:row>
    <x:row r="1209">
      <x:c r="A1209" s="84" t="str">
        <x:v>ORD-2025-00546</x:v>
      </x:c>
      <x:c r="B1209" s="85" t="n">
        <x:v>45688</x:v>
      </x:c>
      <x:c r="C1209" s="84" t="str">
        <x:v>CUST-0082</x:v>
      </x:c>
      <x:c r="D1209" s="84" t="str">
        <x:v>isaac patel</x:v>
      </x:c>
      <x:c r="E1209" s="84" t="str">
        <x:v>Small Business </x:v>
      </x:c>
      <x:c r="F1209" s="84" t="str">
        <x:v>West</x:v>
      </x:c>
      <x:c r="G1209" s="84" t="str">
        <x:v>Denver </x:v>
      </x:c>
      <x:c r="H1209" s="84" t="str">
        <x:v>Online</x:v>
      </x:c>
      <x:c r="I1209" s="84" t="str">
        <x:v>HOME-001</x:v>
      </x:c>
      <x:c r="J1209" s="86" t="n">
        <x:v>3</x:v>
      </x:c>
      <x:c r="K1209" s="87" t="n">
        <x:v>0.15</x:v>
      </x:c>
      <x:c r="L1209" s="84" t="str">
        <x:v>Completed</x:v>
      </x:c>
      <x:c r="M1209" s="84" t="str">
        <x:v>Debit Card</x:v>
      </x:c>
      <x:c r="N1209" s="84" t="str">
        <x:v>Nora Kim</x:v>
      </x:c>
      <x:c r="O1209" s="85" t="n">
        <x:v>45693</x:v>
      </x:c>
      <x:c r="P1209" s="84" t="str">
        <x:v>WEB_2025_01</x:v>
      </x:c>
      <x:c r="Q1209" s="84" t="str">
        <x:v>Air Fryer</x:v>
      </x:c>
      <x:c r="R1209" s="84" t="str">
        <x:v>Home &amp; Kitchen</x:v>
      </x:c>
    </x:row>
    <x:row r="1210">
      <x:c r="A1210" s="84" t="str">
        <x:v>ORD-2025-01811</x:v>
      </x:c>
      <x:c r="B1210" s="85" t="n">
        <x:v>45688</x:v>
      </x:c>
      <x:c r="C1210" s="84" t="str">
        <x:v>CUST-0585</x:v>
      </x:c>
      <x:c r="D1210" s="84" t="str">
        <x:v>isaac patel</x:v>
      </x:c>
      <x:c r="E1210" s="84" t="str">
        <x:v>Consumer</x:v>
      </x:c>
      <x:c r="F1210" s="84" t="str">
        <x:v>Northeast</x:v>
      </x:c>
      <x:c r="G1210" s="84" t="str">
        <x:v>New York</x:v>
      </x:c>
      <x:c r="H1210" s="84" t="str">
        <x:v>Online</x:v>
      </x:c>
      <x:c r="I1210" s="84" t="str">
        <x:v>ACCS-003</x:v>
      </x:c>
      <x:c r="J1210" s="86" t="n">
        <x:v>4</x:v>
      </x:c>
      <x:c r="K1210" s="87" t="n">
        <x:v>0</x:v>
      </x:c>
      <x:c r="L1210" s="84" t="str">
        <x:v>Completed</x:v>
      </x:c>
      <x:c r="M1210" s="84" t="str">
        <x:v>PayPal </x:v>
      </x:c>
      <x:c r="N1210" s="84" t="str">
        <x:v>Maya Brooks</x:v>
      </x:c>
      <x:c r="O1210" s="85" t="n">
        <x:v>45691</x:v>
      </x:c>
      <x:c r="P1210" s="84" t="str">
        <x:v>WEB_2025_01</x:v>
      </x:c>
      <x:c r="Q1210" s="84" t="str">
        <x:v>Polarized Sunglasses</x:v>
      </x:c>
      <x:c r="R1210" s="84" t="str">
        <x:v>Accessories</x:v>
      </x:c>
    </x:row>
    <x:row r="1211">
      <x:c r="A1211" s="84" t="str">
        <x:v>ORD-2025-00405</x:v>
      </x:c>
      <x:c r="B1211" s="85" t="n">
        <x:v>45689</x:v>
      </x:c>
      <x:c r="C1211" s="84" t="str">
        <x:v>CUST-0054</x:v>
      </x:c>
      <x:c r="D1211" s="84" t="str">
        <x:v> PRIYA ROBERTS </x:v>
      </x:c>
      <x:c r="E1211" s="84" t="str">
        <x:v>Consumer</x:v>
      </x:c>
      <x:c r="F1211" s="84" t="str">
        <x:v> WEST </x:v>
      </x:c>
      <x:c r="G1211" s="84" t="str">
        <x:v>Phoenix</x:v>
      </x:c>
      <x:c r="H1211" s="84" t="str">
        <x:v>Online</x:v>
      </x:c>
      <x:c r="I1211" s="84" t="str">
        <x:v>CARE-002</x:v>
      </x:c>
      <x:c r="J1211" s="86" t="n">
        <x:v>1</x:v>
      </x:c>
      <x:c r="K1211" s="87" t="n">
        <x:v>0.15</x:v>
      </x:c>
      <x:c r="L1211" s="84" t="str">
        <x:v>Completed </x:v>
      </x:c>
      <x:c r="M1211" s="84" t="str">
        <x:v>Credit Card</x:v>
      </x:c>
      <x:c r="N1211" s="84" t="str">
        <x:v>Nora Kim</x:v>
      </x:c>
      <x:c r="O1211" s="85" t="n">
        <x:v>45692</x:v>
      </x:c>
      <x:c r="P1211" s="84" t="str">
        <x:v>WEB_2025_02</x:v>
      </x:c>
      <x:c r="Q1211" s="84" t="str">
        <x:v>rechargeable trimmer</x:v>
      </x:c>
      <x:c r="R1211" s="84" t="str">
        <x:v>Personal Care</x:v>
      </x:c>
    </x:row>
    <x:row r="1212">
      <x:c r="A1212" s="84" t="str">
        <x:v>ORD-2025-00588</x:v>
      </x:c>
      <x:c r="B1212" s="85" t="n">
        <x:v>45689</x:v>
      </x:c>
      <x:c r="C1212" s="84" t="str">
        <x:v>CUST-0074</x:v>
      </x:c>
      <x:c r="D1212" s="84" t="str">
        <x:v>Grace Taylor</x:v>
      </x:c>
      <x:c r="E1212" s="84" t="str">
        <x:v>Consumer </x:v>
      </x:c>
      <x:c r="F1212" s="84" t="str">
        <x:v>West</x:v>
      </x:c>
      <x:c r="G1212" s="84" t="str">
        <x:v> SEATTLE </x:v>
      </x:c>
      <x:c r="H1212" s="84" t="str">
        <x:v>Marketplace</x:v>
      </x:c>
      <x:c r="I1212" s="84" t="str">
        <x:v>HOME-001</x:v>
      </x:c>
      <x:c r="J1212" s="86" t="n">
        <x:v>2</x:v>
      </x:c>
      <x:c r="K1212" s="87" t="n">
        <x:v>0.2</x:v>
      </x:c>
      <x:c r="L1212" s="84" t="str">
        <x:v>Completed</x:v>
      </x:c>
      <x:c r="M1212" s="84" t="str">
        <x:v>Credit Card</x:v>
      </x:c>
      <x:c r="N1212" s="84" t="str">
        <x:v>Nora Kim</x:v>
      </x:c>
      <x:c r="O1212" s="85" t="n">
        <x:v>45693</x:v>
      </x:c>
      <x:c r="P1212" s="84" t="str">
        <x:v>MKT_2025_02</x:v>
      </x:c>
      <x:c r="Q1212" s="84" t="str">
        <x:v>Air Fryer</x:v>
      </x:c>
      <x:c r="R1212" s="84" t="str">
        <x:v>Home &amp; Kitchen</x:v>
      </x:c>
    </x:row>
    <x:row r="1213">
      <x:c r="A1213" s="84" t="str">
        <x:v>ORD-2025-00780</x:v>
      </x:c>
      <x:c r="B1213" s="85" t="n">
        <x:v>45689</x:v>
      </x:c>
      <x:c r="C1213" s="84" t="str">
        <x:v>CUST-0523</x:v>
      </x:c>
      <x:c r="D1213" s="84" t="str">
        <x:v>Chloe Foster</x:v>
      </x:c>
      <x:c r="E1213" s="84" t="str">
        <x:v>Consumer</x:v>
      </x:c>
      <x:c r="F1213" s="84" t="str">
        <x:v>Northeast</x:v>
      </x:c>
      <x:c r="G1213" s="84" t="str">
        <x:v>Boston</x:v>
      </x:c>
      <x:c r="H1213" s="84" t="str">
        <x:v>Marketplace </x:v>
      </x:c>
      <x:c r="I1213" s="84" t="str">
        <x:v>HOME-002</x:v>
      </x:c>
      <x:c r="J1213" s="86" t="n">
        <x:v>1</x:v>
      </x:c>
      <x:c r="K1213" s="87" t="n">
        <x:v>0.05</x:v>
      </x:c>
      <x:c r="L1213" s="84" t="str">
        <x:v>Completed</x:v>
      </x:c>
      <x:c r="M1213" s="84" t="str">
        <x:v>debit card</x:v>
      </x:c>
      <x:c r="N1213" s="84" t="str">
        <x:v>Maya Brooks</x:v>
      </x:c>
      <x:c r="O1213" s="85" t="n">
        <x:v>45693</x:v>
      </x:c>
      <x:c r="P1213" s="84" t="str">
        <x:v>MKT_2025_02</x:v>
      </x:c>
      <x:c r="Q1213" s="84" t="str">
        <x:v>Electric Kettle</x:v>
      </x:c>
      <x:c r="R1213" s="84" t="str">
        <x:v> HOME &amp; KITCHEN </x:v>
      </x:c>
    </x:row>
    <x:row r="1214">
      <x:c r="A1214" s="84" t="str">
        <x:v>ORD-2025-01637</x:v>
      </x:c>
      <x:c r="B1214" s="85" t="n">
        <x:v>45689</x:v>
      </x:c>
      <x:c r="C1214" s="84" t="str">
        <x:v>CUST-0388</x:v>
      </x:c>
      <x:c r="D1214" s="84" t="str">
        <x:v>Isaac Hall</x:v>
      </x:c>
      <x:c r="E1214" s="84" t="str">
        <x:v>Consumer</x:v>
      </x:c>
      <x:c r="F1214" s="84" t="str">
        <x:v>Northeast</x:v>
      </x:c>
      <x:c r="G1214" s="84" t="str">
        <x:v>Boston</x:v>
      </x:c>
      <x:c r="H1214" s="84" t="str">
        <x:v>Online</x:v>
      </x:c>
      <x:c r="I1214" s="84" t="str">
        <x:v>CARE-002</x:v>
      </x:c>
      <x:c r="J1214" s="86" t="n">
        <x:v>2</x:v>
      </x:c>
      <x:c r="K1214" s="87" t="n">
        <x:v>0</x:v>
      </x:c>
      <x:c r="L1214" s="84" t="str">
        <x:v> COMPLETED </x:v>
      </x:c>
      <x:c r="M1214" s="84" t="str">
        <x:v>Debit Card</x:v>
      </x:c>
      <x:c r="N1214" s="84" t="str">
        <x:v>Sofia Bennett</x:v>
      </x:c>
      <x:c r="O1214" s="85" t="n">
        <x:v>45693</x:v>
      </x:c>
      <x:c r="P1214" s="84" t="str">
        <x:v>WEB_2025_02</x:v>
      </x:c>
      <x:c r="Q1214" s="84" t="str">
        <x:v>rechargeable trimmer</x:v>
      </x:c>
      <x:c r="R1214" s="84" t="str">
        <x:v>Personal Care</x:v>
      </x:c>
    </x:row>
    <x:row r="1215">
      <x:c r="A1215" s="84" t="str">
        <x:v>ORD-2025-01802</x:v>
      </x:c>
      <x:c r="B1215" s="85" t="n">
        <x:v>45689</x:v>
      </x:c>
      <x:c r="C1215" s="84" t="str">
        <x:v>CUST-0409</x:v>
      </x:c>
      <x:c r="D1215" s="84" t="str">
        <x:v>Owen Ortiz</x:v>
      </x:c>
      <x:c r="E1215" s="84" t="str">
        <x:v> CONSUMER </x:v>
      </x:c>
      <x:c r="F1215" s="84" t="str">
        <x:v>West</x:v>
      </x:c>
      <x:c r="G1215" s="84" t="str">
        <x:v>Los Angeles</x:v>
      </x:c>
      <x:c r="H1215" s="84" t="str">
        <x:v>Online </x:v>
      </x:c>
      <x:c r="I1215" s="84" t="str">
        <x:v>HOME-006</x:v>
      </x:c>
      <x:c r="J1215" s="86" t="n">
        <x:v>2</x:v>
      </x:c>
      <x:c r="K1215" s="87" t="n">
        <x:v>0.05</x:v>
      </x:c>
      <x:c r="L1215" s="84" t="str">
        <x:v>Completed</x:v>
      </x:c>
      <x:c r="M1215" s="84" t="str">
        <x:v>Debit Card</x:v>
      </x:c>
      <x:c r="N1215" s="84" t="str">
        <x:v>Nora Kim</x:v>
      </x:c>
      <x:c r="O1215" s="85" t="n">
        <x:v>45695</x:v>
      </x:c>
      <x:c r="P1215" s="84" t="str">
        <x:v>WEB_2025_02</x:v>
      </x:c>
      <x:c r="Q1215" s="84" t="str">
        <x:v>food storage set</x:v>
      </x:c>
      <x:c r="R1215" s="84" t="str">
        <x:v>Home &amp; Kitchen</x:v>
      </x:c>
    </x:row>
    <x:row r="1216">
      <x:c r="A1216" s="84" t="str">
        <x:v>ORD-2025-02291</x:v>
      </x:c>
      <x:c r="B1216" s="85" t="n">
        <x:v>45689</x:v>
      </x:c>
      <x:c r="C1216" s="84" t="str">
        <x:v>CUST-0405</x:v>
      </x:c>
      <x:c r="D1216" s="84" t="str">
        <x:v>Daniel Irwin</x:v>
      </x:c>
      <x:c r="E1216" s="84" t="str">
        <x:v>Corporate</x:v>
      </x:c>
      <x:c r="F1216" s="84" t="str">
        <x:v>West</x:v>
      </x:c>
      <x:c r="G1216" s="84" t="str">
        <x:v>Seattle</x:v>
      </x:c>
      <x:c r="H1216" s="84" t="str">
        <x:v>Marketplace</x:v>
      </x:c>
      <x:c r="I1216" s="84" t="str">
        <x:v>ELEC-005</x:v>
      </x:c>
      <x:c r="J1216" s="86" t="n">
        <x:v>4</x:v>
      </x:c>
      <x:c r="K1216" s="87" t="n">
        <x:v>0.15</x:v>
      </x:c>
      <x:c r="L1216" s="84" t="str">
        <x:v>Completed</x:v>
      </x:c>
      <x:c r="M1216" s="84" t="str">
        <x:v>PayPal</x:v>
      </x:c>
      <x:c r="N1216" s="84" t="str">
        <x:v>Mia Chen</x:v>
      </x:c>
      <x:c r="O1216" s="85" t="n">
        <x:v>45695</x:v>
      </x:c>
      <x:c r="P1216" s="84" t="str">
        <x:v>MKT_2025_02</x:v>
      </x:c>
      <x:c r="Q1216" s="84" t="str">
        <x:v>HD Webcam</x:v>
      </x:c>
      <x:c r="R1216" s="84" t="str">
        <x:v>electronics</x:v>
      </x:c>
    </x:row>
    <x:row r="1217">
      <x:c r="A1217" s="84" t="str">
        <x:v>ORD-2025-00145</x:v>
      </x:c>
      <x:c r="B1217" s="85" t="n">
        <x:v>45691</x:v>
      </x:c>
      <x:c r="C1217" s="84" t="str">
        <x:v>CUST-0304</x:v>
      </x:c>
      <x:c r="D1217" s="84" t="str">
        <x:v>Isaac Carter </x:v>
      </x:c>
      <x:c r="E1217" s="84" t="str">
        <x:v>Corporate</x:v>
      </x:c>
      <x:c r="F1217" s="84" t="str">
        <x:v>Northeast</x:v>
      </x:c>
      <x:c r="G1217" s="84" t="str">
        <x:v>New York</x:v>
      </x:c>
      <x:c r="H1217" s="84" t="str">
        <x:v>Retail Store</x:v>
      </x:c>
      <x:c r="I1217" s="84" t="str">
        <x:v>ELEC-005</x:v>
      </x:c>
      <x:c r="J1217" s="86" t="n">
        <x:v>6</x:v>
      </x:c>
      <x:c r="K1217" s="87" t="n">
        <x:v>0</x:v>
      </x:c>
      <x:c r="L1217" s="84" t="str">
        <x:v>Completed</x:v>
      </x:c>
      <x:c r="M1217" s="84" t="str">
        <x:v>Mobile Wallet </x:v>
      </x:c>
      <x:c r="N1217" s="84" t="str">
        <x:v>ethan cole</x:v>
      </x:c>
      <x:c r="O1217" s="85" t="n">
        <x:v>45691</x:v>
      </x:c>
      <x:c r="P1217" s="84" t="str">
        <x:v>POS_2025_02</x:v>
      </x:c>
      <x:c r="Q1217" s="84" t="str">
        <x:v>HD Webcam</x:v>
      </x:c>
      <x:c r="R1217" s="84" t="str">
        <x:v>Electronics</x:v>
      </x:c>
    </x:row>
    <x:row r="1218">
      <x:c r="A1218" s="84" t="str">
        <x:v>ORD-2025-00518</x:v>
      </x:c>
      <x:c r="B1218" s="85" t="n">
        <x:v>45691</x:v>
      </x:c>
      <x:c r="C1218" s="84" t="str">
        <x:v>CUST-0436</x:v>
      </x:c>
      <x:c r="D1218" s="84" t="str">
        <x:v>Nathan Hall</x:v>
      </x:c>
      <x:c r="E1218" s="84" t="str">
        <x:v>Consumer </x:v>
      </x:c>
      <x:c r="F1218" s="84" t="str">
        <x:v>West</x:v>
      </x:c>
      <x:c r="G1218" s="84" t="str">
        <x:v>Phoenix </x:v>
      </x:c>
      <x:c r="H1218" s="84" t="str">
        <x:v>Online</x:v>
      </x:c>
      <x:c r="I1218" s="84" t="str">
        <x:v>ELEC-006</x:v>
      </x:c>
      <x:c r="J1218" s="86" t="n">
        <x:v>2</x:v>
      </x:c>
      <x:c r="K1218" s="87" t="n">
        <x:v>0.15</x:v>
      </x:c>
      <x:c r="L1218" s="84" t="str">
        <x:v>Completed</x:v>
      </x:c>
      <x:c r="M1218" s="84" t="str">
        <x:v>Debit Card</x:v>
      </x:c>
      <x:c r="N1218" s="84" t="str">
        <x:v>Leo Martinez</x:v>
      </x:c>
      <x:c r="O1218" s="85" t="n">
        <x:v>45696</x:v>
      </x:c>
      <x:c r="P1218" s="84" t="str">
        <x:v>WEB_2025_02</x:v>
      </x:c>
      <x:c r="Q1218" s="84" t="str">
        <x:v>Portable SSD</x:v>
      </x:c>
      <x:c r="R1218" s="84" t="str">
        <x:v>Electronics</x:v>
      </x:c>
    </x:row>
    <x:row r="1219">
      <x:c r="A1219" s="84" t="str">
        <x:v>ORD-2025-02361</x:v>
      </x:c>
      <x:c r="B1219" s="85" t="n">
        <x:v>45691</x:v>
      </x:c>
      <x:c r="C1219" s="84" t="str">
        <x:v>CUST-0450</x:v>
      </x:c>
      <x:c r="D1219" s="84" t="str">
        <x:v>samuel garcia</x:v>
      </x:c>
      <x:c r="E1219" s="84" t="str">
        <x:v>Small Business</x:v>
      </x:c>
      <x:c r="F1219" s="84" t="str">
        <x:v>West</x:v>
      </x:c>
      <x:c r="G1219" s="84" t="str">
        <x:v>Seattle</x:v>
      </x:c>
      <x:c r="H1219" s="84" t="str">
        <x:v>Marketplace</x:v>
      </x:c>
      <x:c r="I1219" s="84" t="str">
        <x:v>ACCS-003</x:v>
      </x:c>
      <x:c r="J1219" s="86" t="n">
        <x:v>1</x:v>
      </x:c>
      <x:c r="K1219" s="87" t="n">
        <x:v>0.05</x:v>
      </x:c>
      <x:c r="L1219" s="84" t="str">
        <x:v>Completed</x:v>
      </x:c>
      <x:c r="M1219" s="84" t="str">
        <x:v>Mobile Wallet</x:v>
      </x:c>
      <x:c r="N1219" s="84" t="str">
        <x:v>Nora Kim</x:v>
      </x:c>
      <x:c r="O1219" s="85" t="n">
        <x:v>45694</x:v>
      </x:c>
      <x:c r="P1219" s="84" t="str">
        <x:v>MKT_2025_02</x:v>
      </x:c>
      <x:c r="Q1219" s="84" t="str">
        <x:v>Polarized Sunglasses</x:v>
      </x:c>
      <x:c r="R1219" s="84" t="str">
        <x:v> ACCESSORIES </x:v>
      </x:c>
    </x:row>
    <x:row r="1220">
      <x:c r="A1220" s="84" t="str">
        <x:v>ORD-2025-00087</x:v>
      </x:c>
      <x:c r="B1220" s="85" t="n">
        <x:v>45692</x:v>
      </x:c>
      <x:c r="C1220" s="84" t="str">
        <x:v>CUST-0032</x:v>
      </x:c>
      <x:c r="D1220" s="84" t="str">
        <x:v>Nina Johnson</x:v>
      </x:c>
      <x:c r="E1220" s="84" t="str">
        <x:v>Consumer</x:v>
      </x:c>
      <x:c r="F1220" s="84" t="str">
        <x:v>Northeast</x:v>
      </x:c>
      <x:c r="G1220" s="84" t="str">
        <x:v>Philadelphia</x:v>
      </x:c>
      <x:c r="H1220" s="84" t="str">
        <x:v>Online </x:v>
      </x:c>
      <x:c r="I1220" s="84" t="str">
        <x:v>ELEC-004</x:v>
      </x:c>
      <x:c r="J1220" s="86" t="n">
        <x:v>1</x:v>
      </x:c>
      <x:c r="K1220" s="87" t="n">
        <x:v>0.05</x:v>
      </x:c>
      <x:c r="L1220" s="84" t="str">
        <x:v>Completed</x:v>
      </x:c>
      <x:c r="M1220" s="84" t="str">
        <x:v>debit card</x:v>
      </x:c>
      <x:c r="N1220" s="84" t="str">
        <x:v>Maya Brooks</x:v>
      </x:c>
      <x:c r="O1220" s="85" t="n">
        <x:v>45698</x:v>
      </x:c>
      <x:c r="P1220" s="84" t="str">
        <x:v>WEB_2025_02</x:v>
      </x:c>
      <x:c r="Q1220" s="84" t="str">
        <x:v>Power Bank</x:v>
      </x:c>
      <x:c r="R1220" s="84" t="str">
        <x:v>Electronics</x:v>
      </x:c>
    </x:row>
    <x:row r="1221">
      <x:c r="A1221" s="84" t="str">
        <x:v>ORD-2025-00157</x:v>
      </x:c>
      <x:c r="B1221" s="85" t="n">
        <x:v>45692</x:v>
      </x:c>
      <x:c r="C1221" s="84" t="str">
        <x:v>CUST-0525</x:v>
      </x:c>
      <x:c r="D1221" s="84" t="str">
        <x:v>Daniel Carter</x:v>
      </x:c>
      <x:c r="E1221" s="84" t="str">
        <x:v>Small Business</x:v>
      </x:c>
      <x:c r="F1221" s="84" t="str">
        <x:v>Midwest</x:v>
      </x:c>
      <x:c r="G1221" s="84" t="str">
        <x:v>Columbus</x:v>
      </x:c>
      <x:c r="H1221" s="84" t="str">
        <x:v>Online </x:v>
      </x:c>
      <x:c r="I1221" s="84" t="str">
        <x:v>ACCS-004</x:v>
      </x:c>
      <x:c r="J1221" s="86" t="n">
        <x:v>2</x:v>
      </x:c>
      <x:c r="K1221" s="87" t="n">
        <x:v>0.15</x:v>
      </x:c>
      <x:c r="L1221" s="84" t="str">
        <x:v>Completed</x:v>
      </x:c>
      <x:c r="M1221" s="84" t="str">
        <x:v>Credit Card</x:v>
      </x:c>
      <x:c r="N1221" s="84" t="str">
        <x:v>Emma Hayes</x:v>
      </x:c>
      <x:c r="O1221" s="85" t="n">
        <x:v>45697</x:v>
      </x:c>
      <x:c r="P1221" s="84" t="str">
        <x:v>WEB_2025_02</x:v>
      </x:c>
      <x:c r="Q1221" s="84" t="str">
        <x:v> LEATHER WALLET </x:v>
      </x:c>
      <x:c r="R1221" s="84" t="str">
        <x:v>accessories</x:v>
      </x:c>
    </x:row>
    <x:row r="1222">
      <x:c r="A1222" s="84" t="str">
        <x:v>ORD-2025-01445</x:v>
      </x:c>
      <x:c r="B1222" s="85" t="n">
        <x:v>45692</x:v>
      </x:c>
      <x:c r="C1222" s="84" t="str">
        <x:v>CUST-0123</x:v>
      </x:c>
      <x:c r="D1222" s="84" t="str">
        <x:v>Jasmine Patel</x:v>
      </x:c>
      <x:c r="E1222" s="84" t="str">
        <x:v> CONSUMER </x:v>
      </x:c>
      <x:c r="F1222" s="84" t="str">
        <x:v>Southeast</x:v>
      </x:c>
      <x:c r="G1222" s="84" t="str">
        <x:v>nashville</x:v>
      </x:c>
      <x:c r="H1222" s="84" t="str">
        <x:v>Retail Store </x:v>
      </x:c>
      <x:c r="I1222" s="84" t="str">
        <x:v>FITN-006</x:v>
      </x:c>
      <x:c r="J1222" s="86" t="n">
        <x:v>2</x:v>
      </x:c>
      <x:c r="K1222" s="87" t="n">
        <x:v>0</x:v>
      </x:c>
      <x:c r="L1222" s="84" t="str">
        <x:v>completed</x:v>
      </x:c>
      <x:c r="M1222" s="84" t="str">
        <x:v>Debit Card</x:v>
      </x:c>
      <x:c r="N1222" s="84" t="str">
        <x:v>Liam Parker</x:v>
      </x:c>
      <x:c r="O1222" s="85" t="n">
        <x:v>45692</x:v>
      </x:c>
      <x:c r="P1222" s="84" t="str">
        <x:v>POS_2025_02</x:v>
      </x:c>
      <x:c r="Q1222" s="84" t="str">
        <x:v>Foam Roller</x:v>
      </x:c>
      <x:c r="R1222" s="84" t="str">
        <x:v>Fitness</x:v>
      </x:c>
    </x:row>
    <x:row r="1223">
      <x:c r="A1223" s="84" t="str">
        <x:v>ORD-2025-02062</x:v>
      </x:c>
      <x:c r="B1223" s="85" t="n">
        <x:v>45692</x:v>
      </x:c>
      <x:c r="C1223" s="84" t="str">
        <x:v>CUST-0012</x:v>
      </x:c>
      <x:c r="D1223" s="84" t="str">
        <x:v>William Lewis</x:v>
      </x:c>
      <x:c r="E1223" s="84" t="str">
        <x:v>Consumer</x:v>
      </x:c>
      <x:c r="F1223" s="84" t="str">
        <x:v>West </x:v>
      </x:c>
      <x:c r="G1223" s="84" t="str">
        <x:v>Denver</x:v>
      </x:c>
      <x:c r="H1223" s="84" t="str">
        <x:v>Online</x:v>
      </x:c>
      <x:c r="I1223" s="84" t="str">
        <x:v>ACCS-004</x:v>
      </x:c>
      <x:c r="J1223" s="86" t="n">
        <x:v>3</x:v>
      </x:c>
      <x:c r="K1223" s="87" t="n">
        <x:v>0</x:v>
      </x:c>
      <x:c r="L1223" s="84" t="str">
        <x:v> COMPLETED </x:v>
      </x:c>
      <x:c r="M1223" s="84" t="str">
        <x:v>Mobile Wallet</x:v>
      </x:c>
      <x:c r="N1223" s="84" t="str">
        <x:v>Nora Kim </x:v>
      </x:c>
      <x:c r="O1223" s="85" t="n">
        <x:v>45696</x:v>
      </x:c>
      <x:c r="P1223" s="84" t="str">
        <x:v>WEB_2025_02</x:v>
      </x:c>
      <x:c r="Q1223" s="84" t="str">
        <x:v>Leather Wallet</x:v>
      </x:c>
      <x:c r="R1223" s="84" t="str">
        <x:v>Accessories</x:v>
      </x:c>
    </x:row>
    <x:row r="1224">
      <x:c r="A1224" s="84" t="str">
        <x:v>ORD-2025-01658</x:v>
      </x:c>
      <x:c r="B1224" s="85" t="n">
        <x:v>45693</x:v>
      </x:c>
      <x:c r="C1224" s="84" t="str">
        <x:v>CUST-0336</x:v>
      </x:c>
      <x:c r="D1224" s="84" t="str">
        <x:v>Jonah Garcia</x:v>
      </x:c>
      <x:c r="E1224" s="84" t="str">
        <x:v>Consumer</x:v>
      </x:c>
      <x:c r="F1224" s="84" t="str">
        <x:v>west</x:v>
      </x:c>
      <x:c r="G1224" s="84" t="str">
        <x:v>Phoenix</x:v>
      </x:c>
      <x:c r="H1224" s="84" t="str">
        <x:v>Online</x:v>
      </x:c>
      <x:c r="I1224" s="84" t="str">
        <x:v>CARE-006</x:v>
      </x:c>
      <x:c r="J1224" s="86" t="n">
        <x:v>1</x:v>
      </x:c>
      <x:c r="K1224" s="87" t="n">
        <x:v>0.15</x:v>
      </x:c>
      <x:c r="L1224" s="84" t="str">
        <x:v>Completed </x:v>
      </x:c>
      <x:c r="M1224" s="84" t="str">
        <x:v>PayPal</x:v>
      </x:c>
      <x:c r="N1224" s="84" t="str">
        <x:v>Mia Chen</x:v>
      </x:c>
      <x:c r="O1224" s="85" t="n">
        <x:v>45697</x:v>
      </x:c>
      <x:c r="P1224" s="84" t="str">
        <x:v>WEB_2025_02</x:v>
      </x:c>
      <x:c r="Q1224" s="84" t="str">
        <x:v>Percussion Massage Gun</x:v>
      </x:c>
      <x:c r="R1224" s="84" t="str">
        <x:v>Personal Care</x:v>
      </x:c>
    </x:row>
    <x:row r="1225">
      <x:c r="A1225" s="84" t="str">
        <x:v>ORD-2025-00363</x:v>
      </x:c>
      <x:c r="B1225" s="85" t="n">
        <x:v>45694</x:v>
      </x:c>
      <x:c r="C1225" s="84" t="str">
        <x:v>CUST-0352</x:v>
      </x:c>
      <x:c r="D1225" s="84" t="str">
        <x:v>Theo Garcia</x:v>
      </x:c>
      <x:c r="E1225" s="84" t="str">
        <x:v>consumer</x:v>
      </x:c>
      <x:c r="F1225" s="84" t="str">
        <x:v>West</x:v>
      </x:c>
      <x:c r="G1225" s="84" t="str">
        <x:v>Seattle</x:v>
      </x:c>
      <x:c r="H1225" s="84" t="str">
        <x:v> ONLINE </x:v>
      </x:c>
      <x:c r="I1225" s="84" t="str">
        <x:v>ACCS-004</x:v>
      </x:c>
      <x:c r="J1225" s="86" t="n">
        <x:v>1</x:v>
      </x:c>
      <x:c r="K1225" s="87" t="n">
        <x:v>0.1</x:v>
      </x:c>
      <x:c r="L1225" s="84" t="str">
        <x:v>Completed </x:v>
      </x:c>
      <x:c r="M1225" s="84" t="str">
        <x:v>Debit Card</x:v>
      </x:c>
      <x:c r="N1225" s="84" t="str">
        <x:v>Nora Kim</x:v>
      </x:c>
      <x:c r="O1225" s="85" t="n">
        <x:v>45700</x:v>
      </x:c>
      <x:c r="P1225" s="84" t="str">
        <x:v>WEB_2025_02</x:v>
      </x:c>
      <x:c r="Q1225" s="84" t="str">
        <x:v>Leather Wallet</x:v>
      </x:c>
      <x:c r="R1225" s="84" t="str">
        <x:v>Accessories</x:v>
      </x:c>
    </x:row>
    <x:row r="1226">
      <x:c r="A1226" s="84" t="str">
        <x:v>ORD-2025-02096</x:v>
      </x:c>
      <x:c r="B1226" s="85" t="n">
        <x:v>45694</x:v>
      </x:c>
      <x:c r="C1226" s="84" t="str">
        <x:v>CUST-0439</x:v>
      </x:c>
      <x:c r="D1226" s="84" t="str">
        <x:v>Aiden Irwin</x:v>
      </x:c>
      <x:c r="E1226" s="84" t="str">
        <x:v>Consumer</x:v>
      </x:c>
      <x:c r="F1226" s="84" t="str">
        <x:v>West</x:v>
      </x:c>
      <x:c r="G1226" s="84" t="str">
        <x:v>Los Angeles</x:v>
      </x:c>
      <x:c r="H1226" s="84" t="str">
        <x:v>Retail Store </x:v>
      </x:c>
      <x:c r="I1226" s="84" t="str">
        <x:v>ELEC-001</x:v>
      </x:c>
      <x:c r="J1226" s="86" t="n">
        <x:v>1</x:v>
      </x:c>
      <x:c r="K1226" s="87" t="n">
        <x:v>0.05</x:v>
      </x:c>
      <x:c r="L1226" s="84" t="str">
        <x:v> COMPLETED </x:v>
      </x:c>
      <x:c r="M1226" s="84" t="str">
        <x:v>Debit Card</x:v>
      </x:c>
      <x:c r="N1226" s="84" t="str">
        <x:v>Mia Chen</x:v>
      </x:c>
      <x:c r="O1226" s="85" t="n">
        <x:v>45694</x:v>
      </x:c>
      <x:c r="P1226" s="84" t="str">
        <x:v>POS_2025_02</x:v>
      </x:c>
      <x:c r="Q1226" s="84" t="str">
        <x:v>Wireless Earbuds</x:v>
      </x:c>
      <x:c r="R1226" s="84" t="str">
        <x:v>Electronics</x:v>
      </x:c>
    </x:row>
    <x:row r="1227">
      <x:c r="A1227" s="84" t="str">
        <x:v>ORD-2025-02290</x:v>
      </x:c>
      <x:c r="B1227" s="85" t="n">
        <x:v>45694</x:v>
      </x:c>
      <x:c r="C1227" s="84" t="str">
        <x:v>CUST-0022</x:v>
      </x:c>
      <x:c r="D1227" s="84" t="str">
        <x:v>Amelia Nelson</x:v>
      </x:c>
      <x:c r="E1227" s="84" t="str">
        <x:v>Corporate</x:v>
      </x:c>
      <x:c r="F1227" s="84" t="str">
        <x:v>Northeast</x:v>
      </x:c>
      <x:c r="G1227" s="84" t="str">
        <x:v>New York</x:v>
      </x:c>
      <x:c r="H1227" s="84" t="str">
        <x:v>Marketplace</x:v>
      </x:c>
      <x:c r="I1227" s="84" t="str">
        <x:v>HOME-005</x:v>
      </x:c>
      <x:c r="J1227" s="86" t="n">
        <x:v>2</x:v>
      </x:c>
      <x:c r="K1227" s="87" t="n">
        <x:v>0</x:v>
      </x:c>
      <x:c r="L1227" s="84" t="str">
        <x:v>Completed</x:v>
      </x:c>
      <x:c r="M1227" s="84" t="str">
        <x:v>Mobile Wallet</x:v>
      </x:c>
      <x:c r="N1227" s="84" t="str">
        <x:v>ethan cole</x:v>
      </x:c>
      <x:c r="O1227" s="85" t="n">
        <x:v>45697</x:v>
      </x:c>
      <x:c r="P1227" s="84" t="str">
        <x:v>MKT_2025_02</x:v>
      </x:c>
      <x:c r="Q1227" s="84" t="str">
        <x:v>Cordless Vacuum </x:v>
      </x:c>
      <x:c r="R1227" s="84" t="str">
        <x:v>Home &amp; Kitchen</x:v>
      </x:c>
    </x:row>
    <x:row r="1228">
      <x:c r="A1228" s="84" t="str">
        <x:v>ORD-2025-02332</x:v>
      </x:c>
      <x:c r="B1228" s="85" t="n">
        <x:v>45694</x:v>
      </x:c>
      <x:c r="C1228" s="84" t="str">
        <x:v>CUST-0372</x:v>
      </x:c>
      <x:c r="D1228" s="84" t="str">
        <x:v>Owen Baker</x:v>
      </x:c>
      <x:c r="E1228" s="84" t="str">
        <x:v>small business</x:v>
      </x:c>
      <x:c r="F1228" s="84" t="str">
        <x:v>Midwest</x:v>
      </x:c>
      <x:c r="G1228" s="84" t="str">
        <x:v>Detroit</x:v>
      </x:c>
      <x:c r="H1228" s="84" t="str">
        <x:v>retail store</x:v>
      </x:c>
      <x:c r="I1228" s="84" t="str">
        <x:v>ELEC-002</x:v>
      </x:c>
      <x:c r="J1228" s="86" t="n">
        <x:v>2</x:v>
      </x:c>
      <x:c r="K1228" s="87" t="n">
        <x:v>0.1</x:v>
      </x:c>
      <x:c r="L1228" s="84" t="str">
        <x:v>Completed</x:v>
      </x:c>
      <x:c r="M1228" s="84" t="str">
        <x:v>Debit Card</x:v>
      </x:c>
      <x:c r="N1228" s="84" t="str">
        <x:v> LUCAS GRANT </x:v>
      </x:c>
      <x:c r="O1228" s="85" t="n">
        <x:v>45694</x:v>
      </x:c>
      <x:c r="P1228" s="84" t="str">
        <x:v>POS_2025_02</x:v>
      </x:c>
      <x:c r="Q1228" s="84" t="str">
        <x:v>Smartwatch </x:v>
      </x:c>
      <x:c r="R1228" s="84" t="str">
        <x:v>Electronics</x:v>
      </x:c>
    </x:row>
    <x:row r="1229">
      <x:c r="A1229" s="84" t="str">
        <x:v>ORD-2025-01248</x:v>
      </x:c>
      <x:c r="B1229" s="85" t="n">
        <x:v>45695</x:v>
      </x:c>
      <x:c r="C1229" s="84" t="str">
        <x:v>CUST-0289</x:v>
      </x:c>
      <x:c r="D1229" s="84" t="str">
        <x:v>Chloe Patel</x:v>
      </x:c>
      <x:c r="E1229" s="84" t="str">
        <x:v>Consumer</x:v>
      </x:c>
      <x:c r="F1229" s="84" t="str">
        <x:v>West</x:v>
      </x:c>
      <x:c r="G1229" s="84" t="str">
        <x:v>Denver</x:v>
      </x:c>
      <x:c r="H1229" s="84" t="str">
        <x:v>Online</x:v>
      </x:c>
      <x:c r="I1229" s="84" t="str">
        <x:v>CARE-004</x:v>
      </x:c>
      <x:c r="J1229" s="86" t="n">
        <x:v>1</x:v>
      </x:c>
      <x:c r="K1229" s="87" t="n">
        <x:v>0.1</x:v>
      </x:c>
      <x:c r="L1229" s="84" t="str">
        <x:v>Completed</x:v>
      </x:c>
      <x:c r="M1229" s="84" t="str">
        <x:v>Credit Card</x:v>
      </x:c>
      <x:c r="N1229" s="84" t="str">
        <x:v>Leo Martinez</x:v>
      </x:c>
      <x:c r="O1229" s="85" t="n">
        <x:v>45697</x:v>
      </x:c>
      <x:c r="P1229" s="84" t="str">
        <x:v>WEB_2025_02</x:v>
      </x:c>
      <x:c r="Q1229" s="84" t="str">
        <x:v>Electric Toothbrush</x:v>
      </x:c>
      <x:c r="R1229" s="84" t="str">
        <x:v>Personal Care </x:v>
      </x:c>
    </x:row>
    <x:row r="1230">
      <x:c r="A1230" s="84" t="str">
        <x:v>ORD-2025-01460</x:v>
      </x:c>
      <x:c r="B1230" s="85" t="n">
        <x:v>45695</x:v>
      </x:c>
      <x:c r="C1230" s="84" t="str">
        <x:v>CUST-0526</x:v>
      </x:c>
      <x:c r="D1230" s="84" t="str">
        <x:v>Theo Davis</x:v>
      </x:c>
      <x:c r="E1230" s="84" t="str">
        <x:v>Corporate</x:v>
      </x:c>
      <x:c r="F1230" s="84" t="str">
        <x:v>west</x:v>
      </x:c>
      <x:c r="G1230" s="84" t="str">
        <x:v>Phoenix</x:v>
      </x:c>
      <x:c r="H1230" s="84" t="str">
        <x:v>Retail Store</x:v>
      </x:c>
      <x:c r="I1230" s="84" t="str">
        <x:v>ACCS-004</x:v>
      </x:c>
      <x:c r="J1230" s="86" t="n">
        <x:v>2</x:v>
      </x:c>
      <x:c r="K1230" s="87" t="n">
        <x:v>0.1</x:v>
      </x:c>
      <x:c r="L1230" s="84" t="str">
        <x:v>Completed</x:v>
      </x:c>
      <x:c r="M1230" s="84" t="str">
        <x:v>Debit Card</x:v>
      </x:c>
      <x:c r="N1230" s="84" t="str">
        <x:v>Leo Martinez </x:v>
      </x:c>
      <x:c r="O1230" s="85" t="n">
        <x:v>45695</x:v>
      </x:c>
      <x:c r="P1230" s="84" t="str">
        <x:v>POS_2025_02</x:v>
      </x:c>
      <x:c r="Q1230" s="84" t="str">
        <x:v>Leather Wallet</x:v>
      </x:c>
      <x:c r="R1230" s="84" t="str">
        <x:v> ACCESSORIES </x:v>
      </x:c>
    </x:row>
    <x:row r="1231">
      <x:c r="A1231" s="84" t="str">
        <x:v>ORD-2025-01693</x:v>
      </x:c>
      <x:c r="B1231" s="85" t="n">
        <x:v>45695</x:v>
      </x:c>
      <x:c r="C1231" s="84" t="str">
        <x:v>CUST-0538</x:v>
      </x:c>
      <x:c r="D1231" s="84" t="str">
        <x:v>Elena Ortiz</x:v>
      </x:c>
      <x:c r="E1231" s="84" t="str">
        <x:v>Consumer</x:v>
      </x:c>
      <x:c r="F1231" s="84" t="str">
        <x:v>West</x:v>
      </x:c>
      <x:c r="G1231" s="84" t="str">
        <x:v> SEATTLE </x:v>
      </x:c>
      <x:c r="H1231" s="84" t="str">
        <x:v>Online</x:v>
      </x:c>
      <x:c r="I1231" s="84" t="str">
        <x:v>OFFC-003</x:v>
      </x:c>
      <x:c r="J1231" s="86" t="n">
        <x:v>3</x:v>
      </x:c>
      <x:c r="K1231" s="87" t="n">
        <x:v>0.15</x:v>
      </x:c>
      <x:c r="L1231" s="84" t="str">
        <x:v>Completed </x:v>
      </x:c>
      <x:c r="M1231" s="84" t="str">
        <x:v>mobile wallet</x:v>
      </x:c>
      <x:c r="N1231" s="84" t="str">
        <x:v>Leo Martinez</x:v>
      </x:c>
      <x:c r="O1231" s="85" t="n">
        <x:v>45697</x:v>
      </x:c>
      <x:c r="P1231" s="84" t="str">
        <x:v>WEB_2025_02</x:v>
      </x:c>
      <x:c r="Q1231" s="84" t="str">
        <x:v>LED Desk Lamp</x:v>
      </x:c>
      <x:c r="R1231" s="84" t="str">
        <x:v>Office</x:v>
      </x:c>
    </x:row>
    <x:row r="1232">
      <x:c r="A1232" s="84" t="str">
        <x:v>ORD-2025-01896</x:v>
      </x:c>
      <x:c r="B1232" s="85" t="n">
        <x:v>45695</x:v>
      </x:c>
      <x:c r="C1232" s="84" t="str">
        <x:v>CUST-0050</x:v>
      </x:c>
      <x:c r="D1232" s="84" t="str">
        <x:v>Isaac Davis</x:v>
      </x:c>
      <x:c r="E1232" s="84" t="str">
        <x:v>Consumer</x:v>
      </x:c>
      <x:c r="F1232" s="84" t="str">
        <x:v>Northeast</x:v>
      </x:c>
      <x:c r="G1232" s="84" t="str">
        <x:v>newark</x:v>
      </x:c>
      <x:c r="H1232" s="84" t="str">
        <x:v>Retail Store</x:v>
      </x:c>
      <x:c r="I1232" s="84" t="str">
        <x:v>ELEC-001</x:v>
      </x:c>
      <x:c r="J1232" s="86" t="n">
        <x:v>3</x:v>
      </x:c>
      <x:c r="K1232" s="87" t="n">
        <x:v>0.05</x:v>
      </x:c>
      <x:c r="L1232" s="84" t="str">
        <x:v>completed</x:v>
      </x:c>
      <x:c r="M1232" s="84" t="str">
        <x:v>Debit Card</x:v>
      </x:c>
      <x:c r="N1232" s="84" t="str">
        <x:v>Ethan Cole</x:v>
      </x:c>
      <x:c r="O1232" s="85" t="n">
        <x:v>45695</x:v>
      </x:c>
      <x:c r="P1232" s="84" t="str">
        <x:v>POS_2025_02</x:v>
      </x:c>
      <x:c r="Q1232" s="84" t="str">
        <x:v>Wireless Earbuds</x:v>
      </x:c>
      <x:c r="R1232" s="84" t="str">
        <x:v>Electronics</x:v>
      </x:c>
    </x:row>
    <x:row r="1233">
      <x:c r="A1233" s="84" t="str">
        <x:v>ORD-2025-00823</x:v>
      </x:c>
      <x:c r="B1233" s="85" t="n">
        <x:v>45696</x:v>
      </x:c>
      <x:c r="C1233" s="84" t="str">
        <x:v>CUST-0108</x:v>
      </x:c>
      <x:c r="D1233" s="84" t="str">
        <x:v>Nina Ortiz</x:v>
      </x:c>
      <x:c r="E1233" s="84" t="str">
        <x:v>Small Business</x:v>
      </x:c>
      <x:c r="F1233" s="84" t="str">
        <x:v>West </x:v>
      </x:c>
      <x:c r="G1233" s="84" t="str">
        <x:v>Phoenix</x:v>
      </x:c>
      <x:c r="H1233" s="84" t="str">
        <x:v>Online</x:v>
      </x:c>
      <x:c r="I1233" s="84" t="str">
        <x:v>FITN-003</x:v>
      </x:c>
      <x:c r="J1233" s="86" t="n">
        <x:v>2</x:v>
      </x:c>
      <x:c r="K1233" s="87" t="n">
        <x:v>0</x:v>
      </x:c>
      <x:c r="L1233" s="84" t="str">
        <x:v>Returned</x:v>
      </x:c>
      <x:c r="M1233" s="84" t="str">
        <x:v>Credit Card</x:v>
      </x:c>
      <x:c r="N1233" s="84" t="str">
        <x:v>Leo Martinez </x:v>
      </x:c>
      <x:c r="O1233" s="85" t="n">
        <x:v>45701</x:v>
      </x:c>
      <x:c r="P1233" s="84" t="str">
        <x:v>WEB_2025_02</x:v>
      </x:c>
      <x:c r="Q1233" s="84" t="str">
        <x:v>resistance band set</x:v>
      </x:c>
      <x:c r="R1233" s="84" t="str">
        <x:v>Fitness</x:v>
      </x:c>
    </x:row>
    <x:row r="1234">
      <x:c r="A1234" s="84" t="str">
        <x:v>ORD-2025-01529</x:v>
      </x:c>
      <x:c r="B1234" s="85" t="n">
        <x:v>45696</x:v>
      </x:c>
      <x:c r="C1234" s="84" t="str">
        <x:v>CUST-0083</x:v>
      </x:c>
      <x:c r="D1234" s="84" t="str">
        <x:v>Theo Davis</x:v>
      </x:c>
      <x:c r="E1234" s="84" t="str">
        <x:v>consumer</x:v>
      </x:c>
      <x:c r="F1234" s="84" t="str">
        <x:v>West</x:v>
      </x:c>
      <x:c r="G1234" s="84" t="str">
        <x:v>Phoenix</x:v>
      </x:c>
      <x:c r="H1234" s="84" t="str">
        <x:v>online</x:v>
      </x:c>
      <x:c r="I1234" s="84" t="str">
        <x:v>HOME-005</x:v>
      </x:c>
      <x:c r="J1234" s="86" t="n">
        <x:v>1</x:v>
      </x:c>
      <x:c r="K1234" s="87" t="n">
        <x:v>0.05</x:v>
      </x:c>
      <x:c r="L1234" s="84" t="str">
        <x:v>Completed</x:v>
      </x:c>
      <x:c r="M1234" s="84" t="str">
        <x:v>Credit Card</x:v>
      </x:c>
      <x:c r="N1234" s="84" t="str">
        <x:v>Leo Martinez</x:v>
      </x:c>
      <x:c r="O1234" s="85" t="n">
        <x:v>45700</x:v>
      </x:c>
      <x:c r="P1234" s="84" t="str">
        <x:v>WEB_2025_02</x:v>
      </x:c>
      <x:c r="Q1234" s="84" t="str">
        <x:v>Cordless Vacuum</x:v>
      </x:c>
      <x:c r="R1234" s="84" t="str">
        <x:v>Home &amp; Kitchen</x:v>
      </x:c>
    </x:row>
    <x:row r="1235">
      <x:c r="A1235" s="84" t="str">
        <x:v>ORD-2025-02031</x:v>
      </x:c>
      <x:c r="B1235" s="85" t="n">
        <x:v>45696</x:v>
      </x:c>
      <x:c r="C1235" s="84" t="str">
        <x:v>CUST-0409</x:v>
      </x:c>
      <x:c r="D1235" s="84" t="str">
        <x:v>owen ortiz</x:v>
      </x:c>
      <x:c r="E1235" s="84" t="str">
        <x:v>Consumer</x:v>
      </x:c>
      <x:c r="F1235" s="84" t="str">
        <x:v>West</x:v>
      </x:c>
      <x:c r="G1235" s="84" t="str">
        <x:v>Los Angeles</x:v>
      </x:c>
      <x:c r="H1235" s="84" t="str">
        <x:v>Marketplace</x:v>
      </x:c>
      <x:c r="I1235" s="84" t="str">
        <x:v>FITN-006</x:v>
      </x:c>
      <x:c r="J1235" s="86" t="n">
        <x:v>1</x:v>
      </x:c>
      <x:c r="K1235" s="87" t="n">
        <x:v>0.15</x:v>
      </x:c>
      <x:c r="L1235" s="84" t="str">
        <x:v>Completed</x:v>
      </x:c>
      <x:c r="M1235" s="84" t="str">
        <x:v>Credit Card</x:v>
      </x:c>
      <x:c r="N1235" s="84" t="str">
        <x:v>Nora Kim</x:v>
      </x:c>
      <x:c r="O1235" s="85" t="n">
        <x:v>45703</x:v>
      </x:c>
      <x:c r="P1235" s="84" t="str">
        <x:v>MKT_2025_02</x:v>
      </x:c>
      <x:c r="Q1235" s="84" t="str">
        <x:v>Foam Roller </x:v>
      </x:c>
      <x:c r="R1235" s="84" t="str">
        <x:v>Fitness</x:v>
      </x:c>
    </x:row>
    <x:row r="1236">
      <x:c r="A1236" s="84" t="str">
        <x:v>ORD-2025-02152</x:v>
      </x:c>
      <x:c r="B1236" s="85" t="n">
        <x:v>45696</x:v>
      </x:c>
      <x:c r="C1236" s="84" t="str">
        <x:v>CUST-0139</x:v>
      </x:c>
      <x:c r="D1236" s="84" t="str">
        <x:v>william evans</x:v>
      </x:c>
      <x:c r="E1236" s="84" t="str">
        <x:v>Consumer</x:v>
      </x:c>
      <x:c r="F1236" s="84" t="str">
        <x:v>West</x:v>
      </x:c>
      <x:c r="G1236" s="84" t="str">
        <x:v> SEATTLE </x:v>
      </x:c>
      <x:c r="H1236" s="84" t="str">
        <x:v>Online </x:v>
      </x:c>
      <x:c r="I1236" s="84" t="str">
        <x:v>HOME-003</x:v>
      </x:c>
      <x:c r="J1236" s="86" t="n">
        <x:v>4</x:v>
      </x:c>
      <x:c r="K1236" s="87" t="n">
        <x:v>0</x:v>
      </x:c>
      <x:c r="L1236" s="84" t="str">
        <x:v>Completed</x:v>
      </x:c>
      <x:c r="M1236" s="84" t="str">
        <x:v>Credit Card</x:v>
      </x:c>
      <x:c r="N1236" s="84" t="str">
        <x:v>Nora Kim</x:v>
      </x:c>
      <x:c r="O1236" s="85" t="n">
        <x:v>45702</x:v>
      </x:c>
      <x:c r="P1236" s="84" t="str">
        <x:v>WEB_2025_02</x:v>
      </x:c>
      <x:c r="Q1236" s="84" t="str">
        <x:v>Countertop Blender</x:v>
      </x:c>
      <x:c r="R1236" s="84" t="str">
        <x:v>Home &amp; Kitchen</x:v>
      </x:c>
    </x:row>
    <x:row r="1237">
      <x:c r="A1237" s="84" t="str">
        <x:v>ORD-2025-00141</x:v>
      </x:c>
      <x:c r="B1237" s="85" t="n">
        <x:v>45697</x:v>
      </x:c>
      <x:c r="C1237" s="84" t="str">
        <x:v>CUST-0212</x:v>
      </x:c>
      <x:c r="D1237" s="84" t="str">
        <x:v>Theo Walker</x:v>
      </x:c>
      <x:c r="E1237" s="84" t="str">
        <x:v>Corporate</x:v>
      </x:c>
      <x:c r="F1237" s="84" t="str">
        <x:v>Midwest</x:v>
      </x:c>
      <x:c r="G1237" s="84" t="str">
        <x:v>Columbus</x:v>
      </x:c>
      <x:c r="H1237" s="84" t="str">
        <x:v>Marketplace</x:v>
      </x:c>
      <x:c r="I1237" s="84" t="str">
        <x:v>OFFC-004</x:v>
      </x:c>
      <x:c r="J1237" s="86" t="n">
        <x:v>5</x:v>
      </x:c>
      <x:c r="K1237" s="87" t="n">
        <x:v>0.05</x:v>
      </x:c>
      <x:c r="L1237" s="84" t="str">
        <x:v> COMPLETED </x:v>
      </x:c>
      <x:c r="M1237" s="84" t="str">
        <x:v>Mobile Wallet</x:v>
      </x:c>
      <x:c r="N1237" s="84" t="str">
        <x:v>Lucas Grant</x:v>
      </x:c>
      <x:c r="O1237" s="85" t="n">
        <x:v>45700</x:v>
      </x:c>
      <x:c r="P1237" s="84" t="str">
        <x:v>MKT_2025_02</x:v>
      </x:c>
      <x:c r="Q1237" s="84" t="str">
        <x:v>premium notebook pack</x:v>
      </x:c>
      <x:c r="R1237" s="84" t="str">
        <x:v>Office</x:v>
      </x:c>
    </x:row>
    <x:row r="1238">
      <x:c r="A1238" s="84" t="str">
        <x:v>ORD-2025-01329</x:v>
      </x:c>
      <x:c r="B1238" s="85" t="n">
        <x:v>45697</x:v>
      </x:c>
      <x:c r="C1238" s="84" t="str">
        <x:v>CUST-0632</x:v>
      </x:c>
      <x:c r="D1238" s="84" t="str">
        <x:v>Caleb Adams</x:v>
      </x:c>
      <x:c r="E1238" s="84" t="str">
        <x:v>Consumer</x:v>
      </x:c>
      <x:c r="F1238" s="84" t="str">
        <x:v>West</x:v>
      </x:c>
      <x:c r="G1238" s="84" t="str">
        <x:v>Phoenix</x:v>
      </x:c>
      <x:c r="H1238" s="84" t="str">
        <x:v>Online</x:v>
      </x:c>
      <x:c r="I1238" s="84" t="str">
        <x:v>ACCS-001</x:v>
      </x:c>
      <x:c r="J1238" s="86" t="n">
        <x:v>4</x:v>
      </x:c>
      <x:c r="K1238" s="87" t="n">
        <x:v>0</x:v>
      </x:c>
      <x:c r="L1238" s="84" t="str">
        <x:v>Completed </x:v>
      </x:c>
      <x:c r="M1238" s="84" t="str">
        <x:v>Mobile Wallet</x:v>
      </x:c>
      <x:c r="N1238" s="84" t="str">
        <x:v> LEO MARTINEZ </x:v>
      </x:c>
      <x:c r="O1238" s="85" t="n">
        <x:v>45702</x:v>
      </x:c>
      <x:c r="P1238" s="84" t="str">
        <x:v>WEB_2025_02</x:v>
      </x:c>
      <x:c r="Q1238" s="84" t="str">
        <x:v>canvas tote bag</x:v>
      </x:c>
      <x:c r="R1238" s="84" t="str">
        <x:v>Accessories</x:v>
      </x:c>
    </x:row>
    <x:row r="1239">
      <x:c r="A1239" s="84" t="str">
        <x:v>ORD-2025-00927</x:v>
      </x:c>
      <x:c r="B1239" s="85" t="n">
        <x:v>45698</x:v>
      </x:c>
      <x:c r="C1239" s="84" t="str">
        <x:v>CUST-0253</x:v>
      </x:c>
      <x:c r="D1239" s="84" t="str">
        <x:v>Caleb Quinn</x:v>
      </x:c>
      <x:c r="E1239" s="84" t="str">
        <x:v>Corporate</x:v>
      </x:c>
      <x:c r="F1239" s="84" t="str">
        <x:v>Midwest</x:v>
      </x:c>
      <x:c r="G1239" s="84" t="str">
        <x:v>Chicago</x:v>
      </x:c>
      <x:c r="H1239" s="84" t="str">
        <x:v>Retail Store </x:v>
      </x:c>
      <x:c r="I1239" s="84" t="str">
        <x:v>HOME-004</x:v>
      </x:c>
      <x:c r="J1239" s="86" t="n">
        <x:v>2</x:v>
      </x:c>
      <x:c r="K1239" s="87" t="n">
        <x:v>0</x:v>
      </x:c>
      <x:c r="L1239" s="84" t="str">
        <x:v>Completed</x:v>
      </x:c>
      <x:c r="M1239" s="84" t="str">
        <x:v>Cash</x:v>
      </x:c>
      <x:c r="N1239" s="84" t="str">
        <x:v>Emma Hayes</x:v>
      </x:c>
      <x:c r="O1239" s="85" t="n">
        <x:v>45698</x:v>
      </x:c>
      <x:c r="P1239" s="84" t="str">
        <x:v>POS_2025_02</x:v>
      </x:c>
      <x:c r="Q1239" s="84" t="str">
        <x:v>Coffee Maker</x:v>
      </x:c>
      <x:c r="R1239" s="84" t="str">
        <x:v>home &amp; kitchen</x:v>
      </x:c>
    </x:row>
    <x:row r="1240">
      <x:c r="A1240" s="84" t="str">
        <x:v>ORD-2025-01510</x:v>
      </x:c>
      <x:c r="B1240" s="85" t="n">
        <x:v>45698</x:v>
      </x:c>
      <x:c r="C1240" s="84" t="str">
        <x:v>CUST-0485</x:v>
      </x:c>
      <x:c r="D1240" s="84" t="str">
        <x:v> ELIAS ORTIZ </x:v>
      </x:c>
      <x:c r="E1240" s="84" t="str">
        <x:v>Consumer</x:v>
      </x:c>
      <x:c r="F1240" s="84" t="str">
        <x:v> SOUTHEAST </x:v>
      </x:c>
      <x:c r="G1240" s="84" t="str">
        <x:v>Atlanta</x:v>
      </x:c>
      <x:c r="H1240" s="84" t="str">
        <x:v>Retail Store</x:v>
      </x:c>
      <x:c r="I1240" s="84" t="str">
        <x:v>ELEC-001</x:v>
      </x:c>
      <x:c r="J1240" s="86" t="n">
        <x:v>4</x:v>
      </x:c>
      <x:c r="K1240" s="87" t="n">
        <x:v>0.15</x:v>
      </x:c>
      <x:c r="L1240" s="84" t="str">
        <x:v>Completed</x:v>
      </x:c>
      <x:c r="M1240" s="84" t="str">
        <x:v>Mobile Wallet </x:v>
      </x:c>
      <x:c r="N1240" s="84" t="str">
        <x:v>Ava Mitchell</x:v>
      </x:c>
      <x:c r="O1240" s="85" t="n">
        <x:v>45698</x:v>
      </x:c>
      <x:c r="P1240" s="84" t="str">
        <x:v>POS_2025_02</x:v>
      </x:c>
      <x:c r="Q1240" s="84" t="str">
        <x:v>Wireless Earbuds</x:v>
      </x:c>
      <x:c r="R1240" s="84" t="str">
        <x:v>electronics</x:v>
      </x:c>
    </x:row>
    <x:row r="1241">
      <x:c r="A1241" s="84" t="str">
        <x:v>ORD-2025-00214</x:v>
      </x:c>
      <x:c r="B1241" s="85" t="n">
        <x:v>45699</x:v>
      </x:c>
      <x:c r="C1241" s="84" t="str">
        <x:v>CUST-0535</x:v>
      </x:c>
      <x:c r="D1241" s="84" t="str">
        <x:v>Caleb Walker</x:v>
      </x:c>
      <x:c r="E1241" s="84" t="str">
        <x:v>Corporate</x:v>
      </x:c>
      <x:c r="F1241" s="84" t="str">
        <x:v>Southeast </x:v>
      </x:c>
      <x:c r="G1241" s="84" t="str">
        <x:v> MIAMI </x:v>
      </x:c>
      <x:c r="H1241" s="84" t="str">
        <x:v>Marketplace</x:v>
      </x:c>
      <x:c r="I1241" s="84" t="str">
        <x:v>ELEC-005</x:v>
      </x:c>
      <x:c r="J1241" s="86" t="n">
        <x:v>3</x:v>
      </x:c>
      <x:c r="K1241" s="87" t="n">
        <x:v>0.05</x:v>
      </x:c>
      <x:c r="L1241" s="84" t="str">
        <x:v>Completed</x:v>
      </x:c>
      <x:c r="M1241" s="84" t="str">
        <x:v>PayPal</x:v>
      </x:c>
      <x:c r="N1241" s="84" t="str">
        <x:v>Ava Mitchell </x:v>
      </x:c>
      <x:c r="O1241" s="85" t="n">
        <x:v>45705</x:v>
      </x:c>
      <x:c r="P1241" s="84" t="str">
        <x:v>MKT_2025_02</x:v>
      </x:c>
      <x:c r="Q1241" s="84" t="str">
        <x:v>HD Webcam</x:v>
      </x:c>
      <x:c r="R1241" s="84" t="str">
        <x:v>Electronics</x:v>
      </x:c>
    </x:row>
    <x:row r="1242">
      <x:c r="A1242" s="84" t="str">
        <x:v>ORD-2025-01707</x:v>
      </x:c>
      <x:c r="B1242" s="85" t="n">
        <x:v>45699</x:v>
      </x:c>
      <x:c r="C1242" s="84" t="str">
        <x:v>CUST-0196</x:v>
      </x:c>
      <x:c r="D1242" s="84" t="str">
        <x:v>Nina Baker</x:v>
      </x:c>
      <x:c r="E1242" s="84" t="str">
        <x:v>Consumer</x:v>
      </x:c>
      <x:c r="F1242" s="84" t="str">
        <x:v>Northeast</x:v>
      </x:c>
      <x:c r="G1242" s="84" t="str">
        <x:v>Boston</x:v>
      </x:c>
      <x:c r="H1242" s="84" t="str">
        <x:v>Online</x:v>
      </x:c>
      <x:c r="I1242" s="84" t="str">
        <x:v>ACCS-004</x:v>
      </x:c>
      <x:c r="J1242" s="86" t="n">
        <x:v>2</x:v>
      </x:c>
      <x:c r="K1242" s="87" t="n">
        <x:v>0</x:v>
      </x:c>
      <x:c r="L1242" s="84" t="str">
        <x:v>Completed </x:v>
      </x:c>
      <x:c r="M1242" s="84" t="str">
        <x:v>Credit Card</x:v>
      </x:c>
      <x:c r="N1242" s="84" t="str">
        <x:v>ethan cole</x:v>
      </x:c>
      <x:c r="O1242" s="85" t="n">
        <x:v>45701</x:v>
      </x:c>
      <x:c r="P1242" s="84" t="str">
        <x:v>WEB_2025_02</x:v>
      </x:c>
      <x:c r="Q1242" s="84" t="str">
        <x:v>Leather Wallet</x:v>
      </x:c>
      <x:c r="R1242" s="84" t="str">
        <x:v>Accessories</x:v>
      </x:c>
    </x:row>
    <x:row r="1243">
      <x:c r="A1243" s="84" t="str">
        <x:v>ORD-2025-01800</x:v>
      </x:c>
      <x:c r="B1243" s="85" t="n">
        <x:v>45699</x:v>
      </x:c>
      <x:c r="C1243" s="84" t="str">
        <x:v>CUST-0254</x:v>
      </x:c>
      <x:c r="D1243" s="84" t="str">
        <x:v>marcus carter</x:v>
      </x:c>
      <x:c r="E1243" s="84" t="str">
        <x:v>Consumer</x:v>
      </x:c>
      <x:c r="F1243" s="84" t="str">
        <x:v>Northeast</x:v>
      </x:c>
      <x:c r="G1243" s="84" t="str">
        <x:v>Boston</x:v>
      </x:c>
      <x:c r="H1243" s="84" t="str">
        <x:v>Retail Store</x:v>
      </x:c>
      <x:c r="I1243" s="84" t="str">
        <x:v>HOME-003</x:v>
      </x:c>
      <x:c r="J1243" s="86" t="n">
        <x:v>2</x:v>
      </x:c>
      <x:c r="K1243" s="87" t="n">
        <x:v>0</x:v>
      </x:c>
      <x:c r="L1243" s="84" t="str">
        <x:v>Completed</x:v>
      </x:c>
      <x:c r="M1243" s="84" t="str">
        <x:v>Credit Card</x:v>
      </x:c>
      <x:c r="N1243" s="84" t="str">
        <x:v>Ethan Cole</x:v>
      </x:c>
      <x:c r="O1243" s="85" t="n">
        <x:v>45699</x:v>
      </x:c>
      <x:c r="P1243" s="84" t="str">
        <x:v>POS_2025_02</x:v>
      </x:c>
      <x:c r="Q1243" s="84" t="str">
        <x:v>Countertop Blender </x:v>
      </x:c>
      <x:c r="R1243" s="84" t="str">
        <x:v> HOME &amp; KITCHEN </x:v>
      </x:c>
    </x:row>
    <x:row r="1244">
      <x:c r="A1244" s="84" t="str">
        <x:v>ORD-2025-02274</x:v>
      </x:c>
      <x:c r="B1244" s="85" t="n">
        <x:v>45699</x:v>
      </x:c>
      <x:c r="C1244" s="84" t="str">
        <x:v>CUST-0640</x:v>
      </x:c>
      <x:c r="D1244" s="84" t="str">
        <x:v>Maya Patel</x:v>
      </x:c>
      <x:c r="E1244" s="84" t="str">
        <x:v>Corporate</x:v>
      </x:c>
      <x:c r="F1244" s="84" t="str">
        <x:v>midwest</x:v>
      </x:c>
      <x:c r="G1244" s="84" t="str">
        <x:v>Columbus</x:v>
      </x:c>
      <x:c r="H1244" s="84" t="str">
        <x:v>Online</x:v>
      </x:c>
      <x:c r="I1244" s="84" t="str">
        <x:v>OFFC-005</x:v>
      </x:c>
      <x:c r="J1244" s="86" t="n">
        <x:v>8</x:v>
      </x:c>
      <x:c r="K1244" s="87" t="n">
        <x:v>0.1</x:v>
      </x:c>
      <x:c r="L1244" s="84" t="str">
        <x:v>Completed </x:v>
      </x:c>
      <x:c r="M1244" s="84" t="str">
        <x:v>PayPal</x:v>
      </x:c>
      <x:c r="N1244" s="84" t="str">
        <x:v>Zoe Turner</x:v>
      </x:c>
      <x:c r="O1244" s="85" t="n">
        <x:v>45703</x:v>
      </x:c>
      <x:c r="P1244" s="84" t="str">
        <x:v>WEB_2025_02</x:v>
      </x:c>
      <x:c r="Q1244" s="84" t="str">
        <x:v>Wireless Keyboard</x:v>
      </x:c>
      <x:c r="R1244" s="84" t="str">
        <x:v>Office</x:v>
      </x:c>
    </x:row>
    <x:row r="1245">
      <x:c r="A1245" s="84" t="str">
        <x:v>ORD-2025-00088</x:v>
      </x:c>
      <x:c r="B1245" s="85" t="n">
        <x:v>45700</x:v>
      </x:c>
      <x:c r="C1245" s="84" t="str">
        <x:v>CUST-0597</x:v>
      </x:c>
      <x:c r="D1245" s="84" t="str">
        <x:v>Nathan Ortiz</x:v>
      </x:c>
      <x:c r="E1245" s="84" t="str">
        <x:v>small business</x:v>
      </x:c>
      <x:c r="F1245" s="84" t="str">
        <x:v>West </x:v>
      </x:c>
      <x:c r="G1245" s="84" t="str">
        <x:v>Phoenix</x:v>
      </x:c>
      <x:c r="H1245" s="84" t="str">
        <x:v>online</x:v>
      </x:c>
      <x:c r="I1245" s="84" t="str">
        <x:v>ACCS-002</x:v>
      </x:c>
      <x:c r="J1245" s="86" t="n">
        <x:v>2</x:v>
      </x:c>
      <x:c r="K1245" s="87" t="n">
        <x:v>0</x:v>
      </x:c>
      <x:c r="L1245" s="84" t="str">
        <x:v>Completed</x:v>
      </x:c>
      <x:c r="M1245" s="84" t="str">
        <x:v>Credit Card</x:v>
      </x:c>
      <x:c r="N1245" s="84" t="str">
        <x:v> LEO MARTINEZ </x:v>
      </x:c>
      <x:c r="O1245" s="85" t="n">
        <x:v>45704</x:v>
      </x:c>
      <x:c r="P1245" s="84" t="str">
        <x:v>WEB_2025_02</x:v>
      </x:c>
      <x:c r="Q1245" s="84" t="str">
        <x:v>Travel Backpack</x:v>
      </x:c>
      <x:c r="R1245" s="84" t="str">
        <x:v>Accessories</x:v>
      </x:c>
    </x:row>
    <x:row r="1246">
      <x:c r="A1246" s="84" t="str">
        <x:v>ORD-2025-00571</x:v>
      </x:c>
      <x:c r="B1246" s="85" t="n">
        <x:v>45700</x:v>
      </x:c>
      <x:c r="C1246" s="84" t="str">
        <x:v>CUST-0200</x:v>
      </x:c>
      <x:c r="D1246" s="84" t="str">
        <x:v>Priya Patel</x:v>
      </x:c>
      <x:c r="E1246" s="84" t="str">
        <x:v>Consumer</x:v>
      </x:c>
      <x:c r="F1246" s="84" t="str">
        <x:v>Midwest </x:v>
      </x:c>
      <x:c r="G1246" s="84" t="str">
        <x:v> DETROIT </x:v>
      </x:c>
      <x:c r="H1246" s="84" t="str">
        <x:v>Marketplace</x:v>
      </x:c>
      <x:c r="I1246" s="84" t="str">
        <x:v>ELEC-001</x:v>
      </x:c>
      <x:c r="J1246" s="86" t="n">
        <x:v>2</x:v>
      </x:c>
      <x:c r="K1246" s="87" t="n">
        <x:v>0.2</x:v>
      </x:c>
      <x:c r="L1246" s="84" t="str">
        <x:v>Completed</x:v>
      </x:c>
      <x:c r="M1246" s="84" t="str">
        <x:v>credit card</x:v>
      </x:c>
      <x:c r="N1246" s="84" t="str">
        <x:v>Lucas Grant </x:v>
      </x:c>
      <x:c r="O1246" s="85" t="n">
        <x:v>45704</x:v>
      </x:c>
      <x:c r="P1246" s="84" t="str">
        <x:v>MKT_2025_02</x:v>
      </x:c>
      <x:c r="Q1246" s="84" t="str">
        <x:v>Wireless Earbuds</x:v>
      </x:c>
      <x:c r="R1246" s="84" t="str">
        <x:v>Electronics</x:v>
      </x:c>
    </x:row>
    <x:row r="1247">
      <x:c r="A1247" s="84" t="str">
        <x:v>ORD-2025-01174</x:v>
      </x:c>
      <x:c r="B1247" s="85" t="n">
        <x:v>45700</x:v>
      </x:c>
      <x:c r="C1247" s="84" t="str">
        <x:v>CUST-0119</x:v>
      </x:c>
      <x:c r="D1247" s="84" t="str">
        <x:v>Grace Nelson </x:v>
      </x:c>
      <x:c r="E1247" s="84" t="str">
        <x:v>Small Business</x:v>
      </x:c>
      <x:c r="F1247" s="84" t="str">
        <x:v>west</x:v>
      </x:c>
      <x:c r="G1247" s="84" t="str">
        <x:v>Denver</x:v>
      </x:c>
      <x:c r="H1247" s="84" t="str">
        <x:v>Retail Store</x:v>
      </x:c>
      <x:c r="I1247" s="84" t="str">
        <x:v>OFFC-004</x:v>
      </x:c>
      <x:c r="J1247" s="86" t="n">
        <x:v>2</x:v>
      </x:c>
      <x:c r="K1247" s="87" t="n">
        <x:v>0.1</x:v>
      </x:c>
      <x:c r="L1247" s="84" t="str">
        <x:v>Completed</x:v>
      </x:c>
      <x:c r="M1247" s="84" t="str">
        <x:v>Credit Card </x:v>
      </x:c>
      <x:c r="N1247" s="84" t="str">
        <x:v>Mia Chen</x:v>
      </x:c>
      <x:c r="O1247" s="85" t="n">
        <x:v>45700</x:v>
      </x:c>
      <x:c r="P1247" s="84" t="str">
        <x:v>POS_2025_02</x:v>
      </x:c>
      <x:c r="Q1247" s="84" t="str">
        <x:v>Premium Notebook Pack</x:v>
      </x:c>
      <x:c r="R1247" s="84" t="str">
        <x:v>Office</x:v>
      </x:c>
    </x:row>
    <x:row r="1248">
      <x:c r="A1248" s="84" t="str">
        <x:v>ORD-2025-00731</x:v>
      </x:c>
      <x:c r="B1248" s="85" t="n">
        <x:v>45701</x:v>
      </x:c>
      <x:c r="C1248" s="84" t="str">
        <x:v>CUST-0614</x:v>
      </x:c>
      <x:c r="D1248" s="84" t="str">
        <x:v>Theo Carter</x:v>
      </x:c>
      <x:c r="E1248" s="84" t="str">
        <x:v> CORPORATE </x:v>
      </x:c>
      <x:c r="F1248" s="84" t="str">
        <x:v>Midwest</x:v>
      </x:c>
      <x:c r="G1248" s="84" t="str">
        <x:v>Detroit</x:v>
      </x:c>
      <x:c r="H1248" s="84" t="str">
        <x:v>Retail Store </x:v>
      </x:c>
      <x:c r="I1248" s="84" t="str">
        <x:v>ELEC-003</x:v>
      </x:c>
      <x:c r="J1248" s="86" t="n">
        <x:v>3</x:v>
      </x:c>
      <x:c r="K1248" s="87" t="n">
        <x:v>0</x:v>
      </x:c>
      <x:c r="L1248" s="84" t="str">
        <x:v>Completed</x:v>
      </x:c>
      <x:c r="M1248" s="84" t="str">
        <x:v>Debit Card</x:v>
      </x:c>
      <x:c r="N1248" s="84" t="str">
        <x:v>Lucas Grant</x:v>
      </x:c>
      <x:c r="O1248" s="85" t="n">
        <x:v>45701</x:v>
      </x:c>
      <x:c r="P1248" s="84" t="str">
        <x:v>POS_2025_02</x:v>
      </x:c>
      <x:c r="Q1248" s="84" t="str">
        <x:v>Bluetooth Speaker</x:v>
      </x:c>
      <x:c r="R1248" s="84" t="str">
        <x:v>Electronics</x:v>
      </x:c>
    </x:row>
    <x:row r="1249">
      <x:c r="A1249" s="84" t="str">
        <x:v>ORD-2025-01179</x:v>
      </x:c>
      <x:c r="B1249" s="85" t="n">
        <x:v>45701</x:v>
      </x:c>
      <x:c r="C1249" s="84" t="str">
        <x:v>CUST-0354</x:v>
      </x:c>
      <x:c r="D1249" s="84" t="str">
        <x:v>Jasmine Quinn</x:v>
      </x:c>
      <x:c r="E1249" s="84" t="str">
        <x:v>Consumer</x:v>
      </x:c>
      <x:c r="F1249" s="84" t="str">
        <x:v>Northeast</x:v>
      </x:c>
      <x:c r="G1249" s="84" t="str">
        <x:v>Philadelphia</x:v>
      </x:c>
      <x:c r="H1249" s="84" t="str">
        <x:v> ONLINE </x:v>
      </x:c>
      <x:c r="I1249" s="84" t="str">
        <x:v>HOME-004</x:v>
      </x:c>
      <x:c r="J1249" s="86" t="n">
        <x:v>1</x:v>
      </x:c>
      <x:c r="K1249" s="87" t="n">
        <x:v>0.05</x:v>
      </x:c>
      <x:c r="L1249" s="84" t="str">
        <x:v>Completed</x:v>
      </x:c>
      <x:c r="M1249" s="84" t="str">
        <x:v>Credit Card</x:v>
      </x:c>
      <x:c r="N1249" s="84" t="str">
        <x:v>sofia bennett</x:v>
      </x:c>
      <x:c r="O1249" s="85" t="n">
        <x:v>45706</x:v>
      </x:c>
      <x:c r="P1249" s="84" t="str">
        <x:v>WEB_2025_02</x:v>
      </x:c>
      <x:c r="Q1249" s="84" t="str">
        <x:v>Coffee Maker</x:v>
      </x:c>
      <x:c r="R1249" s="84" t="str">
        <x:v>Home &amp; Kitchen</x:v>
      </x:c>
    </x:row>
    <x:row r="1250">
      <x:c r="A1250" s="84" t="str">
        <x:v>ORD-2025-01698</x:v>
      </x:c>
      <x:c r="B1250" s="85" t="n">
        <x:v>45701</x:v>
      </x:c>
      <x:c r="C1250" s="84" t="str">
        <x:v>CUST-0150</x:v>
      </x:c>
      <x:c r="D1250" s="84" t="str">
        <x:v>Aiden Carter</x:v>
      </x:c>
      <x:c r="E1250" s="84" t="str">
        <x:v>Consumer</x:v>
      </x:c>
      <x:c r="F1250" s="84" t="str">
        <x:v>Southeast </x:v>
      </x:c>
      <x:c r="G1250" s="84" t="str">
        <x:v>atlanta</x:v>
      </x:c>
      <x:c r="H1250" s="84" t="str">
        <x:v>Online</x:v>
      </x:c>
      <x:c r="I1250" s="84" t="str">
        <x:v>FITN-003</x:v>
      </x:c>
      <x:c r="J1250" s="86" t="n">
        <x:v>4</x:v>
      </x:c>
      <x:c r="K1250" s="87" t="n">
        <x:v>0</x:v>
      </x:c>
      <x:c r="L1250" s="84" t="str">
        <x:v>completed</x:v>
      </x:c>
      <x:c r="M1250" s="84" t="str">
        <x:v>Credit Card</x:v>
      </x:c>
      <x:c r="N1250" s="84" t="str">
        <x:v>Ava Mitchell </x:v>
      </x:c>
      <x:c r="O1250" s="85" t="n">
        <x:v>45703</x:v>
      </x:c>
      <x:c r="P1250" s="84" t="str">
        <x:v>WEB_2025_02</x:v>
      </x:c>
      <x:c r="Q1250" s="84" t="str">
        <x:v>Resistance Band Set</x:v>
      </x:c>
      <x:c r="R1250" s="84" t="str">
        <x:v> FITNESS </x:v>
      </x:c>
    </x:row>
    <x:row r="1251">
      <x:c r="A1251" s="84" t="str">
        <x:v>ORD-2025-02266</x:v>
      </x:c>
      <x:c r="B1251" s="85" t="n">
        <x:v>45701</x:v>
      </x:c>
      <x:c r="C1251" s="84" t="str">
        <x:v>CUST-0383</x:v>
      </x:c>
      <x:c r="D1251" s="84" t="str">
        <x:v>Maya Adams </x:v>
      </x:c>
      <x:c r="E1251" s="84" t="str">
        <x:v>consumer</x:v>
      </x:c>
      <x:c r="F1251" s="84" t="str">
        <x:v>Southeast</x:v>
      </x:c>
      <x:c r="G1251" s="84" t="str">
        <x:v>Nashville</x:v>
      </x:c>
      <x:c r="H1251" s="84" t="str">
        <x:v>online</x:v>
      </x:c>
      <x:c r="I1251" s="84" t="str">
        <x:v>ELEC-001</x:v>
      </x:c>
      <x:c r="J1251" s="86" t="n">
        <x:v>1</x:v>
      </x:c>
      <x:c r="K1251" s="87" t="n">
        <x:v>0</x:v>
      </x:c>
      <x:c r="L1251" s="84" t="str">
        <x:v> COMPLETED </x:v>
      </x:c>
      <x:c r="M1251" s="84" t="str">
        <x:v>PayPal </x:v>
      </x:c>
      <x:c r="N1251" s="84" t="str">
        <x:v>Noah Reed</x:v>
      </x:c>
      <x:c r="O1251" s="85" t="n">
        <x:v>45703</x:v>
      </x:c>
      <x:c r="P1251" s="84" t="str">
        <x:v>WEB_2025_02</x:v>
      </x:c>
      <x:c r="Q1251" s="84" t="str">
        <x:v>Wireless Earbuds</x:v>
      </x:c>
      <x:c r="R1251" s="84" t="str">
        <x:v>Electronics</x:v>
      </x:c>
    </x:row>
    <x:row r="1252">
      <x:c r="A1252" s="84" t="str">
        <x:v>ORD-2025-01266</x:v>
      </x:c>
      <x:c r="B1252" s="85" t="n">
        <x:v>45702</x:v>
      </x:c>
      <x:c r="C1252" s="84" t="str">
        <x:v>CUST-0253</x:v>
      </x:c>
      <x:c r="D1252" s="84" t="str">
        <x:v>Caleb Quinn</x:v>
      </x:c>
      <x:c r="E1252" s="84" t="str">
        <x:v>Corporate</x:v>
      </x:c>
      <x:c r="F1252" s="84" t="str">
        <x:v>Midwest</x:v>
      </x:c>
      <x:c r="G1252" s="84" t="str">
        <x:v>Chicago</x:v>
      </x:c>
      <x:c r="H1252" s="84" t="str">
        <x:v>Retail Store</x:v>
      </x:c>
      <x:c r="I1252" s="84" t="str">
        <x:v>ELEC-004</x:v>
      </x:c>
      <x:c r="J1252" s="86" t="n">
        <x:v>2</x:v>
      </x:c>
      <x:c r="K1252" s="87" t="n">
        <x:v>0</x:v>
      </x:c>
      <x:c r="L1252" s="84" t="str">
        <x:v>Completed </x:v>
      </x:c>
      <x:c r="M1252" s="84" t="str">
        <x:v>Credit Card</x:v>
      </x:c>
      <x:c r="N1252" s="84" t="str">
        <x:v>Zoe Turner</x:v>
      </x:c>
      <x:c r="O1252" s="85" t="n">
        <x:v>45702</x:v>
      </x:c>
      <x:c r="P1252" s="84" t="str">
        <x:v>POS_2025_02</x:v>
      </x:c>
      <x:c r="Q1252" s="84" t="str">
        <x:v>Power Bank</x:v>
      </x:c>
      <x:c r="R1252" s="84" t="str">
        <x:v>Electronics</x:v>
      </x:c>
    </x:row>
    <x:row r="1253">
      <x:c r="A1253" s="84" t="str">
        <x:v>ORD-2025-01746</x:v>
      </x:c>
      <x:c r="B1253" s="85" t="n">
        <x:v>45702</x:v>
      </x:c>
      <x:c r="C1253" s="84" t="str">
        <x:v>CUST-0039</x:v>
      </x:c>
      <x:c r="D1253" s="84" t="str">
        <x:v>Amelia Patel</x:v>
      </x:c>
      <x:c r="E1253" s="84" t="str">
        <x:v>Consumer</x:v>
      </x:c>
      <x:c r="F1253" s="84" t="str">
        <x:v>west</x:v>
      </x:c>
      <x:c r="G1253" s="84" t="str">
        <x:v>Denver</x:v>
      </x:c>
      <x:c r="H1253" s="84" t="str">
        <x:v>Retail Store </x:v>
      </x:c>
      <x:c r="I1253" s="84" t="str">
        <x:v>FITN-001</x:v>
      </x:c>
      <x:c r="J1253" s="86" t="n">
        <x:v>2</x:v>
      </x:c>
      <x:c r="K1253" s="87" t="n">
        <x:v>0</x:v>
      </x:c>
      <x:c r="L1253" s="84" t="str">
        <x:v>Completed</x:v>
      </x:c>
      <x:c r="M1253" s="84" t="str">
        <x:v>Credit Card</x:v>
      </x:c>
      <x:c r="N1253" s="84" t="str">
        <x:v>Leo Martinez</x:v>
      </x:c>
      <x:c r="O1253" s="85" t="n">
        <x:v>45702</x:v>
      </x:c>
      <x:c r="P1253" s="84" t="str">
        <x:v>POS_2025_02</x:v>
      </x:c>
      <x:c r="Q1253" s="84" t="str">
        <x:v>Yoga Mat</x:v>
      </x:c>
      <x:c r="R1253" s="84" t="str">
        <x:v>Fitness</x:v>
      </x:c>
    </x:row>
    <x:row r="1254">
      <x:c r="A1254" s="84" t="str">
        <x:v>ORD-2025-02208</x:v>
      </x:c>
      <x:c r="B1254" s="85" t="n">
        <x:v>45702</x:v>
      </x:c>
      <x:c r="C1254" s="84" t="str">
        <x:v>CUST-0280</x:v>
      </x:c>
      <x:c r="D1254" s="84" t="str">
        <x:v>Theo Taylor</x:v>
      </x:c>
      <x:c r="E1254" s="84" t="str">
        <x:v>Corporate</x:v>
      </x:c>
      <x:c r="F1254" s="84" t="str">
        <x:v>southeast</x:v>
      </x:c>
      <x:c r="G1254" s="84" t="str">
        <x:v>Charlotte</x:v>
      </x:c>
      <x:c r="H1254" s="84" t="str">
        <x:v>Online </x:v>
      </x:c>
      <x:c r="I1254" s="84" t="str">
        <x:v>HOME-006</x:v>
      </x:c>
      <x:c r="J1254" s="86" t="n">
        <x:v>1</x:v>
      </x:c>
      <x:c r="K1254" s="87" t="n">
        <x:v>0.05</x:v>
      </x:c>
      <x:c r="L1254" s="84" t="str">
        <x:v>Completed</x:v>
      </x:c>
      <x:c r="M1254" s="84" t="str">
        <x:v>Debit Card</x:v>
      </x:c>
      <x:c r="N1254" s="84" t="str">
        <x:v>Noah Reed</x:v>
      </x:c>
      <x:c r="O1254" s="85" t="n">
        <x:v>45705</x:v>
      </x:c>
      <x:c r="P1254" s="84" t="str">
        <x:v>WEB_2025_02</x:v>
      </x:c>
      <x:c r="Q1254" s="84" t="str">
        <x:v>Food Storage Set</x:v>
      </x:c>
      <x:c r="R1254" s="84" t="str">
        <x:v> HOME &amp; KITCHEN </x:v>
      </x:c>
    </x:row>
    <x:row r="1255">
      <x:c r="A1255" s="84" t="str">
        <x:v>ORD-2025-02356</x:v>
      </x:c>
      <x:c r="B1255" s="85" t="n">
        <x:v>45702</x:v>
      </x:c>
      <x:c r="C1255" s="84" t="str">
        <x:v>CUST-0104</x:v>
      </x:c>
      <x:c r="D1255" s="84" t="str">
        <x:v>Isaac Nelson</x:v>
      </x:c>
      <x:c r="E1255" s="84" t="str">
        <x:v>Consumer</x:v>
      </x:c>
      <x:c r="F1255" s="84" t="str">
        <x:v>Northeast </x:v>
      </x:c>
      <x:c r="G1255" s="84" t="str">
        <x:v> BOSTON </x:v>
      </x:c>
      <x:c r="H1255" s="84" t="str">
        <x:v>Online</x:v>
      </x:c>
      <x:c r="I1255" s="84" t="str">
        <x:v>ELEC-001</x:v>
      </x:c>
      <x:c r="J1255" s="86" t="n">
        <x:v>1</x:v>
      </x:c>
      <x:c r="K1255" s="87" t="n">
        <x:v>0</x:v>
      </x:c>
      <x:c r="L1255" s="84" t="str">
        <x:v>Completed</x:v>
      </x:c>
      <x:c r="M1255" s="84" t="str">
        <x:v>Debit Card</x:v>
      </x:c>
      <x:c r="N1255" s="84" t="str">
        <x:v>ethan cole</x:v>
      </x:c>
      <x:c r="O1255" s="85" t="n">
        <x:v>45705</x:v>
      </x:c>
      <x:c r="P1255" s="84" t="str">
        <x:v>WEB_2025_02</x:v>
      </x:c>
      <x:c r="Q1255" s="84" t="str">
        <x:v>Wireless Earbuds</x:v>
      </x:c>
      <x:c r="R1255" s="84" t="str">
        <x:v>Electronics</x:v>
      </x:c>
    </x:row>
    <x:row r="1256">
      <x:c r="A1256" s="84" t="str">
        <x:v>ORD-2025-02395</x:v>
      </x:c>
      <x:c r="B1256" s="85" t="n">
        <x:v>45702</x:v>
      </x:c>
      <x:c r="C1256" s="84" t="str">
        <x:v>CUST-0201</x:v>
      </x:c>
      <x:c r="D1256" s="84" t="str">
        <x:v>Chloe Evans</x:v>
      </x:c>
      <x:c r="E1256" s="84" t="str">
        <x:v>Corporate</x:v>
      </x:c>
      <x:c r="F1256" s="84" t="str">
        <x:v>southeast</x:v>
      </x:c>
      <x:c r="G1256" s="84" t="str">
        <x:v>Atlanta</x:v>
      </x:c>
      <x:c r="H1256" s="84" t="str">
        <x:v>Online</x:v>
      </x:c>
      <x:c r="I1256" s="84" t="str">
        <x:v>HOME-005</x:v>
      </x:c>
      <x:c r="J1256" s="86" t="n">
        <x:v>5</x:v>
      </x:c>
      <x:c r="K1256" s="87" t="n">
        <x:v>0.15</x:v>
      </x:c>
      <x:c r="L1256" s="84" t="str">
        <x:v>Completed</x:v>
      </x:c>
      <x:c r="M1256" s="84" t="str">
        <x:v>Credit Card</x:v>
      </x:c>
      <x:c r="N1256" s="84" t="str">
        <x:v>Ava Mitchell</x:v>
      </x:c>
      <x:c r="O1256" s="85" t="n">
        <x:v>45704</x:v>
      </x:c>
      <x:c r="P1256" s="84" t="str">
        <x:v>WEB_2025_02</x:v>
      </x:c>
      <x:c r="Q1256" s="84" t="str">
        <x:v>Cordless Vacuum </x:v>
      </x:c>
      <x:c r="R1256" s="84" t="str">
        <x:v> HOME &amp; KITCHEN </x:v>
      </x:c>
    </x:row>
    <x:row r="1257">
      <x:c r="A1257" s="84" t="str">
        <x:v>ORD-2025-00609</x:v>
      </x:c>
      <x:c r="B1257" s="85" t="n">
        <x:v>45704</x:v>
      </x:c>
      <x:c r="C1257" s="84" t="str">
        <x:v>CUST-0007</x:v>
      </x:c>
      <x:c r="D1257" s="84" t="str">
        <x:v> OWEN ROBERTS </x:v>
      </x:c>
      <x:c r="E1257" s="84" t="str">
        <x:v>Consumer </x:v>
      </x:c>
      <x:c r="F1257" s="84" t="str">
        <x:v> NORTHEAST </x:v>
      </x:c>
      <x:c r="G1257" s="84" t="str">
        <x:v>newark</x:v>
      </x:c>
      <x:c r="H1257" s="84" t="str">
        <x:v>Retail Store</x:v>
      </x:c>
      <x:c r="I1257" s="84" t="str">
        <x:v>FITN-004</x:v>
      </x:c>
      <x:c r="J1257" s="86" t="n">
        <x:v>1</x:v>
      </x:c>
      <x:c r="K1257" s="87" t="n">
        <x:v>0.1</x:v>
      </x:c>
      <x:c r="L1257" s="84" t="str">
        <x:v>completed</x:v>
      </x:c>
      <x:c r="M1257" s="84" t="str">
        <x:v>Mobile Wallet</x:v>
      </x:c>
      <x:c r="N1257" s="84" t="str">
        <x:v>Maya Brooks</x:v>
      </x:c>
      <x:c r="O1257" s="85" t="n">
        <x:v>45704</x:v>
      </x:c>
      <x:c r="P1257" s="84" t="str">
        <x:v>POS_2025_02</x:v>
      </x:c>
      <x:c r="Q1257" s="84" t="str">
        <x:v>Fitness Tracker</x:v>
      </x:c>
      <x:c r="R1257" s="84" t="str">
        <x:v>Fitness</x:v>
      </x:c>
    </x:row>
    <x:row r="1258">
      <x:c r="A1258" s="84" t="str">
        <x:v>ORD-2025-01154</x:v>
      </x:c>
      <x:c r="B1258" s="85" t="n">
        <x:v>45704</x:v>
      </x:c>
      <x:c r="C1258" s="84" t="str">
        <x:v>CUST-0030</x:v>
      </x:c>
      <x:c r="D1258" s="84" t="str">
        <x:v>Owen Patel</x:v>
      </x:c>
      <x:c r="E1258" s="84" t="str">
        <x:v>Corporate</x:v>
      </x:c>
      <x:c r="F1258" s="84" t="str">
        <x:v>Southeast</x:v>
      </x:c>
      <x:c r="G1258" s="84" t="str">
        <x:v>Charlotte</x:v>
      </x:c>
      <x:c r="H1258" s="84" t="str">
        <x:v>Retail Store</x:v>
      </x:c>
      <x:c r="I1258" s="84" t="str">
        <x:v>OFFC-001</x:v>
      </x:c>
      <x:c r="J1258" s="86" t="n">
        <x:v>2</x:v>
      </x:c>
      <x:c r="K1258" s="87" t="n">
        <x:v>0.1</x:v>
      </x:c>
      <x:c r="L1258" s="84" t="str">
        <x:v>Completed </x:v>
      </x:c>
      <x:c r="M1258" s="84" t="str">
        <x:v>credit card</x:v>
      </x:c>
      <x:c r="N1258" s="84" t="str">
        <x:v>Liam Parker</x:v>
      </x:c>
      <x:c r="O1258" s="85" t="n">
        <x:v>45704</x:v>
      </x:c>
      <x:c r="P1258" s="84" t="str">
        <x:v>POS_2025_02</x:v>
      </x:c>
      <x:c r="Q1258" s="84" t="str">
        <x:v>Ergonomic Chair</x:v>
      </x:c>
      <x:c r="R1258" s="84" t="str">
        <x:v> OFFICE </x:v>
      </x:c>
    </x:row>
    <x:row r="1259">
      <x:c r="A1259" s="84" t="str">
        <x:v>ORD-2025-00285</x:v>
      </x:c>
      <x:c r="B1259" s="85" t="n">
        <x:v>45705</x:v>
      </x:c>
      <x:c r="C1259" s="84" t="str">
        <x:v>CUST-0336</x:v>
      </x:c>
      <x:c r="D1259" s="84" t="str">
        <x:v>Jonah Garcia </x:v>
      </x:c>
      <x:c r="E1259" s="84" t="str">
        <x:v>Consumer</x:v>
      </x:c>
      <x:c r="F1259" s="84" t="str">
        <x:v>West</x:v>
      </x:c>
      <x:c r="G1259" s="84" t="str">
        <x:v>Phoenix</x:v>
      </x:c>
      <x:c r="H1259" s="84" t="str">
        <x:v>Retail Store</x:v>
      </x:c>
      <x:c r="I1259" s="84" t="str">
        <x:v>ELEC-006</x:v>
      </x:c>
      <x:c r="J1259" s="86" t="n">
        <x:v>2</x:v>
      </x:c>
      <x:c r="K1259" s="87" t="n">
        <x:v>0</x:v>
      </x:c>
      <x:c r="L1259" s="84" t="str">
        <x:v>Returned</x:v>
      </x:c>
      <x:c r="M1259" s="84" t="str">
        <x:v>credit card</x:v>
      </x:c>
      <x:c r="N1259" s="84" t="str">
        <x:v>Leo Martinez</x:v>
      </x:c>
      <x:c r="O1259" s="85" t="n">
        <x:v>45705</x:v>
      </x:c>
      <x:c r="P1259" s="84" t="str">
        <x:v>POS_2025_02</x:v>
      </x:c>
      <x:c r="Q1259" s="84" t="str">
        <x:v>Portable SSD</x:v>
      </x:c>
      <x:c r="R1259" s="84" t="str">
        <x:v>Electronics</x:v>
      </x:c>
    </x:row>
    <x:row r="1260">
      <x:c r="A1260" s="84" t="str">
        <x:v>ORD-2025-00721</x:v>
      </x:c>
      <x:c r="B1260" s="85" t="n">
        <x:v>45705</x:v>
      </x:c>
      <x:c r="C1260" s="84" t="str">
        <x:v>CUST-0386</x:v>
      </x:c>
      <x:c r="D1260" s="84" t="str">
        <x:v>Marcus Foster</x:v>
      </x:c>
      <x:c r="E1260" s="84" t="str">
        <x:v>Small Business </x:v>
      </x:c>
      <x:c r="F1260" s="84" t="str">
        <x:v>Southeast</x:v>
      </x:c>
      <x:c r="G1260" s="84" t="str">
        <x:v>Miami </x:v>
      </x:c>
      <x:c r="H1260" s="84" t="str">
        <x:v>Marketplace</x:v>
      </x:c>
      <x:c r="I1260" s="84" t="str">
        <x:v>ACCS-001</x:v>
      </x:c>
      <x:c r="J1260" s="86" t="n">
        <x:v>1</x:v>
      </x:c>
      <x:c r="K1260" s="87" t="n">
        <x:v>0</x:v>
      </x:c>
      <x:c r="L1260" s="84" t="str">
        <x:v>Completed</x:v>
      </x:c>
      <x:c r="M1260" s="84" t="str">
        <x:v>Credit Card</x:v>
      </x:c>
      <x:c r="N1260" s="84" t="str">
        <x:v>Noah Reed</x:v>
      </x:c>
      <x:c r="O1260" s="85" t="n">
        <x:v>45710</x:v>
      </x:c>
      <x:c r="P1260" s="84" t="str">
        <x:v>MKT_2025_02</x:v>
      </x:c>
      <x:c r="Q1260" s="84" t="str">
        <x:v>Canvas Tote Bag</x:v>
      </x:c>
      <x:c r="R1260" s="84" t="str">
        <x:v>Accessories</x:v>
      </x:c>
    </x:row>
    <x:row r="1261">
      <x:c r="A1261" s="84" t="str">
        <x:v>ORD-2025-00745</x:v>
      </x:c>
      <x:c r="B1261" s="85" t="n">
        <x:v>45705</x:v>
      </x:c>
      <x:c r="C1261" s="84" t="str">
        <x:v>CUST-0606</x:v>
      </x:c>
      <x:c r="D1261" s="84" t="str">
        <x:v> ISAAC TAYLOR </x:v>
      </x:c>
      <x:c r="E1261" s="84" t="str">
        <x:v>Corporate</x:v>
      </x:c>
      <x:c r="F1261" s="84" t="str">
        <x:v> SOUTHEAST </x:v>
      </x:c>
      <x:c r="G1261" s="84" t="str">
        <x:v>Charlotte</x:v>
      </x:c>
      <x:c r="H1261" s="84" t="str">
        <x:v>Online </x:v>
      </x:c>
      <x:c r="I1261" s="84" t="str">
        <x:v>CARE-004</x:v>
      </x:c>
      <x:c r="J1261" s="86" t="n">
        <x:v>2</x:v>
      </x:c>
      <x:c r="K1261" s="87" t="n">
        <x:v>0</x:v>
      </x:c>
      <x:c r="L1261" s="84" t="str">
        <x:v>Completed</x:v>
      </x:c>
      <x:c r="M1261" s="84" t="str">
        <x:v>Credit Card</x:v>
      </x:c>
      <x:c r="N1261" s="84" t="str">
        <x:v>Liam Parker</x:v>
      </x:c>
      <x:c r="O1261" s="85" t="n">
        <x:v>45708</x:v>
      </x:c>
      <x:c r="P1261" s="84" t="str">
        <x:v>WEB_2025_02</x:v>
      </x:c>
      <x:c r="Q1261" s="84" t="str">
        <x:v>Electric Toothbrush</x:v>
      </x:c>
      <x:c r="R1261" s="84" t="str">
        <x:v>Personal Care</x:v>
      </x:c>
    </x:row>
    <x:row r="1262">
      <x:c r="A1262" s="84" t="str">
        <x:v>ORD-2025-01468</x:v>
      </x:c>
      <x:c r="B1262" s="85" t="n">
        <x:v>45705</x:v>
      </x:c>
      <x:c r="C1262" s="84" t="str">
        <x:v>CUST-0581</x:v>
      </x:c>
      <x:c r="D1262" s="84" t="str">
        <x:v>Grace Lewis </x:v>
      </x:c>
      <x:c r="E1262" s="84" t="str">
        <x:v>Consumer</x:v>
      </x:c>
      <x:c r="F1262" s="84" t="str">
        <x:v>West</x:v>
      </x:c>
      <x:c r="G1262" s="84" t="str">
        <x:v>Phoenix</x:v>
      </x:c>
      <x:c r="H1262" s="84" t="str">
        <x:v> MARKETPLACE </x:v>
      </x:c>
      <x:c r="I1262" s="84" t="str">
        <x:v>OFFC-004</x:v>
      </x:c>
      <x:c r="J1262" s="86" t="n">
        <x:v>1</x:v>
      </x:c>
      <x:c r="K1262" s="87" t="n">
        <x:v>0.1</x:v>
      </x:c>
      <x:c r="L1262" s="84" t="str">
        <x:v>Completed</x:v>
      </x:c>
      <x:c r="M1262" s="84" t="str">
        <x:v>Credit Card </x:v>
      </x:c>
      <x:c r="N1262" s="84" t="str">
        <x:v>Leo Martinez</x:v>
      </x:c>
      <x:c r="O1262" s="85" t="n">
        <x:v>45713</x:v>
      </x:c>
      <x:c r="P1262" s="84" t="str">
        <x:v>MKT_2025_02</x:v>
      </x:c>
      <x:c r="Q1262" s="84" t="str">
        <x:v>Premium Notebook Pack</x:v>
      </x:c>
      <x:c r="R1262" s="84" t="str">
        <x:v>Office</x:v>
      </x:c>
    </x:row>
    <x:row r="1263">
      <x:c r="A1263" s="84" t="str">
        <x:v>ORD-2025-01776</x:v>
      </x:c>
      <x:c r="B1263" s="85" t="n">
        <x:v>45705</x:v>
      </x:c>
      <x:c r="C1263" s="84" t="str">
        <x:v>CUST-0166</x:v>
      </x:c>
      <x:c r="D1263" s="84" t="str">
        <x:v>Marcus Young </x:v>
      </x:c>
      <x:c r="E1263" s="84" t="str">
        <x:v>Consumer</x:v>
      </x:c>
      <x:c r="F1263" s="84" t="str">
        <x:v>West</x:v>
      </x:c>
      <x:c r="G1263" s="84" t="str">
        <x:v>Phoenix</x:v>
      </x:c>
      <x:c r="H1263" s="84" t="str">
        <x:v>Online</x:v>
      </x:c>
      <x:c r="I1263" s="84" t="str">
        <x:v>CARE-004</x:v>
      </x:c>
      <x:c r="J1263" s="86" t="n">
        <x:v>1</x:v>
      </x:c>
      <x:c r="K1263" s="87" t="n">
        <x:v>0.05</x:v>
      </x:c>
      <x:c r="L1263" s="84" t="str">
        <x:v>Completed</x:v>
      </x:c>
      <x:c r="M1263" s="84" t="str">
        <x:v>Credit Card </x:v>
      </x:c>
      <x:c r="N1263" s="84" t="str">
        <x:v>Nora Kim</x:v>
      </x:c>
      <x:c r="O1263" s="85" t="n">
        <x:v>45710</x:v>
      </x:c>
      <x:c r="P1263" s="84" t="str">
        <x:v>WEB_2025_02</x:v>
      </x:c>
      <x:c r="Q1263" s="84" t="str">
        <x:v>Electric Toothbrush</x:v>
      </x:c>
      <x:c r="R1263" s="84" t="str">
        <x:v>Personal Care</x:v>
      </x:c>
    </x:row>
    <x:row r="1264">
      <x:c r="A1264" s="84" t="str">
        <x:v>ORD-2025-01787</x:v>
      </x:c>
      <x:c r="B1264" s="85" t="n">
        <x:v>45705</x:v>
      </x:c>
      <x:c r="C1264" s="84" t="str">
        <x:v>CUST-0112</x:v>
      </x:c>
      <x:c r="D1264" s="84" t="str">
        <x:v>Victoria Patel</x:v>
      </x:c>
      <x:c r="E1264" s="84" t="str">
        <x:v>Consumer</x:v>
      </x:c>
      <x:c r="F1264" s="84" t="str">
        <x:v>Southeast</x:v>
      </x:c>
      <x:c r="G1264" s="84" t="str">
        <x:v>Miami</x:v>
      </x:c>
      <x:c r="H1264" s="84" t="str">
        <x:v>Online</x:v>
      </x:c>
      <x:c r="I1264" s="84" t="str">
        <x:v>FITN-005</x:v>
      </x:c>
      <x:c r="J1264" s="86" t="n">
        <x:v>1</x:v>
      </x:c>
      <x:c r="K1264" s="87" t="n">
        <x:v>0.1</x:v>
      </x:c>
      <x:c r="L1264" s="84" t="str">
        <x:v>Completed</x:v>
      </x:c>
      <x:c r="M1264" s="84" t="str">
        <x:v>Mobile Wallet</x:v>
      </x:c>
      <x:c r="N1264" s="84" t="str">
        <x:v>Ava Mitchell</x:v>
      </x:c>
      <x:c r="O1264" s="85" t="n">
        <x:v>45708</x:v>
      </x:c>
      <x:c r="P1264" s="84" t="str">
        <x:v>WEB_2025_02</x:v>
      </x:c>
      <x:c r="Q1264" s="84" t="str">
        <x:v>Sports Water Bottle</x:v>
      </x:c>
      <x:c r="R1264" s="84" t="str">
        <x:v>Fitness </x:v>
      </x:c>
    </x:row>
    <x:row r="1265">
      <x:c r="A1265" s="84" t="str">
        <x:v>ORD-2025-02011</x:v>
      </x:c>
      <x:c r="B1265" s="85" t="n">
        <x:v>45705</x:v>
      </x:c>
      <x:c r="C1265" s="84" t="str">
        <x:v>CUST-0314</x:v>
      </x:c>
      <x:c r="D1265" s="84" t="str">
        <x:v>Chloe Young</x:v>
      </x:c>
      <x:c r="E1265" s="84" t="str">
        <x:v>Small Business</x:v>
      </x:c>
      <x:c r="F1265" s="84" t="str">
        <x:v>Midwest</x:v>
      </x:c>
      <x:c r="G1265" s="84" t="str">
        <x:v>Detroit</x:v>
      </x:c>
      <x:c r="H1265" s="84" t="str">
        <x:v>Retail Store</x:v>
      </x:c>
      <x:c r="I1265" s="84" t="str">
        <x:v>ACCS-003</x:v>
      </x:c>
      <x:c r="J1265" s="86" t="n">
        <x:v>3</x:v>
      </x:c>
      <x:c r="K1265" s="87" t="n">
        <x:v>0.1</x:v>
      </x:c>
      <x:c r="L1265" s="84" t="str">
        <x:v> COMPLETED </x:v>
      </x:c>
      <x:c r="M1265" s="84" t="str">
        <x:v>Credit Card</x:v>
      </x:c>
      <x:c r="N1265" s="84" t="str">
        <x:v>Lucas Grant</x:v>
      </x:c>
      <x:c r="O1265" s="85" t="n">
        <x:v>45705</x:v>
      </x:c>
      <x:c r="P1265" s="84" t="str">
        <x:v>POS_2025_02</x:v>
      </x:c>
      <x:c r="Q1265" s="84" t="str">
        <x:v>polarized sunglasses</x:v>
      </x:c>
      <x:c r="R1265" s="84" t="str">
        <x:v>Accessories </x:v>
      </x:c>
    </x:row>
    <x:row r="1266">
      <x:c r="A1266" s="84" t="str">
        <x:v>ORD-2025-00291</x:v>
      </x:c>
      <x:c r="B1266" s="85" t="n">
        <x:v>45706</x:v>
      </x:c>
      <x:c r="C1266" s="84" t="str">
        <x:v>CUST-0250</x:v>
      </x:c>
      <x:c r="D1266" s="84" t="str">
        <x:v>Theo Young</x:v>
      </x:c>
      <x:c r="E1266" s="84" t="str">
        <x:v>Corporate</x:v>
      </x:c>
      <x:c r="F1266" s="84" t="str">
        <x:v>Northeast </x:v>
      </x:c>
      <x:c r="G1266" s="84" t="str">
        <x:v>Philadelphia</x:v>
      </x:c>
      <x:c r="H1266" s="84" t="str">
        <x:v>Retail Store</x:v>
      </x:c>
      <x:c r="I1266" s="84" t="str">
        <x:v>FITN-006</x:v>
      </x:c>
      <x:c r="J1266" s="86" t="n">
        <x:v>5</x:v>
      </x:c>
      <x:c r="K1266" s="87" t="n">
        <x:v>0</x:v>
      </x:c>
      <x:c r="L1266" s="84" t="str">
        <x:v>Completed</x:v>
      </x:c>
      <x:c r="M1266" s="84" t="str">
        <x:v>Credit Card</x:v>
      </x:c>
      <x:c r="N1266" s="84" t="str">
        <x:v>Maya Brooks </x:v>
      </x:c>
      <x:c r="O1266" s="85" t="n">
        <x:v>45706</x:v>
      </x:c>
      <x:c r="P1266" s="84" t="str">
        <x:v>POS_2025_02</x:v>
      </x:c>
      <x:c r="Q1266" s="84" t="str">
        <x:v>Foam Roller</x:v>
      </x:c>
      <x:c r="R1266" s="84" t="str">
        <x:v>Fitness</x:v>
      </x:c>
    </x:row>
    <x:row r="1267">
      <x:c r="A1267" s="84" t="str">
        <x:v>ORD-2025-01489</x:v>
      </x:c>
      <x:c r="B1267" s="85" t="n">
        <x:v>45707</x:v>
      </x:c>
      <x:c r="C1267" s="84" t="str">
        <x:v>CUST-0290</x:v>
      </x:c>
      <x:c r="D1267" s="84" t="str">
        <x:v>Nathan Baker </x:v>
      </x:c>
      <x:c r="E1267" s="84" t="str">
        <x:v>Consumer</x:v>
      </x:c>
      <x:c r="F1267" s="84" t="str">
        <x:v>West</x:v>
      </x:c>
      <x:c r="G1267" s="84" t="str">
        <x:v> DENVER </x:v>
      </x:c>
      <x:c r="H1267" s="84" t="str">
        <x:v>Retail Store</x:v>
      </x:c>
      <x:c r="I1267" s="84" t="str">
        <x:v>HOME-006</x:v>
      </x:c>
      <x:c r="J1267" s="86" t="n">
        <x:v>1</x:v>
      </x:c>
      <x:c r="K1267" s="87" t="n">
        <x:v>0</x:v>
      </x:c>
      <x:c r="L1267" s="84" t="str">
        <x:v>completed</x:v>
      </x:c>
      <x:c r="M1267" s="84" t="str">
        <x:v>Credit Card </x:v>
      </x:c>
      <x:c r="N1267" s="84" t="str">
        <x:v>Nora Kim</x:v>
      </x:c>
      <x:c r="O1267" s="85" t="n">
        <x:v>45707</x:v>
      </x:c>
      <x:c r="P1267" s="84" t="str">
        <x:v>POS_2025_02</x:v>
      </x:c>
      <x:c r="Q1267" s="84" t="str">
        <x:v>Food Storage Set</x:v>
      </x:c>
      <x:c r="R1267" s="84" t="str">
        <x:v>Home &amp; Kitchen</x:v>
      </x:c>
    </x:row>
    <x:row r="1268">
      <x:c r="A1268" s="84" t="str">
        <x:v>ORD-2025-02205</x:v>
      </x:c>
      <x:c r="B1268" s="85" t="n">
        <x:v>45707</x:v>
      </x:c>
      <x:c r="C1268" s="84" t="str">
        <x:v>CUST-0400</x:v>
      </x:c>
      <x:c r="D1268" s="84" t="str">
        <x:v>Amelia Nelson</x:v>
      </x:c>
      <x:c r="E1268" s="84" t="str">
        <x:v>Consumer </x:v>
      </x:c>
      <x:c r="F1268" s="84" t="str">
        <x:v>Southeast</x:v>
      </x:c>
      <x:c r="G1268" s="84" t="str">
        <x:v>Nashville </x:v>
      </x:c>
      <x:c r="H1268" s="84" t="str">
        <x:v>Retail Store</x:v>
      </x:c>
      <x:c r="I1268" s="84" t="str">
        <x:v>ACCS-005</x:v>
      </x:c>
      <x:c r="J1268" s="86" t="n">
        <x:v>1</x:v>
      </x:c>
      <x:c r="K1268" s="87" t="n">
        <x:v>0.05</x:v>
      </x:c>
      <x:c r="L1268" s="84" t="str">
        <x:v>Completed</x:v>
      </x:c>
      <x:c r="M1268" s="84" t="str">
        <x:v>Debit Card</x:v>
      </x:c>
      <x:c r="N1268" s="84" t="str">
        <x:v>Liam Parker</x:v>
      </x:c>
      <x:c r="O1268" s="85" t="n">
        <x:v>45707</x:v>
      </x:c>
      <x:c r="P1268" s="84" t="str">
        <x:v>POS_2025_02</x:v>
      </x:c>
      <x:c r="Q1268" s="84" t="str">
        <x:v>Protective Phone Case</x:v>
      </x:c>
      <x:c r="R1268" s="84" t="str">
        <x:v>Accessories</x:v>
      </x:c>
    </x:row>
    <x:row r="1269">
      <x:c r="A1269" s="84" t="str">
        <x:v>ORD-2025-00366</x:v>
      </x:c>
      <x:c r="B1269" s="85" t="n">
        <x:v>45708</x:v>
      </x:c>
      <x:c r="C1269" s="84" t="str">
        <x:v>CUST-0318</x:v>
      </x:c>
      <x:c r="D1269" s="84" t="str">
        <x:v>Theo Baker</x:v>
      </x:c>
      <x:c r="E1269" s="84" t="str"/>
      <x:c r="F1269" s="84" t="str">
        <x:v>Midwest</x:v>
      </x:c>
      <x:c r="G1269" s="84" t="str">
        <x:v>Detroit</x:v>
      </x:c>
      <x:c r="H1269" s="84" t="str">
        <x:v>Online</x:v>
      </x:c>
      <x:c r="I1269" s="84" t="str">
        <x:v>ACCS-002</x:v>
      </x:c>
      <x:c r="J1269" s="86" t="n">
        <x:v>1</x:v>
      </x:c>
      <x:c r="K1269" s="87" t="n">
        <x:v>0.05</x:v>
      </x:c>
      <x:c r="L1269" s="84" t="str">
        <x:v>Completed</x:v>
      </x:c>
      <x:c r="M1269" s="84" t="str">
        <x:v>Debit Card</x:v>
      </x:c>
      <x:c r="N1269" s="84" t="str">
        <x:v>Emma Hayes</x:v>
      </x:c>
      <x:c r="O1269" s="85" t="n">
        <x:v>45710</x:v>
      </x:c>
      <x:c r="P1269" s="84" t="str">
        <x:v>WEB_2025_02</x:v>
      </x:c>
      <x:c r="Q1269" s="84" t="str">
        <x:v>Travel Backpack</x:v>
      </x:c>
      <x:c r="R1269" s="84" t="str">
        <x:v>accessories</x:v>
      </x:c>
    </x:row>
    <x:row r="1270">
      <x:c r="A1270" s="84" t="str">
        <x:v>ORD-2025-01616</x:v>
      </x:c>
      <x:c r="B1270" s="85" t="n">
        <x:v>45708</x:v>
      </x:c>
      <x:c r="C1270" s="84" t="str">
        <x:v>CUST-0312</x:v>
      </x:c>
      <x:c r="D1270" s="84" t="str">
        <x:v>Theo Carter</x:v>
      </x:c>
      <x:c r="E1270" s="84" t="str">
        <x:v>Small Business</x:v>
      </x:c>
      <x:c r="F1270" s="84" t="str">
        <x:v>Southeast</x:v>
      </x:c>
      <x:c r="G1270" s="84" t="str">
        <x:v>Atlanta</x:v>
      </x:c>
      <x:c r="H1270" s="84" t="str">
        <x:v>Retail Store</x:v>
      </x:c>
      <x:c r="I1270" s="84" t="str">
        <x:v>CARE-004</x:v>
      </x:c>
      <x:c r="J1270" s="86" t="n">
        <x:v>2</x:v>
      </x:c>
      <x:c r="K1270" s="87" t="n">
        <x:v>0</x:v>
      </x:c>
      <x:c r="L1270" s="84" t="str">
        <x:v>Completed </x:v>
      </x:c>
      <x:c r="M1270" s="84" t="str">
        <x:v>debit card</x:v>
      </x:c>
      <x:c r="N1270" s="84" t="str">
        <x:v>Noah Reed</x:v>
      </x:c>
      <x:c r="O1270" s="85" t="n">
        <x:v>45709</x:v>
      </x:c>
      <x:c r="P1270" s="84" t="str">
        <x:v>POS_2025_02</x:v>
      </x:c>
      <x:c r="Q1270" s="84" t="str">
        <x:v>Electric Toothbrush</x:v>
      </x:c>
      <x:c r="R1270" s="84" t="str">
        <x:v>Personal Care</x:v>
      </x:c>
    </x:row>
    <x:row r="1271">
      <x:c r="A1271" s="84" t="str">
        <x:v>ORD-2025-02278</x:v>
      </x:c>
      <x:c r="B1271" s="85" t="n">
        <x:v>45708</x:v>
      </x:c>
      <x:c r="C1271" s="84" t="str">
        <x:v>CUST-0611</x:v>
      </x:c>
      <x:c r="D1271" s="84" t="str">
        <x:v>Aiden Irwin</x:v>
      </x:c>
      <x:c r="E1271" s="84" t="str">
        <x:v> CORPORATE </x:v>
      </x:c>
      <x:c r="F1271" s="84" t="str">
        <x:v>Midwest</x:v>
      </x:c>
      <x:c r="G1271" s="84" t="str">
        <x:v>Chicago</x:v>
      </x:c>
      <x:c r="H1271" s="84" t="str">
        <x:v>Marketplace </x:v>
      </x:c>
      <x:c r="I1271" s="84" t="str">
        <x:v>FITN-004</x:v>
      </x:c>
      <x:c r="J1271" s="86" t="n">
        <x:v>2</x:v>
      </x:c>
      <x:c r="K1271" s="87" t="n">
        <x:v>0</x:v>
      </x:c>
      <x:c r="L1271" s="84" t="str">
        <x:v>Completed</x:v>
      </x:c>
      <x:c r="M1271" s="84" t="str">
        <x:v>Credit Card</x:v>
      </x:c>
      <x:c r="N1271" s="84" t="str">
        <x:v>Emma Hayes</x:v>
      </x:c>
      <x:c r="O1271" s="85" t="n">
        <x:v>45713</x:v>
      </x:c>
      <x:c r="P1271" s="84" t="str">
        <x:v>MKT_2025_02</x:v>
      </x:c>
      <x:c r="Q1271" s="84" t="str">
        <x:v>Fitness Tracker</x:v>
      </x:c>
      <x:c r="R1271" s="84" t="str">
        <x:v>Fitness</x:v>
      </x:c>
    </x:row>
    <x:row r="1272">
      <x:c r="A1272" s="84" t="str">
        <x:v>ORD-2025-00923</x:v>
      </x:c>
      <x:c r="B1272" s="85" t="n">
        <x:v>45709</x:v>
      </x:c>
      <x:c r="C1272" s="84" t="str">
        <x:v>CUST-0628</x:v>
      </x:c>
      <x:c r="D1272" s="84" t="str">
        <x:v>Isaac Young</x:v>
      </x:c>
      <x:c r="E1272" s="84" t="str">
        <x:v>Small Business</x:v>
      </x:c>
      <x:c r="F1272" s="84" t="str">
        <x:v>West</x:v>
      </x:c>
      <x:c r="G1272" s="84" t="str">
        <x:v>Denver</x:v>
      </x:c>
      <x:c r="H1272" s="84" t="str">
        <x:v>Online</x:v>
      </x:c>
      <x:c r="I1272" s="84" t="str">
        <x:v>CARE-003</x:v>
      </x:c>
      <x:c r="J1272" s="86" t="n">
        <x:v>2</x:v>
      </x:c>
      <x:c r="K1272" s="87" t="n">
        <x:v>0.05</x:v>
      </x:c>
      <x:c r="L1272" s="84" t="str">
        <x:v> COMPLETED </x:v>
      </x:c>
      <x:c r="M1272" s="84" t="str">
        <x:v>credit card</x:v>
      </x:c>
      <x:c r="N1272" s="84" t="str">
        <x:v>Nora Kim</x:v>
      </x:c>
      <x:c r="O1272" s="85" t="n">
        <x:v>45711</x:v>
      </x:c>
      <x:c r="P1272" s="84" t="str">
        <x:v>WEB_2025_02</x:v>
      </x:c>
      <x:c r="Q1272" s="84" t="str">
        <x:v>Facial Cleanser</x:v>
      </x:c>
      <x:c r="R1272" s="84" t="str">
        <x:v>Personal Care</x:v>
      </x:c>
    </x:row>
    <x:row r="1273">
      <x:c r="A1273" s="84" t="str">
        <x:v>ORD-2025-01401</x:v>
      </x:c>
      <x:c r="B1273" s="85" t="n">
        <x:v>45709</x:v>
      </x:c>
      <x:c r="C1273" s="84" t="str">
        <x:v>CUST-0310</x:v>
      </x:c>
      <x:c r="D1273" s="84" t="str">
        <x:v>Marcus Patel</x:v>
      </x:c>
      <x:c r="E1273" s="84" t="str">
        <x:v>Consumer</x:v>
      </x:c>
      <x:c r="F1273" s="84" t="str">
        <x:v>Midwest</x:v>
      </x:c>
      <x:c r="G1273" s="84" t="str">
        <x:v>columbus</x:v>
      </x:c>
      <x:c r="H1273" s="84" t="str">
        <x:v>Marketplace</x:v>
      </x:c>
      <x:c r="I1273" s="84" t="str">
        <x:v>ACCS-002</x:v>
      </x:c>
      <x:c r="J1273" s="86" t="n">
        <x:v>2</x:v>
      </x:c>
      <x:c r="K1273" s="87" t="n">
        <x:v>0.05</x:v>
      </x:c>
      <x:c r="L1273" s="84" t="str">
        <x:v>completed</x:v>
      </x:c>
      <x:c r="M1273" s="84" t="str">
        <x:v>Credit Card</x:v>
      </x:c>
      <x:c r="N1273" s="84" t="str">
        <x:v>Emma Hayes</x:v>
      </x:c>
      <x:c r="O1273" s="85" t="n">
        <x:v>45717</x:v>
      </x:c>
      <x:c r="P1273" s="84" t="str">
        <x:v>MKT_2025_02</x:v>
      </x:c>
      <x:c r="Q1273" s="84" t="str">
        <x:v>Travel Backpack </x:v>
      </x:c>
      <x:c r="R1273" s="84" t="str">
        <x:v>Accessories</x:v>
      </x:c>
    </x:row>
    <x:row r="1274">
      <x:c r="A1274" s="84" t="str">
        <x:v>ORD-2025-01487</x:v>
      </x:c>
      <x:c r="B1274" s="85" t="n">
        <x:v>45709</x:v>
      </x:c>
      <x:c r="C1274" s="84" t="str">
        <x:v>CUST-0304</x:v>
      </x:c>
      <x:c r="D1274" s="84" t="str">
        <x:v>Isaac Carter</x:v>
      </x:c>
      <x:c r="E1274" s="84" t="str">
        <x:v>Corporate</x:v>
      </x:c>
      <x:c r="F1274" s="84" t="str">
        <x:v>Northeast</x:v>
      </x:c>
      <x:c r="G1274" s="84" t="str">
        <x:v>New York</x:v>
      </x:c>
      <x:c r="H1274" s="84" t="str">
        <x:v>Marketplace </x:v>
      </x:c>
      <x:c r="I1274" s="84" t="str">
        <x:v>FITN-004</x:v>
      </x:c>
      <x:c r="J1274" s="86" t="n">
        <x:v>3</x:v>
      </x:c>
      <x:c r="K1274" s="87" t="n">
        <x:v>0.15</x:v>
      </x:c>
      <x:c r="L1274" s="84" t="str">
        <x:v>Completed</x:v>
      </x:c>
      <x:c r="M1274" s="84" t="str">
        <x:v>Credit Card</x:v>
      </x:c>
      <x:c r="N1274" s="84" t="str">
        <x:v>maya brooks</x:v>
      </x:c>
      <x:c r="O1274" s="85" t="n">
        <x:v>45717</x:v>
      </x:c>
      <x:c r="P1274" s="84" t="str">
        <x:v>MKT_2025_02</x:v>
      </x:c>
      <x:c r="Q1274" s="84" t="str">
        <x:v>Fitness Tracker</x:v>
      </x:c>
      <x:c r="R1274" s="84" t="str">
        <x:v>Fitness</x:v>
      </x:c>
    </x:row>
    <x:row r="1275">
      <x:c r="A1275" s="84" t="str">
        <x:v>ORD-2025-00194</x:v>
      </x:c>
      <x:c r="B1275" s="85" t="n">
        <x:v>45710</x:v>
      </x:c>
      <x:c r="C1275" s="84" t="str">
        <x:v>CUST-0560</x:v>
      </x:c>
      <x:c r="D1275" s="84" t="str">
        <x:v>sara khan</x:v>
      </x:c>
      <x:c r="E1275" s="84" t="str">
        <x:v>Consumer</x:v>
      </x:c>
      <x:c r="F1275" s="84" t="str">
        <x:v>Northeast</x:v>
      </x:c>
      <x:c r="G1275" s="84" t="str">
        <x:v>Philadelphia</x:v>
      </x:c>
      <x:c r="H1275" s="84" t="str">
        <x:v>Retail Store</x:v>
      </x:c>
      <x:c r="I1275" s="84" t="str">
        <x:v>OFFC-001</x:v>
      </x:c>
      <x:c r="J1275" s="86" t="n">
        <x:v>2</x:v>
      </x:c>
      <x:c r="K1275" s="87" t="n">
        <x:v>0.05</x:v>
      </x:c>
      <x:c r="L1275" s="84" t="str">
        <x:v>Completed</x:v>
      </x:c>
      <x:c r="M1275" s="84" t="str">
        <x:v>Cash </x:v>
      </x:c>
      <x:c r="N1275" s="84" t="str">
        <x:v>Sofia Bennett</x:v>
      </x:c>
      <x:c r="O1275" s="85" t="n">
        <x:v>45710</x:v>
      </x:c>
      <x:c r="P1275" s="84" t="str">
        <x:v>POS_2025_02</x:v>
      </x:c>
      <x:c r="Q1275" s="84" t="str">
        <x:v>Ergonomic Chair</x:v>
      </x:c>
      <x:c r="R1275" s="84" t="str">
        <x:v>Office</x:v>
      </x:c>
    </x:row>
    <x:row r="1276">
      <x:c r="A1276" s="84" t="str">
        <x:v>ORD-2025-01549</x:v>
      </x:c>
      <x:c r="B1276" s="85" t="n">
        <x:v>45710</x:v>
      </x:c>
      <x:c r="C1276" s="84" t="str">
        <x:v>CUST-0155</x:v>
      </x:c>
      <x:c r="D1276" s="84" t="str">
        <x:v>Theo Khan</x:v>
      </x:c>
      <x:c r="E1276" s="84" t="str">
        <x:v>Small Business</x:v>
      </x:c>
      <x:c r="F1276" s="84" t="str">
        <x:v>Southeast</x:v>
      </x:c>
      <x:c r="G1276" s="84" t="str">
        <x:v>Nashville</x:v>
      </x:c>
      <x:c r="H1276" s="84" t="str">
        <x:v>Marketplace</x:v>
      </x:c>
      <x:c r="I1276" s="84" t="str">
        <x:v>HOME-002</x:v>
      </x:c>
      <x:c r="J1276" s="86" t="n">
        <x:v>1</x:v>
      </x:c>
      <x:c r="K1276" s="87" t="n">
        <x:v>0.1</x:v>
      </x:c>
      <x:c r="L1276" s="84" t="str">
        <x:v>Completed</x:v>
      </x:c>
      <x:c r="M1276" s="84" t="str">
        <x:v>Credit Card</x:v>
      </x:c>
      <x:c r="N1276" s="84" t="str">
        <x:v>Liam Parker</x:v>
      </x:c>
      <x:c r="O1276" s="85" t="n">
        <x:v>45716</x:v>
      </x:c>
      <x:c r="P1276" s="84" t="str">
        <x:v>MKT_2025_02</x:v>
      </x:c>
      <x:c r="Q1276" s="84" t="str">
        <x:v>electric kettle</x:v>
      </x:c>
      <x:c r="R1276" s="84" t="str">
        <x:v>Home &amp; Kitchen </x:v>
      </x:c>
    </x:row>
    <x:row r="1277">
      <x:c r="A1277" s="84" t="str">
        <x:v>ORD-2025-01712</x:v>
      </x:c>
      <x:c r="B1277" s="85" t="n">
        <x:v>45710</x:v>
      </x:c>
      <x:c r="C1277" s="84" t="str">
        <x:v>CUST-0504</x:v>
      </x:c>
      <x:c r="D1277" s="84" t="str">
        <x:v>caleb walker</x:v>
      </x:c>
      <x:c r="E1277" s="84" t="str">
        <x:v>Corporate</x:v>
      </x:c>
      <x:c r="F1277" s="84" t="str">
        <x:v>Southeast </x:v>
      </x:c>
      <x:c r="G1277" s="84" t="str">
        <x:v>Atlanta</x:v>
      </x:c>
      <x:c r="H1277" s="84" t="str">
        <x:v>Retail Store</x:v>
      </x:c>
      <x:c r="I1277" s="84" t="str">
        <x:v>ACCS-005</x:v>
      </x:c>
      <x:c r="J1277" s="86" t="n">
        <x:v>6</x:v>
      </x:c>
      <x:c r="K1277" s="87" t="n">
        <x:v>0</x:v>
      </x:c>
      <x:c r="L1277" s="84" t="str">
        <x:v>Completed</x:v>
      </x:c>
      <x:c r="M1277" s="84" t="str">
        <x:v>Debit Card</x:v>
      </x:c>
      <x:c r="N1277" s="84" t="str">
        <x:v>Noah Reed </x:v>
      </x:c>
      <x:c r="O1277" s="85" t="n">
        <x:v>45711</x:v>
      </x:c>
      <x:c r="P1277" s="84" t="str">
        <x:v>POS_2025_02</x:v>
      </x:c>
      <x:c r="Q1277" s="84" t="str">
        <x:v>Protective Phone Case</x:v>
      </x:c>
      <x:c r="R1277" s="84" t="str">
        <x:v>Accessories</x:v>
      </x:c>
    </x:row>
    <x:row r="1278">
      <x:c r="A1278" s="84" t="str">
        <x:v>ORD-2025-02353</x:v>
      </x:c>
      <x:c r="B1278" s="85" t="n">
        <x:v>45710</x:v>
      </x:c>
      <x:c r="C1278" s="84" t="str">
        <x:v>CUST-0028</x:v>
      </x:c>
      <x:c r="D1278" s="84" t="str">
        <x:v>Theo Roberts</x:v>
      </x:c>
      <x:c r="E1278" s="84" t="str">
        <x:v>Consumer</x:v>
      </x:c>
      <x:c r="F1278" s="84" t="str">
        <x:v>Northeast</x:v>
      </x:c>
      <x:c r="G1278" s="84" t="str">
        <x:v>Newark</x:v>
      </x:c>
      <x:c r="H1278" s="84" t="str">
        <x:v>Marketplace</x:v>
      </x:c>
      <x:c r="I1278" s="84" t="str">
        <x:v>ELEC-003</x:v>
      </x:c>
      <x:c r="J1278" s="86" t="n">
        <x:v>4</x:v>
      </x:c>
      <x:c r="K1278" s="87" t="n">
        <x:v>0.1</x:v>
      </x:c>
      <x:c r="L1278" s="84" t="str">
        <x:v>Completed</x:v>
      </x:c>
      <x:c r="M1278" s="84" t="str">
        <x:v>credit card</x:v>
      </x:c>
      <x:c r="N1278" s="84" t="str">
        <x:v>Sofia Bennett</x:v>
      </x:c>
      <x:c r="O1278" s="85" t="n">
        <x:v>45714</x:v>
      </x:c>
      <x:c r="P1278" s="84" t="str">
        <x:v>MKT_2025_02</x:v>
      </x:c>
      <x:c r="Q1278" s="84" t="str">
        <x:v>Bluetooth Speaker </x:v>
      </x:c>
      <x:c r="R1278" s="84" t="str">
        <x:v>Electronics</x:v>
      </x:c>
    </x:row>
    <x:row r="1279">
      <x:c r="A1279" s="84" t="str">
        <x:v>ORD-2025-00669</x:v>
      </x:c>
      <x:c r="B1279" s="85" t="n">
        <x:v>45712</x:v>
      </x:c>
      <x:c r="C1279" s="84" t="str">
        <x:v>CUST-0086</x:v>
      </x:c>
      <x:c r="D1279" s="84" t="str">
        <x:v>Priya Roberts</x:v>
      </x:c>
      <x:c r="E1279" s="84" t="str">
        <x:v>Corporate</x:v>
      </x:c>
      <x:c r="F1279" s="84" t="str">
        <x:v>Northeast </x:v>
      </x:c>
      <x:c r="G1279" s="84" t="str">
        <x:v>Philadelphia</x:v>
      </x:c>
      <x:c r="H1279" s="84" t="str">
        <x:v> ONLINE </x:v>
      </x:c>
      <x:c r="I1279" s="84" t="str">
        <x:v>CARE-004</x:v>
      </x:c>
      <x:c r="J1279" s="86" t="n">
        <x:v>3</x:v>
      </x:c>
      <x:c r="K1279" s="87" t="n">
        <x:v>0</x:v>
      </x:c>
      <x:c r="L1279" s="84" t="str">
        <x:v>Completed</x:v>
      </x:c>
      <x:c r="M1279" s="84" t="str">
        <x:v>PayPal</x:v>
      </x:c>
      <x:c r="N1279" s="84" t="str">
        <x:v>Sofia Bennett </x:v>
      </x:c>
      <x:c r="O1279" s="85" t="n">
        <x:v>45717</x:v>
      </x:c>
      <x:c r="P1279" s="84" t="str">
        <x:v>WEB_2025_02</x:v>
      </x:c>
      <x:c r="Q1279" s="84" t="str">
        <x:v>electric toothbrush</x:v>
      </x:c>
      <x:c r="R1279" s="84" t="str">
        <x:v>Personal Care</x:v>
      </x:c>
    </x:row>
    <x:row r="1280">
      <x:c r="A1280" s="84" t="str">
        <x:v>ORD-2025-00700</x:v>
      </x:c>
      <x:c r="B1280" s="85" t="n">
        <x:v>45712</x:v>
      </x:c>
      <x:c r="C1280" s="84" t="str">
        <x:v>CUST-0031</x:v>
      </x:c>
      <x:c r="D1280" s="84" t="str">
        <x:v>theo smith</x:v>
      </x:c>
      <x:c r="E1280" s="84" t="str">
        <x:v>Consumer </x:v>
      </x:c>
      <x:c r="F1280" s="84" t="str">
        <x:v>Southeast</x:v>
      </x:c>
      <x:c r="G1280" s="84" t="str">
        <x:v>Atlanta </x:v>
      </x:c>
      <x:c r="H1280" s="84" t="str">
        <x:v>Marketplace</x:v>
      </x:c>
      <x:c r="I1280" s="84" t="str">
        <x:v>ELEC-006</x:v>
      </x:c>
      <x:c r="J1280" s="86" t="n">
        <x:v>3</x:v>
      </x:c>
      <x:c r="K1280" s="87" t="n">
        <x:v>0.15</x:v>
      </x:c>
      <x:c r="L1280" s="84" t="str">
        <x:v>Completed</x:v>
      </x:c>
      <x:c r="M1280" s="84" t="str">
        <x:v>Credit Card</x:v>
      </x:c>
      <x:c r="N1280" s="84" t="str">
        <x:v> AVA MITCHELL </x:v>
      </x:c>
      <x:c r="O1280" s="85" t="n">
        <x:v>45718</x:v>
      </x:c>
      <x:c r="P1280" s="84" t="str">
        <x:v>MKT_2025_02</x:v>
      </x:c>
      <x:c r="Q1280" s="84" t="str">
        <x:v>Portable SSD</x:v>
      </x:c>
      <x:c r="R1280" s="84" t="str">
        <x:v>Electronics</x:v>
      </x:c>
    </x:row>
    <x:row r="1281">
      <x:c r="A1281" s="84" t="str">
        <x:v>ORD-2025-00866</x:v>
      </x:c>
      <x:c r="B1281" s="85" t="n">
        <x:v>45712</x:v>
      </x:c>
      <x:c r="C1281" s="84" t="str">
        <x:v>CUST-0537</x:v>
      </x:c>
      <x:c r="D1281" s="84" t="str">
        <x:v>Grace Young </x:v>
      </x:c>
      <x:c r="E1281" s="84" t="str">
        <x:v>Consumer</x:v>
      </x:c>
      <x:c r="F1281" s="84" t="str">
        <x:v>northeast</x:v>
      </x:c>
      <x:c r="G1281" s="84" t="str">
        <x:v>Philadelphia</x:v>
      </x:c>
      <x:c r="H1281" s="84" t="str">
        <x:v>Marketplace</x:v>
      </x:c>
      <x:c r="I1281" s="84" t="str">
        <x:v>CARE-002</x:v>
      </x:c>
      <x:c r="J1281" s="86" t="n">
        <x:v>1</x:v>
      </x:c>
      <x:c r="K1281" s="87" t="n">
        <x:v>0.15</x:v>
      </x:c>
      <x:c r="L1281" s="84" t="str">
        <x:v>Completed</x:v>
      </x:c>
      <x:c r="M1281" s="84" t="str">
        <x:v>PayPal </x:v>
      </x:c>
      <x:c r="N1281" s="84" t="str">
        <x:v>Sofia Bennett</x:v>
      </x:c>
      <x:c r="O1281" s="85" t="n">
        <x:v>45718</x:v>
      </x:c>
      <x:c r="P1281" s="84" t="str">
        <x:v>MKT_2025_02</x:v>
      </x:c>
      <x:c r="Q1281" s="84" t="str">
        <x:v>Rechargeable Trimmer</x:v>
      </x:c>
      <x:c r="R1281" s="84" t="str">
        <x:v>Personal Care</x:v>
      </x:c>
    </x:row>
    <x:row r="1282">
      <x:c r="A1282" s="84" t="str">
        <x:v>ORD-2025-00940</x:v>
      </x:c>
      <x:c r="B1282" s="85" t="n">
        <x:v>45712</x:v>
      </x:c>
      <x:c r="C1282" s="84" t="str">
        <x:v>CUST-0603</x:v>
      </x:c>
      <x:c r="D1282" s="84" t="str">
        <x:v>Elias Roberts</x:v>
      </x:c>
      <x:c r="E1282" s="84" t="str">
        <x:v>Consumer</x:v>
      </x:c>
      <x:c r="F1282" s="84" t="str">
        <x:v>Northeast</x:v>
      </x:c>
      <x:c r="G1282" s="84" t="str">
        <x:v>Newark</x:v>
      </x:c>
      <x:c r="H1282" s="84" t="str">
        <x:v>Online</x:v>
      </x:c>
      <x:c r="I1282" s="84" t="str">
        <x:v>ELEC-002</x:v>
      </x:c>
      <x:c r="J1282" s="86" t="n">
        <x:v>3</x:v>
      </x:c>
      <x:c r="K1282" s="87" t="n">
        <x:v>0</x:v>
      </x:c>
      <x:c r="L1282" s="84" t="str">
        <x:v> COMPLETED </x:v>
      </x:c>
      <x:c r="M1282" s="84" t="str">
        <x:v>Mobile Wallet</x:v>
      </x:c>
      <x:c r="N1282" s="84" t="str">
        <x:v>Ethan Cole</x:v>
      </x:c>
      <x:c r="O1282" s="85" t="n">
        <x:v>45715</x:v>
      </x:c>
      <x:c r="P1282" s="84" t="str">
        <x:v>WEB_2025_02</x:v>
      </x:c>
      <x:c r="Q1282" s="84" t="str">
        <x:v>Smartwatch</x:v>
      </x:c>
      <x:c r="R1282" s="84" t="str">
        <x:v>Electronics </x:v>
      </x:c>
    </x:row>
    <x:row r="1283">
      <x:c r="A1283" s="84" t="str">
        <x:v>ORD-2025-01212</x:v>
      </x:c>
      <x:c r="B1283" s="85" t="n">
        <x:v>45712</x:v>
      </x:c>
      <x:c r="C1283" s="84" t="str">
        <x:v>CUST-0051</x:v>
      </x:c>
      <x:c r="D1283" s="84" t="str">
        <x:v>Marcus Moore</x:v>
      </x:c>
      <x:c r="E1283" s="84" t="str">
        <x:v>Consumer</x:v>
      </x:c>
      <x:c r="F1283" s="84" t="str">
        <x:v>West</x:v>
      </x:c>
      <x:c r="G1283" s="84" t="str">
        <x:v>Seattle</x:v>
      </x:c>
      <x:c r="H1283" s="84" t="str">
        <x:v>Online</x:v>
      </x:c>
      <x:c r="I1283" s="84" t="str">
        <x:v>CARE-006</x:v>
      </x:c>
      <x:c r="J1283" s="86" t="n">
        <x:v>2</x:v>
      </x:c>
      <x:c r="K1283" s="87" t="n">
        <x:v>0.15</x:v>
      </x:c>
      <x:c r="L1283" s="84" t="str">
        <x:v> COMPLETED </x:v>
      </x:c>
      <x:c r="M1283" s="84" t="str">
        <x:v>Debit Card</x:v>
      </x:c>
      <x:c r="N1283" s="84" t="str">
        <x:v>mia chen</x:v>
      </x:c>
      <x:c r="O1283" s="85" t="n">
        <x:v>45716</x:v>
      </x:c>
      <x:c r="P1283" s="84" t="str">
        <x:v>WEB_2025_02</x:v>
      </x:c>
      <x:c r="Q1283" s="84" t="str">
        <x:v>Percussion Massage Gun </x:v>
      </x:c>
      <x:c r="R1283" s="84" t="str">
        <x:v>Personal Care</x:v>
      </x:c>
    </x:row>
    <x:row r="1284">
      <x:c r="A1284" s="84" t="str">
        <x:v>ORD-2025-01284</x:v>
      </x:c>
      <x:c r="B1284" s="85" t="n">
        <x:v>45712</x:v>
      </x:c>
      <x:c r="C1284" s="84" t="str">
        <x:v>CUST-0364</x:v>
      </x:c>
      <x:c r="D1284" s="84" t="str">
        <x:v>Sara Smith</x:v>
      </x:c>
      <x:c r="E1284" s="84" t="str">
        <x:v>Corporate</x:v>
      </x:c>
      <x:c r="F1284" s="84" t="str">
        <x:v>west</x:v>
      </x:c>
      <x:c r="G1284" s="84" t="str">
        <x:v>Phoenix</x:v>
      </x:c>
      <x:c r="H1284" s="84" t="str">
        <x:v>Marketplace </x:v>
      </x:c>
      <x:c r="I1284" s="84" t="str">
        <x:v>FITN-003</x:v>
      </x:c>
      <x:c r="J1284" s="86" t="n">
        <x:v>2</x:v>
      </x:c>
      <x:c r="K1284" s="87" t="n">
        <x:v>0.2</x:v>
      </x:c>
      <x:c r="L1284" s="84" t="str">
        <x:v>Completed</x:v>
      </x:c>
      <x:c r="M1284" s="84" t="str">
        <x:v>Debit Card</x:v>
      </x:c>
      <x:c r="N1284" s="84" t="str">
        <x:v>Nora Kim</x:v>
      </x:c>
      <x:c r="O1284" s="85" t="n">
        <x:v>45717</x:v>
      </x:c>
      <x:c r="P1284" s="84" t="str">
        <x:v>MKT_2025_02</x:v>
      </x:c>
      <x:c r="Q1284" s="84" t="str">
        <x:v>Resistance Band Set</x:v>
      </x:c>
      <x:c r="R1284" s="84" t="str">
        <x:v>Fitness</x:v>
      </x:c>
    </x:row>
    <x:row r="1285">
      <x:c r="A1285" s="84" t="str">
        <x:v>ORD-2025-01544</x:v>
      </x:c>
      <x:c r="B1285" s="85" t="n">
        <x:v>45712</x:v>
      </x:c>
      <x:c r="C1285" s="84" t="str">
        <x:v>CUST-0161</x:v>
      </x:c>
      <x:c r="D1285" s="84" t="str">
        <x:v> SARA PATEL </x:v>
      </x:c>
      <x:c r="E1285" s="84" t="str">
        <x:v>Consumer</x:v>
      </x:c>
      <x:c r="F1285" s="84" t="str">
        <x:v> SOUTHEAST </x:v>
      </x:c>
      <x:c r="G1285" s="84" t="str">
        <x:v>atlanta</x:v>
      </x:c>
      <x:c r="H1285" s="84" t="str">
        <x:v>Retail Store</x:v>
      </x:c>
      <x:c r="I1285" s="84" t="str">
        <x:v>ELEC-004</x:v>
      </x:c>
      <x:c r="J1285" s="86" t="n">
        <x:v>1</x:v>
      </x:c>
      <x:c r="K1285" s="87" t="n">
        <x:v>0.1</x:v>
      </x:c>
      <x:c r="L1285" s="84" t="str">
        <x:v>completed</x:v>
      </x:c>
      <x:c r="M1285" s="84" t="str">
        <x:v>Cash</x:v>
      </x:c>
      <x:c r="N1285" s="84" t="str">
        <x:v>Ava Mitchell </x:v>
      </x:c>
      <x:c r="O1285" s="85" t="n">
        <x:v>45712</x:v>
      </x:c>
      <x:c r="P1285" s="84" t="str">
        <x:v>POS_2025_02</x:v>
      </x:c>
      <x:c r="Q1285" s="84" t="str">
        <x:v>Power Bank</x:v>
      </x:c>
      <x:c r="R1285" s="84" t="str">
        <x:v>Electronics</x:v>
      </x:c>
    </x:row>
    <x:row r="1286">
      <x:c r="A1286" s="84" t="str">
        <x:v>ORD-2025-01614</x:v>
      </x:c>
      <x:c r="B1286" s="85" t="n">
        <x:v>45712</x:v>
      </x:c>
      <x:c r="C1286" s="84" t="str">
        <x:v>CUST-0274</x:v>
      </x:c>
      <x:c r="D1286" s="84" t="str">
        <x:v>Daniel Nelson</x:v>
      </x:c>
      <x:c r="E1286" s="84" t="str">
        <x:v>Corporate</x:v>
      </x:c>
      <x:c r="F1286" s="84" t="str">
        <x:v>northeast</x:v>
      </x:c>
      <x:c r="G1286" s="84" t="str">
        <x:v>Boston</x:v>
      </x:c>
      <x:c r="H1286" s="84" t="str">
        <x:v>Retail Store</x:v>
      </x:c>
      <x:c r="I1286" s="84" t="str">
        <x:v>FITN-004</x:v>
      </x:c>
      <x:c r="J1286" s="86" t="n">
        <x:v>3</x:v>
      </x:c>
      <x:c r="K1286" s="87" t="n">
        <x:v>0.1</x:v>
      </x:c>
      <x:c r="L1286" s="84" t="str">
        <x:v>Completed</x:v>
      </x:c>
      <x:c r="M1286" s="84" t="str">
        <x:v>Cash</x:v>
      </x:c>
      <x:c r="N1286" s="84" t="str">
        <x:v>Ethan Cole </x:v>
      </x:c>
      <x:c r="O1286" s="85" t="n">
        <x:v>45712</x:v>
      </x:c>
      <x:c r="P1286" s="84" t="str">
        <x:v>POS_2025_02</x:v>
      </x:c>
      <x:c r="Q1286" s="84" t="str">
        <x:v>Fitness Tracker</x:v>
      </x:c>
      <x:c r="R1286" s="84" t="str">
        <x:v>Fitness</x:v>
      </x:c>
    </x:row>
    <x:row r="1287">
      <x:c r="A1287" s="84" t="str">
        <x:v>ORD-2025-01478</x:v>
      </x:c>
      <x:c r="B1287" s="85" t="n">
        <x:v>45713</x:v>
      </x:c>
      <x:c r="C1287" s="84" t="str">
        <x:v>CUST-0264</x:v>
      </x:c>
      <x:c r="D1287" s="84" t="str">
        <x:v>Samuel Foster</x:v>
      </x:c>
      <x:c r="E1287" s="84" t="str">
        <x:v>Small Business</x:v>
      </x:c>
      <x:c r="F1287" s="84" t="str">
        <x:v>West</x:v>
      </x:c>
      <x:c r="G1287" s="84" t="str">
        <x:v>phoenix</x:v>
      </x:c>
      <x:c r="H1287" s="84" t="str">
        <x:v>Online</x:v>
      </x:c>
      <x:c r="I1287" s="84" t="str">
        <x:v>ELEC-003</x:v>
      </x:c>
      <x:c r="J1287" s="86" t="n">
        <x:v>1</x:v>
      </x:c>
      <x:c r="K1287" s="87" t="n">
        <x:v>0.05</x:v>
      </x:c>
      <x:c r="L1287" s="84" t="str">
        <x:v>completed</x:v>
      </x:c>
      <x:c r="M1287" s="84" t="str">
        <x:v>Debit Card</x:v>
      </x:c>
      <x:c r="N1287" s="84" t="str">
        <x:v>Mia Chen</x:v>
      </x:c>
      <x:c r="O1287" s="85" t="n">
        <x:v>45718</x:v>
      </x:c>
      <x:c r="P1287" s="84" t="str">
        <x:v>WEB_2025_02</x:v>
      </x:c>
      <x:c r="Q1287" s="84" t="str">
        <x:v>Bluetooth Speaker </x:v>
      </x:c>
      <x:c r="R1287" s="84" t="str">
        <x:v>Electronics</x:v>
      </x:c>
    </x:row>
    <x:row r="1288">
      <x:c r="A1288" s="84" t="str">
        <x:v>ORD-2025-01535</x:v>
      </x:c>
      <x:c r="B1288" s="85" t="n">
        <x:v>45713</x:v>
      </x:c>
      <x:c r="C1288" s="84" t="str">
        <x:v>CUST-0290</x:v>
      </x:c>
      <x:c r="D1288" s="84" t="str">
        <x:v>Nathan Baker</x:v>
      </x:c>
      <x:c r="E1288" s="84" t="str">
        <x:v>Consumer</x:v>
      </x:c>
      <x:c r="F1288" s="84" t="str">
        <x:v>West</x:v>
      </x:c>
      <x:c r="G1288" s="84" t="str">
        <x:v>Denver</x:v>
      </x:c>
      <x:c r="H1288" s="84" t="str">
        <x:v>Online</x:v>
      </x:c>
      <x:c r="I1288" s="84" t="str">
        <x:v>ACCS-002</x:v>
      </x:c>
      <x:c r="J1288" s="86" t="n">
        <x:v>4</x:v>
      </x:c>
      <x:c r="K1288" s="87" t="n">
        <x:v>0.05</x:v>
      </x:c>
      <x:c r="L1288" s="84" t="str">
        <x:v> COMPLETED </x:v>
      </x:c>
      <x:c r="M1288" s="84" t="str">
        <x:v>Credit Card</x:v>
      </x:c>
      <x:c r="N1288" s="84" t="str">
        <x:v>Mia Chen</x:v>
      </x:c>
      <x:c r="O1288" s="85" t="n">
        <x:v>45718</x:v>
      </x:c>
      <x:c r="P1288" s="84" t="str">
        <x:v>WEB_2025_02</x:v>
      </x:c>
      <x:c r="Q1288" s="84" t="str">
        <x:v>Travel Backpack</x:v>
      </x:c>
      <x:c r="R1288" s="84" t="str">
        <x:v>Accessories </x:v>
      </x:c>
    </x:row>
    <x:row r="1289">
      <x:c r="A1289" s="84" t="str">
        <x:v>ORD-2025-01861</x:v>
      </x:c>
      <x:c r="B1289" s="85" t="n">
        <x:v>45713</x:v>
      </x:c>
      <x:c r="C1289" s="84" t="str">
        <x:v>CUST-0158</x:v>
      </x:c>
      <x:c r="D1289" s="84" t="str">
        <x:v>Nina Moore</x:v>
      </x:c>
      <x:c r="E1289" s="84" t="str">
        <x:v>Consumer</x:v>
      </x:c>
      <x:c r="F1289" s="84" t="str">
        <x:v>Northeast</x:v>
      </x:c>
      <x:c r="G1289" s="84" t="str">
        <x:v>Newark</x:v>
      </x:c>
      <x:c r="H1289" s="84" t="str">
        <x:v>Online</x:v>
      </x:c>
      <x:c r="I1289" s="84" t="str">
        <x:v>ACCS-001</x:v>
      </x:c>
      <x:c r="J1289" s="86" t="n">
        <x:v>2</x:v>
      </x:c>
      <x:c r="K1289" s="87" t="n">
        <x:v>0</x:v>
      </x:c>
      <x:c r="L1289" s="84" t="str">
        <x:v>Completed </x:v>
      </x:c>
      <x:c r="M1289" s="84" t="str">
        <x:v>Credit Card</x:v>
      </x:c>
      <x:c r="N1289" s="84" t="str">
        <x:v>ethan cole</x:v>
      </x:c>
      <x:c r="O1289" s="85" t="n">
        <x:v>45718</x:v>
      </x:c>
      <x:c r="P1289" s="84" t="str">
        <x:v>WEB_2025_02</x:v>
      </x:c>
      <x:c r="Q1289" s="84" t="str">
        <x:v>Canvas Tote Bag</x:v>
      </x:c>
      <x:c r="R1289" s="84" t="str">
        <x:v>Accessories</x:v>
      </x:c>
    </x:row>
    <x:row r="1290">
      <x:c r="A1290" s="84" t="str">
        <x:v>ORD-2025-01398</x:v>
      </x:c>
      <x:c r="B1290" s="85" t="n">
        <x:v>45714</x:v>
      </x:c>
      <x:c r="C1290" s="84" t="str">
        <x:v>CUST-0221</x:v>
      </x:c>
      <x:c r="D1290" s="84" t="str">
        <x:v>Priya Irwin </x:v>
      </x:c>
      <x:c r="E1290" s="84" t="str">
        <x:v>Consumer</x:v>
      </x:c>
      <x:c r="F1290" s="84" t="str">
        <x:v>Southeast</x:v>
      </x:c>
      <x:c r="G1290" s="84" t="str">
        <x:v>Charlotte</x:v>
      </x:c>
      <x:c r="H1290" s="84" t="str">
        <x:v>Retail Store</x:v>
      </x:c>
      <x:c r="I1290" s="84" t="str">
        <x:v>OFFC-003</x:v>
      </x:c>
      <x:c r="J1290" s="86" t="n">
        <x:v>1</x:v>
      </x:c>
      <x:c r="K1290" s="87" t="n">
        <x:v>0.05</x:v>
      </x:c>
      <x:c r="L1290" s="84" t="str">
        <x:v>Completed</x:v>
      </x:c>
      <x:c r="M1290" s="84" t="str">
        <x:v>Credit Card </x:v>
      </x:c>
      <x:c r="N1290" s="84" t="str">
        <x:v>Liam Parker</x:v>
      </x:c>
      <x:c r="O1290" s="85" t="n">
        <x:v>45714</x:v>
      </x:c>
      <x:c r="P1290" s="84" t="str">
        <x:v>POS_2025_02</x:v>
      </x:c>
      <x:c r="Q1290" s="84" t="str">
        <x:v> LED DESK LAMP </x:v>
      </x:c>
      <x:c r="R1290" s="84" t="str">
        <x:v>Office</x:v>
      </x:c>
    </x:row>
    <x:row r="1291">
      <x:c r="A1291" s="84" t="str">
        <x:v>ORD-2025-01867</x:v>
      </x:c>
      <x:c r="B1291" s="85" t="n">
        <x:v>45714</x:v>
      </x:c>
      <x:c r="C1291" s="84" t="str">
        <x:v>CUST-0207</x:v>
      </x:c>
      <x:c r="D1291" s="84" t="str">
        <x:v> MARCUS KHAN </x:v>
      </x:c>
      <x:c r="E1291" s="84" t="str">
        <x:v>Consumer</x:v>
      </x:c>
      <x:c r="F1291" s="84" t="str">
        <x:v> SOUTHEAST </x:v>
      </x:c>
      <x:c r="G1291" s="84" t="str">
        <x:v>Atlanta</x:v>
      </x:c>
      <x:c r="H1291" s="84" t="str">
        <x:v>Marketplace</x:v>
      </x:c>
      <x:c r="I1291" s="84" t="str">
        <x:v>FITN-001</x:v>
      </x:c>
      <x:c r="J1291" s="86" t="n">
        <x:v>1</x:v>
      </x:c>
      <x:c r="K1291" s="87" t="n">
        <x:v>0</x:v>
      </x:c>
      <x:c r="L1291" s="84" t="str">
        <x:v>Completed</x:v>
      </x:c>
      <x:c r="M1291" s="84" t="str">
        <x:v>Mobile Wallet </x:v>
      </x:c>
      <x:c r="N1291" s="84" t="str">
        <x:v>Liam Parker</x:v>
      </x:c>
      <x:c r="O1291" s="85" t="n">
        <x:v>45722</x:v>
      </x:c>
      <x:c r="P1291" s="84" t="str">
        <x:v>MKT_2025_02</x:v>
      </x:c>
      <x:c r="Q1291" s="84" t="str">
        <x:v>Yoga Mat</x:v>
      </x:c>
      <x:c r="R1291" s="84" t="str">
        <x:v>Fitness</x:v>
      </x:c>
    </x:row>
    <x:row r="1292">
      <x:c r="A1292" s="84" t="str">
        <x:v>ORD-2025-00587</x:v>
      </x:c>
      <x:c r="B1292" s="85" t="n">
        <x:v>45717</x:v>
      </x:c>
      <x:c r="C1292" s="84" t="str">
        <x:v>CUST-0296</x:v>
      </x:c>
      <x:c r="D1292" s="84" t="str">
        <x:v>Sara Irwin</x:v>
      </x:c>
      <x:c r="E1292" s="84" t="str">
        <x:v>Corporate</x:v>
      </x:c>
      <x:c r="F1292" s="84" t="str">
        <x:v>Midwest</x:v>
      </x:c>
      <x:c r="G1292" s="84" t="str">
        <x:v>columbus</x:v>
      </x:c>
      <x:c r="H1292" s="84" t="str">
        <x:v>Retail Store</x:v>
      </x:c>
      <x:c r="I1292" s="84" t="str">
        <x:v>HOME-002</x:v>
      </x:c>
      <x:c r="J1292" s="86" t="n">
        <x:v>3</x:v>
      </x:c>
      <x:c r="K1292" s="87" t="n">
        <x:v>0</x:v>
      </x:c>
      <x:c r="L1292" s="84" t="str">
        <x:v>completed</x:v>
      </x:c>
      <x:c r="M1292" s="84" t="str">
        <x:v>Debit Card</x:v>
      </x:c>
      <x:c r="N1292" s="84" t="str">
        <x:v>Zoe Turner</x:v>
      </x:c>
      <x:c r="O1292" s="85" t="n">
        <x:v>45718</x:v>
      </x:c>
      <x:c r="P1292" s="84" t="str">
        <x:v>POS_2025_03</x:v>
      </x:c>
      <x:c r="Q1292" s="84" t="str">
        <x:v>Electric Kettle</x:v>
      </x:c>
      <x:c r="R1292" s="84" t="str">
        <x:v>Home &amp; Kitchen</x:v>
      </x:c>
    </x:row>
    <x:row r="1293">
      <x:c r="A1293" s="84" t="str">
        <x:v>ORD-2025-00605</x:v>
      </x:c>
      <x:c r="B1293" s="85" t="n">
        <x:v>45717</x:v>
      </x:c>
      <x:c r="C1293" s="84" t="str">
        <x:v>CUST-0228</x:v>
      </x:c>
      <x:c r="D1293" s="84" t="str">
        <x:v>Victoria Irwin</x:v>
      </x:c>
      <x:c r="E1293" s="84" t="str">
        <x:v>consumer</x:v>
      </x:c>
      <x:c r="F1293" s="84" t="str">
        <x:v>Midwest</x:v>
      </x:c>
      <x:c r="G1293" s="84" t="str">
        <x:v> COLUMBUS </x:v>
      </x:c>
      <x:c r="H1293" s="84" t="str">
        <x:v>retail store</x:v>
      </x:c>
      <x:c r="I1293" s="84" t="str">
        <x:v>FITN-002</x:v>
      </x:c>
      <x:c r="J1293" s="86" t="n">
        <x:v>2</x:v>
      </x:c>
      <x:c r="K1293" s="87" t="n">
        <x:v>0.05</x:v>
      </x:c>
      <x:c r="L1293" s="84" t="str">
        <x:v>Completed</x:v>
      </x:c>
      <x:c r="M1293" s="84" t="str">
        <x:v>Debit Card</x:v>
      </x:c>
      <x:c r="N1293" s="84" t="str">
        <x:v>Lucas Grant</x:v>
      </x:c>
      <x:c r="O1293" s="85" t="n">
        <x:v>45717</x:v>
      </x:c>
      <x:c r="P1293" s="84" t="str">
        <x:v>POS_2025_03</x:v>
      </x:c>
      <x:c r="Q1293" s="84" t="str">
        <x:v>Adjustable Dumbbell Set</x:v>
      </x:c>
      <x:c r="R1293" s="84" t="str">
        <x:v>Fitness</x:v>
      </x:c>
    </x:row>
    <x:row r="1294">
      <x:c r="A1294" s="84" t="str">
        <x:v>ORD-2025-00806</x:v>
      </x:c>
      <x:c r="B1294" s="85" t="n">
        <x:v>45717</x:v>
      </x:c>
      <x:c r="C1294" s="84" t="str">
        <x:v>CUST-0617</x:v>
      </x:c>
      <x:c r="D1294" s="84" t="str">
        <x:v>Layla Hall</x:v>
      </x:c>
      <x:c r="E1294" s="84" t="str">
        <x:v>Consumer</x:v>
      </x:c>
      <x:c r="F1294" s="84" t="str">
        <x:v>Southeast</x:v>
      </x:c>
      <x:c r="G1294" s="84" t="str">
        <x:v>Nashville</x:v>
      </x:c>
      <x:c r="H1294" s="84" t="str">
        <x:v>Online</x:v>
      </x:c>
      <x:c r="I1294" s="84" t="str">
        <x:v>FITN-004</x:v>
      </x:c>
      <x:c r="J1294" s="86" t="n">
        <x:v>1</x:v>
      </x:c>
      <x:c r="K1294" s="87" t="n">
        <x:v>0.15</x:v>
      </x:c>
      <x:c r="L1294" s="84" t="str">
        <x:v>Completed</x:v>
      </x:c>
      <x:c r="M1294" s="84" t="str">
        <x:v>Mobile Wallet</x:v>
      </x:c>
      <x:c r="N1294" s="84" t="str">
        <x:v>Liam Parker</x:v>
      </x:c>
      <x:c r="O1294" s="85" t="n">
        <x:v>45719</x:v>
      </x:c>
      <x:c r="P1294" s="84" t="str">
        <x:v>WEB_2025_03</x:v>
      </x:c>
      <x:c r="Q1294" s="84" t="str">
        <x:v>Fitness Tracker </x:v>
      </x:c>
      <x:c r="R1294" s="84" t="str">
        <x:v>fitness</x:v>
      </x:c>
    </x:row>
    <x:row r="1295">
      <x:c r="A1295" s="84" t="str">
        <x:v>ORD-2025-00750</x:v>
      </x:c>
      <x:c r="B1295" s="85" t="n">
        <x:v>45718</x:v>
      </x:c>
      <x:c r="C1295" s="84" t="str">
        <x:v>CUST-0152</x:v>
      </x:c>
      <x:c r="D1295" s="84" t="str">
        <x:v>Aiden Ortiz</x:v>
      </x:c>
      <x:c r="E1295" s="84" t="str">
        <x:v>Consumer</x:v>
      </x:c>
      <x:c r="F1295" s="84" t="str">
        <x:v>West</x:v>
      </x:c>
      <x:c r="G1295" s="84" t="str">
        <x:v>Denver</x:v>
      </x:c>
      <x:c r="H1295" s="84" t="str">
        <x:v>Online</x:v>
      </x:c>
      <x:c r="I1295" s="84" t="str">
        <x:v>ACCS-002</x:v>
      </x:c>
      <x:c r="J1295" s="86" t="n">
        <x:v>1</x:v>
      </x:c>
      <x:c r="K1295" s="87" t="n">
        <x:v>0</x:v>
      </x:c>
      <x:c r="L1295" s="84" t="str">
        <x:v>Completed</x:v>
      </x:c>
      <x:c r="M1295" s="84" t="str">
        <x:v>PayPal</x:v>
      </x:c>
      <x:c r="N1295" s="84" t="str">
        <x:v>nora kim</x:v>
      </x:c>
      <x:c r="O1295" s="85" t="n">
        <x:v>45724</x:v>
      </x:c>
      <x:c r="P1295" s="84" t="str">
        <x:v>WEB_2025_03</x:v>
      </x:c>
      <x:c r="Q1295" s="84" t="str">
        <x:v>Travel Backpack </x:v>
      </x:c>
      <x:c r="R1295" s="84" t="str">
        <x:v>Accessories</x:v>
      </x:c>
    </x:row>
    <x:row r="1296">
      <x:c r="A1296" s="84" t="str">
        <x:v>ORD-2025-00816</x:v>
      </x:c>
      <x:c r="B1296" s="85" t="n">
        <x:v>45718</x:v>
      </x:c>
      <x:c r="C1296" s="84" t="str">
        <x:v>CUST-0506</x:v>
      </x:c>
      <x:c r="D1296" s="84" t="str">
        <x:v>Layla Baker</x:v>
      </x:c>
      <x:c r="E1296" s="84" t="str">
        <x:v> CONSUMER </x:v>
      </x:c>
      <x:c r="F1296" s="84" t="str">
        <x:v>Midwest </x:v>
      </x:c>
      <x:c r="G1296" s="84" t="str">
        <x:v>Columbus</x:v>
      </x:c>
      <x:c r="H1296" s="84" t="str">
        <x:v>Retail Store</x:v>
      </x:c>
      <x:c r="I1296" s="84" t="str">
        <x:v>CARE-005</x:v>
      </x:c>
      <x:c r="J1296" s="86" t="n">
        <x:v>2</x:v>
      </x:c>
      <x:c r="K1296" s="87" t="n">
        <x:v>0</x:v>
      </x:c>
      <x:c r="L1296" s="84" t="str">
        <x:v>Completed</x:v>
      </x:c>
      <x:c r="M1296" s="84" t="str">
        <x:v>Credit Card</x:v>
      </x:c>
      <x:c r="N1296" s="84" t="str">
        <x:v>lucas grant</x:v>
      </x:c>
      <x:c r="O1296" s="85" t="n">
        <x:v>45718</x:v>
      </x:c>
      <x:c r="P1296" s="84" t="str">
        <x:v>POS_2025_03</x:v>
      </x:c>
      <x:c r="Q1296" s="84" t="str">
        <x:v>Skin Care Starter Kit</x:v>
      </x:c>
      <x:c r="R1296" s="84" t="str">
        <x:v>Personal Care</x:v>
      </x:c>
    </x:row>
    <x:row r="1297">
      <x:c r="A1297" s="84" t="str">
        <x:v>ORD-2025-00160</x:v>
      </x:c>
      <x:c r="B1297" s="85" t="n">
        <x:v>45719</x:v>
      </x:c>
      <x:c r="C1297" s="84" t="str">
        <x:v>CUST-0617</x:v>
      </x:c>
      <x:c r="D1297" s="84" t="str">
        <x:v>Layla Hall</x:v>
      </x:c>
      <x:c r="E1297" s="84" t="str">
        <x:v>Consumer</x:v>
      </x:c>
      <x:c r="F1297" s="84" t="str">
        <x:v>Southeast</x:v>
      </x:c>
      <x:c r="G1297" s="84" t="str">
        <x:v>Nashville</x:v>
      </x:c>
      <x:c r="H1297" s="84" t="str">
        <x:v>Retail Store</x:v>
      </x:c>
      <x:c r="I1297" s="84" t="str">
        <x:v>OFFC-001</x:v>
      </x:c>
      <x:c r="J1297" s="86" t="n">
        <x:v>2</x:v>
      </x:c>
      <x:c r="K1297" s="87" t="n">
        <x:v>0</x:v>
      </x:c>
      <x:c r="L1297" s="84" t="str">
        <x:v>Completed </x:v>
      </x:c>
      <x:c r="M1297" s="84" t="str">
        <x:v>Cash</x:v>
      </x:c>
      <x:c r="N1297" s="84" t="str">
        <x:v>Liam Parker</x:v>
      </x:c>
      <x:c r="O1297" s="85" t="n">
        <x:v>45719</x:v>
      </x:c>
      <x:c r="P1297" s="84" t="str">
        <x:v>POS_2025_03</x:v>
      </x:c>
      <x:c r="Q1297" s="84" t="str">
        <x:v>Ergonomic Chair</x:v>
      </x:c>
      <x:c r="R1297" s="84" t="str">
        <x:v>Office</x:v>
      </x:c>
    </x:row>
    <x:row r="1298">
      <x:c r="A1298" s="84" t="str">
        <x:v>ORD-2025-00428</x:v>
      </x:c>
      <x:c r="B1298" s="85" t="n">
        <x:v>45719</x:v>
      </x:c>
      <x:c r="C1298" s="84" t="str">
        <x:v>CUST-0344</x:v>
      </x:c>
      <x:c r="D1298" s="84" t="str">
        <x:v>Elena Quinn</x:v>
      </x:c>
      <x:c r="E1298" s="84" t="str">
        <x:v>Small Business</x:v>
      </x:c>
      <x:c r="F1298" s="84" t="str">
        <x:v>Northeast</x:v>
      </x:c>
      <x:c r="G1298" s="84" t="str">
        <x:v>Newark</x:v>
      </x:c>
      <x:c r="H1298" s="84" t="str">
        <x:v>Online</x:v>
      </x:c>
      <x:c r="I1298" s="84" t="str">
        <x:v>OFFC-004</x:v>
      </x:c>
      <x:c r="J1298" s="86" t="n">
        <x:v>1</x:v>
      </x:c>
      <x:c r="K1298" s="87" t="n">
        <x:v>0.05</x:v>
      </x:c>
      <x:c r="L1298" s="84" t="str">
        <x:v>Completed</x:v>
      </x:c>
      <x:c r="M1298" s="84" t="str">
        <x:v>paypal</x:v>
      </x:c>
      <x:c r="N1298" s="84" t="str">
        <x:v> MAYA BROOKS </x:v>
      </x:c>
      <x:c r="O1298" s="85" t="n">
        <x:v>45723</x:v>
      </x:c>
      <x:c r="P1298" s="84" t="str">
        <x:v>WEB_2025_03</x:v>
      </x:c>
      <x:c r="Q1298" s="84" t="str">
        <x:v>Premium Notebook Pack </x:v>
      </x:c>
      <x:c r="R1298" s="84" t="str">
        <x:v>Office</x:v>
      </x:c>
    </x:row>
    <x:row r="1299">
      <x:c r="A1299" s="84" t="str">
        <x:v>ORD-2025-00972</x:v>
      </x:c>
      <x:c r="B1299" s="85" t="n">
        <x:v>45719</x:v>
      </x:c>
      <x:c r="C1299" s="84" t="str">
        <x:v>CUST-0559</x:v>
      </x:c>
      <x:c r="D1299" s="84" t="str">
        <x:v>Amelia Evans</x:v>
      </x:c>
      <x:c r="E1299" s="84" t="str">
        <x:v>Consumer</x:v>
      </x:c>
      <x:c r="F1299" s="84" t="str">
        <x:v>Midwest</x:v>
      </x:c>
      <x:c r="G1299" s="84" t="str">
        <x:v>minneapolis</x:v>
      </x:c>
      <x:c r="H1299" s="84" t="str">
        <x:v>Online</x:v>
      </x:c>
      <x:c r="I1299" s="84" t="str">
        <x:v>ACCS-004</x:v>
      </x:c>
      <x:c r="J1299" s="86" t="n">
        <x:v>1</x:v>
      </x:c>
      <x:c r="K1299" s="87" t="n">
        <x:v>0.05</x:v>
      </x:c>
      <x:c r="L1299" s="84" t="str">
        <x:v>completed</x:v>
      </x:c>
      <x:c r="M1299" s="84" t="str">
        <x:v>Mobile Wallet</x:v>
      </x:c>
      <x:c r="N1299" s="84" t="str">
        <x:v> LUCAS GRANT </x:v>
      </x:c>
      <x:c r="O1299" s="85" t="n">
        <x:v>45721</x:v>
      </x:c>
      <x:c r="P1299" s="84" t="str">
        <x:v>WEB_2025_03</x:v>
      </x:c>
      <x:c r="Q1299" s="84" t="str">
        <x:v>Leather Wallet</x:v>
      </x:c>
      <x:c r="R1299" s="84" t="str">
        <x:v>Accessories</x:v>
      </x:c>
    </x:row>
    <x:row r="1300">
      <x:c r="A1300" s="84" t="str">
        <x:v>ORD-2025-00888</x:v>
      </x:c>
      <x:c r="B1300" s="85" t="n">
        <x:v>45720</x:v>
      </x:c>
      <x:c r="C1300" s="84" t="str">
        <x:v>CUST-0236</x:v>
      </x:c>
      <x:c r="D1300" s="84" t="str">
        <x:v>Chloe Ortiz</x:v>
      </x:c>
      <x:c r="E1300" s="84" t="str">
        <x:v>Consumer</x:v>
      </x:c>
      <x:c r="F1300" s="84" t="str">
        <x:v>midwest</x:v>
      </x:c>
      <x:c r="G1300" s="84" t="str">
        <x:v>Minneapolis</x:v>
      </x:c>
      <x:c r="H1300" s="84" t="str">
        <x:v>Retail Store</x:v>
      </x:c>
      <x:c r="I1300" s="84" t="str">
        <x:v>HOME-002</x:v>
      </x:c>
      <x:c r="J1300" s="86" t="n">
        <x:v>2</x:v>
      </x:c>
      <x:c r="K1300" s="87" t="n">
        <x:v>0.15</x:v>
      </x:c>
      <x:c r="L1300" s="84" t="str">
        <x:v>Completed </x:v>
      </x:c>
      <x:c r="M1300" s="84" t="str">
        <x:v>Debit Card</x:v>
      </x:c>
      <x:c r="N1300" s="84" t="str">
        <x:v>Lucas Grant</x:v>
      </x:c>
      <x:c r="O1300" s="85" t="n">
        <x:v>45720</x:v>
      </x:c>
      <x:c r="P1300" s="84" t="str">
        <x:v>POS_2025_03</x:v>
      </x:c>
      <x:c r="Q1300" s="84" t="str">
        <x:v> ELECTRIC KETTLE </x:v>
      </x:c>
      <x:c r="R1300" s="84" t="str">
        <x:v>Home &amp; Kitchen</x:v>
      </x:c>
    </x:row>
    <x:row r="1301">
      <x:c r="A1301" s="84" t="str">
        <x:v>ORD-2025-01049</x:v>
      </x:c>
      <x:c r="B1301" s="85" t="n">
        <x:v>45721</x:v>
      </x:c>
      <x:c r="C1301" s="84" t="str">
        <x:v>CUST-0181</x:v>
      </x:c>
      <x:c r="D1301" s="84" t="str">
        <x:v>Chloe Baker</x:v>
      </x:c>
      <x:c r="E1301" s="84" t="str">
        <x:v>Corporate</x:v>
      </x:c>
      <x:c r="F1301" s="84" t="str">
        <x:v>Northeast</x:v>
      </x:c>
      <x:c r="G1301" s="84" t="str">
        <x:v>boston</x:v>
      </x:c>
      <x:c r="H1301" s="84" t="str">
        <x:v>Retail Store</x:v>
      </x:c>
      <x:c r="I1301" s="84" t="str">
        <x:v>ELEC-003</x:v>
      </x:c>
      <x:c r="J1301" s="86" t="n">
        <x:v>1</x:v>
      </x:c>
      <x:c r="K1301" s="87" t="n">
        <x:v>0</x:v>
      </x:c>
      <x:c r="L1301" s="84" t="str">
        <x:v>returned</x:v>
      </x:c>
      <x:c r="M1301" s="84" t="str">
        <x:v>Cash</x:v>
      </x:c>
      <x:c r="N1301" s="84" t="str">
        <x:v>Sofia Bennett</x:v>
      </x:c>
      <x:c r="O1301" s="85" t="n">
        <x:v>45722</x:v>
      </x:c>
      <x:c r="P1301" s="84" t="str">
        <x:v>POS_2025_03</x:v>
      </x:c>
      <x:c r="Q1301" s="84" t="str">
        <x:v>Bluetooth Speaker</x:v>
      </x:c>
      <x:c r="R1301" s="84" t="str">
        <x:v>Electronics</x:v>
      </x:c>
    </x:row>
    <x:row r="1302">
      <x:c r="A1302" s="84" t="str">
        <x:v>ORD-2025-01113</x:v>
      </x:c>
      <x:c r="B1302" s="85" t="n">
        <x:v>45721</x:v>
      </x:c>
      <x:c r="C1302" s="84" t="str">
        <x:v>CUST-0632</x:v>
      </x:c>
      <x:c r="D1302" s="84" t="str">
        <x:v>Caleb Adams</x:v>
      </x:c>
      <x:c r="E1302" s="84" t="str">
        <x:v>Consumer </x:v>
      </x:c>
      <x:c r="F1302" s="84" t="str">
        <x:v>West</x:v>
      </x:c>
      <x:c r="G1302" s="84" t="str">
        <x:v>Phoenix </x:v>
      </x:c>
      <x:c r="H1302" s="84" t="str">
        <x:v>Online</x:v>
      </x:c>
      <x:c r="I1302" s="84" t="str">
        <x:v>HOME-004</x:v>
      </x:c>
      <x:c r="J1302" s="86" t="n">
        <x:v>1</x:v>
      </x:c>
      <x:c r="K1302" s="87" t="n">
        <x:v>0.05</x:v>
      </x:c>
      <x:c r="L1302" s="84" t="str">
        <x:v>Completed</x:v>
      </x:c>
      <x:c r="M1302" s="84" t="str">
        <x:v>Credit Card</x:v>
      </x:c>
      <x:c r="N1302" s="84" t="str">
        <x:v>leo martinez</x:v>
      </x:c>
      <x:c r="O1302" s="85" t="n">
        <x:v>45719</x:v>
      </x:c>
      <x:c r="P1302" s="84" t="str">
        <x:v>WEB_2025_03</x:v>
      </x:c>
      <x:c r="Q1302" s="84" t="str">
        <x:v>Coffee Maker</x:v>
      </x:c>
      <x:c r="R1302" s="84" t="str">
        <x:v>Home &amp; Kitchen</x:v>
      </x:c>
    </x:row>
    <x:row r="1303">
      <x:c r="A1303" s="84" t="str">
        <x:v>ORD-2025-01431</x:v>
      </x:c>
      <x:c r="B1303" s="85" t="n">
        <x:v>45722</x:v>
      </x:c>
      <x:c r="C1303" s="84" t="str">
        <x:v>CUST-0630</x:v>
      </x:c>
      <x:c r="D1303" s="84" t="str">
        <x:v>Jasmine Foster</x:v>
      </x:c>
      <x:c r="E1303" s="84" t="str">
        <x:v>Consumer</x:v>
      </x:c>
      <x:c r="F1303" s="84" t="str">
        <x:v>Southeast</x:v>
      </x:c>
      <x:c r="G1303" s="84" t="str">
        <x:v>Miami</x:v>
      </x:c>
      <x:c r="H1303" s="84" t="str">
        <x:v>Retail Store </x:v>
      </x:c>
      <x:c r="I1303" s="84" t="str">
        <x:v>OFFC-005</x:v>
      </x:c>
      <x:c r="J1303" s="86" t="n">
        <x:v>4</x:v>
      </x:c>
      <x:c r="K1303" s="87" t="n">
        <x:v>0.05</x:v>
      </x:c>
      <x:c r="L1303" s="84" t="str">
        <x:v>Completed</x:v>
      </x:c>
      <x:c r="M1303" s="84" t="str">
        <x:v>Mobile Wallet</x:v>
      </x:c>
      <x:c r="N1303" s="84" t="str">
        <x:v> LIAM PARKER </x:v>
      </x:c>
      <x:c r="O1303" s="85" t="n">
        <x:v>45722</x:v>
      </x:c>
      <x:c r="P1303" s="84" t="str">
        <x:v>POS_2025_03</x:v>
      </x:c>
      <x:c r="Q1303" s="84" t="str">
        <x:v>Wireless Keyboard</x:v>
      </x:c>
      <x:c r="R1303" s="84" t="str">
        <x:v>Office</x:v>
      </x:c>
    </x:row>
    <x:row r="1304">
      <x:c r="A1304" s="84" t="str">
        <x:v>ORD-2025-01817</x:v>
      </x:c>
      <x:c r="B1304" s="85" t="n">
        <x:v>45722</x:v>
      </x:c>
      <x:c r="C1304" s="84" t="str">
        <x:v>CUST-0176</x:v>
      </x:c>
      <x:c r="D1304" s="84" t="str">
        <x:v>Grace Smith</x:v>
      </x:c>
      <x:c r="E1304" s="84" t="str">
        <x:v>Corporate</x:v>
      </x:c>
      <x:c r="F1304" s="84" t="str">
        <x:v>Northeast </x:v>
      </x:c>
      <x:c r="G1304" s="84" t="str">
        <x:v>New York</x:v>
      </x:c>
      <x:c r="H1304" s="84" t="str">
        <x:v>Online</x:v>
      </x:c>
      <x:c r="I1304" s="84" t="str">
        <x:v>FITN-005</x:v>
      </x:c>
      <x:c r="J1304" s="86" t="n">
        <x:v>3</x:v>
      </x:c>
      <x:c r="K1304" s="87" t="n">
        <x:v>0</x:v>
      </x:c>
      <x:c r="L1304" s="84" t="str">
        <x:v>Completed</x:v>
      </x:c>
      <x:c r="M1304" s="84" t="str">
        <x:v>Credit Card</x:v>
      </x:c>
      <x:c r="N1304" s="84" t="str">
        <x:v>maya brooks</x:v>
      </x:c>
      <x:c r="O1304" s="85" t="n">
        <x:v>45727</x:v>
      </x:c>
      <x:c r="P1304" s="84" t="str">
        <x:v>WEB_2025_03</x:v>
      </x:c>
      <x:c r="Q1304" s="84" t="str">
        <x:v>Sports Water Bottle</x:v>
      </x:c>
      <x:c r="R1304" s="84" t="str">
        <x:v> FITNESS </x:v>
      </x:c>
    </x:row>
    <x:row r="1305">
      <x:c r="A1305" s="84" t="str">
        <x:v>ORD-2025-02027</x:v>
      </x:c>
      <x:c r="B1305" s="85" t="n">
        <x:v>45722</x:v>
      </x:c>
      <x:c r="C1305" s="84" t="str">
        <x:v>CUST-0604</x:v>
      </x:c>
      <x:c r="D1305" s="84" t="str">
        <x:v>William Adams</x:v>
      </x:c>
      <x:c r="E1305" s="84" t="str">
        <x:v>Consumer</x:v>
      </x:c>
      <x:c r="F1305" s="84" t="str">
        <x:v>Northeast </x:v>
      </x:c>
      <x:c r="G1305" s="84" t="str">
        <x:v>Newark</x:v>
      </x:c>
      <x:c r="H1305" s="84" t="str">
        <x:v>Online</x:v>
      </x:c>
      <x:c r="I1305" s="84" t="str">
        <x:v>HOME-001</x:v>
      </x:c>
      <x:c r="J1305" s="86" t="n">
        <x:v>1</x:v>
      </x:c>
      <x:c r="K1305" s="87" t="n">
        <x:v>0.05</x:v>
      </x:c>
      <x:c r="L1305" s="84" t="str">
        <x:v>Completed</x:v>
      </x:c>
      <x:c r="M1305" s="84" t="str">
        <x:v>PayPal</x:v>
      </x:c>
      <x:c r="N1305" s="84" t="str">
        <x:v>Maya Brooks </x:v>
      </x:c>
      <x:c r="O1305" s="85" t="n">
        <x:v>45724</x:v>
      </x:c>
      <x:c r="P1305" s="84" t="str">
        <x:v>WEB_2025_03</x:v>
      </x:c>
      <x:c r="Q1305" s="84" t="str">
        <x:v> AIR FRYER </x:v>
      </x:c>
      <x:c r="R1305" s="84" t="str">
        <x:v>home &amp; kitchen</x:v>
      </x:c>
    </x:row>
    <x:row r="1306">
      <x:c r="A1306" s="84" t="str">
        <x:v>ORD-2025-02051</x:v>
      </x:c>
      <x:c r="B1306" s="85" t="n">
        <x:v>45722</x:v>
      </x:c>
      <x:c r="C1306" s="84" t="str">
        <x:v>CUST-0193</x:v>
      </x:c>
      <x:c r="D1306" s="84" t="str">
        <x:v>Marcus Davis</x:v>
      </x:c>
      <x:c r="E1306" s="84" t="str">
        <x:v>Corporate </x:v>
      </x:c>
      <x:c r="F1306" s="84" t="str">
        <x:v>Midwest</x:v>
      </x:c>
      <x:c r="G1306" s="84" t="str">
        <x:v>Columbus </x:v>
      </x:c>
      <x:c r="H1306" s="84" t="str">
        <x:v>Marketplace</x:v>
      </x:c>
      <x:c r="I1306" s="84" t="str">
        <x:v>ACCS-006</x:v>
      </x:c>
      <x:c r="J1306" s="86" t="n">
        <x:v>5</x:v>
      </x:c>
      <x:c r="K1306" s="87" t="n">
        <x:v>0.1</x:v>
      </x:c>
      <x:c r="L1306" s="84" t="str">
        <x:v>Completed</x:v>
      </x:c>
      <x:c r="M1306" s="84" t="str">
        <x:v> CREDIT CARD </x:v>
      </x:c>
      <x:c r="N1306" s="84" t="str">
        <x:v>Lucas Grant</x:v>
      </x:c>
      <x:c r="O1306" s="85" t="n">
        <x:v>45729</x:v>
      </x:c>
      <x:c r="P1306" s="84" t="str">
        <x:v>MKT_2025_03</x:v>
      </x:c>
      <x:c r="Q1306" s="84" t="str">
        <x:v>Insulated Lunch Bag</x:v>
      </x:c>
      <x:c r="R1306" s="84" t="str">
        <x:v>Accessories</x:v>
      </x:c>
    </x:row>
    <x:row r="1307">
      <x:c r="A1307" s="84" t="str">
        <x:v>ORD-2025-01591</x:v>
      </x:c>
      <x:c r="B1307" s="85" t="n">
        <x:v>45723</x:v>
      </x:c>
      <x:c r="C1307" s="84" t="str">
        <x:v>CUST-0150</x:v>
      </x:c>
      <x:c r="D1307" s="84" t="str">
        <x:v>aiden carter</x:v>
      </x:c>
      <x:c r="E1307" s="84" t="str">
        <x:v>Consumer</x:v>
      </x:c>
      <x:c r="F1307" s="84" t="str">
        <x:v>Southeast</x:v>
      </x:c>
      <x:c r="G1307" s="84" t="str">
        <x:v> ATLANTA </x:v>
      </x:c>
      <x:c r="H1307" s="84" t="str">
        <x:v>Marketplace</x:v>
      </x:c>
      <x:c r="I1307" s="84" t="str">
        <x:v>FITN-004</x:v>
      </x:c>
      <x:c r="J1307" s="86" t="n">
        <x:v>3</x:v>
      </x:c>
      <x:c r="K1307" s="87" t="n">
        <x:v>0.1</x:v>
      </x:c>
      <x:c r="L1307" s="84" t="str">
        <x:v>Completed</x:v>
      </x:c>
      <x:c r="M1307" s="84" t="str">
        <x:v>Credit Card</x:v>
      </x:c>
      <x:c r="N1307" s="84" t="str">
        <x:v>Ava Mitchell</x:v>
      </x:c>
      <x:c r="O1307" s="85" t="n">
        <x:v>45729</x:v>
      </x:c>
      <x:c r="P1307" s="84" t="str">
        <x:v>MKT_2025_03</x:v>
      </x:c>
      <x:c r="Q1307" s="84" t="str">
        <x:v>Fitness Tracker</x:v>
      </x:c>
      <x:c r="R1307" s="84" t="str">
        <x:v>Fitness </x:v>
      </x:c>
    </x:row>
    <x:row r="1308">
      <x:c r="A1308" s="84" t="str">
        <x:v>ORD-2025-01727</x:v>
      </x:c>
      <x:c r="B1308" s="85" t="n">
        <x:v>45723</x:v>
      </x:c>
      <x:c r="C1308" s="84" t="str">
        <x:v>CUST-0061</x:v>
      </x:c>
      <x:c r="D1308" s="84" t="str">
        <x:v>Aiden Adams </x:v>
      </x:c>
      <x:c r="E1308" s="84" t="str">
        <x:v>consumer</x:v>
      </x:c>
      <x:c r="F1308" s="84" t="str">
        <x:v>West</x:v>
      </x:c>
      <x:c r="G1308" s="84" t="str">
        <x:v> DENVER </x:v>
      </x:c>
      <x:c r="H1308" s="84" t="str">
        <x:v>retail store</x:v>
      </x:c>
      <x:c r="I1308" s="84" t="str">
        <x:v>OFFC-005</x:v>
      </x:c>
      <x:c r="J1308" s="86" t="n">
        <x:v>1</x:v>
      </x:c>
      <x:c r="K1308" s="87" t="n">
        <x:v>0</x:v>
      </x:c>
      <x:c r="L1308" s="84" t="str">
        <x:v>Completed</x:v>
      </x:c>
      <x:c r="M1308" s="84" t="str">
        <x:v>Credit Card </x:v>
      </x:c>
      <x:c r="N1308" s="84" t="str">
        <x:v>Mia Chen</x:v>
      </x:c>
      <x:c r="O1308" s="85" t="n">
        <x:v>45723</x:v>
      </x:c>
      <x:c r="P1308" s="84" t="str">
        <x:v>POS_2025_03</x:v>
      </x:c>
      <x:c r="Q1308" s="84" t="str">
        <x:v>Wireless Keyboard</x:v>
      </x:c>
      <x:c r="R1308" s="84" t="str">
        <x:v>Office</x:v>
      </x:c>
    </x:row>
    <x:row r="1309">
      <x:c r="A1309" s="84" t="str">
        <x:v>ORD-2025-02366</x:v>
      </x:c>
      <x:c r="B1309" s="85" t="n">
        <x:v>45723</x:v>
      </x:c>
      <x:c r="C1309" s="84" t="str">
        <x:v>CUST-0053</x:v>
      </x:c>
      <x:c r="D1309" s="84" t="str">
        <x:v>Theo Patel</x:v>
      </x:c>
      <x:c r="E1309" s="84" t="str">
        <x:v>Small Business </x:v>
      </x:c>
      <x:c r="F1309" s="84" t="str">
        <x:v>West</x:v>
      </x:c>
      <x:c r="G1309" s="84" t="str">
        <x:v>Los Angeles </x:v>
      </x:c>
      <x:c r="H1309" s="84" t="str">
        <x:v>Online</x:v>
      </x:c>
      <x:c r="I1309" s="84" t="str">
        <x:v>ELEC-003</x:v>
      </x:c>
      <x:c r="J1309" s="86" t="n">
        <x:v>1</x:v>
      </x:c>
      <x:c r="K1309" s="87" t="n">
        <x:v>0</x:v>
      </x:c>
      <x:c r="L1309" s="84" t="str">
        <x:v>Completed</x:v>
      </x:c>
      <x:c r="M1309" s="84" t="str">
        <x:v>Debit Card</x:v>
      </x:c>
      <x:c r="N1309" s="84" t="str">
        <x:v> MIA CHEN </x:v>
      </x:c>
      <x:c r="O1309" s="85" t="n">
        <x:v>45729</x:v>
      </x:c>
      <x:c r="P1309" s="84" t="str">
        <x:v>WEB_2025_03</x:v>
      </x:c>
      <x:c r="Q1309" s="84" t="str">
        <x:v>Bluetooth Speaker</x:v>
      </x:c>
      <x:c r="R1309" s="84" t="str">
        <x:v>Electronics</x:v>
      </x:c>
    </x:row>
    <x:row r="1310">
      <x:c r="A1310" s="84" t="str">
        <x:v>ORD-2025-02385</x:v>
      </x:c>
      <x:c r="B1310" s="85" t="n">
        <x:v>45723</x:v>
      </x:c>
      <x:c r="C1310" s="84" t="str">
        <x:v>CUST-0437</x:v>
      </x:c>
      <x:c r="D1310" s="84" t="str">
        <x:v>Nathan Garcia </x:v>
      </x:c>
      <x:c r="E1310" s="84" t="str">
        <x:v>Corporate</x:v>
      </x:c>
      <x:c r="F1310" s="84" t="str">
        <x:v>Northeast</x:v>
      </x:c>
      <x:c r="G1310" s="84" t="str">
        <x:v>Philadelphia</x:v>
      </x:c>
      <x:c r="H1310" s="84" t="str">
        <x:v>Marketplace</x:v>
      </x:c>
      <x:c r="I1310" s="84" t="str">
        <x:v>HOME-005</x:v>
      </x:c>
      <x:c r="J1310" s="86" t="n">
        <x:v>8</x:v>
      </x:c>
      <x:c r="K1310" s="87" t="n">
        <x:v>0.15</x:v>
      </x:c>
      <x:c r="L1310" s="84" t="str">
        <x:v> COMPLETED </x:v>
      </x:c>
      <x:c r="M1310" s="84" t="str">
        <x:v>Credit Card </x:v>
      </x:c>
      <x:c r="N1310" s="84" t="str">
        <x:v>Ethan Cole</x:v>
      </x:c>
      <x:c r="O1310" s="85" t="n">
        <x:v>45729</x:v>
      </x:c>
      <x:c r="P1310" s="84" t="str">
        <x:v>MKT_2025_03</x:v>
      </x:c>
      <x:c r="Q1310" s="84" t="str">
        <x:v>cordless vacuum</x:v>
      </x:c>
      <x:c r="R1310" s="84" t="str">
        <x:v>Home &amp; Kitchen</x:v>
      </x:c>
    </x:row>
    <x:row r="1311">
      <x:c r="A1311" s="84" t="str">
        <x:v>ORD-2025-00010</x:v>
      </x:c>
      <x:c r="B1311" s="85" t="n">
        <x:v>45724</x:v>
      </x:c>
      <x:c r="C1311" s="84" t="str">
        <x:v>CUST-0376</x:v>
      </x:c>
      <x:c r="D1311" s="84" t="str">
        <x:v>Nina Foster</x:v>
      </x:c>
      <x:c r="E1311" s="84" t="str">
        <x:v>Consumer</x:v>
      </x:c>
      <x:c r="F1311" s="84" t="str">
        <x:v>West</x:v>
      </x:c>
      <x:c r="G1311" s="84" t="str">
        <x:v> DENVER </x:v>
      </x:c>
      <x:c r="H1311" s="84" t="str">
        <x:v>Retail Store </x:v>
      </x:c>
      <x:c r="I1311" s="84" t="str">
        <x:v>HOME-001</x:v>
      </x:c>
      <x:c r="J1311" s="86" t="n">
        <x:v>1</x:v>
      </x:c>
      <x:c r="K1311" s="87" t="n">
        <x:v>0.05</x:v>
      </x:c>
      <x:c r="L1311" s="84" t="str">
        <x:v>Completed</x:v>
      </x:c>
      <x:c r="M1311" s="84" t="str">
        <x:v>credit card</x:v>
      </x:c>
      <x:c r="N1311" s="84" t="str">
        <x:v>Mia Chen</x:v>
      </x:c>
      <x:c r="O1311" s="85" t="n">
        <x:v>45724</x:v>
      </x:c>
      <x:c r="P1311" s="84" t="str">
        <x:v>POS_2025_03</x:v>
      </x:c>
      <x:c r="Q1311" s="84" t="str">
        <x:v>Air Fryer</x:v>
      </x:c>
      <x:c r="R1311" s="84" t="str">
        <x:v>Home &amp; Kitchen</x:v>
      </x:c>
    </x:row>
    <x:row r="1312">
      <x:c r="A1312" s="84" t="str">
        <x:v>ORD-2025-00307</x:v>
      </x:c>
      <x:c r="B1312" s="85" t="n">
        <x:v>45724</x:v>
      </x:c>
      <x:c r="C1312" s="84" t="str">
        <x:v>CUST-0060</x:v>
      </x:c>
      <x:c r="D1312" s="84" t="str">
        <x:v>Amelia Roberts</x:v>
      </x:c>
      <x:c r="E1312" s="84" t="str">
        <x:v>Corporate</x:v>
      </x:c>
      <x:c r="F1312" s="84" t="str">
        <x:v>Midwest</x:v>
      </x:c>
      <x:c r="G1312" s="84" t="str">
        <x:v>Chicago</x:v>
      </x:c>
      <x:c r="H1312" s="84" t="str">
        <x:v>Online</x:v>
      </x:c>
      <x:c r="I1312" s="84" t="str">
        <x:v>ELEC-003</x:v>
      </x:c>
      <x:c r="J1312" s="86" t="n">
        <x:v>2</x:v>
      </x:c>
      <x:c r="K1312" s="87" t="n">
        <x:v>0.2</x:v>
      </x:c>
      <x:c r="L1312" s="84" t="str">
        <x:v>Completed </x:v>
      </x:c>
      <x:c r="M1312" s="84" t="str">
        <x:v>credit card</x:v>
      </x:c>
      <x:c r="N1312" s="84" t="str">
        <x:v>Zoe Turner</x:v>
      </x:c>
      <x:c r="O1312" s="85" t="n">
        <x:v>45728</x:v>
      </x:c>
      <x:c r="P1312" s="84" t="str">
        <x:v>WEB_2025_03</x:v>
      </x:c>
      <x:c r="Q1312" s="84" t="str">
        <x:v>Bluetooth Speaker</x:v>
      </x:c>
      <x:c r="R1312" s="84" t="str">
        <x:v>Electronics</x:v>
      </x:c>
    </x:row>
    <x:row r="1313">
      <x:c r="A1313" s="84" t="str">
        <x:v>ORD-2025-00442</x:v>
      </x:c>
      <x:c r="B1313" s="85" t="n">
        <x:v>45724</x:v>
      </x:c>
      <x:c r="C1313" s="84" t="str">
        <x:v>CUST-0623</x:v>
      </x:c>
      <x:c r="D1313" s="84" t="str">
        <x:v>Theo Roberts</x:v>
      </x:c>
      <x:c r="E1313" s="84" t="str">
        <x:v> SMALL BUSINESS </x:v>
      </x:c>
      <x:c r="F1313" s="84" t="str">
        <x:v>Midwest</x:v>
      </x:c>
      <x:c r="G1313" s="84" t="str">
        <x:v>Detroit</x:v>
      </x:c>
      <x:c r="H1313" s="84" t="str">
        <x:v>Retail Store</x:v>
      </x:c>
      <x:c r="I1313" s="84" t="str">
        <x:v>FITN-001</x:v>
      </x:c>
      <x:c r="J1313" s="86" t="n">
        <x:v>1</x:v>
      </x:c>
      <x:c r="K1313" s="87" t="n">
        <x:v>0.2</x:v>
      </x:c>
      <x:c r="L1313" s="84" t="str">
        <x:v>Completed</x:v>
      </x:c>
      <x:c r="M1313" s="84" t="str">
        <x:v>Cash</x:v>
      </x:c>
      <x:c r="N1313" s="84" t="str">
        <x:v>emma hayes</x:v>
      </x:c>
      <x:c r="O1313" s="85" t="n">
        <x:v>45724</x:v>
      </x:c>
      <x:c r="P1313" s="84" t="str">
        <x:v>POS_2025_03</x:v>
      </x:c>
      <x:c r="Q1313" s="84" t="str">
        <x:v>Yoga Mat </x:v>
      </x:c>
      <x:c r="R1313" s="84" t="str">
        <x:v>Fitness</x:v>
      </x:c>
    </x:row>
    <x:row r="1314">
      <x:c r="A1314" s="84" t="str">
        <x:v>ORD-2025-01345</x:v>
      </x:c>
      <x:c r="B1314" s="85" t="n">
        <x:v>45724</x:v>
      </x:c>
      <x:c r="C1314" s="84" t="str">
        <x:v>CUST-0046</x:v>
      </x:c>
      <x:c r="D1314" s="84" t="str">
        <x:v>Nathan Moore</x:v>
      </x:c>
      <x:c r="E1314" s="84" t="str">
        <x:v>Consumer</x:v>
      </x:c>
      <x:c r="F1314" s="84" t="str">
        <x:v>Midwest</x:v>
      </x:c>
      <x:c r="G1314" s="84" t="str">
        <x:v>Columbus</x:v>
      </x:c>
      <x:c r="H1314" s="84" t="str">
        <x:v>Online</x:v>
      </x:c>
      <x:c r="I1314" s="84" t="str">
        <x:v>ACCS-005</x:v>
      </x:c>
      <x:c r="J1314" s="86" t="n">
        <x:v>1</x:v>
      </x:c>
      <x:c r="K1314" s="87" t="n">
        <x:v>0.1</x:v>
      </x:c>
      <x:c r="L1314" s="84" t="str">
        <x:v>Completed</x:v>
      </x:c>
      <x:c r="M1314" s="84" t="str">
        <x:v>Credit Card</x:v>
      </x:c>
      <x:c r="N1314" s="84" t="str">
        <x:v>Emma Hayes</x:v>
      </x:c>
      <x:c r="O1314" s="85" t="n">
        <x:v>45726</x:v>
      </x:c>
      <x:c r="P1314" s="84" t="str">
        <x:v>WEB_2025_03</x:v>
      </x:c>
      <x:c r="Q1314" s="84" t="str">
        <x:v>Protective Phone Case </x:v>
      </x:c>
      <x:c r="R1314" s="84" t="str">
        <x:v>accessories</x:v>
      </x:c>
    </x:row>
    <x:row r="1315">
      <x:c r="A1315" s="84" t="str">
        <x:v>ORD-2025-01871</x:v>
      </x:c>
      <x:c r="B1315" s="85" t="n">
        <x:v>45724</x:v>
      </x:c>
      <x:c r="C1315" s="84" t="str">
        <x:v>CUST-0183</x:v>
      </x:c>
      <x:c r="D1315" s="84" t="str">
        <x:v>Jasmine Taylor</x:v>
      </x:c>
      <x:c r="E1315" s="84" t="str">
        <x:v>Corporate</x:v>
      </x:c>
      <x:c r="F1315" s="84" t="str">
        <x:v>West</x:v>
      </x:c>
      <x:c r="G1315" s="84" t="str">
        <x:v>Denver</x:v>
      </x:c>
      <x:c r="H1315" s="84" t="str">
        <x:v>Retail Store</x:v>
      </x:c>
      <x:c r="I1315" s="84" t="str">
        <x:v>ELEC-003</x:v>
      </x:c>
      <x:c r="J1315" s="86" t="n">
        <x:v>8</x:v>
      </x:c>
      <x:c r="K1315" s="87" t="n">
        <x:v>0</x:v>
      </x:c>
      <x:c r="L1315" s="84" t="str">
        <x:v>Returned</x:v>
      </x:c>
      <x:c r="M1315" s="84" t="str">
        <x:v>Credit Card</x:v>
      </x:c>
      <x:c r="N1315" s="84" t="str">
        <x:v>Leo Martinez</x:v>
      </x:c>
      <x:c r="O1315" s="85" t="n">
        <x:v>45724</x:v>
      </x:c>
      <x:c r="P1315" s="84" t="str">
        <x:v>POS_2025_03</x:v>
      </x:c>
      <x:c r="Q1315" s="84" t="str">
        <x:v>Bluetooth Speaker</x:v>
      </x:c>
      <x:c r="R1315" s="84" t="str">
        <x:v>Electronics </x:v>
      </x:c>
    </x:row>
    <x:row r="1316">
      <x:c r="A1316" s="84" t="str">
        <x:v>ORD-2025-01938</x:v>
      </x:c>
      <x:c r="B1316" s="85" t="n">
        <x:v>45724</x:v>
      </x:c>
      <x:c r="C1316" s="84" t="str">
        <x:v>CUST-0417</x:v>
      </x:c>
      <x:c r="D1316" s="84" t="str">
        <x:v>Amelia Evans</x:v>
      </x:c>
      <x:c r="E1316" s="84" t="str">
        <x:v> CONSUMER </x:v>
      </x:c>
      <x:c r="F1316" s="84" t="str">
        <x:v>Northeast</x:v>
      </x:c>
      <x:c r="G1316" s="84" t="str">
        <x:v>Boston</x:v>
      </x:c>
      <x:c r="H1316" s="84" t="str">
        <x:v>Retail Store</x:v>
      </x:c>
      <x:c r="I1316" s="84" t="str">
        <x:v>ACCS-005</x:v>
      </x:c>
      <x:c r="J1316" s="86" t="n">
        <x:v>1</x:v>
      </x:c>
      <x:c r="K1316" s="87" t="n">
        <x:v>0.1</x:v>
      </x:c>
      <x:c r="L1316" s="84" t="str">
        <x:v>Completed </x:v>
      </x:c>
      <x:c r="M1316" s="84" t="str">
        <x:v>Cash</x:v>
      </x:c>
      <x:c r="N1316" s="84" t="str">
        <x:v>ethan cole</x:v>
      </x:c>
      <x:c r="O1316" s="85" t="n">
        <x:v>45725</x:v>
      </x:c>
      <x:c r="P1316" s="84" t="str">
        <x:v>POS_2025_03</x:v>
      </x:c>
      <x:c r="Q1316" s="84" t="str">
        <x:v>Protective Phone Case</x:v>
      </x:c>
      <x:c r="R1316" s="84" t="str">
        <x:v>Accessories</x:v>
      </x:c>
    </x:row>
    <x:row r="1317">
      <x:c r="A1317" s="84" t="str">
        <x:v>ORD-2025-00533</x:v>
      </x:c>
      <x:c r="B1317" s="85" t="n">
        <x:v>45725</x:v>
      </x:c>
      <x:c r="C1317" s="84" t="str">
        <x:v>CUST-0309</x:v>
      </x:c>
      <x:c r="D1317" s="84" t="str">
        <x:v>Jasmine Garcia</x:v>
      </x:c>
      <x:c r="E1317" s="84" t="str">
        <x:v>Consumer</x:v>
      </x:c>
      <x:c r="F1317" s="84" t="str">
        <x:v>Northeast</x:v>
      </x:c>
      <x:c r="G1317" s="84" t="str">
        <x:v>Boston</x:v>
      </x:c>
      <x:c r="H1317" s="84" t="str">
        <x:v> ONLINE </x:v>
      </x:c>
      <x:c r="I1317" s="84" t="str">
        <x:v>ACCS-005</x:v>
      </x:c>
      <x:c r="J1317" s="86" t="n">
        <x:v>3</x:v>
      </x:c>
      <x:c r="K1317" s="87" t="n">
        <x:v>0.1</x:v>
      </x:c>
      <x:c r="L1317" s="84" t="str">
        <x:v>Completed</x:v>
      </x:c>
      <x:c r="M1317" s="84" t="str">
        <x:v>PayPal</x:v>
      </x:c>
      <x:c r="N1317" s="84" t="str">
        <x:v>Maya Brooks</x:v>
      </x:c>
      <x:c r="O1317" s="85" t="n">
        <x:v>45729</x:v>
      </x:c>
      <x:c r="P1317" s="84" t="str">
        <x:v>WEB_2025_03</x:v>
      </x:c>
      <x:c r="Q1317" s="84" t="str">
        <x:v>Protective Phone Case </x:v>
      </x:c>
      <x:c r="R1317" s="84" t="str">
        <x:v>Accessories</x:v>
      </x:c>
    </x:row>
    <x:row r="1318">
      <x:c r="A1318" s="84" t="str">
        <x:v>ORD-2025-00986</x:v>
      </x:c>
      <x:c r="B1318" s="85" t="n">
        <x:v>45725</x:v>
      </x:c>
      <x:c r="C1318" s="84" t="str">
        <x:v>CUST-0273</x:v>
      </x:c>
      <x:c r="D1318" s="84" t="str">
        <x:v>chloe ortiz</x:v>
      </x:c>
      <x:c r="E1318" s="84" t="str">
        <x:v> CONSUMER </x:v>
      </x:c>
      <x:c r="F1318" s="84" t="str">
        <x:v>Northeast</x:v>
      </x:c>
      <x:c r="G1318" s="84" t="str">
        <x:v>Newark</x:v>
      </x:c>
      <x:c r="H1318" s="84" t="str">
        <x:v>Online</x:v>
      </x:c>
      <x:c r="I1318" s="84" t="str">
        <x:v>ACCS-002</x:v>
      </x:c>
      <x:c r="J1318" s="86" t="n">
        <x:v>4</x:v>
      </x:c>
      <x:c r="K1318" s="87" t="n">
        <x:v>0.05</x:v>
      </x:c>
      <x:c r="L1318" s="84" t="str">
        <x:v>Completed </x:v>
      </x:c>
      <x:c r="M1318" s="84" t="str">
        <x:v>Credit Card</x:v>
      </x:c>
      <x:c r="N1318" s="84" t="str">
        <x:v>Sofia Bennett</x:v>
      </x:c>
      <x:c r="O1318" s="85" t="n">
        <x:v>45727</x:v>
      </x:c>
      <x:c r="P1318" s="84" t="str">
        <x:v>WEB_2025_03</x:v>
      </x:c>
      <x:c r="Q1318" s="84" t="str">
        <x:v>Travel Backpack</x:v>
      </x:c>
      <x:c r="R1318" s="84" t="str">
        <x:v>Accessories</x:v>
      </x:c>
    </x:row>
    <x:row r="1319">
      <x:c r="A1319" s="84" t="str">
        <x:v>ORD-2025-02256</x:v>
      </x:c>
      <x:c r="B1319" s="85" t="n">
        <x:v>45725</x:v>
      </x:c>
      <x:c r="C1319" s="84" t="str">
        <x:v>CUST-0292</x:v>
      </x:c>
      <x:c r="D1319" s="84" t="str">
        <x:v>Caleb Nelson</x:v>
      </x:c>
      <x:c r="E1319" s="84" t="str">
        <x:v>Small Business</x:v>
      </x:c>
      <x:c r="F1319" s="84" t="str">
        <x:v>Midwest</x:v>
      </x:c>
      <x:c r="G1319" s="84" t="str">
        <x:v>Columbus</x:v>
      </x:c>
      <x:c r="H1319" s="84" t="str">
        <x:v>Online</x:v>
      </x:c>
      <x:c r="I1319" s="84" t="str">
        <x:v>OFFC-006</x:v>
      </x:c>
      <x:c r="J1319" s="86" t="n">
        <x:v>1</x:v>
      </x:c>
      <x:c r="K1319" s="87" t="n">
        <x:v>0</x:v>
      </x:c>
      <x:c r="L1319" s="84" t="str">
        <x:v>Completed</x:v>
      </x:c>
      <x:c r="M1319" s="84" t="str">
        <x:v>Mobile Wallet</x:v>
      </x:c>
      <x:c r="N1319" s="84" t="str">
        <x:v>Lucas Grant</x:v>
      </x:c>
      <x:c r="O1319" s="85" t="n">
        <x:v>45730</x:v>
      </x:c>
      <x:c r="P1319" s="84" t="str">
        <x:v>WEB_2025_03</x:v>
      </x:c>
      <x:c r="Q1319" s="84" t="str">
        <x:v>Monitor Stand</x:v>
      </x:c>
      <x:c r="R1319" s="84" t="str">
        <x:v>Office </x:v>
      </x:c>
    </x:row>
    <x:row r="1320">
      <x:c r="A1320" s="84" t="str">
        <x:v>ORD-2025-02350</x:v>
      </x:c>
      <x:c r="B1320" s="85" t="n">
        <x:v>45725</x:v>
      </x:c>
      <x:c r="C1320" s="84" t="str">
        <x:v>CUST-0006</x:v>
      </x:c>
      <x:c r="D1320" s="84" t="str">
        <x:v>chloe adams</x:v>
      </x:c>
      <x:c r="E1320" s="84" t="str">
        <x:v>Consumer</x:v>
      </x:c>
      <x:c r="F1320" s="84" t="str">
        <x:v>Midwest</x:v>
      </x:c>
      <x:c r="G1320" s="84" t="str">
        <x:v>Columbus</x:v>
      </x:c>
      <x:c r="H1320" s="84" t="str">
        <x:v>Retail Store</x:v>
      </x:c>
      <x:c r="I1320" s="84" t="str">
        <x:v>CARE-002</x:v>
      </x:c>
      <x:c r="J1320" s="86" t="n">
        <x:v>1</x:v>
      </x:c>
      <x:c r="K1320" s="87" t="n">
        <x:v>0.1</x:v>
      </x:c>
      <x:c r="L1320" s="84" t="str">
        <x:v>Completed</x:v>
      </x:c>
      <x:c r="M1320" s="84" t="str">
        <x:v>Credit Card </x:v>
      </x:c>
      <x:c r="N1320" s="84" t="str">
        <x:v>Lucas Grant</x:v>
      </x:c>
      <x:c r="O1320" s="85" t="n">
        <x:v>45725</x:v>
      </x:c>
      <x:c r="P1320" s="84" t="str">
        <x:v>POS_2025_03</x:v>
      </x:c>
      <x:c r="Q1320" s="84" t="str">
        <x:v> RECHARGEABLE TRIMMER </x:v>
      </x:c>
      <x:c r="R1320" s="84" t="str">
        <x:v>Personal Care</x:v>
      </x:c>
    </x:row>
    <x:row r="1321">
      <x:c r="A1321" s="84" t="str">
        <x:v>ORD-2025-00060</x:v>
      </x:c>
      <x:c r="B1321" s="85" t="n">
        <x:v>45726</x:v>
      </x:c>
      <x:c r="C1321" s="84" t="str">
        <x:v>CUST-0488</x:v>
      </x:c>
      <x:c r="D1321" s="84" t="str">
        <x:v>Nathan Moore</x:v>
      </x:c>
      <x:c r="E1321" s="84" t="str">
        <x:v>Consumer</x:v>
      </x:c>
      <x:c r="F1321" s="84" t="str">
        <x:v>Northeast </x:v>
      </x:c>
      <x:c r="G1321" s="84" t="str">
        <x:v>New York</x:v>
      </x:c>
      <x:c r="H1321" s="84" t="str">
        <x:v>Online</x:v>
      </x:c>
      <x:c r="I1321" s="84" t="str">
        <x:v>FITN-003</x:v>
      </x:c>
      <x:c r="J1321" s="86" t="n">
        <x:v>1</x:v>
      </x:c>
      <x:c r="K1321" s="87" t="n">
        <x:v>0.1</x:v>
      </x:c>
      <x:c r="L1321" s="84" t="str">
        <x:v>Completed</x:v>
      </x:c>
      <x:c r="M1321" s="84" t="str">
        <x:v>Credit Card</x:v>
      </x:c>
      <x:c r="N1321" s="84" t="str">
        <x:v>Ethan Cole </x:v>
      </x:c>
      <x:c r="O1321" s="85" t="n">
        <x:v>45731</x:v>
      </x:c>
      <x:c r="P1321" s="84" t="str">
        <x:v>WEB_2025_03</x:v>
      </x:c>
      <x:c r="Q1321" s="84" t="str">
        <x:v>Resistance Band Set</x:v>
      </x:c>
      <x:c r="R1321" s="84" t="str">
        <x:v>Fitness</x:v>
      </x:c>
    </x:row>
    <x:row r="1322">
      <x:c r="A1322" s="84" t="str">
        <x:v>ORD-2025-00953</x:v>
      </x:c>
      <x:c r="B1322" s="85" t="n">
        <x:v>45726</x:v>
      </x:c>
      <x:c r="C1322" s="84" t="str">
        <x:v>CUST-0468</x:v>
      </x:c>
      <x:c r="D1322" s="84" t="str">
        <x:v>sara garcia</x:v>
      </x:c>
      <x:c r="E1322" s="84" t="str">
        <x:v>Corporate</x:v>
      </x:c>
      <x:c r="F1322" s="84" t="str">
        <x:v>Northeast</x:v>
      </x:c>
      <x:c r="G1322" s="84" t="str">
        <x:v>Boston</x:v>
      </x:c>
      <x:c r="H1322" s="84" t="str">
        <x:v>Retail Store</x:v>
      </x:c>
      <x:c r="I1322" s="84" t="str">
        <x:v>CARE-002</x:v>
      </x:c>
      <x:c r="J1322" s="86" t="n">
        <x:v>6</x:v>
      </x:c>
      <x:c r="K1322" s="87" t="n">
        <x:v>0.2</x:v>
      </x:c>
      <x:c r="L1322" s="84" t="str">
        <x:v>Completed</x:v>
      </x:c>
      <x:c r="M1322" s="84" t="str">
        <x:v>Cash</x:v>
      </x:c>
      <x:c r="N1322" s="84" t="str">
        <x:v>Ethan Cole</x:v>
      </x:c>
      <x:c r="O1322" s="85" t="n">
        <x:v>45727</x:v>
      </x:c>
      <x:c r="P1322" s="84" t="str">
        <x:v>POS_2025_03</x:v>
      </x:c>
      <x:c r="Q1322" s="84" t="str">
        <x:v>Rechargeable Trimmer </x:v>
      </x:c>
      <x:c r="R1322" s="84" t="str">
        <x:v>Personal Care</x:v>
      </x:c>
    </x:row>
    <x:row r="1323">
      <x:c r="A1323" s="84" t="str">
        <x:v>ORD-2025-02014</x:v>
      </x:c>
      <x:c r="B1323" s="85" t="n">
        <x:v>45727</x:v>
      </x:c>
      <x:c r="C1323" s="84" t="str">
        <x:v>CUST-0604</x:v>
      </x:c>
      <x:c r="D1323" s="84" t="str">
        <x:v>William Adams </x:v>
      </x:c>
      <x:c r="E1323" s="84" t="str">
        <x:v>Consumer</x:v>
      </x:c>
      <x:c r="F1323" s="84" t="str">
        <x:v>Northeast</x:v>
      </x:c>
      <x:c r="G1323" s="84" t="str">
        <x:v>Newark</x:v>
      </x:c>
      <x:c r="H1323" s="84" t="str">
        <x:v>Online</x:v>
      </x:c>
      <x:c r="I1323" s="84" t="str">
        <x:v>HOME-005</x:v>
      </x:c>
      <x:c r="J1323" s="86" t="n">
        <x:v>2</x:v>
      </x:c>
      <x:c r="K1323" s="87" t="n">
        <x:v>0.05</x:v>
      </x:c>
      <x:c r="L1323" s="84" t="str">
        <x:v>Returned</x:v>
      </x:c>
      <x:c r="M1323" s="84" t="str">
        <x:v>Debit Card </x:v>
      </x:c>
      <x:c r="N1323" s="84" t="str">
        <x:v>Sofia Bennett</x:v>
      </x:c>
      <x:c r="O1323" s="85" t="n">
        <x:v>45732</x:v>
      </x:c>
      <x:c r="P1323" s="84" t="str">
        <x:v>WEB_2025_03</x:v>
      </x:c>
      <x:c r="Q1323" s="84" t="str">
        <x:v>Cordless Vacuum</x:v>
      </x:c>
      <x:c r="R1323" s="84" t="str">
        <x:v>Home &amp; Kitchen</x:v>
      </x:c>
    </x:row>
    <x:row r="1324">
      <x:c r="A1324" s="84" t="str">
        <x:v>ORD-2025-02101</x:v>
      </x:c>
      <x:c r="B1324" s="85" t="n">
        <x:v>45727</x:v>
      </x:c>
      <x:c r="C1324" s="84" t="str">
        <x:v>CUST-0638</x:v>
      </x:c>
      <x:c r="D1324" s="84" t="str">
        <x:v>Zara Roberts</x:v>
      </x:c>
      <x:c r="E1324" s="84" t="str">
        <x:v>consumer</x:v>
      </x:c>
      <x:c r="F1324" s="84" t="str">
        <x:v>Northeast</x:v>
      </x:c>
      <x:c r="G1324" s="84" t="str">
        <x:v> PHILADELPHIA </x:v>
      </x:c>
      <x:c r="H1324" s="84" t="str">
        <x:v>online</x:v>
      </x:c>
      <x:c r="I1324" s="84" t="str">
        <x:v>ELEC-001</x:v>
      </x:c>
      <x:c r="J1324" s="86" t="n">
        <x:v>1</x:v>
      </x:c>
      <x:c r="K1324" s="87" t="n">
        <x:v>0</x:v>
      </x:c>
      <x:c r="L1324" s="84" t="str">
        <x:v>Completed</x:v>
      </x:c>
      <x:c r="M1324" s="84" t="str">
        <x:v>Credit Card</x:v>
      </x:c>
      <x:c r="N1324" s="84" t="str">
        <x:v>Sofia Bennett</x:v>
      </x:c>
      <x:c r="O1324" s="85" t="n">
        <x:v>45731</x:v>
      </x:c>
      <x:c r="P1324" s="84" t="str">
        <x:v>WEB_2025_03</x:v>
      </x:c>
      <x:c r="Q1324" s="84" t="str">
        <x:v>Wireless Earbuds </x:v>
      </x:c>
      <x:c r="R1324" s="84" t="str">
        <x:v>Electronics</x:v>
      </x:c>
    </x:row>
    <x:row r="1325">
      <x:c r="A1325" s="84" t="str">
        <x:v>ORD-2025-00475</x:v>
      </x:c>
      <x:c r="B1325" s="85" t="n">
        <x:v>45728</x:v>
      </x:c>
      <x:c r="C1325" s="84" t="str">
        <x:v>CUST-0299</x:v>
      </x:c>
      <x:c r="D1325" s="84" t="str">
        <x:v>Caleb Lewis</x:v>
      </x:c>
      <x:c r="E1325" s="84" t="str">
        <x:v>Consumer</x:v>
      </x:c>
      <x:c r="F1325" s="84" t="str">
        <x:v>Northeast</x:v>
      </x:c>
      <x:c r="G1325" s="84" t="str">
        <x:v>New York</x:v>
      </x:c>
      <x:c r="H1325" s="84" t="str">
        <x:v>Online</x:v>
      </x:c>
      <x:c r="I1325" s="84" t="str">
        <x:v>ELEC-002</x:v>
      </x:c>
      <x:c r="J1325" s="86" t="n">
        <x:v>3</x:v>
      </x:c>
      <x:c r="K1325" s="87" t="n">
        <x:v>0.05</x:v>
      </x:c>
      <x:c r="L1325" s="84" t="str">
        <x:v>Returned </x:v>
      </x:c>
      <x:c r="M1325" s="84" t="str">
        <x:v>Credit Card</x:v>
      </x:c>
      <x:c r="N1325" s="84" t="str">
        <x:v>maya brooks</x:v>
      </x:c>
      <x:c r="O1325" s="85" t="n">
        <x:v>45733</x:v>
      </x:c>
      <x:c r="P1325" s="84" t="str">
        <x:v>WEB_2025_03</x:v>
      </x:c>
      <x:c r="Q1325" s="84" t="str">
        <x:v>Smartwatch</x:v>
      </x:c>
      <x:c r="R1325" s="84" t="str">
        <x:v>Electronics</x:v>
      </x:c>
    </x:row>
    <x:row r="1326">
      <x:c r="A1326" s="84" t="str">
        <x:v>ORD-2025-00560</x:v>
      </x:c>
      <x:c r="B1326" s="85" t="n">
        <x:v>45728</x:v>
      </x:c>
      <x:c r="C1326" s="84" t="str">
        <x:v>CUST-0100</x:v>
      </x:c>
      <x:c r="D1326" s="84" t="str">
        <x:v>Caleb Taylor</x:v>
      </x:c>
      <x:c r="E1326" s="84" t="str">
        <x:v>Small Business </x:v>
      </x:c>
      <x:c r="F1326" s="84" t="str">
        <x:v>Southeast</x:v>
      </x:c>
      <x:c r="G1326" s="84" t="str">
        <x:v>Charlotte </x:v>
      </x:c>
      <x:c r="H1326" s="84" t="str">
        <x:v>Online</x:v>
      </x:c>
      <x:c r="I1326" s="84" t="str">
        <x:v>FITN-002</x:v>
      </x:c>
      <x:c r="J1326" s="86" t="n">
        <x:v>2</x:v>
      </x:c>
      <x:c r="K1326" s="87" t="n">
        <x:v>0.15</x:v>
      </x:c>
      <x:c r="L1326" s="84" t="str">
        <x:v>Completed</x:v>
      </x:c>
      <x:c r="M1326" s="84" t="str">
        <x:v>debit card</x:v>
      </x:c>
      <x:c r="N1326" s="84" t="str">
        <x:v>Ava Mitchell</x:v>
      </x:c>
      <x:c r="O1326" s="85" t="n">
        <x:v>45734</x:v>
      </x:c>
      <x:c r="P1326" s="84" t="str">
        <x:v>WEB_2025_03</x:v>
      </x:c>
      <x:c r="Q1326" s="84" t="str">
        <x:v>Adjustable Dumbbell Set</x:v>
      </x:c>
      <x:c r="R1326" s="84" t="str">
        <x:v>Fitness</x:v>
      </x:c>
    </x:row>
    <x:row r="1327">
      <x:c r="A1327" s="84" t="str">
        <x:v>ORD-2025-02307</x:v>
      </x:c>
      <x:c r="B1327" s="85" t="n">
        <x:v>45728</x:v>
      </x:c>
      <x:c r="C1327" s="84" t="str">
        <x:v>CUST-0562</x:v>
      </x:c>
      <x:c r="D1327" s="84" t="str">
        <x:v>Jasmine Nelson</x:v>
      </x:c>
      <x:c r="E1327" s="84" t="str">
        <x:v>Consumer</x:v>
      </x:c>
      <x:c r="F1327" s="84" t="str">
        <x:v>northeast</x:v>
      </x:c>
      <x:c r="G1327" s="84" t="str">
        <x:v>Newark</x:v>
      </x:c>
      <x:c r="H1327" s="84" t="str">
        <x:v>Online</x:v>
      </x:c>
      <x:c r="I1327" s="84" t="str">
        <x:v>ELEC-003</x:v>
      </x:c>
      <x:c r="J1327" s="86" t="n">
        <x:v>1</x:v>
      </x:c>
      <x:c r="K1327" s="87" t="n">
        <x:v>0.1</x:v>
      </x:c>
      <x:c r="L1327" s="84" t="str">
        <x:v>Completed</x:v>
      </x:c>
      <x:c r="M1327" s="84" t="str">
        <x:v>PayPal</x:v>
      </x:c>
      <x:c r="N1327" s="84" t="str">
        <x:v>Sofia Bennett </x:v>
      </x:c>
      <x:c r="O1327" s="85" t="n">
        <x:v>45733</x:v>
      </x:c>
      <x:c r="P1327" s="84" t="str">
        <x:v>WEB_2025_03</x:v>
      </x:c>
      <x:c r="Q1327" s="84" t="str">
        <x:v>Bluetooth Speaker</x:v>
      </x:c>
      <x:c r="R1327" s="84" t="str">
        <x:v>Electronics</x:v>
      </x:c>
    </x:row>
    <x:row r="1328">
      <x:c r="A1328" s="84" t="str">
        <x:v>ORD-2025-00920</x:v>
      </x:c>
      <x:c r="B1328" s="85" t="n">
        <x:v>45729</x:v>
      </x:c>
      <x:c r="C1328" s="84" t="str">
        <x:v>CUST-0040</x:v>
      </x:c>
      <x:c r="D1328" s="84" t="str">
        <x:v>elias irwin</x:v>
      </x:c>
      <x:c r="E1328" s="84" t="str">
        <x:v>Small Business</x:v>
      </x:c>
      <x:c r="F1328" s="84" t="str">
        <x:v>Southeast</x:v>
      </x:c>
      <x:c r="G1328" s="84" t="str">
        <x:v>Charlotte</x:v>
      </x:c>
      <x:c r="H1328" s="84" t="str">
        <x:v>Online </x:v>
      </x:c>
      <x:c r="I1328" s="84" t="str">
        <x:v>ACCS-003</x:v>
      </x:c>
      <x:c r="J1328" s="86" t="n">
        <x:v>1</x:v>
      </x:c>
      <x:c r="K1328" s="87" t="n">
        <x:v>0.15</x:v>
      </x:c>
      <x:c r="L1328" s="84" t="str">
        <x:v>Completed</x:v>
      </x:c>
      <x:c r="M1328" s="84" t="str">
        <x:v>Credit Card</x:v>
      </x:c>
      <x:c r="N1328" s="84" t="str">
        <x:v>Ava Mitchell</x:v>
      </x:c>
      <x:c r="O1328" s="85" t="n">
        <x:v>45732</x:v>
      </x:c>
      <x:c r="P1328" s="84" t="str">
        <x:v>WEB_2025_03</x:v>
      </x:c>
      <x:c r="Q1328" s="84" t="str">
        <x:v>Polarized Sunglasses</x:v>
      </x:c>
      <x:c r="R1328" s="84" t="str">
        <x:v>Accessories</x:v>
      </x:c>
    </x:row>
    <x:row r="1329">
      <x:c r="A1329" s="84" t="str">
        <x:v>ORD-2025-00663</x:v>
      </x:c>
      <x:c r="B1329" s="85" t="n">
        <x:v>45730</x:v>
      </x:c>
      <x:c r="C1329" s="84" t="str">
        <x:v>CUST-0243</x:v>
      </x:c>
      <x:c r="D1329" s="84" t="str">
        <x:v>Jasmine Johnson </x:v>
      </x:c>
      <x:c r="E1329" s="84" t="str">
        <x:v> CORPORATE </x:v>
      </x:c>
      <x:c r="F1329" s="84" t="str">
        <x:v>Northeast</x:v>
      </x:c>
      <x:c r="G1329" s="84" t="str">
        <x:v>Newark</x:v>
      </x:c>
      <x:c r="H1329" s="84" t="str">
        <x:v>Retail Store</x:v>
      </x:c>
      <x:c r="I1329" s="84" t="str">
        <x:v>OFFC-004</x:v>
      </x:c>
      <x:c r="J1329" s="86" t="n">
        <x:v>5</x:v>
      </x:c>
      <x:c r="K1329" s="87" t="n">
        <x:v>0.05</x:v>
      </x:c>
      <x:c r="L1329" s="84" t="str">
        <x:v>Completed</x:v>
      </x:c>
      <x:c r="M1329" s="84" t="str">
        <x:v>Debit Card </x:v>
      </x:c>
      <x:c r="N1329" s="84" t="str">
        <x:v>Sofia Bennett</x:v>
      </x:c>
      <x:c r="O1329" s="85" t="n">
        <x:v>45730</x:v>
      </x:c>
      <x:c r="P1329" s="84" t="str">
        <x:v>POS_2025_03</x:v>
      </x:c>
      <x:c r="Q1329" s="84" t="str">
        <x:v>Premium Notebook Pack</x:v>
      </x:c>
      <x:c r="R1329" s="84" t="str">
        <x:v>office</x:v>
      </x:c>
    </x:row>
    <x:row r="1330">
      <x:c r="A1330" s="84" t="str">
        <x:v>ORD-2025-00308</x:v>
      </x:c>
      <x:c r="B1330" s="85" t="n">
        <x:v>45731</x:v>
      </x:c>
      <x:c r="C1330" s="84" t="str">
        <x:v>CUST-0013</x:v>
      </x:c>
      <x:c r="D1330" s="84" t="str">
        <x:v>Marcus Moore</x:v>
      </x:c>
      <x:c r="E1330" s="84" t="str">
        <x:v>consumer</x:v>
      </x:c>
      <x:c r="F1330" s="84" t="str">
        <x:v>Midwest</x:v>
      </x:c>
      <x:c r="G1330" s="84" t="str">
        <x:v>Columbus </x:v>
      </x:c>
      <x:c r="H1330" s="84" t="str">
        <x:v>retail store</x:v>
      </x:c>
      <x:c r="I1330" s="84" t="str">
        <x:v>ACCS-006</x:v>
      </x:c>
      <x:c r="J1330" s="86" t="n">
        <x:v>1</x:v>
      </x:c>
      <x:c r="K1330" s="87" t="n">
        <x:v>0</x:v>
      </x:c>
      <x:c r="L1330" s="84" t="str">
        <x:v>Completed</x:v>
      </x:c>
      <x:c r="M1330" s="84" t="str">
        <x:v>Debit Card</x:v>
      </x:c>
      <x:c r="N1330" s="84" t="str">
        <x:v>Zoe Turner</x:v>
      </x:c>
      <x:c r="O1330" s="85" t="n">
        <x:v>45732</x:v>
      </x:c>
      <x:c r="P1330" s="84" t="str">
        <x:v>POS_2025_03</x:v>
      </x:c>
      <x:c r="Q1330" s="84" t="str">
        <x:v>Insulated Lunch Bag</x:v>
      </x:c>
      <x:c r="R1330" s="84" t="str">
        <x:v>Accessories</x:v>
      </x:c>
    </x:row>
    <x:row r="1331">
      <x:c r="A1331" s="84" t="str">
        <x:v>ORD-2025-00541</x:v>
      </x:c>
      <x:c r="B1331" s="85" t="n">
        <x:v>45731</x:v>
      </x:c>
      <x:c r="C1331" s="84" t="str">
        <x:v>CUST-0212</x:v>
      </x:c>
      <x:c r="D1331" s="84" t="str">
        <x:v> THEO WALKER </x:v>
      </x:c>
      <x:c r="E1331" s="84" t="str">
        <x:v>Corporate</x:v>
      </x:c>
      <x:c r="F1331" s="84" t="str">
        <x:v> MIDWEST </x:v>
      </x:c>
      <x:c r="G1331" s="84" t="str">
        <x:v>Columbus</x:v>
      </x:c>
      <x:c r="H1331" s="84" t="str">
        <x:v>Retail Store</x:v>
      </x:c>
      <x:c r="I1331" s="84" t="str">
        <x:v>FITN-003</x:v>
      </x:c>
      <x:c r="J1331" s="86" t="n">
        <x:v>2</x:v>
      </x:c>
      <x:c r="K1331" s="87" t="n">
        <x:v>0</x:v>
      </x:c>
      <x:c r="L1331" s="84" t="str">
        <x:v>Completed</x:v>
      </x:c>
      <x:c r="M1331" s="84" t="str">
        <x:v>Credit Card</x:v>
      </x:c>
      <x:c r="N1331" s="84" t="str">
        <x:v>lucas grant</x:v>
      </x:c>
      <x:c r="O1331" s="85" t="n">
        <x:v>45731</x:v>
      </x:c>
      <x:c r="P1331" s="84" t="str">
        <x:v>POS_2025_03</x:v>
      </x:c>
      <x:c r="Q1331" s="84" t="str">
        <x:v>Resistance Band Set</x:v>
      </x:c>
      <x:c r="R1331" s="84" t="str">
        <x:v>Fitness </x:v>
      </x:c>
    </x:row>
    <x:row r="1332">
      <x:c r="A1332" s="84" t="str">
        <x:v>ORD-2025-00714</x:v>
      </x:c>
      <x:c r="B1332" s="85" t="n">
        <x:v>45731</x:v>
      </x:c>
      <x:c r="C1332" s="84" t="str">
        <x:v>CUST-0216</x:v>
      </x:c>
      <x:c r="D1332" s="84" t="str">
        <x:v>Aiden Hall</x:v>
      </x:c>
      <x:c r="E1332" s="84" t="str">
        <x:v> CONSUMER </x:v>
      </x:c>
      <x:c r="F1332" s="84" t="str">
        <x:v>Midwest</x:v>
      </x:c>
      <x:c r="G1332" s="84" t="str">
        <x:v>Columbus </x:v>
      </x:c>
      <x:c r="H1332" s="84" t="str">
        <x:v>Retail Store</x:v>
      </x:c>
      <x:c r="I1332" s="84" t="str">
        <x:v>ELEC-002</x:v>
      </x:c>
      <x:c r="J1332" s="86" t="n">
        <x:v>1</x:v>
      </x:c>
      <x:c r="K1332" s="87" t="n">
        <x:v>0.1</x:v>
      </x:c>
      <x:c r="L1332" s="84" t="str">
        <x:v>Completed</x:v>
      </x:c>
      <x:c r="M1332" s="84" t="str">
        <x:v>mobile wallet</x:v>
      </x:c>
      <x:c r="N1332" s="84" t="str">
        <x:v>Lucas Grant</x:v>
      </x:c>
      <x:c r="O1332" s="85" t="n">
        <x:v>45731</x:v>
      </x:c>
      <x:c r="P1332" s="84" t="str">
        <x:v>POS_2025_03</x:v>
      </x:c>
      <x:c r="Q1332" s="84" t="str">
        <x:v>Smartwatch</x:v>
      </x:c>
      <x:c r="R1332" s="84" t="str">
        <x:v>Electronics</x:v>
      </x:c>
    </x:row>
    <x:row r="1333">
      <x:c r="A1333" s="84" t="str">
        <x:v>ORD-2025-01566</x:v>
      </x:c>
      <x:c r="B1333" s="85" t="n">
        <x:v>45733</x:v>
      </x:c>
      <x:c r="C1333" s="84" t="str">
        <x:v>CUST-0636</x:v>
      </x:c>
      <x:c r="D1333" s="84" t="str">
        <x:v>Nina Baker </x:v>
      </x:c>
      <x:c r="E1333" s="84" t="str">
        <x:v>Small Business</x:v>
      </x:c>
      <x:c r="F1333" s="84" t="str">
        <x:v>Midwest</x:v>
      </x:c>
      <x:c r="G1333" s="84" t="str">
        <x:v>chicago</x:v>
      </x:c>
      <x:c r="H1333" s="84" t="str">
        <x:v>Online</x:v>
      </x:c>
      <x:c r="I1333" s="84" t="str">
        <x:v>FITN-001</x:v>
      </x:c>
      <x:c r="J1333" s="86" t="n">
        <x:v>1</x:v>
      </x:c>
      <x:c r="K1333" s="87" t="n">
        <x:v>0.2</x:v>
      </x:c>
      <x:c r="L1333" s="84" t="str">
        <x:v>completed</x:v>
      </x:c>
      <x:c r="M1333" s="84" t="str">
        <x:v>Credit Card </x:v>
      </x:c>
      <x:c r="N1333" s="84" t="str">
        <x:v>Zoe Turner</x:v>
      </x:c>
      <x:c r="O1333" s="85" t="n">
        <x:v>45738</x:v>
      </x:c>
      <x:c r="P1333" s="84" t="str">
        <x:v>WEB_2025_03</x:v>
      </x:c>
      <x:c r="Q1333" s="84" t="str">
        <x:v>Yoga Mat</x:v>
      </x:c>
      <x:c r="R1333" s="84" t="str">
        <x:v>Fitness</x:v>
      </x:c>
    </x:row>
    <x:row r="1334">
      <x:c r="A1334" s="84" t="str">
        <x:v>ORD-2025-02271</x:v>
      </x:c>
      <x:c r="B1334" s="85" t="n">
        <x:v>45733</x:v>
      </x:c>
      <x:c r="C1334" s="84" t="str">
        <x:v>CUST-0481</x:v>
      </x:c>
      <x:c r="D1334" s="84" t="str">
        <x:v>Marcus Hall</x:v>
      </x:c>
      <x:c r="E1334" s="84" t="str">
        <x:v>Small Business</x:v>
      </x:c>
      <x:c r="F1334" s="84" t="str">
        <x:v>Northeast</x:v>
      </x:c>
      <x:c r="G1334" s="84" t="str">
        <x:v> NEWARK </x:v>
      </x:c>
      <x:c r="H1334" s="84" t="str">
        <x:v>Marketplace </x:v>
      </x:c>
      <x:c r="I1334" s="84" t="str">
        <x:v>ELEC-001</x:v>
      </x:c>
      <x:c r="J1334" s="86" t="n">
        <x:v>2</x:v>
      </x:c>
      <x:c r="K1334" s="87" t="n">
        <x:v>0.1</x:v>
      </x:c>
      <x:c r="L1334" s="84" t="str">
        <x:v>Completed</x:v>
      </x:c>
      <x:c r="M1334" s="84" t="str">
        <x:v>PayPal</x:v>
      </x:c>
      <x:c r="N1334" s="84" t="str">
        <x:v>Sofia Bennett</x:v>
      </x:c>
      <x:c r="O1334" s="85" t="n">
        <x:v>45737</x:v>
      </x:c>
      <x:c r="P1334" s="84" t="str">
        <x:v>MKT_2025_03</x:v>
      </x:c>
      <x:c r="Q1334" s="84" t="str">
        <x:v>Wireless Earbuds</x:v>
      </x:c>
      <x:c r="R1334" s="84" t="str">
        <x:v>Electronics</x:v>
      </x:c>
    </x:row>
    <x:row r="1335">
      <x:c r="A1335" s="84" t="str">
        <x:v>ORD-2025-02352</x:v>
      </x:c>
      <x:c r="B1335" s="85" t="n">
        <x:v>45733</x:v>
      </x:c>
      <x:c r="C1335" s="84" t="str">
        <x:v>CUST-0107</x:v>
      </x:c>
      <x:c r="D1335" s="84" t="str">
        <x:v>Elena Hall</x:v>
      </x:c>
      <x:c r="E1335" s="84" t="str">
        <x:v>Consumer </x:v>
      </x:c>
      <x:c r="F1335" s="84" t="str">
        <x:v>Midwest</x:v>
      </x:c>
      <x:c r="G1335" s="84" t="str">
        <x:v>Columbus </x:v>
      </x:c>
      <x:c r="H1335" s="84" t="str">
        <x:v> RETAIL STORE </x:v>
      </x:c>
      <x:c r="I1335" s="84" t="str">
        <x:v>ELEC-003</x:v>
      </x:c>
      <x:c r="J1335" s="86" t="n">
        <x:v>2</x:v>
      </x:c>
      <x:c r="K1335" s="87" t="n">
        <x:v>0.1</x:v>
      </x:c>
      <x:c r="L1335" s="84" t="str">
        <x:v>Completed</x:v>
      </x:c>
      <x:c r="M1335" s="84" t="str">
        <x:v>Mobile Wallet</x:v>
      </x:c>
      <x:c r="N1335" s="84" t="str">
        <x:v>Zoe Turner</x:v>
      </x:c>
      <x:c r="O1335" s="85" t="n">
        <x:v>45734</x:v>
      </x:c>
      <x:c r="P1335" s="84" t="str">
        <x:v>POS_2025_03</x:v>
      </x:c>
      <x:c r="Q1335" s="84" t="str">
        <x:v>bluetooth speaker</x:v>
      </x:c>
      <x:c r="R1335" s="84" t="str">
        <x:v>Electronics</x:v>
      </x:c>
    </x:row>
    <x:row r="1336">
      <x:c r="A1336" s="84" t="str">
        <x:v>ORD-2025-00325</x:v>
      </x:c>
      <x:c r="B1336" s="85" t="n">
        <x:v>45734</x:v>
      </x:c>
      <x:c r="C1336" s="84" t="str">
        <x:v>CUST-0514</x:v>
      </x:c>
      <x:c r="D1336" s="84" t="str">
        <x:v>Caleb Young</x:v>
      </x:c>
      <x:c r="E1336" s="84" t="str">
        <x:v>Consumer</x:v>
      </x:c>
      <x:c r="F1336" s="84" t="str">
        <x:v>Northeast</x:v>
      </x:c>
      <x:c r="G1336" s="84" t="str">
        <x:v>Boston</x:v>
      </x:c>
      <x:c r="H1336" s="84" t="str">
        <x:v>Online </x:v>
      </x:c>
      <x:c r="I1336" s="84" t="str">
        <x:v>ELEC-004</x:v>
      </x:c>
      <x:c r="J1336" s="86" t="n">
        <x:v>1</x:v>
      </x:c>
      <x:c r="K1336" s="87" t="n">
        <x:v>0.05</x:v>
      </x:c>
      <x:c r="L1336" s="84" t="str">
        <x:v>Completed</x:v>
      </x:c>
      <x:c r="M1336" s="84" t="str">
        <x:v>Debit Card</x:v>
      </x:c>
      <x:c r="N1336" s="84" t="str">
        <x:v>Maya Brooks</x:v>
      </x:c>
      <x:c r="O1336" s="85" t="n">
        <x:v>45737</x:v>
      </x:c>
      <x:c r="P1336" s="84" t="str">
        <x:v>WEB_2025_03</x:v>
      </x:c>
      <x:c r="Q1336" s="84" t="str">
        <x:v>Power Bank</x:v>
      </x:c>
      <x:c r="R1336" s="84" t="str">
        <x:v>Electronics</x:v>
      </x:c>
    </x:row>
    <x:row r="1337">
      <x:c r="A1337" s="84" t="str">
        <x:v>ORD-2025-01579</x:v>
      </x:c>
      <x:c r="B1337" s="85" t="n">
        <x:v>45734</x:v>
      </x:c>
      <x:c r="C1337" s="84" t="str">
        <x:v>CUST-0459</x:v>
      </x:c>
      <x:c r="D1337" s="84" t="str">
        <x:v>Theo Baker</x:v>
      </x:c>
      <x:c r="E1337" s="84" t="str">
        <x:v>Consumer</x:v>
      </x:c>
      <x:c r="F1337" s="84" t="str">
        <x:v>Southeast </x:v>
      </x:c>
      <x:c r="G1337" s="84" t="str">
        <x:v>Miami</x:v>
      </x:c>
      <x:c r="H1337" s="84" t="str">
        <x:v>Marketplace</x:v>
      </x:c>
      <x:c r="I1337" s="84" t="str">
        <x:v>HOME-001</x:v>
      </x:c>
      <x:c r="J1337" s="86" t="n">
        <x:v>1</x:v>
      </x:c>
      <x:c r="K1337" s="87" t="n">
        <x:v>0.2</x:v>
      </x:c>
      <x:c r="L1337" s="84" t="str">
        <x:v>Completed</x:v>
      </x:c>
      <x:c r="M1337" s="84" t="str">
        <x:v>Mobile Wallet</x:v>
      </x:c>
      <x:c r="N1337" s="84" t="str">
        <x:v>Liam Parker </x:v>
      </x:c>
      <x:c r="O1337" s="85" t="n">
        <x:v>45739</x:v>
      </x:c>
      <x:c r="P1337" s="84" t="str">
        <x:v>MKT_2025_03</x:v>
      </x:c>
      <x:c r="Q1337" s="84" t="str">
        <x:v>Air Fryer</x:v>
      </x:c>
      <x:c r="R1337" s="84" t="str">
        <x:v> HOME &amp; KITCHEN </x:v>
      </x:c>
    </x:row>
    <x:row r="1338">
      <x:c r="A1338" s="84" t="str">
        <x:v>ORD-2025-01911</x:v>
      </x:c>
      <x:c r="B1338" s="85" t="n">
        <x:v>45734</x:v>
      </x:c>
      <x:c r="C1338" s="84" t="str">
        <x:v>CUST-0203</x:v>
      </x:c>
      <x:c r="D1338" s="84" t="str">
        <x:v>Jasmine Carter</x:v>
      </x:c>
      <x:c r="E1338" s="84" t="str">
        <x:v>Consumer </x:v>
      </x:c>
      <x:c r="F1338" s="84" t="str">
        <x:v>midwest</x:v>
      </x:c>
      <x:c r="G1338" s="84" t="str">
        <x:v>Detroit </x:v>
      </x:c>
      <x:c r="H1338" s="84" t="str">
        <x:v>Marketplace</x:v>
      </x:c>
      <x:c r="I1338" s="84" t="str">
        <x:v>HOME-005</x:v>
      </x:c>
      <x:c r="J1338" s="86" t="n">
        <x:v>1</x:v>
      </x:c>
      <x:c r="K1338" s="87" t="n">
        <x:v>0.05</x:v>
      </x:c>
      <x:c r="L1338" s="84" t="str">
        <x:v>Completed</x:v>
      </x:c>
      <x:c r="M1338" s="84" t="str">
        <x:v>Credit Card</x:v>
      </x:c>
      <x:c r="N1338" s="84" t="str">
        <x:v>Zoe Turner</x:v>
      </x:c>
      <x:c r="O1338" s="85" t="n">
        <x:v>45740</x:v>
      </x:c>
      <x:c r="P1338" s="84" t="str">
        <x:v>MKT_2025_03</x:v>
      </x:c>
      <x:c r="Q1338" s="84" t="str">
        <x:v>Cordless Vacuum</x:v>
      </x:c>
      <x:c r="R1338" s="84" t="str">
        <x:v>Home &amp; Kitchen</x:v>
      </x:c>
    </x:row>
    <x:row r="1339">
      <x:c r="A1339" s="84" t="str">
        <x:v>ORD-2025-00975</x:v>
      </x:c>
      <x:c r="B1339" s="85" t="n">
        <x:v>45735</x:v>
      </x:c>
      <x:c r="C1339" s="84" t="str">
        <x:v>CUST-0297</x:v>
      </x:c>
      <x:c r="D1339" s="84" t="str">
        <x:v>nathan davis</x:v>
      </x:c>
      <x:c r="E1339" s="84" t="str">
        <x:v>Consumer</x:v>
      </x:c>
      <x:c r="F1339" s="84" t="str">
        <x:v>Midwest</x:v>
      </x:c>
      <x:c r="G1339" s="84" t="str">
        <x:v>Minneapolis</x:v>
      </x:c>
      <x:c r="H1339" s="84" t="str">
        <x:v> ONLINE </x:v>
      </x:c>
      <x:c r="I1339" s="84" t="str">
        <x:v>ELEC-002</x:v>
      </x:c>
      <x:c r="J1339" s="86" t="n">
        <x:v>2</x:v>
      </x:c>
      <x:c r="K1339" s="87" t="n">
        <x:v>0.1</x:v>
      </x:c>
      <x:c r="L1339" s="84" t="str">
        <x:v>Completed</x:v>
      </x:c>
      <x:c r="M1339" s="84" t="str">
        <x:v>Debit Card</x:v>
      </x:c>
      <x:c r="N1339" s="84" t="str">
        <x:v>Lucas Grant</x:v>
      </x:c>
      <x:c r="O1339" s="85" t="n">
        <x:v>45738</x:v>
      </x:c>
      <x:c r="P1339" s="84" t="str">
        <x:v>WEB_2025_03</x:v>
      </x:c>
      <x:c r="Q1339" s="84" t="str">
        <x:v>Smartwatch</x:v>
      </x:c>
      <x:c r="R1339" s="84" t="str">
        <x:v>Electronics </x:v>
      </x:c>
    </x:row>
    <x:row r="1340">
      <x:c r="A1340" s="84" t="str">
        <x:v>ORD-2025-01047</x:v>
      </x:c>
      <x:c r="B1340" s="85" t="n">
        <x:v>45735</x:v>
      </x:c>
      <x:c r="C1340" s="84" t="str">
        <x:v>CUST-0255</x:v>
      </x:c>
      <x:c r="D1340" s="84" t="str">
        <x:v>Layla Smith</x:v>
      </x:c>
      <x:c r="E1340" s="84" t="str">
        <x:v>Consumer</x:v>
      </x:c>
      <x:c r="F1340" s="84" t="str">
        <x:v>West </x:v>
      </x:c>
      <x:c r="G1340" s="84" t="str">
        <x:v> SEATTLE </x:v>
      </x:c>
      <x:c r="H1340" s="84" t="str">
        <x:v>Online</x:v>
      </x:c>
      <x:c r="I1340" s="84" t="str">
        <x:v>HOME-002</x:v>
      </x:c>
      <x:c r="J1340" s="86" t="n">
        <x:v>1</x:v>
      </x:c>
      <x:c r="K1340" s="87" t="n">
        <x:v>0.1</x:v>
      </x:c>
      <x:c r="L1340" s="84" t="str">
        <x:v>Completed</x:v>
      </x:c>
      <x:c r="M1340" s="84" t="str">
        <x:v>PayPal</x:v>
      </x:c>
      <x:c r="N1340" s="84" t="str">
        <x:v>nora kim</x:v>
      </x:c>
      <x:c r="O1340" s="85" t="n">
        <x:v>45738</x:v>
      </x:c>
      <x:c r="P1340" s="84" t="str">
        <x:v>WEB_2025_03</x:v>
      </x:c>
      <x:c r="Q1340" s="84" t="str">
        <x:v>Electric Kettle</x:v>
      </x:c>
      <x:c r="R1340" s="84" t="str">
        <x:v>Home &amp; Kitchen</x:v>
      </x:c>
    </x:row>
    <x:row r="1341">
      <x:c r="A1341" s="84" t="str">
        <x:v>ORD-2025-02194</x:v>
      </x:c>
      <x:c r="B1341" s="85" t="n">
        <x:v>45735</x:v>
      </x:c>
      <x:c r="C1341" s="84" t="str">
        <x:v>CUST-0371</x:v>
      </x:c>
      <x:c r="D1341" s="84" t="str">
        <x:v>Sara Moore</x:v>
      </x:c>
      <x:c r="E1341" s="84" t="str">
        <x:v>Small Business</x:v>
      </x:c>
      <x:c r="F1341" s="84" t="str">
        <x:v>West</x:v>
      </x:c>
      <x:c r="G1341" s="84" t="str">
        <x:v>Seattle</x:v>
      </x:c>
      <x:c r="H1341" s="84" t="str">
        <x:v>Marketplace </x:v>
      </x:c>
      <x:c r="I1341" s="84" t="str">
        <x:v>CARE-004</x:v>
      </x:c>
      <x:c r="J1341" s="86" t="n">
        <x:v>3</x:v>
      </x:c>
      <x:c r="K1341" s="87" t="n">
        <x:v>0.15</x:v>
      </x:c>
      <x:c r="L1341" s="84" t="str">
        <x:v>Completed</x:v>
      </x:c>
      <x:c r="M1341" s="84" t="str">
        <x:v>Debit Card</x:v>
      </x:c>
      <x:c r="N1341" s="84" t="str">
        <x:v>Mia Chen</x:v>
      </x:c>
      <x:c r="O1341" s="85" t="n">
        <x:v>45741</x:v>
      </x:c>
      <x:c r="P1341" s="84" t="str">
        <x:v>MKT_2025_03</x:v>
      </x:c>
      <x:c r="Q1341" s="84" t="str">
        <x:v>Electric Toothbrush</x:v>
      </x:c>
      <x:c r="R1341" s="84" t="str">
        <x:v>Personal Care</x:v>
      </x:c>
    </x:row>
    <x:row r="1342">
      <x:c r="A1342" s="84" t="str">
        <x:v>ORD-2025-00068</x:v>
      </x:c>
      <x:c r="B1342" s="85" t="n">
        <x:v>45736</x:v>
      </x:c>
      <x:c r="C1342" s="84" t="str">
        <x:v>CUST-0166</x:v>
      </x:c>
      <x:c r="D1342" s="84" t="str">
        <x:v>Marcus Young </x:v>
      </x:c>
      <x:c r="E1342" s="84" t="str">
        <x:v> CONSUMER </x:v>
      </x:c>
      <x:c r="F1342" s="84" t="str">
        <x:v>West</x:v>
      </x:c>
      <x:c r="G1342" s="84" t="str">
        <x:v>Phoenix</x:v>
      </x:c>
      <x:c r="H1342" s="84" t="str">
        <x:v>Retail Store</x:v>
      </x:c>
      <x:c r="I1342" s="84" t="str">
        <x:v>OFFC-004</x:v>
      </x:c>
      <x:c r="J1342" s="86" t="n">
        <x:v>1</x:v>
      </x:c>
      <x:c r="K1342" s="87" t="n">
        <x:v>0.1</x:v>
      </x:c>
      <x:c r="L1342" s="84" t="str">
        <x:v>Completed</x:v>
      </x:c>
      <x:c r="M1342" s="84" t="str">
        <x:v>Debit Card </x:v>
      </x:c>
      <x:c r="N1342" s="84" t="str">
        <x:v>nora kim</x:v>
      </x:c>
      <x:c r="O1342" s="85" t="n">
        <x:v>45736</x:v>
      </x:c>
      <x:c r="P1342" s="84" t="str">
        <x:v>POS_2025_03</x:v>
      </x:c>
      <x:c r="Q1342" s="84" t="str">
        <x:v>Premium Notebook Pack</x:v>
      </x:c>
      <x:c r="R1342" s="84" t="str">
        <x:v>Office</x:v>
      </x:c>
    </x:row>
    <x:row r="1343">
      <x:c r="A1343" s="84" t="str">
        <x:v>ORD-2025-00754</x:v>
      </x:c>
      <x:c r="B1343" s="85" t="n">
        <x:v>45736</x:v>
      </x:c>
      <x:c r="C1343" s="84" t="str">
        <x:v>CUST-0208</x:v>
      </x:c>
      <x:c r="D1343" s="84" t="str">
        <x:v>Layla Patel </x:v>
      </x:c>
      <x:c r="E1343" s="84" t="str">
        <x:v>Consumer</x:v>
      </x:c>
      <x:c r="F1343" s="84" t="str">
        <x:v>West</x:v>
      </x:c>
      <x:c r="G1343" s="84" t="str">
        <x:v>Los Angeles</x:v>
      </x:c>
      <x:c r="H1343" s="84" t="str">
        <x:v> MARKETPLACE </x:v>
      </x:c>
      <x:c r="I1343" s="84" t="str">
        <x:v>ACCS-001</x:v>
      </x:c>
      <x:c r="J1343" s="86" t="n">
        <x:v>1</x:v>
      </x:c>
      <x:c r="K1343" s="87" t="n">
        <x:v>0.2</x:v>
      </x:c>
      <x:c r="L1343" s="84" t="str">
        <x:v>Completed</x:v>
      </x:c>
      <x:c r="M1343" s="84" t="str">
        <x:v>Debit Card </x:v>
      </x:c>
      <x:c r="N1343" s="84" t="str">
        <x:v>Mia Chen</x:v>
      </x:c>
      <x:c r="O1343" s="85" t="n">
        <x:v>45740</x:v>
      </x:c>
      <x:c r="P1343" s="84" t="str">
        <x:v>MKT_2025_03</x:v>
      </x:c>
      <x:c r="Q1343" s="84" t="str">
        <x:v>Canvas Tote Bag</x:v>
      </x:c>
      <x:c r="R1343" s="84" t="str">
        <x:v>Accessories</x:v>
      </x:c>
    </x:row>
    <x:row r="1344">
      <x:c r="A1344" s="84" t="str">
        <x:v>ORD-2025-01261</x:v>
      </x:c>
      <x:c r="B1344" s="85" t="n">
        <x:v>45737</x:v>
      </x:c>
      <x:c r="C1344" s="84" t="str">
        <x:v>CUST-0492</x:v>
      </x:c>
      <x:c r="D1344" s="84" t="str">
        <x:v>jonah garcia</x:v>
      </x:c>
      <x:c r="E1344" s="84" t="str">
        <x:v>Small Business</x:v>
      </x:c>
      <x:c r="F1344" s="84" t="str">
        <x:v>Southeast</x:v>
      </x:c>
      <x:c r="G1344" s="84" t="str">
        <x:v>Charlotte</x:v>
      </x:c>
      <x:c r="H1344" s="84" t="str">
        <x:v>Retail Store</x:v>
      </x:c>
      <x:c r="I1344" s="84" t="str">
        <x:v>ACCS-005</x:v>
      </x:c>
      <x:c r="J1344" s="86" t="n">
        <x:v>2</x:v>
      </x:c>
      <x:c r="K1344" s="87" t="n">
        <x:v>0</x:v>
      </x:c>
      <x:c r="L1344" s="84" t="str">
        <x:v>Completed</x:v>
      </x:c>
      <x:c r="M1344" s="84" t="str">
        <x:v>Credit Card</x:v>
      </x:c>
      <x:c r="N1344" s="84" t="str">
        <x:v> AVA MITCHELL </x:v>
      </x:c>
      <x:c r="O1344" s="85" t="n">
        <x:v>45737</x:v>
      </x:c>
      <x:c r="P1344" s="84" t="str">
        <x:v>POS_2025_03</x:v>
      </x:c>
      <x:c r="Q1344" s="84" t="str">
        <x:v>Protective Phone Case </x:v>
      </x:c>
      <x:c r="R1344" s="84" t="str">
        <x:v>Accessories</x:v>
      </x:c>
    </x:row>
    <x:row r="1345">
      <x:c r="A1345" s="84" t="str">
        <x:v>ORD-2025-01387</x:v>
      </x:c>
      <x:c r="B1345" s="85" t="n">
        <x:v>45737</x:v>
      </x:c>
      <x:c r="C1345" s="84" t="str">
        <x:v>CUST-0564</x:v>
      </x:c>
      <x:c r="D1345" s="84" t="str">
        <x:v>Amelia Khan</x:v>
      </x:c>
      <x:c r="E1345" s="84" t="str">
        <x:v>Corporate</x:v>
      </x:c>
      <x:c r="F1345" s="84" t="str">
        <x:v>Southeast</x:v>
      </x:c>
      <x:c r="G1345" s="84" t="str">
        <x:v> MIAMI </x:v>
      </x:c>
      <x:c r="H1345" s="84" t="str">
        <x:v>Online</x:v>
      </x:c>
      <x:c r="I1345" s="84" t="str">
        <x:v>OFFC-002</x:v>
      </x:c>
      <x:c r="J1345" s="86" t="n">
        <x:v>6</x:v>
      </x:c>
      <x:c r="K1345" s="87" t="n">
        <x:v>0</x:v>
      </x:c>
      <x:c r="L1345" s="84" t="str">
        <x:v>Completed</x:v>
      </x:c>
      <x:c r="M1345" s="84" t="str">
        <x:v>Credit Card</x:v>
      </x:c>
      <x:c r="N1345" s="84" t="str">
        <x:v>Liam Parker</x:v>
      </x:c>
      <x:c r="O1345" s="85" t="n">
        <x:v>45742</x:v>
      </x:c>
      <x:c r="P1345" s="84" t="str">
        <x:v>WEB_2025_03</x:v>
      </x:c>
      <x:c r="Q1345" s="84" t="str">
        <x:v>Standing Desk </x:v>
      </x:c>
      <x:c r="R1345" s="84" t="str">
        <x:v>Office</x:v>
      </x:c>
    </x:row>
    <x:row r="1346">
      <x:c r="A1346" s="84" t="str">
        <x:v>ORD-2025-02171</x:v>
      </x:c>
      <x:c r="B1346" s="85" t="n">
        <x:v>45738</x:v>
      </x:c>
      <x:c r="C1346" s="84" t="str">
        <x:v>CUST-0435</x:v>
      </x:c>
      <x:c r="D1346" s="84" t="str">
        <x:v>Maya Patel</x:v>
      </x:c>
      <x:c r="E1346" s="84" t="str">
        <x:v>Consumer</x:v>
      </x:c>
      <x:c r="F1346" s="84" t="str">
        <x:v>Northeast</x:v>
      </x:c>
      <x:c r="G1346" s="84" t="str">
        <x:v>new york</x:v>
      </x:c>
      <x:c r="H1346" s="84" t="str">
        <x:v>Retail Store</x:v>
      </x:c>
      <x:c r="I1346" s="84" t="str">
        <x:v>ELEC-003</x:v>
      </x:c>
      <x:c r="J1346" s="86" t="n">
        <x:v>1</x:v>
      </x:c>
      <x:c r="K1346" s="87" t="n">
        <x:v>0</x:v>
      </x:c>
      <x:c r="L1346" s="84" t="str">
        <x:v>completed</x:v>
      </x:c>
      <x:c r="M1346" s="84" t="str">
        <x:v>Mobile Wallet</x:v>
      </x:c>
      <x:c r="N1346" s="84" t="str">
        <x:v>Sofia Bennett</x:v>
      </x:c>
      <x:c r="O1346" s="85" t="n">
        <x:v>45739</x:v>
      </x:c>
      <x:c r="P1346" s="84" t="str">
        <x:v>POS_2025_03</x:v>
      </x:c>
      <x:c r="Q1346" s="84" t="str">
        <x:v>Bluetooth Speaker </x:v>
      </x:c>
      <x:c r="R1346" s="84" t="str">
        <x:v>Electronics</x:v>
      </x:c>
    </x:row>
    <x:row r="1347">
      <x:c r="A1347" s="84" t="str">
        <x:v>ORD-2025-02209</x:v>
      </x:c>
      <x:c r="B1347" s="85" t="n">
        <x:v>45738</x:v>
      </x:c>
      <x:c r="C1347" s="84" t="str">
        <x:v>CUST-0524</x:v>
      </x:c>
      <x:c r="D1347" s="84" t="str">
        <x:v>Elena Adams</x:v>
      </x:c>
      <x:c r="E1347" s="84" t="str">
        <x:v>Consumer</x:v>
      </x:c>
      <x:c r="F1347" s="84" t="str">
        <x:v>Midwest </x:v>
      </x:c>
      <x:c r="G1347" s="84" t="str">
        <x:v>Detroit</x:v>
      </x:c>
      <x:c r="H1347" s="84" t="str">
        <x:v>Retail Store</x:v>
      </x:c>
      <x:c r="I1347" s="84" t="str">
        <x:v>HOME-003</x:v>
      </x:c>
      <x:c r="J1347" s="86" t="n">
        <x:v>1</x:v>
      </x:c>
      <x:c r="K1347" s="87" t="n">
        <x:v>0</x:v>
      </x:c>
      <x:c r="L1347" s="84" t="str">
        <x:v>Completed</x:v>
      </x:c>
      <x:c r="M1347" s="84" t="str">
        <x:v>Debit Card</x:v>
      </x:c>
      <x:c r="N1347" s="84" t="str">
        <x:v>Emma Hayes </x:v>
      </x:c>
      <x:c r="O1347" s="85" t="n">
        <x:v>45738</x:v>
      </x:c>
      <x:c r="P1347" s="84" t="str">
        <x:v>POS_2025_03</x:v>
      </x:c>
      <x:c r="Q1347" s="84" t="str">
        <x:v>countertop blender</x:v>
      </x:c>
      <x:c r="R1347" s="84" t="str">
        <x:v>Home &amp; Kitchen</x:v>
      </x:c>
    </x:row>
    <x:row r="1348">
      <x:c r="A1348" s="84" t="str">
        <x:v>ORD-2025-02248</x:v>
      </x:c>
      <x:c r="B1348" s="85" t="n">
        <x:v>45738</x:v>
      </x:c>
      <x:c r="C1348" s="84" t="str">
        <x:v>CUST-0529</x:v>
      </x:c>
      <x:c r="D1348" s="84" t="str">
        <x:v>Grace Hall</x:v>
      </x:c>
      <x:c r="E1348" s="84" t="str">
        <x:v>Consumer</x:v>
      </x:c>
      <x:c r="F1348" s="84" t="str">
        <x:v>Northeast</x:v>
      </x:c>
      <x:c r="G1348" s="84" t="str">
        <x:v>newark</x:v>
      </x:c>
      <x:c r="H1348" s="84" t="str">
        <x:v>Online</x:v>
      </x:c>
      <x:c r="I1348" s="84" t="str">
        <x:v>ELEC-001</x:v>
      </x:c>
      <x:c r="J1348" s="86" t="n">
        <x:v>3</x:v>
      </x:c>
      <x:c r="K1348" s="87" t="n">
        <x:v>0.05</x:v>
      </x:c>
      <x:c r="L1348" s="84" t="str">
        <x:v>completed</x:v>
      </x:c>
      <x:c r="M1348" s="84" t="str">
        <x:v>Credit Card</x:v>
      </x:c>
      <x:c r="N1348" s="84" t="str">
        <x:v>Maya Brooks</x:v>
      </x:c>
      <x:c r="O1348" s="85" t="n">
        <x:v>45741</x:v>
      </x:c>
      <x:c r="P1348" s="84" t="str">
        <x:v>WEB_2025_03</x:v>
      </x:c>
      <x:c r="Q1348" s="84" t="str">
        <x:v> WIRELESS EARBUDS </x:v>
      </x:c>
      <x:c r="R1348" s="84" t="str">
        <x:v>Electronics</x:v>
      </x:c>
    </x:row>
    <x:row r="1349">
      <x:c r="A1349" s="84" t="str">
        <x:v>ORD-2025-02376</x:v>
      </x:c>
      <x:c r="B1349" s="85" t="n">
        <x:v>45738</x:v>
      </x:c>
      <x:c r="C1349" s="84" t="str">
        <x:v>CUST-0581</x:v>
      </x:c>
      <x:c r="D1349" s="84" t="str">
        <x:v>Grace Lewis</x:v>
      </x:c>
      <x:c r="E1349" s="84" t="str">
        <x:v>consumer</x:v>
      </x:c>
      <x:c r="F1349" s="84" t="str">
        <x:v>West</x:v>
      </x:c>
      <x:c r="G1349" s="84" t="str">
        <x:v>Phoenix</x:v>
      </x:c>
      <x:c r="H1349" s="84" t="str">
        <x:v>online</x:v>
      </x:c>
      <x:c r="I1349" s="84" t="str">
        <x:v>FITN-005</x:v>
      </x:c>
      <x:c r="J1349" s="86" t="n">
        <x:v>1</x:v>
      </x:c>
      <x:c r="K1349" s="87" t="n">
        <x:v>0.2</x:v>
      </x:c>
      <x:c r="L1349" s="84" t="str">
        <x:v>Completed</x:v>
      </x:c>
      <x:c r="M1349" s="84" t="str">
        <x:v>Debit Card</x:v>
      </x:c>
      <x:c r="N1349" s="84" t="str">
        <x:v>Nora Kim</x:v>
      </x:c>
      <x:c r="O1349" s="85" t="n">
        <x:v>45740</x:v>
      </x:c>
      <x:c r="P1349" s="84" t="str">
        <x:v>WEB_2025_03</x:v>
      </x:c>
      <x:c r="Q1349" s="84" t="str">
        <x:v>Sports Water Bottle</x:v>
      </x:c>
      <x:c r="R1349" s="84" t="str">
        <x:v>Fitness</x:v>
      </x:c>
    </x:row>
    <x:row r="1350">
      <x:c r="A1350" s="84" t="str">
        <x:v>ORD-2025-00434</x:v>
      </x:c>
      <x:c r="B1350" s="85" t="n">
        <x:v>45739</x:v>
      </x:c>
      <x:c r="C1350" s="84" t="str">
        <x:v>CUST-0015</x:v>
      </x:c>
      <x:c r="D1350" s="84" t="str">
        <x:v>Elena Walker</x:v>
      </x:c>
      <x:c r="E1350" s="84" t="str">
        <x:v>Consumer </x:v>
      </x:c>
      <x:c r="F1350" s="84" t="str">
        <x:v>West</x:v>
      </x:c>
      <x:c r="G1350" s="84" t="str">
        <x:v>Denver </x:v>
      </x:c>
      <x:c r="H1350" s="84" t="str">
        <x:v>Marketplace</x:v>
      </x:c>
      <x:c r="I1350" s="84" t="str">
        <x:v>ELEC-002</x:v>
      </x:c>
      <x:c r="J1350" s="86" t="n">
        <x:v>1</x:v>
      </x:c>
      <x:c r="K1350" s="87" t="n">
        <x:v>0</x:v>
      </x:c>
      <x:c r="L1350" s="84" t="str">
        <x:v>Completed</x:v>
      </x:c>
      <x:c r="M1350" s="84" t="str">
        <x:v>Credit Card</x:v>
      </x:c>
      <x:c r="N1350" s="84" t="str">
        <x:v>Nora Kim</x:v>
      </x:c>
      <x:c r="O1350" s="85" t="n">
        <x:v>45745</x:v>
      </x:c>
      <x:c r="P1350" s="84" t="str">
        <x:v>MKT_2025_03</x:v>
      </x:c>
      <x:c r="Q1350" s="84" t="str">
        <x:v>Smartwatch</x:v>
      </x:c>
      <x:c r="R1350" s="84" t="str">
        <x:v>Electronics</x:v>
      </x:c>
    </x:row>
    <x:row r="1351">
      <x:c r="A1351" s="84" t="str">
        <x:v>ORD-2025-00246</x:v>
      </x:c>
      <x:c r="B1351" s="85" t="n">
        <x:v>45740</x:v>
      </x:c>
      <x:c r="C1351" s="84" t="str">
        <x:v>CUST-0074</x:v>
      </x:c>
      <x:c r="D1351" s="84" t="str">
        <x:v>Grace Taylor</x:v>
      </x:c>
      <x:c r="E1351" s="84" t="str">
        <x:v>Consumer</x:v>
      </x:c>
      <x:c r="F1351" s="84" t="str">
        <x:v>West</x:v>
      </x:c>
      <x:c r="G1351" s="84" t="str">
        <x:v>seattle</x:v>
      </x:c>
      <x:c r="H1351" s="84" t="str">
        <x:v>Retail Store</x:v>
      </x:c>
      <x:c r="I1351" s="84" t="str">
        <x:v>ACCS-001</x:v>
      </x:c>
      <x:c r="J1351" s="86" t="n">
        <x:v>2</x:v>
      </x:c>
      <x:c r="K1351" s="87" t="n">
        <x:v>0.05</x:v>
      </x:c>
      <x:c r="L1351" s="84" t="str">
        <x:v>completed</x:v>
      </x:c>
      <x:c r="M1351" s="84" t="str">
        <x:v>Cash</x:v>
      </x:c>
      <x:c r="N1351" s="84" t="str">
        <x:v>Mia Chen</x:v>
      </x:c>
      <x:c r="O1351" s="85" t="n">
        <x:v>45740</x:v>
      </x:c>
      <x:c r="P1351" s="84" t="str">
        <x:v>POS_2025_03</x:v>
      </x:c>
      <x:c r="Q1351" s="84" t="str">
        <x:v>Canvas Tote Bag </x:v>
      </x:c>
      <x:c r="R1351" s="84" t="str">
        <x:v>Accessories</x:v>
      </x:c>
    </x:row>
    <x:row r="1352">
      <x:c r="A1352" s="84" t="str">
        <x:v>ORD-2025-00724</x:v>
      </x:c>
      <x:c r="B1352" s="85" t="n">
        <x:v>45740</x:v>
      </x:c>
      <x:c r="C1352" s="84" t="str">
        <x:v>CUST-0422</x:v>
      </x:c>
      <x:c r="D1352" s="84" t="str">
        <x:v>William Adams</x:v>
      </x:c>
      <x:c r="E1352" s="84" t="str">
        <x:v>Consumer</x:v>
      </x:c>
      <x:c r="F1352" s="84" t="str">
        <x:v>Midwest</x:v>
      </x:c>
      <x:c r="G1352" s="84" t="str">
        <x:v> DETROIT </x:v>
      </x:c>
      <x:c r="H1352" s="84" t="str">
        <x:v>Marketplace </x:v>
      </x:c>
      <x:c r="I1352" s="84" t="str">
        <x:v>ELEC-001</x:v>
      </x:c>
      <x:c r="J1352" s="86" t="n">
        <x:v>2</x:v>
      </x:c>
      <x:c r="K1352" s="87" t="n">
        <x:v>0</x:v>
      </x:c>
      <x:c r="L1352" s="84" t="str">
        <x:v>Completed</x:v>
      </x:c>
      <x:c r="M1352" s="84" t="str">
        <x:v>Debit Card</x:v>
      </x:c>
      <x:c r="N1352" s="84" t="str">
        <x:v>Zoe Turner</x:v>
      </x:c>
      <x:c r="O1352" s="85" t="n">
        <x:v>45743</x:v>
      </x:c>
      <x:c r="P1352" s="84" t="str">
        <x:v>MKT_2025_03</x:v>
      </x:c>
      <x:c r="Q1352" s="84" t="str">
        <x:v>wireless earbuds</x:v>
      </x:c>
      <x:c r="R1352" s="84" t="str">
        <x:v>Electronics</x:v>
      </x:c>
    </x:row>
    <x:row r="1353">
      <x:c r="A1353" s="84" t="str">
        <x:v>ORD-2025-00814</x:v>
      </x:c>
      <x:c r="B1353" s="85" t="n">
        <x:v>45740</x:v>
      </x:c>
      <x:c r="C1353" s="84" t="str">
        <x:v>CUST-0262</x:v>
      </x:c>
      <x:c r="D1353" s="84" t="str">
        <x:v>Owen Carter</x:v>
      </x:c>
      <x:c r="E1353" s="84" t="str">
        <x:v>small business</x:v>
      </x:c>
      <x:c r="F1353" s="84" t="str">
        <x:v>Northeast</x:v>
      </x:c>
      <x:c r="G1353" s="84" t="str">
        <x:v>New York</x:v>
      </x:c>
      <x:c r="H1353" s="84" t="str">
        <x:v>online</x:v>
      </x:c>
      <x:c r="I1353" s="84" t="str">
        <x:v>HOME-004</x:v>
      </x:c>
      <x:c r="J1353" s="86" t="n">
        <x:v>1</x:v>
      </x:c>
      <x:c r="K1353" s="87" t="n">
        <x:v>0.05</x:v>
      </x:c>
      <x:c r="L1353" s="84" t="str">
        <x:v>Completed</x:v>
      </x:c>
      <x:c r="M1353" s="84" t="str">
        <x:v>Debit Card</x:v>
      </x:c>
      <x:c r="N1353" s="84" t="str">
        <x:v>Ethan Cole</x:v>
      </x:c>
      <x:c r="O1353" s="85" t="n">
        <x:v>45744</x:v>
      </x:c>
      <x:c r="P1353" s="84" t="str">
        <x:v>WEB_2025_03</x:v>
      </x:c>
      <x:c r="Q1353" s="84" t="str">
        <x:v>Coffee Maker</x:v>
      </x:c>
      <x:c r="R1353" s="84" t="str">
        <x:v> HOME &amp; KITCHEN </x:v>
      </x:c>
    </x:row>
    <x:row r="1354">
      <x:c r="A1354" s="84" t="str">
        <x:v>ORD-2025-00851</x:v>
      </x:c>
      <x:c r="B1354" s="85" t="n">
        <x:v>45740</x:v>
      </x:c>
      <x:c r="C1354" s="84" t="str">
        <x:v>CUST-0279</x:v>
      </x:c>
      <x:c r="D1354" s="84" t="str">
        <x:v>Priya Johnson</x:v>
      </x:c>
      <x:c r="E1354" s="84" t="str">
        <x:v>Consumer</x:v>
      </x:c>
      <x:c r="F1354" s="84" t="str">
        <x:v>West </x:v>
      </x:c>
      <x:c r="G1354" s="84" t="str">
        <x:v>seattle</x:v>
      </x:c>
      <x:c r="H1354" s="84" t="str">
        <x:v>Marketplace</x:v>
      </x:c>
      <x:c r="I1354" s="84" t="str">
        <x:v>OFFC-006</x:v>
      </x:c>
      <x:c r="J1354" s="86" t="n">
        <x:v>1</x:v>
      </x:c>
      <x:c r="K1354" s="87" t="n">
        <x:v>0.2</x:v>
      </x:c>
      <x:c r="L1354" s="84" t="str">
        <x:v>completed</x:v>
      </x:c>
      <x:c r="M1354" s="84" t="str">
        <x:v>Credit Card</x:v>
      </x:c>
      <x:c r="N1354" s="84" t="str">
        <x:v>Nora Kim </x:v>
      </x:c>
      <x:c r="O1354" s="85" t="n">
        <x:v>45745</x:v>
      </x:c>
      <x:c r="P1354" s="84" t="str">
        <x:v>MKT_2025_03</x:v>
      </x:c>
      <x:c r="Q1354" s="84" t="str">
        <x:v>Monitor Stand</x:v>
      </x:c>
      <x:c r="R1354" s="84" t="str">
        <x:v>Office</x:v>
      </x:c>
    </x:row>
    <x:row r="1355">
      <x:c r="A1355" s="84" t="str">
        <x:v>ORD-2025-01619</x:v>
      </x:c>
      <x:c r="B1355" s="85" t="n">
        <x:v>45740</x:v>
      </x:c>
      <x:c r="C1355" s="84" t="str">
        <x:v>CUST-0398</x:v>
      </x:c>
      <x:c r="D1355" s="84" t="str">
        <x:v>Daniel Baker</x:v>
      </x:c>
      <x:c r="E1355" s="84" t="str">
        <x:v>Consumer</x:v>
      </x:c>
      <x:c r="F1355" s="84" t="str">
        <x:v>Northeast</x:v>
      </x:c>
      <x:c r="G1355" s="84" t="str">
        <x:v>New York</x:v>
      </x:c>
      <x:c r="H1355" s="84" t="str">
        <x:v>Online</x:v>
      </x:c>
      <x:c r="I1355" s="84" t="str">
        <x:v>CARE-005</x:v>
      </x:c>
      <x:c r="J1355" s="86" t="n">
        <x:v>2</x:v>
      </x:c>
      <x:c r="K1355" s="87" t="n">
        <x:v>0.1</x:v>
      </x:c>
      <x:c r="L1355" s="84" t="str">
        <x:v>Completed</x:v>
      </x:c>
      <x:c r="M1355" s="84" t="str">
        <x:v>Credit Card</x:v>
      </x:c>
      <x:c r="N1355" s="84" t="str">
        <x:v>maya brooks</x:v>
      </x:c>
      <x:c r="O1355" s="85" t="n">
        <x:v>45743</x:v>
      </x:c>
      <x:c r="P1355" s="84" t="str">
        <x:v>WEB_2025_03</x:v>
      </x:c>
      <x:c r="Q1355" s="84" t="str">
        <x:v> SKIN CARE STARTER KIT </x:v>
      </x:c>
      <x:c r="R1355" s="84" t="str">
        <x:v>Personal Care </x:v>
      </x:c>
    </x:row>
    <x:row r="1356">
      <x:c r="A1356" s="84" t="str">
        <x:v>ORD-2025-01211</x:v>
      </x:c>
      <x:c r="B1356" s="85" t="n">
        <x:v>45741</x:v>
      </x:c>
      <x:c r="C1356" s="84" t="str">
        <x:v>CUST-0322</x:v>
      </x:c>
      <x:c r="D1356" s="84" t="str">
        <x:v>Jasmine Khan</x:v>
      </x:c>
      <x:c r="E1356" s="84" t="str">
        <x:v>Corporate </x:v>
      </x:c>
      <x:c r="F1356" s="84" t="str">
        <x:v>Southeast</x:v>
      </x:c>
      <x:c r="G1356" s="84" t="str">
        <x:v>Atlanta </x:v>
      </x:c>
      <x:c r="H1356" s="84" t="str">
        <x:v>Retail Store</x:v>
      </x:c>
      <x:c r="I1356" s="84" t="str">
        <x:v>OFFC-005</x:v>
      </x:c>
      <x:c r="J1356" s="86" t="n">
        <x:v>8</x:v>
      </x:c>
      <x:c r="K1356" s="87" t="n">
        <x:v>0</x:v>
      </x:c>
      <x:c r="L1356" s="84" t="str">
        <x:v>Completed</x:v>
      </x:c>
      <x:c r="M1356" s="84" t="str">
        <x:v>Credit Card</x:v>
      </x:c>
      <x:c r="N1356" s="84" t="str">
        <x:v>Ava Mitchell</x:v>
      </x:c>
      <x:c r="O1356" s="85" t="n">
        <x:v>45741</x:v>
      </x:c>
      <x:c r="P1356" s="84" t="str">
        <x:v>POS_2025_03</x:v>
      </x:c>
      <x:c r="Q1356" s="84" t="str">
        <x:v> WIRELESS KEYBOARD </x:v>
      </x:c>
      <x:c r="R1356" s="84" t="str">
        <x:v>Office</x:v>
      </x:c>
    </x:row>
    <x:row r="1357">
      <x:c r="A1357" s="84" t="str">
        <x:v>ORD-2025-00553</x:v>
      </x:c>
      <x:c r="B1357" s="85" t="n">
        <x:v>45742</x:v>
      </x:c>
      <x:c r="C1357" s="84" t="str">
        <x:v>CUST-0311</x:v>
      </x:c>
      <x:c r="D1357" s="84" t="str">
        <x:v>Amelia Evans</x:v>
      </x:c>
      <x:c r="E1357" s="84" t="str">
        <x:v>Consumer </x:v>
      </x:c>
      <x:c r="F1357" s="84" t="str">
        <x:v>Midwest</x:v>
      </x:c>
      <x:c r="G1357" s="84" t="str">
        <x:v>Detroit </x:v>
      </x:c>
      <x:c r="H1357" s="84" t="str">
        <x:v>Retail Store</x:v>
      </x:c>
      <x:c r="I1357" s="84" t="str">
        <x:v>ACCS-005</x:v>
      </x:c>
      <x:c r="J1357" s="86" t="n">
        <x:v>1</x:v>
      </x:c>
      <x:c r="K1357" s="87" t="n">
        <x:v>0</x:v>
      </x:c>
      <x:c r="L1357" s="84" t="str">
        <x:v>Completed</x:v>
      </x:c>
      <x:c r="M1357" s="84" t="str">
        <x:v>Debit Card</x:v>
      </x:c>
      <x:c r="N1357" s="84" t="str">
        <x:v>Lucas Grant</x:v>
      </x:c>
      <x:c r="O1357" s="85" t="n">
        <x:v>45742</x:v>
      </x:c>
      <x:c r="P1357" s="84" t="str">
        <x:v>POS_2025_03</x:v>
      </x:c>
      <x:c r="Q1357" s="84" t="str">
        <x:v>Protective Phone Case</x:v>
      </x:c>
      <x:c r="R1357" s="84" t="str">
        <x:v>accessories</x:v>
      </x:c>
    </x:row>
    <x:row r="1358">
      <x:c r="A1358" s="84" t="str">
        <x:v>ORD-2025-01981</x:v>
      </x:c>
      <x:c r="B1358" s="85" t="n">
        <x:v>45743</x:v>
      </x:c>
      <x:c r="C1358" s="84" t="str">
        <x:v>CUST-0531</x:v>
      </x:c>
      <x:c r="D1358" s="84" t="str">
        <x:v>Grace Ortiz</x:v>
      </x:c>
      <x:c r="E1358" s="84" t="str">
        <x:v>Small Business </x:v>
      </x:c>
      <x:c r="F1358" s="84" t="str">
        <x:v>Northeast</x:v>
      </x:c>
      <x:c r="G1358" s="84" t="str">
        <x:v>Newark </x:v>
      </x:c>
      <x:c r="H1358" s="84" t="str">
        <x:v>Online</x:v>
      </x:c>
      <x:c r="I1358" s="84" t="str">
        <x:v>ACCS-002</x:v>
      </x:c>
      <x:c r="J1358" s="86" t="n">
        <x:v>2</x:v>
      </x:c>
      <x:c r="K1358" s="87" t="n">
        <x:v>0</x:v>
      </x:c>
      <x:c r="L1358" s="84" t="str">
        <x:v>Completed</x:v>
      </x:c>
      <x:c r="M1358" s="84" t="str">
        <x:v>Credit Card</x:v>
      </x:c>
      <x:c r="N1358" s="84" t="str">
        <x:v>Ethan Cole</x:v>
      </x:c>
      <x:c r="O1358" s="85" t="n">
        <x:v>45747</x:v>
      </x:c>
      <x:c r="P1358" s="84" t="str">
        <x:v>WEB_2025_03</x:v>
      </x:c>
      <x:c r="Q1358" s="84" t="str">
        <x:v>Travel Backpack</x:v>
      </x:c>
      <x:c r="R1358" s="84" t="str">
        <x:v>Accessories</x:v>
      </x:c>
    </x:row>
    <x:row r="1359">
      <x:c r="A1359" s="84" t="str">
        <x:v>ORD-2025-00548</x:v>
      </x:c>
      <x:c r="B1359" s="85" t="n">
        <x:v>45744</x:v>
      </x:c>
      <x:c r="C1359" s="84" t="str">
        <x:v>CUST-0255</x:v>
      </x:c>
      <x:c r="D1359" s="84" t="str">
        <x:v>Layla Smith</x:v>
      </x:c>
      <x:c r="E1359" s="84" t="str">
        <x:v>Consumer</x:v>
      </x:c>
      <x:c r="F1359" s="84" t="str">
        <x:v>West</x:v>
      </x:c>
      <x:c r="G1359" s="84" t="str">
        <x:v>Seattle</x:v>
      </x:c>
      <x:c r="H1359" s="84" t="str">
        <x:v>Marketplace</x:v>
      </x:c>
      <x:c r="I1359" s="84" t="str">
        <x:v>HOME-001</x:v>
      </x:c>
      <x:c r="J1359" s="86" t="n">
        <x:v>1</x:v>
      </x:c>
      <x:c r="K1359" s="87" t="n">
        <x:v>0.15</x:v>
      </x:c>
      <x:c r="L1359" s="84" t="str">
        <x:v>Completed</x:v>
      </x:c>
      <x:c r="M1359" s="84" t="str">
        <x:v>PayPal</x:v>
      </x:c>
      <x:c r="N1359" s="84" t="str">
        <x:v>Nora Kim</x:v>
      </x:c>
      <x:c r="O1359" s="85" t="n">
        <x:v>45749</x:v>
      </x:c>
      <x:c r="P1359" s="84" t="str">
        <x:v>MKT_2025_03</x:v>
      </x:c>
      <x:c r="Q1359" s="84" t="str">
        <x:v> AIR FRYER </x:v>
      </x:c>
      <x:c r="R1359" s="84" t="str">
        <x:v>Home &amp; Kitchen </x:v>
      </x:c>
    </x:row>
    <x:row r="1360">
      <x:c r="A1360" s="84" t="str">
        <x:v>ORD-2025-01691</x:v>
      </x:c>
      <x:c r="B1360" s="85" t="n">
        <x:v>45744</x:v>
      </x:c>
      <x:c r="C1360" s="84" t="str">
        <x:v>CUST-0429</x:v>
      </x:c>
      <x:c r="D1360" s="84" t="str">
        <x:v>Maya Smith</x:v>
      </x:c>
      <x:c r="E1360" s="84" t="str">
        <x:v>Small Business</x:v>
      </x:c>
      <x:c r="F1360" s="84" t="str">
        <x:v>west</x:v>
      </x:c>
      <x:c r="G1360" s="84" t="str">
        <x:v>Los Angeles</x:v>
      </x:c>
      <x:c r="H1360" s="84" t="str">
        <x:v>Online</x:v>
      </x:c>
      <x:c r="I1360" s="84" t="str">
        <x:v>ELEC-006</x:v>
      </x:c>
      <x:c r="J1360" s="86" t="n">
        <x:v>1</x:v>
      </x:c>
      <x:c r="K1360" s="87" t="n">
        <x:v>0</x:v>
      </x:c>
      <x:c r="L1360" s="84" t="str">
        <x:v>Completed</x:v>
      </x:c>
      <x:c r="M1360" s="84" t="str">
        <x:v>Credit Card</x:v>
      </x:c>
      <x:c r="N1360" s="84" t="str">
        <x:v>Nora Kim </x:v>
      </x:c>
      <x:c r="O1360" s="85" t="n">
        <x:v>45749</x:v>
      </x:c>
      <x:c r="P1360" s="84" t="str">
        <x:v>WEB_2025_03</x:v>
      </x:c>
      <x:c r="Q1360" s="84" t="str">
        <x:v>Portable SSD</x:v>
      </x:c>
      <x:c r="R1360" s="84" t="str">
        <x:v>Electronics</x:v>
      </x:c>
    </x:row>
    <x:row r="1361">
      <x:c r="A1361" s="84" t="str">
        <x:v>ORD-2025-01789</x:v>
      </x:c>
      <x:c r="B1361" s="85" t="n">
        <x:v>45744</x:v>
      </x:c>
      <x:c r="C1361" s="84" t="str">
        <x:v>CUST-0494</x:v>
      </x:c>
      <x:c r="D1361" s="84" t="str">
        <x:v>zara taylor</x:v>
      </x:c>
      <x:c r="E1361" s="84" t="str">
        <x:v>Consumer</x:v>
      </x:c>
      <x:c r="F1361" s="84" t="str">
        <x:v>Southeast </x:v>
      </x:c>
      <x:c r="G1361" s="84" t="str">
        <x:v>Atlanta</x:v>
      </x:c>
      <x:c r="H1361" s="84" t="str">
        <x:v>Marketplace</x:v>
      </x:c>
      <x:c r="I1361" s="84" t="str">
        <x:v>OFFC-006</x:v>
      </x:c>
      <x:c r="J1361" s="86" t="n">
        <x:v>1</x:v>
      </x:c>
      <x:c r="K1361" s="87" t="n">
        <x:v>0</x:v>
      </x:c>
      <x:c r="L1361" s="84" t="str">
        <x:v>Completed</x:v>
      </x:c>
      <x:c r="M1361" s="84" t="str">
        <x:v>Debit Card</x:v>
      </x:c>
      <x:c r="N1361" s="84" t="str">
        <x:v>Noah Reed </x:v>
      </x:c>
      <x:c r="O1361" s="85" t="n">
        <x:v>45749</x:v>
      </x:c>
      <x:c r="P1361" s="84" t="str">
        <x:v>MKT_2025_03</x:v>
      </x:c>
      <x:c r="Q1361" s="84" t="str">
        <x:v> MONITOR STAND </x:v>
      </x:c>
      <x:c r="R1361" s="84" t="str">
        <x:v>Office</x:v>
      </x:c>
    </x:row>
    <x:row r="1362">
      <x:c r="A1362" s="84" t="str">
        <x:v>ORD-2025-00178</x:v>
      </x:c>
      <x:c r="B1362" s="85" t="n">
        <x:v>45745</x:v>
      </x:c>
      <x:c r="C1362" s="84" t="str">
        <x:v>CUST-0560</x:v>
      </x:c>
      <x:c r="D1362" s="84" t="str">
        <x:v>Sara Khan</x:v>
      </x:c>
      <x:c r="E1362" s="84" t="str">
        <x:v>Consumer</x:v>
      </x:c>
      <x:c r="F1362" s="84" t="str">
        <x:v>Northeast</x:v>
      </x:c>
      <x:c r="G1362" s="84" t="str">
        <x:v>Philadelphia</x:v>
      </x:c>
      <x:c r="H1362" s="84" t="str">
        <x:v>Retail Store </x:v>
      </x:c>
      <x:c r="I1362" s="84" t="str">
        <x:v>CARE-001</x:v>
      </x:c>
      <x:c r="J1362" s="86" t="n">
        <x:v>2</x:v>
      </x:c>
      <x:c r="K1362" s="87" t="n">
        <x:v>0</x:v>
      </x:c>
      <x:c r="L1362" s="84" t="str">
        <x:v>Completed</x:v>
      </x:c>
      <x:c r="M1362" s="84" t="str">
        <x:v>Credit Card</x:v>
      </x:c>
      <x:c r="N1362" s="84" t="str">
        <x:v>ethan cole</x:v>
      </x:c>
      <x:c r="O1362" s="85" t="n">
        <x:v>45745</x:v>
      </x:c>
      <x:c r="P1362" s="84" t="str">
        <x:v>POS_2025_03</x:v>
      </x:c>
      <x:c r="Q1362" s="84" t="str">
        <x:v>Ionic Hair Dryer</x:v>
      </x:c>
      <x:c r="R1362" s="84" t="str">
        <x:v>Personal Care</x:v>
      </x:c>
    </x:row>
    <x:row r="1363">
      <x:c r="A1363" s="84" t="str">
        <x:v>ORD-2025-00708</x:v>
      </x:c>
      <x:c r="B1363" s="85" t="n">
        <x:v>45745</x:v>
      </x:c>
      <x:c r="C1363" s="84" t="str">
        <x:v>CUST-0543</x:v>
      </x:c>
      <x:c r="D1363" s="84" t="str">
        <x:v>Marcus Quinn</x:v>
      </x:c>
      <x:c r="E1363" s="84" t="str">
        <x:v>Consumer</x:v>
      </x:c>
      <x:c r="F1363" s="84" t="str">
        <x:v>Southeast</x:v>
      </x:c>
      <x:c r="G1363" s="84" t="str">
        <x:v>charlotte</x:v>
      </x:c>
      <x:c r="H1363" s="84" t="str">
        <x:v>Online</x:v>
      </x:c>
      <x:c r="I1363" s="84" t="str">
        <x:v>ACCS-004</x:v>
      </x:c>
      <x:c r="J1363" s="86" t="n">
        <x:v>3</x:v>
      </x:c>
      <x:c r="K1363" s="87" t="n">
        <x:v>0</x:v>
      </x:c>
      <x:c r="L1363" s="84" t="str">
        <x:v>completed</x:v>
      </x:c>
      <x:c r="M1363" s="84" t="str">
        <x:v> CREDIT CARD </x:v>
      </x:c>
      <x:c r="N1363" s="84" t="str">
        <x:v>Liam Parker</x:v>
      </x:c>
      <x:c r="O1363" s="85" t="n">
        <x:v>45747</x:v>
      </x:c>
      <x:c r="P1363" s="84" t="str">
        <x:v>WEB_2025_03</x:v>
      </x:c>
      <x:c r="Q1363" s="84" t="str">
        <x:v>Leather Wallet </x:v>
      </x:c>
      <x:c r="R1363" s="84" t="str">
        <x:v>Accessories</x:v>
      </x:c>
    </x:row>
    <x:row r="1364">
      <x:c r="A1364" s="84" t="str">
        <x:v>ORD-2025-01100</x:v>
      </x:c>
      <x:c r="B1364" s="85" t="n">
        <x:v>45745</x:v>
      </x:c>
      <x:c r="C1364" s="84" t="str">
        <x:v>CUST-0548</x:v>
      </x:c>
      <x:c r="D1364" s="84" t="str">
        <x:v>Maya Foster</x:v>
      </x:c>
      <x:c r="E1364" s="84" t="str">
        <x:v>consumer</x:v>
      </x:c>
      <x:c r="F1364" s="84" t="str">
        <x:v>Southeast</x:v>
      </x:c>
      <x:c r="G1364" s="84" t="str">
        <x:v>Miami</x:v>
      </x:c>
      <x:c r="H1364" s="84" t="str">
        <x:v>marketplace</x:v>
      </x:c>
      <x:c r="I1364" s="84" t="str">
        <x:v>OFFC-006</x:v>
      </x:c>
      <x:c r="J1364" s="86" t="n">
        <x:v>1</x:v>
      </x:c>
      <x:c r="K1364" s="87" t="n">
        <x:v>0.15</x:v>
      </x:c>
      <x:c r="L1364" s="84" t="str">
        <x:v>Completed</x:v>
      </x:c>
      <x:c r="M1364" s="84" t="str">
        <x:v>Credit Card</x:v>
      </x:c>
      <x:c r="N1364" s="84" t="str">
        <x:v>Noah Reed</x:v>
      </x:c>
      <x:c r="O1364" s="85" t="n">
        <x:v>45753</x:v>
      </x:c>
      <x:c r="P1364" s="84" t="str">
        <x:v>MKT_2025_03</x:v>
      </x:c>
      <x:c r="Q1364" s="84" t="str">
        <x:v>Monitor Stand </x:v>
      </x:c>
      <x:c r="R1364" s="84" t="str">
        <x:v>Office</x:v>
      </x:c>
    </x:row>
    <x:row r="1365">
      <x:c r="A1365" s="84" t="str">
        <x:v>ORD-2025-01378</x:v>
      </x:c>
      <x:c r="B1365" s="85" t="n">
        <x:v>45745</x:v>
      </x:c>
      <x:c r="C1365" s="84" t="str">
        <x:v>CUST-0262</x:v>
      </x:c>
      <x:c r="D1365" s="84" t="str">
        <x:v>Owen Carter</x:v>
      </x:c>
      <x:c r="E1365" s="84" t="str">
        <x:v>Small Business</x:v>
      </x:c>
      <x:c r="F1365" s="84" t="str">
        <x:v>Northeast</x:v>
      </x:c>
      <x:c r="G1365" s="84" t="str">
        <x:v>New York</x:v>
      </x:c>
      <x:c r="H1365" s="84" t="str">
        <x:v>Retail Store</x:v>
      </x:c>
      <x:c r="I1365" s="84" t="str">
        <x:v>FITN-005</x:v>
      </x:c>
      <x:c r="J1365" s="86" t="n">
        <x:v>1</x:v>
      </x:c>
      <x:c r="K1365" s="87" t="n">
        <x:v>0.15</x:v>
      </x:c>
      <x:c r="L1365" s="84" t="str">
        <x:v>Completed </x:v>
      </x:c>
      <x:c r="M1365" s="84" t="str">
        <x:v>Credit Card</x:v>
      </x:c>
      <x:c r="N1365" s="84" t="str">
        <x:v>Maya Brooks</x:v>
      </x:c>
      <x:c r="O1365" s="85" t="n">
        <x:v>45745</x:v>
      </x:c>
      <x:c r="P1365" s="84" t="str">
        <x:v>POS_2025_03</x:v>
      </x:c>
      <x:c r="Q1365" s="84" t="str">
        <x:v>Sports Water Bottle</x:v>
      </x:c>
      <x:c r="R1365" s="84" t="str">
        <x:v>fitness</x:v>
      </x:c>
    </x:row>
    <x:row r="1366">
      <x:c r="A1366" s="84" t="str">
        <x:v>ORD-2025-01754</x:v>
      </x:c>
      <x:c r="B1366" s="85" t="n">
        <x:v>45745</x:v>
      </x:c>
      <x:c r="C1366" s="84" t="str">
        <x:v>CUST-0190</x:v>
      </x:c>
      <x:c r="D1366" s="84" t="str">
        <x:v>Samuel Evans</x:v>
      </x:c>
      <x:c r="E1366" s="84" t="str">
        <x:v>Consumer</x:v>
      </x:c>
      <x:c r="F1366" s="84" t="str">
        <x:v>Midwest </x:v>
      </x:c>
      <x:c r="G1366" s="84" t="str">
        <x:v>Detroit</x:v>
      </x:c>
      <x:c r="H1366" s="84" t="str">
        <x:v>Retail Store</x:v>
      </x:c>
      <x:c r="I1366" s="84" t="str">
        <x:v>ELEC-002</x:v>
      </x:c>
      <x:c r="J1366" s="86" t="n">
        <x:v>3</x:v>
      </x:c>
      <x:c r="K1366" s="87" t="n">
        <x:v>0.15</x:v>
      </x:c>
      <x:c r="L1366" s="84" t="str">
        <x:v>Completed</x:v>
      </x:c>
      <x:c r="M1366" s="84" t="str">
        <x:v>Mobile Wallet</x:v>
      </x:c>
      <x:c r="N1366" s="84" t="str">
        <x:v> LUCAS GRANT </x:v>
      </x:c>
      <x:c r="O1366" s="85" t="n">
        <x:v>45745</x:v>
      </x:c>
      <x:c r="P1366" s="84" t="str">
        <x:v>POS_2025_03</x:v>
      </x:c>
      <x:c r="Q1366" s="84" t="str">
        <x:v>Smartwatch</x:v>
      </x:c>
      <x:c r="R1366" s="84" t="str">
        <x:v>Electronics</x:v>
      </x:c>
    </x:row>
    <x:row r="1367">
      <x:c r="A1367" s="84" t="str">
        <x:v>ORD-2025-00020</x:v>
      </x:c>
      <x:c r="B1367" s="85" t="n">
        <x:v>45746</x:v>
      </x:c>
      <x:c r="C1367" s="84" t="str">
        <x:v>CUST-0031</x:v>
      </x:c>
      <x:c r="D1367" s="84" t="str">
        <x:v>Theo Smith</x:v>
      </x:c>
      <x:c r="E1367" s="84" t="str">
        <x:v>Consumer</x:v>
      </x:c>
      <x:c r="F1367" s="84" t="str">
        <x:v>Southeast</x:v>
      </x:c>
      <x:c r="G1367" s="84" t="str">
        <x:v>Atlanta</x:v>
      </x:c>
      <x:c r="H1367" s="84" t="str">
        <x:v>Marketplace</x:v>
      </x:c>
      <x:c r="I1367" s="84" t="str">
        <x:v>FITN-003</x:v>
      </x:c>
      <x:c r="J1367" s="86" t="n">
        <x:v>2</x:v>
      </x:c>
      <x:c r="K1367" s="87" t="n">
        <x:v>0</x:v>
      </x:c>
      <x:c r="L1367" s="84" t="str">
        <x:v>Completed </x:v>
      </x:c>
      <x:c r="M1367" s="84" t="str">
        <x:v>Credit Card</x:v>
      </x:c>
      <x:c r="N1367" s="84" t="str">
        <x:v> LIAM PARKER </x:v>
      </x:c>
      <x:c r="O1367" s="85" t="n">
        <x:v>45753</x:v>
      </x:c>
      <x:c r="P1367" s="84" t="str">
        <x:v>MKT_2025_03</x:v>
      </x:c>
      <x:c r="Q1367" s="84" t="str">
        <x:v>resistance band set</x:v>
      </x:c>
      <x:c r="R1367" s="84" t="str">
        <x:v>Fitness</x:v>
      </x:c>
    </x:row>
    <x:row r="1368">
      <x:c r="A1368" s="84" t="str">
        <x:v>ORD-2025-00103</x:v>
      </x:c>
      <x:c r="B1368" s="85" t="n">
        <x:v>45746</x:v>
      </x:c>
      <x:c r="C1368" s="84" t="str">
        <x:v>CUST-0144</x:v>
      </x:c>
      <x:c r="D1368" s="84" t="str">
        <x:v>Grace Patel </x:v>
      </x:c>
      <x:c r="E1368" s="84" t="str">
        <x:v>Corporate</x:v>
      </x:c>
      <x:c r="F1368" s="84" t="str">
        <x:v>West</x:v>
      </x:c>
      <x:c r="G1368" s="84" t="str">
        <x:v>phoenix</x:v>
      </x:c>
      <x:c r="H1368" s="84" t="str">
        <x:v>Retail Store</x:v>
      </x:c>
      <x:c r="I1368" s="84" t="str">
        <x:v>ACCS-004</x:v>
      </x:c>
      <x:c r="J1368" s="86" t="n">
        <x:v>3</x:v>
      </x:c>
      <x:c r="K1368" s="87" t="n">
        <x:v>0</x:v>
      </x:c>
      <x:c r="L1368" s="84" t="str">
        <x:v>completed</x:v>
      </x:c>
      <x:c r="M1368" s="84" t="str">
        <x:v>Debit Card </x:v>
      </x:c>
      <x:c r="N1368" s="84" t="str">
        <x:v>Mia Chen</x:v>
      </x:c>
      <x:c r="O1368" s="85" t="n">
        <x:v>45746</x:v>
      </x:c>
      <x:c r="P1368" s="84" t="str">
        <x:v>POS_2025_03</x:v>
      </x:c>
      <x:c r="Q1368" s="84" t="str">
        <x:v>Leather Wallet</x:v>
      </x:c>
      <x:c r="R1368" s="84" t="str">
        <x:v>Accessories</x:v>
      </x:c>
    </x:row>
    <x:row r="1369">
      <x:c r="A1369" s="84" t="str">
        <x:v>ORD-2025-00992</x:v>
      </x:c>
      <x:c r="B1369" s="85" t="n">
        <x:v>45747</x:v>
      </x:c>
      <x:c r="C1369" s="84" t="str">
        <x:v>CUST-0152</x:v>
      </x:c>
      <x:c r="D1369" s="84" t="str">
        <x:v>Aiden Ortiz </x:v>
      </x:c>
      <x:c r="E1369" s="84" t="str">
        <x:v>Consumer</x:v>
      </x:c>
      <x:c r="F1369" s="84" t="str">
        <x:v>West</x:v>
      </x:c>
      <x:c r="G1369" s="84" t="str">
        <x:v>Denver</x:v>
      </x:c>
      <x:c r="H1369" s="84" t="str">
        <x:v> ONLINE </x:v>
      </x:c>
      <x:c r="I1369" s="84" t="str">
        <x:v>OFFC-003</x:v>
      </x:c>
      <x:c r="J1369" s="86" t="n">
        <x:v>1</x:v>
      </x:c>
      <x:c r="K1369" s="87" t="n">
        <x:v>0.15</x:v>
      </x:c>
      <x:c r="L1369" s="84" t="str">
        <x:v>Completed</x:v>
      </x:c>
      <x:c r="M1369" s="84" t="str">
        <x:v>PayPal </x:v>
      </x:c>
      <x:c r="N1369" s="84" t="str">
        <x:v>mia chen</x:v>
      </x:c>
      <x:c r="O1369" s="85" t="n">
        <x:v>45750</x:v>
      </x:c>
      <x:c r="P1369" s="84" t="str">
        <x:v>WEB_2025_03</x:v>
      </x:c>
      <x:c r="Q1369" s="84" t="str">
        <x:v>LED Desk Lamp</x:v>
      </x:c>
      <x:c r="R1369" s="84" t="str">
        <x:v>Office</x:v>
      </x:c>
    </x:row>
    <x:row r="1370">
      <x:c r="A1370" s="84" t="str">
        <x:v>ORD-2025-02339</x:v>
      </x:c>
      <x:c r="B1370" s="85" t="n">
        <x:v>45747</x:v>
      </x:c>
      <x:c r="C1370" s="84" t="str">
        <x:v>CUST-0119</x:v>
      </x:c>
      <x:c r="D1370" s="84" t="str">
        <x:v>grace nelson</x:v>
      </x:c>
      <x:c r="E1370" s="84" t="str">
        <x:v>Small Business</x:v>
      </x:c>
      <x:c r="F1370" s="84" t="str">
        <x:v>West</x:v>
      </x:c>
      <x:c r="G1370" s="84" t="str">
        <x:v> DENVER </x:v>
      </x:c>
      <x:c r="H1370" s="84" t="str">
        <x:v>Online</x:v>
      </x:c>
      <x:c r="I1370" s="84" t="str">
        <x:v>ACCS-002</x:v>
      </x:c>
      <x:c r="J1370" s="86" t="n">
        <x:v>3</x:v>
      </x:c>
      <x:c r="K1370" s="87" t="n">
        <x:v>0.15</x:v>
      </x:c>
      <x:c r="L1370" s="84" t="str">
        <x:v>Completed</x:v>
      </x:c>
      <x:c r="M1370" s="84" t="str">
        <x:v>Credit Card</x:v>
      </x:c>
      <x:c r="N1370" s="84" t="str">
        <x:v>Nora Kim</x:v>
      </x:c>
      <x:c r="O1370" s="85" t="n">
        <x:v>45749</x:v>
      </x:c>
      <x:c r="P1370" s="84" t="str">
        <x:v>WEB_2025_03</x:v>
      </x:c>
      <x:c r="Q1370" s="84" t="str">
        <x:v>Travel Backpack </x:v>
      </x:c>
      <x:c r="R1370" s="84" t="str">
        <x:v>Accessories</x:v>
      </x:c>
    </x:row>
    <x:row r="1371">
      <x:c r="A1371" s="84" t="str">
        <x:v>ORD-2025-00382</x:v>
      </x:c>
      <x:c r="B1371" s="85" t="n">
        <x:v>45748</x:v>
      </x:c>
      <x:c r="C1371" s="84" t="str">
        <x:v>CUST-0385</x:v>
      </x:c>
      <x:c r="D1371" s="84" t="str">
        <x:v>Elias Garcia</x:v>
      </x:c>
      <x:c r="E1371" s="84" t="str">
        <x:v>Corporate</x:v>
      </x:c>
      <x:c r="F1371" s="84" t="str">
        <x:v>southeast</x:v>
      </x:c>
      <x:c r="G1371" s="84" t="str">
        <x:v>Atlanta</x:v>
      </x:c>
      <x:c r="H1371" s="84" t="str">
        <x:v>Online</x:v>
      </x:c>
      <x:c r="I1371" s="84" t="str">
        <x:v>ELEC-006</x:v>
      </x:c>
      <x:c r="J1371" s="86" t="n">
        <x:v>6</x:v>
      </x:c>
      <x:c r="K1371" s="87" t="n">
        <x:v>0.1</x:v>
      </x:c>
      <x:c r="L1371" s="84" t="str">
        <x:v>Completed</x:v>
      </x:c>
      <x:c r="M1371" s="84" t="str">
        <x:v>PayPal</x:v>
      </x:c>
      <x:c r="N1371" s="84" t="str">
        <x:v>Noah Reed </x:v>
      </x:c>
      <x:c r="O1371" s="85" t="n">
        <x:v>45753</x:v>
      </x:c>
      <x:c r="P1371" s="84" t="str">
        <x:v>WEB_2025_04</x:v>
      </x:c>
      <x:c r="Q1371" s="84" t="str">
        <x:v>Portable SSD</x:v>
      </x:c>
      <x:c r="R1371" s="84" t="str">
        <x:v>Electronics</x:v>
      </x:c>
    </x:row>
    <x:row r="1372">
      <x:c r="A1372" s="84" t="str">
        <x:v>ORD-2025-00944</x:v>
      </x:c>
      <x:c r="B1372" s="85" t="n">
        <x:v>45748</x:v>
      </x:c>
      <x:c r="C1372" s="84" t="str">
        <x:v>CUST-0288</x:v>
      </x:c>
      <x:c r="D1372" s="84" t="str">
        <x:v>Owen Quinn</x:v>
      </x:c>
      <x:c r="E1372" s="84" t="str">
        <x:v>Small Business</x:v>
      </x:c>
      <x:c r="F1372" s="84" t="str">
        <x:v>West</x:v>
      </x:c>
      <x:c r="G1372" s="84" t="str">
        <x:v>Seattle</x:v>
      </x:c>
      <x:c r="H1372" s="84" t="str">
        <x:v>Retail Store</x:v>
      </x:c>
      <x:c r="I1372" s="84" t="str">
        <x:v>FITN-003</x:v>
      </x:c>
      <x:c r="J1372" s="86" t="n">
        <x:v>3</x:v>
      </x:c>
      <x:c r="K1372" s="87" t="n">
        <x:v>0</x:v>
      </x:c>
      <x:c r="L1372" s="84" t="str">
        <x:v>Completed </x:v>
      </x:c>
      <x:c r="M1372" s="84" t="str">
        <x:v>Credit Card</x:v>
      </x:c>
      <x:c r="N1372" s="84" t="str">
        <x:v>Leo Martinez</x:v>
      </x:c>
      <x:c r="O1372" s="85" t="n">
        <x:v>45748</x:v>
      </x:c>
      <x:c r="P1372" s="84" t="str">
        <x:v>POS_2025_04</x:v>
      </x:c>
      <x:c r="Q1372" s="84" t="str">
        <x:v>resistance band set</x:v>
      </x:c>
      <x:c r="R1372" s="84" t="str">
        <x:v>Fitness</x:v>
      </x:c>
    </x:row>
    <x:row r="1373">
      <x:c r="A1373" s="84" t="str">
        <x:v>ORD-2025-01351</x:v>
      </x:c>
      <x:c r="B1373" s="85" t="n">
        <x:v>45748</x:v>
      </x:c>
      <x:c r="C1373" s="84" t="str">
        <x:v>CUST-0565</x:v>
      </x:c>
      <x:c r="D1373" s="84" t="str">
        <x:v>Nathan Taylor</x:v>
      </x:c>
      <x:c r="E1373" s="84" t="str">
        <x:v>Consumer </x:v>
      </x:c>
      <x:c r="F1373" s="84" t="str">
        <x:v>West</x:v>
      </x:c>
      <x:c r="G1373" s="84" t="str">
        <x:v>Phoenix </x:v>
      </x:c>
      <x:c r="H1373" s="84" t="str">
        <x:v>Marketplace</x:v>
      </x:c>
      <x:c r="I1373" s="84" t="str">
        <x:v>ELEC-002</x:v>
      </x:c>
      <x:c r="J1373" s="86" t="n">
        <x:v>1</x:v>
      </x:c>
      <x:c r="K1373" s="87" t="n">
        <x:v>0.15</x:v>
      </x:c>
      <x:c r="L1373" s="84" t="str">
        <x:v>Returned</x:v>
      </x:c>
      <x:c r="M1373" s="84" t="str">
        <x:v>Credit Card</x:v>
      </x:c>
      <x:c r="N1373" s="84" t="str">
        <x:v>Leo Martinez</x:v>
      </x:c>
      <x:c r="O1373" s="85" t="n">
        <x:v>45754</x:v>
      </x:c>
      <x:c r="P1373" s="84" t="str">
        <x:v>MKT_2025_04</x:v>
      </x:c>
      <x:c r="Q1373" s="84" t="str">
        <x:v>smartwatch</x:v>
      </x:c>
      <x:c r="R1373" s="84" t="str">
        <x:v>Electronics</x:v>
      </x:c>
    </x:row>
    <x:row r="1374">
      <x:c r="A1374" s="84" t="str">
        <x:v>ORD-2025-01801</x:v>
      </x:c>
      <x:c r="B1374" s="85" t="n">
        <x:v>45748</x:v>
      </x:c>
      <x:c r="C1374" s="84" t="str">
        <x:v>CUST-0384</x:v>
      </x:c>
      <x:c r="D1374" s="84" t="str">
        <x:v>Priya Smith</x:v>
      </x:c>
      <x:c r="E1374" s="84" t="str">
        <x:v>Corporate</x:v>
      </x:c>
      <x:c r="F1374" s="84" t="str">
        <x:v>northeast</x:v>
      </x:c>
      <x:c r="G1374" s="84" t="str">
        <x:v>New York</x:v>
      </x:c>
      <x:c r="H1374" s="84" t="str">
        <x:v>Online</x:v>
      </x:c>
      <x:c r="I1374" s="84" t="str">
        <x:v>HOME-001</x:v>
      </x:c>
      <x:c r="J1374" s="86" t="n">
        <x:v>2</x:v>
      </x:c>
      <x:c r="K1374" s="87" t="n">
        <x:v>0.2</x:v>
      </x:c>
      <x:c r="L1374" s="84" t="str">
        <x:v>Completed</x:v>
      </x:c>
      <x:c r="M1374" s="84" t="str">
        <x:v>Mobile Wallet</x:v>
      </x:c>
      <x:c r="N1374" s="84" t="str">
        <x:v>Ethan Cole</x:v>
      </x:c>
      <x:c r="O1374" s="85" t="n">
        <x:v>45751</x:v>
      </x:c>
      <x:c r="P1374" s="84" t="str">
        <x:v>WEB_2025_04</x:v>
      </x:c>
      <x:c r="Q1374" s="84" t="str">
        <x:v>Air Fryer</x:v>
      </x:c>
      <x:c r="R1374" s="84" t="str">
        <x:v>Home &amp; Kitchen </x:v>
      </x:c>
    </x:row>
    <x:row r="1375">
      <x:c r="A1375" s="84" t="str">
        <x:v>ORD-2025-01930</x:v>
      </x:c>
      <x:c r="B1375" s="85" t="n">
        <x:v>45748</x:v>
      </x:c>
      <x:c r="C1375" s="84" t="str">
        <x:v>CUST-0142</x:v>
      </x:c>
      <x:c r="D1375" s="84" t="str">
        <x:v>Elena Adams </x:v>
      </x:c>
      <x:c r="E1375" s="84" t="str">
        <x:v>Consumer</x:v>
      </x:c>
      <x:c r="F1375" s="84" t="str">
        <x:v>Midwest</x:v>
      </x:c>
      <x:c r="G1375" s="84" t="str">
        <x:v>Chicago</x:v>
      </x:c>
      <x:c r="H1375" s="84" t="str">
        <x:v>Marketplace</x:v>
      </x:c>
      <x:c r="I1375" s="84" t="str">
        <x:v>FITN-002</x:v>
      </x:c>
      <x:c r="J1375" s="86" t="n">
        <x:v>1</x:v>
      </x:c>
      <x:c r="K1375" s="87" t="n">
        <x:v>0.1</x:v>
      </x:c>
      <x:c r="L1375" s="84" t="str">
        <x:v>Completed</x:v>
      </x:c>
      <x:c r="M1375" s="84" t="str">
        <x:v>Credit Card </x:v>
      </x:c>
      <x:c r="N1375" s="84" t="str">
        <x:v>Lucas Grant</x:v>
      </x:c>
      <x:c r="O1375" s="85" t="n">
        <x:v>45755</x:v>
      </x:c>
      <x:c r="P1375" s="84" t="str">
        <x:v>MKT_2025_04</x:v>
      </x:c>
      <x:c r="Q1375" s="84" t="str">
        <x:v>Adjustable Dumbbell Set</x:v>
      </x:c>
      <x:c r="R1375" s="84" t="str">
        <x:v>Fitness</x:v>
      </x:c>
    </x:row>
    <x:row r="1376">
      <x:c r="A1376" s="84" t="str">
        <x:v>ORD-2025-02251</x:v>
      </x:c>
      <x:c r="B1376" s="85" t="n">
        <x:v>45749</x:v>
      </x:c>
      <x:c r="C1376" s="84" t="str">
        <x:v>CUST-0232</x:v>
      </x:c>
      <x:c r="D1376" s="84" t="str">
        <x:v>layla smith</x:v>
      </x:c>
      <x:c r="E1376" s="84" t="str">
        <x:v>Consumer</x:v>
      </x:c>
      <x:c r="F1376" s="84" t="str">
        <x:v>Southeast </x:v>
      </x:c>
      <x:c r="G1376" s="84" t="str">
        <x:v>Atlanta</x:v>
      </x:c>
      <x:c r="H1376" s="84" t="str">
        <x:v>Retail Store</x:v>
      </x:c>
      <x:c r="I1376" s="84" t="str">
        <x:v>HOME-004</x:v>
      </x:c>
      <x:c r="J1376" s="86" t="n">
        <x:v>1</x:v>
      </x:c>
      <x:c r="K1376" s="87" t="n">
        <x:v>0.1</x:v>
      </x:c>
      <x:c r="L1376" s="84" t="str">
        <x:v>Completed</x:v>
      </x:c>
      <x:c r="M1376" s="84" t="str">
        <x:v>Credit Card</x:v>
      </x:c>
      <x:c r="N1376" s="84" t="str">
        <x:v>Noah Reed </x:v>
      </x:c>
      <x:c r="O1376" s="85" t="n">
        <x:v>45749</x:v>
      </x:c>
      <x:c r="P1376" s="84" t="str">
        <x:v>POS_2025_04</x:v>
      </x:c>
      <x:c r="Q1376" s="84" t="str">
        <x:v>Coffee Maker</x:v>
      </x:c>
      <x:c r="R1376" s="84" t="str">
        <x:v>Home &amp; Kitchen</x:v>
      </x:c>
    </x:row>
    <x:row r="1377">
      <x:c r="A1377" s="84" t="str">
        <x:v>ORD-2025-01961</x:v>
      </x:c>
      <x:c r="B1377" s="85" t="n">
        <x:v>45750</x:v>
      </x:c>
      <x:c r="C1377" s="84" t="str">
        <x:v>CUST-0128</x:v>
      </x:c>
      <x:c r="D1377" s="84" t="str">
        <x:v>Zara Patel</x:v>
      </x:c>
      <x:c r="E1377" s="84" t="str">
        <x:v>Consumer</x:v>
      </x:c>
      <x:c r="F1377" s="84" t="str">
        <x:v>Midwest</x:v>
      </x:c>
      <x:c r="G1377" s="84" t="str">
        <x:v>Detroit</x:v>
      </x:c>
      <x:c r="H1377" s="84" t="str">
        <x:v> MARKETPLACE </x:v>
      </x:c>
      <x:c r="I1377" s="84" t="str">
        <x:v>ELEC-003</x:v>
      </x:c>
      <x:c r="J1377" s="86" t="n">
        <x:v>1</x:v>
      </x:c>
      <x:c r="K1377" s="87" t="n">
        <x:v>0.15</x:v>
      </x:c>
      <x:c r="L1377" s="84" t="str">
        <x:v>Completed</x:v>
      </x:c>
      <x:c r="M1377" s="84" t="str">
        <x:v>Mobile Wallet</x:v>
      </x:c>
      <x:c r="N1377" s="84" t="str">
        <x:v>Lucas Grant</x:v>
      </x:c>
      <x:c r="O1377" s="85" t="n">
        <x:v>45754</x:v>
      </x:c>
      <x:c r="P1377" s="84" t="str">
        <x:v>MKT_2025_04</x:v>
      </x:c>
      <x:c r="Q1377" s="84" t="str">
        <x:v>Bluetooth Speaker </x:v>
      </x:c>
      <x:c r="R1377" s="84" t="str">
        <x:v>electronics</x:v>
      </x:c>
    </x:row>
    <x:row r="1378">
      <x:c r="A1378" s="84" t="str">
        <x:v>ORD-2025-01234</x:v>
      </x:c>
      <x:c r="B1378" s="85" t="n">
        <x:v>45751</x:v>
      </x:c>
      <x:c r="C1378" s="84" t="str">
        <x:v>CUST-0143</x:v>
      </x:c>
      <x:c r="D1378" s="84" t="str">
        <x:v>Owen Foster</x:v>
      </x:c>
      <x:c r="E1378" s="84" t="str">
        <x:v>Small Business</x:v>
      </x:c>
      <x:c r="F1378" s="84" t="str">
        <x:v>Southeast</x:v>
      </x:c>
      <x:c r="G1378" s="84" t="str">
        <x:v> ATLANTA </x:v>
      </x:c>
      <x:c r="H1378" s="84" t="str">
        <x:v>Online</x:v>
      </x:c>
      <x:c r="I1378" s="84" t="str">
        <x:v>FITN-002</x:v>
      </x:c>
      <x:c r="J1378" s="86" t="n">
        <x:v>2</x:v>
      </x:c>
      <x:c r="K1378" s="87" t="n">
        <x:v>0.05</x:v>
      </x:c>
      <x:c r="L1378" s="84" t="str">
        <x:v>Completed</x:v>
      </x:c>
      <x:c r="M1378" s="84" t="str">
        <x:v>Mobile Wallet</x:v>
      </x:c>
      <x:c r="N1378" s="84" t="str">
        <x:v>ava mitchell</x:v>
      </x:c>
      <x:c r="O1378" s="85" t="n">
        <x:v>45757</x:v>
      </x:c>
      <x:c r="P1378" s="84" t="str">
        <x:v>WEB_2025_04</x:v>
      </x:c>
      <x:c r="Q1378" s="84" t="str">
        <x:v>Adjustable Dumbbell Set</x:v>
      </x:c>
      <x:c r="R1378" s="84" t="str">
        <x:v>Fitness </x:v>
      </x:c>
    </x:row>
    <x:row r="1379">
      <x:c r="A1379" s="84" t="str">
        <x:v>ORD-2025-01493</x:v>
      </x:c>
      <x:c r="B1379" s="85" t="n">
        <x:v>45751</x:v>
      </x:c>
      <x:c r="C1379" s="84" t="str">
        <x:v>CUST-0450</x:v>
      </x:c>
      <x:c r="D1379" s="84" t="str">
        <x:v> SAMUEL GARCIA </x:v>
      </x:c>
      <x:c r="E1379" s="84" t="str">
        <x:v>Small Business</x:v>
      </x:c>
      <x:c r="F1379" s="84" t="str">
        <x:v> WEST </x:v>
      </x:c>
      <x:c r="G1379" s="84" t="str">
        <x:v>Seattle</x:v>
      </x:c>
      <x:c r="H1379" s="84" t="str">
        <x:v>Retail Store</x:v>
      </x:c>
      <x:c r="I1379" s="84" t="str">
        <x:v>ACCS-004</x:v>
      </x:c>
      <x:c r="J1379" s="86" t="n">
        <x:v>1</x:v>
      </x:c>
      <x:c r="K1379" s="87" t="n">
        <x:v>0.05</x:v>
      </x:c>
      <x:c r="L1379" s="84" t="str">
        <x:v>Completed</x:v>
      </x:c>
      <x:c r="M1379" s="84" t="str">
        <x:v>Credit Card</x:v>
      </x:c>
      <x:c r="N1379" s="84" t="str">
        <x:v>Nora Kim</x:v>
      </x:c>
      <x:c r="O1379" s="85" t="n">
        <x:v>45751</x:v>
      </x:c>
      <x:c r="P1379" s="84" t="str">
        <x:v>POS_2025_04</x:v>
      </x:c>
      <x:c r="Q1379" s="84" t="str">
        <x:v>Leather Wallet</x:v>
      </x:c>
      <x:c r="R1379" s="84" t="str">
        <x:v>Accessories </x:v>
      </x:c>
    </x:row>
    <x:row r="1380">
      <x:c r="A1380" s="84" t="str">
        <x:v>ORD-2025-01514</x:v>
      </x:c>
      <x:c r="B1380" s="85" t="n">
        <x:v>45751</x:v>
      </x:c>
      <x:c r="C1380" s="84" t="str">
        <x:v>CUST-0007</x:v>
      </x:c>
      <x:c r="D1380" s="84" t="str">
        <x:v>owen roberts</x:v>
      </x:c>
      <x:c r="E1380" s="84" t="str">
        <x:v>Consumer</x:v>
      </x:c>
      <x:c r="F1380" s="84" t="str">
        <x:v>Northeast</x:v>
      </x:c>
      <x:c r="G1380" s="84" t="str">
        <x:v>Newark</x:v>
      </x:c>
      <x:c r="H1380" s="84" t="str">
        <x:v>Marketplace</x:v>
      </x:c>
      <x:c r="I1380" s="84" t="str">
        <x:v>OFFC-002</x:v>
      </x:c>
      <x:c r="J1380" s="86" t="n">
        <x:v>1</x:v>
      </x:c>
      <x:c r="K1380" s="87" t="n">
        <x:v>0.05</x:v>
      </x:c>
      <x:c r="L1380" s="84" t="str">
        <x:v>Completed</x:v>
      </x:c>
      <x:c r="M1380" s="84" t="str">
        <x:v>Mobile Wallet</x:v>
      </x:c>
      <x:c r="N1380" s="84" t="str">
        <x:v>Maya Brooks</x:v>
      </x:c>
      <x:c r="O1380" s="85" t="n">
        <x:v>45756</x:v>
      </x:c>
      <x:c r="P1380" s="84" t="str">
        <x:v>MKT_2025_04</x:v>
      </x:c>
      <x:c r="Q1380" s="84" t="str">
        <x:v>Standing Desk</x:v>
      </x:c>
      <x:c r="R1380" s="84" t="str">
        <x:v>Office </x:v>
      </x:c>
    </x:row>
    <x:row r="1381">
      <x:c r="A1381" s="84" t="str">
        <x:v>ORD-2025-01914</x:v>
      </x:c>
      <x:c r="B1381" s="85" t="n">
        <x:v>45751</x:v>
      </x:c>
      <x:c r="C1381" s="84" t="str">
        <x:v>CUST-0202</x:v>
      </x:c>
      <x:c r="D1381" s="84" t="str">
        <x:v>Jasmine Garcia</x:v>
      </x:c>
      <x:c r="E1381" s="84" t="str">
        <x:v>small business</x:v>
      </x:c>
      <x:c r="F1381" s="84" t="str">
        <x:v>Midwest</x:v>
      </x:c>
      <x:c r="G1381" s="84" t="str">
        <x:v> DETROIT </x:v>
      </x:c>
      <x:c r="H1381" s="84" t="str">
        <x:v>retail store</x:v>
      </x:c>
      <x:c r="I1381" s="84" t="str">
        <x:v>CARE-002</x:v>
      </x:c>
      <x:c r="J1381" s="86" t="n">
        <x:v>3</x:v>
      </x:c>
      <x:c r="K1381" s="87" t="n">
        <x:v>0</x:v>
      </x:c>
      <x:c r="L1381" s="84" t="str">
        <x:v>Completed</x:v>
      </x:c>
      <x:c r="M1381" s="84" t="str">
        <x:v>Debit Card</x:v>
      </x:c>
      <x:c r="N1381" s="84" t="str">
        <x:v>Lucas Grant</x:v>
      </x:c>
      <x:c r="O1381" s="85" t="n">
        <x:v>45751</x:v>
      </x:c>
      <x:c r="P1381" s="84" t="str">
        <x:v>POS_2025_04</x:v>
      </x:c>
      <x:c r="Q1381" s="84" t="str">
        <x:v>Rechargeable Trimmer</x:v>
      </x:c>
      <x:c r="R1381" s="84" t="str">
        <x:v>Personal Care</x:v>
      </x:c>
    </x:row>
    <x:row r="1382">
      <x:c r="A1382" s="84" t="str">
        <x:v>ORD-2025-02223</x:v>
      </x:c>
      <x:c r="B1382" s="85" t="n">
        <x:v>45751</x:v>
      </x:c>
      <x:c r="C1382" s="84" t="str">
        <x:v>CUST-0397</x:v>
      </x:c>
      <x:c r="D1382" s="84" t="str">
        <x:v>Amelia Baker</x:v>
      </x:c>
      <x:c r="E1382" s="84" t="str">
        <x:v>Corporate</x:v>
      </x:c>
      <x:c r="F1382" s="84" t="str">
        <x:v>Northeast </x:v>
      </x:c>
      <x:c r="G1382" s="84" t="str">
        <x:v>Newark</x:v>
      </x:c>
      <x:c r="H1382" s="84" t="str">
        <x:v>Marketplace</x:v>
      </x:c>
      <x:c r="I1382" s="84" t="str">
        <x:v>ELEC-002</x:v>
      </x:c>
      <x:c r="J1382" s="86" t="n">
        <x:v>4</x:v>
      </x:c>
      <x:c r="K1382" s="87" t="n">
        <x:v>0.05</x:v>
      </x:c>
      <x:c r="L1382" s="84" t="str">
        <x:v>Completed</x:v>
      </x:c>
      <x:c r="M1382" s="84" t="str">
        <x:v>Credit Card</x:v>
      </x:c>
      <x:c r="N1382" s="84" t="str">
        <x:v>Sofia Bennett </x:v>
      </x:c>
      <x:c r="O1382" s="85" t="n">
        <x:v>45754</x:v>
      </x:c>
      <x:c r="P1382" s="84" t="str">
        <x:v>MKT_2025_04</x:v>
      </x:c>
      <x:c r="Q1382" s="84" t="str">
        <x:v>Smartwatch</x:v>
      </x:c>
      <x:c r="R1382" s="84" t="str">
        <x:v>Electronics</x:v>
      </x:c>
    </x:row>
    <x:row r="1383">
      <x:c r="A1383" s="84" t="str">
        <x:v>ORD-2025-00455</x:v>
      </x:c>
      <x:c r="B1383" s="85" t="n">
        <x:v>45752</x:v>
      </x:c>
      <x:c r="C1383" s="84" t="str">
        <x:v>CUST-0043</x:v>
      </x:c>
      <x:c r="D1383" s="84" t="str">
        <x:v>Nina Hall</x:v>
      </x:c>
      <x:c r="E1383" s="84" t="str">
        <x:v>Consumer </x:v>
      </x:c>
      <x:c r="F1383" s="84" t="str">
        <x:v>Northeast</x:v>
      </x:c>
      <x:c r="G1383" s="84" t="str">
        <x:v>philadelphia</x:v>
      </x:c>
      <x:c r="H1383" s="84" t="str">
        <x:v>Online</x:v>
      </x:c>
      <x:c r="I1383" s="84" t="str">
        <x:v>HOME-001</x:v>
      </x:c>
      <x:c r="J1383" s="86" t="n">
        <x:v>2</x:v>
      </x:c>
      <x:c r="K1383" s="87" t="n">
        <x:v>0</x:v>
      </x:c>
      <x:c r="L1383" s="84" t="str">
        <x:v>returned</x:v>
      </x:c>
      <x:c r="M1383" s="84" t="str">
        <x:v>Credit Card</x:v>
      </x:c>
      <x:c r="N1383" s="84" t="str">
        <x:v>Maya Brooks</x:v>
      </x:c>
      <x:c r="O1383" s="85" t="n">
        <x:v>45756</x:v>
      </x:c>
      <x:c r="P1383" s="84" t="str">
        <x:v>WEB_2025_04</x:v>
      </x:c>
      <x:c r="Q1383" s="84" t="str">
        <x:v>Air Fryer</x:v>
      </x:c>
      <x:c r="R1383" s="84" t="str">
        <x:v>Home &amp; Kitchen</x:v>
      </x:c>
    </x:row>
    <x:row r="1384">
      <x:c r="A1384" s="84" t="str">
        <x:v>ORD-2025-01084</x:v>
      </x:c>
      <x:c r="B1384" s="85" t="n">
        <x:v>45752</x:v>
      </x:c>
      <x:c r="C1384" s="84" t="str">
        <x:v>CUST-0449</x:v>
      </x:c>
      <x:c r="D1384" s="84" t="str">
        <x:v>Chloe Taylor</x:v>
      </x:c>
      <x:c r="E1384" s="84" t="str">
        <x:v>Corporate</x:v>
      </x:c>
      <x:c r="F1384" s="84" t="str">
        <x:v>West</x:v>
      </x:c>
      <x:c r="G1384" s="84" t="str">
        <x:v>Seattle</x:v>
      </x:c>
      <x:c r="H1384" s="84" t="str">
        <x:v>Marketplace</x:v>
      </x:c>
      <x:c r="I1384" s="84" t="str">
        <x:v>CARE-006</x:v>
      </x:c>
      <x:c r="J1384" s="86" t="n">
        <x:v>2</x:v>
      </x:c>
      <x:c r="K1384" s="87" t="n">
        <x:v>0</x:v>
      </x:c>
      <x:c r="L1384" s="84" t="str">
        <x:v>Completed </x:v>
      </x:c>
      <x:c r="M1384" s="84" t="str">
        <x:v>Debit Card</x:v>
      </x:c>
      <x:c r="N1384" s="84" t="str">
        <x:v>Leo Martinez</x:v>
      </x:c>
      <x:c r="O1384" s="85" t="n">
        <x:v>45757</x:v>
      </x:c>
      <x:c r="P1384" s="84" t="str">
        <x:v>MKT_2025_04</x:v>
      </x:c>
      <x:c r="Q1384" s="84" t="str">
        <x:v>Percussion Massage Gun</x:v>
      </x:c>
      <x:c r="R1384" s="84" t="str">
        <x:v>Personal Care</x:v>
      </x:c>
    </x:row>
    <x:row r="1385">
      <x:c r="A1385" s="84" t="str">
        <x:v>ORD-2025-01300</x:v>
      </x:c>
      <x:c r="B1385" s="85" t="n">
        <x:v>45752</x:v>
      </x:c>
      <x:c r="C1385" s="84" t="str">
        <x:v>CUST-0564</x:v>
      </x:c>
      <x:c r="D1385" s="84" t="str">
        <x:v>Amelia Khan </x:v>
      </x:c>
      <x:c r="E1385" s="84" t="str">
        <x:v>Corporate</x:v>
      </x:c>
      <x:c r="F1385" s="84" t="str">
        <x:v>Southeast</x:v>
      </x:c>
      <x:c r="G1385" s="84" t="str">
        <x:v>Miami</x:v>
      </x:c>
      <x:c r="H1385" s="84" t="str">
        <x:v>Retail Store</x:v>
      </x:c>
      <x:c r="I1385" s="84" t="str">
        <x:v>ACCS-001</x:v>
      </x:c>
      <x:c r="J1385" s="86" t="n">
        <x:v>2</x:v>
      </x:c>
      <x:c r="K1385" s="87" t="n">
        <x:v>0</x:v>
      </x:c>
      <x:c r="L1385" s="84" t="str">
        <x:v>Completed</x:v>
      </x:c>
      <x:c r="M1385" s="84" t="str">
        <x:v>Mobile Wallet </x:v>
      </x:c>
      <x:c r="N1385" s="84" t="str">
        <x:v>noah reed</x:v>
      </x:c>
      <x:c r="O1385" s="85" t="n">
        <x:v>45752</x:v>
      </x:c>
      <x:c r="P1385" s="84" t="str">
        <x:v>POS_2025_04</x:v>
      </x:c>
      <x:c r="Q1385" s="84" t="str">
        <x:v>Canvas Tote Bag</x:v>
      </x:c>
      <x:c r="R1385" s="84" t="str">
        <x:v>Accessories</x:v>
      </x:c>
    </x:row>
    <x:row r="1386">
      <x:c r="A1386" s="84" t="str">
        <x:v>ORD-2025-01674</x:v>
      </x:c>
      <x:c r="B1386" s="85" t="n">
        <x:v>45752</x:v>
      </x:c>
      <x:c r="C1386" s="84" t="str">
        <x:v>CUST-0574</x:v>
      </x:c>
      <x:c r="D1386" s="84" t="str">
        <x:v>Grace Quinn</x:v>
      </x:c>
      <x:c r="E1386" s="84" t="str">
        <x:v>Corporate</x:v>
      </x:c>
      <x:c r="F1386" s="84" t="str">
        <x:v>Northeast</x:v>
      </x:c>
      <x:c r="G1386" s="84" t="str">
        <x:v>New York</x:v>
      </x:c>
      <x:c r="H1386" s="84" t="str">
        <x:v>Retail Store</x:v>
      </x:c>
      <x:c r="I1386" s="84" t="str">
        <x:v>OFFC-004</x:v>
      </x:c>
      <x:c r="J1386" s="86" t="n">
        <x:v>5</x:v>
      </x:c>
      <x:c r="K1386" s="87" t="n">
        <x:v>0.1</x:v>
      </x:c>
      <x:c r="L1386" s="84" t="str">
        <x:v>Completed</x:v>
      </x:c>
      <x:c r="M1386" s="84" t="str">
        <x:v>Debit Card</x:v>
      </x:c>
      <x:c r="N1386" s="84" t="str">
        <x:v>ethan cole</x:v>
      </x:c>
      <x:c r="O1386" s="85" t="n">
        <x:v>45752</x:v>
      </x:c>
      <x:c r="P1386" s="84" t="str">
        <x:v>POS_2025_04</x:v>
      </x:c>
      <x:c r="Q1386" s="84" t="str">
        <x:v>Premium Notebook Pack </x:v>
      </x:c>
      <x:c r="R1386" s="84" t="str">
        <x:v>Office</x:v>
      </x:c>
    </x:row>
    <x:row r="1387">
      <x:c r="A1387" s="84" t="str">
        <x:v>ORD-2025-01703</x:v>
      </x:c>
      <x:c r="B1387" s="85" t="n">
        <x:v>45752</x:v>
      </x:c>
      <x:c r="C1387" s="84" t="str">
        <x:v>CUST-0265</x:v>
      </x:c>
      <x:c r="D1387" s="84" t="str">
        <x:v>Sara Adams</x:v>
      </x:c>
      <x:c r="E1387" s="84" t="str">
        <x:v>Consumer</x:v>
      </x:c>
      <x:c r="F1387" s="84" t="str">
        <x:v>Southeast</x:v>
      </x:c>
      <x:c r="G1387" s="84" t="str">
        <x:v>Nashville</x:v>
      </x:c>
      <x:c r="H1387" s="84" t="str">
        <x:v>Retail Store</x:v>
      </x:c>
      <x:c r="I1387" s="84" t="str">
        <x:v>FITN-003</x:v>
      </x:c>
      <x:c r="J1387" s="86" t="n">
        <x:v>2</x:v>
      </x:c>
      <x:c r="K1387" s="87" t="n">
        <x:v>0</x:v>
      </x:c>
      <x:c r="L1387" s="84" t="str">
        <x:v>Completed</x:v>
      </x:c>
      <x:c r="M1387" s="84" t="str">
        <x:v>Credit Card</x:v>
      </x:c>
      <x:c r="N1387" s="84" t="str">
        <x:v> AVA MITCHELL </x:v>
      </x:c>
      <x:c r="O1387" s="85" t="n">
        <x:v>45752</x:v>
      </x:c>
      <x:c r="P1387" s="84" t="str">
        <x:v>POS_2025_04</x:v>
      </x:c>
      <x:c r="Q1387" s="84" t="str">
        <x:v>resistance band set</x:v>
      </x:c>
      <x:c r="R1387" s="84" t="str">
        <x:v>Fitness </x:v>
      </x:c>
    </x:row>
    <x:row r="1388">
      <x:c r="A1388" s="84" t="str">
        <x:v>ORD-2025-02174</x:v>
      </x:c>
      <x:c r="B1388" s="85" t="n">
        <x:v>45752</x:v>
      </x:c>
      <x:c r="C1388" s="84" t="str">
        <x:v>CUST-0168</x:v>
      </x:c>
      <x:c r="D1388" s="84" t="str">
        <x:v>priya foster</x:v>
      </x:c>
      <x:c r="E1388" s="84" t="str">
        <x:v>Small Business</x:v>
      </x:c>
      <x:c r="F1388" s="84" t="str">
        <x:v>Northeast </x:v>
      </x:c>
      <x:c r="G1388" s="84" t="str">
        <x:v>Newark</x:v>
      </x:c>
      <x:c r="H1388" s="84" t="str">
        <x:v>Marketplace</x:v>
      </x:c>
      <x:c r="I1388" s="84" t="str">
        <x:v>HOME-005</x:v>
      </x:c>
      <x:c r="J1388" s="86" t="n">
        <x:v>3</x:v>
      </x:c>
      <x:c r="K1388" s="87" t="n">
        <x:v>0.05</x:v>
      </x:c>
      <x:c r="L1388" s="84" t="str">
        <x:v>Completed</x:v>
      </x:c>
      <x:c r="M1388" s="84" t="str">
        <x:v>Credit Card</x:v>
      </x:c>
      <x:c r="N1388" s="84" t="str">
        <x:v>Maya Brooks </x:v>
      </x:c>
      <x:c r="O1388" s="85" t="n">
        <x:v>45759</x:v>
      </x:c>
      <x:c r="P1388" s="84" t="str">
        <x:v>MKT_2025_04</x:v>
      </x:c>
      <x:c r="Q1388" s="84" t="str">
        <x:v>Cordless Vacuum</x:v>
      </x:c>
      <x:c r="R1388" s="84" t="str">
        <x:v> HOME &amp; KITCHEN </x:v>
      </x:c>
    </x:row>
    <x:row r="1389">
      <x:c r="A1389" s="84" t="str">
        <x:v>ORD-2025-01207</x:v>
      </x:c>
      <x:c r="B1389" s="85" t="n">
        <x:v>45753</x:v>
      </x:c>
      <x:c r="C1389" s="84" t="str">
        <x:v>CUST-0076</x:v>
      </x:c>
      <x:c r="D1389" s="84" t="str">
        <x:v>Jonah Patel</x:v>
      </x:c>
      <x:c r="E1389" s="84" t="str">
        <x:v> SMALL BUSINESS </x:v>
      </x:c>
      <x:c r="F1389" s="84" t="str">
        <x:v>southeast</x:v>
      </x:c>
      <x:c r="G1389" s="84" t="str">
        <x:v>Charlotte</x:v>
      </x:c>
      <x:c r="H1389" s="84" t="str">
        <x:v>Online </x:v>
      </x:c>
      <x:c r="I1389" s="84" t="str">
        <x:v>ACCS-001</x:v>
      </x:c>
      <x:c r="J1389" s="86" t="n">
        <x:v>1</x:v>
      </x:c>
      <x:c r="K1389" s="87" t="n">
        <x:v>0.05</x:v>
      </x:c>
      <x:c r="L1389" s="84" t="str">
        <x:v>Completed</x:v>
      </x:c>
      <x:c r="M1389" s="84" t="str">
        <x:v>Credit Card</x:v>
      </x:c>
      <x:c r="N1389" s="84" t="str">
        <x:v>Liam Parker</x:v>
      </x:c>
      <x:c r="O1389" s="85" t="n">
        <x:v>45757</x:v>
      </x:c>
      <x:c r="P1389" s="84" t="str">
        <x:v>WEB_2025_04</x:v>
      </x:c>
      <x:c r="Q1389" s="84" t="str">
        <x:v>Canvas Tote Bag</x:v>
      </x:c>
      <x:c r="R1389" s="84" t="str">
        <x:v>Accessories</x:v>
      </x:c>
    </x:row>
    <x:row r="1390">
      <x:c r="A1390" s="84" t="str">
        <x:v>ORD-2025-00201</x:v>
      </x:c>
      <x:c r="B1390" s="85" t="n">
        <x:v>45754</x:v>
      </x:c>
      <x:c r="C1390" s="84" t="str">
        <x:v>CUST-0587</x:v>
      </x:c>
      <x:c r="D1390" s="84" t="str">
        <x:v> MARCUS YOUNG </x:v>
      </x:c>
      <x:c r="E1390" s="84" t="str">
        <x:v>Small Business</x:v>
      </x:c>
      <x:c r="F1390" s="84" t="str">
        <x:v> NORTHEAST </x:v>
      </x:c>
      <x:c r="G1390" s="84" t="str">
        <x:v>Boston</x:v>
      </x:c>
      <x:c r="H1390" s="84" t="str">
        <x:v>Online</x:v>
      </x:c>
      <x:c r="I1390" s="84" t="str">
        <x:v>ACCS-001</x:v>
      </x:c>
      <x:c r="J1390" s="86" t="n">
        <x:v>2</x:v>
      </x:c>
      <x:c r="K1390" s="87" t="n">
        <x:v>0.05</x:v>
      </x:c>
      <x:c r="L1390" s="84" t="str">
        <x:v>Completed</x:v>
      </x:c>
      <x:c r="M1390" s="84" t="str">
        <x:v>Mobile Wallet </x:v>
      </x:c>
      <x:c r="N1390" s="84" t="str">
        <x:v>Ethan Cole</x:v>
      </x:c>
      <x:c r="O1390" s="85" t="n">
        <x:v>45759</x:v>
      </x:c>
      <x:c r="P1390" s="84" t="str">
        <x:v>WEB_2025_04</x:v>
      </x:c>
      <x:c r="Q1390" s="84" t="str">
        <x:v>Canvas Tote Bag</x:v>
      </x:c>
      <x:c r="R1390" s="84" t="str">
        <x:v>accessories</x:v>
      </x:c>
    </x:row>
    <x:row r="1391">
      <x:c r="A1391" s="84" t="str">
        <x:v>ORD-2025-01852</x:v>
      </x:c>
      <x:c r="B1391" s="85" t="n">
        <x:v>45754</x:v>
      </x:c>
      <x:c r="C1391" s="84" t="str">
        <x:v>CUST-0265</x:v>
      </x:c>
      <x:c r="D1391" s="84" t="str">
        <x:v>Sara Adams</x:v>
      </x:c>
      <x:c r="E1391" s="84" t="str">
        <x:v>Consumer</x:v>
      </x:c>
      <x:c r="F1391" s="84" t="str">
        <x:v>Southeast </x:v>
      </x:c>
      <x:c r="G1391" s="84" t="str">
        <x:v>nashville</x:v>
      </x:c>
      <x:c r="H1391" s="84" t="str">
        <x:v>Marketplace</x:v>
      </x:c>
      <x:c r="I1391" s="84" t="str">
        <x:v>HOME-003</x:v>
      </x:c>
      <x:c r="J1391" s="86" t="n">
        <x:v>3</x:v>
      </x:c>
      <x:c r="K1391" s="87" t="n">
        <x:v>0</x:v>
      </x:c>
      <x:c r="L1391" s="84" t="str">
        <x:v>completed</x:v>
      </x:c>
      <x:c r="M1391" s="84" t="str">
        <x:v>Debit Card</x:v>
      </x:c>
      <x:c r="N1391" s="84" t="str">
        <x:v>Liam Parker </x:v>
      </x:c>
      <x:c r="O1391" s="85" t="n">
        <x:v>45758</x:v>
      </x:c>
      <x:c r="P1391" s="84" t="str">
        <x:v>MKT_2025_04</x:v>
      </x:c>
      <x:c r="Q1391" s="84" t="str">
        <x:v>Countertop Blender</x:v>
      </x:c>
      <x:c r="R1391" s="84" t="str">
        <x:v>Home &amp; Kitchen</x:v>
      </x:c>
    </x:row>
    <x:row r="1392">
      <x:c r="A1392" s="84" t="str">
        <x:v>ORD-2025-00239</x:v>
      </x:c>
      <x:c r="B1392" s="85" t="n">
        <x:v>45755</x:v>
      </x:c>
      <x:c r="C1392" s="84" t="str">
        <x:v>CUST-0517</x:v>
      </x:c>
      <x:c r="D1392" s="84" t="str">
        <x:v>Layla Irwin</x:v>
      </x:c>
      <x:c r="E1392" s="84" t="str">
        <x:v>Corporate</x:v>
      </x:c>
      <x:c r="F1392" s="84" t="str">
        <x:v>northeast</x:v>
      </x:c>
      <x:c r="G1392" s="84" t="str">
        <x:v>Newark</x:v>
      </x:c>
      <x:c r="H1392" s="84" t="str">
        <x:v>Marketplace</x:v>
      </x:c>
      <x:c r="I1392" s="84" t="str">
        <x:v>OFFC-006</x:v>
      </x:c>
      <x:c r="J1392" s="86" t="n">
        <x:v>4</x:v>
      </x:c>
      <x:c r="K1392" s="87" t="n">
        <x:v>0</x:v>
      </x:c>
      <x:c r="L1392" s="84" t="str">
        <x:v>Completed</x:v>
      </x:c>
      <x:c r="M1392" s="84" t="str">
        <x:v>PayPal</x:v>
      </x:c>
      <x:c r="N1392" s="84" t="str">
        <x:v>Maya Brooks</x:v>
      </x:c>
      <x:c r="O1392" s="85" t="n">
        <x:v>45762</x:v>
      </x:c>
      <x:c r="P1392" s="84" t="str">
        <x:v>MKT_2025_04</x:v>
      </x:c>
      <x:c r="Q1392" s="84" t="str">
        <x:v>Monitor Stand </x:v>
      </x:c>
      <x:c r="R1392" s="84" t="str">
        <x:v>Office</x:v>
      </x:c>
    </x:row>
    <x:row r="1393">
      <x:c r="A1393" s="84" t="str">
        <x:v>ORD-2025-00881</x:v>
      </x:c>
      <x:c r="B1393" s="85" t="n">
        <x:v>45755</x:v>
      </x:c>
      <x:c r="C1393" s="84" t="str">
        <x:v>CUST-0027</x:v>
      </x:c>
      <x:c r="D1393" s="84" t="str">
        <x:v> SAMUEL HALL </x:v>
      </x:c>
      <x:c r="E1393" s="84" t="str">
        <x:v>Consumer</x:v>
      </x:c>
      <x:c r="F1393" s="84" t="str">
        <x:v> NORTHEAST </x:v>
      </x:c>
      <x:c r="G1393" s="84" t="str">
        <x:v>Philadelphia</x:v>
      </x:c>
      <x:c r="H1393" s="84" t="str">
        <x:v>Online</x:v>
      </x:c>
      <x:c r="I1393" s="84" t="str">
        <x:v>OFFC-004</x:v>
      </x:c>
      <x:c r="J1393" s="86" t="n">
        <x:v>2</x:v>
      </x:c>
      <x:c r="K1393" s="87" t="n">
        <x:v>0.05</x:v>
      </x:c>
      <x:c r="L1393" s="84" t="str">
        <x:v>Completed </x:v>
      </x:c>
      <x:c r="M1393" s="84" t="str">
        <x:v>Mobile Wallet</x:v>
      </x:c>
      <x:c r="N1393" s="84" t="str">
        <x:v>Ethan Cole</x:v>
      </x:c>
      <x:c r="O1393" s="85" t="n">
        <x:v>45758</x:v>
      </x:c>
      <x:c r="P1393" s="84" t="str">
        <x:v>WEB_2025_04</x:v>
      </x:c>
      <x:c r="Q1393" s="84" t="str">
        <x:v>Premium Notebook Pack</x:v>
      </x:c>
      <x:c r="R1393" s="84" t="str">
        <x:v>Office</x:v>
      </x:c>
    </x:row>
    <x:row r="1394">
      <x:c r="A1394" s="84" t="str">
        <x:v>ORD-2025-00292</x:v>
      </x:c>
      <x:c r="B1394" s="85" t="n">
        <x:v>45756</x:v>
      </x:c>
      <x:c r="C1394" s="84" t="str">
        <x:v>CUST-0458</x:v>
      </x:c>
      <x:c r="D1394" s="84" t="str">
        <x:v>Samuel Carter </x:v>
      </x:c>
      <x:c r="E1394" s="84" t="str">
        <x:v>Consumer</x:v>
      </x:c>
      <x:c r="F1394" s="84" t="str">
        <x:v>Southeast</x:v>
      </x:c>
      <x:c r="G1394" s="84" t="str">
        <x:v>Atlanta</x:v>
      </x:c>
      <x:c r="H1394" s="84" t="str">
        <x:v>Marketplace</x:v>
      </x:c>
      <x:c r="I1394" s="84" t="str">
        <x:v>OFFC-004</x:v>
      </x:c>
      <x:c r="J1394" s="86" t="n">
        <x:v>1</x:v>
      </x:c>
      <x:c r="K1394" s="87" t="n">
        <x:v>0.15</x:v>
      </x:c>
      <x:c r="L1394" s="84" t="str">
        <x:v>Completed</x:v>
      </x:c>
      <x:c r="M1394" s="84" t="str">
        <x:v>Credit Card </x:v>
      </x:c>
      <x:c r="N1394" s="84" t="str">
        <x:v> NOAH REED </x:v>
      </x:c>
      <x:c r="O1394" s="85" t="n">
        <x:v>45761</x:v>
      </x:c>
      <x:c r="P1394" s="84" t="str">
        <x:v>MKT_2025_04</x:v>
      </x:c>
      <x:c r="Q1394" s="84" t="str">
        <x:v>Premium Notebook Pack</x:v>
      </x:c>
      <x:c r="R1394" s="84" t="str">
        <x:v>Office</x:v>
      </x:c>
    </x:row>
    <x:row r="1395">
      <x:c r="A1395" s="84" t="str">
        <x:v>ORD-2025-01709</x:v>
      </x:c>
      <x:c r="B1395" s="85" t="n">
        <x:v>45756</x:v>
      </x:c>
      <x:c r="C1395" s="84" t="str">
        <x:v>CUST-0244</x:v>
      </x:c>
      <x:c r="D1395" s="84" t="str">
        <x:v>Caleb Nelson</x:v>
      </x:c>
      <x:c r="E1395" s="84" t="str">
        <x:v>Small Business</x:v>
      </x:c>
      <x:c r="F1395" s="84" t="str">
        <x:v>Midwest</x:v>
      </x:c>
      <x:c r="G1395" s="84" t="str">
        <x:v>detroit</x:v>
      </x:c>
      <x:c r="H1395" s="84" t="str">
        <x:v>Online</x:v>
      </x:c>
      <x:c r="I1395" s="84" t="str">
        <x:v>ELEC-006</x:v>
      </x:c>
      <x:c r="J1395" s="86" t="n">
        <x:v>1</x:v>
      </x:c>
      <x:c r="K1395" s="87" t="n">
        <x:v>0.05</x:v>
      </x:c>
      <x:c r="L1395" s="84" t="str">
        <x:v>completed</x:v>
      </x:c>
      <x:c r="M1395" s="84" t="str">
        <x:v>Debit Card</x:v>
      </x:c>
      <x:c r="N1395" s="84" t="str">
        <x:v>Lucas Grant</x:v>
      </x:c>
      <x:c r="O1395" s="85" t="n">
        <x:v>45760</x:v>
      </x:c>
      <x:c r="P1395" s="84" t="str">
        <x:v>WEB_2025_04</x:v>
      </x:c>
      <x:c r="Q1395" s="84" t="str">
        <x:v>Portable SSD </x:v>
      </x:c>
      <x:c r="R1395" s="84" t="str">
        <x:v>Electronics</x:v>
      </x:c>
    </x:row>
    <x:row r="1396">
      <x:c r="A1396" s="84" t="str">
        <x:v>ORD-2025-02371</x:v>
      </x:c>
      <x:c r="B1396" s="85" t="n">
        <x:v>45756</x:v>
      </x:c>
      <x:c r="C1396" s="84" t="str">
        <x:v>CUST-0072</x:v>
      </x:c>
      <x:c r="D1396" s="84" t="str">
        <x:v>Nina Roberts </x:v>
      </x:c>
      <x:c r="E1396" s="84" t="str">
        <x:v>Corporate</x:v>
      </x:c>
      <x:c r="F1396" s="84" t="str">
        <x:v>Northeast</x:v>
      </x:c>
      <x:c r="G1396" s="84" t="str">
        <x:v>New York</x:v>
      </x:c>
      <x:c r="H1396" s="84" t="str">
        <x:v>Retail Store</x:v>
      </x:c>
      <x:c r="I1396" s="84" t="str">
        <x:v>ACCS-006</x:v>
      </x:c>
      <x:c r="J1396" s="86" t="n">
        <x:v>1</x:v>
      </x:c>
      <x:c r="K1396" s="87" t="n">
        <x:v>0.15</x:v>
      </x:c>
      <x:c r="L1396" s="84" t="str">
        <x:v>Completed</x:v>
      </x:c>
      <x:c r="M1396" s="84" t="str">
        <x:v>Mobile Wallet </x:v>
      </x:c>
      <x:c r="N1396" s="84" t="str">
        <x:v>Maya Brooks</x:v>
      </x:c>
      <x:c r="O1396" s="85" t="n">
        <x:v>45756</x:v>
      </x:c>
      <x:c r="P1396" s="84" t="str">
        <x:v>POS_2025_04</x:v>
      </x:c>
      <x:c r="Q1396" s="84" t="str">
        <x:v>Insulated Lunch Bag</x:v>
      </x:c>
      <x:c r="R1396" s="84" t="str">
        <x:v>Accessories</x:v>
      </x:c>
    </x:row>
    <x:row r="1397">
      <x:c r="A1397" s="84" t="str">
        <x:v>ORD-2025-00268</x:v>
      </x:c>
      <x:c r="B1397" s="85" t="n">
        <x:v>45757</x:v>
      </x:c>
      <x:c r="C1397" s="84" t="str">
        <x:v>CUST-0513</x:v>
      </x:c>
      <x:c r="D1397" s="84" t="str">
        <x:v>Zara Davis</x:v>
      </x:c>
      <x:c r="E1397" s="84" t="str">
        <x:v>Small Business</x:v>
      </x:c>
      <x:c r="F1397" s="84" t="str">
        <x:v>Midwest</x:v>
      </x:c>
      <x:c r="G1397" s="84" t="str">
        <x:v>chicago</x:v>
      </x:c>
      <x:c r="H1397" s="84" t="str">
        <x:v>Retail Store</x:v>
      </x:c>
      <x:c r="I1397" s="84" t="str">
        <x:v>HOME-001</x:v>
      </x:c>
      <x:c r="J1397" s="86" t="n">
        <x:v>3</x:v>
      </x:c>
      <x:c r="K1397" s="87" t="n">
        <x:v>0.05</x:v>
      </x:c>
      <x:c r="L1397" s="84" t="str">
        <x:v>completed</x:v>
      </x:c>
      <x:c r="M1397" s="84" t="str">
        <x:v>Credit Card</x:v>
      </x:c>
      <x:c r="N1397" s="84" t="str">
        <x:v>Zoe Turner</x:v>
      </x:c>
      <x:c r="O1397" s="85" t="n">
        <x:v>45757</x:v>
      </x:c>
      <x:c r="P1397" s="84" t="str">
        <x:v>POS_2025_04</x:v>
      </x:c>
      <x:c r="Q1397" s="84" t="str">
        <x:v>Air Fryer</x:v>
      </x:c>
      <x:c r="R1397" s="84" t="str">
        <x:v>Home &amp; Kitchen </x:v>
      </x:c>
    </x:row>
    <x:row r="1398">
      <x:c r="A1398" s="84" t="str">
        <x:v>ORD-2025-00372</x:v>
      </x:c>
      <x:c r="B1398" s="85" t="n">
        <x:v>45757</x:v>
      </x:c>
      <x:c r="C1398" s="84" t="str">
        <x:v>CUST-0437</x:v>
      </x:c>
      <x:c r="D1398" s="84" t="str">
        <x:v>Nathan Garcia</x:v>
      </x:c>
      <x:c r="E1398" s="84" t="str">
        <x:v>Corporate</x:v>
      </x:c>
      <x:c r="F1398" s="84" t="str">
        <x:v>Northeast</x:v>
      </x:c>
      <x:c r="G1398" s="84" t="str">
        <x:v>Philadelphia</x:v>
      </x:c>
      <x:c r="H1398" s="84" t="str">
        <x:v>Online</x:v>
      </x:c>
      <x:c r="I1398" s="84" t="str">
        <x:v>OFFC-002</x:v>
      </x:c>
      <x:c r="J1398" s="86" t="n">
        <x:v>5</x:v>
      </x:c>
      <x:c r="K1398" s="87" t="n">
        <x:v>0.05</x:v>
      </x:c>
      <x:c r="L1398" s="84" t="str">
        <x:v>Completed</x:v>
      </x:c>
      <x:c r="M1398" s="84" t="str">
        <x:v>Debit Card</x:v>
      </x:c>
      <x:c r="N1398" s="84" t="str">
        <x:v>Ethan Cole</x:v>
      </x:c>
      <x:c r="O1398" s="85" t="n">
        <x:v>45761</x:v>
      </x:c>
      <x:c r="P1398" s="84" t="str">
        <x:v>WEB_2025_04</x:v>
      </x:c>
      <x:c r="Q1398" s="84" t="str">
        <x:v>standing desk</x:v>
      </x:c>
      <x:c r="R1398" s="84" t="str">
        <x:v> OFFICE </x:v>
      </x:c>
    </x:row>
    <x:row r="1399">
      <x:c r="A1399" s="84" t="str">
        <x:v>ORD-2025-01041</x:v>
      </x:c>
      <x:c r="B1399" s="85" t="n">
        <x:v>45757</x:v>
      </x:c>
      <x:c r="C1399" s="84" t="str">
        <x:v>CUST-0184</x:v>
      </x:c>
      <x:c r="D1399" s="84" t="str">
        <x:v>elena patel</x:v>
      </x:c>
      <x:c r="E1399" s="84" t="str">
        <x:v>Consumer</x:v>
      </x:c>
      <x:c r="F1399" s="84" t="str">
        <x:v>Southeast</x:v>
      </x:c>
      <x:c r="G1399" s="84" t="str">
        <x:v>Miami</x:v>
      </x:c>
      <x:c r="H1399" s="84" t="str">
        <x:v>Online</x:v>
      </x:c>
      <x:c r="I1399" s="84" t="str">
        <x:v>ELEC-006</x:v>
      </x:c>
      <x:c r="J1399" s="86" t="n">
        <x:v>1</x:v>
      </x:c>
      <x:c r="K1399" s="87" t="n">
        <x:v>0</x:v>
      </x:c>
      <x:c r="L1399" s="84" t="str">
        <x:v>Returned</x:v>
      </x:c>
      <x:c r="M1399" s="84" t="str">
        <x:v>Debit Card </x:v>
      </x:c>
      <x:c r="N1399" s="84" t="str">
        <x:v>Noah Reed</x:v>
      </x:c>
      <x:c r="O1399" s="85" t="n">
        <x:v>45760</x:v>
      </x:c>
      <x:c r="P1399" s="84" t="str">
        <x:v>WEB_2025_04</x:v>
      </x:c>
      <x:c r="Q1399" s="84" t="str">
        <x:v> PORTABLE SSD </x:v>
      </x:c>
      <x:c r="R1399" s="84" t="str">
        <x:v>Electronics</x:v>
      </x:c>
    </x:row>
    <x:row r="1400">
      <x:c r="A1400" s="84" t="str">
        <x:v>ORD-2025-01098</x:v>
      </x:c>
      <x:c r="B1400" s="85" t="n">
        <x:v>45757</x:v>
      </x:c>
      <x:c r="C1400" s="84" t="str">
        <x:v>CUST-0584</x:v>
      </x:c>
      <x:c r="D1400" s="84" t="str">
        <x:v>William Khan</x:v>
      </x:c>
      <x:c r="E1400" s="84" t="str"/>
      <x:c r="F1400" s="84" t="str">
        <x:v>Northeast</x:v>
      </x:c>
      <x:c r="G1400" s="84" t="str">
        <x:v> PHILADELPHIA </x:v>
      </x:c>
      <x:c r="H1400" s="84" t="str">
        <x:v>Marketplace</x:v>
      </x:c>
      <x:c r="I1400" s="84" t="str">
        <x:v>ACCS-001</x:v>
      </x:c>
      <x:c r="J1400" s="86" t="n">
        <x:v>4</x:v>
      </x:c>
      <x:c r="K1400" s="87" t="n">
        <x:v>0.05</x:v>
      </x:c>
      <x:c r="L1400" s="84" t="str">
        <x:v>Completed </x:v>
      </x:c>
      <x:c r="M1400" s="84" t="str">
        <x:v>Credit Card</x:v>
      </x:c>
      <x:c r="N1400" s="84" t="str">
        <x:v>Ethan Cole</x:v>
      </x:c>
      <x:c r="O1400" s="85" t="n">
        <x:v>45761</x:v>
      </x:c>
      <x:c r="P1400" s="84" t="str">
        <x:v>MKT_2025_04</x:v>
      </x:c>
      <x:c r="Q1400" s="84" t="str">
        <x:v>canvas tote bag</x:v>
      </x:c>
      <x:c r="R1400" s="84" t="str">
        <x:v>Accessories</x:v>
      </x:c>
    </x:row>
    <x:row r="1401">
      <x:c r="A1401" s="84" t="str">
        <x:v>ORD-2025-02204</x:v>
      </x:c>
      <x:c r="B1401" s="85" t="n">
        <x:v>45757</x:v>
      </x:c>
      <x:c r="C1401" s="84" t="str">
        <x:v>CUST-0378</x:v>
      </x:c>
      <x:c r="D1401" s="84" t="str">
        <x:v>Victoria Nelson</x:v>
      </x:c>
      <x:c r="E1401" s="84" t="str">
        <x:v>Consumer</x:v>
      </x:c>
      <x:c r="F1401" s="84" t="str">
        <x:v>Midwest</x:v>
      </x:c>
      <x:c r="G1401" s="84" t="str">
        <x:v>chicago</x:v>
      </x:c>
      <x:c r="H1401" s="84" t="str">
        <x:v>Online</x:v>
      </x:c>
      <x:c r="I1401" s="84" t="str">
        <x:v>ELEC-002</x:v>
      </x:c>
      <x:c r="J1401" s="86" t="n">
        <x:v>1</x:v>
      </x:c>
      <x:c r="K1401" s="87" t="n">
        <x:v>0.05</x:v>
      </x:c>
      <x:c r="L1401" s="84" t="str">
        <x:v>completed</x:v>
      </x:c>
      <x:c r="M1401" s="84" t="str">
        <x:v> DEBIT CARD </x:v>
      </x:c>
      <x:c r="N1401" s="84" t="str">
        <x:v>Lucas Grant</x:v>
      </x:c>
      <x:c r="O1401" s="85" t="n">
        <x:v>45760</x:v>
      </x:c>
      <x:c r="P1401" s="84" t="str">
        <x:v>WEB_2025_04</x:v>
      </x:c>
      <x:c r="Q1401" s="84" t="str">
        <x:v>Smartwatch</x:v>
      </x:c>
      <x:c r="R1401" s="84" t="str">
        <x:v>Electronics</x:v>
      </x:c>
    </x:row>
    <x:row r="1402">
      <x:c r="A1402" s="84" t="str">
        <x:v>ORD-2025-00683</x:v>
      </x:c>
      <x:c r="B1402" s="85" t="n">
        <x:v>45758</x:v>
      </x:c>
      <x:c r="C1402" s="84" t="str">
        <x:v>CUST-0352</x:v>
      </x:c>
      <x:c r="D1402" s="84" t="str">
        <x:v>Theo Garcia</x:v>
      </x:c>
      <x:c r="E1402" s="84" t="str">
        <x:v>Consumer</x:v>
      </x:c>
      <x:c r="F1402" s="84" t="str">
        <x:v>West </x:v>
      </x:c>
      <x:c r="G1402" s="84" t="str">
        <x:v>Seattle</x:v>
      </x:c>
      <x:c r="H1402" s="84" t="str">
        <x:v>Marketplace</x:v>
      </x:c>
      <x:c r="I1402" s="84" t="str">
        <x:v>FITN-001</x:v>
      </x:c>
      <x:c r="J1402" s="86" t="n">
        <x:v>1</x:v>
      </x:c>
      <x:c r="K1402" s="87" t="n">
        <x:v>0.2</x:v>
      </x:c>
      <x:c r="L1402" s="84" t="str">
        <x:v>Completed</x:v>
      </x:c>
      <x:c r="M1402" s="84" t="str">
        <x:v>PayPal</x:v>
      </x:c>
      <x:c r="N1402" s="84" t="str">
        <x:v> NORA KIM </x:v>
      </x:c>
      <x:c r="O1402" s="85" t="n">
        <x:v>45763</x:v>
      </x:c>
      <x:c r="P1402" s="84" t="str">
        <x:v>MKT_2025_04</x:v>
      </x:c>
      <x:c r="Q1402" s="84" t="str">
        <x:v>Yoga Mat</x:v>
      </x:c>
      <x:c r="R1402" s="84" t="str">
        <x:v>Fitness</x:v>
      </x:c>
    </x:row>
    <x:row r="1403">
      <x:c r="A1403" s="84" t="str">
        <x:v>ORD-2025-01125</x:v>
      </x:c>
      <x:c r="B1403" s="85" t="n">
        <x:v>45758</x:v>
      </x:c>
      <x:c r="C1403" s="84" t="str">
        <x:v>CUST-0304</x:v>
      </x:c>
      <x:c r="D1403" s="84" t="str">
        <x:v>Isaac Carter </x:v>
      </x:c>
      <x:c r="E1403" s="84" t="str">
        <x:v>Corporate</x:v>
      </x:c>
      <x:c r="F1403" s="84" t="str">
        <x:v>Northeast</x:v>
      </x:c>
      <x:c r="G1403" s="84" t="str">
        <x:v>New York</x:v>
      </x:c>
      <x:c r="H1403" s="84" t="str">
        <x:v>Retail Store</x:v>
      </x:c>
      <x:c r="I1403" s="84" t="str">
        <x:v>HOME-006</x:v>
      </x:c>
      <x:c r="J1403" s="86" t="n">
        <x:v>2</x:v>
      </x:c>
      <x:c r="K1403" s="87" t="n">
        <x:v>0.1</x:v>
      </x:c>
      <x:c r="L1403" s="84" t="str">
        <x:v>Completed</x:v>
      </x:c>
      <x:c r="M1403" s="84" t="str">
        <x:v>Credit Card </x:v>
      </x:c>
      <x:c r="N1403" s="84" t="str">
        <x:v> ETHAN COLE </x:v>
      </x:c>
      <x:c r="O1403" s="85" t="n">
        <x:v>45759</x:v>
      </x:c>
      <x:c r="P1403" s="84" t="str">
        <x:v>POS_2025_04</x:v>
      </x:c>
      <x:c r="Q1403" s="84" t="str">
        <x:v>Food Storage Set</x:v>
      </x:c>
      <x:c r="R1403" s="84" t="str">
        <x:v>home &amp; kitchen</x:v>
      </x:c>
    </x:row>
    <x:row r="1404">
      <x:c r="A1404" s="84" t="str">
        <x:v>ORD-2025-01202</x:v>
      </x:c>
      <x:c r="B1404" s="85" t="n">
        <x:v>45758</x:v>
      </x:c>
      <x:c r="C1404" s="84" t="str">
        <x:v>CUST-0051</x:v>
      </x:c>
      <x:c r="D1404" s="84" t="str">
        <x:v>Marcus Moore </x:v>
      </x:c>
      <x:c r="E1404" s="84" t="str">
        <x:v>Consumer</x:v>
      </x:c>
      <x:c r="F1404" s="84" t="str">
        <x:v>West</x:v>
      </x:c>
      <x:c r="G1404" s="84" t="str">
        <x:v>Seattle</x:v>
      </x:c>
      <x:c r="H1404" s="84" t="str">
        <x:v>Retail Store</x:v>
      </x:c>
      <x:c r="I1404" s="84" t="str">
        <x:v>CARE-006</x:v>
      </x:c>
      <x:c r="J1404" s="86" t="n">
        <x:v>4</x:v>
      </x:c>
      <x:c r="K1404" s="87" t="n">
        <x:v>0.05</x:v>
      </x:c>
      <x:c r="L1404" s="84" t="str">
        <x:v>Completed</x:v>
      </x:c>
      <x:c r="M1404" s="84" t="str">
        <x:v>Mobile Wallet </x:v>
      </x:c>
      <x:c r="N1404" s="84" t="str">
        <x:v>Mia Chen</x:v>
      </x:c>
      <x:c r="O1404" s="85" t="n">
        <x:v>45758</x:v>
      </x:c>
      <x:c r="P1404" s="84" t="str">
        <x:v>POS_2025_04</x:v>
      </x:c>
      <x:c r="Q1404" s="84" t="str">
        <x:v>Percussion Massage Gun</x:v>
      </x:c>
      <x:c r="R1404" s="84" t="str">
        <x:v>personal care</x:v>
      </x:c>
    </x:row>
    <x:row r="1405">
      <x:c r="A1405" s="84" t="str">
        <x:v>ORD-2025-00052</x:v>
      </x:c>
      <x:c r="B1405" s="85" t="n">
        <x:v>45759</x:v>
      </x:c>
      <x:c r="C1405" s="84" t="str">
        <x:v>CUST-0604</x:v>
      </x:c>
      <x:c r="D1405" s="84" t="str">
        <x:v>William Adams</x:v>
      </x:c>
      <x:c r="E1405" s="84" t="str">
        <x:v>Consumer</x:v>
      </x:c>
      <x:c r="F1405" s="84" t="str">
        <x:v>northeast</x:v>
      </x:c>
      <x:c r="G1405" s="84" t="str">
        <x:v>Newark</x:v>
      </x:c>
      <x:c r="H1405" s="84" t="str">
        <x:v>Retail Store </x:v>
      </x:c>
      <x:c r="I1405" s="84" t="str">
        <x:v>HOME-001</x:v>
      </x:c>
      <x:c r="J1405" s="86" t="n">
        <x:v>1</x:v>
      </x:c>
      <x:c r="K1405" s="87" t="n">
        <x:v>0</x:v>
      </x:c>
      <x:c r="L1405" s="84" t="str">
        <x:v>Completed</x:v>
      </x:c>
      <x:c r="M1405" s="84" t="str">
        <x:v>Credit Card</x:v>
      </x:c>
      <x:c r="N1405" s="84" t="str">
        <x:v>Ethan Cole</x:v>
      </x:c>
      <x:c r="O1405" s="85" t="n">
        <x:v>45760</x:v>
      </x:c>
      <x:c r="P1405" s="84" t="str">
        <x:v>POS_2025_04</x:v>
      </x:c>
      <x:c r="Q1405" s="84" t="str">
        <x:v>Air Fryer</x:v>
      </x:c>
      <x:c r="R1405" s="84" t="str">
        <x:v>Home &amp; Kitchen</x:v>
      </x:c>
    </x:row>
    <x:row r="1406">
      <x:c r="A1406" s="84" t="str">
        <x:v>ORD-2025-00091</x:v>
      </x:c>
      <x:c r="B1406" s="85" t="n">
        <x:v>45759</x:v>
      </x:c>
      <x:c r="C1406" s="84" t="str">
        <x:v>CUST-0021</x:v>
      </x:c>
      <x:c r="D1406" s="84" t="str">
        <x:v>Elena Adams</x:v>
      </x:c>
      <x:c r="E1406" s="84" t="str">
        <x:v>Consumer </x:v>
      </x:c>
      <x:c r="F1406" s="84" t="str">
        <x:v>West</x:v>
      </x:c>
      <x:c r="G1406" s="84" t="str">
        <x:v>Denver </x:v>
      </x:c>
      <x:c r="H1406" s="84" t="str">
        <x:v> RETAIL STORE </x:v>
      </x:c>
      <x:c r="I1406" s="84" t="str">
        <x:v>FITN-001</x:v>
      </x:c>
      <x:c r="J1406" s="86" t="n">
        <x:v>1</x:v>
      </x:c>
      <x:c r="K1406" s="87" t="n">
        <x:v>0</x:v>
      </x:c>
      <x:c r="L1406" s="84" t="str">
        <x:v>Completed</x:v>
      </x:c>
      <x:c r="M1406" s="84" t="str">
        <x:v>Mobile Wallet</x:v>
      </x:c>
      <x:c r="N1406" s="84" t="str">
        <x:v>Mia Chen</x:v>
      </x:c>
      <x:c r="O1406" s="85" t="n">
        <x:v>45759</x:v>
      </x:c>
      <x:c r="P1406" s="84" t="str">
        <x:v>POS_2025_04</x:v>
      </x:c>
      <x:c r="Q1406" s="84" t="str">
        <x:v>Yoga Mat</x:v>
      </x:c>
      <x:c r="R1406" s="84" t="str">
        <x:v>fitness</x:v>
      </x:c>
    </x:row>
    <x:row r="1407">
      <x:c r="A1407" s="84" t="str">
        <x:v>ORD-2025-00418</x:v>
      </x:c>
      <x:c r="B1407" s="85" t="n">
        <x:v>45759</x:v>
      </x:c>
      <x:c r="C1407" s="84" t="str">
        <x:v>CUST-0016</x:v>
      </x:c>
      <x:c r="D1407" s="84" t="str">
        <x:v>Jonah Young </x:v>
      </x:c>
      <x:c r="E1407" s="84" t="str">
        <x:v>consumer</x:v>
      </x:c>
      <x:c r="F1407" s="84" t="str">
        <x:v>Northeast</x:v>
      </x:c>
      <x:c r="G1407" s="84" t="str">
        <x:v> NEW YORK </x:v>
      </x:c>
      <x:c r="H1407" s="84" t="str">
        <x:v>online</x:v>
      </x:c>
      <x:c r="I1407" s="84" t="str">
        <x:v>ACCS-003</x:v>
      </x:c>
      <x:c r="J1407" s="86" t="n">
        <x:v>1</x:v>
      </x:c>
      <x:c r="K1407" s="87" t="n">
        <x:v>0.1</x:v>
      </x:c>
      <x:c r="L1407" s="84" t="str">
        <x:v>Completed</x:v>
      </x:c>
      <x:c r="M1407" s="84" t="str">
        <x:v>Mobile Wallet </x:v>
      </x:c>
      <x:c r="N1407" s="84" t="str">
        <x:v>Maya Brooks</x:v>
      </x:c>
      <x:c r="O1407" s="85" t="n">
        <x:v>45765</x:v>
      </x:c>
      <x:c r="P1407" s="84" t="str">
        <x:v>WEB_2025_04</x:v>
      </x:c>
      <x:c r="Q1407" s="84" t="str">
        <x:v>Polarized Sunglasses</x:v>
      </x:c>
      <x:c r="R1407" s="84" t="str">
        <x:v>Accessories</x:v>
      </x:c>
    </x:row>
    <x:row r="1408">
      <x:c r="A1408" s="84" t="str">
        <x:v>ORD-2025-01494</x:v>
      </x:c>
      <x:c r="B1408" s="85" t="n">
        <x:v>45759</x:v>
      </x:c>
      <x:c r="C1408" s="84" t="str">
        <x:v>CUST-0054</x:v>
      </x:c>
      <x:c r="D1408" s="84" t="str">
        <x:v>Priya Roberts</x:v>
      </x:c>
      <x:c r="E1408" s="84" t="str">
        <x:v>Consumer</x:v>
      </x:c>
      <x:c r="F1408" s="84" t="str">
        <x:v>West</x:v>
      </x:c>
      <x:c r="G1408" s="84" t="str">
        <x:v>Phoenix</x:v>
      </x:c>
      <x:c r="H1408" s="84" t="str">
        <x:v>Retail Store </x:v>
      </x:c>
      <x:c r="I1408" s="84" t="str">
        <x:v>HOME-003</x:v>
      </x:c>
      <x:c r="J1408" s="86" t="n">
        <x:v>1</x:v>
      </x:c>
      <x:c r="K1408" s="87" t="n">
        <x:v>0.1</x:v>
      </x:c>
      <x:c r="L1408" s="84" t="str">
        <x:v>Completed</x:v>
      </x:c>
      <x:c r="M1408" s="84" t="str">
        <x:v>Debit Card</x:v>
      </x:c>
      <x:c r="N1408" s="84" t="str">
        <x:v>Mia Chen</x:v>
      </x:c>
      <x:c r="O1408" s="85" t="n">
        <x:v>45759</x:v>
      </x:c>
      <x:c r="P1408" s="84" t="str">
        <x:v>POS_2025_04</x:v>
      </x:c>
      <x:c r="Q1408" s="84" t="str">
        <x:v>countertop blender</x:v>
      </x:c>
      <x:c r="R1408" s="84" t="str">
        <x:v> HOME &amp; KITCHEN </x:v>
      </x:c>
    </x:row>
    <x:row r="1409">
      <x:c r="A1409" s="84" t="str">
        <x:v>ORD-2025-01681</x:v>
      </x:c>
      <x:c r="B1409" s="85" t="n">
        <x:v>45759</x:v>
      </x:c>
      <x:c r="C1409" s="84" t="str">
        <x:v>CUST-0011</x:v>
      </x:c>
      <x:c r="D1409" s="84" t="str">
        <x:v>Priya Hall</x:v>
      </x:c>
      <x:c r="E1409" s="84" t="str">
        <x:v>Consumer</x:v>
      </x:c>
      <x:c r="F1409" s="84" t="str">
        <x:v>Midwest</x:v>
      </x:c>
      <x:c r="G1409" s="84" t="str">
        <x:v>Minneapolis</x:v>
      </x:c>
      <x:c r="H1409" s="84" t="str">
        <x:v>Online</x:v>
      </x:c>
      <x:c r="I1409" s="84" t="str">
        <x:v>OFFC-004</x:v>
      </x:c>
      <x:c r="J1409" s="86" t="n">
        <x:v>1</x:v>
      </x:c>
      <x:c r="K1409" s="87" t="n">
        <x:v>0.05</x:v>
      </x:c>
      <x:c r="L1409" s="84" t="str">
        <x:v>Completed</x:v>
      </x:c>
      <x:c r="M1409" s="84" t="str">
        <x:v>PayPal</x:v>
      </x:c>
      <x:c r="N1409" s="84" t="str">
        <x:v>Lucas Grant</x:v>
      </x:c>
      <x:c r="O1409" s="85" t="n">
        <x:v>45762</x:v>
      </x:c>
      <x:c r="P1409" s="84" t="str">
        <x:v>WEB_2025_04</x:v>
      </x:c>
      <x:c r="Q1409" s="84" t="str">
        <x:v>premium notebook pack</x:v>
      </x:c>
      <x:c r="R1409" s="84" t="str">
        <x:v> OFFICE </x:v>
      </x:c>
    </x:row>
    <x:row r="1410">
      <x:c r="A1410" s="84" t="str">
        <x:v>ORD-2025-00516</x:v>
      </x:c>
      <x:c r="B1410" s="85" t="n">
        <x:v>45760</x:v>
      </x:c>
      <x:c r="C1410" s="84" t="str">
        <x:v>CUST-0261</x:v>
      </x:c>
      <x:c r="D1410" s="84" t="str">
        <x:v>Elias Evans </x:v>
      </x:c>
      <x:c r="E1410" s="84" t="str">
        <x:v>Consumer</x:v>
      </x:c>
      <x:c r="F1410" s="84" t="str">
        <x:v>Northeast</x:v>
      </x:c>
      <x:c r="G1410" s="84" t="str">
        <x:v>Philadelphia</x:v>
      </x:c>
      <x:c r="H1410" s="84" t="str">
        <x:v> RETAIL STORE </x:v>
      </x:c>
      <x:c r="I1410" s="84" t="str">
        <x:v>CARE-005</x:v>
      </x:c>
      <x:c r="J1410" s="86" t="n">
        <x:v>2</x:v>
      </x:c>
      <x:c r="K1410" s="87" t="n">
        <x:v>0.2</x:v>
      </x:c>
      <x:c r="L1410" s="84" t="str">
        <x:v>Completed</x:v>
      </x:c>
      <x:c r="M1410" s="84" t="str">
        <x:v>debit card</x:v>
      </x:c>
      <x:c r="N1410" s="84" t="str">
        <x:v>Ethan Cole</x:v>
      </x:c>
      <x:c r="O1410" s="85" t="n">
        <x:v>45761</x:v>
      </x:c>
      <x:c r="P1410" s="84" t="str">
        <x:v>POS_2025_04</x:v>
      </x:c>
      <x:c r="Q1410" s="84" t="str">
        <x:v>Skin Care Starter Kit</x:v>
      </x:c>
      <x:c r="R1410" s="84" t="str">
        <x:v>Personal Care</x:v>
      </x:c>
    </x:row>
    <x:row r="1411">
      <x:c r="A1411" s="84" t="str">
        <x:v>ORD-2025-01319</x:v>
      </x:c>
      <x:c r="B1411" s="85" t="n">
        <x:v>45760</x:v>
      </x:c>
      <x:c r="C1411" s="84" t="str">
        <x:v>CUST-0111</x:v>
      </x:c>
      <x:c r="D1411" s="84" t="str">
        <x:v>Elias Evans</x:v>
      </x:c>
      <x:c r="E1411" s="84" t="str">
        <x:v>Small Business</x:v>
      </x:c>
      <x:c r="F1411" s="84" t="str">
        <x:v>Northeast</x:v>
      </x:c>
      <x:c r="G1411" s="84" t="str">
        <x:v> NEW YORK </x:v>
      </x:c>
      <x:c r="H1411" s="84" t="str">
        <x:v>Marketplace </x:v>
      </x:c>
      <x:c r="I1411" s="84" t="str">
        <x:v>HOME-006</x:v>
      </x:c>
      <x:c r="J1411" s="86" t="n">
        <x:v>1</x:v>
      </x:c>
      <x:c r="K1411" s="87" t="n">
        <x:v>0.05</x:v>
      </x:c>
      <x:c r="L1411" s="84" t="str">
        <x:v>Completed</x:v>
      </x:c>
      <x:c r="M1411" s="84" t="str">
        <x:v>paypal</x:v>
      </x:c>
      <x:c r="N1411" s="84" t="str">
        <x:v>Maya Brooks</x:v>
      </x:c>
      <x:c r="O1411" s="85" t="n">
        <x:v>45765</x:v>
      </x:c>
      <x:c r="P1411" s="84" t="str">
        <x:v>MKT_2025_04</x:v>
      </x:c>
      <x:c r="Q1411" s="84" t="str">
        <x:v>Food Storage Set</x:v>
      </x:c>
      <x:c r="R1411" s="84" t="str">
        <x:v>Home &amp; Kitchen</x:v>
      </x:c>
    </x:row>
    <x:row r="1412">
      <x:c r="A1412" s="84" t="str">
        <x:v>ORD-2025-00054</x:v>
      </x:c>
      <x:c r="B1412" s="85" t="n">
        <x:v>45761</x:v>
      </x:c>
      <x:c r="C1412" s="84" t="str">
        <x:v>CUST-0173</x:v>
      </x:c>
      <x:c r="D1412" s="84" t="str">
        <x:v>Theo Evans </x:v>
      </x:c>
      <x:c r="E1412" s="84" t="str">
        <x:v>Consumer</x:v>
      </x:c>
      <x:c r="F1412" s="84" t="str">
        <x:v>Northeast</x:v>
      </x:c>
      <x:c r="G1412" s="84" t="str">
        <x:v>Boston</x:v>
      </x:c>
      <x:c r="H1412" s="84" t="str">
        <x:v>Retail Store</x:v>
      </x:c>
      <x:c r="I1412" s="84" t="str">
        <x:v>OFFC-006</x:v>
      </x:c>
      <x:c r="J1412" s="86" t="n">
        <x:v>2</x:v>
      </x:c>
      <x:c r="K1412" s="87" t="n">
        <x:v>0.05</x:v>
      </x:c>
      <x:c r="L1412" s="84" t="str">
        <x:v>Completed</x:v>
      </x:c>
      <x:c r="M1412" s="84" t="str">
        <x:v>mobile wallet</x:v>
      </x:c>
      <x:c r="N1412" s="84" t="str">
        <x:v> ETHAN COLE </x:v>
      </x:c>
      <x:c r="O1412" s="85" t="n">
        <x:v>45761</x:v>
      </x:c>
      <x:c r="P1412" s="84" t="str">
        <x:v>POS_2025_04</x:v>
      </x:c>
      <x:c r="Q1412" s="84" t="str">
        <x:v>Monitor Stand</x:v>
      </x:c>
      <x:c r="R1412" s="84" t="str">
        <x:v>Office</x:v>
      </x:c>
    </x:row>
    <x:row r="1413">
      <x:c r="A1413" s="84" t="str">
        <x:v>ORD-2025-01645</x:v>
      </x:c>
      <x:c r="B1413" s="85" t="n">
        <x:v>45761</x:v>
      </x:c>
      <x:c r="C1413" s="84" t="str">
        <x:v>CUST-0490</x:v>
      </x:c>
      <x:c r="D1413" s="84" t="str">
        <x:v>Maya Nelson</x:v>
      </x:c>
      <x:c r="E1413" s="84" t="str">
        <x:v>Small Business </x:v>
      </x:c>
      <x:c r="F1413" s="84" t="str">
        <x:v>Northeast</x:v>
      </x:c>
      <x:c r="G1413" s="84" t="str">
        <x:v>Philadelphia </x:v>
      </x:c>
      <x:c r="H1413" s="84" t="str">
        <x:v>Retail Store</x:v>
      </x:c>
      <x:c r="I1413" s="84" t="str">
        <x:v>ELEC-004</x:v>
      </x:c>
      <x:c r="J1413" s="86" t="n">
        <x:v>1</x:v>
      </x:c>
      <x:c r="K1413" s="87" t="n">
        <x:v>0</x:v>
      </x:c>
      <x:c r="L1413" s="84" t="str">
        <x:v>Completed</x:v>
      </x:c>
      <x:c r="M1413" s="84" t="str">
        <x:v>Mobile Wallet</x:v>
      </x:c>
      <x:c r="N1413" s="84" t="str">
        <x:v>Sofia Bennett</x:v>
      </x:c>
      <x:c r="O1413" s="85" t="n">
        <x:v>45762</x:v>
      </x:c>
      <x:c r="P1413" s="84" t="str">
        <x:v>POS_2025_04</x:v>
      </x:c>
      <x:c r="Q1413" s="84" t="str">
        <x:v>Power Bank</x:v>
      </x:c>
      <x:c r="R1413" s="84" t="str">
        <x:v>Electronics</x:v>
      </x:c>
    </x:row>
    <x:row r="1414">
      <x:c r="A1414" s="84" t="str">
        <x:v>ORD-2025-00903</x:v>
      </x:c>
      <x:c r="B1414" s="85" t="n">
        <x:v>45762</x:v>
      </x:c>
      <x:c r="C1414" s="84" t="str">
        <x:v>CUST-0138</x:v>
      </x:c>
      <x:c r="D1414" s="84" t="str">
        <x:v>Chloe Khan</x:v>
      </x:c>
      <x:c r="E1414" s="84" t="str">
        <x:v>Corporate </x:v>
      </x:c>
      <x:c r="F1414" s="84" t="str">
        <x:v>West</x:v>
      </x:c>
      <x:c r="G1414" s="84" t="str">
        <x:v>Denver </x:v>
      </x:c>
      <x:c r="H1414" s="84" t="str">
        <x:v>Online</x:v>
      </x:c>
      <x:c r="I1414" s="84" t="str">
        <x:v>HOME-002</x:v>
      </x:c>
      <x:c r="J1414" s="86" t="n">
        <x:v>2</x:v>
      </x:c>
      <x:c r="K1414" s="87" t="n">
        <x:v>0.05</x:v>
      </x:c>
      <x:c r="L1414" s="84" t="str">
        <x:v>Completed</x:v>
      </x:c>
      <x:c r="M1414" s="84" t="str">
        <x:v>Mobile Wallet</x:v>
      </x:c>
      <x:c r="N1414" s="84" t="str">
        <x:v>Leo Martinez</x:v>
      </x:c>
      <x:c r="O1414" s="85" t="n">
        <x:v>45765</x:v>
      </x:c>
      <x:c r="P1414" s="84" t="str">
        <x:v>WEB_2025_04</x:v>
      </x:c>
      <x:c r="Q1414" s="84" t="str">
        <x:v>Electric Kettle</x:v>
      </x:c>
      <x:c r="R1414" s="84" t="str">
        <x:v>Home &amp; Kitchen</x:v>
      </x:c>
    </x:row>
    <x:row r="1415">
      <x:c r="A1415" s="84" t="str">
        <x:v>ORD-2025-01215</x:v>
      </x:c>
      <x:c r="B1415" s="85" t="n">
        <x:v>45762</x:v>
      </x:c>
      <x:c r="C1415" s="84" t="str">
        <x:v>CUST-0142</x:v>
      </x:c>
      <x:c r="D1415" s="84" t="str">
        <x:v>Elena Adams</x:v>
      </x:c>
      <x:c r="E1415" s="84" t="str">
        <x:v>Consumer</x:v>
      </x:c>
      <x:c r="F1415" s="84" t="str">
        <x:v>Midwest </x:v>
      </x:c>
      <x:c r="G1415" s="84" t="str">
        <x:v>Chicago</x:v>
      </x:c>
      <x:c r="H1415" s="84" t="str">
        <x:v>Online</x:v>
      </x:c>
      <x:c r="I1415" s="84" t="str">
        <x:v>ACCS-003</x:v>
      </x:c>
      <x:c r="J1415" s="86" t="n">
        <x:v>1</x:v>
      </x:c>
      <x:c r="K1415" s="87" t="n">
        <x:v>0.1</x:v>
      </x:c>
      <x:c r="L1415" s="84" t="str">
        <x:v>Completed</x:v>
      </x:c>
      <x:c r="M1415" s="84" t="str">
        <x:v>Credit Card</x:v>
      </x:c>
      <x:c r="N1415" s="84" t="str">
        <x:v>Lucas Grant </x:v>
      </x:c>
      <x:c r="O1415" s="85" t="n">
        <x:v>45764</x:v>
      </x:c>
      <x:c r="P1415" s="84" t="str">
        <x:v>WEB_2025_04</x:v>
      </x:c>
      <x:c r="Q1415" s="84" t="str">
        <x:v>Polarized Sunglasses</x:v>
      </x:c>
      <x:c r="R1415" s="84" t="str">
        <x:v>Accessories</x:v>
      </x:c>
    </x:row>
    <x:row r="1416">
      <x:c r="A1416" s="84" t="str">
        <x:v>ORD-2025-01846</x:v>
      </x:c>
      <x:c r="B1416" s="85" t="n">
        <x:v>45762</x:v>
      </x:c>
      <x:c r="C1416" s="84" t="str">
        <x:v>CUST-0074</x:v>
      </x:c>
      <x:c r="D1416" s="84" t="str">
        <x:v>Grace Taylor </x:v>
      </x:c>
      <x:c r="E1416" s="84" t="str">
        <x:v>Consumer</x:v>
      </x:c>
      <x:c r="F1416" s="84" t="str">
        <x:v>West</x:v>
      </x:c>
      <x:c r="G1416" s="84" t="str">
        <x:v> SEATTLE </x:v>
      </x:c>
      <x:c r="H1416" s="84" t="str">
        <x:v>Online</x:v>
      </x:c>
      <x:c r="I1416" s="84" t="str">
        <x:v>HOME-004</x:v>
      </x:c>
      <x:c r="J1416" s="86" t="n">
        <x:v>2</x:v>
      </x:c>
      <x:c r="K1416" s="87" t="n">
        <x:v>0.1</x:v>
      </x:c>
      <x:c r="L1416" s="84" t="str">
        <x:v>Completed</x:v>
      </x:c>
      <x:c r="M1416" s="84" t="str">
        <x:v>PayPal </x:v>
      </x:c>
      <x:c r="N1416" s="84" t="str">
        <x:v>Leo Martinez</x:v>
      </x:c>
      <x:c r="O1416" s="85" t="n">
        <x:v>45768</x:v>
      </x:c>
      <x:c r="P1416" s="84" t="str">
        <x:v>WEB_2025_04</x:v>
      </x:c>
      <x:c r="Q1416" s="84" t="str">
        <x:v>coffee maker</x:v>
      </x:c>
      <x:c r="R1416" s="84" t="str">
        <x:v>Home &amp; Kitchen</x:v>
      </x:c>
    </x:row>
    <x:row r="1417">
      <x:c r="A1417" s="84" t="str">
        <x:v>ORD-2025-00438</x:v>
      </x:c>
      <x:c r="B1417" s="85" t="n">
        <x:v>45763</x:v>
      </x:c>
      <x:c r="C1417" s="84" t="str">
        <x:v>CUST-0218</x:v>
      </x:c>
      <x:c r="D1417" s="84" t="str">
        <x:v>Grace Walker</x:v>
      </x:c>
      <x:c r="E1417" s="84" t="str">
        <x:v>Consumer</x:v>
      </x:c>
      <x:c r="F1417" s="84" t="str">
        <x:v>Northeast </x:v>
      </x:c>
      <x:c r="G1417" s="84" t="str">
        <x:v>Philadelphia</x:v>
      </x:c>
      <x:c r="H1417" s="84" t="str">
        <x:v>Retail Store</x:v>
      </x:c>
      <x:c r="I1417" s="84" t="str">
        <x:v>ACCS-005</x:v>
      </x:c>
      <x:c r="J1417" s="86" t="n">
        <x:v>1</x:v>
      </x:c>
      <x:c r="K1417" s="87" t="n">
        <x:v>0</x:v>
      </x:c>
      <x:c r="L1417" s="84" t="str">
        <x:v>Completed</x:v>
      </x:c>
      <x:c r="M1417" s="84" t="str">
        <x:v>Debit Card</x:v>
      </x:c>
      <x:c r="N1417" s="84" t="str">
        <x:v>Sofia Bennett </x:v>
      </x:c>
      <x:c r="O1417" s="85" t="n">
        <x:v>45763</x:v>
      </x:c>
      <x:c r="P1417" s="84" t="str">
        <x:v>POS_2025_04</x:v>
      </x:c>
      <x:c r="Q1417" s="84" t="str">
        <x:v>protective phone case</x:v>
      </x:c>
      <x:c r="R1417" s="84" t="str">
        <x:v>Accessories</x:v>
      </x:c>
    </x:row>
    <x:row r="1418">
      <x:c r="A1418" s="84" t="str">
        <x:v>ORD-2025-00738</x:v>
      </x:c>
      <x:c r="B1418" s="85" t="n">
        <x:v>45763</x:v>
      </x:c>
      <x:c r="C1418" s="84" t="str">
        <x:v>CUST-0631</x:v>
      </x:c>
      <x:c r="D1418" s="84" t="str">
        <x:v>Amelia Adams</x:v>
      </x:c>
      <x:c r="E1418" s="84" t="str">
        <x:v>Consumer</x:v>
      </x:c>
      <x:c r="F1418" s="84" t="str">
        <x:v>Midwest</x:v>
      </x:c>
      <x:c r="G1418" s="84" t="str">
        <x:v>Minneapolis</x:v>
      </x:c>
      <x:c r="H1418" s="84" t="str">
        <x:v>Retail Store </x:v>
      </x:c>
      <x:c r="I1418" s="84" t="str">
        <x:v>HOME-006</x:v>
      </x:c>
      <x:c r="J1418" s="86" t="n">
        <x:v>1</x:v>
      </x:c>
      <x:c r="K1418" s="87" t="n">
        <x:v>0</x:v>
      </x:c>
      <x:c r="L1418" s="84" t="str">
        <x:v>Completed</x:v>
      </x:c>
      <x:c r="M1418" s="84" t="str">
        <x:v>Mobile Wallet</x:v>
      </x:c>
      <x:c r="N1418" s="84" t="str">
        <x:v>Lucas Grant</x:v>
      </x:c>
      <x:c r="O1418" s="85" t="n">
        <x:v>45763</x:v>
      </x:c>
      <x:c r="P1418" s="84" t="str">
        <x:v>POS_2025_04</x:v>
      </x:c>
      <x:c r="Q1418" s="84" t="str">
        <x:v>Food Storage Set</x:v>
      </x:c>
      <x:c r="R1418" s="84" t="str">
        <x:v>Home &amp; Kitchen</x:v>
      </x:c>
    </x:row>
    <x:row r="1419">
      <x:c r="A1419" s="84" t="str">
        <x:v>ORD-2025-00353</x:v>
      </x:c>
      <x:c r="B1419" s="85" t="n">
        <x:v>45764</x:v>
      </x:c>
      <x:c r="C1419" s="84" t="str">
        <x:v>CUST-0500</x:v>
      </x:c>
      <x:c r="D1419" s="84" t="str">
        <x:v>Sara Baker</x:v>
      </x:c>
      <x:c r="E1419" s="84" t="str">
        <x:v>Consumer</x:v>
      </x:c>
      <x:c r="F1419" s="84" t="str">
        <x:v>Midwest</x:v>
      </x:c>
      <x:c r="G1419" s="84" t="str">
        <x:v>Minneapolis</x:v>
      </x:c>
      <x:c r="H1419" s="84" t="str">
        <x:v>Marketplace </x:v>
      </x:c>
      <x:c r="I1419" s="84" t="str">
        <x:v>ELEC-004</x:v>
      </x:c>
      <x:c r="J1419" s="86" t="n">
        <x:v>2</x:v>
      </x:c>
      <x:c r="K1419" s="87" t="n">
        <x:v>0.1</x:v>
      </x:c>
      <x:c r="L1419" s="84" t="str">
        <x:v>Completed</x:v>
      </x:c>
      <x:c r="M1419" s="84" t="str">
        <x:v>Credit Card</x:v>
      </x:c>
      <x:c r="N1419" s="84" t="str">
        <x:v>Lucas Grant</x:v>
      </x:c>
      <x:c r="O1419" s="85" t="n">
        <x:v>45770</x:v>
      </x:c>
      <x:c r="P1419" s="84" t="str">
        <x:v>MKT_2025_04</x:v>
      </x:c>
      <x:c r="Q1419" s="84" t="str">
        <x:v>Power Bank</x:v>
      </x:c>
      <x:c r="R1419" s="84" t="str">
        <x:v>Electronics</x:v>
      </x:c>
    </x:row>
    <x:row r="1420">
      <x:c r="A1420" s="84" t="str">
        <x:v>ORD-2025-00640</x:v>
      </x:c>
      <x:c r="B1420" s="85" t="n">
        <x:v>45764</x:v>
      </x:c>
      <x:c r="C1420" s="84" t="str">
        <x:v>CUST-0059</x:v>
      </x:c>
      <x:c r="D1420" s="84" t="str">
        <x:v>Samuel Lewis</x:v>
      </x:c>
      <x:c r="E1420" s="84" t="str">
        <x:v>Consumer</x:v>
      </x:c>
      <x:c r="F1420" s="84" t="str">
        <x:v>Midwest</x:v>
      </x:c>
      <x:c r="G1420" s="84" t="str">
        <x:v>Minneapolis</x:v>
      </x:c>
      <x:c r="H1420" s="84" t="str">
        <x:v>Retail Store </x:v>
      </x:c>
      <x:c r="I1420" s="84" t="str">
        <x:v>FITN-001</x:v>
      </x:c>
      <x:c r="J1420" s="86" t="n">
        <x:v>4</x:v>
      </x:c>
      <x:c r="K1420" s="87" t="n">
        <x:v>0</x:v>
      </x:c>
      <x:c r="L1420" s="84" t="str">
        <x:v>Completed</x:v>
      </x:c>
      <x:c r="M1420" s="84" t="str">
        <x:v> CASH </x:v>
      </x:c>
      <x:c r="N1420" s="84" t="str">
        <x:v>lucas grant</x:v>
      </x:c>
      <x:c r="O1420" s="85" t="n">
        <x:v>45764</x:v>
      </x:c>
      <x:c r="P1420" s="84" t="str">
        <x:v>POS_2025_04</x:v>
      </x:c>
      <x:c r="Q1420" s="84" t="str">
        <x:v>Yoga Mat</x:v>
      </x:c>
      <x:c r="R1420" s="84" t="str">
        <x:v>Fitness</x:v>
      </x:c>
    </x:row>
    <x:row r="1421">
      <x:c r="A1421" s="84" t="str">
        <x:v>ORD-2025-01368</x:v>
      </x:c>
      <x:c r="B1421" s="85" t="n">
        <x:v>45764</x:v>
      </x:c>
      <x:c r="C1421" s="84" t="str">
        <x:v>CUST-0322</x:v>
      </x:c>
      <x:c r="D1421" s="84" t="str">
        <x:v>Jasmine Khan</x:v>
      </x:c>
      <x:c r="E1421" s="84" t="str">
        <x:v>Corporate</x:v>
      </x:c>
      <x:c r="F1421" s="84" t="str">
        <x:v>Southeast</x:v>
      </x:c>
      <x:c r="G1421" s="84" t="str">
        <x:v>atlanta</x:v>
      </x:c>
      <x:c r="H1421" s="84" t="str">
        <x:v>Marketplace </x:v>
      </x:c>
      <x:c r="I1421" s="84" t="str">
        <x:v>ACCS-003</x:v>
      </x:c>
      <x:c r="J1421" s="86" t="n">
        <x:v>4</x:v>
      </x:c>
      <x:c r="K1421" s="87" t="n">
        <x:v>0.2</x:v>
      </x:c>
      <x:c r="L1421" s="84" t="str">
        <x:v>completed</x:v>
      </x:c>
      <x:c r="M1421" s="84" t="str">
        <x:v>Credit Card</x:v>
      </x:c>
      <x:c r="N1421" s="84" t="str">
        <x:v>Liam Parker</x:v>
      </x:c>
      <x:c r="O1421" s="85" t="n">
        <x:v>45768</x:v>
      </x:c>
      <x:c r="P1421" s="84" t="str">
        <x:v>MKT_2025_04</x:v>
      </x:c>
      <x:c r="Q1421" s="84" t="str">
        <x:v>Polarized Sunglasses</x:v>
      </x:c>
      <x:c r="R1421" s="84" t="str">
        <x:v>Accessories</x:v>
      </x:c>
    </x:row>
    <x:row r="1422">
      <x:c r="A1422" s="84" t="str">
        <x:v>ORD-2025-01899</x:v>
      </x:c>
      <x:c r="B1422" s="85" t="n">
        <x:v>45764</x:v>
      </x:c>
      <x:c r="C1422" s="84" t="str">
        <x:v>CUST-0493</x:v>
      </x:c>
      <x:c r="D1422" s="84" t="str">
        <x:v>nina evans</x:v>
      </x:c>
      <x:c r="E1422" s="84" t="str">
        <x:v>Corporate</x:v>
      </x:c>
      <x:c r="F1422" s="84" t="str">
        <x:v>West</x:v>
      </x:c>
      <x:c r="G1422" s="84" t="str">
        <x:v>Denver</x:v>
      </x:c>
      <x:c r="H1422" s="84" t="str">
        <x:v>Retail Store</x:v>
      </x:c>
      <x:c r="I1422" s="84" t="str">
        <x:v>ELEC-003</x:v>
      </x:c>
      <x:c r="J1422" s="86" t="n">
        <x:v>5</x:v>
      </x:c>
      <x:c r="K1422" s="87" t="n">
        <x:v>0</x:v>
      </x:c>
      <x:c r="L1422" s="84" t="str">
        <x:v>Completed</x:v>
      </x:c>
      <x:c r="M1422" s="84" t="str">
        <x:v>Debit Card</x:v>
      </x:c>
      <x:c r="N1422" s="84" t="str">
        <x:v>Leo Martinez</x:v>
      </x:c>
      <x:c r="O1422" s="85" t="n">
        <x:v>45764</x:v>
      </x:c>
      <x:c r="P1422" s="84" t="str">
        <x:v>POS_2025_04</x:v>
      </x:c>
      <x:c r="Q1422" s="84" t="str">
        <x:v>Bluetooth Speaker</x:v>
      </x:c>
      <x:c r="R1422" s="84" t="str">
        <x:v>Electronics </x:v>
      </x:c>
    </x:row>
    <x:row r="1423">
      <x:c r="A1423" s="84" t="str">
        <x:v>ORD-2025-00309</x:v>
      </x:c>
      <x:c r="B1423" s="85" t="n">
        <x:v>45765</x:v>
      </x:c>
      <x:c r="C1423" s="84" t="str">
        <x:v>CUST-0233</x:v>
      </x:c>
      <x:c r="D1423" s="84" t="str">
        <x:v>Grace Taylor</x:v>
      </x:c>
      <x:c r="E1423" s="84" t="str">
        <x:v>Consumer</x:v>
      </x:c>
      <x:c r="F1423" s="84" t="str">
        <x:v>Northeast</x:v>
      </x:c>
      <x:c r="G1423" s="84" t="str">
        <x:v>New York</x:v>
      </x:c>
      <x:c r="H1423" s="84" t="str">
        <x:v>Online</x:v>
      </x:c>
      <x:c r="I1423" s="84" t="str">
        <x:v>ACCS-001</x:v>
      </x:c>
      <x:c r="J1423" s="86" t="n">
        <x:v>1</x:v>
      </x:c>
      <x:c r="K1423" s="87" t="n">
        <x:v>0</x:v>
      </x:c>
      <x:c r="L1423" s="84" t="str">
        <x:v>Completed</x:v>
      </x:c>
      <x:c r="M1423" s="84" t="str">
        <x:v>Credit Card</x:v>
      </x:c>
      <x:c r="N1423" s="84" t="str">
        <x:v> SOFIA BENNETT </x:v>
      </x:c>
      <x:c r="O1423" s="85" t="n">
        <x:v>45767</x:v>
      </x:c>
      <x:c r="P1423" s="84" t="str">
        <x:v>WEB_2025_04</x:v>
      </x:c>
      <x:c r="Q1423" s="84" t="str">
        <x:v>Canvas Tote Bag </x:v>
      </x:c>
      <x:c r="R1423" s="84" t="str">
        <x:v>Accessories</x:v>
      </x:c>
    </x:row>
    <x:row r="1424">
      <x:c r="A1424" s="84" t="str">
        <x:v>ORD-2025-00572</x:v>
      </x:c>
      <x:c r="B1424" s="85" t="n">
        <x:v>45765</x:v>
      </x:c>
      <x:c r="C1424" s="84" t="str">
        <x:v>CUST-0166</x:v>
      </x:c>
      <x:c r="D1424" s="84" t="str">
        <x:v>Marcus Young </x:v>
      </x:c>
      <x:c r="E1424" s="84" t="str">
        <x:v>consumer</x:v>
      </x:c>
      <x:c r="F1424" s="84" t="str">
        <x:v>West</x:v>
      </x:c>
      <x:c r="G1424" s="84" t="str">
        <x:v>Phoenix</x:v>
      </x:c>
      <x:c r="H1424" s="84" t="str">
        <x:v>retail store</x:v>
      </x:c>
      <x:c r="I1424" s="84" t="str">
        <x:v>OFFC-002</x:v>
      </x:c>
      <x:c r="J1424" s="86" t="n">
        <x:v>1</x:v>
      </x:c>
      <x:c r="K1424" s="87" t="n">
        <x:v>0.1</x:v>
      </x:c>
      <x:c r="L1424" s="84" t="str">
        <x:v>Completed</x:v>
      </x:c>
      <x:c r="M1424" s="84" t="str">
        <x:v> CASH </x:v>
      </x:c>
      <x:c r="N1424" s="84" t="str">
        <x:v>Mia Chen</x:v>
      </x:c>
      <x:c r="O1424" s="85" t="n">
        <x:v>45765</x:v>
      </x:c>
      <x:c r="P1424" s="84" t="str">
        <x:v>POS_2025_04</x:v>
      </x:c>
      <x:c r="Q1424" s="84" t="str">
        <x:v>Standing Desk</x:v>
      </x:c>
      <x:c r="R1424" s="84" t="str">
        <x:v>Office</x:v>
      </x:c>
    </x:row>
    <x:row r="1425">
      <x:c r="A1425" s="84" t="str">
        <x:v>ORD-2025-01012</x:v>
      </x:c>
      <x:c r="B1425" s="85" t="n">
        <x:v>45765</x:v>
      </x:c>
      <x:c r="C1425" s="84" t="str">
        <x:v>CUST-0062</x:v>
      </x:c>
      <x:c r="D1425" s="84" t="str">
        <x:v>Caleb Davis</x:v>
      </x:c>
      <x:c r="E1425" s="84" t="str">
        <x:v>consumer</x:v>
      </x:c>
      <x:c r="F1425" s="84" t="str">
        <x:v>Northeast </x:v>
      </x:c>
      <x:c r="G1425" s="84" t="str">
        <x:v>New York</x:v>
      </x:c>
      <x:c r="H1425" s="84" t="str">
        <x:v>retail store</x:v>
      </x:c>
      <x:c r="I1425" s="84" t="str">
        <x:v>ACCS-006</x:v>
      </x:c>
      <x:c r="J1425" s="86" t="n">
        <x:v>2</x:v>
      </x:c>
      <x:c r="K1425" s="87" t="n">
        <x:v>0</x:v>
      </x:c>
      <x:c r="L1425" s="84" t="str">
        <x:v>Completed</x:v>
      </x:c>
      <x:c r="M1425" s="84" t="str">
        <x:v>Debit Card</x:v>
      </x:c>
      <x:c r="N1425" s="84" t="str">
        <x:v>Sofia Bennett </x:v>
      </x:c>
      <x:c r="O1425" s="85" t="n">
        <x:v>45765</x:v>
      </x:c>
      <x:c r="P1425" s="84" t="str">
        <x:v>POS_2025_04</x:v>
      </x:c>
      <x:c r="Q1425" s="84" t="str">
        <x:v>Insulated Lunch Bag</x:v>
      </x:c>
      <x:c r="R1425" s="84" t="str">
        <x:v>Accessories</x:v>
      </x:c>
    </x:row>
    <x:row r="1426">
      <x:c r="A1426" s="84" t="str">
        <x:v>ORD-2025-01014</x:v>
      </x:c>
      <x:c r="B1426" s="85" t="n">
        <x:v>45766</x:v>
      </x:c>
      <x:c r="C1426" s="84" t="str">
        <x:v>CUST-0438</x:v>
      </x:c>
      <x:c r="D1426" s="84" t="str">
        <x:v>Isaac Ortiz</x:v>
      </x:c>
      <x:c r="E1426" s="84" t="str">
        <x:v>Consumer</x:v>
      </x:c>
      <x:c r="F1426" s="84" t="str">
        <x:v>Midwest</x:v>
      </x:c>
      <x:c r="G1426" s="84" t="str">
        <x:v>Columbus</x:v>
      </x:c>
      <x:c r="H1426" s="84" t="str">
        <x:v>Marketplace</x:v>
      </x:c>
      <x:c r="I1426" s="84" t="str">
        <x:v>CARE-005</x:v>
      </x:c>
      <x:c r="J1426" s="86" t="n">
        <x:v>3</x:v>
      </x:c>
      <x:c r="K1426" s="87" t="n">
        <x:v>0.1</x:v>
      </x:c>
      <x:c r="L1426" s="84" t="str">
        <x:v>Completed </x:v>
      </x:c>
      <x:c r="M1426" s="84" t="str">
        <x:v> CREDIT CARD </x:v>
      </x:c>
      <x:c r="N1426" s="84" t="str">
        <x:v>lucas grant</x:v>
      </x:c>
      <x:c r="O1426" s="85" t="n">
        <x:v>45774</x:v>
      </x:c>
      <x:c r="P1426" s="84" t="str">
        <x:v>MKT_2025_04</x:v>
      </x:c>
      <x:c r="Q1426" s="84" t="str">
        <x:v>Skin Care Starter Kit</x:v>
      </x:c>
      <x:c r="R1426" s="84" t="str">
        <x:v>Personal Care</x:v>
      </x:c>
    </x:row>
    <x:row r="1427">
      <x:c r="A1427" s="84" t="str">
        <x:v>ORD-2025-02010</x:v>
      </x:c>
      <x:c r="B1427" s="85" t="n">
        <x:v>45766</x:v>
      </x:c>
      <x:c r="C1427" s="84" t="str">
        <x:v>CUST-0335</x:v>
      </x:c>
      <x:c r="D1427" s="84" t="str">
        <x:v>Elias Roberts</x:v>
      </x:c>
      <x:c r="E1427" s="84" t="str">
        <x:v>Consumer</x:v>
      </x:c>
      <x:c r="F1427" s="84" t="str">
        <x:v>west</x:v>
      </x:c>
      <x:c r="G1427" s="84" t="str">
        <x:v>Los Angeles</x:v>
      </x:c>
      <x:c r="H1427" s="84" t="str">
        <x:v>Online</x:v>
      </x:c>
      <x:c r="I1427" s="84" t="str">
        <x:v>ACCS-004</x:v>
      </x:c>
      <x:c r="J1427" s="86" t="n">
        <x:v>1</x:v>
      </x:c>
      <x:c r="K1427" s="87" t="n">
        <x:v>0.15</x:v>
      </x:c>
      <x:c r="L1427" s="84" t="str">
        <x:v>Completed</x:v>
      </x:c>
      <x:c r="M1427" s="84" t="str">
        <x:v>PayPal</x:v>
      </x:c>
      <x:c r="N1427" s="84" t="str">
        <x:v>Leo Martinez</x:v>
      </x:c>
      <x:c r="O1427" s="85" t="n">
        <x:v>45771</x:v>
      </x:c>
      <x:c r="P1427" s="84" t="str">
        <x:v>WEB_2025_04</x:v>
      </x:c>
      <x:c r="Q1427" s="84" t="str">
        <x:v> LEATHER WALLET </x:v>
      </x:c>
      <x:c r="R1427" s="84" t="str">
        <x:v>Accessories</x:v>
      </x:c>
    </x:row>
    <x:row r="1428">
      <x:c r="A1428" s="84" t="str">
        <x:v>ORD-2025-01403</x:v>
      </x:c>
      <x:c r="B1428" s="85" t="n">
        <x:v>45767</x:v>
      </x:c>
      <x:c r="C1428" s="84" t="str">
        <x:v>CUST-0042</x:v>
      </x:c>
      <x:c r="D1428" s="84" t="str">
        <x:v>Daniel Johnson</x:v>
      </x:c>
      <x:c r="E1428" s="84" t="str"/>
      <x:c r="F1428" s="84" t="str">
        <x:v>Northeast</x:v>
      </x:c>
      <x:c r="G1428" s="84" t="str">
        <x:v>Newark</x:v>
      </x:c>
      <x:c r="H1428" s="84" t="str">
        <x:v>Marketplace </x:v>
      </x:c>
      <x:c r="I1428" s="84" t="str">
        <x:v>ELEC-003</x:v>
      </x:c>
      <x:c r="J1428" s="86" t="n">
        <x:v>3</x:v>
      </x:c>
      <x:c r="K1428" s="87" t="n">
        <x:v>0.1</x:v>
      </x:c>
      <x:c r="L1428" s="84" t="str">
        <x:v>Returned</x:v>
      </x:c>
      <x:c r="M1428" s="84" t="str">
        <x:v>Debit Card</x:v>
      </x:c>
      <x:c r="N1428" s="84" t="str">
        <x:v>Maya Brooks</x:v>
      </x:c>
      <x:c r="O1428" s="85" t="n">
        <x:v>45774</x:v>
      </x:c>
      <x:c r="P1428" s="84" t="str">
        <x:v>MKT_2025_04</x:v>
      </x:c>
      <x:c r="Q1428" s="84" t="str">
        <x:v>Bluetooth Speaker</x:v>
      </x:c>
      <x:c r="R1428" s="84" t="str">
        <x:v>Electronics</x:v>
      </x:c>
    </x:row>
    <x:row r="1429">
      <x:c r="A1429" s="84" t="str">
        <x:v>ORD-2025-02164</x:v>
      </x:c>
      <x:c r="B1429" s="85" t="n">
        <x:v>45767</x:v>
      </x:c>
      <x:c r="C1429" s="84" t="str">
        <x:v>CUST-0106</x:v>
      </x:c>
      <x:c r="D1429" s="84" t="str">
        <x:v>Zara Johnson</x:v>
      </x:c>
      <x:c r="E1429" s="84" t="str">
        <x:v>Consumer</x:v>
      </x:c>
      <x:c r="F1429" s="84" t="str">
        <x:v>west</x:v>
      </x:c>
      <x:c r="G1429" s="84" t="str">
        <x:v>Denver</x:v>
      </x:c>
      <x:c r="H1429" s="84" t="str">
        <x:v>Online</x:v>
      </x:c>
      <x:c r="I1429" s="84" t="str">
        <x:v>CARE-005</x:v>
      </x:c>
      <x:c r="J1429" s="86" t="n">
        <x:v>1</x:v>
      </x:c>
      <x:c r="K1429" s="87" t="n">
        <x:v>0</x:v>
      </x:c>
      <x:c r="L1429" s="84" t="str">
        <x:v> COMPLETED </x:v>
      </x:c>
      <x:c r="M1429" s="84" t="str">
        <x:v>Mobile Wallet</x:v>
      </x:c>
      <x:c r="N1429" s="84" t="str">
        <x:v>Nora Kim</x:v>
      </x:c>
      <x:c r="O1429" s="85" t="n">
        <x:v>45770</x:v>
      </x:c>
      <x:c r="P1429" s="84" t="str">
        <x:v>WEB_2025_04</x:v>
      </x:c>
      <x:c r="Q1429" s="84" t="str">
        <x:v>Skin Care Starter Kit </x:v>
      </x:c>
      <x:c r="R1429" s="84" t="str">
        <x:v>Personal Care</x:v>
      </x:c>
    </x:row>
    <x:row r="1430">
      <x:c r="A1430" s="84" t="str">
        <x:v>ORD-2025-02216</x:v>
      </x:c>
      <x:c r="B1430" s="85" t="n">
        <x:v>45767</x:v>
      </x:c>
      <x:c r="C1430" s="84" t="str">
        <x:v>CUST-0067</x:v>
      </x:c>
      <x:c r="D1430" s="84" t="str">
        <x:v>William Garcia</x:v>
      </x:c>
      <x:c r="E1430" s="84" t="str">
        <x:v>Consumer</x:v>
      </x:c>
      <x:c r="F1430" s="84" t="str">
        <x:v>West </x:v>
      </x:c>
      <x:c r="G1430" s="84" t="str">
        <x:v>Phoenix</x:v>
      </x:c>
      <x:c r="H1430" s="84" t="str">
        <x:v> RETAIL STORE </x:v>
      </x:c>
      <x:c r="I1430" s="84" t="str">
        <x:v>ACCS-002</x:v>
      </x:c>
      <x:c r="J1430" s="86" t="n">
        <x:v>2</x:v>
      </x:c>
      <x:c r="K1430" s="87" t="n">
        <x:v>0.05</x:v>
      </x:c>
      <x:c r="L1430" s="84" t="str">
        <x:v>Completed</x:v>
      </x:c>
      <x:c r="M1430" s="84" t="str">
        <x:v>Debit Card</x:v>
      </x:c>
      <x:c r="N1430" s="84" t="str">
        <x:v>Leo Martinez </x:v>
      </x:c>
      <x:c r="O1430" s="85" t="n">
        <x:v>45767</x:v>
      </x:c>
      <x:c r="P1430" s="84" t="str">
        <x:v>POS_2025_04</x:v>
      </x:c>
      <x:c r="Q1430" s="84" t="str">
        <x:v>Travel Backpack</x:v>
      </x:c>
      <x:c r="R1430" s="84" t="str">
        <x:v>Accessories</x:v>
      </x:c>
    </x:row>
    <x:row r="1431">
      <x:c r="A1431" s="84" t="str">
        <x:v>ORD-2025-00022</x:v>
      </x:c>
      <x:c r="B1431" s="85" t="n">
        <x:v>45768</x:v>
      </x:c>
      <x:c r="C1431" s="84" t="str">
        <x:v>CUST-0443</x:v>
      </x:c>
      <x:c r="D1431" s="84" t="str">
        <x:v>Samuel Foster</x:v>
      </x:c>
      <x:c r="E1431" s="84" t="str">
        <x:v>consumer</x:v>
      </x:c>
      <x:c r="F1431" s="84" t="str">
        <x:v>West</x:v>
      </x:c>
      <x:c r="G1431" s="84" t="str">
        <x:v>Denver</x:v>
      </x:c>
      <x:c r="H1431" s="84" t="str">
        <x:v>retail store</x:v>
      </x:c>
      <x:c r="I1431" s="84" t="str">
        <x:v>FITN-002</x:v>
      </x:c>
      <x:c r="J1431" s="86" t="n">
        <x:v>2</x:v>
      </x:c>
      <x:c r="K1431" s="87" t="n">
        <x:v>0.05</x:v>
      </x:c>
      <x:c r="L1431" s="84" t="str">
        <x:v> COMPLETED </x:v>
      </x:c>
      <x:c r="M1431" s="84" t="str">
        <x:v>Cash</x:v>
      </x:c>
      <x:c r="N1431" s="84" t="str">
        <x:v>Nora Kim</x:v>
      </x:c>
      <x:c r="O1431" s="85" t="n">
        <x:v>45768</x:v>
      </x:c>
      <x:c r="P1431" s="84" t="str">
        <x:v>POS_2025_04</x:v>
      </x:c>
      <x:c r="Q1431" s="84" t="str">
        <x:v>Adjustable Dumbbell Set </x:v>
      </x:c>
      <x:c r="R1431" s="84" t="str">
        <x:v>Fitness</x:v>
      </x:c>
    </x:row>
    <x:row r="1432">
      <x:c r="A1432" s="84" t="str">
        <x:v>ORD-2025-00412</x:v>
      </x:c>
      <x:c r="B1432" s="85" t="n">
        <x:v>45768</x:v>
      </x:c>
      <x:c r="C1432" s="84" t="str">
        <x:v>CUST-0313</x:v>
      </x:c>
      <x:c r="D1432" s="84" t="str">
        <x:v>Elena Carter</x:v>
      </x:c>
      <x:c r="E1432" s="84" t="str">
        <x:v>Consumer</x:v>
      </x:c>
      <x:c r="F1432" s="84" t="str">
        <x:v>Midwest</x:v>
      </x:c>
      <x:c r="G1432" s="84" t="str">
        <x:v>Columbus</x:v>
      </x:c>
      <x:c r="H1432" s="84" t="str">
        <x:v>Online</x:v>
      </x:c>
      <x:c r="I1432" s="84" t="str">
        <x:v>HOME-002</x:v>
      </x:c>
      <x:c r="J1432" s="86" t="n">
        <x:v>1</x:v>
      </x:c>
      <x:c r="K1432" s="87" t="n">
        <x:v>0.05</x:v>
      </x:c>
      <x:c r="L1432" s="84" t="str">
        <x:v>Completed </x:v>
      </x:c>
      <x:c r="M1432" s="84" t="str">
        <x:v>Credit Card</x:v>
      </x:c>
      <x:c r="N1432" s="84" t="str">
        <x:v>Emma Hayes</x:v>
      </x:c>
      <x:c r="O1432" s="85" t="n">
        <x:v>45772</x:v>
      </x:c>
      <x:c r="P1432" s="84" t="str">
        <x:v>WEB_2025_04</x:v>
      </x:c>
      <x:c r="Q1432" s="84" t="str">
        <x:v> ELECTRIC KETTLE </x:v>
      </x:c>
      <x:c r="R1432" s="84" t="str">
        <x:v>Home &amp; Kitchen</x:v>
      </x:c>
    </x:row>
    <x:row r="1433">
      <x:c r="A1433" s="84" t="str">
        <x:v>ORD-2025-00499</x:v>
      </x:c>
      <x:c r="B1433" s="85" t="n">
        <x:v>45768</x:v>
      </x:c>
      <x:c r="C1433" s="84" t="str">
        <x:v>CUST-0269</x:v>
      </x:c>
      <x:c r="D1433" s="84" t="str">
        <x:v>Daniel Evans</x:v>
      </x:c>
      <x:c r="E1433" s="84" t="str">
        <x:v>Small Business</x:v>
      </x:c>
      <x:c r="F1433" s="84" t="str">
        <x:v>Southeast</x:v>
      </x:c>
      <x:c r="G1433" s="84" t="str">
        <x:v>charlotte</x:v>
      </x:c>
      <x:c r="H1433" s="84" t="str">
        <x:v> RETAIL STORE </x:v>
      </x:c>
      <x:c r="I1433" s="84" t="str">
        <x:v>FITN-003</x:v>
      </x:c>
      <x:c r="J1433" s="86" t="n">
        <x:v>1</x:v>
      </x:c>
      <x:c r="K1433" s="87" t="n">
        <x:v>0.1</x:v>
      </x:c>
      <x:c r="L1433" s="84" t="str">
        <x:v>completed</x:v>
      </x:c>
      <x:c r="M1433" s="84" t="str">
        <x:v>Credit Card</x:v>
      </x:c>
      <x:c r="N1433" s="84" t="str">
        <x:v>Liam Parker</x:v>
      </x:c>
      <x:c r="O1433" s="85" t="n">
        <x:v>45768</x:v>
      </x:c>
      <x:c r="P1433" s="84" t="str">
        <x:v>POS_2025_04</x:v>
      </x:c>
      <x:c r="Q1433" s="84" t="str">
        <x:v>Resistance Band Set</x:v>
      </x:c>
      <x:c r="R1433" s="84" t="str">
        <x:v>Fitness </x:v>
      </x:c>
    </x:row>
    <x:row r="1434">
      <x:c r="A1434" s="84" t="str">
        <x:v>ORD-2025-00607</x:v>
      </x:c>
      <x:c r="B1434" s="85" t="n">
        <x:v>45768</x:v>
      </x:c>
      <x:c r="C1434" s="84" t="str">
        <x:v>CUST-0470</x:v>
      </x:c>
      <x:c r="D1434" s="84" t="str">
        <x:v>Jasmine Lewis </x:v>
      </x:c>
      <x:c r="E1434" s="84" t="str">
        <x:v>Corporate</x:v>
      </x:c>
      <x:c r="F1434" s="84" t="str">
        <x:v>Southeast</x:v>
      </x:c>
      <x:c r="G1434" s="84" t="str">
        <x:v>Miami</x:v>
      </x:c>
      <x:c r="H1434" s="84" t="str">
        <x:v>Marketplace</x:v>
      </x:c>
      <x:c r="I1434" s="84" t="str">
        <x:v>CARE-006</x:v>
      </x:c>
      <x:c r="J1434" s="86" t="n">
        <x:v>6</x:v>
      </x:c>
      <x:c r="K1434" s="87" t="n">
        <x:v>0.05</x:v>
      </x:c>
      <x:c r="L1434" s="84" t="str">
        <x:v>Completed</x:v>
      </x:c>
      <x:c r="M1434" s="84" t="str">
        <x:v>Debit Card </x:v>
      </x:c>
      <x:c r="N1434" s="84" t="str">
        <x:v>noah reed</x:v>
      </x:c>
      <x:c r="O1434" s="85" t="n">
        <x:v>45775</x:v>
      </x:c>
      <x:c r="P1434" s="84" t="str">
        <x:v>MKT_2025_04</x:v>
      </x:c>
      <x:c r="Q1434" s="84" t="str">
        <x:v>Percussion Massage Gun</x:v>
      </x:c>
      <x:c r="R1434" s="84" t="str">
        <x:v>Personal Care</x:v>
      </x:c>
    </x:row>
    <x:row r="1435">
      <x:c r="A1435" s="84" t="str">
        <x:v>ORD-2025-01017</x:v>
      </x:c>
      <x:c r="B1435" s="85" t="n">
        <x:v>45768</x:v>
      </x:c>
      <x:c r="C1435" s="84" t="str">
        <x:v>CUST-0466</x:v>
      </x:c>
      <x:c r="D1435" s="84" t="str">
        <x:v> SARA YOUNG </x:v>
      </x:c>
      <x:c r="E1435" s="84" t="str">
        <x:v>Corporate</x:v>
      </x:c>
      <x:c r="F1435" s="84" t="str">
        <x:v> WEST </x:v>
      </x:c>
      <x:c r="G1435" s="84" t="str">
        <x:v>Los Angeles</x:v>
      </x:c>
      <x:c r="H1435" s="84" t="str">
        <x:v>Retail Store</x:v>
      </x:c>
      <x:c r="I1435" s="84" t="str">
        <x:v>CARE-004</x:v>
      </x:c>
      <x:c r="J1435" s="86" t="n">
        <x:v>3</x:v>
      </x:c>
      <x:c r="K1435" s="87" t="n">
        <x:v>0</x:v>
      </x:c>
      <x:c r="L1435" s="84" t="str">
        <x:v>Completed</x:v>
      </x:c>
      <x:c r="M1435" s="84" t="str">
        <x:v>Cash</x:v>
      </x:c>
      <x:c r="N1435" s="84" t="str">
        <x:v>Leo Martinez</x:v>
      </x:c>
      <x:c r="O1435" s="85" t="n">
        <x:v>45769</x:v>
      </x:c>
      <x:c r="P1435" s="84" t="str">
        <x:v>POS_2025_04</x:v>
      </x:c>
      <x:c r="Q1435" s="84" t="str">
        <x:v>Electric Toothbrush</x:v>
      </x:c>
      <x:c r="R1435" s="84" t="str">
        <x:v>Personal Care </x:v>
      </x:c>
    </x:row>
    <x:row r="1436">
      <x:c r="A1436" s="84" t="str">
        <x:v>ORD-2025-02000</x:v>
      </x:c>
      <x:c r="B1436" s="85" t="n">
        <x:v>45768</x:v>
      </x:c>
      <x:c r="C1436" s="84" t="str">
        <x:v>CUST-0563</x:v>
      </x:c>
      <x:c r="D1436" s="84" t="str">
        <x:v>Amelia Adams </x:v>
      </x:c>
      <x:c r="E1436" s="84" t="str">
        <x:v>Consumer</x:v>
      </x:c>
      <x:c r="F1436" s="84" t="str">
        <x:v>Southeast</x:v>
      </x:c>
      <x:c r="G1436" s="84" t="str">
        <x:v>Charlotte</x:v>
      </x:c>
      <x:c r="H1436" s="84" t="str">
        <x:v>Online</x:v>
      </x:c>
      <x:c r="I1436" s="84" t="str">
        <x:v>HOME-003</x:v>
      </x:c>
      <x:c r="J1436" s="86" t="n">
        <x:v>3</x:v>
      </x:c>
      <x:c r="K1436" s="87" t="n">
        <x:v>0.2</x:v>
      </x:c>
      <x:c r="L1436" s="84" t="str">
        <x:v>Completed</x:v>
      </x:c>
      <x:c r="M1436" s="84" t="str">
        <x:v> MOBILE WALLET </x:v>
      </x:c>
      <x:c r="N1436" s="84" t="str">
        <x:v>Ava Mitchell</x:v>
      </x:c>
      <x:c r="O1436" s="85" t="n">
        <x:v>45772</x:v>
      </x:c>
      <x:c r="P1436" s="84" t="str">
        <x:v>WEB_2025_04</x:v>
      </x:c>
      <x:c r="Q1436" s="84" t="str">
        <x:v>countertop blender</x:v>
      </x:c>
      <x:c r="R1436" s="84" t="str">
        <x:v>Home &amp; Kitchen</x:v>
      </x:c>
    </x:row>
    <x:row r="1437">
      <x:c r="A1437" s="84" t="str">
        <x:v>ORD-2025-02094</x:v>
      </x:c>
      <x:c r="B1437" s="85" t="n">
        <x:v>45768</x:v>
      </x:c>
      <x:c r="C1437" s="84" t="str">
        <x:v>CUST-0034</x:v>
      </x:c>
      <x:c r="D1437" s="84" t="str">
        <x:v>Priya Roberts</x:v>
      </x:c>
      <x:c r="E1437" s="84" t="str">
        <x:v>Consumer</x:v>
      </x:c>
      <x:c r="F1437" s="84" t="str">
        <x:v>Southeast</x:v>
      </x:c>
      <x:c r="G1437" s="84" t="str">
        <x:v>nashville</x:v>
      </x:c>
      <x:c r="H1437" s="84" t="str">
        <x:v>Retail Store</x:v>
      </x:c>
      <x:c r="I1437" s="84" t="str">
        <x:v>OFFC-001</x:v>
      </x:c>
      <x:c r="J1437" s="86" t="n">
        <x:v>2</x:v>
      </x:c>
      <x:c r="K1437" s="87" t="n">
        <x:v>0</x:v>
      </x:c>
      <x:c r="L1437" s="84" t="str">
        <x:v>completed</x:v>
      </x:c>
      <x:c r="M1437" s="84" t="str">
        <x:v>Debit Card</x:v>
      </x:c>
      <x:c r="N1437" s="84" t="str">
        <x:v> LIAM PARKER </x:v>
      </x:c>
      <x:c r="O1437" s="85" t="n">
        <x:v>45768</x:v>
      </x:c>
      <x:c r="P1437" s="84" t="str">
        <x:v>POS_2025_04</x:v>
      </x:c>
      <x:c r="Q1437" s="84" t="str">
        <x:v>Ergonomic Chair </x:v>
      </x:c>
      <x:c r="R1437" s="84" t="str">
        <x:v>Office</x:v>
      </x:c>
    </x:row>
    <x:row r="1438">
      <x:c r="A1438" s="84" t="str">
        <x:v>ORD-2025-00801</x:v>
      </x:c>
      <x:c r="B1438" s="85" t="n">
        <x:v>45769</x:v>
      </x:c>
      <x:c r="C1438" s="84" t="str">
        <x:v>CUST-0512</x:v>
      </x:c>
      <x:c r="D1438" s="84" t="str">
        <x:v>Elena Carter</x:v>
      </x:c>
      <x:c r="E1438" s="84" t="str">
        <x:v>Consumer</x:v>
      </x:c>
      <x:c r="F1438" s="84" t="str">
        <x:v>West</x:v>
      </x:c>
      <x:c r="G1438" s="84" t="str">
        <x:v>Denver</x:v>
      </x:c>
      <x:c r="H1438" s="84" t="str">
        <x:v>Online </x:v>
      </x:c>
      <x:c r="I1438" s="84" t="str">
        <x:v>HOME-001</x:v>
      </x:c>
      <x:c r="J1438" s="86" t="n">
        <x:v>1</x:v>
      </x:c>
      <x:c r="K1438" s="87" t="n">
        <x:v>0.05</x:v>
      </x:c>
      <x:c r="L1438" s="84" t="str">
        <x:v>Completed</x:v>
      </x:c>
      <x:c r="M1438" s="84" t="str">
        <x:v>Credit Card</x:v>
      </x:c>
      <x:c r="N1438" s="84" t="str">
        <x:v>Leo Martinez</x:v>
      </x:c>
      <x:c r="O1438" s="85" t="n">
        <x:v>45775</x:v>
      </x:c>
      <x:c r="P1438" s="84" t="str">
        <x:v>WEB_2025_04</x:v>
      </x:c>
      <x:c r="Q1438" s="84" t="str">
        <x:v>air fryer</x:v>
      </x:c>
      <x:c r="R1438" s="84" t="str">
        <x:v>Home &amp; Kitchen</x:v>
      </x:c>
    </x:row>
    <x:row r="1439">
      <x:c r="A1439" s="84" t="str">
        <x:v>ORD-2025-00830</x:v>
      </x:c>
      <x:c r="B1439" s="85" t="n">
        <x:v>45769</x:v>
      </x:c>
      <x:c r="C1439" s="84" t="str">
        <x:v>CUST-0243</x:v>
      </x:c>
      <x:c r="D1439" s="84" t="str">
        <x:v> JASMINE JOHNSON </x:v>
      </x:c>
      <x:c r="E1439" s="84" t="str">
        <x:v>Corporate</x:v>
      </x:c>
      <x:c r="F1439" s="84" t="str">
        <x:v> NORTHEAST </x:v>
      </x:c>
      <x:c r="G1439" s="84" t="str">
        <x:v>Newark</x:v>
      </x:c>
      <x:c r="H1439" s="84" t="str">
        <x:v>Retail Store</x:v>
      </x:c>
      <x:c r="I1439" s="84" t="str">
        <x:v>CARE-004</x:v>
      </x:c>
      <x:c r="J1439" s="86" t="n">
        <x:v>2</x:v>
      </x:c>
      <x:c r="K1439" s="87" t="n">
        <x:v>0</x:v>
      </x:c>
      <x:c r="L1439" s="84" t="str">
        <x:v>Completed</x:v>
      </x:c>
      <x:c r="M1439" s="84" t="str">
        <x:v>Cash</x:v>
      </x:c>
      <x:c r="N1439" s="84" t="str">
        <x:v>Sofia Bennett </x:v>
      </x:c>
      <x:c r="O1439" s="85" t="n">
        <x:v>45770</x:v>
      </x:c>
      <x:c r="P1439" s="84" t="str">
        <x:v>POS_2025_04</x:v>
      </x:c>
      <x:c r="Q1439" s="84" t="str">
        <x:v>Electric Toothbrush</x:v>
      </x:c>
      <x:c r="R1439" s="84" t="str">
        <x:v>Personal Care</x:v>
      </x:c>
    </x:row>
    <x:row r="1440">
      <x:c r="A1440" s="84" t="str">
        <x:v>ORD-2025-00987</x:v>
      </x:c>
      <x:c r="B1440" s="85" t="n">
        <x:v>45769</x:v>
      </x:c>
      <x:c r="C1440" s="84" t="str">
        <x:v>CUST-0623</x:v>
      </x:c>
      <x:c r="D1440" s="84" t="str">
        <x:v>Theo Roberts</x:v>
      </x:c>
      <x:c r="E1440" s="84" t="str">
        <x:v>Small Business </x:v>
      </x:c>
      <x:c r="F1440" s="84" t="str">
        <x:v>midwest</x:v>
      </x:c>
      <x:c r="G1440" s="84" t="str">
        <x:v>Detroit </x:v>
      </x:c>
      <x:c r="H1440" s="84" t="str">
        <x:v>Retail Store</x:v>
      </x:c>
      <x:c r="I1440" s="84" t="str">
        <x:v>ELEC-004</x:v>
      </x:c>
      <x:c r="J1440" s="86" t="n">
        <x:v>1</x:v>
      </x:c>
      <x:c r="K1440" s="87" t="n">
        <x:v>0.1</x:v>
      </x:c>
      <x:c r="L1440" s="84" t="str">
        <x:v>Completed</x:v>
      </x:c>
      <x:c r="M1440" s="84" t="str">
        <x:v>Debit Card</x:v>
      </x:c>
      <x:c r="N1440" s="84" t="str">
        <x:v>Zoe Turner</x:v>
      </x:c>
      <x:c r="O1440" s="85" t="n">
        <x:v>45769</x:v>
      </x:c>
      <x:c r="P1440" s="84" t="str">
        <x:v>POS_2025_04</x:v>
      </x:c>
      <x:c r="Q1440" s="84" t="str">
        <x:v>Power Bank</x:v>
      </x:c>
      <x:c r="R1440" s="84" t="str">
        <x:v>Electronics</x:v>
      </x:c>
    </x:row>
    <x:row r="1441">
      <x:c r="A1441" s="84" t="str">
        <x:v>ORD-2025-01352</x:v>
      </x:c>
      <x:c r="B1441" s="85" t="n">
        <x:v>45769</x:v>
      </x:c>
      <x:c r="C1441" s="84" t="str">
        <x:v>CUST-0018</x:v>
      </x:c>
      <x:c r="D1441" s="84" t="str">
        <x:v>Priya Nelson</x:v>
      </x:c>
      <x:c r="E1441" s="84" t="str">
        <x:v>Consumer</x:v>
      </x:c>
      <x:c r="F1441" s="84" t="str">
        <x:v>Southeast</x:v>
      </x:c>
      <x:c r="G1441" s="84" t="str">
        <x:v>Miami</x:v>
      </x:c>
      <x:c r="H1441" s="84" t="str">
        <x:v>Online</x:v>
      </x:c>
      <x:c r="I1441" s="84" t="str">
        <x:v>ACCS-005</x:v>
      </x:c>
      <x:c r="J1441" s="86" t="n">
        <x:v>1</x:v>
      </x:c>
      <x:c r="K1441" s="87" t="n">
        <x:v>0</x:v>
      </x:c>
      <x:c r="L1441" s="84" t="str">
        <x:v>Completed</x:v>
      </x:c>
      <x:c r="M1441" s="84" t="str">
        <x:v>debit card</x:v>
      </x:c>
      <x:c r="N1441" s="84" t="str">
        <x:v>Liam Parker</x:v>
      </x:c>
      <x:c r="O1441" s="85" t="n">
        <x:v>45771</x:v>
      </x:c>
      <x:c r="P1441" s="84" t="str">
        <x:v>WEB_2025_04</x:v>
      </x:c>
      <x:c r="Q1441" s="84" t="str">
        <x:v>Protective Phone Case </x:v>
      </x:c>
      <x:c r="R1441" s="84" t="str">
        <x:v>Accessories</x:v>
      </x:c>
    </x:row>
    <x:row r="1442">
      <x:c r="A1442" s="84" t="str">
        <x:v>ORD-2025-00583</x:v>
      </x:c>
      <x:c r="B1442" s="85" t="n">
        <x:v>45770</x:v>
      </x:c>
      <x:c r="C1442" s="84" t="str">
        <x:v>CUST-0518</x:v>
      </x:c>
      <x:c r="D1442" s="84" t="str">
        <x:v>Victoria Hall</x:v>
      </x:c>
      <x:c r="E1442" s="84" t="str">
        <x:v>consumer</x:v>
      </x:c>
      <x:c r="F1442" s="84" t="str">
        <x:v>Midwest</x:v>
      </x:c>
      <x:c r="G1442" s="84" t="str">
        <x:v>Chicago</x:v>
      </x:c>
      <x:c r="H1442" s="84" t="str">
        <x:v>retail store</x:v>
      </x:c>
      <x:c r="I1442" s="84" t="str">
        <x:v>ELEC-002</x:v>
      </x:c>
      <x:c r="J1442" s="86" t="n">
        <x:v>1</x:v>
      </x:c>
      <x:c r="K1442" s="87" t="n">
        <x:v>0.1</x:v>
      </x:c>
      <x:c r="L1442" s="84" t="str">
        <x:v> COMPLETED </x:v>
      </x:c>
      <x:c r="M1442" s="84" t="str">
        <x:v>Debit Card</x:v>
      </x:c>
      <x:c r="N1442" s="84" t="str">
        <x:v>Zoe Turner</x:v>
      </x:c>
      <x:c r="O1442" s="85" t="n">
        <x:v>45770</x:v>
      </x:c>
      <x:c r="P1442" s="84" t="str">
        <x:v>POS_2025_04</x:v>
      </x:c>
      <x:c r="Q1442" s="84" t="str">
        <x:v>Smartwatch</x:v>
      </x:c>
      <x:c r="R1442" s="84" t="str">
        <x:v>Electronics </x:v>
      </x:c>
    </x:row>
    <x:row r="1443">
      <x:c r="A1443" s="84" t="str">
        <x:v>ORD-2025-02054</x:v>
      </x:c>
      <x:c r="B1443" s="85" t="n">
        <x:v>45770</x:v>
      </x:c>
      <x:c r="C1443" s="84" t="str">
        <x:v>CUST-0430</x:v>
      </x:c>
      <x:c r="D1443" s="84" t="str">
        <x:v> WILLIAM ADAMS </x:v>
      </x:c>
      <x:c r="E1443" s="84" t="str">
        <x:v>Small Business</x:v>
      </x:c>
      <x:c r="F1443" s="84" t="str">
        <x:v> WEST </x:v>
      </x:c>
      <x:c r="G1443" s="84" t="str">
        <x:v>Los Angeles</x:v>
      </x:c>
      <x:c r="H1443" s="84" t="str">
        <x:v>Online </x:v>
      </x:c>
      <x:c r="I1443" s="84" t="str">
        <x:v>ELEC-005</x:v>
      </x:c>
      <x:c r="J1443" s="86" t="n">
        <x:v>1</x:v>
      </x:c>
      <x:c r="K1443" s="87" t="n">
        <x:v>0.15</x:v>
      </x:c>
      <x:c r="L1443" s="84" t="str">
        <x:v>Completed</x:v>
      </x:c>
      <x:c r="M1443" s="84" t="str">
        <x:v>Credit Card</x:v>
      </x:c>
      <x:c r="N1443" s="84" t="str">
        <x:v>Nora Kim</x:v>
      </x:c>
      <x:c r="O1443" s="85" t="n">
        <x:v>45774</x:v>
      </x:c>
      <x:c r="P1443" s="84" t="str">
        <x:v>WEB_2025_04</x:v>
      </x:c>
      <x:c r="Q1443" s="84" t="str">
        <x:v>HD Webcam</x:v>
      </x:c>
      <x:c r="R1443" s="84" t="str">
        <x:v>Electronics</x:v>
      </x:c>
    </x:row>
    <x:row r="1444">
      <x:c r="A1444" s="84" t="str">
        <x:v>ORD-2025-00636</x:v>
      </x:c>
      <x:c r="B1444" s="85" t="n">
        <x:v>45771</x:v>
      </x:c>
      <x:c r="C1444" s="84" t="str">
        <x:v>CUST-0054</x:v>
      </x:c>
      <x:c r="D1444" s="84" t="str">
        <x:v>Priya Roberts</x:v>
      </x:c>
      <x:c r="E1444" s="84" t="str">
        <x:v>Consumer</x:v>
      </x:c>
      <x:c r="F1444" s="84" t="str">
        <x:v>West</x:v>
      </x:c>
      <x:c r="G1444" s="84" t="str">
        <x:v>Phoenix</x:v>
      </x:c>
      <x:c r="H1444" s="84" t="str">
        <x:v>Online</x:v>
      </x:c>
      <x:c r="I1444" s="84" t="str">
        <x:v>CARE-003</x:v>
      </x:c>
      <x:c r="J1444" s="86" t="n">
        <x:v>1</x:v>
      </x:c>
      <x:c r="K1444" s="87" t="n">
        <x:v>0</x:v>
      </x:c>
      <x:c r="L1444" s="84" t="str">
        <x:v>Completed </x:v>
      </x:c>
      <x:c r="M1444" s="84" t="str">
        <x:v>Credit Card</x:v>
      </x:c>
      <x:c r="N1444" s="84" t="str">
        <x:v>Mia Chen</x:v>
      </x:c>
      <x:c r="O1444" s="85" t="n">
        <x:v>45776</x:v>
      </x:c>
      <x:c r="P1444" s="84" t="str">
        <x:v>WEB_2025_04</x:v>
      </x:c>
      <x:c r="Q1444" s="84" t="str">
        <x:v>facial cleanser</x:v>
      </x:c>
      <x:c r="R1444" s="84" t="str">
        <x:v>Personal Care</x:v>
      </x:c>
    </x:row>
    <x:row r="1445">
      <x:c r="A1445" s="84" t="str">
        <x:v>ORD-2025-00905</x:v>
      </x:c>
      <x:c r="B1445" s="85" t="n">
        <x:v>45771</x:v>
      </x:c>
      <x:c r="C1445" s="84" t="str">
        <x:v>CUST-0026</x:v>
      </x:c>
      <x:c r="D1445" s="84" t="str">
        <x:v>Nina Roberts</x:v>
      </x:c>
      <x:c r="E1445" s="84" t="str">
        <x:v>Small Business</x:v>
      </x:c>
      <x:c r="F1445" s="84" t="str">
        <x:v>West</x:v>
      </x:c>
      <x:c r="G1445" s="84" t="str">
        <x:v>Denver</x:v>
      </x:c>
      <x:c r="H1445" s="84" t="str">
        <x:v>Retail Store</x:v>
      </x:c>
      <x:c r="I1445" s="84" t="str">
        <x:v>CARE-002</x:v>
      </x:c>
      <x:c r="J1445" s="86" t="n">
        <x:v>1</x:v>
      </x:c>
      <x:c r="K1445" s="87" t="n">
        <x:v>0.1</x:v>
      </x:c>
      <x:c r="L1445" s="84" t="str">
        <x:v>Completed</x:v>
      </x:c>
      <x:c r="M1445" s="84" t="str">
        <x:v>Credit Card</x:v>
      </x:c>
      <x:c r="N1445" s="84" t="str">
        <x:v>Mia Chen</x:v>
      </x:c>
      <x:c r="O1445" s="85" t="n">
        <x:v>45771</x:v>
      </x:c>
      <x:c r="P1445" s="84" t="str">
        <x:v>POS_2025_04</x:v>
      </x:c>
      <x:c r="Q1445" s="84" t="str">
        <x:v> RECHARGEABLE TRIMMER </x:v>
      </x:c>
      <x:c r="R1445" s="84" t="str">
        <x:v>personal care</x:v>
      </x:c>
    </x:row>
    <x:row r="1446">
      <x:c r="A1446" s="84" t="str">
        <x:v>ORD-2025-02304</x:v>
      </x:c>
      <x:c r="B1446" s="85" t="n">
        <x:v>45771</x:v>
      </x:c>
      <x:c r="C1446" s="84" t="str">
        <x:v>CUST-0059</x:v>
      </x:c>
      <x:c r="D1446" s="84" t="str">
        <x:v>Samuel Lewis</x:v>
      </x:c>
      <x:c r="E1446" s="84" t="str">
        <x:v>Consumer</x:v>
      </x:c>
      <x:c r="F1446" s="84" t="str">
        <x:v>Midwest</x:v>
      </x:c>
      <x:c r="G1446" s="84" t="str">
        <x:v>Minneapolis</x:v>
      </x:c>
      <x:c r="H1446" s="84" t="str">
        <x:v>Online</x:v>
      </x:c>
      <x:c r="I1446" s="84" t="str">
        <x:v>HOME-006</x:v>
      </x:c>
      <x:c r="J1446" s="86" t="n">
        <x:v>1</x:v>
      </x:c>
      <x:c r="K1446" s="87" t="n">
        <x:v>0.05</x:v>
      </x:c>
      <x:c r="L1446" s="84" t="str">
        <x:v>Completed</x:v>
      </x:c>
      <x:c r="M1446" s="84" t="str">
        <x:v>Mobile Wallet</x:v>
      </x:c>
      <x:c r="N1446" s="84" t="str">
        <x:v>Zoe Turner</x:v>
      </x:c>
      <x:c r="O1446" s="85" t="n">
        <x:v>45774</x:v>
      </x:c>
      <x:c r="P1446" s="84" t="str">
        <x:v>WEB_2025_04</x:v>
      </x:c>
      <x:c r="Q1446" s="84" t="str">
        <x:v>Food Storage Set </x:v>
      </x:c>
      <x:c r="R1446" s="84" t="str">
        <x:v>Home &amp; Kitchen</x:v>
      </x:c>
    </x:row>
    <x:row r="1447">
      <x:c r="A1447" s="84" t="str">
        <x:v>ORD-2025-00772</x:v>
      </x:c>
      <x:c r="B1447" s="85" t="n">
        <x:v>45772</x:v>
      </x:c>
      <x:c r="C1447" s="84" t="str">
        <x:v>CUST-0144</x:v>
      </x:c>
      <x:c r="D1447" s="84" t="str">
        <x:v>Grace Patel</x:v>
      </x:c>
      <x:c r="E1447" s="84" t="str">
        <x:v>Corporate</x:v>
      </x:c>
      <x:c r="F1447" s="84" t="str">
        <x:v>West</x:v>
      </x:c>
      <x:c r="G1447" s="84" t="str">
        <x:v>Phoenix</x:v>
      </x:c>
      <x:c r="H1447" s="84" t="str">
        <x:v>Online</x:v>
      </x:c>
      <x:c r="I1447" s="84" t="str">
        <x:v>ACCS-001</x:v>
      </x:c>
      <x:c r="J1447" s="86" t="n">
        <x:v>2</x:v>
      </x:c>
      <x:c r="K1447" s="87" t="n">
        <x:v>0.05</x:v>
      </x:c>
      <x:c r="L1447" s="84" t="str">
        <x:v>Completed</x:v>
      </x:c>
      <x:c r="M1447" s="84" t="str">
        <x:v>PayPal</x:v>
      </x:c>
      <x:c r="N1447" s="84" t="str">
        <x:v>nora kim</x:v>
      </x:c>
      <x:c r="O1447" s="85" t="n">
        <x:v>45775</x:v>
      </x:c>
      <x:c r="P1447" s="84" t="str">
        <x:v>WEB_2025_04</x:v>
      </x:c>
      <x:c r="Q1447" s="84" t="str">
        <x:v>Canvas Tote Bag</x:v>
      </x:c>
      <x:c r="R1447" s="84" t="str">
        <x:v>Accessories </x:v>
      </x:c>
    </x:row>
    <x:row r="1448">
      <x:c r="A1448" s="84" t="str">
        <x:v>ORD-2025-01137</x:v>
      </x:c>
      <x:c r="B1448" s="85" t="n">
        <x:v>45772</x:v>
      </x:c>
      <x:c r="C1448" s="84" t="str">
        <x:v>CUST-0245</x:v>
      </x:c>
      <x:c r="D1448" s="84" t="str">
        <x:v>Victoria Carter</x:v>
      </x:c>
      <x:c r="E1448" s="84" t="str">
        <x:v>Consumer</x:v>
      </x:c>
      <x:c r="F1448" s="84" t="str">
        <x:v>West</x:v>
      </x:c>
      <x:c r="G1448" s="84" t="str">
        <x:v>los angeles</x:v>
      </x:c>
      <x:c r="H1448" s="84" t="str">
        <x:v>Marketplace </x:v>
      </x:c>
      <x:c r="I1448" s="84" t="str">
        <x:v>HOME-004</x:v>
      </x:c>
      <x:c r="J1448" s="86" t="n">
        <x:v>1</x:v>
      </x:c>
      <x:c r="K1448" s="87" t="n">
        <x:v>0.1</x:v>
      </x:c>
      <x:c r="L1448" s="84" t="str">
        <x:v>completed</x:v>
      </x:c>
      <x:c r="M1448" s="84" t="str">
        <x:v>Credit Card</x:v>
      </x:c>
      <x:c r="N1448" s="84" t="str">
        <x:v>Leo Martinez</x:v>
      </x:c>
      <x:c r="O1448" s="85" t="n">
        <x:v>45776</x:v>
      </x:c>
      <x:c r="P1448" s="84" t="str">
        <x:v>MKT_2025_04</x:v>
      </x:c>
      <x:c r="Q1448" s="84" t="str">
        <x:v>Coffee Maker</x:v>
      </x:c>
      <x:c r="R1448" s="84" t="str">
        <x:v> HOME &amp; KITCHEN </x:v>
      </x:c>
    </x:row>
    <x:row r="1449">
      <x:c r="A1449" s="84" t="str">
        <x:v>ORD-2025-01269</x:v>
      </x:c>
      <x:c r="B1449" s="85" t="n">
        <x:v>45772</x:v>
      </x:c>
      <x:c r="C1449" s="84" t="str">
        <x:v>CUST-0575</x:v>
      </x:c>
      <x:c r="D1449" s="84" t="str">
        <x:v>Elena Walker</x:v>
      </x:c>
      <x:c r="E1449" s="84" t="str">
        <x:v>Consumer</x:v>
      </x:c>
      <x:c r="F1449" s="84" t="str">
        <x:v>Northeast</x:v>
      </x:c>
      <x:c r="G1449" s="84" t="str">
        <x:v>philadelphia</x:v>
      </x:c>
      <x:c r="H1449" s="84" t="str">
        <x:v>Marketplace</x:v>
      </x:c>
      <x:c r="I1449" s="84" t="str">
        <x:v>CARE-004</x:v>
      </x:c>
      <x:c r="J1449" s="86" t="n">
        <x:v>1</x:v>
      </x:c>
      <x:c r="K1449" s="87" t="n">
        <x:v>0.15</x:v>
      </x:c>
      <x:c r="L1449" s="84" t="str">
        <x:v>completed</x:v>
      </x:c>
      <x:c r="M1449" s="84" t="str">
        <x:v> CREDIT CARD </x:v>
      </x:c>
      <x:c r="N1449" s="84" t="str">
        <x:v>Sofia Bennett</x:v>
      </x:c>
      <x:c r="O1449" s="85" t="n">
        <x:v>45776</x:v>
      </x:c>
      <x:c r="P1449" s="84" t="str">
        <x:v>MKT_2025_04</x:v>
      </x:c>
      <x:c r="Q1449" s="84" t="str">
        <x:v>Electric Toothbrush</x:v>
      </x:c>
      <x:c r="R1449" s="84" t="str">
        <x:v>Personal Care </x:v>
      </x:c>
    </x:row>
    <x:row r="1450">
      <x:c r="A1450" s="84" t="str">
        <x:v>ORD-2025-01499</x:v>
      </x:c>
      <x:c r="B1450" s="85" t="n">
        <x:v>45772</x:v>
      </x:c>
      <x:c r="C1450" s="84" t="str">
        <x:v>CUST-0059</x:v>
      </x:c>
      <x:c r="D1450" s="84" t="str">
        <x:v>Samuel Lewis</x:v>
      </x:c>
      <x:c r="E1450" s="84" t="str">
        <x:v>Consumer</x:v>
      </x:c>
      <x:c r="F1450" s="84" t="str">
        <x:v>Midwest</x:v>
      </x:c>
      <x:c r="G1450" s="84" t="str">
        <x:v>Minneapolis</x:v>
      </x:c>
      <x:c r="H1450" s="84" t="str">
        <x:v>Online</x:v>
      </x:c>
      <x:c r="I1450" s="84" t="str">
        <x:v>FITN-002</x:v>
      </x:c>
      <x:c r="J1450" s="86" t="n">
        <x:v>4</x:v>
      </x:c>
      <x:c r="K1450" s="87" t="n">
        <x:v>0.1</x:v>
      </x:c>
      <x:c r="L1450" s="84" t="str">
        <x:v>Completed</x:v>
      </x:c>
      <x:c r="M1450" s="84" t="str">
        <x:v>Credit Card</x:v>
      </x:c>
      <x:c r="N1450" s="84" t="str">
        <x:v> ZOE TURNER </x:v>
      </x:c>
      <x:c r="O1450" s="85" t="n">
        <x:v>45775</x:v>
      </x:c>
      <x:c r="P1450" s="84" t="str">
        <x:v>WEB_2025_04</x:v>
      </x:c>
      <x:c r="Q1450" s="84" t="str">
        <x:v>Adjustable Dumbbell Set </x:v>
      </x:c>
      <x:c r="R1450" s="84" t="str">
        <x:v>fitness</x:v>
      </x:c>
    </x:row>
    <x:row r="1451">
      <x:c r="A1451" s="84" t="str">
        <x:v>ORD-2025-01666</x:v>
      </x:c>
      <x:c r="B1451" s="85" t="n">
        <x:v>45772</x:v>
      </x:c>
      <x:c r="C1451" s="84" t="str">
        <x:v>CUST-0411</x:v>
      </x:c>
      <x:c r="D1451" s="84" t="str">
        <x:v>Daniel Young</x:v>
      </x:c>
      <x:c r="E1451" s="84" t="str">
        <x:v> CORPORATE </x:v>
      </x:c>
      <x:c r="F1451" s="84" t="str">
        <x:v>West</x:v>
      </x:c>
      <x:c r="G1451" s="84" t="str">
        <x:v>Denver </x:v>
      </x:c>
      <x:c r="H1451" s="84" t="str">
        <x:v>Retail Store</x:v>
      </x:c>
      <x:c r="I1451" s="84" t="str">
        <x:v>ACCS-005</x:v>
      </x:c>
      <x:c r="J1451" s="86" t="n">
        <x:v>3</x:v>
      </x:c>
      <x:c r="K1451" s="87" t="n">
        <x:v>0.1</x:v>
      </x:c>
      <x:c r="L1451" s="84" t="str">
        <x:v>Completed</x:v>
      </x:c>
      <x:c r="M1451" s="84" t="str">
        <x:v>Mobile Wallet</x:v>
      </x:c>
      <x:c r="N1451" s="84" t="str">
        <x:v>Leo Martinez</x:v>
      </x:c>
      <x:c r="O1451" s="85" t="n">
        <x:v>45772</x:v>
      </x:c>
      <x:c r="P1451" s="84" t="str">
        <x:v>POS_2025_04</x:v>
      </x:c>
      <x:c r="Q1451" s="84" t="str">
        <x:v>Protective Phone Case</x:v>
      </x:c>
      <x:c r="R1451" s="84" t="str">
        <x:v>Accessories</x:v>
      </x:c>
    </x:row>
    <x:row r="1452">
      <x:c r="A1452" s="84" t="str">
        <x:v>ORD-2025-00081</x:v>
      </x:c>
      <x:c r="B1452" s="85" t="n">
        <x:v>45773</x:v>
      </x:c>
      <x:c r="C1452" s="84" t="str">
        <x:v>CUST-0590</x:v>
      </x:c>
      <x:c r="D1452" s="84" t="str">
        <x:v>Theo Young</x:v>
      </x:c>
      <x:c r="E1452" s="84" t="str">
        <x:v>Consumer</x:v>
      </x:c>
      <x:c r="F1452" s="84" t="str">
        <x:v>Southeast </x:v>
      </x:c>
      <x:c r="G1452" s="84" t="str">
        <x:v>atlanta</x:v>
      </x:c>
      <x:c r="H1452" s="84" t="str">
        <x:v>Retail Store</x:v>
      </x:c>
      <x:c r="I1452" s="84" t="str">
        <x:v>OFFC-001</x:v>
      </x:c>
      <x:c r="J1452" s="86" t="n">
        <x:v>1</x:v>
      </x:c>
      <x:c r="K1452" s="87" t="n">
        <x:v>0</x:v>
      </x:c>
      <x:c r="L1452" s="84" t="str">
        <x:v>completed</x:v>
      </x:c>
      <x:c r="M1452" s="84" t="str">
        <x:v>Cash</x:v>
      </x:c>
      <x:c r="N1452" s="84" t="str">
        <x:v>Noah Reed </x:v>
      </x:c>
      <x:c r="O1452" s="85" t="n">
        <x:v>45773</x:v>
      </x:c>
      <x:c r="P1452" s="84" t="str">
        <x:v>POS_2025_04</x:v>
      </x:c>
      <x:c r="Q1452" s="84" t="str">
        <x:v>Ergonomic Chair</x:v>
      </x:c>
      <x:c r="R1452" s="84" t="str">
        <x:v>Office</x:v>
      </x:c>
    </x:row>
    <x:row r="1453">
      <x:c r="A1453" s="84" t="str">
        <x:v>ORD-2025-00361</x:v>
      </x:c>
      <x:c r="B1453" s="85" t="n">
        <x:v>45773</x:v>
      </x:c>
      <x:c r="C1453" s="84" t="str">
        <x:v>CUST-0018</x:v>
      </x:c>
      <x:c r="D1453" s="84" t="str">
        <x:v>Priya Nelson</x:v>
      </x:c>
      <x:c r="E1453" s="84" t="str">
        <x:v>Consumer</x:v>
      </x:c>
      <x:c r="F1453" s="84" t="str">
        <x:v>Southeast </x:v>
      </x:c>
      <x:c r="G1453" s="84" t="str">
        <x:v>Miami</x:v>
      </x:c>
      <x:c r="H1453" s="84" t="str">
        <x:v>Retail Store</x:v>
      </x:c>
      <x:c r="I1453" s="84" t="str">
        <x:v>OFFC-003</x:v>
      </x:c>
      <x:c r="J1453" s="86" t="n">
        <x:v>2</x:v>
      </x:c>
      <x:c r="K1453" s="87" t="n">
        <x:v>0.05</x:v>
      </x:c>
      <x:c r="L1453" s="84" t="str">
        <x:v>Completed</x:v>
      </x:c>
      <x:c r="M1453" s="84" t="str">
        <x:v>Debit Card</x:v>
      </x:c>
      <x:c r="N1453" s="84" t="str">
        <x:v>Ava Mitchell </x:v>
      </x:c>
      <x:c r="O1453" s="85" t="n">
        <x:v>45773</x:v>
      </x:c>
      <x:c r="P1453" s="84" t="str">
        <x:v>POS_2025_04</x:v>
      </x:c>
      <x:c r="Q1453" s="84" t="str">
        <x:v> LED DESK LAMP </x:v>
      </x:c>
      <x:c r="R1453" s="84" t="str">
        <x:v>Office</x:v>
      </x:c>
    </x:row>
    <x:row r="1454">
      <x:c r="A1454" s="84" t="str">
        <x:v>ORD-2025-01337</x:v>
      </x:c>
      <x:c r="B1454" s="85" t="n">
        <x:v>45773</x:v>
      </x:c>
      <x:c r="C1454" s="84" t="str">
        <x:v>CUST-0558</x:v>
      </x:c>
      <x:c r="D1454" s="84" t="str">
        <x:v>Elias Irwin</x:v>
      </x:c>
      <x:c r="E1454" s="84" t="str">
        <x:v>Corporate </x:v>
      </x:c>
      <x:c r="F1454" s="84" t="str">
        <x:v>Northeast</x:v>
      </x:c>
      <x:c r="G1454" s="84" t="str">
        <x:v>Philadelphia </x:v>
      </x:c>
      <x:c r="H1454" s="84" t="str">
        <x:v>Retail Store</x:v>
      </x:c>
      <x:c r="I1454" s="84" t="str">
        <x:v>CARE-002</x:v>
      </x:c>
      <x:c r="J1454" s="86" t="n">
        <x:v>3</x:v>
      </x:c>
      <x:c r="K1454" s="87" t="n">
        <x:v>0.05</x:v>
      </x:c>
      <x:c r="L1454" s="84" t="str">
        <x:v>Completed</x:v>
      </x:c>
      <x:c r="M1454" s="84" t="str">
        <x:v> CREDIT CARD </x:v>
      </x:c>
      <x:c r="N1454" s="84" t="str">
        <x:v>Sofia Bennett</x:v>
      </x:c>
      <x:c r="O1454" s="85" t="n">
        <x:v>45774</x:v>
      </x:c>
      <x:c r="P1454" s="84" t="str">
        <x:v>POS_2025_04</x:v>
      </x:c>
      <x:c r="Q1454" s="84" t="str">
        <x:v>Rechargeable Trimmer</x:v>
      </x:c>
      <x:c r="R1454" s="84" t="str">
        <x:v>Personal Care</x:v>
      </x:c>
    </x:row>
    <x:row r="1455">
      <x:c r="A1455" s="84" t="str">
        <x:v>ORD-2025-02021</x:v>
      </x:c>
      <x:c r="B1455" s="85" t="n">
        <x:v>45773</x:v>
      </x:c>
      <x:c r="C1455" s="84" t="str">
        <x:v>CUST-0209</x:v>
      </x:c>
      <x:c r="D1455" s="84" t="str">
        <x:v>Sara Walker </x:v>
      </x:c>
      <x:c r="E1455" s="84" t="str">
        <x:v>Consumer</x:v>
      </x:c>
      <x:c r="F1455" s="84" t="str">
        <x:v>midwest</x:v>
      </x:c>
      <x:c r="G1455" s="84" t="str">
        <x:v>Chicago</x:v>
      </x:c>
      <x:c r="H1455" s="84" t="str">
        <x:v>Retail Store</x:v>
      </x:c>
      <x:c r="I1455" s="84" t="str">
        <x:v>HOME-003</x:v>
      </x:c>
      <x:c r="J1455" s="86" t="n">
        <x:v>1</x:v>
      </x:c>
      <x:c r="K1455" s="87" t="n">
        <x:v>0.05</x:v>
      </x:c>
      <x:c r="L1455" s="84" t="str">
        <x:v>Completed</x:v>
      </x:c>
      <x:c r="M1455" s="84" t="str">
        <x:v>Credit Card </x:v>
      </x:c>
      <x:c r="N1455" s="84" t="str">
        <x:v>Lucas Grant</x:v>
      </x:c>
      <x:c r="O1455" s="85" t="n">
        <x:v>45773</x:v>
      </x:c>
      <x:c r="P1455" s="84" t="str">
        <x:v>POS_2025_04</x:v>
      </x:c>
      <x:c r="Q1455" s="84" t="str">
        <x:v>Countertop Blender</x:v>
      </x:c>
      <x:c r="R1455" s="84" t="str">
        <x:v> HOME &amp; KITCHEN </x:v>
      </x:c>
    </x:row>
    <x:row r="1456">
      <x:c r="A1456" s="84" t="str">
        <x:v>ORD-2025-01559</x:v>
      </x:c>
      <x:c r="B1456" s="85" t="n">
        <x:v>45775</x:v>
      </x:c>
      <x:c r="C1456" s="84" t="str">
        <x:v>CUST-0313</x:v>
      </x:c>
      <x:c r="D1456" s="84" t="str">
        <x:v>Elena Carter </x:v>
      </x:c>
      <x:c r="E1456" s="84" t="str">
        <x:v>Consumer</x:v>
      </x:c>
      <x:c r="F1456" s="84" t="str">
        <x:v>midwest</x:v>
      </x:c>
      <x:c r="G1456" s="84" t="str">
        <x:v>Columbus</x:v>
      </x:c>
      <x:c r="H1456" s="84" t="str">
        <x:v>Online</x:v>
      </x:c>
      <x:c r="I1456" s="84" t="str">
        <x:v>OFFC-006</x:v>
      </x:c>
      <x:c r="J1456" s="86" t="n">
        <x:v>1</x:v>
      </x:c>
      <x:c r="K1456" s="87" t="n">
        <x:v>0.2</x:v>
      </x:c>
      <x:c r="L1456" s="84" t="str">
        <x:v>Completed</x:v>
      </x:c>
      <x:c r="M1456" s="84" t="str">
        <x:v>Mobile Wallet </x:v>
      </x:c>
      <x:c r="N1456" s="84" t="str">
        <x:v>Zoe Turner</x:v>
      </x:c>
      <x:c r="O1456" s="85" t="n">
        <x:v>45778</x:v>
      </x:c>
      <x:c r="P1456" s="84" t="str">
        <x:v>WEB_2025_04</x:v>
      </x:c>
      <x:c r="Q1456" s="84" t="str">
        <x:v>Monitor Stand</x:v>
      </x:c>
      <x:c r="R1456" s="84" t="str">
        <x:v>Office</x:v>
      </x:c>
    </x:row>
    <x:row r="1457">
      <x:c r="A1457" s="84" t="str">
        <x:v>ORD-2025-00238</x:v>
      </x:c>
      <x:c r="B1457" s="85" t="n">
        <x:v>45776</x:v>
      </x:c>
      <x:c r="C1457" s="84" t="str">
        <x:v>CUST-0054</x:v>
      </x:c>
      <x:c r="D1457" s="84" t="str">
        <x:v>priya roberts</x:v>
      </x:c>
      <x:c r="E1457" s="84" t="str">
        <x:v> CONSUMER </x:v>
      </x:c>
      <x:c r="F1457" s="84" t="str">
        <x:v>West</x:v>
      </x:c>
      <x:c r="G1457" s="84" t="str">
        <x:v>Phoenix </x:v>
      </x:c>
      <x:c r="H1457" s="84" t="str">
        <x:v>Retail Store</x:v>
      </x:c>
      <x:c r="I1457" s="84" t="str">
        <x:v>ACCS-001</x:v>
      </x:c>
      <x:c r="J1457" s="86" t="n">
        <x:v>3</x:v>
      </x:c>
      <x:c r="K1457" s="87" t="n">
        <x:v>0.05</x:v>
      </x:c>
      <x:c r="L1457" s="84" t="str">
        <x:v>Completed</x:v>
      </x:c>
      <x:c r="M1457" s="84" t="str">
        <x:v>Credit Card</x:v>
      </x:c>
      <x:c r="N1457" s="84" t="str">
        <x:v>Mia Chen</x:v>
      </x:c>
      <x:c r="O1457" s="85" t="n">
        <x:v>45776</x:v>
      </x:c>
      <x:c r="P1457" s="84" t="str">
        <x:v>POS_2025_04</x:v>
      </x:c>
      <x:c r="Q1457" s="84" t="str">
        <x:v>Canvas Tote Bag</x:v>
      </x:c>
      <x:c r="R1457" s="84" t="str">
        <x:v>Accessories</x:v>
      </x:c>
    </x:row>
    <x:row r="1458">
      <x:c r="A1458" s="84" t="str">
        <x:v>ORD-2025-00538</x:v>
      </x:c>
      <x:c r="B1458" s="85" t="n">
        <x:v>45776</x:v>
      </x:c>
      <x:c r="C1458" s="84" t="str">
        <x:v>CUST-0285</x:v>
      </x:c>
      <x:c r="D1458" s="84" t="str">
        <x:v>Caleb Evans</x:v>
      </x:c>
      <x:c r="E1458" s="84" t="str">
        <x:v>Consumer</x:v>
      </x:c>
      <x:c r="F1458" s="84" t="str">
        <x:v>Southeast</x:v>
      </x:c>
      <x:c r="G1458" s="84" t="str">
        <x:v>Charlotte</x:v>
      </x:c>
      <x:c r="H1458" s="84" t="str">
        <x:v>Retail Store</x:v>
      </x:c>
      <x:c r="I1458" s="84" t="str">
        <x:v>ACCS-005</x:v>
      </x:c>
      <x:c r="J1458" s="86" t="n">
        <x:v>1</x:v>
      </x:c>
      <x:c r="K1458" s="87" t="n">
        <x:v>0</x:v>
      </x:c>
      <x:c r="L1458" s="84" t="str">
        <x:v>Completed </x:v>
      </x:c>
      <x:c r="M1458" s="84" t="str">
        <x:v> DEBIT CARD </x:v>
      </x:c>
      <x:c r="N1458" s="84" t="str">
        <x:v>Ava Mitchell</x:v>
      </x:c>
      <x:c r="O1458" s="85" t="n">
        <x:v>45776</x:v>
      </x:c>
      <x:c r="P1458" s="84" t="str">
        <x:v>POS_2025_04</x:v>
      </x:c>
      <x:c r="Q1458" s="84" t="str">
        <x:v>Protective Phone Case</x:v>
      </x:c>
      <x:c r="R1458" s="84" t="str">
        <x:v>Accessories</x:v>
      </x:c>
    </x:row>
    <x:row r="1459">
      <x:c r="A1459" s="84" t="str">
        <x:v>ORD-2025-01020</x:v>
      </x:c>
      <x:c r="B1459" s="85" t="n">
        <x:v>45776</x:v>
      </x:c>
      <x:c r="C1459" s="84" t="str">
        <x:v>CUST-0625</x:v>
      </x:c>
      <x:c r="D1459" s="84" t="str">
        <x:v>Daniel Patel </x:v>
      </x:c>
      <x:c r="E1459" s="84" t="str">
        <x:v> SMALL BUSINESS </x:v>
      </x:c>
      <x:c r="F1459" s="84" t="str">
        <x:v>west</x:v>
      </x:c>
      <x:c r="G1459" s="84" t="str">
        <x:v>Phoenix</x:v>
      </x:c>
      <x:c r="H1459" s="84" t="str">
        <x:v>Online</x:v>
      </x:c>
      <x:c r="I1459" s="84" t="str">
        <x:v>ACCS-001</x:v>
      </x:c>
      <x:c r="J1459" s="86" t="n">
        <x:v>1</x:v>
      </x:c>
      <x:c r="K1459" s="87" t="n">
        <x:v>0</x:v>
      </x:c>
      <x:c r="L1459" s="84" t="str">
        <x:v>Completed</x:v>
      </x:c>
      <x:c r="M1459" s="84" t="str">
        <x:v>Mobile Wallet </x:v>
      </x:c>
      <x:c r="N1459" s="84" t="str">
        <x:v>Nora Kim</x:v>
      </x:c>
      <x:c r="O1459" s="85" t="n">
        <x:v>45779</x:v>
      </x:c>
      <x:c r="P1459" s="84" t="str">
        <x:v>WEB_2025_04</x:v>
      </x:c>
      <x:c r="Q1459" s="84" t="str">
        <x:v>Canvas Tote Bag</x:v>
      </x:c>
      <x:c r="R1459" s="84" t="str">
        <x:v>Accessories</x:v>
      </x:c>
    </x:row>
    <x:row r="1460">
      <x:c r="A1460" s="84" t="str">
        <x:v>ORD-2025-00539</x:v>
      </x:c>
      <x:c r="B1460" s="85" t="n">
        <x:v>45777</x:v>
      </x:c>
      <x:c r="C1460" s="84" t="str">
        <x:v>CUST-0318</x:v>
      </x:c>
      <x:c r="D1460" s="84" t="str">
        <x:v>Theo Baker</x:v>
      </x:c>
      <x:c r="E1460" s="84" t="str">
        <x:v>consumer</x:v>
      </x:c>
      <x:c r="F1460" s="84" t="str">
        <x:v>Midwest</x:v>
      </x:c>
      <x:c r="G1460" s="84" t="str">
        <x:v>Detroit </x:v>
      </x:c>
      <x:c r="H1460" s="84" t="str">
        <x:v>online</x:v>
      </x:c>
      <x:c r="I1460" s="84" t="str">
        <x:v>ELEC-005</x:v>
      </x:c>
      <x:c r="J1460" s="86" t="n">
        <x:v>1</x:v>
      </x:c>
      <x:c r="K1460" s="87" t="n">
        <x:v>0.05</x:v>
      </x:c>
      <x:c r="L1460" s="84" t="str">
        <x:v>Completed</x:v>
      </x:c>
      <x:c r="M1460" s="84" t="str">
        <x:v>Mobile Wallet</x:v>
      </x:c>
      <x:c r="N1460" s="84" t="str">
        <x:v>Lucas Grant</x:v>
      </x:c>
      <x:c r="O1460" s="85" t="n">
        <x:v>45780</x:v>
      </x:c>
      <x:c r="P1460" s="84" t="str">
        <x:v>WEB_2025_04</x:v>
      </x:c>
      <x:c r="Q1460" s="84" t="str">
        <x:v>HD Webcam</x:v>
      </x:c>
      <x:c r="R1460" s="84" t="str">
        <x:v>Electronics</x:v>
      </x:c>
    </x:row>
    <x:row r="1461">
      <x:c r="A1461" s="84" t="str">
        <x:v>ORD-2025-00108</x:v>
      </x:c>
      <x:c r="B1461" s="85" t="n">
        <x:v>45778</x:v>
      </x:c>
      <x:c r="C1461" s="84" t="str">
        <x:v>CUST-0271</x:v>
      </x:c>
      <x:c r="D1461" s="84" t="str">
        <x:v>Jonah Nelson</x:v>
      </x:c>
      <x:c r="E1461" s="84" t="str">
        <x:v>Consumer</x:v>
      </x:c>
      <x:c r="F1461" s="84" t="str">
        <x:v>Midwest</x:v>
      </x:c>
      <x:c r="G1461" s="84" t="str">
        <x:v>Detroit</x:v>
      </x:c>
      <x:c r="H1461" s="84" t="str">
        <x:v> ONLINE </x:v>
      </x:c>
      <x:c r="I1461" s="84" t="str">
        <x:v>ACCS-003</x:v>
      </x:c>
      <x:c r="J1461" s="86" t="n">
        <x:v>1</x:v>
      </x:c>
      <x:c r="K1461" s="87" t="n">
        <x:v>0</x:v>
      </x:c>
      <x:c r="L1461" s="84" t="str">
        <x:v>Completed</x:v>
      </x:c>
      <x:c r="M1461" s="84" t="str">
        <x:v>Debit Card</x:v>
      </x:c>
      <x:c r="N1461" s="84" t="str">
        <x:v>Emma Hayes</x:v>
      </x:c>
      <x:c r="O1461" s="85" t="n">
        <x:v>45784</x:v>
      </x:c>
      <x:c r="P1461" s="84" t="str">
        <x:v>WEB_2025_05</x:v>
      </x:c>
      <x:c r="Q1461" s="84" t="str">
        <x:v>polarized sunglasses</x:v>
      </x:c>
      <x:c r="R1461" s="84" t="str">
        <x:v>Accessories</x:v>
      </x:c>
    </x:row>
    <x:row r="1462">
      <x:c r="A1462" s="84" t="str">
        <x:v>ORD-2025-01106</x:v>
      </x:c>
      <x:c r="B1462" s="85" t="n">
        <x:v>45778</x:v>
      </x:c>
      <x:c r="C1462" s="84" t="str">
        <x:v>CUST-0206</x:v>
      </x:c>
      <x:c r="D1462" s="84" t="str">
        <x:v>Sara Hall</x:v>
      </x:c>
      <x:c r="E1462" s="84" t="str">
        <x:v>Consumer </x:v>
      </x:c>
      <x:c r="F1462" s="84" t="str">
        <x:v>West</x:v>
      </x:c>
      <x:c r="G1462" s="84" t="str">
        <x:v>Phoenix </x:v>
      </x:c>
      <x:c r="H1462" s="84" t="str">
        <x:v>Retail Store</x:v>
      </x:c>
      <x:c r="I1462" s="84" t="str">
        <x:v>HOME-004</x:v>
      </x:c>
      <x:c r="J1462" s="86" t="n">
        <x:v>1</x:v>
      </x:c>
      <x:c r="K1462" s="87" t="n">
        <x:v>0</x:v>
      </x:c>
      <x:c r="L1462" s="84" t="str">
        <x:v>Completed</x:v>
      </x:c>
      <x:c r="M1462" s="84" t="str">
        <x:v>Credit Card</x:v>
      </x:c>
      <x:c r="N1462" s="84" t="str">
        <x:v>Mia Chen</x:v>
      </x:c>
      <x:c r="O1462" s="85" t="n">
        <x:v>45778</x:v>
      </x:c>
      <x:c r="P1462" s="84" t="str">
        <x:v>POS_2025_05</x:v>
      </x:c>
      <x:c r="Q1462" s="84" t="str">
        <x:v>Coffee Maker</x:v>
      </x:c>
      <x:c r="R1462" s="84" t="str">
        <x:v>Home &amp; Kitchen</x:v>
      </x:c>
    </x:row>
    <x:row r="1463">
      <x:c r="A1463" s="84" t="str">
        <x:v>ORD-2025-01429</x:v>
      </x:c>
      <x:c r="B1463" s="85" t="n">
        <x:v>45778</x:v>
      </x:c>
      <x:c r="C1463" s="84" t="str">
        <x:v>CUST-0205</x:v>
      </x:c>
      <x:c r="D1463" s="84" t="str">
        <x:v>Elena Young</x:v>
      </x:c>
      <x:c r="E1463" s="84" t="str">
        <x:v>Corporate</x:v>
      </x:c>
      <x:c r="F1463" s="84" t="str">
        <x:v>West</x:v>
      </x:c>
      <x:c r="G1463" s="84" t="str">
        <x:v>Denver</x:v>
      </x:c>
      <x:c r="H1463" s="84" t="str">
        <x:v>Online</x:v>
      </x:c>
      <x:c r="I1463" s="84" t="str">
        <x:v>HOME-006</x:v>
      </x:c>
      <x:c r="J1463" s="86" t="n">
        <x:v>5</x:v>
      </x:c>
      <x:c r="K1463" s="87" t="n">
        <x:v>0</x:v>
      </x:c>
      <x:c r="L1463" s="84" t="str">
        <x:v>Completed</x:v>
      </x:c>
      <x:c r="M1463" s="84" t="str">
        <x:v>paypal</x:v>
      </x:c>
      <x:c r="N1463" s="84" t="str">
        <x:v>Mia Chen</x:v>
      </x:c>
      <x:c r="O1463" s="85" t="n">
        <x:v>45783</x:v>
      </x:c>
      <x:c r="P1463" s="84" t="str">
        <x:v>WEB_2025_05</x:v>
      </x:c>
      <x:c r="Q1463" s="84" t="str">
        <x:v>Food Storage Set </x:v>
      </x:c>
      <x:c r="R1463" s="84" t="str">
        <x:v>Home &amp; Kitchen</x:v>
      </x:c>
    </x:row>
    <x:row r="1464">
      <x:c r="A1464" s="84" t="str">
        <x:v>ORD-2025-01768</x:v>
      </x:c>
      <x:c r="B1464" s="85" t="n">
        <x:v>45778</x:v>
      </x:c>
      <x:c r="C1464" s="84" t="str">
        <x:v>CUST-0348</x:v>
      </x:c>
      <x:c r="D1464" s="84" t="str">
        <x:v>Jonah Taylor</x:v>
      </x:c>
      <x:c r="E1464" s="84" t="str">
        <x:v> CONSUMER </x:v>
      </x:c>
      <x:c r="F1464" s="84" t="str">
        <x:v>northeast</x:v>
      </x:c>
      <x:c r="G1464" s="84" t="str">
        <x:v>Boston</x:v>
      </x:c>
      <x:c r="H1464" s="84" t="str">
        <x:v>Online</x:v>
      </x:c>
      <x:c r="I1464" s="84" t="str">
        <x:v>OFFC-001</x:v>
      </x:c>
      <x:c r="J1464" s="86" t="n">
        <x:v>1</x:v>
      </x:c>
      <x:c r="K1464" s="87" t="n">
        <x:v>0.05</x:v>
      </x:c>
      <x:c r="L1464" s="84" t="str">
        <x:v>Completed</x:v>
      </x:c>
      <x:c r="M1464" s="84" t="str">
        <x:v>PayPal</x:v>
      </x:c>
      <x:c r="N1464" s="84" t="str">
        <x:v>Maya Brooks </x:v>
      </x:c>
      <x:c r="O1464" s="85" t="n">
        <x:v>45782</x:v>
      </x:c>
      <x:c r="P1464" s="84" t="str">
        <x:v>WEB_2025_05</x:v>
      </x:c>
      <x:c r="Q1464" s="84" t="str">
        <x:v>Ergonomic Chair</x:v>
      </x:c>
      <x:c r="R1464" s="84" t="str">
        <x:v>Office</x:v>
      </x:c>
    </x:row>
    <x:row r="1465">
      <x:c r="A1465" s="84" t="str">
        <x:v>ORD-2025-01568</x:v>
      </x:c>
      <x:c r="B1465" s="85" t="n">
        <x:v>45779</x:v>
      </x:c>
      <x:c r="C1465" s="84" t="str">
        <x:v>CUST-0216</x:v>
      </x:c>
      <x:c r="D1465" s="84" t="str">
        <x:v>Aiden Hall</x:v>
      </x:c>
      <x:c r="E1465" s="84" t="str">
        <x:v>Consumer </x:v>
      </x:c>
      <x:c r="F1465" s="84" t="str">
        <x:v>Midwest</x:v>
      </x:c>
      <x:c r="G1465" s="84" t="str">
        <x:v>Columbus </x:v>
      </x:c>
      <x:c r="H1465" s="84" t="str">
        <x:v>Online</x:v>
      </x:c>
      <x:c r="I1465" s="84" t="str">
        <x:v>FITN-005</x:v>
      </x:c>
      <x:c r="J1465" s="86" t="n">
        <x:v>3</x:v>
      </x:c>
      <x:c r="K1465" s="87" t="n">
        <x:v>0</x:v>
      </x:c>
      <x:c r="L1465" s="84" t="str">
        <x:v>Completed</x:v>
      </x:c>
      <x:c r="M1465" s="84" t="str">
        <x:v>Debit Card</x:v>
      </x:c>
      <x:c r="N1465" s="84" t="str">
        <x:v>Zoe Turner</x:v>
      </x:c>
      <x:c r="O1465" s="85" t="n">
        <x:v>45783</x:v>
      </x:c>
      <x:c r="P1465" s="84" t="str">
        <x:v>WEB_2025_05</x:v>
      </x:c>
      <x:c r="Q1465" s="84" t="str">
        <x:v> SPORTS WATER BOTTLE </x:v>
      </x:c>
      <x:c r="R1465" s="84" t="str">
        <x:v>Fitness</x:v>
      </x:c>
    </x:row>
    <x:row r="1466">
      <x:c r="A1466" s="84" t="str">
        <x:v>ORD-2025-01620</x:v>
      </x:c>
      <x:c r="B1466" s="85" t="n">
        <x:v>45779</x:v>
      </x:c>
      <x:c r="C1466" s="84" t="str">
        <x:v>CUST-0410</x:v>
      </x:c>
      <x:c r="D1466" s="84" t="str">
        <x:v>Jasmine Quinn</x:v>
      </x:c>
      <x:c r="E1466" s="84" t="str">
        <x:v>Consumer</x:v>
      </x:c>
      <x:c r="F1466" s="84" t="str">
        <x:v>Midwest</x:v>
      </x:c>
      <x:c r="G1466" s="84" t="str">
        <x:v>Chicago</x:v>
      </x:c>
      <x:c r="H1466" s="84" t="str">
        <x:v>Online </x:v>
      </x:c>
      <x:c r="I1466" s="84" t="str">
        <x:v>CARE-001</x:v>
      </x:c>
      <x:c r="J1466" s="86" t="n">
        <x:v>2</x:v>
      </x:c>
      <x:c r="K1466" s="87" t="n">
        <x:v>0</x:v>
      </x:c>
      <x:c r="L1466" s="84" t="str">
        <x:v> COMPLETED </x:v>
      </x:c>
      <x:c r="M1466" s="84" t="str">
        <x:v>PayPal</x:v>
      </x:c>
      <x:c r="N1466" s="84" t="str">
        <x:v>Lucas Grant</x:v>
      </x:c>
      <x:c r="O1466" s="85" t="n">
        <x:v>45781</x:v>
      </x:c>
      <x:c r="P1466" s="84" t="str">
        <x:v>WEB_2025_05</x:v>
      </x:c>
      <x:c r="Q1466" s="84" t="str">
        <x:v>Ionic Hair Dryer</x:v>
      </x:c>
      <x:c r="R1466" s="84" t="str">
        <x:v>personal care</x:v>
      </x:c>
    </x:row>
    <x:row r="1467">
      <x:c r="A1467" s="84" t="str">
        <x:v>ORD-2025-02222</x:v>
      </x:c>
      <x:c r="B1467" s="85" t="n">
        <x:v>45779</x:v>
      </x:c>
      <x:c r="C1467" s="84" t="str">
        <x:v>CUST-0414</x:v>
      </x:c>
      <x:c r="D1467" s="84" t="str">
        <x:v>Aiden Garcia</x:v>
      </x:c>
      <x:c r="E1467" s="84" t="str">
        <x:v>corporate</x:v>
      </x:c>
      <x:c r="F1467" s="84" t="str">
        <x:v>Midwest</x:v>
      </x:c>
      <x:c r="G1467" s="84" t="str">
        <x:v>Minneapolis</x:v>
      </x:c>
      <x:c r="H1467" s="84" t="str">
        <x:v>retail store</x:v>
      </x:c>
      <x:c r="I1467" s="84" t="str">
        <x:v>CARE-002</x:v>
      </x:c>
      <x:c r="J1467" s="86" t="n">
        <x:v>1</x:v>
      </x:c>
      <x:c r="K1467" s="87" t="n">
        <x:v>0</x:v>
      </x:c>
      <x:c r="L1467" s="84" t="str">
        <x:v>Completed</x:v>
      </x:c>
      <x:c r="M1467" s="84" t="str">
        <x:v>Credit Card</x:v>
      </x:c>
      <x:c r="N1467" s="84" t="str">
        <x:v>Zoe Turner</x:v>
      </x:c>
      <x:c r="O1467" s="85" t="n">
        <x:v>45780</x:v>
      </x:c>
      <x:c r="P1467" s="84" t="str">
        <x:v>POS_2025_05</x:v>
      </x:c>
      <x:c r="Q1467" s="84" t="str">
        <x:v>Rechargeable Trimmer</x:v>
      </x:c>
      <x:c r="R1467" s="84" t="str">
        <x:v>Personal Care</x:v>
      </x:c>
    </x:row>
    <x:row r="1468">
      <x:c r="A1468" s="84" t="str">
        <x:v>ORD-2025-02397</x:v>
      </x:c>
      <x:c r="B1468" s="85" t="n">
        <x:v>45779</x:v>
      </x:c>
      <x:c r="C1468" s="84" t="str">
        <x:v>CUST-0637</x:v>
      </x:c>
      <x:c r="D1468" s="84" t="str">
        <x:v>Amelia Adams</x:v>
      </x:c>
      <x:c r="E1468" s="84" t="str">
        <x:v> CONSUMER </x:v>
      </x:c>
      <x:c r="F1468" s="84" t="str">
        <x:v>Northeast</x:v>
      </x:c>
      <x:c r="G1468" s="84" t="str">
        <x:v>New York</x:v>
      </x:c>
      <x:c r="H1468" s="84" t="str">
        <x:v>Marketplace </x:v>
      </x:c>
      <x:c r="I1468" s="84" t="str">
        <x:v>FITN-001</x:v>
      </x:c>
      <x:c r="J1468" s="86" t="n">
        <x:v>1</x:v>
      </x:c>
      <x:c r="K1468" s="87" t="n">
        <x:v>0.05</x:v>
      </x:c>
      <x:c r="L1468" s="84" t="str">
        <x:v>Completed</x:v>
      </x:c>
      <x:c r="M1468" s="84" t="str">
        <x:v>credit card</x:v>
      </x:c>
      <x:c r="N1468" s="84" t="str">
        <x:v>Sofia Bennett</x:v>
      </x:c>
      <x:c r="O1468" s="85" t="n">
        <x:v>45785</x:v>
      </x:c>
      <x:c r="P1468" s="84" t="str">
        <x:v>MKT_2025_05</x:v>
      </x:c>
      <x:c r="Q1468" s="84" t="str">
        <x:v>Yoga Mat</x:v>
      </x:c>
      <x:c r="R1468" s="84" t="str">
        <x:v>Fitness</x:v>
      </x:c>
    </x:row>
    <x:row r="1469">
      <x:c r="A1469" s="84" t="str">
        <x:v>ORD-2025-00446</x:v>
      </x:c>
      <x:c r="B1469" s="85" t="n">
        <x:v>45780</x:v>
      </x:c>
      <x:c r="C1469" s="84" t="str">
        <x:v>CUST-0248</x:v>
      </x:c>
      <x:c r="D1469" s="84" t="str">
        <x:v>Chloe Khan </x:v>
      </x:c>
      <x:c r="E1469" s="84" t="str">
        <x:v>Corporate</x:v>
      </x:c>
      <x:c r="F1469" s="84" t="str">
        <x:v>Midwest</x:v>
      </x:c>
      <x:c r="G1469" s="84" t="str">
        <x:v>Chicago</x:v>
      </x:c>
      <x:c r="H1469" s="84" t="str">
        <x:v>Retail Store</x:v>
      </x:c>
      <x:c r="I1469" s="84" t="str">
        <x:v>OFFC-002</x:v>
      </x:c>
      <x:c r="J1469" s="86" t="n">
        <x:v>4</x:v>
      </x:c>
      <x:c r="K1469" s="87" t="n">
        <x:v>0</x:v>
      </x:c>
      <x:c r="L1469" s="84" t="str">
        <x:v>Completed</x:v>
      </x:c>
      <x:c r="M1469" s="84" t="str">
        <x:v>Credit Card </x:v>
      </x:c>
      <x:c r="N1469" s="84" t="str">
        <x:v>Lucas Grant</x:v>
      </x:c>
      <x:c r="O1469" s="85" t="n">
        <x:v>45780</x:v>
      </x:c>
      <x:c r="P1469" s="84" t="str">
        <x:v>POS_2025_05</x:v>
      </x:c>
      <x:c r="Q1469" s="84" t="str">
        <x:v> STANDING DESK </x:v>
      </x:c>
      <x:c r="R1469" s="84" t="str">
        <x:v>Office</x:v>
      </x:c>
    </x:row>
    <x:row r="1470">
      <x:c r="A1470" s="84" t="str">
        <x:v>ORD-2025-00997</x:v>
      </x:c>
      <x:c r="B1470" s="85" t="n">
        <x:v>45780</x:v>
      </x:c>
      <x:c r="C1470" s="84" t="str">
        <x:v>CUST-0325</x:v>
      </x:c>
      <x:c r="D1470" s="84" t="str">
        <x:v>caleb baker</x:v>
      </x:c>
      <x:c r="E1470" s="84" t="str">
        <x:v>Small Business</x:v>
      </x:c>
      <x:c r="F1470" s="84" t="str">
        <x:v>West</x:v>
      </x:c>
      <x:c r="G1470" s="84" t="str">
        <x:v>Phoenix</x:v>
      </x:c>
      <x:c r="H1470" s="84" t="str">
        <x:v>Marketplace </x:v>
      </x:c>
      <x:c r="I1470" s="84" t="str">
        <x:v>ELEC-001</x:v>
      </x:c>
      <x:c r="J1470" s="86" t="n">
        <x:v>1</x:v>
      </x:c>
      <x:c r="K1470" s="87" t="n">
        <x:v>0.15</x:v>
      </x:c>
      <x:c r="L1470" s="84" t="str">
        <x:v>Completed</x:v>
      </x:c>
      <x:c r="M1470" s="84" t="str">
        <x:v> CREDIT CARD </x:v>
      </x:c>
      <x:c r="N1470" s="84" t="str">
        <x:v>Leo Martinez</x:v>
      </x:c>
      <x:c r="O1470" s="85" t="n">
        <x:v>45783</x:v>
      </x:c>
      <x:c r="P1470" s="84" t="str">
        <x:v>MKT_2025_05</x:v>
      </x:c>
      <x:c r="Q1470" s="84" t="str">
        <x:v>Wireless Earbuds</x:v>
      </x:c>
      <x:c r="R1470" s="84" t="str">
        <x:v>Electronics</x:v>
      </x:c>
    </x:row>
    <x:row r="1471">
      <x:c r="A1471" s="84" t="str">
        <x:v>ORD-2025-01133</x:v>
      </x:c>
      <x:c r="B1471" s="85" t="n">
        <x:v>45780</x:v>
      </x:c>
      <x:c r="C1471" s="84" t="str">
        <x:v>CUST-0014</x:v>
      </x:c>
      <x:c r="D1471" s="84" t="str">
        <x:v>Jonah Irwin</x:v>
      </x:c>
      <x:c r="E1471" s="84" t="str">
        <x:v>consumer</x:v>
      </x:c>
      <x:c r="F1471" s="84" t="str">
        <x:v>Southeast</x:v>
      </x:c>
      <x:c r="G1471" s="84" t="str">
        <x:v>Miami</x:v>
      </x:c>
      <x:c r="H1471" s="84" t="str">
        <x:v>marketplace</x:v>
      </x:c>
      <x:c r="I1471" s="84" t="str">
        <x:v>FITN-002</x:v>
      </x:c>
      <x:c r="J1471" s="86" t="n">
        <x:v>2</x:v>
      </x:c>
      <x:c r="K1471" s="87" t="n">
        <x:v>0.05</x:v>
      </x:c>
      <x:c r="L1471" s="84" t="str">
        <x:v>Completed </x:v>
      </x:c>
      <x:c r="M1471" s="84" t="str">
        <x:v> PAYPAL </x:v>
      </x:c>
      <x:c r="N1471" s="84" t="str">
        <x:v>Noah Reed</x:v>
      </x:c>
      <x:c r="O1471" s="85" t="n">
        <x:v>45786</x:v>
      </x:c>
      <x:c r="P1471" s="84" t="str">
        <x:v>MKT_2025_05</x:v>
      </x:c>
      <x:c r="Q1471" s="84" t="str">
        <x:v>Adjustable Dumbbell Set</x:v>
      </x:c>
      <x:c r="R1471" s="84" t="str">
        <x:v>Fitness</x:v>
      </x:c>
    </x:row>
    <x:row r="1472">
      <x:c r="A1472" s="84" t="str">
        <x:v>ORD-2025-01470</x:v>
      </x:c>
      <x:c r="B1472" s="85" t="n">
        <x:v>45780</x:v>
      </x:c>
      <x:c r="C1472" s="84" t="str">
        <x:v>CUST-0558</x:v>
      </x:c>
      <x:c r="D1472" s="84" t="str">
        <x:v>elias irwin</x:v>
      </x:c>
      <x:c r="E1472" s="84" t="str">
        <x:v>Corporate </x:v>
      </x:c>
      <x:c r="F1472" s="84" t="str">
        <x:v>Northeast</x:v>
      </x:c>
      <x:c r="G1472" s="84" t="str">
        <x:v>Philadelphia </x:v>
      </x:c>
      <x:c r="H1472" s="84" t="str">
        <x:v>Online</x:v>
      </x:c>
      <x:c r="I1472" s="84" t="str">
        <x:v>CARE-003</x:v>
      </x:c>
      <x:c r="J1472" s="86" t="n">
        <x:v>1</x:v>
      </x:c>
      <x:c r="K1472" s="87" t="n">
        <x:v>0</x:v>
      </x:c>
      <x:c r="L1472" s="84" t="str">
        <x:v>Completed</x:v>
      </x:c>
      <x:c r="M1472" s="84" t="str">
        <x:v>PayPal</x:v>
      </x:c>
      <x:c r="N1472" s="84" t="str">
        <x:v>Sofia Bennett</x:v>
      </x:c>
      <x:c r="O1472" s="85" t="n">
        <x:v>45782</x:v>
      </x:c>
      <x:c r="P1472" s="84" t="str">
        <x:v>WEB_2025_05</x:v>
      </x:c>
      <x:c r="Q1472" s="84" t="str">
        <x:v>Facial Cleanser</x:v>
      </x:c>
      <x:c r="R1472" s="84" t="str">
        <x:v>Personal Care</x:v>
      </x:c>
    </x:row>
    <x:row r="1473">
      <x:c r="A1473" s="84" t="str">
        <x:v>ORD-2025-01875</x:v>
      </x:c>
      <x:c r="B1473" s="85" t="n">
        <x:v>45780</x:v>
      </x:c>
      <x:c r="C1473" s="84" t="str">
        <x:v>CUST-0078</x:v>
      </x:c>
      <x:c r="D1473" s="84" t="str">
        <x:v>Grace Carter</x:v>
      </x:c>
      <x:c r="E1473" s="84" t="str">
        <x:v>Small Business</x:v>
      </x:c>
      <x:c r="F1473" s="84" t="str">
        <x:v>Southeast</x:v>
      </x:c>
      <x:c r="G1473" s="84" t="str">
        <x:v>Atlanta</x:v>
      </x:c>
      <x:c r="H1473" s="84" t="str">
        <x:v>Online</x:v>
      </x:c>
      <x:c r="I1473" s="84" t="str">
        <x:v>ACCS-003</x:v>
      </x:c>
      <x:c r="J1473" s="86" t="n">
        <x:v>1</x:v>
      </x:c>
      <x:c r="K1473" s="87" t="n">
        <x:v>0.05</x:v>
      </x:c>
      <x:c r="L1473" s="84" t="str">
        <x:v> COMPLETED </x:v>
      </x:c>
      <x:c r="M1473" s="84" t="str">
        <x:v>Debit Card</x:v>
      </x:c>
      <x:c r="N1473" s="84" t="str">
        <x:v>Liam Parker</x:v>
      </x:c>
      <x:c r="O1473" s="85" t="n">
        <x:v>45784</x:v>
      </x:c>
      <x:c r="P1473" s="84" t="str">
        <x:v>WEB_2025_05</x:v>
      </x:c>
      <x:c r="Q1473" s="84" t="str">
        <x:v>Polarized Sunglasses</x:v>
      </x:c>
      <x:c r="R1473" s="84" t="str">
        <x:v>Accessories</x:v>
      </x:c>
    </x:row>
    <x:row r="1474">
      <x:c r="A1474" s="84" t="str">
        <x:v>ORD-2025-00210</x:v>
      </x:c>
      <x:c r="B1474" s="85" t="n">
        <x:v>45781</x:v>
      </x:c>
      <x:c r="C1474" s="84" t="str">
        <x:v>CUST-0428</x:v>
      </x:c>
      <x:c r="D1474" s="84" t="str">
        <x:v>Theo Taylor</x:v>
      </x:c>
      <x:c r="E1474" s="84" t="str">
        <x:v>Consumer </x:v>
      </x:c>
      <x:c r="F1474" s="84" t="str">
        <x:v>Midwest</x:v>
      </x:c>
      <x:c r="G1474" s="84" t="str">
        <x:v>Chicago </x:v>
      </x:c>
      <x:c r="H1474" s="84" t="str">
        <x:v> RETAIL STORE </x:v>
      </x:c>
      <x:c r="I1474" s="84" t="str">
        <x:v>ACCS-006</x:v>
      </x:c>
      <x:c r="J1474" s="86" t="n">
        <x:v>1</x:v>
      </x:c>
      <x:c r="K1474" s="87" t="n">
        <x:v>0.1</x:v>
      </x:c>
      <x:c r="L1474" s="84" t="str">
        <x:v>Completed</x:v>
      </x:c>
      <x:c r="M1474" s="84" t="str">
        <x:v>Debit Card</x:v>
      </x:c>
      <x:c r="N1474" s="84" t="str">
        <x:v>Emma Hayes</x:v>
      </x:c>
      <x:c r="O1474" s="85" t="n">
        <x:v>45782</x:v>
      </x:c>
      <x:c r="P1474" s="84" t="str">
        <x:v>POS_2025_05</x:v>
      </x:c>
      <x:c r="Q1474" s="84" t="str">
        <x:v>Insulated Lunch Bag</x:v>
      </x:c>
      <x:c r="R1474" s="84" t="str">
        <x:v>Accessories</x:v>
      </x:c>
    </x:row>
    <x:row r="1475">
      <x:c r="A1475" s="84" t="str">
        <x:v>ORD-2025-00978</x:v>
      </x:c>
      <x:c r="B1475" s="85" t="n">
        <x:v>45781</x:v>
      </x:c>
      <x:c r="C1475" s="84" t="str">
        <x:v>CUST-0488</x:v>
      </x:c>
      <x:c r="D1475" s="84" t="str">
        <x:v>Nathan Moore </x:v>
      </x:c>
      <x:c r="E1475" s="84" t="str">
        <x:v>Consumer</x:v>
      </x:c>
      <x:c r="F1475" s="84" t="str">
        <x:v>Northeast</x:v>
      </x:c>
      <x:c r="G1475" s="84" t="str">
        <x:v>New York</x:v>
      </x:c>
      <x:c r="H1475" s="84" t="str">
        <x:v>Retail Store</x:v>
      </x:c>
      <x:c r="I1475" s="84" t="str">
        <x:v>OFFC-001</x:v>
      </x:c>
      <x:c r="J1475" s="86" t="n">
        <x:v>2</x:v>
      </x:c>
      <x:c r="K1475" s="87" t="n">
        <x:v>0.1</x:v>
      </x:c>
      <x:c r="L1475" s="84" t="str">
        <x:v>Completed</x:v>
      </x:c>
      <x:c r="M1475" s="84" t="str">
        <x:v>debit card</x:v>
      </x:c>
      <x:c r="N1475" s="84" t="str">
        <x:v>Sofia Bennett</x:v>
      </x:c>
      <x:c r="O1475" s="85" t="n">
        <x:v>45781</x:v>
      </x:c>
      <x:c r="P1475" s="84" t="str">
        <x:v>POS_2025_05</x:v>
      </x:c>
      <x:c r="Q1475" s="84" t="str">
        <x:v>Ergonomic Chair</x:v>
      </x:c>
      <x:c r="R1475" s="84" t="str">
        <x:v>Office</x:v>
      </x:c>
    </x:row>
    <x:row r="1476">
      <x:c r="A1476" s="84" t="str">
        <x:v>ORD-2025-01242</x:v>
      </x:c>
      <x:c r="B1476" s="85" t="n">
        <x:v>45781</x:v>
      </x:c>
      <x:c r="C1476" s="84" t="str">
        <x:v>CUST-0113</x:v>
      </x:c>
      <x:c r="D1476" s="84" t="str">
        <x:v>Amelia Patel</x:v>
      </x:c>
      <x:c r="E1476" s="84" t="str">
        <x:v>Consumer</x:v>
      </x:c>
      <x:c r="F1476" s="84" t="str">
        <x:v>Southeast</x:v>
      </x:c>
      <x:c r="G1476" s="84" t="str">
        <x:v>Atlanta</x:v>
      </x:c>
      <x:c r="H1476" s="84" t="str">
        <x:v>Retail Store </x:v>
      </x:c>
      <x:c r="I1476" s="84" t="str">
        <x:v>OFFC-006</x:v>
      </x:c>
      <x:c r="J1476" s="86" t="n">
        <x:v>1</x:v>
      </x:c>
      <x:c r="K1476" s="87" t="n">
        <x:v>0.1</x:v>
      </x:c>
      <x:c r="L1476" s="84" t="str">
        <x:v>Completed</x:v>
      </x:c>
      <x:c r="M1476" s="84" t="str">
        <x:v>credit card</x:v>
      </x:c>
      <x:c r="N1476" s="84" t="str">
        <x:v>Noah Reed</x:v>
      </x:c>
      <x:c r="O1476" s="85" t="n">
        <x:v>45781</x:v>
      </x:c>
      <x:c r="P1476" s="84" t="str">
        <x:v>POS_2025_05</x:v>
      </x:c>
      <x:c r="Q1476" s="84" t="str">
        <x:v>Monitor Stand</x:v>
      </x:c>
      <x:c r="R1476" s="84" t="str">
        <x:v>Office</x:v>
      </x:c>
    </x:row>
    <x:row r="1477">
      <x:c r="A1477" s="84" t="str">
        <x:v>ORD-2025-00226</x:v>
      </x:c>
      <x:c r="B1477" s="85" t="n">
        <x:v>45782</x:v>
      </x:c>
      <x:c r="C1477" s="84" t="str">
        <x:v>CUST-0480</x:v>
      </x:c>
      <x:c r="D1477" s="84" t="str">
        <x:v>Samuel Baker</x:v>
      </x:c>
      <x:c r="E1477" s="84" t="str">
        <x:v>Consumer</x:v>
      </x:c>
      <x:c r="F1477" s="84" t="str">
        <x:v>West</x:v>
      </x:c>
      <x:c r="G1477" s="84" t="str">
        <x:v>Denver</x:v>
      </x:c>
      <x:c r="H1477" s="84" t="str">
        <x:v>Retail Store</x:v>
      </x:c>
      <x:c r="I1477" s="84" t="str">
        <x:v>OFFC-002</x:v>
      </x:c>
      <x:c r="J1477" s="86" t="n">
        <x:v>1</x:v>
      </x:c>
      <x:c r="K1477" s="87" t="n">
        <x:v>0.1</x:v>
      </x:c>
      <x:c r="L1477" s="84" t="str">
        <x:v> COMPLETED </x:v>
      </x:c>
      <x:c r="M1477" s="84" t="str">
        <x:v>Credit Card</x:v>
      </x:c>
      <x:c r="N1477" s="84" t="str">
        <x:v>Nora Kim</x:v>
      </x:c>
      <x:c r="O1477" s="85" t="n">
        <x:v>45782</x:v>
      </x:c>
      <x:c r="P1477" s="84" t="str">
        <x:v>POS_2025_05</x:v>
      </x:c>
      <x:c r="Q1477" s="84" t="str">
        <x:v>Standing Desk</x:v>
      </x:c>
      <x:c r="R1477" s="84" t="str">
        <x:v>Office </x:v>
      </x:c>
    </x:row>
    <x:row r="1478">
      <x:c r="A1478" s="84" t="str">
        <x:v>ORD-2025-00457</x:v>
      </x:c>
      <x:c r="B1478" s="85" t="n">
        <x:v>45782</x:v>
      </x:c>
      <x:c r="C1478" s="84" t="str">
        <x:v>CUST-0344</x:v>
      </x:c>
      <x:c r="D1478" s="84" t="str">
        <x:v>Elena Quinn</x:v>
      </x:c>
      <x:c r="E1478" s="84" t="str">
        <x:v>Small Business</x:v>
      </x:c>
      <x:c r="F1478" s="84" t="str">
        <x:v>Northeast</x:v>
      </x:c>
      <x:c r="G1478" s="84" t="str">
        <x:v>Newark</x:v>
      </x:c>
      <x:c r="H1478" s="84" t="str">
        <x:v>Online</x:v>
      </x:c>
      <x:c r="I1478" s="84" t="str">
        <x:v>FITN-005</x:v>
      </x:c>
      <x:c r="J1478" s="86" t="n">
        <x:v>2</x:v>
      </x:c>
      <x:c r="K1478" s="87" t="n">
        <x:v>0.05</x:v>
      </x:c>
      <x:c r="L1478" s="84" t="str">
        <x:v>Completed</x:v>
      </x:c>
      <x:c r="M1478" s="84" t="str">
        <x:v>Credit Card</x:v>
      </x:c>
      <x:c r="N1478" s="84" t="str">
        <x:v>Sofia Bennett</x:v>
      </x:c>
      <x:c r="O1478" s="85" t="n">
        <x:v>45785</x:v>
      </x:c>
      <x:c r="P1478" s="84" t="str">
        <x:v>WEB_2025_05</x:v>
      </x:c>
      <x:c r="Q1478" s="84" t="str">
        <x:v>Sports Water Bottle</x:v>
      </x:c>
      <x:c r="R1478" s="84" t="str">
        <x:v> FITNESS </x:v>
      </x:c>
    </x:row>
    <x:row r="1479">
      <x:c r="A1479" s="84" t="str">
        <x:v>ORD-2025-01814</x:v>
      </x:c>
      <x:c r="B1479" s="85" t="n">
        <x:v>45782</x:v>
      </x:c>
      <x:c r="C1479" s="84" t="str">
        <x:v>CUST-0364</x:v>
      </x:c>
      <x:c r="D1479" s="84" t="str">
        <x:v>Sara Smith</x:v>
      </x:c>
      <x:c r="E1479" s="84" t="str">
        <x:v>Corporate</x:v>
      </x:c>
      <x:c r="F1479" s="84" t="str">
        <x:v>West</x:v>
      </x:c>
      <x:c r="G1479" s="84" t="str">
        <x:v>Phoenix</x:v>
      </x:c>
      <x:c r="H1479" s="84" t="str">
        <x:v>Retail Store</x:v>
      </x:c>
      <x:c r="I1479" s="84" t="str">
        <x:v>ELEC-002</x:v>
      </x:c>
      <x:c r="J1479" s="86" t="n">
        <x:v>8</x:v>
      </x:c>
      <x:c r="K1479" s="87" t="n">
        <x:v>0.05</x:v>
      </x:c>
      <x:c r="L1479" s="84" t="str">
        <x:v>Completed</x:v>
      </x:c>
      <x:c r="M1479" s="84" t="str">
        <x:v>cash</x:v>
      </x:c>
      <x:c r="N1479" s="84" t="str">
        <x:v>Leo Martinez</x:v>
      </x:c>
      <x:c r="O1479" s="85" t="n">
        <x:v>45782</x:v>
      </x:c>
      <x:c r="P1479" s="84" t="str">
        <x:v>POS_2025_05</x:v>
      </x:c>
      <x:c r="Q1479" s="84" t="str">
        <x:v>Smartwatch </x:v>
      </x:c>
      <x:c r="R1479" s="84" t="str">
        <x:v>Electronics</x:v>
      </x:c>
    </x:row>
    <x:row r="1480">
      <x:c r="A1480" s="84" t="str">
        <x:v>ORD-2025-01910</x:v>
      </x:c>
      <x:c r="B1480" s="85" t="n">
        <x:v>45782</x:v>
      </x:c>
      <x:c r="C1480" s="84" t="str">
        <x:v>CUST-0484</x:v>
      </x:c>
      <x:c r="D1480" s="84" t="str">
        <x:v>priya adams</x:v>
      </x:c>
      <x:c r="E1480" s="84" t="str">
        <x:v>Consumer</x:v>
      </x:c>
      <x:c r="F1480" s="84" t="str">
        <x:v>Midwest</x:v>
      </x:c>
      <x:c r="G1480" s="84" t="str">
        <x:v>Detroit</x:v>
      </x:c>
      <x:c r="H1480" s="84" t="str">
        <x:v> RETAIL STORE </x:v>
      </x:c>
      <x:c r="I1480" s="84" t="str">
        <x:v>HOME-005</x:v>
      </x:c>
      <x:c r="J1480" s="86" t="n">
        <x:v>1</x:v>
      </x:c>
      <x:c r="K1480" s="87" t="n">
        <x:v>0.05</x:v>
      </x:c>
      <x:c r="L1480" s="84" t="str">
        <x:v>Completed </x:v>
      </x:c>
      <x:c r="M1480" s="84" t="str">
        <x:v>Mobile Wallet</x:v>
      </x:c>
      <x:c r="N1480" s="84" t="str">
        <x:v>Zoe Turner</x:v>
      </x:c>
      <x:c r="O1480" s="85" t="n">
        <x:v>45782</x:v>
      </x:c>
      <x:c r="P1480" s="84" t="str">
        <x:v>POS_2025_05</x:v>
      </x:c>
      <x:c r="Q1480" s="84" t="str">
        <x:v>Cordless Vacuum</x:v>
      </x:c>
      <x:c r="R1480" s="84" t="str">
        <x:v>Home &amp; Kitchen</x:v>
      </x:c>
    </x:row>
    <x:row r="1481">
      <x:c r="A1481" s="84" t="str">
        <x:v>ORD-2025-00061</x:v>
      </x:c>
      <x:c r="B1481" s="85" t="n">
        <x:v>45783</x:v>
      </x:c>
      <x:c r="C1481" s="84" t="str">
        <x:v>CUST-0496</x:v>
      </x:c>
      <x:c r="D1481" s="84" t="str">
        <x:v>Elias Khan </x:v>
      </x:c>
      <x:c r="E1481" s="84" t="str"/>
      <x:c r="F1481" s="84" t="str">
        <x:v>West</x:v>
      </x:c>
      <x:c r="G1481" s="84" t="str">
        <x:v> PHOENIX </x:v>
      </x:c>
      <x:c r="H1481" s="84" t="str">
        <x:v>Marketplace</x:v>
      </x:c>
      <x:c r="I1481" s="84" t="str">
        <x:v>ELEC-001</x:v>
      </x:c>
      <x:c r="J1481" s="86" t="n">
        <x:v>1</x:v>
      </x:c>
      <x:c r="K1481" s="87" t="n">
        <x:v>0.15</x:v>
      </x:c>
      <x:c r="L1481" s="84" t="str">
        <x:v>Completed</x:v>
      </x:c>
      <x:c r="M1481" s="84" t="str">
        <x:v>Debit Card </x:v>
      </x:c>
      <x:c r="N1481" s="84" t="str">
        <x:v>Nora Kim</x:v>
      </x:c>
      <x:c r="O1481" s="85" t="n">
        <x:v>45791</x:v>
      </x:c>
      <x:c r="P1481" s="84" t="str">
        <x:v>MKT_2025_05</x:v>
      </x:c>
      <x:c r="Q1481" s="84" t="str">
        <x:v>Wireless Earbuds</x:v>
      </x:c>
      <x:c r="R1481" s="84" t="str">
        <x:v>Electronics</x:v>
      </x:c>
    </x:row>
    <x:row r="1482">
      <x:c r="A1482" s="84" t="str">
        <x:v>ORD-2025-00568</x:v>
      </x:c>
      <x:c r="B1482" s="85" t="n">
        <x:v>45783</x:v>
      </x:c>
      <x:c r="C1482" s="84" t="str">
        <x:v>CUST-0419</x:v>
      </x:c>
      <x:c r="D1482" s="84" t="str">
        <x:v>isaac nelson</x:v>
      </x:c>
      <x:c r="E1482" s="84" t="str">
        <x:v>Consumer</x:v>
      </x:c>
      <x:c r="F1482" s="84" t="str">
        <x:v>Northeast</x:v>
      </x:c>
      <x:c r="G1482" s="84" t="str">
        <x:v>New York</x:v>
      </x:c>
      <x:c r="H1482" s="84" t="str">
        <x:v>Marketplace</x:v>
      </x:c>
      <x:c r="I1482" s="84" t="str">
        <x:v>FITN-001</x:v>
      </x:c>
      <x:c r="J1482" s="86" t="n">
        <x:v>1</x:v>
      </x:c>
      <x:c r="K1482" s="87" t="n">
        <x:v>0.1</x:v>
      </x:c>
      <x:c r="L1482" s="84" t="str">
        <x:v>Completed</x:v>
      </x:c>
      <x:c r="M1482" s="84" t="str">
        <x:v>Mobile Wallet</x:v>
      </x:c>
      <x:c r="N1482" s="84" t="str">
        <x:v>Sofia Bennett</x:v>
      </x:c>
      <x:c r="O1482" s="85" t="n">
        <x:v>45788</x:v>
      </x:c>
      <x:c r="P1482" s="84" t="str">
        <x:v>MKT_2025_05</x:v>
      </x:c>
      <x:c r="Q1482" s="84" t="str">
        <x:v>Yoga Mat </x:v>
      </x:c>
      <x:c r="R1482" s="84" t="str">
        <x:v>Fitness</x:v>
      </x:c>
    </x:row>
    <x:row r="1483">
      <x:c r="A1483" s="84" t="str">
        <x:v>ORD-2025-00580</x:v>
      </x:c>
      <x:c r="B1483" s="85" t="n">
        <x:v>45783</x:v>
      </x:c>
      <x:c r="C1483" s="84" t="str">
        <x:v>CUST-0337</x:v>
      </x:c>
      <x:c r="D1483" s="84" t="str">
        <x:v>Owen Garcia</x:v>
      </x:c>
      <x:c r="E1483" s="84" t="str">
        <x:v>Consumer</x:v>
      </x:c>
      <x:c r="F1483" s="84" t="str">
        <x:v>west</x:v>
      </x:c>
      <x:c r="G1483" s="84" t="str">
        <x:v>Los Angeles</x:v>
      </x:c>
      <x:c r="H1483" s="84" t="str">
        <x:v>Online</x:v>
      </x:c>
      <x:c r="I1483" s="84" t="str">
        <x:v>ELEC-002</x:v>
      </x:c>
      <x:c r="J1483" s="86" t="n">
        <x:v>1</x:v>
      </x:c>
      <x:c r="K1483" s="87" t="n">
        <x:v>0</x:v>
      </x:c>
      <x:c r="L1483" s="84" t="str">
        <x:v>Completed </x:v>
      </x:c>
      <x:c r="M1483" s="84" t="str">
        <x:v>Credit Card</x:v>
      </x:c>
      <x:c r="N1483" s="84" t="str">
        <x:v>Leo Martinez</x:v>
      </x:c>
      <x:c r="O1483" s="85" t="n">
        <x:v>45786</x:v>
      </x:c>
      <x:c r="P1483" s="84" t="str">
        <x:v>WEB_2025_05</x:v>
      </x:c>
      <x:c r="Q1483" s="84" t="str">
        <x:v>Smartwatch</x:v>
      </x:c>
      <x:c r="R1483" s="84" t="str">
        <x:v>Electronics</x:v>
      </x:c>
    </x:row>
    <x:row r="1484">
      <x:c r="A1484" s="84" t="str">
        <x:v>ORD-2025-00134</x:v>
      </x:c>
      <x:c r="B1484" s="85" t="n">
        <x:v>45784</x:v>
      </x:c>
      <x:c r="C1484" s="84" t="str">
        <x:v>CUST-0255</x:v>
      </x:c>
      <x:c r="D1484" s="84" t="str">
        <x:v>Layla Smith</x:v>
      </x:c>
      <x:c r="E1484" s="84" t="str">
        <x:v>Consumer</x:v>
      </x:c>
      <x:c r="F1484" s="84" t="str">
        <x:v>West</x:v>
      </x:c>
      <x:c r="G1484" s="84" t="str">
        <x:v>Seattle</x:v>
      </x:c>
      <x:c r="H1484" s="84" t="str">
        <x:v>Marketplace</x:v>
      </x:c>
      <x:c r="I1484" s="84" t="str">
        <x:v>CARE-005</x:v>
      </x:c>
      <x:c r="J1484" s="86" t="n">
        <x:v>2</x:v>
      </x:c>
      <x:c r="K1484" s="87" t="n">
        <x:v>0.05</x:v>
      </x:c>
      <x:c r="L1484" s="84" t="str">
        <x:v>Completed</x:v>
      </x:c>
      <x:c r="M1484" s="84" t="str">
        <x:v>Mobile Wallet</x:v>
      </x:c>
      <x:c r="N1484" s="84" t="str">
        <x:v>mia chen</x:v>
      </x:c>
      <x:c r="O1484" s="85" t="n">
        <x:v>45791</x:v>
      </x:c>
      <x:c r="P1484" s="84" t="str">
        <x:v>MKT_2025_05</x:v>
      </x:c>
      <x:c r="Q1484" s="84" t="str">
        <x:v>Skin Care Starter Kit </x:v>
      </x:c>
      <x:c r="R1484" s="84" t="str">
        <x:v> PERSONAL CARE </x:v>
      </x:c>
    </x:row>
    <x:row r="1485">
      <x:c r="A1485" s="84" t="str">
        <x:v>ORD-2025-00394</x:v>
      </x:c>
      <x:c r="B1485" s="85" t="n">
        <x:v>45784</x:v>
      </x:c>
      <x:c r="C1485" s="84" t="str">
        <x:v>CUST-0424</x:v>
      </x:c>
      <x:c r="D1485" s="84" t="str">
        <x:v>Layla Quinn</x:v>
      </x:c>
      <x:c r="E1485" s="84" t="str">
        <x:v>Consumer</x:v>
      </x:c>
      <x:c r="F1485" s="84" t="str">
        <x:v>Southeast</x:v>
      </x:c>
      <x:c r="G1485" s="84" t="str">
        <x:v>Miami</x:v>
      </x:c>
      <x:c r="H1485" s="84" t="str">
        <x:v>Online</x:v>
      </x:c>
      <x:c r="I1485" s="84" t="str">
        <x:v>ELEC-001</x:v>
      </x:c>
      <x:c r="J1485" s="86" t="n">
        <x:v>1</x:v>
      </x:c>
      <x:c r="K1485" s="87" t="n">
        <x:v>0.15</x:v>
      </x:c>
      <x:c r="L1485" s="84" t="str">
        <x:v>Completed</x:v>
      </x:c>
      <x:c r="M1485" s="84" t="str">
        <x:v>Credit Card</x:v>
      </x:c>
      <x:c r="N1485" s="84" t="str">
        <x:v> NOAH REED </x:v>
      </x:c>
      <x:c r="O1485" s="85" t="n">
        <x:v>45788</x:v>
      </x:c>
      <x:c r="P1485" s="84" t="str">
        <x:v>WEB_2025_05</x:v>
      </x:c>
      <x:c r="Q1485" s="84" t="str">
        <x:v>wireless earbuds</x:v>
      </x:c>
      <x:c r="R1485" s="84" t="str">
        <x:v>Electronics </x:v>
      </x:c>
    </x:row>
    <x:row r="1486">
      <x:c r="A1486" s="84" t="str">
        <x:v>ORD-2025-00585</x:v>
      </x:c>
      <x:c r="B1486" s="85" t="n">
        <x:v>45785</x:v>
      </x:c>
      <x:c r="C1486" s="84" t="str">
        <x:v>CUST-0225</x:v>
      </x:c>
      <x:c r="D1486" s="84" t="str">
        <x:v>Sara Ortiz</x:v>
      </x:c>
      <x:c r="E1486" s="84" t="str">
        <x:v>Small Business</x:v>
      </x:c>
      <x:c r="F1486" s="84" t="str">
        <x:v>Southeast </x:v>
      </x:c>
      <x:c r="G1486" s="84" t="str">
        <x:v>Atlanta</x:v>
      </x:c>
      <x:c r="H1486" s="84" t="str">
        <x:v>Online</x:v>
      </x:c>
      <x:c r="I1486" s="84" t="str">
        <x:v>ELEC-002</x:v>
      </x:c>
      <x:c r="J1486" s="86" t="n">
        <x:v>2</x:v>
      </x:c>
      <x:c r="K1486" s="87" t="n">
        <x:v>0</x:v>
      </x:c>
      <x:c r="L1486" s="84" t="str">
        <x:v>Completed</x:v>
      </x:c>
      <x:c r="M1486" s="84" t="str">
        <x:v>Debit Card</x:v>
      </x:c>
      <x:c r="N1486" s="84" t="str">
        <x:v>noah reed</x:v>
      </x:c>
      <x:c r="O1486" s="85" t="n">
        <x:v>45788</x:v>
      </x:c>
      <x:c r="P1486" s="84" t="str">
        <x:v>WEB_2025_05</x:v>
      </x:c>
      <x:c r="Q1486" s="84" t="str">
        <x:v>Smartwatch</x:v>
      </x:c>
      <x:c r="R1486" s="84" t="str">
        <x:v>Electronics</x:v>
      </x:c>
    </x:row>
    <x:row r="1487">
      <x:c r="A1487" s="84" t="str">
        <x:v>ORD-2025-01070</x:v>
      </x:c>
      <x:c r="B1487" s="85" t="n">
        <x:v>45785</x:v>
      </x:c>
      <x:c r="C1487" s="84" t="str">
        <x:v>CUST-0167</x:v>
      </x:c>
      <x:c r="D1487" s="84" t="str">
        <x:v>Nathan Taylor</x:v>
      </x:c>
      <x:c r="E1487" s="84" t="str">
        <x:v>Corporate</x:v>
      </x:c>
      <x:c r="F1487" s="84" t="str">
        <x:v>Northeast</x:v>
      </x:c>
      <x:c r="G1487" s="84" t="str">
        <x:v>New York</x:v>
      </x:c>
      <x:c r="H1487" s="84" t="str">
        <x:v>Retail Store</x:v>
      </x:c>
      <x:c r="I1487" s="84" t="str">
        <x:v>ACCS-006</x:v>
      </x:c>
      <x:c r="J1487" s="86" t="n">
        <x:v>3</x:v>
      </x:c>
      <x:c r="K1487" s="87" t="n">
        <x:v>0</x:v>
      </x:c>
      <x:c r="L1487" s="84" t="str">
        <x:v>Completed </x:v>
      </x:c>
      <x:c r="M1487" s="84" t="str">
        <x:v>Cash</x:v>
      </x:c>
      <x:c r="N1487" s="84" t="str">
        <x:v>Sofia Bennett</x:v>
      </x:c>
      <x:c r="O1487" s="85" t="n">
        <x:v>45785</x:v>
      </x:c>
      <x:c r="P1487" s="84" t="str">
        <x:v>POS_2025_05</x:v>
      </x:c>
      <x:c r="Q1487" s="84" t="str">
        <x:v>Insulated Lunch Bag</x:v>
      </x:c>
      <x:c r="R1487" s="84" t="str">
        <x:v>accessories</x:v>
      </x:c>
    </x:row>
    <x:row r="1488">
      <x:c r="A1488" s="84" t="str">
        <x:v>ORD-2025-01191</x:v>
      </x:c>
      <x:c r="B1488" s="85" t="n">
        <x:v>45785</x:v>
      </x:c>
      <x:c r="C1488" s="84" t="str">
        <x:v>CUST-0131</x:v>
      </x:c>
      <x:c r="D1488" s="84" t="str">
        <x:v>Theo Patel</x:v>
      </x:c>
      <x:c r="E1488" s="84" t="str">
        <x:v>Consumer</x:v>
      </x:c>
      <x:c r="F1488" s="84" t="str">
        <x:v>Southeast</x:v>
      </x:c>
      <x:c r="G1488" s="84" t="str">
        <x:v>Nashville</x:v>
      </x:c>
      <x:c r="H1488" s="84" t="str">
        <x:v>Marketplace</x:v>
      </x:c>
      <x:c r="I1488" s="84" t="str">
        <x:v>ELEC-006</x:v>
      </x:c>
      <x:c r="J1488" s="86" t="n">
        <x:v>1</x:v>
      </x:c>
      <x:c r="K1488" s="87" t="n">
        <x:v>0.15</x:v>
      </x:c>
      <x:c r="L1488" s="84" t="str">
        <x:v>Completed</x:v>
      </x:c>
      <x:c r="M1488" s="84" t="str">
        <x:v>Credit Card</x:v>
      </x:c>
      <x:c r="N1488" s="84" t="str">
        <x:v>Noah Reed</x:v>
      </x:c>
      <x:c r="O1488" s="85" t="n">
        <x:v>45788</x:v>
      </x:c>
      <x:c r="P1488" s="84" t="str">
        <x:v>MKT_2025_05</x:v>
      </x:c>
      <x:c r="Q1488" s="84" t="str">
        <x:v>Portable SSD </x:v>
      </x:c>
      <x:c r="R1488" s="84" t="str">
        <x:v>electronics</x:v>
      </x:c>
    </x:row>
    <x:row r="1489">
      <x:c r="A1489" s="84" t="str">
        <x:v>ORD-2025-00928</x:v>
      </x:c>
      <x:c r="B1489" s="85" t="n">
        <x:v>45786</x:v>
      </x:c>
      <x:c r="C1489" s="84" t="str">
        <x:v>CUST-0631</x:v>
      </x:c>
      <x:c r="D1489" s="84" t="str">
        <x:v>Amelia Adams</x:v>
      </x:c>
      <x:c r="E1489" s="84" t="str">
        <x:v>Consumer</x:v>
      </x:c>
      <x:c r="F1489" s="84" t="str">
        <x:v>Midwest </x:v>
      </x:c>
      <x:c r="G1489" s="84" t="str">
        <x:v> MINNEAPOLIS </x:v>
      </x:c>
      <x:c r="H1489" s="84" t="str">
        <x:v>Retail Store</x:v>
      </x:c>
      <x:c r="I1489" s="84" t="str">
        <x:v>HOME-003</x:v>
      </x:c>
      <x:c r="J1489" s="86" t="n">
        <x:v>1</x:v>
      </x:c>
      <x:c r="K1489" s="87" t="n">
        <x:v>0.2</x:v>
      </x:c>
      <x:c r="L1489" s="84" t="str">
        <x:v>completed</x:v>
      </x:c>
      <x:c r="M1489" s="84" t="str">
        <x:v>Mobile Wallet</x:v>
      </x:c>
      <x:c r="N1489" s="84" t="str">
        <x:v>Lucas Grant </x:v>
      </x:c>
      <x:c r="O1489" s="85" t="n">
        <x:v>45786</x:v>
      </x:c>
      <x:c r="P1489" s="84" t="str">
        <x:v>POS_2025_05</x:v>
      </x:c>
      <x:c r="Q1489" s="84" t="str">
        <x:v>Countertop Blender</x:v>
      </x:c>
      <x:c r="R1489" s="84" t="str">
        <x:v>Home &amp; Kitchen</x:v>
      </x:c>
    </x:row>
    <x:row r="1490">
      <x:c r="A1490" s="84" t="str">
        <x:v>ORD-2025-00536</x:v>
      </x:c>
      <x:c r="B1490" s="85" t="n">
        <x:v>45787</x:v>
      </x:c>
      <x:c r="C1490" s="84" t="str">
        <x:v>CUST-0066</x:v>
      </x:c>
      <x:c r="D1490" s="84" t="str">
        <x:v>Zara Smith</x:v>
      </x:c>
      <x:c r="E1490" s="84" t="str">
        <x:v>Consumer</x:v>
      </x:c>
      <x:c r="F1490" s="84" t="str">
        <x:v>west</x:v>
      </x:c>
      <x:c r="G1490" s="84" t="str">
        <x:v>Phoenix</x:v>
      </x:c>
      <x:c r="H1490" s="84" t="str">
        <x:v>Retail Store</x:v>
      </x:c>
      <x:c r="I1490" s="84" t="str">
        <x:v>ELEC-002</x:v>
      </x:c>
      <x:c r="J1490" s="86" t="n">
        <x:v>1</x:v>
      </x:c>
      <x:c r="K1490" s="87" t="n">
        <x:v>0.1</x:v>
      </x:c>
      <x:c r="L1490" s="84" t="str">
        <x:v>Completed</x:v>
      </x:c>
      <x:c r="M1490" s="84" t="str">
        <x:v>Credit Card</x:v>
      </x:c>
      <x:c r="N1490" s="84" t="str">
        <x:v>Nora Kim </x:v>
      </x:c>
      <x:c r="O1490" s="85" t="n">
        <x:v>45787</x:v>
      </x:c>
      <x:c r="P1490" s="84" t="str">
        <x:v>POS_2025_05</x:v>
      </x:c>
      <x:c r="Q1490" s="84" t="str">
        <x:v>Smartwatch</x:v>
      </x:c>
      <x:c r="R1490" s="84" t="str">
        <x:v>Electronics</x:v>
      </x:c>
    </x:row>
    <x:row r="1491">
      <x:c r="A1491" s="84" t="str">
        <x:v>ORD-2025-01659</x:v>
      </x:c>
      <x:c r="B1491" s="85" t="n">
        <x:v>45787</x:v>
      </x:c>
      <x:c r="C1491" s="84" t="str">
        <x:v>CUST-0508</x:v>
      </x:c>
      <x:c r="D1491" s="84" t="str">
        <x:v>Nina Smith</x:v>
      </x:c>
      <x:c r="E1491" s="84" t="str">
        <x:v>Consumer </x:v>
      </x:c>
      <x:c r="F1491" s="84" t="str">
        <x:v>West</x:v>
      </x:c>
      <x:c r="G1491" s="84" t="str">
        <x:v> DENVER </x:v>
      </x:c>
      <x:c r="H1491" s="84" t="str">
        <x:v>Online</x:v>
      </x:c>
      <x:c r="I1491" s="84" t="str">
        <x:v>OFFC-003</x:v>
      </x:c>
      <x:c r="J1491" s="86" t="n">
        <x:v>1</x:v>
      </x:c>
      <x:c r="K1491" s="87" t="n">
        <x:v>0.1</x:v>
      </x:c>
      <x:c r="L1491" s="84" t="str">
        <x:v>Completed</x:v>
      </x:c>
      <x:c r="M1491" s="84" t="str">
        <x:v>Credit Card</x:v>
      </x:c>
      <x:c r="N1491" s="84" t="str">
        <x:v>Mia Chen</x:v>
      </x:c>
      <x:c r="O1491" s="85" t="n">
        <x:v>45791</x:v>
      </x:c>
      <x:c r="P1491" s="84" t="str">
        <x:v>WEB_2025_05</x:v>
      </x:c>
      <x:c r="Q1491" s="84" t="str">
        <x:v>led desk lamp</x:v>
      </x:c>
      <x:c r="R1491" s="84" t="str">
        <x:v>Office</x:v>
      </x:c>
    </x:row>
    <x:row r="1492">
      <x:c r="A1492" s="84" t="str">
        <x:v>ORD-2025-01763</x:v>
      </x:c>
      <x:c r="B1492" s="85" t="n">
        <x:v>45787</x:v>
      </x:c>
      <x:c r="C1492" s="84" t="str">
        <x:v>CUST-0589</x:v>
      </x:c>
      <x:c r="D1492" s="84" t="str">
        <x:v>Nathan Foster</x:v>
      </x:c>
      <x:c r="E1492" s="84" t="str">
        <x:v>Consumer</x:v>
      </x:c>
      <x:c r="F1492" s="84" t="str">
        <x:v>Northeast</x:v>
      </x:c>
      <x:c r="G1492" s="84" t="str">
        <x:v>Philadelphia</x:v>
      </x:c>
      <x:c r="H1492" s="84" t="str">
        <x:v>Retail Store</x:v>
      </x:c>
      <x:c r="I1492" s="84" t="str">
        <x:v>FITN-004</x:v>
      </x:c>
      <x:c r="J1492" s="86" t="n">
        <x:v>1</x:v>
      </x:c>
      <x:c r="K1492" s="87" t="n">
        <x:v>0.05</x:v>
      </x:c>
      <x:c r="L1492" s="84" t="str">
        <x:v>Completed </x:v>
      </x:c>
      <x:c r="M1492" s="84" t="str">
        <x:v>Credit Card</x:v>
      </x:c>
      <x:c r="N1492" s="84" t="str">
        <x:v>Sofia Bennett</x:v>
      </x:c>
      <x:c r="O1492" s="85" t="n">
        <x:v>45787</x:v>
      </x:c>
      <x:c r="P1492" s="84" t="str">
        <x:v>POS_2025_05</x:v>
      </x:c>
      <x:c r="Q1492" s="84" t="str">
        <x:v>Fitness Tracker</x:v>
      </x:c>
      <x:c r="R1492" s="84" t="str">
        <x:v>fitness</x:v>
      </x:c>
    </x:row>
    <x:row r="1493">
      <x:c r="A1493" s="84" t="str">
        <x:v>ORD-2025-01820</x:v>
      </x:c>
      <x:c r="B1493" s="85" t="n">
        <x:v>45787</x:v>
      </x:c>
      <x:c r="C1493" s="84" t="str">
        <x:v>CUST-0087</x:v>
      </x:c>
      <x:c r="D1493" s="84" t="str">
        <x:v>Amelia Evans</x:v>
      </x:c>
      <x:c r="E1493" s="84" t="str">
        <x:v>Consumer </x:v>
      </x:c>
      <x:c r="F1493" s="84" t="str">
        <x:v>West</x:v>
      </x:c>
      <x:c r="G1493" s="84" t="str">
        <x:v>Los Angeles </x:v>
      </x:c>
      <x:c r="H1493" s="84" t="str">
        <x:v>Online</x:v>
      </x:c>
      <x:c r="I1493" s="84" t="str">
        <x:v>ACCS-004</x:v>
      </x:c>
      <x:c r="J1493" s="86" t="n">
        <x:v>1</x:v>
      </x:c>
      <x:c r="K1493" s="87" t="n">
        <x:v>0.1</x:v>
      </x:c>
      <x:c r="L1493" s="84" t="str">
        <x:v>Completed</x:v>
      </x:c>
      <x:c r="M1493" s="84" t="str">
        <x:v>Credit Card</x:v>
      </x:c>
      <x:c r="N1493" s="84" t="str">
        <x:v>Nora Kim</x:v>
      </x:c>
      <x:c r="O1493" s="85" t="n">
        <x:v>45791</x:v>
      </x:c>
      <x:c r="P1493" s="84" t="str">
        <x:v>WEB_2025_05</x:v>
      </x:c>
      <x:c r="Q1493" s="84" t="str">
        <x:v>Leather Wallet</x:v>
      </x:c>
      <x:c r="R1493" s="84" t="str">
        <x:v>Accessories</x:v>
      </x:c>
    </x:row>
    <x:row r="1494">
      <x:c r="A1494" s="84" t="str">
        <x:v>ORD-2025-00653</x:v>
      </x:c>
      <x:c r="B1494" s="85" t="n">
        <x:v>45788</x:v>
      </x:c>
      <x:c r="C1494" s="84" t="str">
        <x:v>CUST-0028</x:v>
      </x:c>
      <x:c r="D1494" s="84" t="str">
        <x:v>Theo Roberts</x:v>
      </x:c>
      <x:c r="E1494" s="84" t="str">
        <x:v>Consumer</x:v>
      </x:c>
      <x:c r="F1494" s="84" t="str">
        <x:v>Northeast</x:v>
      </x:c>
      <x:c r="G1494" s="84" t="str">
        <x:v>newark</x:v>
      </x:c>
      <x:c r="H1494" s="84" t="str">
        <x:v>Retail Store</x:v>
      </x:c>
      <x:c r="I1494" s="84" t="str">
        <x:v>HOME-001</x:v>
      </x:c>
      <x:c r="J1494" s="86" t="n">
        <x:v>1</x:v>
      </x:c>
      <x:c r="K1494" s="87" t="n">
        <x:v>0.15</x:v>
      </x:c>
      <x:c r="L1494" s="84" t="str">
        <x:v>completed</x:v>
      </x:c>
      <x:c r="M1494" s="84" t="str">
        <x:v>Mobile Wallet</x:v>
      </x:c>
      <x:c r="N1494" s="84" t="str">
        <x:v>Maya Brooks</x:v>
      </x:c>
      <x:c r="O1494" s="85" t="n">
        <x:v>45788</x:v>
      </x:c>
      <x:c r="P1494" s="84" t="str">
        <x:v>POS_2025_05</x:v>
      </x:c>
      <x:c r="Q1494" s="84" t="str">
        <x:v>Air Fryer</x:v>
      </x:c>
      <x:c r="R1494" s="84" t="str">
        <x:v>Home &amp; Kitchen </x:v>
      </x:c>
    </x:row>
    <x:row r="1495">
      <x:c r="A1495" s="84" t="str">
        <x:v>ORD-2025-00796</x:v>
      </x:c>
      <x:c r="B1495" s="85" t="n">
        <x:v>45788</x:v>
      </x:c>
      <x:c r="C1495" s="84" t="str">
        <x:v>CUST-0123</x:v>
      </x:c>
      <x:c r="D1495" s="84" t="str">
        <x:v> JASMINE PATEL </x:v>
      </x:c>
      <x:c r="E1495" s="84" t="str">
        <x:v>Consumer</x:v>
      </x:c>
      <x:c r="F1495" s="84" t="str">
        <x:v> SOUTHEAST </x:v>
      </x:c>
      <x:c r="G1495" s="84" t="str">
        <x:v>nashville</x:v>
      </x:c>
      <x:c r="H1495" s="84" t="str">
        <x:v>Online</x:v>
      </x:c>
      <x:c r="I1495" s="84" t="str">
        <x:v>ELEC-003</x:v>
      </x:c>
      <x:c r="J1495" s="86" t="n">
        <x:v>2</x:v>
      </x:c>
      <x:c r="K1495" s="87" t="n">
        <x:v>0</x:v>
      </x:c>
      <x:c r="L1495" s="84" t="str">
        <x:v>completed</x:v>
      </x:c>
      <x:c r="M1495" s="84" t="str">
        <x:v>Debit Card </x:v>
      </x:c>
      <x:c r="N1495" s="84" t="str">
        <x:v>Ava Mitchell</x:v>
      </x:c>
      <x:c r="O1495" s="85" t="n">
        <x:v>45790</x:v>
      </x:c>
      <x:c r="P1495" s="84" t="str">
        <x:v>WEB_2025_05</x:v>
      </x:c>
      <x:c r="Q1495" s="84" t="str">
        <x:v>Bluetooth Speaker</x:v>
      </x:c>
      <x:c r="R1495" s="84" t="str">
        <x:v>Electronics</x:v>
      </x:c>
    </x:row>
    <x:row r="1496">
      <x:c r="A1496" s="84" t="str">
        <x:v>ORD-2025-00994</x:v>
      </x:c>
      <x:c r="B1496" s="85" t="n">
        <x:v>45788</x:v>
      </x:c>
      <x:c r="C1496" s="84" t="str">
        <x:v>CUST-0138</x:v>
      </x:c>
      <x:c r="D1496" s="84" t="str">
        <x:v>Chloe Khan</x:v>
      </x:c>
      <x:c r="E1496" s="84" t="str">
        <x:v>Corporate </x:v>
      </x:c>
      <x:c r="F1496" s="84" t="str">
        <x:v>West</x:v>
      </x:c>
      <x:c r="G1496" s="84" t="str">
        <x:v>denver</x:v>
      </x:c>
      <x:c r="H1496" s="84" t="str">
        <x:v>Retail Store</x:v>
      </x:c>
      <x:c r="I1496" s="84" t="str">
        <x:v>OFFC-001</x:v>
      </x:c>
      <x:c r="J1496" s="86" t="n">
        <x:v>5</x:v>
      </x:c>
      <x:c r="K1496" s="87" t="n">
        <x:v>0.05</x:v>
      </x:c>
      <x:c r="L1496" s="84" t="str">
        <x:v>completed</x:v>
      </x:c>
      <x:c r="M1496" s="84" t="str">
        <x:v>Mobile Wallet</x:v>
      </x:c>
      <x:c r="N1496" s="84" t="str">
        <x:v>Mia Chen</x:v>
      </x:c>
      <x:c r="O1496" s="85" t="n">
        <x:v>45788</x:v>
      </x:c>
      <x:c r="P1496" s="84" t="str">
        <x:v>POS_2025_05</x:v>
      </x:c>
      <x:c r="Q1496" s="84" t="str">
        <x:v>Ergonomic Chair</x:v>
      </x:c>
      <x:c r="R1496" s="84" t="str">
        <x:v>Office</x:v>
      </x:c>
    </x:row>
    <x:row r="1497">
      <x:c r="A1497" s="84" t="str">
        <x:v>ORD-2025-02342</x:v>
      </x:c>
      <x:c r="B1497" s="85" t="n">
        <x:v>45788</x:v>
      </x:c>
      <x:c r="C1497" s="84" t="str">
        <x:v>CUST-0099</x:v>
      </x:c>
      <x:c r="D1497" s="84" t="str">
        <x:v>Maya Adams</x:v>
      </x:c>
      <x:c r="E1497" s="84" t="str">
        <x:v>Consumer</x:v>
      </x:c>
      <x:c r="F1497" s="84" t="str">
        <x:v>Southeast </x:v>
      </x:c>
      <x:c r="G1497" s="84" t="str">
        <x:v>Miami</x:v>
      </x:c>
      <x:c r="H1497" s="84" t="str">
        <x:v>Retail Store</x:v>
      </x:c>
      <x:c r="I1497" s="84" t="str">
        <x:v>OFFC-001</x:v>
      </x:c>
      <x:c r="J1497" s="86" t="n">
        <x:v>4</x:v>
      </x:c>
      <x:c r="K1497" s="87" t="n">
        <x:v>0</x:v>
      </x:c>
      <x:c r="L1497" s="84" t="str">
        <x:v>Completed</x:v>
      </x:c>
      <x:c r="M1497" s="84" t="str">
        <x:v>mobile wallet</x:v>
      </x:c>
      <x:c r="N1497" s="84" t="str">
        <x:v>Liam Parker </x:v>
      </x:c>
      <x:c r="O1497" s="85" t="n">
        <x:v>45789</x:v>
      </x:c>
      <x:c r="P1497" s="84" t="str">
        <x:v>POS_2025_05</x:v>
      </x:c>
      <x:c r="Q1497" s="84" t="str">
        <x:v>Ergonomic Chair</x:v>
      </x:c>
      <x:c r="R1497" s="84" t="str">
        <x:v>Office</x:v>
      </x:c>
    </x:row>
    <x:row r="1498">
      <x:c r="A1498" s="84" t="str">
        <x:v>ORD-2025-00678</x:v>
      </x:c>
      <x:c r="B1498" s="85" t="n">
        <x:v>45789</x:v>
      </x:c>
      <x:c r="C1498" s="84" t="str">
        <x:v>CUST-0326</x:v>
      </x:c>
      <x:c r="D1498" s="84" t="str">
        <x:v>marcus quinn</x:v>
      </x:c>
      <x:c r="E1498" s="84" t="str">
        <x:v>Corporate</x:v>
      </x:c>
      <x:c r="F1498" s="84" t="str">
        <x:v>Southeast</x:v>
      </x:c>
      <x:c r="G1498" s="84" t="str">
        <x:v>Nashville</x:v>
      </x:c>
      <x:c r="H1498" s="84" t="str">
        <x:v>Retail Store</x:v>
      </x:c>
      <x:c r="I1498" s="84" t="str">
        <x:v>FITN-003</x:v>
      </x:c>
      <x:c r="J1498" s="86" t="n">
        <x:v>6</x:v>
      </x:c>
      <x:c r="K1498" s="87" t="n">
        <x:v>0</x:v>
      </x:c>
      <x:c r="L1498" s="84" t="str">
        <x:v>Completed </x:v>
      </x:c>
      <x:c r="M1498" s="84" t="str">
        <x:v>Credit Card</x:v>
      </x:c>
      <x:c r="N1498" s="84" t="str">
        <x:v>Ava Mitchell</x:v>
      </x:c>
      <x:c r="O1498" s="85" t="n">
        <x:v>45789</x:v>
      </x:c>
      <x:c r="P1498" s="84" t="str">
        <x:v>POS_2025_05</x:v>
      </x:c>
      <x:c r="Q1498" s="84" t="str">
        <x:v>Resistance Band Set</x:v>
      </x:c>
      <x:c r="R1498" s="84" t="str">
        <x:v> FITNESS </x:v>
      </x:c>
    </x:row>
    <x:row r="1499">
      <x:c r="A1499" s="84" t="str">
        <x:v>ORD-2025-00917</x:v>
      </x:c>
      <x:c r="B1499" s="85" t="n">
        <x:v>45789</x:v>
      </x:c>
      <x:c r="C1499" s="84" t="str">
        <x:v>CUST-0331</x:v>
      </x:c>
      <x:c r="D1499" s="84" t="str">
        <x:v>Elias Young</x:v>
      </x:c>
      <x:c r="E1499" s="84" t="str">
        <x:v>Consumer </x:v>
      </x:c>
      <x:c r="F1499" s="84" t="str">
        <x:v>West</x:v>
      </x:c>
      <x:c r="G1499" s="84" t="str">
        <x:v>seattle</x:v>
      </x:c>
      <x:c r="H1499" s="84" t="str">
        <x:v>Online</x:v>
      </x:c>
      <x:c r="I1499" s="84" t="str">
        <x:v>OFFC-003</x:v>
      </x:c>
      <x:c r="J1499" s="86" t="n">
        <x:v>1</x:v>
      </x:c>
      <x:c r="K1499" s="87" t="n">
        <x:v>0.05</x:v>
      </x:c>
      <x:c r="L1499" s="84" t="str">
        <x:v>completed</x:v>
      </x:c>
      <x:c r="M1499" s="84" t="str">
        <x:v>Credit Card</x:v>
      </x:c>
      <x:c r="N1499" s="84" t="str">
        <x:v>Nora Kim</x:v>
      </x:c>
      <x:c r="O1499" s="85" t="n">
        <x:v>45794</x:v>
      </x:c>
      <x:c r="P1499" s="84" t="str">
        <x:v>WEB_2025_05</x:v>
      </x:c>
      <x:c r="Q1499" s="84" t="str">
        <x:v>LED Desk Lamp</x:v>
      </x:c>
      <x:c r="R1499" s="84" t="str">
        <x:v>Office</x:v>
      </x:c>
    </x:row>
    <x:row r="1500">
      <x:c r="A1500" s="84" t="str">
        <x:v>ORD-2025-02383</x:v>
      </x:c>
      <x:c r="B1500" s="85" t="n">
        <x:v>45789</x:v>
      </x:c>
      <x:c r="C1500" s="84" t="str">
        <x:v>CUST-0298</x:v>
      </x:c>
      <x:c r="D1500" s="84" t="str">
        <x:v>jasmine roberts</x:v>
      </x:c>
      <x:c r="E1500" s="84" t="str">
        <x:v>Consumer</x:v>
      </x:c>
      <x:c r="F1500" s="84" t="str">
        <x:v>West</x:v>
      </x:c>
      <x:c r="G1500" s="84" t="str">
        <x:v>Los Angeles</x:v>
      </x:c>
      <x:c r="H1500" s="84" t="str">
        <x:v>Marketplace </x:v>
      </x:c>
      <x:c r="I1500" s="84" t="str">
        <x:v>ELEC-002</x:v>
      </x:c>
      <x:c r="J1500" s="86" t="n">
        <x:v>1</x:v>
      </x:c>
      <x:c r="K1500" s="87" t="n">
        <x:v>0.2</x:v>
      </x:c>
      <x:c r="L1500" s="84" t="str">
        <x:v>Completed</x:v>
      </x:c>
      <x:c r="M1500" s="84" t="str">
        <x:v>Credit Card</x:v>
      </x:c>
      <x:c r="N1500" s="84" t="str">
        <x:v> MIA CHEN </x:v>
      </x:c>
      <x:c r="O1500" s="85" t="n">
        <x:v>45797</x:v>
      </x:c>
      <x:c r="P1500" s="84" t="str">
        <x:v>MKT_2025_05</x:v>
      </x:c>
      <x:c r="Q1500" s="84" t="str">
        <x:v>Smartwatch</x:v>
      </x:c>
      <x:c r="R1500" s="84" t="str">
        <x:v>Electronics</x:v>
      </x:c>
    </x:row>
    <x:row r="1501">
      <x:c r="A1501" s="84" t="str">
        <x:v>ORD-2025-00462</x:v>
      </x:c>
      <x:c r="B1501" s="85" t="n">
        <x:v>45790</x:v>
      </x:c>
      <x:c r="C1501" s="84" t="str">
        <x:v>CUST-0400</x:v>
      </x:c>
      <x:c r="D1501" s="84" t="str">
        <x:v>Amelia Nelson</x:v>
      </x:c>
      <x:c r="E1501" s="84" t="str">
        <x:v>consumer</x:v>
      </x:c>
      <x:c r="F1501" s="84" t="str">
        <x:v>Southeast</x:v>
      </x:c>
      <x:c r="G1501" s="84" t="str">
        <x:v>Nashville </x:v>
      </x:c>
      <x:c r="H1501" s="84" t="str">
        <x:v>retail store</x:v>
      </x:c>
      <x:c r="I1501" s="84" t="str">
        <x:v>OFFC-006</x:v>
      </x:c>
      <x:c r="J1501" s="86" t="n">
        <x:v>2</x:v>
      </x:c>
      <x:c r="K1501" s="87" t="n">
        <x:v>0.1</x:v>
      </x:c>
      <x:c r="L1501" s="84" t="str">
        <x:v>Completed</x:v>
      </x:c>
      <x:c r="M1501" s="84" t="str">
        <x:v>Cash</x:v>
      </x:c>
      <x:c r="N1501" s="84" t="str">
        <x:v> LIAM PARKER </x:v>
      </x:c>
      <x:c r="O1501" s="85" t="n">
        <x:v>45790</x:v>
      </x:c>
      <x:c r="P1501" s="84" t="str">
        <x:v>POS_2025_05</x:v>
      </x:c>
      <x:c r="Q1501" s="84" t="str">
        <x:v>Monitor Stand</x:v>
      </x:c>
      <x:c r="R1501" s="84" t="str">
        <x:v>Office</x:v>
      </x:c>
    </x:row>
    <x:row r="1502">
      <x:c r="A1502" s="84" t="str">
        <x:v>ORD-2025-01971</x:v>
      </x:c>
      <x:c r="B1502" s="85" t="n">
        <x:v>45790</x:v>
      </x:c>
      <x:c r="C1502" s="84" t="str">
        <x:v>CUST-0089</x:v>
      </x:c>
      <x:c r="D1502" s="84" t="str">
        <x:v>Priya Johnson</x:v>
      </x:c>
      <x:c r="E1502" s="84" t="str">
        <x:v>Corporate</x:v>
      </x:c>
      <x:c r="F1502" s="84" t="str">
        <x:v>West </x:v>
      </x:c>
      <x:c r="G1502" s="84" t="str">
        <x:v>Denver</x:v>
      </x:c>
      <x:c r="H1502" s="84" t="str">
        <x:v>Marketplace</x:v>
      </x:c>
      <x:c r="I1502" s="84" t="str">
        <x:v>OFFC-004</x:v>
      </x:c>
      <x:c r="J1502" s="86" t="n">
        <x:v>1</x:v>
      </x:c>
      <x:c r="K1502" s="87" t="n">
        <x:v>0.1</x:v>
      </x:c>
      <x:c r="L1502" s="84" t="str">
        <x:v>Completed</x:v>
      </x:c>
      <x:c r="M1502" s="84" t="str">
        <x:v>Credit Card</x:v>
      </x:c>
      <x:c r="N1502" s="84" t="str">
        <x:v>mia chen</x:v>
      </x:c>
      <x:c r="O1502" s="85" t="n">
        <x:v>45795</x:v>
      </x:c>
      <x:c r="P1502" s="84" t="str">
        <x:v>MKT_2025_05</x:v>
      </x:c>
      <x:c r="Q1502" s="84" t="str">
        <x:v>Premium Notebook Pack</x:v>
      </x:c>
      <x:c r="R1502" s="84" t="str">
        <x:v>Office</x:v>
      </x:c>
    </x:row>
    <x:row r="1503">
      <x:c r="A1503" s="84" t="str">
        <x:v>ORD-2025-00097</x:v>
      </x:c>
      <x:c r="B1503" s="85" t="n">
        <x:v>45791</x:v>
      </x:c>
      <x:c r="C1503" s="84" t="str">
        <x:v>CUST-0475</x:v>
      </x:c>
      <x:c r="D1503" s="84" t="str">
        <x:v>Samuel Walker</x:v>
      </x:c>
      <x:c r="E1503" s="84" t="str">
        <x:v>Corporate</x:v>
      </x:c>
      <x:c r="F1503" s="84" t="str">
        <x:v>Northeast</x:v>
      </x:c>
      <x:c r="G1503" s="84" t="str">
        <x:v>Boston</x:v>
      </x:c>
      <x:c r="H1503" s="84" t="str">
        <x:v>Retail Store</x:v>
      </x:c>
      <x:c r="I1503" s="84" t="str">
        <x:v>ELEC-004</x:v>
      </x:c>
      <x:c r="J1503" s="86" t="n">
        <x:v>4</x:v>
      </x:c>
      <x:c r="K1503" s="87" t="n">
        <x:v>0.05</x:v>
      </x:c>
      <x:c r="L1503" s="84" t="str">
        <x:v>Completed </x:v>
      </x:c>
      <x:c r="M1503" s="84" t="str">
        <x:v>Debit Card</x:v>
      </x:c>
      <x:c r="N1503" s="84" t="str">
        <x:v>Maya Brooks</x:v>
      </x:c>
      <x:c r="O1503" s="85" t="n">
        <x:v>45791</x:v>
      </x:c>
      <x:c r="P1503" s="84" t="str">
        <x:v>POS_2025_05</x:v>
      </x:c>
      <x:c r="Q1503" s="84" t="str">
        <x:v>power bank</x:v>
      </x:c>
      <x:c r="R1503" s="84" t="str">
        <x:v>Electronics</x:v>
      </x:c>
    </x:row>
    <x:row r="1504">
      <x:c r="A1504" s="84" t="str">
        <x:v>ORD-2025-00574</x:v>
      </x:c>
      <x:c r="B1504" s="85" t="n">
        <x:v>45791</x:v>
      </x:c>
      <x:c r="C1504" s="84" t="str">
        <x:v>CUST-0067</x:v>
      </x:c>
      <x:c r="D1504" s="84" t="str">
        <x:v>William Garcia</x:v>
      </x:c>
      <x:c r="E1504" s="84" t="str">
        <x:v>Consumer </x:v>
      </x:c>
      <x:c r="F1504" s="84" t="str">
        <x:v>West</x:v>
      </x:c>
      <x:c r="G1504" s="84" t="str">
        <x:v>Phoenix </x:v>
      </x:c>
      <x:c r="H1504" s="84" t="str">
        <x:v>Online</x:v>
      </x:c>
      <x:c r="I1504" s="84" t="str">
        <x:v>ELEC-006</x:v>
      </x:c>
      <x:c r="J1504" s="86" t="n">
        <x:v>1</x:v>
      </x:c>
      <x:c r="K1504" s="87" t="n">
        <x:v>0</x:v>
      </x:c>
      <x:c r="L1504" s="84" t="str">
        <x:v>Returned</x:v>
      </x:c>
      <x:c r="M1504" s="84" t="str">
        <x:v>PayPal</x:v>
      </x:c>
      <x:c r="N1504" s="84" t="str">
        <x:v>mia chen</x:v>
      </x:c>
      <x:c r="O1504" s="85" t="n">
        <x:v>45795</x:v>
      </x:c>
      <x:c r="P1504" s="84" t="str">
        <x:v>WEB_2025_05</x:v>
      </x:c>
      <x:c r="Q1504" s="84" t="str">
        <x:v>Portable SSD</x:v>
      </x:c>
      <x:c r="R1504" s="84" t="str">
        <x:v>Electronics</x:v>
      </x:c>
    </x:row>
    <x:row r="1505">
      <x:c r="A1505" s="84" t="str">
        <x:v>ORD-2025-01998</x:v>
      </x:c>
      <x:c r="B1505" s="85" t="n">
        <x:v>45791</x:v>
      </x:c>
      <x:c r="C1505" s="84" t="str">
        <x:v>CUST-0459</x:v>
      </x:c>
      <x:c r="D1505" s="84" t="str">
        <x:v>theo baker</x:v>
      </x:c>
      <x:c r="E1505" s="84" t="str">
        <x:v>Consumer</x:v>
      </x:c>
      <x:c r="F1505" s="84" t="str">
        <x:v>Southeast</x:v>
      </x:c>
      <x:c r="G1505" s="84" t="str">
        <x:v>Miami</x:v>
      </x:c>
      <x:c r="H1505" s="84" t="str">
        <x:v>Online </x:v>
      </x:c>
      <x:c r="I1505" s="84" t="str">
        <x:v>OFFC-002</x:v>
      </x:c>
      <x:c r="J1505" s="86" t="n">
        <x:v>1</x:v>
      </x:c>
      <x:c r="K1505" s="87" t="n">
        <x:v>0</x:v>
      </x:c>
      <x:c r="L1505" s="84" t="str">
        <x:v>Completed</x:v>
      </x:c>
      <x:c r="M1505" s="84" t="str">
        <x:v>Mobile Wallet</x:v>
      </x:c>
      <x:c r="N1505" s="84" t="str">
        <x:v>Noah Reed</x:v>
      </x:c>
      <x:c r="O1505" s="85" t="n">
        <x:v>45795</x:v>
      </x:c>
      <x:c r="P1505" s="84" t="str">
        <x:v>WEB_2025_05</x:v>
      </x:c>
      <x:c r="Q1505" s="84" t="str">
        <x:v>Standing Desk</x:v>
      </x:c>
      <x:c r="R1505" s="84" t="str">
        <x:v>Office</x:v>
      </x:c>
    </x:row>
    <x:row r="1506">
      <x:c r="A1506" s="84" t="str">
        <x:v>ORD-2025-00932</x:v>
      </x:c>
      <x:c r="B1506" s="85" t="n">
        <x:v>45792</x:v>
      </x:c>
      <x:c r="C1506" s="84" t="str">
        <x:v>CUST-0323</x:v>
      </x:c>
      <x:c r="D1506" s="84" t="str">
        <x:v> ZARA EVANS </x:v>
      </x:c>
      <x:c r="E1506" s="84" t="str">
        <x:v>Small Business</x:v>
      </x:c>
      <x:c r="F1506" s="84" t="str">
        <x:v> MIDWEST </x:v>
      </x:c>
      <x:c r="G1506" s="84" t="str">
        <x:v>Minneapolis</x:v>
      </x:c>
      <x:c r="H1506" s="84" t="str">
        <x:v>Online</x:v>
      </x:c>
      <x:c r="I1506" s="84" t="str">
        <x:v>HOME-003</x:v>
      </x:c>
      <x:c r="J1506" s="86" t="n">
        <x:v>1</x:v>
      </x:c>
      <x:c r="K1506" s="87" t="n">
        <x:v>0.05</x:v>
      </x:c>
      <x:c r="L1506" s="84" t="str">
        <x:v>Completed</x:v>
      </x:c>
      <x:c r="M1506" s="84" t="str">
        <x:v>PayPal</x:v>
      </x:c>
      <x:c r="N1506" s="84" t="str">
        <x:v>Lucas Grant</x:v>
      </x:c>
      <x:c r="O1506" s="85" t="n">
        <x:v>45794</x:v>
      </x:c>
      <x:c r="P1506" s="84" t="str">
        <x:v>WEB_2025_05</x:v>
      </x:c>
      <x:c r="Q1506" s="84" t="str">
        <x:v>Countertop Blender </x:v>
      </x:c>
      <x:c r="R1506" s="84" t="str">
        <x:v>Home &amp; Kitchen</x:v>
      </x:c>
    </x:row>
    <x:row r="1507">
      <x:c r="A1507" s="84" t="str">
        <x:v>ORD-2025-01583</x:v>
      </x:c>
      <x:c r="B1507" s="85" t="n">
        <x:v>45792</x:v>
      </x:c>
      <x:c r="C1507" s="84" t="str">
        <x:v>CUST-0108</x:v>
      </x:c>
      <x:c r="D1507" s="84" t="str">
        <x:v>Nina Ortiz</x:v>
      </x:c>
      <x:c r="E1507" s="84" t="str">
        <x:v>Small Business</x:v>
      </x:c>
      <x:c r="F1507" s="84" t="str">
        <x:v>West</x:v>
      </x:c>
      <x:c r="G1507" s="84" t="str">
        <x:v>Phoenix</x:v>
      </x:c>
      <x:c r="H1507" s="84" t="str">
        <x:v>Online</x:v>
      </x:c>
      <x:c r="I1507" s="84" t="str">
        <x:v>FITN-005</x:v>
      </x:c>
      <x:c r="J1507" s="86" t="n">
        <x:v>1</x:v>
      </x:c>
      <x:c r="K1507" s="87" t="n">
        <x:v>0.1</x:v>
      </x:c>
      <x:c r="L1507" s="84" t="str">
        <x:v>Completed</x:v>
      </x:c>
      <x:c r="M1507" s="84" t="str">
        <x:v>credit card</x:v>
      </x:c>
      <x:c r="N1507" s="84" t="str">
        <x:v>Leo Martinez</x:v>
      </x:c>
      <x:c r="O1507" s="85" t="n">
        <x:v>45796</x:v>
      </x:c>
      <x:c r="P1507" s="84" t="str">
        <x:v>WEB_2025_05</x:v>
      </x:c>
      <x:c r="Q1507" s="84" t="str">
        <x:v>Sports Water Bottle </x:v>
      </x:c>
      <x:c r="R1507" s="84" t="str">
        <x:v>Fitness</x:v>
      </x:c>
    </x:row>
    <x:row r="1508">
      <x:c r="A1508" s="84" t="str">
        <x:v>ORD-2025-01747</x:v>
      </x:c>
      <x:c r="B1508" s="85" t="n">
        <x:v>45792</x:v>
      </x:c>
      <x:c r="C1508" s="84" t="str">
        <x:v>CUST-0627</x:v>
      </x:c>
      <x:c r="D1508" s="84" t="str">
        <x:v>Priya Walker</x:v>
      </x:c>
      <x:c r="E1508" s="84" t="str">
        <x:v>Consumer</x:v>
      </x:c>
      <x:c r="F1508" s="84" t="str">
        <x:v>West </x:v>
      </x:c>
      <x:c r="G1508" s="84" t="str">
        <x:v>Seattle</x:v>
      </x:c>
      <x:c r="H1508" s="84" t="str">
        <x:v>Retail Store</x:v>
      </x:c>
      <x:c r="I1508" s="84" t="str">
        <x:v>OFFC-002</x:v>
      </x:c>
      <x:c r="J1508" s="86" t="n">
        <x:v>2</x:v>
      </x:c>
      <x:c r="K1508" s="87" t="n">
        <x:v>0.05</x:v>
      </x:c>
      <x:c r="L1508" s="84" t="str">
        <x:v>Completed</x:v>
      </x:c>
      <x:c r="M1508" s="84" t="str">
        <x:v>Cash</x:v>
      </x:c>
      <x:c r="N1508" s="84" t="str">
        <x:v>Leo Martinez </x:v>
      </x:c>
      <x:c r="O1508" s="85" t="n">
        <x:v>45792</x:v>
      </x:c>
      <x:c r="P1508" s="84" t="str">
        <x:v>POS_2025_05</x:v>
      </x:c>
      <x:c r="Q1508" s="84" t="str">
        <x:v>standing desk</x:v>
      </x:c>
      <x:c r="R1508" s="84" t="str">
        <x:v>Office</x:v>
      </x:c>
    </x:row>
    <x:row r="1509">
      <x:c r="A1509" s="84" t="str">
        <x:v>ORD-2025-01950</x:v>
      </x:c>
      <x:c r="B1509" s="85" t="n">
        <x:v>45792</x:v>
      </x:c>
      <x:c r="C1509" s="84" t="str">
        <x:v>CUST-0637</x:v>
      </x:c>
      <x:c r="D1509" s="84" t="str">
        <x:v>Amelia Adams</x:v>
      </x:c>
      <x:c r="E1509" s="84" t="str">
        <x:v>Consumer</x:v>
      </x:c>
      <x:c r="F1509" s="84" t="str">
        <x:v>Northeast </x:v>
      </x:c>
      <x:c r="G1509" s="84" t="str">
        <x:v>New York</x:v>
      </x:c>
      <x:c r="H1509" s="84" t="str">
        <x:v>Marketplace</x:v>
      </x:c>
      <x:c r="I1509" s="84" t="str">
        <x:v>OFFC-005</x:v>
      </x:c>
      <x:c r="J1509" s="86" t="n">
        <x:v>1</x:v>
      </x:c>
      <x:c r="K1509" s="87" t="n">
        <x:v>0.1</x:v>
      </x:c>
      <x:c r="L1509" s="84" t="str">
        <x:v>Completed</x:v>
      </x:c>
      <x:c r="M1509" s="84" t="str">
        <x:v>PayPal</x:v>
      </x:c>
      <x:c r="N1509" s="84" t="str">
        <x:v>Sofia Bennett </x:v>
      </x:c>
      <x:c r="O1509" s="85" t="n">
        <x:v>45795</x:v>
      </x:c>
      <x:c r="P1509" s="84" t="str">
        <x:v>MKT_2025_05</x:v>
      </x:c>
      <x:c r="Q1509" s="84" t="str">
        <x:v>Wireless Keyboard</x:v>
      </x:c>
      <x:c r="R1509" s="84" t="str">
        <x:v>office</x:v>
      </x:c>
    </x:row>
    <x:row r="1510">
      <x:c r="A1510" s="84" t="str">
        <x:v>ORD-2025-02002</x:v>
      </x:c>
      <x:c r="B1510" s="85" t="n">
        <x:v>45792</x:v>
      </x:c>
      <x:c r="C1510" s="84" t="str">
        <x:v>CUST-0247</x:v>
      </x:c>
      <x:c r="D1510" s="84" t="str">
        <x:v>Maya Young</x:v>
      </x:c>
      <x:c r="E1510" s="84" t="str">
        <x:v>consumer</x:v>
      </x:c>
      <x:c r="F1510" s="84" t="str">
        <x:v>Southeast</x:v>
      </x:c>
      <x:c r="G1510" s="84" t="str">
        <x:v>Nashville </x:v>
      </x:c>
      <x:c r="H1510" s="84" t="str">
        <x:v>retail store</x:v>
      </x:c>
      <x:c r="I1510" s="84" t="str">
        <x:v>CARE-001</x:v>
      </x:c>
      <x:c r="J1510" s="86" t="n">
        <x:v>1</x:v>
      </x:c>
      <x:c r="K1510" s="87" t="n">
        <x:v>0</x:v>
      </x:c>
      <x:c r="L1510" s="84" t="str">
        <x:v>Completed</x:v>
      </x:c>
      <x:c r="M1510" s="84" t="str">
        <x:v>Debit Card</x:v>
      </x:c>
      <x:c r="N1510" s="84" t="str">
        <x:v>Liam Parker</x:v>
      </x:c>
      <x:c r="O1510" s="85" t="n">
        <x:v>45792</x:v>
      </x:c>
      <x:c r="P1510" s="84" t="str">
        <x:v>POS_2025_05</x:v>
      </x:c>
      <x:c r="Q1510" s="84" t="str">
        <x:v>Ionic Hair Dryer</x:v>
      </x:c>
      <x:c r="R1510" s="84" t="str">
        <x:v>Personal Care</x:v>
      </x:c>
    </x:row>
    <x:row r="1511">
      <x:c r="A1511" s="84" t="str">
        <x:v>ORD-2025-02142</x:v>
      </x:c>
      <x:c r="B1511" s="85" t="n">
        <x:v>45792</x:v>
      </x:c>
      <x:c r="C1511" s="84" t="str">
        <x:v>CUST-0378</x:v>
      </x:c>
      <x:c r="D1511" s="84" t="str">
        <x:v>Victoria Nelson</x:v>
      </x:c>
      <x:c r="E1511" s="84" t="str">
        <x:v> CONSUMER </x:v>
      </x:c>
      <x:c r="F1511" s="84" t="str">
        <x:v>midwest</x:v>
      </x:c>
      <x:c r="G1511" s="84" t="str">
        <x:v>Chicago </x:v>
      </x:c>
      <x:c r="H1511" s="84" t="str">
        <x:v>Retail Store</x:v>
      </x:c>
      <x:c r="I1511" s="84" t="str">
        <x:v>CARE-004</x:v>
      </x:c>
      <x:c r="J1511" s="86" t="n">
        <x:v>1</x:v>
      </x:c>
      <x:c r="K1511" s="87" t="n">
        <x:v>0.05</x:v>
      </x:c>
      <x:c r="L1511" s="84" t="str">
        <x:v>Completed</x:v>
      </x:c>
      <x:c r="M1511" s="84" t="str">
        <x:v>Debit Card</x:v>
      </x:c>
      <x:c r="N1511" s="84" t="str">
        <x:v>Zoe Turner</x:v>
      </x:c>
      <x:c r="O1511" s="85" t="n">
        <x:v>45792</x:v>
      </x:c>
      <x:c r="P1511" s="84" t="str">
        <x:v>POS_2025_05</x:v>
      </x:c>
      <x:c r="Q1511" s="84" t="str">
        <x:v>Electric Toothbrush</x:v>
      </x:c>
      <x:c r="R1511" s="84" t="str">
        <x:v>Personal Care</x:v>
      </x:c>
    </x:row>
    <x:row r="1512">
      <x:c r="A1512" s="84" t="str">
        <x:v>ORD-2025-00765</x:v>
      </x:c>
      <x:c r="B1512" s="85" t="n">
        <x:v>45793</x:v>
      </x:c>
      <x:c r="C1512" s="84" t="str">
        <x:v>CUST-0443</x:v>
      </x:c>
      <x:c r="D1512" s="84" t="str">
        <x:v>Samuel Foster</x:v>
      </x:c>
      <x:c r="E1512" s="84" t="str">
        <x:v> CONSUMER </x:v>
      </x:c>
      <x:c r="F1512" s="84" t="str">
        <x:v>West</x:v>
      </x:c>
      <x:c r="G1512" s="84" t="str">
        <x:v>Denver</x:v>
      </x:c>
      <x:c r="H1512" s="84" t="str">
        <x:v>Retail Store</x:v>
      </x:c>
      <x:c r="I1512" s="84" t="str">
        <x:v>ELEC-003</x:v>
      </x:c>
      <x:c r="J1512" s="86" t="n">
        <x:v>2</x:v>
      </x:c>
      <x:c r="K1512" s="87" t="n">
        <x:v>0.1</x:v>
      </x:c>
      <x:c r="L1512" s="84" t="str">
        <x:v>Completed</x:v>
      </x:c>
      <x:c r="M1512" s="84" t="str">
        <x:v>Credit Card</x:v>
      </x:c>
      <x:c r="N1512" s="84" t="str">
        <x:v>Nora Kim</x:v>
      </x:c>
      <x:c r="O1512" s="85" t="n">
        <x:v>45794</x:v>
      </x:c>
      <x:c r="P1512" s="84" t="str">
        <x:v>POS_2025_05</x:v>
      </x:c>
      <x:c r="Q1512" s="84" t="str">
        <x:v>Bluetooth Speaker</x:v>
      </x:c>
      <x:c r="R1512" s="84" t="str">
        <x:v>Electronics </x:v>
      </x:c>
    </x:row>
    <x:row r="1513">
      <x:c r="A1513" s="84" t="str">
        <x:v>ORD-2025-01745</x:v>
      </x:c>
      <x:c r="B1513" s="85" t="n">
        <x:v>45793</x:v>
      </x:c>
      <x:c r="C1513" s="84" t="str">
        <x:v>CUST-0543</x:v>
      </x:c>
      <x:c r="D1513" s="84" t="str">
        <x:v>marcus quinn</x:v>
      </x:c>
      <x:c r="E1513" s="84" t="str">
        <x:v>Consumer</x:v>
      </x:c>
      <x:c r="F1513" s="84" t="str">
        <x:v>Southeast</x:v>
      </x:c>
      <x:c r="G1513" s="84" t="str">
        <x:v>Charlotte</x:v>
      </x:c>
      <x:c r="H1513" s="84" t="str">
        <x:v>Marketplace</x:v>
      </x:c>
      <x:c r="I1513" s="84" t="str">
        <x:v>OFFC-001</x:v>
      </x:c>
      <x:c r="J1513" s="86" t="n">
        <x:v>3</x:v>
      </x:c>
      <x:c r="K1513" s="87" t="n">
        <x:v>0.05</x:v>
      </x:c>
      <x:c r="L1513" s="84" t="str">
        <x:v>Completed</x:v>
      </x:c>
      <x:c r="M1513" s="84" t="str">
        <x:v> CREDIT CARD </x:v>
      </x:c>
      <x:c r="N1513" s="84" t="str">
        <x:v>Liam Parker</x:v>
      </x:c>
      <x:c r="O1513" s="85" t="n">
        <x:v>45799</x:v>
      </x:c>
      <x:c r="P1513" s="84" t="str">
        <x:v>MKT_2025_05</x:v>
      </x:c>
      <x:c r="Q1513" s="84" t="str">
        <x:v>Ergonomic Chair</x:v>
      </x:c>
      <x:c r="R1513" s="84" t="str">
        <x:v>Office </x:v>
      </x:c>
    </x:row>
    <x:row r="1514">
      <x:c r="A1514" s="84" t="str">
        <x:v>ORD-2025-02048</x:v>
      </x:c>
      <x:c r="B1514" s="85" t="n">
        <x:v>45793</x:v>
      </x:c>
      <x:c r="C1514" s="84" t="str">
        <x:v>CUST-0628</x:v>
      </x:c>
      <x:c r="D1514" s="84" t="str">
        <x:v>Isaac Young</x:v>
      </x:c>
      <x:c r="E1514" s="84" t="str">
        <x:v>Small Business</x:v>
      </x:c>
      <x:c r="F1514" s="84" t="str">
        <x:v>West </x:v>
      </x:c>
      <x:c r="G1514" s="84" t="str">
        <x:v>Denver</x:v>
      </x:c>
      <x:c r="H1514" s="84" t="str">
        <x:v>Marketplace</x:v>
      </x:c>
      <x:c r="I1514" s="84" t="str">
        <x:v>ACCS-004</x:v>
      </x:c>
      <x:c r="J1514" s="86" t="n">
        <x:v>3</x:v>
      </x:c>
      <x:c r="K1514" s="87" t="n">
        <x:v>0.15</x:v>
      </x:c>
      <x:c r="L1514" s="84" t="str">
        <x:v>Completed</x:v>
      </x:c>
      <x:c r="M1514" s="84" t="str">
        <x:v>PayPal</x:v>
      </x:c>
      <x:c r="N1514" s="84" t="str">
        <x:v>leo martinez</x:v>
      </x:c>
      <x:c r="O1514" s="85" t="n">
        <x:v>45797</x:v>
      </x:c>
      <x:c r="P1514" s="84" t="str">
        <x:v>MKT_2025_05</x:v>
      </x:c>
      <x:c r="Q1514" s="84" t="str">
        <x:v>Leather Wallet</x:v>
      </x:c>
      <x:c r="R1514" s="84" t="str">
        <x:v>Accessories</x:v>
      </x:c>
    </x:row>
    <x:row r="1515">
      <x:c r="A1515" s="84" t="str">
        <x:v>ORD-2025-01056</x:v>
      </x:c>
      <x:c r="B1515" s="85" t="n">
        <x:v>45794</x:v>
      </x:c>
      <x:c r="C1515" s="84" t="str">
        <x:v>CUST-0198</x:v>
      </x:c>
      <x:c r="D1515" s="84" t="str">
        <x:v>Jonah Baker</x:v>
      </x:c>
      <x:c r="E1515" s="84" t="str">
        <x:v>consumer</x:v>
      </x:c>
      <x:c r="F1515" s="84" t="str">
        <x:v>Southeast</x:v>
      </x:c>
      <x:c r="G1515" s="84" t="str">
        <x:v>Atlanta</x:v>
      </x:c>
      <x:c r="H1515" s="84" t="str">
        <x:v>marketplace</x:v>
      </x:c>
      <x:c r="I1515" s="84" t="str">
        <x:v>ACCS-001</x:v>
      </x:c>
      <x:c r="J1515" s="86" t="n">
        <x:v>3</x:v>
      </x:c>
      <x:c r="K1515" s="87" t="n">
        <x:v>0.1</x:v>
      </x:c>
      <x:c r="L1515" s="84" t="str">
        <x:v>Completed </x:v>
      </x:c>
      <x:c r="M1515" s="84" t="str">
        <x:v>Credit Card</x:v>
      </x:c>
      <x:c r="N1515" s="84" t="str">
        <x:v>Ava Mitchell</x:v>
      </x:c>
      <x:c r="O1515" s="85" t="n">
        <x:v>45799</x:v>
      </x:c>
      <x:c r="P1515" s="84" t="str">
        <x:v>MKT_2025_05</x:v>
      </x:c>
      <x:c r="Q1515" s="84" t="str">
        <x:v>Canvas Tote Bag</x:v>
      </x:c>
      <x:c r="R1515" s="84" t="str">
        <x:v>Accessories</x:v>
      </x:c>
    </x:row>
    <x:row r="1516">
      <x:c r="A1516" s="84" t="str">
        <x:v>ORD-2025-01481</x:v>
      </x:c>
      <x:c r="B1516" s="85" t="n">
        <x:v>45795</x:v>
      </x:c>
      <x:c r="C1516" s="84" t="str">
        <x:v>CUST-0267</x:v>
      </x:c>
      <x:c r="D1516" s="84" t="str">
        <x:v>theo taylor</x:v>
      </x:c>
      <x:c r="E1516" s="84" t="str">
        <x:v>Consumer</x:v>
      </x:c>
      <x:c r="F1516" s="84" t="str">
        <x:v>West </x:v>
      </x:c>
      <x:c r="G1516" s="84" t="str">
        <x:v>Denver</x:v>
      </x:c>
      <x:c r="H1516" s="84" t="str">
        <x:v>Retail Store</x:v>
      </x:c>
      <x:c r="I1516" s="84" t="str">
        <x:v>FITN-003</x:v>
      </x:c>
      <x:c r="J1516" s="86" t="n">
        <x:v>2</x:v>
      </x:c>
      <x:c r="K1516" s="87" t="n">
        <x:v>0</x:v>
      </x:c>
      <x:c r="L1516" s="84" t="str">
        <x:v>Completed</x:v>
      </x:c>
      <x:c r="M1516" s="84" t="str">
        <x:v>Credit Card</x:v>
      </x:c>
      <x:c r="N1516" s="84" t="str">
        <x:v>Leo Martinez </x:v>
      </x:c>
      <x:c r="O1516" s="85" t="n">
        <x:v>45795</x:v>
      </x:c>
      <x:c r="P1516" s="84" t="str">
        <x:v>POS_2025_05</x:v>
      </x:c>
      <x:c r="Q1516" s="84" t="str">
        <x:v>Resistance Band Set</x:v>
      </x:c>
      <x:c r="R1516" s="84" t="str">
        <x:v>Fitness</x:v>
      </x:c>
    </x:row>
    <x:row r="1517">
      <x:c r="A1517" s="84" t="str">
        <x:v>ORD-2025-02381</x:v>
      </x:c>
      <x:c r="B1517" s="85" t="n">
        <x:v>45795</x:v>
      </x:c>
      <x:c r="C1517" s="84" t="str">
        <x:v>CUST-0559</x:v>
      </x:c>
      <x:c r="D1517" s="84" t="str">
        <x:v>Amelia Evans</x:v>
      </x:c>
      <x:c r="E1517" s="84" t="str">
        <x:v>Consumer</x:v>
      </x:c>
      <x:c r="F1517" s="84" t="str">
        <x:v>Midwest</x:v>
      </x:c>
      <x:c r="G1517" s="84" t="str">
        <x:v>Minneapolis</x:v>
      </x:c>
      <x:c r="H1517" s="84" t="str">
        <x:v>Marketplace</x:v>
      </x:c>
      <x:c r="I1517" s="84" t="str">
        <x:v>ACCS-002</x:v>
      </x:c>
      <x:c r="J1517" s="86" t="n">
        <x:v>1</x:v>
      </x:c>
      <x:c r="K1517" s="87" t="n">
        <x:v>0.15</x:v>
      </x:c>
      <x:c r="L1517" s="84" t="str">
        <x:v>Completed</x:v>
      </x:c>
      <x:c r="M1517" s="84" t="str">
        <x:v>Debit Card</x:v>
      </x:c>
      <x:c r="N1517" s="84" t="str">
        <x:v>Emma Hayes</x:v>
      </x:c>
      <x:c r="O1517" s="85" t="n">
        <x:v>45800</x:v>
      </x:c>
      <x:c r="P1517" s="84" t="str">
        <x:v>MKT_2025_05</x:v>
      </x:c>
      <x:c r="Q1517" s="84" t="str">
        <x:v>Travel Backpack </x:v>
      </x:c>
      <x:c r="R1517" s="84" t="str">
        <x:v>Accessories</x:v>
      </x:c>
    </x:row>
    <x:row r="1518">
      <x:c r="A1518" s="84" t="str">
        <x:v>ORD-2025-00050</x:v>
      </x:c>
      <x:c r="B1518" s="85" t="n">
        <x:v>45796</x:v>
      </x:c>
      <x:c r="C1518" s="84" t="str">
        <x:v>CUST-0513</x:v>
      </x:c>
      <x:c r="D1518" s="84" t="str">
        <x:v>Zara Davis</x:v>
      </x:c>
      <x:c r="E1518" s="84" t="str">
        <x:v>Small Business</x:v>
      </x:c>
      <x:c r="F1518" s="84" t="str">
        <x:v>Midwest</x:v>
      </x:c>
      <x:c r="G1518" s="84" t="str">
        <x:v>Chicago</x:v>
      </x:c>
      <x:c r="H1518" s="84" t="str">
        <x:v>Marketplace</x:v>
      </x:c>
      <x:c r="I1518" s="84" t="str">
        <x:v>ELEC-006</x:v>
      </x:c>
      <x:c r="J1518" s="86" t="n">
        <x:v>1</x:v>
      </x:c>
      <x:c r="K1518" s="87" t="n">
        <x:v>0.1</x:v>
      </x:c>
      <x:c r="L1518" s="84" t="str">
        <x:v>Completed</x:v>
      </x:c>
      <x:c r="M1518" s="84" t="str">
        <x:v>Debit Card</x:v>
      </x:c>
      <x:c r="N1518" s="84" t="str">
        <x:v>Emma Hayes</x:v>
      </x:c>
      <x:c r="O1518" s="85" t="n">
        <x:v>45803</x:v>
      </x:c>
      <x:c r="P1518" s="84" t="str">
        <x:v>MKT_2025_05</x:v>
      </x:c>
      <x:c r="Q1518" s="84" t="str">
        <x:v>Portable SSD </x:v>
      </x:c>
      <x:c r="R1518" s="84" t="str">
        <x:v>Electronics</x:v>
      </x:c>
    </x:row>
    <x:row r="1519">
      <x:c r="A1519" s="84" t="str">
        <x:v>ORD-2025-00768</x:v>
      </x:c>
      <x:c r="B1519" s="85" t="n">
        <x:v>45796</x:v>
      </x:c>
      <x:c r="C1519" s="84" t="str">
        <x:v>CUST-0419</x:v>
      </x:c>
      <x:c r="D1519" s="84" t="str">
        <x:v>Isaac Nelson </x:v>
      </x:c>
      <x:c r="E1519" s="84" t="str">
        <x:v>Consumer</x:v>
      </x:c>
      <x:c r="F1519" s="84" t="str">
        <x:v>Northeast</x:v>
      </x:c>
      <x:c r="G1519" s="84" t="str">
        <x:v>New York</x:v>
      </x:c>
      <x:c r="H1519" s="84" t="str">
        <x:v>Retail Store</x:v>
      </x:c>
      <x:c r="I1519" s="84" t="str">
        <x:v>CARE-005</x:v>
      </x:c>
      <x:c r="J1519" s="86" t="n">
        <x:v>1</x:v>
      </x:c>
      <x:c r="K1519" s="87" t="n">
        <x:v>0</x:v>
      </x:c>
      <x:c r="L1519" s="84" t="str">
        <x:v>Completed</x:v>
      </x:c>
      <x:c r="M1519" s="84" t="str">
        <x:v>Debit Card </x:v>
      </x:c>
      <x:c r="N1519" s="84" t="str">
        <x:v> SOFIA BENNETT </x:v>
      </x:c>
      <x:c r="O1519" s="85" t="n">
        <x:v>45796</x:v>
      </x:c>
      <x:c r="P1519" s="84" t="str">
        <x:v>POS_2025_05</x:v>
      </x:c>
      <x:c r="Q1519" s="84" t="str">
        <x:v>skin care starter kit</x:v>
      </x:c>
      <x:c r="R1519" s="84" t="str">
        <x:v>Personal Care</x:v>
      </x:c>
    </x:row>
    <x:row r="1520">
      <x:c r="A1520" s="84" t="str">
        <x:v>ORD-2025-01412</x:v>
      </x:c>
      <x:c r="B1520" s="85" t="n">
        <x:v>45796</x:v>
      </x:c>
      <x:c r="C1520" s="84" t="str">
        <x:v>CUST-0525</x:v>
      </x:c>
      <x:c r="D1520" s="84" t="str">
        <x:v>Daniel Carter </x:v>
      </x:c>
      <x:c r="E1520" s="84" t="str">
        <x:v>Small Business</x:v>
      </x:c>
      <x:c r="F1520" s="84" t="str">
        <x:v>Midwest</x:v>
      </x:c>
      <x:c r="G1520" s="84" t="str">
        <x:v>columbus</x:v>
      </x:c>
      <x:c r="H1520" s="84" t="str">
        <x:v>Retail Store</x:v>
      </x:c>
      <x:c r="I1520" s="84" t="str">
        <x:v>ACCS-006</x:v>
      </x:c>
      <x:c r="J1520" s="86" t="n">
        <x:v>1</x:v>
      </x:c>
      <x:c r="K1520" s="87" t="n">
        <x:v>0.2</x:v>
      </x:c>
      <x:c r="L1520" s="84" t="str">
        <x:v>completed</x:v>
      </x:c>
      <x:c r="M1520" s="84" t="str">
        <x:v>Cash </x:v>
      </x:c>
      <x:c r="N1520" s="84" t="str">
        <x:v>Emma Hayes</x:v>
      </x:c>
      <x:c r="O1520" s="85" t="n">
        <x:v>45797</x:v>
      </x:c>
      <x:c r="P1520" s="84" t="str">
        <x:v>POS_2025_05</x:v>
      </x:c>
      <x:c r="Q1520" s="84" t="str">
        <x:v>Insulated Lunch Bag</x:v>
      </x:c>
      <x:c r="R1520" s="84" t="str">
        <x:v>Accessories</x:v>
      </x:c>
    </x:row>
    <x:row r="1521">
      <x:c r="A1521" s="84" t="str">
        <x:v>ORD-2025-01777</x:v>
      </x:c>
      <x:c r="B1521" s="85" t="n">
        <x:v>45796</x:v>
      </x:c>
      <x:c r="C1521" s="84" t="str">
        <x:v>CUST-0113</x:v>
      </x:c>
      <x:c r="D1521" s="84" t="str">
        <x:v>Amelia Patel</x:v>
      </x:c>
      <x:c r="E1521" s="84" t="str">
        <x:v>Consumer</x:v>
      </x:c>
      <x:c r="F1521" s="84" t="str">
        <x:v>Southeast</x:v>
      </x:c>
      <x:c r="G1521" s="84" t="str">
        <x:v>Atlanta</x:v>
      </x:c>
      <x:c r="H1521" s="84" t="str">
        <x:v>Retail Store</x:v>
      </x:c>
      <x:c r="I1521" s="84" t="str">
        <x:v>ACCS-006</x:v>
      </x:c>
      <x:c r="J1521" s="86" t="n">
        <x:v>1</x:v>
      </x:c>
      <x:c r="K1521" s="87" t="n">
        <x:v>0.15</x:v>
      </x:c>
      <x:c r="L1521" s="84" t="str">
        <x:v>Completed </x:v>
      </x:c>
      <x:c r="M1521" s="84" t="str">
        <x:v>Credit Card</x:v>
      </x:c>
      <x:c r="N1521" s="84" t="str">
        <x:v>Liam Parker</x:v>
      </x:c>
      <x:c r="O1521" s="85" t="n">
        <x:v>45797</x:v>
      </x:c>
      <x:c r="P1521" s="84" t="str">
        <x:v>POS_2025_05</x:v>
      </x:c>
      <x:c r="Q1521" s="84" t="str">
        <x:v>Insulated Lunch Bag</x:v>
      </x:c>
      <x:c r="R1521" s="84" t="str">
        <x:v>Accessories</x:v>
      </x:c>
    </x:row>
    <x:row r="1522">
      <x:c r="A1522" s="84" t="str">
        <x:v>ORD-2025-00094</x:v>
      </x:c>
      <x:c r="B1522" s="85" t="n">
        <x:v>45797</x:v>
      </x:c>
      <x:c r="C1522" s="84" t="str">
        <x:v>CUST-0141</x:v>
      </x:c>
      <x:c r="D1522" s="84" t="str">
        <x:v>Victoria Taylor</x:v>
      </x:c>
      <x:c r="E1522" s="84" t="str">
        <x:v>Consumer</x:v>
      </x:c>
      <x:c r="F1522" s="84" t="str">
        <x:v>Midwest</x:v>
      </x:c>
      <x:c r="G1522" s="84" t="str">
        <x:v>Minneapolis</x:v>
      </x:c>
      <x:c r="H1522" s="84" t="str">
        <x:v>Retail Store </x:v>
      </x:c>
      <x:c r="I1522" s="84" t="str">
        <x:v>OFFC-005</x:v>
      </x:c>
      <x:c r="J1522" s="86" t="n">
        <x:v>3</x:v>
      </x:c>
      <x:c r="K1522" s="87" t="n">
        <x:v>0</x:v>
      </x:c>
      <x:c r="L1522" s="84" t="str">
        <x:v>Completed</x:v>
      </x:c>
      <x:c r="M1522" s="84" t="str">
        <x:v>Debit Card</x:v>
      </x:c>
      <x:c r="N1522" s="84" t="str">
        <x:v>Lucas Grant</x:v>
      </x:c>
      <x:c r="O1522" s="85" t="n">
        <x:v>45798</x:v>
      </x:c>
      <x:c r="P1522" s="84" t="str">
        <x:v>POS_2025_05</x:v>
      </x:c>
      <x:c r="Q1522" s="84" t="str">
        <x:v>Wireless Keyboard</x:v>
      </x:c>
      <x:c r="R1522" s="84" t="str">
        <x:v>Office</x:v>
      </x:c>
    </x:row>
    <x:row r="1523">
      <x:c r="A1523" s="84" t="str">
        <x:v>ORD-2025-00123</x:v>
      </x:c>
      <x:c r="B1523" s="85" t="n">
        <x:v>45797</x:v>
      </x:c>
      <x:c r="C1523" s="84" t="str">
        <x:v>CUST-0034</x:v>
      </x:c>
      <x:c r="D1523" s="84" t="str">
        <x:v>Priya Roberts</x:v>
      </x:c>
      <x:c r="E1523" s="84" t="str">
        <x:v>Consumer</x:v>
      </x:c>
      <x:c r="F1523" s="84" t="str">
        <x:v>Southeast </x:v>
      </x:c>
      <x:c r="G1523" s="84" t="str">
        <x:v>Nashville</x:v>
      </x:c>
      <x:c r="H1523" s="84" t="str">
        <x:v>Marketplace</x:v>
      </x:c>
      <x:c r="I1523" s="84" t="str">
        <x:v>OFFC-005</x:v>
      </x:c>
      <x:c r="J1523" s="86" t="n">
        <x:v>1</x:v>
      </x:c>
      <x:c r="K1523" s="87" t="n">
        <x:v>0</x:v>
      </x:c>
      <x:c r="L1523" s="84" t="str">
        <x:v>Completed</x:v>
      </x:c>
      <x:c r="M1523" s="84" t="str">
        <x:v>Credit Card</x:v>
      </x:c>
      <x:c r="N1523" s="84" t="str">
        <x:v>ava mitchell</x:v>
      </x:c>
      <x:c r="O1523" s="85" t="n">
        <x:v>45803</x:v>
      </x:c>
      <x:c r="P1523" s="84" t="str">
        <x:v>MKT_2025_05</x:v>
      </x:c>
      <x:c r="Q1523" s="84" t="str">
        <x:v> WIRELESS KEYBOARD </x:v>
      </x:c>
      <x:c r="R1523" s="84" t="str">
        <x:v>Office</x:v>
      </x:c>
    </x:row>
    <x:row r="1524">
      <x:c r="A1524" s="84" t="str">
        <x:v>ORD-2025-00413</x:v>
      </x:c>
      <x:c r="B1524" s="85" t="n">
        <x:v>45797</x:v>
      </x:c>
      <x:c r="C1524" s="84" t="str">
        <x:v>CUST-0014</x:v>
      </x:c>
      <x:c r="D1524" s="84" t="str">
        <x:v>Jonah Irwin</x:v>
      </x:c>
      <x:c r="E1524" s="84" t="str">
        <x:v>Consumer </x:v>
      </x:c>
      <x:c r="F1524" s="84" t="str">
        <x:v>Southeast</x:v>
      </x:c>
      <x:c r="G1524" s="84" t="str">
        <x:v>Miami </x:v>
      </x:c>
      <x:c r="H1524" s="84" t="str">
        <x:v>Retail Store</x:v>
      </x:c>
      <x:c r="I1524" s="84" t="str">
        <x:v>FITN-006</x:v>
      </x:c>
      <x:c r="J1524" s="86" t="n">
        <x:v>2</x:v>
      </x:c>
      <x:c r="K1524" s="87" t="n">
        <x:v>0</x:v>
      </x:c>
      <x:c r="L1524" s="84" t="str">
        <x:v> COMPLETED </x:v>
      </x:c>
      <x:c r="M1524" s="84" t="str">
        <x:v>Debit Card</x:v>
      </x:c>
      <x:c r="N1524" s="84" t="str">
        <x:v>Liam Parker</x:v>
      </x:c>
      <x:c r="O1524" s="85" t="n">
        <x:v>45797</x:v>
      </x:c>
      <x:c r="P1524" s="84" t="str">
        <x:v>POS_2025_05</x:v>
      </x:c>
      <x:c r="Q1524" s="84" t="str">
        <x:v>Foam Roller</x:v>
      </x:c>
      <x:c r="R1524" s="84" t="str">
        <x:v>Fitness</x:v>
      </x:c>
    </x:row>
    <x:row r="1525">
      <x:c r="A1525" s="84" t="str">
        <x:v>ORD-2025-01074</x:v>
      </x:c>
      <x:c r="B1525" s="85" t="n">
        <x:v>45797</x:v>
      </x:c>
      <x:c r="C1525" s="84" t="str">
        <x:v>CUST-0144</x:v>
      </x:c>
      <x:c r="D1525" s="84" t="str">
        <x:v>grace patel</x:v>
      </x:c>
      <x:c r="E1525" s="84" t="str">
        <x:v>Corporate</x:v>
      </x:c>
      <x:c r="F1525" s="84" t="str">
        <x:v>West</x:v>
      </x:c>
      <x:c r="G1525" s="84" t="str">
        <x:v>Phoenix</x:v>
      </x:c>
      <x:c r="H1525" s="84" t="str">
        <x:v>Online </x:v>
      </x:c>
      <x:c r="I1525" s="84" t="str">
        <x:v>FITN-004</x:v>
      </x:c>
      <x:c r="J1525" s="86" t="n">
        <x:v>4</x:v>
      </x:c>
      <x:c r="K1525" s="87" t="n">
        <x:v>0</x:v>
      </x:c>
      <x:c r="L1525" s="84" t="str">
        <x:v>Completed</x:v>
      </x:c>
      <x:c r="M1525" s="84" t="str">
        <x:v>Credit Card</x:v>
      </x:c>
      <x:c r="N1525" s="84" t="str">
        <x:v> NORA KIM </x:v>
      </x:c>
      <x:c r="O1525" s="85" t="n">
        <x:v>45800</x:v>
      </x:c>
      <x:c r="P1525" s="84" t="str">
        <x:v>WEB_2025_05</x:v>
      </x:c>
      <x:c r="Q1525" s="84" t="str">
        <x:v>Fitness Tracker</x:v>
      </x:c>
      <x:c r="R1525" s="84" t="str">
        <x:v>Fitness</x:v>
      </x:c>
    </x:row>
    <x:row r="1526">
      <x:c r="A1526" s="84" t="str">
        <x:v>ORD-2025-01391</x:v>
      </x:c>
      <x:c r="B1526" s="85" t="n">
        <x:v>45797</x:v>
      </x:c>
      <x:c r="C1526" s="84" t="str">
        <x:v>CUST-0531</x:v>
      </x:c>
      <x:c r="D1526" s="84" t="str">
        <x:v> GRACE ORTIZ </x:v>
      </x:c>
      <x:c r="E1526" s="84" t="str">
        <x:v>Small Business</x:v>
      </x:c>
      <x:c r="F1526" s="84" t="str">
        <x:v> NORTHEAST </x:v>
      </x:c>
      <x:c r="G1526" s="84" t="str">
        <x:v>Newark</x:v>
      </x:c>
      <x:c r="H1526" s="84" t="str">
        <x:v>Retail Store</x:v>
      </x:c>
      <x:c r="I1526" s="84" t="str">
        <x:v>FITN-003</x:v>
      </x:c>
      <x:c r="J1526" s="86" t="n">
        <x:v>1</x:v>
      </x:c>
      <x:c r="K1526" s="87" t="n">
        <x:v>0.15</x:v>
      </x:c>
      <x:c r="L1526" s="84" t="str">
        <x:v>Completed</x:v>
      </x:c>
      <x:c r="M1526" s="84" t="str">
        <x:v>Cash </x:v>
      </x:c>
      <x:c r="N1526" s="84" t="str">
        <x:v>Ethan Cole</x:v>
      </x:c>
      <x:c r="O1526" s="85" t="n">
        <x:v>45797</x:v>
      </x:c>
      <x:c r="P1526" s="84" t="str">
        <x:v>POS_2025_05</x:v>
      </x:c>
      <x:c r="Q1526" s="84" t="str">
        <x:v>Resistance Band Set</x:v>
      </x:c>
      <x:c r="R1526" s="84" t="str">
        <x:v>Fitness</x:v>
      </x:c>
    </x:row>
    <x:row r="1527">
      <x:c r="A1527" s="84" t="str">
        <x:v>ORD-2025-01473</x:v>
      </x:c>
      <x:c r="B1527" s="85" t="n">
        <x:v>45797</x:v>
      </x:c>
      <x:c r="C1527" s="84" t="str">
        <x:v>CUST-0561</x:v>
      </x:c>
      <x:c r="D1527" s="84" t="str">
        <x:v>Marcus Johnson</x:v>
      </x:c>
      <x:c r="E1527" s="84" t="str">
        <x:v>Consumer</x:v>
      </x:c>
      <x:c r="F1527" s="84" t="str">
        <x:v>Southeast</x:v>
      </x:c>
      <x:c r="G1527" s="84" t="str">
        <x:v>Nashville</x:v>
      </x:c>
      <x:c r="H1527" s="84" t="str">
        <x:v>Retail Store </x:v>
      </x:c>
      <x:c r="I1527" s="84" t="str">
        <x:v>HOME-003</x:v>
      </x:c>
      <x:c r="J1527" s="86" t="n">
        <x:v>1</x:v>
      </x:c>
      <x:c r="K1527" s="87" t="n">
        <x:v>0.05</x:v>
      </x:c>
      <x:c r="L1527" s="84" t="str">
        <x:v>Completed</x:v>
      </x:c>
      <x:c r="M1527" s="84" t="str">
        <x:v> MOBILE WALLET </x:v>
      </x:c>
      <x:c r="N1527" s="84" t="str">
        <x:v>Liam Parker</x:v>
      </x:c>
      <x:c r="O1527" s="85" t="n">
        <x:v>45797</x:v>
      </x:c>
      <x:c r="P1527" s="84" t="str">
        <x:v>POS_2025_05</x:v>
      </x:c>
      <x:c r="Q1527" s="84" t="str">
        <x:v>Countertop Blender</x:v>
      </x:c>
      <x:c r="R1527" s="84" t="str">
        <x:v>Home &amp; Kitchen</x:v>
      </x:c>
    </x:row>
    <x:row r="1528">
      <x:c r="A1528" s="84" t="str">
        <x:v>ORD-2025-02157</x:v>
      </x:c>
      <x:c r="B1528" s="85" t="n">
        <x:v>45797</x:v>
      </x:c>
      <x:c r="C1528" s="84" t="str">
        <x:v>CUST-0378</x:v>
      </x:c>
      <x:c r="D1528" s="84" t="str">
        <x:v>Victoria Nelson</x:v>
      </x:c>
      <x:c r="E1528" s="84" t="str">
        <x:v>Consumer</x:v>
      </x:c>
      <x:c r="F1528" s="84" t="str">
        <x:v>Midwest</x:v>
      </x:c>
      <x:c r="G1528" s="84" t="str">
        <x:v>Chicago</x:v>
      </x:c>
      <x:c r="H1528" s="84" t="str">
        <x:v>Online</x:v>
      </x:c>
      <x:c r="I1528" s="84" t="str">
        <x:v>FITN-003</x:v>
      </x:c>
      <x:c r="J1528" s="86" t="n">
        <x:v>3</x:v>
      </x:c>
      <x:c r="K1528" s="87" t="n">
        <x:v>0.1</x:v>
      </x:c>
      <x:c r="L1528" s="84" t="str">
        <x:v>Completed</x:v>
      </x:c>
      <x:c r="M1528" s="84" t="str">
        <x:v>Mobile Wallet</x:v>
      </x:c>
      <x:c r="N1528" s="84" t="str">
        <x:v>Emma Hayes</x:v>
      </x:c>
      <x:c r="O1528" s="85" t="n">
        <x:v>45799</x:v>
      </x:c>
      <x:c r="P1528" s="84" t="str">
        <x:v>WEB_2025_05</x:v>
      </x:c>
      <x:c r="Q1528" s="84" t="str">
        <x:v>Resistance Band Set </x:v>
      </x:c>
      <x:c r="R1528" s="84" t="str">
        <x:v> FITNESS </x:v>
      </x:c>
    </x:row>
    <x:row r="1529">
      <x:c r="A1529" s="84" t="str">
        <x:v>ORD-2025-00966</x:v>
      </x:c>
      <x:c r="B1529" s="85" t="n">
        <x:v>45798</x:v>
      </x:c>
      <x:c r="C1529" s="84" t="str">
        <x:v>CUST-0613</x:v>
      </x:c>
      <x:c r="D1529" s="84" t="str">
        <x:v> OWEN HALL </x:v>
      </x:c>
      <x:c r="E1529" s="84" t="str">
        <x:v>Consumer </x:v>
      </x:c>
      <x:c r="F1529" s="84" t="str">
        <x:v> SOUTHEAST </x:v>
      </x:c>
      <x:c r="G1529" s="84" t="str">
        <x:v>Nashville </x:v>
      </x:c>
      <x:c r="H1529" s="84" t="str">
        <x:v>Retail Store</x:v>
      </x:c>
      <x:c r="I1529" s="84" t="str">
        <x:v>ELEC-002</x:v>
      </x:c>
      <x:c r="J1529" s="86" t="n">
        <x:v>1</x:v>
      </x:c>
      <x:c r="K1529" s="87" t="n">
        <x:v>0</x:v>
      </x:c>
      <x:c r="L1529" s="84" t="str">
        <x:v>Completed</x:v>
      </x:c>
      <x:c r="M1529" s="84" t="str">
        <x:v>Cash</x:v>
      </x:c>
      <x:c r="N1529" s="84" t="str">
        <x:v>Liam Parker</x:v>
      </x:c>
      <x:c r="O1529" s="85" t="n">
        <x:v>45798</x:v>
      </x:c>
      <x:c r="P1529" s="84" t="str">
        <x:v>POS_2025_05</x:v>
      </x:c>
      <x:c r="Q1529" s="84" t="str">
        <x:v>smartwatch</x:v>
      </x:c>
      <x:c r="R1529" s="84" t="str">
        <x:v>Electronics</x:v>
      </x:c>
    </x:row>
    <x:row r="1530">
      <x:c r="A1530" s="84" t="str">
        <x:v>ORD-2025-01307</x:v>
      </x:c>
      <x:c r="B1530" s="85" t="n">
        <x:v>45798</x:v>
      </x:c>
      <x:c r="C1530" s="84" t="str">
        <x:v>CUST-0096</x:v>
      </x:c>
      <x:c r="D1530" s="84" t="str">
        <x:v>Nina Irwin </x:v>
      </x:c>
      <x:c r="E1530" s="84" t="str">
        <x:v>Consumer</x:v>
      </x:c>
      <x:c r="F1530" s="84" t="str">
        <x:v>Southeast</x:v>
      </x:c>
      <x:c r="G1530" s="84" t="str">
        <x:v>Miami</x:v>
      </x:c>
      <x:c r="H1530" s="84" t="str">
        <x:v>Marketplace</x:v>
      </x:c>
      <x:c r="I1530" s="84" t="str">
        <x:v>ACCS-005</x:v>
      </x:c>
      <x:c r="J1530" s="86" t="n">
        <x:v>3</x:v>
      </x:c>
      <x:c r="K1530" s="87" t="n">
        <x:v>0</x:v>
      </x:c>
      <x:c r="L1530" s="84" t="str">
        <x:v>Completed</x:v>
      </x:c>
      <x:c r="M1530" s="84" t="str">
        <x:v>Credit Card </x:v>
      </x:c>
      <x:c r="N1530" s="84" t="str">
        <x:v>Ava Mitchell</x:v>
      </x:c>
      <x:c r="O1530" s="85" t="n">
        <x:v>45806</x:v>
      </x:c>
      <x:c r="P1530" s="84" t="str">
        <x:v>MKT_2025_05</x:v>
      </x:c>
      <x:c r="Q1530" s="84" t="str">
        <x:v>protective phone case</x:v>
      </x:c>
      <x:c r="R1530" s="84" t="str">
        <x:v> ACCESSORIES </x:v>
      </x:c>
    </x:row>
    <x:row r="1531">
      <x:c r="A1531" s="84" t="str">
        <x:v>ORD-2025-01988</x:v>
      </x:c>
      <x:c r="B1531" s="85" t="n">
        <x:v>45798</x:v>
      </x:c>
      <x:c r="C1531" s="84" t="str">
        <x:v>CUST-0508</x:v>
      </x:c>
      <x:c r="D1531" s="84" t="str">
        <x:v>Nina Smith</x:v>
      </x:c>
      <x:c r="E1531" s="84" t="str">
        <x:v>Consumer </x:v>
      </x:c>
      <x:c r="F1531" s="84" t="str">
        <x:v>west</x:v>
      </x:c>
      <x:c r="G1531" s="84" t="str">
        <x:v>Denver </x:v>
      </x:c>
      <x:c r="H1531" s="84" t="str">
        <x:v>Marketplace</x:v>
      </x:c>
      <x:c r="I1531" s="84" t="str">
        <x:v>ACCS-005</x:v>
      </x:c>
      <x:c r="J1531" s="86" t="n">
        <x:v>3</x:v>
      </x:c>
      <x:c r="K1531" s="87" t="n">
        <x:v>0.1</x:v>
      </x:c>
      <x:c r="L1531" s="84" t="str">
        <x:v>Completed</x:v>
      </x:c>
      <x:c r="M1531" s="84" t="str">
        <x:v>Credit Card</x:v>
      </x:c>
      <x:c r="N1531" s="84" t="str">
        <x:v>Nora Kim</x:v>
      </x:c>
      <x:c r="O1531" s="85" t="n">
        <x:v>45802</x:v>
      </x:c>
      <x:c r="P1531" s="84" t="str">
        <x:v>MKT_2025_05</x:v>
      </x:c>
      <x:c r="Q1531" s="84" t="str">
        <x:v>Protective Phone Case</x:v>
      </x:c>
      <x:c r="R1531" s="84" t="str">
        <x:v>Accessories</x:v>
      </x:c>
    </x:row>
    <x:row r="1532">
      <x:c r="A1532" s="84" t="str">
        <x:v>ORD-2025-02140</x:v>
      </x:c>
      <x:c r="B1532" s="85" t="n">
        <x:v>45798</x:v>
      </x:c>
      <x:c r="C1532" s="84" t="str">
        <x:v>CUST-0585</x:v>
      </x:c>
      <x:c r="D1532" s="84" t="str">
        <x:v>Isaac Patel </x:v>
      </x:c>
      <x:c r="E1532" s="84" t="str">
        <x:v>Consumer</x:v>
      </x:c>
      <x:c r="F1532" s="84" t="str">
        <x:v>Northeast</x:v>
      </x:c>
      <x:c r="G1532" s="84" t="str">
        <x:v>New York</x:v>
      </x:c>
      <x:c r="H1532" s="84" t="str">
        <x:v>Online</x:v>
      </x:c>
      <x:c r="I1532" s="84" t="str">
        <x:v>HOME-005</x:v>
      </x:c>
      <x:c r="J1532" s="86" t="n">
        <x:v>1</x:v>
      </x:c>
      <x:c r="K1532" s="87" t="n">
        <x:v>0.1</x:v>
      </x:c>
      <x:c r="L1532" s="84" t="str">
        <x:v>Completed</x:v>
      </x:c>
      <x:c r="M1532" s="84" t="str">
        <x:v>Credit Card </x:v>
      </x:c>
      <x:c r="N1532" s="84" t="str">
        <x:v>Sofia Bennett</x:v>
      </x:c>
      <x:c r="O1532" s="85" t="n">
        <x:v>45802</x:v>
      </x:c>
      <x:c r="P1532" s="84" t="str">
        <x:v>WEB_2025_05</x:v>
      </x:c>
      <x:c r="Q1532" s="84" t="str">
        <x:v>Cordless Vacuum</x:v>
      </x:c>
      <x:c r="R1532" s="84" t="str">
        <x:v> HOME &amp; KITCHEN </x:v>
      </x:c>
    </x:row>
    <x:row r="1533">
      <x:c r="A1533" s="84" t="str">
        <x:v>ORD-2025-02160</x:v>
      </x:c>
      <x:c r="B1533" s="85" t="n">
        <x:v>45798</x:v>
      </x:c>
      <x:c r="C1533" s="84" t="str">
        <x:v>CUST-0195</x:v>
      </x:c>
      <x:c r="D1533" s="84" t="str">
        <x:v>Aiden Carter</x:v>
      </x:c>
      <x:c r="E1533" s="84" t="str">
        <x:v>Corporate</x:v>
      </x:c>
      <x:c r="F1533" s="84" t="str">
        <x:v>Northeast </x:v>
      </x:c>
      <x:c r="G1533" s="84" t="str">
        <x:v>new york</x:v>
      </x:c>
      <x:c r="H1533" s="84" t="str">
        <x:v>Marketplace</x:v>
      </x:c>
      <x:c r="I1533" s="84" t="str">
        <x:v>OFFC-003</x:v>
      </x:c>
      <x:c r="J1533" s="86" t="n">
        <x:v>2</x:v>
      </x:c>
      <x:c r="K1533" s="87" t="n">
        <x:v>0.2</x:v>
      </x:c>
      <x:c r="L1533" s="84" t="str">
        <x:v>completed</x:v>
      </x:c>
      <x:c r="M1533" s="84" t="str">
        <x:v>Mobile Wallet</x:v>
      </x:c>
      <x:c r="N1533" s="84" t="str">
        <x:v>Maya Brooks </x:v>
      </x:c>
      <x:c r="O1533" s="85" t="n">
        <x:v>45805</x:v>
      </x:c>
      <x:c r="P1533" s="84" t="str">
        <x:v>MKT_2025_05</x:v>
      </x:c>
      <x:c r="Q1533" s="84" t="str">
        <x:v>LED Desk Lamp</x:v>
      </x:c>
      <x:c r="R1533" s="84" t="str">
        <x:v>Office</x:v>
      </x:c>
    </x:row>
    <x:row r="1534">
      <x:c r="A1534" s="84" t="str">
        <x:v>ORD-2025-02298</x:v>
      </x:c>
      <x:c r="B1534" s="85" t="n">
        <x:v>45798</x:v>
      </x:c>
      <x:c r="C1534" s="84" t="str">
        <x:v>CUST-0372</x:v>
      </x:c>
      <x:c r="D1534" s="84" t="str">
        <x:v>Owen Baker</x:v>
      </x:c>
      <x:c r="E1534" s="84" t="str">
        <x:v>Small Business</x:v>
      </x:c>
      <x:c r="F1534" s="84" t="str">
        <x:v>Midwest</x:v>
      </x:c>
      <x:c r="G1534" s="84" t="str">
        <x:v>Detroit</x:v>
      </x:c>
      <x:c r="H1534" s="84" t="str">
        <x:v>Online</x:v>
      </x:c>
      <x:c r="I1534" s="84" t="str">
        <x:v>ELEC-002</x:v>
      </x:c>
      <x:c r="J1534" s="86" t="n">
        <x:v>3</x:v>
      </x:c>
      <x:c r="K1534" s="87" t="n">
        <x:v>0</x:v>
      </x:c>
      <x:c r="L1534" s="84" t="str">
        <x:v>Completed</x:v>
      </x:c>
      <x:c r="M1534" s="84" t="str">
        <x:v>mobile wallet</x:v>
      </x:c>
      <x:c r="N1534" s="84" t="str">
        <x:v> ZOE TURNER </x:v>
      </x:c>
      <x:c r="O1534" s="85" t="n">
        <x:v>45804</x:v>
      </x:c>
      <x:c r="P1534" s="84" t="str">
        <x:v>WEB_2025_05</x:v>
      </x:c>
      <x:c r="Q1534" s="84" t="str">
        <x:v>Smartwatch</x:v>
      </x:c>
      <x:c r="R1534" s="84" t="str">
        <x:v>Electronics </x:v>
      </x:c>
    </x:row>
    <x:row r="1535">
      <x:c r="A1535" s="84" t="str">
        <x:v>ORD-2025-01733</x:v>
      </x:c>
      <x:c r="B1535" s="85" t="n">
        <x:v>45799</x:v>
      </x:c>
      <x:c r="C1535" s="84" t="str">
        <x:v>CUST-0170</x:v>
      </x:c>
      <x:c r="D1535" s="84" t="str">
        <x:v>Victoria Garcia</x:v>
      </x:c>
      <x:c r="E1535" s="84" t="str">
        <x:v>Small Business</x:v>
      </x:c>
      <x:c r="F1535" s="84" t="str">
        <x:v>West </x:v>
      </x:c>
      <x:c r="G1535" s="84" t="str">
        <x:v>Seattle</x:v>
      </x:c>
      <x:c r="H1535" s="84" t="str">
        <x:v>Retail Store</x:v>
      </x:c>
      <x:c r="I1535" s="84" t="str">
        <x:v>HOME-003</x:v>
      </x:c>
      <x:c r="J1535" s="86" t="n">
        <x:v>1</x:v>
      </x:c>
      <x:c r="K1535" s="87" t="n">
        <x:v>0.05</x:v>
      </x:c>
      <x:c r="L1535" s="84" t="str">
        <x:v>Completed</x:v>
      </x:c>
      <x:c r="M1535" s="84" t="str">
        <x:v>Credit Card</x:v>
      </x:c>
      <x:c r="N1535" s="84" t="str">
        <x:v>Leo Martinez </x:v>
      </x:c>
      <x:c r="O1535" s="85" t="n">
        <x:v>45799</x:v>
      </x:c>
      <x:c r="P1535" s="84" t="str">
        <x:v>POS_2025_05</x:v>
      </x:c>
      <x:c r="Q1535" s="84" t="str">
        <x:v>Countertop Blender</x:v>
      </x:c>
      <x:c r="R1535" s="84" t="str">
        <x:v>Home &amp; Kitchen</x:v>
      </x:c>
    </x:row>
    <x:row r="1536">
      <x:c r="A1536" s="84" t="str">
        <x:v>ORD-2025-00525</x:v>
      </x:c>
      <x:c r="B1536" s="85" t="n">
        <x:v>45800</x:v>
      </x:c>
      <x:c r="C1536" s="84" t="str">
        <x:v>CUST-0043</x:v>
      </x:c>
      <x:c r="D1536" s="84" t="str">
        <x:v>Nina Hall</x:v>
      </x:c>
      <x:c r="E1536" s="84" t="str">
        <x:v>Consumer </x:v>
      </x:c>
      <x:c r="F1536" s="84" t="str">
        <x:v>northeast</x:v>
      </x:c>
      <x:c r="G1536" s="84" t="str">
        <x:v>Philadelphia </x:v>
      </x:c>
      <x:c r="H1536" s="84" t="str">
        <x:v>Retail Store</x:v>
      </x:c>
      <x:c r="I1536" s="84" t="str">
        <x:v>ELEC-006</x:v>
      </x:c>
      <x:c r="J1536" s="86" t="n">
        <x:v>1</x:v>
      </x:c>
      <x:c r="K1536" s="87" t="n">
        <x:v>0.1</x:v>
      </x:c>
      <x:c r="L1536" s="84" t="str">
        <x:v>Completed</x:v>
      </x:c>
      <x:c r="M1536" s="84" t="str">
        <x:v>Debit Card</x:v>
      </x:c>
      <x:c r="N1536" s="84" t="str">
        <x:v>Sofia Bennett</x:v>
      </x:c>
      <x:c r="O1536" s="85" t="n">
        <x:v>45801</x:v>
      </x:c>
      <x:c r="P1536" s="84" t="str">
        <x:v>POS_2025_05</x:v>
      </x:c>
      <x:c r="Q1536" s="84" t="str">
        <x:v>Portable SSD</x:v>
      </x:c>
      <x:c r="R1536" s="84" t="str">
        <x:v> ELECTRONICS </x:v>
      </x:c>
    </x:row>
    <x:row r="1537">
      <x:c r="A1537" s="84" t="str">
        <x:v>ORD-2025-01456</x:v>
      </x:c>
      <x:c r="B1537" s="85" t="n">
        <x:v>45800</x:v>
      </x:c>
      <x:c r="C1537" s="84" t="str">
        <x:v>CUST-0521</x:v>
      </x:c>
      <x:c r="D1537" s="84" t="str">
        <x:v>Theo Garcia</x:v>
      </x:c>
      <x:c r="E1537" s="84" t="str">
        <x:v>Consumer </x:v>
      </x:c>
      <x:c r="F1537" s="84" t="str">
        <x:v>West</x:v>
      </x:c>
      <x:c r="G1537" s="84" t="str">
        <x:v>denver</x:v>
      </x:c>
      <x:c r="H1537" s="84" t="str">
        <x:v>Retail Store</x:v>
      </x:c>
      <x:c r="I1537" s="84" t="str">
        <x:v>OFFC-001</x:v>
      </x:c>
      <x:c r="J1537" s="86" t="n">
        <x:v>4</x:v>
      </x:c>
      <x:c r="K1537" s="87" t="n">
        <x:v>0</x:v>
      </x:c>
      <x:c r="L1537" s="84" t="str">
        <x:v>completed</x:v>
      </x:c>
      <x:c r="M1537" s="84" t="str">
        <x:v> MOBILE WALLET </x:v>
      </x:c>
      <x:c r="N1537" s="84" t="str">
        <x:v>Mia Chen</x:v>
      </x:c>
      <x:c r="O1537" s="85" t="n">
        <x:v>45801</x:v>
      </x:c>
      <x:c r="P1537" s="84" t="str">
        <x:v>POS_2025_05</x:v>
      </x:c>
      <x:c r="Q1537" s="84" t="str">
        <x:v>Ergonomic Chair</x:v>
      </x:c>
      <x:c r="R1537" s="84" t="str">
        <x:v>Office</x:v>
      </x:c>
    </x:row>
    <x:row r="1538">
      <x:c r="A1538" s="84" t="str">
        <x:v>ORD-2025-01456</x:v>
      </x:c>
      <x:c r="B1538" s="85" t="n">
        <x:v>45800</x:v>
      </x:c>
      <x:c r="C1538" s="84" t="str">
        <x:v>CUST-0521</x:v>
      </x:c>
      <x:c r="D1538" s="84" t="str">
        <x:v>Theo Garcia</x:v>
      </x:c>
      <x:c r="E1538" s="84" t="str">
        <x:v>Consumer </x:v>
      </x:c>
      <x:c r="F1538" s="84" t="str">
        <x:v>West</x:v>
      </x:c>
      <x:c r="G1538" s="84" t="str">
        <x:v>denver</x:v>
      </x:c>
      <x:c r="H1538" s="84" t="str">
        <x:v>Retail Store</x:v>
      </x:c>
      <x:c r="I1538" s="84" t="str">
        <x:v>OFFC-001</x:v>
      </x:c>
      <x:c r="J1538" s="86" t="n">
        <x:v>4</x:v>
      </x:c>
      <x:c r="K1538" s="87" t="n">
        <x:v>0</x:v>
      </x:c>
      <x:c r="L1538" s="84" t="str">
        <x:v>completed</x:v>
      </x:c>
      <x:c r="M1538" s="84" t="str">
        <x:v> MOBILE WALLET </x:v>
      </x:c>
      <x:c r="N1538" s="84" t="str">
        <x:v>Mia Chen</x:v>
      </x:c>
      <x:c r="O1538" s="85" t="n">
        <x:v>45801</x:v>
      </x:c>
      <x:c r="P1538" s="84" t="str">
        <x:v>RELOAD_POS_2025_05</x:v>
      </x:c>
      <x:c r="Q1538" s="84" t="str">
        <x:v>Ergonomic Chair</x:v>
      </x:c>
      <x:c r="R1538" s="84" t="str">
        <x:v>Office</x:v>
      </x:c>
    </x:row>
    <x:row r="1539">
      <x:c r="A1539" s="84" t="str">
        <x:v>ORD-2025-02279</x:v>
      </x:c>
      <x:c r="B1539" s="85" t="n">
        <x:v>45800</x:v>
      </x:c>
      <x:c r="C1539" s="84" t="str">
        <x:v>CUST-0064</x:v>
      </x:c>
      <x:c r="D1539" s="84" t="str">
        <x:v>Nina Walker</x:v>
      </x:c>
      <x:c r="E1539" s="84" t="str">
        <x:v>Consumer</x:v>
      </x:c>
      <x:c r="F1539" s="84" t="str">
        <x:v>Midwest </x:v>
      </x:c>
      <x:c r="G1539" s="84" t="str">
        <x:v>Columbus</x:v>
      </x:c>
      <x:c r="H1539" s="84" t="str">
        <x:v>Retail Store</x:v>
      </x:c>
      <x:c r="I1539" s="84" t="str">
        <x:v>OFFC-002</x:v>
      </x:c>
      <x:c r="J1539" s="86" t="n">
        <x:v>3</x:v>
      </x:c>
      <x:c r="K1539" s="87" t="n">
        <x:v>0</x:v>
      </x:c>
      <x:c r="L1539" s="84" t="str">
        <x:v>Completed</x:v>
      </x:c>
      <x:c r="M1539" s="84" t="str">
        <x:v>Debit Card</x:v>
      </x:c>
      <x:c r="N1539" s="84" t="str">
        <x:v>zoe turner</x:v>
      </x:c>
      <x:c r="O1539" s="85" t="n">
        <x:v>45800</x:v>
      </x:c>
      <x:c r="P1539" s="84" t="str">
        <x:v>POS_2025_05</x:v>
      </x:c>
      <x:c r="Q1539" s="84" t="str">
        <x:v>Standing Desk</x:v>
      </x:c>
      <x:c r="R1539" s="84" t="str">
        <x:v>Office</x:v>
      </x:c>
    </x:row>
    <x:row r="1540">
      <x:c r="A1540" s="84" t="str">
        <x:v>ORD-2025-00251</x:v>
      </x:c>
      <x:c r="B1540" s="85" t="n">
        <x:v>45801</x:v>
      </x:c>
      <x:c r="C1540" s="84" t="str">
        <x:v>CUST-0192</x:v>
      </x:c>
      <x:c r="D1540" s="84" t="str">
        <x:v>Caleb Young</x:v>
      </x:c>
      <x:c r="E1540" s="84" t="str">
        <x:v>Corporate</x:v>
      </x:c>
      <x:c r="F1540" s="84" t="str">
        <x:v>West</x:v>
      </x:c>
      <x:c r="G1540" s="84" t="str">
        <x:v>Seattle</x:v>
      </x:c>
      <x:c r="H1540" s="84" t="str">
        <x:v>Marketplace</x:v>
      </x:c>
      <x:c r="I1540" s="84" t="str">
        <x:v>ELEC-004</x:v>
      </x:c>
      <x:c r="J1540" s="86" t="n">
        <x:v>2</x:v>
      </x:c>
      <x:c r="K1540" s="87" t="n">
        <x:v>0.05</x:v>
      </x:c>
      <x:c r="L1540" s="84" t="str">
        <x:v>Completed </x:v>
      </x:c>
      <x:c r="M1540" s="84" t="str">
        <x:v>Debit Card</x:v>
      </x:c>
      <x:c r="N1540" s="84" t="str">
        <x:v>Mia Chen</x:v>
      </x:c>
      <x:c r="O1540" s="85" t="n">
        <x:v>45806</x:v>
      </x:c>
      <x:c r="P1540" s="84" t="str">
        <x:v>MKT_2025_05</x:v>
      </x:c>
      <x:c r="Q1540" s="84" t="str">
        <x:v>power bank</x:v>
      </x:c>
      <x:c r="R1540" s="84" t="str">
        <x:v>Electronics</x:v>
      </x:c>
    </x:row>
    <x:row r="1541">
      <x:c r="A1541" s="84" t="str">
        <x:v>ORD-2025-02044</x:v>
      </x:c>
      <x:c r="B1541" s="85" t="n">
        <x:v>45801</x:v>
      </x:c>
      <x:c r="C1541" s="84" t="str">
        <x:v>CUST-0513</x:v>
      </x:c>
      <x:c r="D1541" s="84" t="str">
        <x:v>Zara Davis</x:v>
      </x:c>
      <x:c r="E1541" s="84" t="str">
        <x:v>Small Business </x:v>
      </x:c>
      <x:c r="F1541" s="84" t="str">
        <x:v>Midwest</x:v>
      </x:c>
      <x:c r="G1541" s="84" t="str">
        <x:v>Chicago </x:v>
      </x:c>
      <x:c r="H1541" s="84" t="str">
        <x:v>Marketplace</x:v>
      </x:c>
      <x:c r="I1541" s="84" t="str">
        <x:v>ACCS-005</x:v>
      </x:c>
      <x:c r="J1541" s="86" t="n">
        <x:v>1</x:v>
      </x:c>
      <x:c r="K1541" s="87" t="n">
        <x:v>0.15</x:v>
      </x:c>
      <x:c r="L1541" s="84" t="str">
        <x:v>Completed</x:v>
      </x:c>
      <x:c r="M1541" s="84" t="str">
        <x:v>Credit Card</x:v>
      </x:c>
      <x:c r="N1541" s="84" t="str">
        <x:v>Lucas Grant</x:v>
      </x:c>
      <x:c r="O1541" s="85" t="n">
        <x:v>45806</x:v>
      </x:c>
      <x:c r="P1541" s="84" t="str">
        <x:v>MKT_2025_05</x:v>
      </x:c>
      <x:c r="Q1541" s="84" t="str">
        <x:v> PROTECTIVE PHONE CASE </x:v>
      </x:c>
      <x:c r="R1541" s="84" t="str">
        <x:v>Accessories</x:v>
      </x:c>
    </x:row>
    <x:row r="1542">
      <x:c r="A1542" s="84" t="str">
        <x:v>ORD-2025-00924</x:v>
      </x:c>
      <x:c r="B1542" s="85" t="n">
        <x:v>45802</x:v>
      </x:c>
      <x:c r="C1542" s="84" t="str">
        <x:v>CUST-0532</x:v>
      </x:c>
      <x:c r="D1542" s="84" t="str">
        <x:v>Elena Hall</x:v>
      </x:c>
      <x:c r="E1542" s="84" t="str">
        <x:v>small business</x:v>
      </x:c>
      <x:c r="F1542" s="84" t="str">
        <x:v>Southeast</x:v>
      </x:c>
      <x:c r="G1542" s="84" t="str">
        <x:v>Charlotte </x:v>
      </x:c>
      <x:c r="H1542" s="84" t="str">
        <x:v> RETAIL STORE </x:v>
      </x:c>
      <x:c r="I1542" s="84" t="str">
        <x:v>CARE-004</x:v>
      </x:c>
      <x:c r="J1542" s="86" t="n">
        <x:v>1</x:v>
      </x:c>
      <x:c r="K1542" s="87" t="n">
        <x:v>0</x:v>
      </x:c>
      <x:c r="L1542" s="84" t="str">
        <x:v>Completed</x:v>
      </x:c>
      <x:c r="M1542" s="84" t="str">
        <x:v>Cash</x:v>
      </x:c>
      <x:c r="N1542" s="84" t="str">
        <x:v>Noah Reed</x:v>
      </x:c>
      <x:c r="O1542" s="85" t="n">
        <x:v>45802</x:v>
      </x:c>
      <x:c r="P1542" s="84" t="str">
        <x:v>POS_2025_05</x:v>
      </x:c>
      <x:c r="Q1542" s="84" t="str">
        <x:v>Electric Toothbrush</x:v>
      </x:c>
      <x:c r="R1542" s="84" t="str">
        <x:v>Personal Care</x:v>
      </x:c>
    </x:row>
    <x:row r="1543">
      <x:c r="A1543" s="84" t="str">
        <x:v>ORD-2025-01749</x:v>
      </x:c>
      <x:c r="B1543" s="85" t="n">
        <x:v>45802</x:v>
      </x:c>
      <x:c r="C1543" s="84" t="str">
        <x:v>CUST-0056</x:v>
      </x:c>
      <x:c r="D1543" s="84" t="str">
        <x:v>Priya Baker</x:v>
      </x:c>
      <x:c r="E1543" s="84" t="str">
        <x:v>consumer</x:v>
      </x:c>
      <x:c r="F1543" s="84" t="str">
        <x:v>Southeast</x:v>
      </x:c>
      <x:c r="G1543" s="84" t="str">
        <x:v>Charlotte</x:v>
      </x:c>
      <x:c r="H1543" s="84" t="str">
        <x:v>marketplace</x:v>
      </x:c>
      <x:c r="I1543" s="84" t="str">
        <x:v>HOME-001</x:v>
      </x:c>
      <x:c r="J1543" s="86" t="n">
        <x:v>1</x:v>
      </x:c>
      <x:c r="K1543" s="87" t="n">
        <x:v>0.1</x:v>
      </x:c>
      <x:c r="L1543" s="84" t="str">
        <x:v>Completed </x:v>
      </x:c>
      <x:c r="M1543" s="84" t="str">
        <x:v>Credit Card</x:v>
      </x:c>
      <x:c r="N1543" s="84" t="str">
        <x:v>Noah Reed</x:v>
      </x:c>
      <x:c r="O1543" s="85" t="n">
        <x:v>45809</x:v>
      </x:c>
      <x:c r="P1543" s="84" t="str">
        <x:v>MKT_2025_05</x:v>
      </x:c>
      <x:c r="Q1543" s="84" t="str">
        <x:v>Air Fryer</x:v>
      </x:c>
      <x:c r="R1543" s="84" t="str">
        <x:v> HOME &amp; KITCHEN </x:v>
      </x:c>
    </x:row>
    <x:row r="1544">
      <x:c r="A1544" s="84" t="str">
        <x:v>ORD-2025-02336</x:v>
      </x:c>
      <x:c r="B1544" s="85" t="n">
        <x:v>45802</x:v>
      </x:c>
      <x:c r="C1544" s="84" t="str">
        <x:v>CUST-0105</x:v>
      </x:c>
      <x:c r="D1544" s="84" t="str">
        <x:v>Chloe Ortiz </x:v>
      </x:c>
      <x:c r="E1544" s="84" t="str">
        <x:v>Corporate</x:v>
      </x:c>
      <x:c r="F1544" s="84" t="str">
        <x:v>West</x:v>
      </x:c>
      <x:c r="G1544" s="84" t="str">
        <x:v>phoenix</x:v>
      </x:c>
      <x:c r="H1544" s="84" t="str">
        <x:v>Marketplace</x:v>
      </x:c>
      <x:c r="I1544" s="84" t="str">
        <x:v>HOME-002</x:v>
      </x:c>
      <x:c r="J1544" s="86" t="n">
        <x:v>3</x:v>
      </x:c>
      <x:c r="K1544" s="87" t="n">
        <x:v>0</x:v>
      </x:c>
      <x:c r="L1544" s="84" t="str">
        <x:v>completed</x:v>
      </x:c>
      <x:c r="M1544" s="84" t="str">
        <x:v>PayPal </x:v>
      </x:c>
      <x:c r="N1544" s="84" t="str">
        <x:v>Leo Martinez</x:v>
      </x:c>
      <x:c r="O1544" s="85" t="n">
        <x:v>45805</x:v>
      </x:c>
      <x:c r="P1544" s="84" t="str">
        <x:v>MKT_2025_05</x:v>
      </x:c>
      <x:c r="Q1544" s="84" t="str">
        <x:v>Electric Kettle</x:v>
      </x:c>
      <x:c r="R1544" s="84" t="str">
        <x:v>Home &amp; Kitchen</x:v>
      </x:c>
    </x:row>
    <x:row r="1545">
      <x:c r="A1545" s="84" t="str">
        <x:v>ORD-2025-00630</x:v>
      </x:c>
      <x:c r="B1545" s="85" t="n">
        <x:v>45803</x:v>
      </x:c>
      <x:c r="C1545" s="84" t="str">
        <x:v>CUST-0535</x:v>
      </x:c>
      <x:c r="D1545" s="84" t="str">
        <x:v>Caleb Walker</x:v>
      </x:c>
      <x:c r="E1545" s="84" t="str">
        <x:v>Corporate </x:v>
      </x:c>
      <x:c r="F1545" s="84" t="str">
        <x:v>Southeast</x:v>
      </x:c>
      <x:c r="G1545" s="84" t="str">
        <x:v>Miami </x:v>
      </x:c>
      <x:c r="H1545" s="84" t="str">
        <x:v>Marketplace</x:v>
      </x:c>
      <x:c r="I1545" s="84" t="str">
        <x:v>ACCS-002</x:v>
      </x:c>
      <x:c r="J1545" s="86" t="n">
        <x:v>4</x:v>
      </x:c>
      <x:c r="K1545" s="87" t="n">
        <x:v>0.1</x:v>
      </x:c>
      <x:c r="L1545" s="84" t="str">
        <x:v>Completed</x:v>
      </x:c>
      <x:c r="M1545" s="84" t="str">
        <x:v>Mobile Wallet</x:v>
      </x:c>
      <x:c r="N1545" s="84" t="str">
        <x:v>Liam Parker</x:v>
      </x:c>
      <x:c r="O1545" s="85" t="n">
        <x:v>45809</x:v>
      </x:c>
      <x:c r="P1545" s="84" t="str">
        <x:v>MKT_2025_05</x:v>
      </x:c>
      <x:c r="Q1545" s="84" t="str">
        <x:v>Travel Backpack</x:v>
      </x:c>
      <x:c r="R1545" s="84" t="str">
        <x:v>accessories</x:v>
      </x:c>
    </x:row>
    <x:row r="1546">
      <x:c r="A1546" s="84" t="str">
        <x:v>ORD-2025-00782</x:v>
      </x:c>
      <x:c r="B1546" s="85" t="n">
        <x:v>45803</x:v>
      </x:c>
      <x:c r="C1546" s="84" t="str">
        <x:v>CUST-0020</x:v>
      </x:c>
      <x:c r="D1546" s="84" t="str">
        <x:v>Elias Ortiz </x:v>
      </x:c>
      <x:c r="E1546" s="84" t="str">
        <x:v> CONSUMER </x:v>
      </x:c>
      <x:c r="F1546" s="84" t="str">
        <x:v>Southeast</x:v>
      </x:c>
      <x:c r="G1546" s="84" t="str">
        <x:v>Miami</x:v>
      </x:c>
      <x:c r="H1546" s="84" t="str">
        <x:v>Online</x:v>
      </x:c>
      <x:c r="I1546" s="84" t="str">
        <x:v>ACCS-006</x:v>
      </x:c>
      <x:c r="J1546" s="86" t="n">
        <x:v>1</x:v>
      </x:c>
      <x:c r="K1546" s="87" t="n">
        <x:v>0.05</x:v>
      </x:c>
      <x:c r="L1546" s="84" t="str">
        <x:v>Completed</x:v>
      </x:c>
      <x:c r="M1546" s="84" t="str">
        <x:v>Debit Card </x:v>
      </x:c>
      <x:c r="N1546" s="84" t="str">
        <x:v>Ava Mitchell</x:v>
      </x:c>
      <x:c r="O1546" s="85" t="n">
        <x:v>45808</x:v>
      </x:c>
      <x:c r="P1546" s="84" t="str">
        <x:v>WEB_2025_05</x:v>
      </x:c>
      <x:c r="Q1546" s="84" t="str">
        <x:v>Insulated Lunch Bag</x:v>
      </x:c>
      <x:c r="R1546" s="84" t="str">
        <x:v>Accessories</x:v>
      </x:c>
    </x:row>
    <x:row r="1547">
      <x:c r="A1547" s="84" t="str">
        <x:v>ORD-2025-01055</x:v>
      </x:c>
      <x:c r="B1547" s="85" t="n">
        <x:v>45803</x:v>
      </x:c>
      <x:c r="C1547" s="84" t="str">
        <x:v>CUST-0333</x:v>
      </x:c>
      <x:c r="D1547" s="84" t="str">
        <x:v>Priya Khan </x:v>
      </x:c>
      <x:c r="E1547" s="84" t="str">
        <x:v>Consumer</x:v>
      </x:c>
      <x:c r="F1547" s="84" t="str">
        <x:v>Southeast</x:v>
      </x:c>
      <x:c r="G1547" s="84" t="str">
        <x:v>Charlotte</x:v>
      </x:c>
      <x:c r="H1547" s="84" t="str">
        <x:v>Marketplace</x:v>
      </x:c>
      <x:c r="I1547" s="84" t="str">
        <x:v>ELEC-006</x:v>
      </x:c>
      <x:c r="J1547" s="86" t="n">
        <x:v>2</x:v>
      </x:c>
      <x:c r="K1547" s="87" t="n">
        <x:v>0.1</x:v>
      </x:c>
      <x:c r="L1547" s="84" t="str">
        <x:v>Completed</x:v>
      </x:c>
      <x:c r="M1547" s="84" t="str">
        <x:v>credit card</x:v>
      </x:c>
      <x:c r="N1547" s="84" t="str">
        <x:v>Noah Reed</x:v>
      </x:c>
      <x:c r="O1547" s="85" t="n">
        <x:v>45811</x:v>
      </x:c>
      <x:c r="P1547" s="84" t="str">
        <x:v>MKT_2025_05</x:v>
      </x:c>
      <x:c r="Q1547" s="84" t="str">
        <x:v>Portable SSD</x:v>
      </x:c>
      <x:c r="R1547" s="84" t="str">
        <x:v>Electronics</x:v>
      </x:c>
    </x:row>
    <x:row r="1548">
      <x:c r="A1548" s="84" t="str">
        <x:v>ORD-2025-01353</x:v>
      </x:c>
      <x:c r="B1548" s="85" t="n">
        <x:v>45803</x:v>
      </x:c>
      <x:c r="C1548" s="84" t="str">
        <x:v>CUST-0351</x:v>
      </x:c>
      <x:c r="D1548" s="84" t="str">
        <x:v>Sara Garcia</x:v>
      </x:c>
      <x:c r="E1548" s="84" t="str">
        <x:v>consumer</x:v>
      </x:c>
      <x:c r="F1548" s="84" t="str">
        <x:v>Midwest</x:v>
      </x:c>
      <x:c r="G1548" s="84" t="str">
        <x:v> COLUMBUS </x:v>
      </x:c>
      <x:c r="H1548" s="84" t="str">
        <x:v>online</x:v>
      </x:c>
      <x:c r="I1548" s="84" t="str">
        <x:v>HOME-002</x:v>
      </x:c>
      <x:c r="J1548" s="86" t="n">
        <x:v>2</x:v>
      </x:c>
      <x:c r="K1548" s="87" t="n">
        <x:v>0.1</x:v>
      </x:c>
      <x:c r="L1548" s="84" t="str">
        <x:v>Completed</x:v>
      </x:c>
      <x:c r="M1548" s="84" t="str">
        <x:v>Debit Card</x:v>
      </x:c>
      <x:c r="N1548" s="84" t="str">
        <x:v>Zoe Turner</x:v>
      </x:c>
      <x:c r="O1548" s="85" t="n">
        <x:v>45806</x:v>
      </x:c>
      <x:c r="P1548" s="84" t="str">
        <x:v>WEB_2025_05</x:v>
      </x:c>
      <x:c r="Q1548" s="84" t="str">
        <x:v>Electric Kettle</x:v>
      </x:c>
      <x:c r="R1548" s="84" t="str">
        <x:v>Home &amp; Kitchen </x:v>
      </x:c>
    </x:row>
    <x:row r="1549">
      <x:c r="A1549" s="84" t="str">
        <x:v>ORD-2025-01729</x:v>
      </x:c>
      <x:c r="B1549" s="85" t="n">
        <x:v>45803</x:v>
      </x:c>
      <x:c r="C1549" s="84" t="str">
        <x:v>CUST-0121</x:v>
      </x:c>
      <x:c r="D1549" s="84" t="str">
        <x:v>Zara Patel</x:v>
      </x:c>
      <x:c r="E1549" s="84" t="str">
        <x:v>Corporate </x:v>
      </x:c>
      <x:c r="F1549" s="84" t="str">
        <x:v>West</x:v>
      </x:c>
      <x:c r="G1549" s="84" t="str">
        <x:v>Denver </x:v>
      </x:c>
      <x:c r="H1549" s="84" t="str">
        <x:v>Retail Store</x:v>
      </x:c>
      <x:c r="I1549" s="84" t="str">
        <x:v>HOME-004</x:v>
      </x:c>
      <x:c r="J1549" s="86" t="n">
        <x:v>4</x:v>
      </x:c>
      <x:c r="K1549" s="87" t="n">
        <x:v>0.05</x:v>
      </x:c>
      <x:c r="L1549" s="84" t="str">
        <x:v>Completed</x:v>
      </x:c>
      <x:c r="M1549" s="84" t="str">
        <x:v>Cash</x:v>
      </x:c>
      <x:c r="N1549" s="84" t="str">
        <x:v>leo martinez</x:v>
      </x:c>
      <x:c r="O1549" s="85" t="n">
        <x:v>45803</x:v>
      </x:c>
      <x:c r="P1549" s="84" t="str">
        <x:v>POS_2025_05</x:v>
      </x:c>
      <x:c r="Q1549" s="84" t="str">
        <x:v>Coffee Maker</x:v>
      </x:c>
      <x:c r="R1549" s="84" t="str">
        <x:v>Home &amp; Kitchen</x:v>
      </x:c>
    </x:row>
    <x:row r="1550">
      <x:c r="A1550" s="84" t="str">
        <x:v>ORD-2025-02112</x:v>
      </x:c>
      <x:c r="B1550" s="85" t="n">
        <x:v>45803</x:v>
      </x:c>
      <x:c r="C1550" s="84" t="str">
        <x:v>CUST-0284</x:v>
      </x:c>
      <x:c r="D1550" s="84" t="str">
        <x:v>Marcus Foster </x:v>
      </x:c>
      <x:c r="E1550" s="84" t="str">
        <x:v>consumer</x:v>
      </x:c>
      <x:c r="F1550" s="84" t="str">
        <x:v>Midwest</x:v>
      </x:c>
      <x:c r="G1550" s="84" t="str">
        <x:v>Detroit</x:v>
      </x:c>
      <x:c r="H1550" s="84" t="str">
        <x:v>online</x:v>
      </x:c>
      <x:c r="I1550" s="84" t="str">
        <x:v>CARE-002</x:v>
      </x:c>
      <x:c r="J1550" s="86" t="n">
        <x:v>2</x:v>
      </x:c>
      <x:c r="K1550" s="87" t="n">
        <x:v>0.05</x:v>
      </x:c>
      <x:c r="L1550" s="84" t="str">
        <x:v>Completed</x:v>
      </x:c>
      <x:c r="M1550" s="84" t="str">
        <x:v>Mobile Wallet </x:v>
      </x:c>
      <x:c r="N1550" s="84" t="str">
        <x:v>Lucas Grant</x:v>
      </x:c>
      <x:c r="O1550" s="85" t="n">
        <x:v>45805</x:v>
      </x:c>
      <x:c r="P1550" s="84" t="str">
        <x:v>WEB_2025_05</x:v>
      </x:c>
      <x:c r="Q1550" s="84" t="str">
        <x:v> RECHARGEABLE TRIMMER </x:v>
      </x:c>
      <x:c r="R1550" s="84" t="str">
        <x:v>Personal Care</x:v>
      </x:c>
    </x:row>
    <x:row r="1551">
      <x:c r="A1551" s="84" t="str">
        <x:v>ORD-2025-00271</x:v>
      </x:c>
      <x:c r="B1551" s="85" t="n">
        <x:v>45805</x:v>
      </x:c>
      <x:c r="C1551" s="84" t="str">
        <x:v>CUST-0513</x:v>
      </x:c>
      <x:c r="D1551" s="84" t="str">
        <x:v>zara davis</x:v>
      </x:c>
      <x:c r="E1551" s="84" t="str">
        <x:v>Small Business</x:v>
      </x:c>
      <x:c r="F1551" s="84" t="str">
        <x:v>Midwest</x:v>
      </x:c>
      <x:c r="G1551" s="84" t="str">
        <x:v>Chicago</x:v>
      </x:c>
      <x:c r="H1551" s="84" t="str">
        <x:v>Online</x:v>
      </x:c>
      <x:c r="I1551" s="84" t="str">
        <x:v>ACCS-002</x:v>
      </x:c>
      <x:c r="J1551" s="86" t="n">
        <x:v>1</x:v>
      </x:c>
      <x:c r="K1551" s="87" t="n">
        <x:v>0</x:v>
      </x:c>
      <x:c r="L1551" s="84" t="str">
        <x:v>Completed</x:v>
      </x:c>
      <x:c r="M1551" s="84" t="str">
        <x:v>PayPal </x:v>
      </x:c>
      <x:c r="N1551" s="84" t="str">
        <x:v>Zoe Turner</x:v>
      </x:c>
      <x:c r="O1551" s="85" t="n">
        <x:v>45808</x:v>
      </x:c>
      <x:c r="P1551" s="84" t="str">
        <x:v>WEB_2025_05</x:v>
      </x:c>
      <x:c r="Q1551" s="84" t="str">
        <x:v>Travel Backpack</x:v>
      </x:c>
      <x:c r="R1551" s="84" t="str">
        <x:v>Accessories</x:v>
      </x:c>
    </x:row>
    <x:row r="1552">
      <x:c r="A1552" s="84" t="str">
        <x:v>ORD-2025-01694</x:v>
      </x:c>
      <x:c r="B1552" s="85" t="n">
        <x:v>45805</x:v>
      </x:c>
      <x:c r="C1552" s="84" t="str">
        <x:v>CUST-0474</x:v>
      </x:c>
      <x:c r="D1552" s="84" t="str">
        <x:v>Aiden Foster</x:v>
      </x:c>
      <x:c r="E1552" s="84" t="str">
        <x:v>consumer</x:v>
      </x:c>
      <x:c r="F1552" s="84" t="str">
        <x:v>Southeast</x:v>
      </x:c>
      <x:c r="G1552" s="84" t="str">
        <x:v>Miami </x:v>
      </x:c>
      <x:c r="H1552" s="84" t="str">
        <x:v>retail store</x:v>
      </x:c>
      <x:c r="I1552" s="84" t="str">
        <x:v>HOME-001</x:v>
      </x:c>
      <x:c r="J1552" s="86" t="n">
        <x:v>1</x:v>
      </x:c>
      <x:c r="K1552" s="87" t="n">
        <x:v>0.1</x:v>
      </x:c>
      <x:c r="L1552" s="84" t="str">
        <x:v>Completed</x:v>
      </x:c>
      <x:c r="M1552" s="84" t="str">
        <x:v> CREDIT CARD </x:v>
      </x:c>
      <x:c r="N1552" s="84" t="str">
        <x:v>Liam Parker</x:v>
      </x:c>
      <x:c r="O1552" s="85" t="n">
        <x:v>45805</x:v>
      </x:c>
      <x:c r="P1552" s="84" t="str">
        <x:v>POS_2025_05</x:v>
      </x:c>
      <x:c r="Q1552" s="84" t="str">
        <x:v>Air Fryer</x:v>
      </x:c>
      <x:c r="R1552" s="84" t="str">
        <x:v>Home &amp; Kitchen</x:v>
      </x:c>
    </x:row>
    <x:row r="1553">
      <x:c r="A1553" s="84" t="str">
        <x:v>ORD-2025-01893</x:v>
      </x:c>
      <x:c r="B1553" s="85" t="n">
        <x:v>45805</x:v>
      </x:c>
      <x:c r="C1553" s="84" t="str">
        <x:v>CUST-0558</x:v>
      </x:c>
      <x:c r="D1553" s="84" t="str">
        <x:v>Elias Irwin</x:v>
      </x:c>
      <x:c r="E1553" s="84" t="str">
        <x:v>Corporate</x:v>
      </x:c>
      <x:c r="F1553" s="84" t="str">
        <x:v>Northeast</x:v>
      </x:c>
      <x:c r="G1553" s="84" t="str">
        <x:v>Philadelphia</x:v>
      </x:c>
      <x:c r="H1553" s="84" t="str">
        <x:v> RETAIL STORE </x:v>
      </x:c>
      <x:c r="I1553" s="84" t="str">
        <x:v>HOME-001</x:v>
      </x:c>
      <x:c r="J1553" s="86" t="n">
        <x:v>1</x:v>
      </x:c>
      <x:c r="K1553" s="87" t="n">
        <x:v>0</x:v>
      </x:c>
      <x:c r="L1553" s="84" t="str">
        <x:v>Completed</x:v>
      </x:c>
      <x:c r="M1553" s="84" t="str">
        <x:v>Credit Card</x:v>
      </x:c>
      <x:c r="N1553" s="84" t="str">
        <x:v>Ethan Cole</x:v>
      </x:c>
      <x:c r="O1553" s="85" t="n">
        <x:v>45805</x:v>
      </x:c>
      <x:c r="P1553" s="84" t="str">
        <x:v>POS_2025_05</x:v>
      </x:c>
      <x:c r="Q1553" s="84" t="str">
        <x:v>Air Fryer</x:v>
      </x:c>
      <x:c r="R1553" s="84" t="str">
        <x:v>Home &amp; Kitchen</x:v>
      </x:c>
    </x:row>
    <x:row r="1554">
      <x:c r="A1554" s="84" t="str">
        <x:v>ORD-2025-02344</x:v>
      </x:c>
      <x:c r="B1554" s="85" t="n">
        <x:v>45805</x:v>
      </x:c>
      <x:c r="C1554" s="84" t="str">
        <x:v>CUST-0560</x:v>
      </x:c>
      <x:c r="D1554" s="84" t="str">
        <x:v>Sara Khan</x:v>
      </x:c>
      <x:c r="E1554" s="84" t="str">
        <x:v>Consumer</x:v>
      </x:c>
      <x:c r="F1554" s="84" t="str">
        <x:v>Northeast</x:v>
      </x:c>
      <x:c r="G1554" s="84" t="str">
        <x:v>Philadelphia</x:v>
      </x:c>
      <x:c r="H1554" s="84" t="str">
        <x:v>Marketplace</x:v>
      </x:c>
      <x:c r="I1554" s="84" t="str">
        <x:v>ACCS-005</x:v>
      </x:c>
      <x:c r="J1554" s="86" t="n">
        <x:v>2</x:v>
      </x:c>
      <x:c r="K1554" s="87" t="n">
        <x:v>0.05</x:v>
      </x:c>
      <x:c r="L1554" s="84" t="str">
        <x:v>Completed </x:v>
      </x:c>
      <x:c r="M1554" s="84" t="str">
        <x:v>Debit Card</x:v>
      </x:c>
      <x:c r="N1554" s="84" t="str">
        <x:v>Sofia Bennett</x:v>
      </x:c>
      <x:c r="O1554" s="85" t="n">
        <x:v>45812</x:v>
      </x:c>
      <x:c r="P1554" s="84" t="str">
        <x:v>MKT_2025_05</x:v>
      </x:c>
      <x:c r="Q1554" s="84" t="str">
        <x:v>Protective Phone Case</x:v>
      </x:c>
      <x:c r="R1554" s="84" t="str">
        <x:v> ACCESSORIES </x:v>
      </x:c>
    </x:row>
    <x:row r="1555">
      <x:c r="A1555" s="84" t="str">
        <x:v>ORD-2025-00166</x:v>
      </x:c>
      <x:c r="B1555" s="85" t="n">
        <x:v>45806</x:v>
      </x:c>
      <x:c r="C1555" s="84" t="str">
        <x:v>CUST-0561</x:v>
      </x:c>
      <x:c r="D1555" s="84" t="str">
        <x:v>Marcus Johnson </x:v>
      </x:c>
      <x:c r="E1555" s="84" t="str">
        <x:v>Consumer</x:v>
      </x:c>
      <x:c r="F1555" s="84" t="str">
        <x:v>Southeast</x:v>
      </x:c>
      <x:c r="G1555" s="84" t="str">
        <x:v>Nashville</x:v>
      </x:c>
      <x:c r="H1555" s="84" t="str">
        <x:v>Online</x:v>
      </x:c>
      <x:c r="I1555" s="84" t="str">
        <x:v>CARE-002</x:v>
      </x:c>
      <x:c r="J1555" s="86" t="n">
        <x:v>1</x:v>
      </x:c>
      <x:c r="K1555" s="87" t="n">
        <x:v>0.15</x:v>
      </x:c>
      <x:c r="L1555" s="84" t="str">
        <x:v>Completed</x:v>
      </x:c>
      <x:c r="M1555" s="84" t="str">
        <x:v>Credit Card </x:v>
      </x:c>
      <x:c r="N1555" s="84" t="str">
        <x:v>Ava Mitchell</x:v>
      </x:c>
      <x:c r="O1555" s="85" t="n">
        <x:v>45808</x:v>
      </x:c>
      <x:c r="P1555" s="84" t="str">
        <x:v>WEB_2025_05</x:v>
      </x:c>
      <x:c r="Q1555" s="84" t="str">
        <x:v>Rechargeable Trimmer</x:v>
      </x:c>
      <x:c r="R1555" s="84" t="str">
        <x:v>Personal Care</x:v>
      </x:c>
    </x:row>
    <x:row r="1556">
      <x:c r="A1556" s="84" t="str">
        <x:v>ORD-2025-01655</x:v>
      </x:c>
      <x:c r="B1556" s="85" t="n">
        <x:v>45806</x:v>
      </x:c>
      <x:c r="C1556" s="84" t="str">
        <x:v>CUST-0336</x:v>
      </x:c>
      <x:c r="D1556" s="84" t="str">
        <x:v>Jonah Garcia</x:v>
      </x:c>
      <x:c r="E1556" s="84" t="str">
        <x:v>Consumer</x:v>
      </x:c>
      <x:c r="F1556" s="84" t="str">
        <x:v>West</x:v>
      </x:c>
      <x:c r="G1556" s="84" t="str">
        <x:v>Phoenix</x:v>
      </x:c>
      <x:c r="H1556" s="84" t="str">
        <x:v> ONLINE </x:v>
      </x:c>
      <x:c r="I1556" s="84" t="str">
        <x:v>CARE-005</x:v>
      </x:c>
      <x:c r="J1556" s="86" t="n">
        <x:v>1</x:v>
      </x:c>
      <x:c r="K1556" s="87" t="n">
        <x:v>0.05</x:v>
      </x:c>
      <x:c r="L1556" s="84" t="str">
        <x:v>Completed</x:v>
      </x:c>
      <x:c r="M1556" s="84" t="str">
        <x:v>Debit Card</x:v>
      </x:c>
      <x:c r="N1556" s="84" t="str">
        <x:v>Leo Martinez</x:v>
      </x:c>
      <x:c r="O1556" s="85" t="n">
        <x:v>45810</x:v>
      </x:c>
      <x:c r="P1556" s="84" t="str">
        <x:v>WEB_2025_05</x:v>
      </x:c>
      <x:c r="Q1556" s="84" t="str">
        <x:v>Skin Care Starter Kit</x:v>
      </x:c>
      <x:c r="R1556" s="84" t="str">
        <x:v>Personal Care</x:v>
      </x:c>
    </x:row>
    <x:row r="1557">
      <x:c r="A1557" s="84" t="str">
        <x:v>ORD-2025-00334</x:v>
      </x:c>
      <x:c r="B1557" s="85" t="n">
        <x:v>45807</x:v>
      </x:c>
      <x:c r="C1557" s="84" t="str">
        <x:v>CUST-0156</x:v>
      </x:c>
      <x:c r="D1557" s="84" t="str">
        <x:v>Nina Ortiz </x:v>
      </x:c>
      <x:c r="E1557" s="84" t="str">
        <x:v>Consumer</x:v>
      </x:c>
      <x:c r="F1557" s="84" t="str">
        <x:v>Southeast</x:v>
      </x:c>
      <x:c r="G1557" s="84" t="str">
        <x:v>charlotte</x:v>
      </x:c>
      <x:c r="H1557" s="84" t="str">
        <x:v>Marketplace</x:v>
      </x:c>
      <x:c r="I1557" s="84" t="str">
        <x:v>HOME-002</x:v>
      </x:c>
      <x:c r="J1557" s="86" t="n">
        <x:v>1</x:v>
      </x:c>
      <x:c r="K1557" s="87" t="n">
        <x:v>0.05</x:v>
      </x:c>
      <x:c r="L1557" s="84" t="str">
        <x:v>completed</x:v>
      </x:c>
      <x:c r="M1557" s="84" t="str">
        <x:v> CREDIT CARD </x:v>
      </x:c>
      <x:c r="N1557" s="84" t="str">
        <x:v>Ava Mitchell</x:v>
      </x:c>
      <x:c r="O1557" s="85" t="n">
        <x:v>45812</x:v>
      </x:c>
      <x:c r="P1557" s="84" t="str">
        <x:v>MKT_2025_05</x:v>
      </x:c>
      <x:c r="Q1557" s="84" t="str">
        <x:v>Electric Kettle</x:v>
      </x:c>
      <x:c r="R1557" s="84" t="str">
        <x:v>Home &amp; Kitchen</x:v>
      </x:c>
    </x:row>
    <x:row r="1558">
      <x:c r="A1558" s="84" t="str">
        <x:v>ORD-2025-00397</x:v>
      </x:c>
      <x:c r="B1558" s="85" t="n">
        <x:v>45807</x:v>
      </x:c>
      <x:c r="C1558" s="84" t="str">
        <x:v>CUST-0547</x:v>
      </x:c>
      <x:c r="D1558" s="84" t="str">
        <x:v>Jonah Davis </x:v>
      </x:c>
      <x:c r="E1558" s="84" t="str">
        <x:v>Corporate</x:v>
      </x:c>
      <x:c r="F1558" s="84" t="str">
        <x:v>Midwest</x:v>
      </x:c>
      <x:c r="G1558" s="84" t="str">
        <x:v>Chicago</x:v>
      </x:c>
      <x:c r="H1558" s="84" t="str">
        <x:v> RETAIL STORE </x:v>
      </x:c>
      <x:c r="I1558" s="84" t="str">
        <x:v>CARE-006</x:v>
      </x:c>
      <x:c r="J1558" s="86" t="n">
        <x:v>2</x:v>
      </x:c>
      <x:c r="K1558" s="87" t="n">
        <x:v>0.15</x:v>
      </x:c>
      <x:c r="L1558" s="84" t="str">
        <x:v>Completed</x:v>
      </x:c>
      <x:c r="M1558" s="84" t="str">
        <x:v>Cash </x:v>
      </x:c>
      <x:c r="N1558" s="84" t="str">
        <x:v>Lucas Grant</x:v>
      </x:c>
      <x:c r="O1558" s="85" t="n">
        <x:v>45808</x:v>
      </x:c>
      <x:c r="P1558" s="84" t="str">
        <x:v>POS_2025_05</x:v>
      </x:c>
      <x:c r="Q1558" s="84" t="str">
        <x:v>Percussion Massage Gun</x:v>
      </x:c>
      <x:c r="R1558" s="84" t="str">
        <x:v>Personal Care</x:v>
      </x:c>
    </x:row>
    <x:row r="1559">
      <x:c r="A1559" s="84" t="str">
        <x:v>ORD-2025-01340</x:v>
      </x:c>
      <x:c r="B1559" s="85" t="n">
        <x:v>45807</x:v>
      </x:c>
      <x:c r="C1559" s="84" t="str">
        <x:v>CUST-0064</x:v>
      </x:c>
      <x:c r="D1559" s="84" t="str">
        <x:v> NINA WALKER </x:v>
      </x:c>
      <x:c r="E1559" s="84" t="str">
        <x:v>Consumer</x:v>
      </x:c>
      <x:c r="F1559" s="84" t="str">
        <x:v> MIDWEST </x:v>
      </x:c>
      <x:c r="G1559" s="84" t="str">
        <x:v>Columbus</x:v>
      </x:c>
      <x:c r="H1559" s="84" t="str">
        <x:v>Retail Store </x:v>
      </x:c>
      <x:c r="I1559" s="84" t="str">
        <x:v>FITN-005</x:v>
      </x:c>
      <x:c r="J1559" s="86" t="n">
        <x:v>1</x:v>
      </x:c>
      <x:c r="K1559" s="87" t="n">
        <x:v>0.05</x:v>
      </x:c>
      <x:c r="L1559" s="84" t="str">
        <x:v>Completed</x:v>
      </x:c>
      <x:c r="M1559" s="84" t="str">
        <x:v>Debit Card</x:v>
      </x:c>
      <x:c r="N1559" s="84" t="str">
        <x:v>Lucas Grant</x:v>
      </x:c>
      <x:c r="O1559" s="85" t="n">
        <x:v>45807</x:v>
      </x:c>
      <x:c r="P1559" s="84" t="str">
        <x:v>POS_2025_05</x:v>
      </x:c>
      <x:c r="Q1559" s="84" t="str">
        <x:v>sports water bottle</x:v>
      </x:c>
      <x:c r="R1559" s="84" t="str">
        <x:v>Fitness</x:v>
      </x:c>
    </x:row>
    <x:row r="1560">
      <x:c r="A1560" s="84" t="str">
        <x:v>ORD-2025-00597</x:v>
      </x:c>
      <x:c r="B1560" s="85" t="n">
        <x:v>45808</x:v>
      </x:c>
      <x:c r="C1560" s="84" t="str">
        <x:v>CUST-0080</x:v>
      </x:c>
      <x:c r="D1560" s="84" t="str">
        <x:v>Maya Patel</x:v>
      </x:c>
      <x:c r="E1560" s="84" t="str">
        <x:v>Corporate</x:v>
      </x:c>
      <x:c r="F1560" s="84" t="str">
        <x:v>Midwest</x:v>
      </x:c>
      <x:c r="G1560" s="84" t="str">
        <x:v>Columbus</x:v>
      </x:c>
      <x:c r="H1560" s="84" t="str">
        <x:v>Retail Store</x:v>
      </x:c>
      <x:c r="I1560" s="84" t="str">
        <x:v>ELEC-006</x:v>
      </x:c>
      <x:c r="J1560" s="86" t="n">
        <x:v>6</x:v>
      </x:c>
      <x:c r="K1560" s="87" t="n">
        <x:v>0.05</x:v>
      </x:c>
      <x:c r="L1560" s="84" t="str">
        <x:v>Completed</x:v>
      </x:c>
      <x:c r="M1560" s="84" t="str">
        <x:v>Debit Card</x:v>
      </x:c>
      <x:c r="N1560" s="84" t="str">
        <x:v>Zoe Turner</x:v>
      </x:c>
      <x:c r="O1560" s="85" t="n">
        <x:v>45809</x:v>
      </x:c>
      <x:c r="P1560" s="84" t="str">
        <x:v>POS_2025_05</x:v>
      </x:c>
      <x:c r="Q1560" s="84" t="str">
        <x:v>Portable SSD</x:v>
      </x:c>
      <x:c r="R1560" s="84" t="str">
        <x:v>electronics</x:v>
      </x:c>
    </x:row>
    <x:row r="1561">
      <x:c r="A1561" s="84" t="str">
        <x:v>ORD-2025-01171</x:v>
      </x:c>
      <x:c r="B1561" s="85" t="n">
        <x:v>45808</x:v>
      </x:c>
      <x:c r="C1561" s="84" t="str">
        <x:v>CUST-0224</x:v>
      </x:c>
      <x:c r="D1561" s="84" t="str">
        <x:v>Jonah Nelson</x:v>
      </x:c>
      <x:c r="E1561" s="84" t="str">
        <x:v>Consumer</x:v>
      </x:c>
      <x:c r="F1561" s="84" t="str">
        <x:v>Southeast</x:v>
      </x:c>
      <x:c r="G1561" s="84" t="str">
        <x:v>Miami</x:v>
      </x:c>
      <x:c r="H1561" s="84" t="str">
        <x:v>Online</x:v>
      </x:c>
      <x:c r="I1561" s="84" t="str">
        <x:v>HOME-006</x:v>
      </x:c>
      <x:c r="J1561" s="86" t="n">
        <x:v>3</x:v>
      </x:c>
      <x:c r="K1561" s="87" t="n">
        <x:v>0.15</x:v>
      </x:c>
      <x:c r="L1561" s="84" t="str">
        <x:v>Completed</x:v>
      </x:c>
      <x:c r="M1561" s="84" t="str">
        <x:v>Credit Card</x:v>
      </x:c>
      <x:c r="N1561" s="84" t="str">
        <x:v>Noah Reed</x:v>
      </x:c>
      <x:c r="O1561" s="85" t="n">
        <x:v>45812</x:v>
      </x:c>
      <x:c r="P1561" s="84" t="str">
        <x:v>WEB_2025_05</x:v>
      </x:c>
      <x:c r="Q1561" s="84" t="str">
        <x:v>Food Storage Set</x:v>
      </x:c>
      <x:c r="R1561" s="84" t="str">
        <x:v> HOME &amp; KITCHEN </x:v>
      </x:c>
    </x:row>
    <x:row r="1562">
      <x:c r="A1562" s="84" t="str">
        <x:v>ORD-2025-00432</x:v>
      </x:c>
      <x:c r="B1562" s="85" t="n">
        <x:v>45809</x:v>
      </x:c>
      <x:c r="C1562" s="84" t="str">
        <x:v>CUST-0038</x:v>
      </x:c>
      <x:c r="D1562" s="84" t="str">
        <x:v>William Ortiz </x:v>
      </x:c>
      <x:c r="E1562" s="84" t="str">
        <x:v>Consumer</x:v>
      </x:c>
      <x:c r="F1562" s="84" t="str">
        <x:v>West</x:v>
      </x:c>
      <x:c r="G1562" s="84" t="str">
        <x:v>Phoenix</x:v>
      </x:c>
      <x:c r="H1562" s="84" t="str">
        <x:v>Online</x:v>
      </x:c>
      <x:c r="I1562" s="84" t="str">
        <x:v>ELEC-006</x:v>
      </x:c>
      <x:c r="J1562" s="86" t="n">
        <x:v>1</x:v>
      </x:c>
      <x:c r="K1562" s="87" t="n">
        <x:v>0.05</x:v>
      </x:c>
      <x:c r="L1562" s="84" t="str">
        <x:v>Completed</x:v>
      </x:c>
      <x:c r="M1562" s="84" t="str">
        <x:v>Mobile Wallet </x:v>
      </x:c>
      <x:c r="N1562" s="84" t="str">
        <x:v>Leo Martinez</x:v>
      </x:c>
      <x:c r="O1562" s="85" t="n">
        <x:v>45815</x:v>
      </x:c>
      <x:c r="P1562" s="84" t="str">
        <x:v>WEB_2025_06</x:v>
      </x:c>
      <x:c r="Q1562" s="84" t="str">
        <x:v>Portable SSD</x:v>
      </x:c>
      <x:c r="R1562" s="84" t="str">
        <x:v>electronics</x:v>
      </x:c>
    </x:row>
    <x:row r="1563">
      <x:c r="A1563" s="84" t="str">
        <x:v>ORD-2025-00855</x:v>
      </x:c>
      <x:c r="B1563" s="85" t="n">
        <x:v>45810</x:v>
      </x:c>
      <x:c r="C1563" s="84" t="str">
        <x:v>CUST-0097</x:v>
      </x:c>
      <x:c r="D1563" s="84" t="str">
        <x:v>Sara Ortiz</x:v>
      </x:c>
      <x:c r="E1563" s="84" t="str">
        <x:v>Corporate</x:v>
      </x:c>
      <x:c r="F1563" s="84" t="str">
        <x:v>northeast</x:v>
      </x:c>
      <x:c r="G1563" s="84" t="str">
        <x:v>New York</x:v>
      </x:c>
      <x:c r="H1563" s="84" t="str">
        <x:v>Retail Store</x:v>
      </x:c>
      <x:c r="I1563" s="84" t="str">
        <x:v>HOME-003</x:v>
      </x:c>
      <x:c r="J1563" s="86" t="n">
        <x:v>1</x:v>
      </x:c>
      <x:c r="K1563" s="87" t="n">
        <x:v>0.05</x:v>
      </x:c>
      <x:c r="L1563" s="84" t="str">
        <x:v> COMPLETED </x:v>
      </x:c>
      <x:c r="M1563" s="84" t="str">
        <x:v>Credit Card</x:v>
      </x:c>
      <x:c r="N1563" s="84" t="str">
        <x:v>Sofia Bennett</x:v>
      </x:c>
      <x:c r="O1563" s="85" t="n">
        <x:v>45810</x:v>
      </x:c>
      <x:c r="P1563" s="84" t="str">
        <x:v>POS_2025_06</x:v>
      </x:c>
      <x:c r="Q1563" s="84" t="str">
        <x:v>Countertop Blender </x:v>
      </x:c>
      <x:c r="R1563" s="84" t="str">
        <x:v>Home &amp; Kitchen</x:v>
      </x:c>
    </x:row>
    <x:row r="1564">
      <x:c r="A1564" s="84" t="str">
        <x:v>ORD-2025-01511</x:v>
      </x:c>
      <x:c r="B1564" s="85" t="n">
        <x:v>45810</x:v>
      </x:c>
      <x:c r="C1564" s="84" t="str">
        <x:v>CUST-0637</x:v>
      </x:c>
      <x:c r="D1564" s="84" t="str">
        <x:v>Amelia Adams</x:v>
      </x:c>
      <x:c r="E1564" s="84" t="str">
        <x:v>Consumer</x:v>
      </x:c>
      <x:c r="F1564" s="84" t="str">
        <x:v>Northeast</x:v>
      </x:c>
      <x:c r="G1564" s="84" t="str">
        <x:v>new york</x:v>
      </x:c>
      <x:c r="H1564" s="84" t="str">
        <x:v>Online</x:v>
      </x:c>
      <x:c r="I1564" s="84" t="str">
        <x:v>ACCS-003</x:v>
      </x:c>
      <x:c r="J1564" s="86" t="n">
        <x:v>3</x:v>
      </x:c>
      <x:c r="K1564" s="87" t="n">
        <x:v>0</x:v>
      </x:c>
      <x:c r="L1564" s="84" t="str">
        <x:v>completed</x:v>
      </x:c>
      <x:c r="M1564" s="84" t="str">
        <x:v>Debit Card</x:v>
      </x:c>
      <x:c r="N1564" s="84" t="str">
        <x:v>Sofia Bennett</x:v>
      </x:c>
      <x:c r="O1564" s="85" t="n">
        <x:v>45814</x:v>
      </x:c>
      <x:c r="P1564" s="84" t="str">
        <x:v>WEB_2025_06</x:v>
      </x:c>
      <x:c r="Q1564" s="84" t="str">
        <x:v>Polarized Sunglasses</x:v>
      </x:c>
      <x:c r="R1564" s="84" t="str">
        <x:v> ACCESSORIES </x:v>
      </x:c>
    </x:row>
    <x:row r="1565">
      <x:c r="A1565" s="84" t="str">
        <x:v>ORD-2025-01612</x:v>
      </x:c>
      <x:c r="B1565" s="85" t="n">
        <x:v>45810</x:v>
      </x:c>
      <x:c r="C1565" s="84" t="str">
        <x:v>CUST-0436</x:v>
      </x:c>
      <x:c r="D1565" s="84" t="str">
        <x:v> NATHAN HALL </x:v>
      </x:c>
      <x:c r="E1565" s="84" t="str">
        <x:v>Consumer</x:v>
      </x:c>
      <x:c r="F1565" s="84" t="str">
        <x:v> WEST </x:v>
      </x:c>
      <x:c r="G1565" s="84" t="str">
        <x:v>Phoenix</x:v>
      </x:c>
      <x:c r="H1565" s="84" t="str">
        <x:v>Retail Store</x:v>
      </x:c>
      <x:c r="I1565" s="84" t="str">
        <x:v>HOME-002</x:v>
      </x:c>
      <x:c r="J1565" s="86" t="n">
        <x:v>3</x:v>
      </x:c>
      <x:c r="K1565" s="87" t="n">
        <x:v>0</x:v>
      </x:c>
      <x:c r="L1565" s="84" t="str">
        <x:v>Completed</x:v>
      </x:c>
      <x:c r="M1565" s="84" t="str">
        <x:v>Cash</x:v>
      </x:c>
      <x:c r="N1565" s="84" t="str">
        <x:v>Nora Kim</x:v>
      </x:c>
      <x:c r="O1565" s="85" t="n">
        <x:v>45810</x:v>
      </x:c>
      <x:c r="P1565" s="84" t="str">
        <x:v>POS_2025_06</x:v>
      </x:c>
      <x:c r="Q1565" s="84" t="str">
        <x:v>Electric Kettle</x:v>
      </x:c>
      <x:c r="R1565" s="84" t="str">
        <x:v>Home &amp; Kitchen </x:v>
      </x:c>
    </x:row>
    <x:row r="1566">
      <x:c r="A1566" s="84" t="str">
        <x:v>ORD-2025-01765</x:v>
      </x:c>
      <x:c r="B1566" s="85" t="n">
        <x:v>45810</x:v>
      </x:c>
      <x:c r="C1566" s="84" t="str">
        <x:v>CUST-0563</x:v>
      </x:c>
      <x:c r="D1566" s="84" t="str">
        <x:v> AMELIA ADAMS </x:v>
      </x:c>
      <x:c r="E1566" s="84" t="str">
        <x:v>Consumer</x:v>
      </x:c>
      <x:c r="F1566" s="84" t="str">
        <x:v> SOUTHEAST </x:v>
      </x:c>
      <x:c r="G1566" s="84" t="str">
        <x:v>Charlotte</x:v>
      </x:c>
      <x:c r="H1566" s="84" t="str">
        <x:v>Online</x:v>
      </x:c>
      <x:c r="I1566" s="84" t="str">
        <x:v>ACCS-002</x:v>
      </x:c>
      <x:c r="J1566" s="86" t="n">
        <x:v>1</x:v>
      </x:c>
      <x:c r="K1566" s="87" t="n">
        <x:v>0.05</x:v>
      </x:c>
      <x:c r="L1566" s="84" t="str">
        <x:v>Completed</x:v>
      </x:c>
      <x:c r="M1566" s="84" t="str">
        <x:v>Debit Card</x:v>
      </x:c>
      <x:c r="N1566" s="84" t="str">
        <x:v>Ava Mitchell</x:v>
      </x:c>
      <x:c r="O1566" s="85" t="n">
        <x:v>45816</x:v>
      </x:c>
      <x:c r="P1566" s="84" t="str">
        <x:v>WEB_2025_06</x:v>
      </x:c>
      <x:c r="Q1566" s="84" t="str">
        <x:v>Travel Backpack </x:v>
      </x:c>
      <x:c r="R1566" s="84" t="str">
        <x:v>Accessories</x:v>
      </x:c>
    </x:row>
    <x:row r="1567">
      <x:c r="A1567" s="84" t="str">
        <x:v>ORD-2025-00032</x:v>
      </x:c>
      <x:c r="B1567" s="85" t="n">
        <x:v>45811</x:v>
      </x:c>
      <x:c r="C1567" s="84" t="str">
        <x:v>CUST-0227</x:v>
      </x:c>
      <x:c r="D1567" s="84" t="str">
        <x:v>Maya Foster</x:v>
      </x:c>
      <x:c r="E1567" s="84" t="str">
        <x:v>Consumer</x:v>
      </x:c>
      <x:c r="F1567" s="84" t="str">
        <x:v>West </x:v>
      </x:c>
      <x:c r="G1567" s="84" t="str">
        <x:v>Phoenix</x:v>
      </x:c>
      <x:c r="H1567" s="84" t="str">
        <x:v>Retail Store</x:v>
      </x:c>
      <x:c r="I1567" s="84" t="str">
        <x:v>OFFC-004</x:v>
      </x:c>
      <x:c r="J1567" s="86" t="n">
        <x:v>1</x:v>
      </x:c>
      <x:c r="K1567" s="87" t="n">
        <x:v>0</x:v>
      </x:c>
      <x:c r="L1567" s="84" t="str">
        <x:v>Returned</x:v>
      </x:c>
      <x:c r="M1567" s="84" t="str">
        <x:v>debit card</x:v>
      </x:c>
      <x:c r="N1567" s="84" t="str">
        <x:v>Leo Martinez </x:v>
      </x:c>
      <x:c r="O1567" s="85" t="n">
        <x:v>45811</x:v>
      </x:c>
      <x:c r="P1567" s="84" t="str">
        <x:v>POS_2025_06</x:v>
      </x:c>
      <x:c r="Q1567" s="84" t="str">
        <x:v>Premium Notebook Pack</x:v>
      </x:c>
      <x:c r="R1567" s="84" t="str">
        <x:v> OFFICE </x:v>
      </x:c>
    </x:row>
    <x:row r="1568">
      <x:c r="A1568" s="84" t="str">
        <x:v>ORD-2025-00198</x:v>
      </x:c>
      <x:c r="B1568" s="85" t="n">
        <x:v>45811</x:v>
      </x:c>
      <x:c r="C1568" s="84" t="str">
        <x:v>CUST-0001</x:v>
      </x:c>
      <x:c r="D1568" s="84" t="str">
        <x:v>Elena Walker</x:v>
      </x:c>
      <x:c r="E1568" s="84" t="str">
        <x:v>corporate</x:v>
      </x:c>
      <x:c r="F1568" s="84" t="str">
        <x:v>Southeast</x:v>
      </x:c>
      <x:c r="G1568" s="84" t="str">
        <x:v>Miami</x:v>
      </x:c>
      <x:c r="H1568" s="84" t="str">
        <x:v>marketplace</x:v>
      </x:c>
      <x:c r="I1568" s="84" t="str">
        <x:v>HOME-005</x:v>
      </x:c>
      <x:c r="J1568" s="86" t="n">
        <x:v>3</x:v>
      </x:c>
      <x:c r="K1568" s="87" t="n">
        <x:v>0.2</x:v>
      </x:c>
      <x:c r="L1568" s="84" t="str">
        <x:v>Completed</x:v>
      </x:c>
      <x:c r="M1568" s="84" t="str">
        <x:v> PAYPAL </x:v>
      </x:c>
      <x:c r="N1568" s="84" t="str">
        <x:v>Liam Parker</x:v>
      </x:c>
      <x:c r="O1568" s="85" t="n">
        <x:v>45814</x:v>
      </x:c>
      <x:c r="P1568" s="84" t="str">
        <x:v>MKT_2025_06</x:v>
      </x:c>
      <x:c r="Q1568" s="84" t="str">
        <x:v>Cordless Vacuum</x:v>
      </x:c>
      <x:c r="R1568" s="84" t="str">
        <x:v>Home &amp; Kitchen </x:v>
      </x:c>
    </x:row>
    <x:row r="1569">
      <x:c r="A1569" s="84" t="str">
        <x:v>ORD-2025-00255</x:v>
      </x:c>
      <x:c r="B1569" s="85" t="n">
        <x:v>45811</x:v>
      </x:c>
      <x:c r="C1569" s="84" t="str">
        <x:v>CUST-0588</x:v>
      </x:c>
      <x:c r="D1569" s="84" t="str">
        <x:v>Nathan Johnson</x:v>
      </x:c>
      <x:c r="E1569" s="84" t="str">
        <x:v> CONSUMER </x:v>
      </x:c>
      <x:c r="F1569" s="84" t="str">
        <x:v>Midwest</x:v>
      </x:c>
      <x:c r="G1569" s="84" t="str">
        <x:v>Detroit</x:v>
      </x:c>
      <x:c r="H1569" s="84" t="str">
        <x:v>Marketplace </x:v>
      </x:c>
      <x:c r="I1569" s="84" t="str">
        <x:v>ELEC-002</x:v>
      </x:c>
      <x:c r="J1569" s="86" t="n">
        <x:v>2</x:v>
      </x:c>
      <x:c r="K1569" s="87" t="n">
        <x:v>0</x:v>
      </x:c>
      <x:c r="L1569" s="84" t="str">
        <x:v>Completed</x:v>
      </x:c>
      <x:c r="M1569" s="84" t="str">
        <x:v>Credit Card</x:v>
      </x:c>
      <x:c r="N1569" s="84" t="str">
        <x:v>lucas grant</x:v>
      </x:c>
      <x:c r="O1569" s="85" t="n">
        <x:v>45815</x:v>
      </x:c>
      <x:c r="P1569" s="84" t="str">
        <x:v>MKT_2025_06</x:v>
      </x:c>
      <x:c r="Q1569" s="84" t="str">
        <x:v>Smartwatch</x:v>
      </x:c>
      <x:c r="R1569" s="84" t="str">
        <x:v>Electronics</x:v>
      </x:c>
    </x:row>
    <x:row r="1570">
      <x:c r="A1570" s="84" t="str">
        <x:v>ORD-2025-00358</x:v>
      </x:c>
      <x:c r="B1570" s="85" t="n">
        <x:v>45811</x:v>
      </x:c>
      <x:c r="C1570" s="84" t="str">
        <x:v>CUST-0515</x:v>
      </x:c>
      <x:c r="D1570" s="84" t="str">
        <x:v>William Smith</x:v>
      </x:c>
      <x:c r="E1570" s="84" t="str">
        <x:v>Consumer</x:v>
      </x:c>
      <x:c r="F1570" s="84" t="str">
        <x:v>Midwest</x:v>
      </x:c>
      <x:c r="G1570" s="84" t="str">
        <x:v>Detroit</x:v>
      </x:c>
      <x:c r="H1570" s="84" t="str">
        <x:v>Marketplace</x:v>
      </x:c>
      <x:c r="I1570" s="84" t="str">
        <x:v>OFFC-003</x:v>
      </x:c>
      <x:c r="J1570" s="86" t="n">
        <x:v>2</x:v>
      </x:c>
      <x:c r="K1570" s="87" t="n">
        <x:v>0</x:v>
      </x:c>
      <x:c r="L1570" s="84" t="str">
        <x:v>Completed</x:v>
      </x:c>
      <x:c r="M1570" s="84" t="str">
        <x:v>PayPal</x:v>
      </x:c>
      <x:c r="N1570" s="84" t="str">
        <x:v>Lucas Grant</x:v>
      </x:c>
      <x:c r="O1570" s="85" t="n">
        <x:v>45816</x:v>
      </x:c>
      <x:c r="P1570" s="84" t="str">
        <x:v>MKT_2025_06</x:v>
      </x:c>
      <x:c r="Q1570" s="84" t="str">
        <x:v>LED Desk Lamp </x:v>
      </x:c>
      <x:c r="R1570" s="84" t="str">
        <x:v>Office</x:v>
      </x:c>
    </x:row>
    <x:row r="1571">
      <x:c r="A1571" s="84" t="str">
        <x:v>ORD-2025-00889</x:v>
      </x:c>
      <x:c r="B1571" s="85" t="n">
        <x:v>45811</x:v>
      </x:c>
      <x:c r="C1571" s="84" t="str">
        <x:v>CUST-0281</x:v>
      </x:c>
      <x:c r="D1571" s="84" t="str">
        <x:v>Jonah Foster</x:v>
      </x:c>
      <x:c r="E1571" s="84" t="str">
        <x:v>Consumer </x:v>
      </x:c>
      <x:c r="F1571" s="84" t="str">
        <x:v>Midwest</x:v>
      </x:c>
      <x:c r="G1571" s="84" t="str">
        <x:v>Detroit </x:v>
      </x:c>
      <x:c r="H1571" s="84" t="str">
        <x:v>Marketplace</x:v>
      </x:c>
      <x:c r="I1571" s="84" t="str">
        <x:v>ELEC-002</x:v>
      </x:c>
      <x:c r="J1571" s="86" t="n">
        <x:v>1</x:v>
      </x:c>
      <x:c r="K1571" s="87" t="n">
        <x:v>0.2</x:v>
      </x:c>
      <x:c r="L1571" s="84" t="str">
        <x:v> COMPLETED </x:v>
      </x:c>
      <x:c r="M1571" s="84" t="str">
        <x:v>Credit Card</x:v>
      </x:c>
      <x:c r="N1571" s="84" t="str">
        <x:v>Zoe Turner</x:v>
      </x:c>
      <x:c r="O1571" s="85" t="n">
        <x:v>45816</x:v>
      </x:c>
      <x:c r="P1571" s="84" t="str">
        <x:v>MKT_2025_06</x:v>
      </x:c>
      <x:c r="Q1571" s="84" t="str">
        <x:v>smartwatch</x:v>
      </x:c>
      <x:c r="R1571" s="84" t="str">
        <x:v>Electronics</x:v>
      </x:c>
    </x:row>
    <x:row r="1572">
      <x:c r="A1572" s="84" t="str">
        <x:v>ORD-2025-00964</x:v>
      </x:c>
      <x:c r="B1572" s="85" t="n">
        <x:v>45812</x:v>
      </x:c>
      <x:c r="C1572" s="84" t="str">
        <x:v>CUST-0416</x:v>
      </x:c>
      <x:c r="D1572" s="84" t="str">
        <x:v>isaac garcia</x:v>
      </x:c>
      <x:c r="E1572" s="84" t="str">
        <x:v>Consumer</x:v>
      </x:c>
      <x:c r="F1572" s="84" t="str">
        <x:v>Midwest</x:v>
      </x:c>
      <x:c r="G1572" s="84" t="str">
        <x:v>Chicago</x:v>
      </x:c>
      <x:c r="H1572" s="84" t="str">
        <x:v>Retail Store</x:v>
      </x:c>
      <x:c r="I1572" s="84" t="str">
        <x:v>HOME-005</x:v>
      </x:c>
      <x:c r="J1572" s="86" t="n">
        <x:v>1</x:v>
      </x:c>
      <x:c r="K1572" s="87" t="n">
        <x:v>0</x:v>
      </x:c>
      <x:c r="L1572" s="84" t="str">
        <x:v>Completed</x:v>
      </x:c>
      <x:c r="M1572" s="84" t="str">
        <x:v>Credit Card </x:v>
      </x:c>
      <x:c r="N1572" s="84" t="str">
        <x:v>Lucas Grant</x:v>
      </x:c>
      <x:c r="O1572" s="85" t="n">
        <x:v>45812</x:v>
      </x:c>
      <x:c r="P1572" s="84" t="str">
        <x:v>POS_2025_06</x:v>
      </x:c>
      <x:c r="Q1572" s="84" t="str">
        <x:v>Cordless Vacuum</x:v>
      </x:c>
      <x:c r="R1572" s="84" t="str">
        <x:v>Home &amp; Kitchen</x:v>
      </x:c>
    </x:row>
    <x:row r="1573">
      <x:c r="A1573" s="84" t="str">
        <x:v>ORD-2025-01089</x:v>
      </x:c>
      <x:c r="B1573" s="85" t="n">
        <x:v>45812</x:v>
      </x:c>
      <x:c r="C1573" s="84" t="str">
        <x:v>CUST-0021</x:v>
      </x:c>
      <x:c r="D1573" s="84" t="str">
        <x:v>Elena Adams</x:v>
      </x:c>
      <x:c r="E1573" s="84" t="str">
        <x:v>consumer</x:v>
      </x:c>
      <x:c r="F1573" s="84" t="str">
        <x:v>West </x:v>
      </x:c>
      <x:c r="G1573" s="84" t="str">
        <x:v>Denver</x:v>
      </x:c>
      <x:c r="H1573" s="84" t="str">
        <x:v>online</x:v>
      </x:c>
      <x:c r="I1573" s="84" t="str">
        <x:v>FITN-006</x:v>
      </x:c>
      <x:c r="J1573" s="86" t="n">
        <x:v>2</x:v>
      </x:c>
      <x:c r="K1573" s="87" t="n">
        <x:v>0.1</x:v>
      </x:c>
      <x:c r="L1573" s="84" t="str">
        <x:v>Completed</x:v>
      </x:c>
      <x:c r="M1573" s="84" t="str">
        <x:v>Mobile Wallet</x:v>
      </x:c>
      <x:c r="N1573" s="84" t="str">
        <x:v>Leo Martinez </x:v>
      </x:c>
      <x:c r="O1573" s="85" t="n">
        <x:v>45817</x:v>
      </x:c>
      <x:c r="P1573" s="84" t="str">
        <x:v>WEB_2025_06</x:v>
      </x:c>
      <x:c r="Q1573" s="84" t="str">
        <x:v>Foam Roller</x:v>
      </x:c>
      <x:c r="R1573" s="84" t="str">
        <x:v>Fitness</x:v>
      </x:c>
    </x:row>
    <x:row r="1574">
      <x:c r="A1574" s="84" t="str">
        <x:v>ORD-2025-01118</x:v>
      </x:c>
      <x:c r="B1574" s="85" t="n">
        <x:v>45812</x:v>
      </x:c>
      <x:c r="C1574" s="84" t="str">
        <x:v>CUST-0432</x:v>
      </x:c>
      <x:c r="D1574" s="84" t="str">
        <x:v>caleb young</x:v>
      </x:c>
      <x:c r="E1574" s="84" t="str">
        <x:v>Consumer</x:v>
      </x:c>
      <x:c r="F1574" s="84" t="str">
        <x:v>Northeast</x:v>
      </x:c>
      <x:c r="G1574" s="84" t="str">
        <x:v>New York</x:v>
      </x:c>
      <x:c r="H1574" s="84" t="str">
        <x:v>Retail Store</x:v>
      </x:c>
      <x:c r="I1574" s="84" t="str">
        <x:v>FITN-005</x:v>
      </x:c>
      <x:c r="J1574" s="86" t="n">
        <x:v>1</x:v>
      </x:c>
      <x:c r="K1574" s="87" t="n">
        <x:v>0.2</x:v>
      </x:c>
      <x:c r="L1574" s="84" t="str">
        <x:v>Completed</x:v>
      </x:c>
      <x:c r="M1574" s="84" t="str">
        <x:v>Credit Card </x:v>
      </x:c>
      <x:c r="N1574" s="84" t="str">
        <x:v>Ethan Cole</x:v>
      </x:c>
      <x:c r="O1574" s="85" t="n">
        <x:v>45812</x:v>
      </x:c>
      <x:c r="P1574" s="84" t="str">
        <x:v>POS_2025_06</x:v>
      </x:c>
      <x:c r="Q1574" s="84" t="str">
        <x:v>Sports Water Bottle</x:v>
      </x:c>
      <x:c r="R1574" s="84" t="str">
        <x:v>Fitness</x:v>
      </x:c>
    </x:row>
    <x:row r="1575">
      <x:c r="A1575" s="84" t="str">
        <x:v>ORD-2025-02072</x:v>
      </x:c>
      <x:c r="B1575" s="85" t="n">
        <x:v>45812</x:v>
      </x:c>
      <x:c r="C1575" s="84" t="str">
        <x:v>CUST-0153</x:v>
      </x:c>
      <x:c r="D1575" s="84" t="str">
        <x:v>Marcus Evans</x:v>
      </x:c>
      <x:c r="E1575" s="84" t="str">
        <x:v>Corporate </x:v>
      </x:c>
      <x:c r="F1575" s="84" t="str">
        <x:v>Northeast</x:v>
      </x:c>
      <x:c r="G1575" s="84" t="str">
        <x:v>philadelphia</x:v>
      </x:c>
      <x:c r="H1575" s="84" t="str">
        <x:v>Marketplace</x:v>
      </x:c>
      <x:c r="I1575" s="84" t="str">
        <x:v>FITN-004</x:v>
      </x:c>
      <x:c r="J1575" s="86" t="n">
        <x:v>4</x:v>
      </x:c>
      <x:c r="K1575" s="87" t="n">
        <x:v>0.05</x:v>
      </x:c>
      <x:c r="L1575" s="84" t="str">
        <x:v>completed</x:v>
      </x:c>
      <x:c r="M1575" s="84" t="str">
        <x:v>Credit Card</x:v>
      </x:c>
      <x:c r="N1575" s="84" t="str">
        <x:v>Ethan Cole</x:v>
      </x:c>
      <x:c r="O1575" s="85" t="n">
        <x:v>45816</x:v>
      </x:c>
      <x:c r="P1575" s="84" t="str">
        <x:v>MKT_2025_06</x:v>
      </x:c>
      <x:c r="Q1575" s="84" t="str">
        <x:v>Fitness Tracker</x:v>
      </x:c>
      <x:c r="R1575" s="84" t="str">
        <x:v> FITNESS </x:v>
      </x:c>
    </x:row>
    <x:row r="1576">
      <x:c r="A1576" s="84" t="str">
        <x:v>ORD-2025-02109</x:v>
      </x:c>
      <x:c r="B1576" s="85" t="n">
        <x:v>45812</x:v>
      </x:c>
      <x:c r="C1576" s="84" t="str">
        <x:v>CUST-0001</x:v>
      </x:c>
      <x:c r="D1576" s="84" t="str">
        <x:v>Elena Walker</x:v>
      </x:c>
      <x:c r="E1576" s="84" t="str">
        <x:v>Corporate</x:v>
      </x:c>
      <x:c r="F1576" s="84" t="str">
        <x:v>southeast</x:v>
      </x:c>
      <x:c r="G1576" s="84" t="str">
        <x:v>Miami</x:v>
      </x:c>
      <x:c r="H1576" s="84" t="str">
        <x:v>Online</x:v>
      </x:c>
      <x:c r="I1576" s="84" t="str">
        <x:v>FITN-005</x:v>
      </x:c>
      <x:c r="J1576" s="86" t="n">
        <x:v>3</x:v>
      </x:c>
      <x:c r="K1576" s="87" t="n">
        <x:v>0</x:v>
      </x:c>
      <x:c r="L1576" s="84" t="str">
        <x:v>Completed</x:v>
      </x:c>
      <x:c r="M1576" s="84" t="str">
        <x:v>PayPal</x:v>
      </x:c>
      <x:c r="N1576" s="84" t="str">
        <x:v>Liam Parker</x:v>
      </x:c>
      <x:c r="O1576" s="85" t="n">
        <x:v>45818</x:v>
      </x:c>
      <x:c r="P1576" s="84" t="str">
        <x:v>WEB_2025_06</x:v>
      </x:c>
      <x:c r="Q1576" s="84" t="str">
        <x:v>Sports Water Bottle</x:v>
      </x:c>
      <x:c r="R1576" s="84" t="str">
        <x:v>Fitness </x:v>
      </x:c>
    </x:row>
    <x:row r="1577">
      <x:c r="A1577" s="84" t="str">
        <x:v>ORD-2025-00055</x:v>
      </x:c>
      <x:c r="B1577" s="85" t="n">
        <x:v>45813</x:v>
      </x:c>
      <x:c r="C1577" s="84" t="str">
        <x:v>CUST-0516</x:v>
      </x:c>
      <x:c r="D1577" s="84" t="str">
        <x:v>Jasmine Ortiz</x:v>
      </x:c>
      <x:c r="E1577" s="84" t="str">
        <x:v>small business</x:v>
      </x:c>
      <x:c r="F1577" s="84" t="str">
        <x:v>Southeast</x:v>
      </x:c>
      <x:c r="G1577" s="84" t="str">
        <x:v>Charlotte</x:v>
      </x:c>
      <x:c r="H1577" s="84" t="str">
        <x:v>retail store</x:v>
      </x:c>
      <x:c r="I1577" s="84" t="str">
        <x:v>ELEC-006</x:v>
      </x:c>
      <x:c r="J1577" s="86" t="n">
        <x:v>2</x:v>
      </x:c>
      <x:c r="K1577" s="87" t="n">
        <x:v>0.1</x:v>
      </x:c>
      <x:c r="L1577" s="84" t="str">
        <x:v>Completed </x:v>
      </x:c>
      <x:c r="M1577" s="84" t="str">
        <x:v>Credit Card</x:v>
      </x:c>
      <x:c r="N1577" s="84" t="str">
        <x:v>Ava Mitchell</x:v>
      </x:c>
      <x:c r="O1577" s="85" t="n">
        <x:v>45813</x:v>
      </x:c>
      <x:c r="P1577" s="84" t="str">
        <x:v>POS_2025_06</x:v>
      </x:c>
      <x:c r="Q1577" s="84" t="str">
        <x:v> PORTABLE SSD </x:v>
      </x:c>
      <x:c r="R1577" s="84" t="str">
        <x:v>Electronics</x:v>
      </x:c>
    </x:row>
    <x:row r="1578">
      <x:c r="A1578" s="84" t="str">
        <x:v>ORD-2025-00177</x:v>
      </x:c>
      <x:c r="B1578" s="85" t="n">
        <x:v>45813</x:v>
      </x:c>
      <x:c r="C1578" s="84" t="str">
        <x:v>CUST-0623</x:v>
      </x:c>
      <x:c r="D1578" s="84" t="str">
        <x:v>Theo Roberts</x:v>
      </x:c>
      <x:c r="E1578" s="84" t="str">
        <x:v>Small Business</x:v>
      </x:c>
      <x:c r="F1578" s="84" t="str">
        <x:v>Midwest</x:v>
      </x:c>
      <x:c r="G1578" s="84" t="str">
        <x:v>Detroit</x:v>
      </x:c>
      <x:c r="H1578" s="84" t="str">
        <x:v>Online</x:v>
      </x:c>
      <x:c r="I1578" s="84" t="str">
        <x:v>ACCS-006</x:v>
      </x:c>
      <x:c r="J1578" s="86" t="n">
        <x:v>1</x:v>
      </x:c>
      <x:c r="K1578" s="87" t="n">
        <x:v>0.05</x:v>
      </x:c>
      <x:c r="L1578" s="84" t="str">
        <x:v>Completed</x:v>
      </x:c>
      <x:c r="M1578" s="84" t="str">
        <x:v>PayPal</x:v>
      </x:c>
      <x:c r="N1578" s="84" t="str">
        <x:v>Lucas Grant</x:v>
      </x:c>
      <x:c r="O1578" s="85" t="n">
        <x:v>45816</x:v>
      </x:c>
      <x:c r="P1578" s="84" t="str">
        <x:v>WEB_2025_06</x:v>
      </x:c>
      <x:c r="Q1578" s="84" t="str">
        <x:v>Insulated Lunch Bag</x:v>
      </x:c>
      <x:c r="R1578" s="84" t="str">
        <x:v>Accessories </x:v>
      </x:c>
    </x:row>
    <x:row r="1579">
      <x:c r="A1579" s="84" t="str">
        <x:v>ORD-2025-01720</x:v>
      </x:c>
      <x:c r="B1579" s="85" t="n">
        <x:v>45813</x:v>
      </x:c>
      <x:c r="C1579" s="84" t="str">
        <x:v>CUST-0610</x:v>
      </x:c>
      <x:c r="D1579" s="84" t="str">
        <x:v>Grace Taylor </x:v>
      </x:c>
      <x:c r="E1579" s="84" t="str">
        <x:v>Consumer</x:v>
      </x:c>
      <x:c r="F1579" s="84" t="str">
        <x:v>Southeast</x:v>
      </x:c>
      <x:c r="G1579" s="84" t="str">
        <x:v>miami</x:v>
      </x:c>
      <x:c r="H1579" s="84" t="str">
        <x:v>Online</x:v>
      </x:c>
      <x:c r="I1579" s="84" t="str">
        <x:v>ACCS-003</x:v>
      </x:c>
      <x:c r="J1579" s="86" t="n">
        <x:v>2</x:v>
      </x:c>
      <x:c r="K1579" s="87" t="n">
        <x:v>0.05</x:v>
      </x:c>
      <x:c r="L1579" s="84" t="str">
        <x:v>completed</x:v>
      </x:c>
      <x:c r="M1579" s="84" t="str">
        <x:v>Credit Card </x:v>
      </x:c>
      <x:c r="N1579" s="84" t="str">
        <x:v> LIAM PARKER </x:v>
      </x:c>
      <x:c r="O1579" s="85" t="n">
        <x:v>45816</x:v>
      </x:c>
      <x:c r="P1579" s="84" t="str">
        <x:v>WEB_2025_06</x:v>
      </x:c>
      <x:c r="Q1579" s="84" t="str">
        <x:v>Polarized Sunglasses</x:v>
      </x:c>
      <x:c r="R1579" s="84" t="str">
        <x:v>Accessories</x:v>
      </x:c>
    </x:row>
    <x:row r="1580">
      <x:c r="A1580" s="84" t="str">
        <x:v>ORD-2025-00762</x:v>
      </x:c>
      <x:c r="B1580" s="85" t="n">
        <x:v>45814</x:v>
      </x:c>
      <x:c r="C1580" s="84" t="str">
        <x:v>CUST-0312</x:v>
      </x:c>
      <x:c r="D1580" s="84" t="str">
        <x:v> THEO CARTER </x:v>
      </x:c>
      <x:c r="E1580" s="84" t="str">
        <x:v>Small Business</x:v>
      </x:c>
      <x:c r="F1580" s="84" t="str">
        <x:v> SOUTHEAST </x:v>
      </x:c>
      <x:c r="G1580" s="84" t="str">
        <x:v>Atlanta</x:v>
      </x:c>
      <x:c r="H1580" s="84" t="str">
        <x:v>Retail Store</x:v>
      </x:c>
      <x:c r="I1580" s="84" t="str">
        <x:v>ACCS-003</x:v>
      </x:c>
      <x:c r="J1580" s="86" t="n">
        <x:v>1</x:v>
      </x:c>
      <x:c r="K1580" s="87" t="n">
        <x:v>0.05</x:v>
      </x:c>
      <x:c r="L1580" s="84" t="str">
        <x:v>Completed </x:v>
      </x:c>
      <x:c r="M1580" s="84" t="str">
        <x:v>Cash</x:v>
      </x:c>
      <x:c r="N1580" s="84" t="str">
        <x:v>Noah Reed</x:v>
      </x:c>
      <x:c r="O1580" s="85" t="n">
        <x:v>45814</x:v>
      </x:c>
      <x:c r="P1580" s="84" t="str">
        <x:v>POS_2025_06</x:v>
      </x:c>
      <x:c r="Q1580" s="84" t="str">
        <x:v>Polarized Sunglasses</x:v>
      </x:c>
      <x:c r="R1580" s="84" t="str">
        <x:v>accessories</x:v>
      </x:c>
    </x:row>
    <x:row r="1581">
      <x:c r="A1581" s="84" t="str">
        <x:v>ORD-2025-01235</x:v>
      </x:c>
      <x:c r="B1581" s="85" t="n">
        <x:v>45814</x:v>
      </x:c>
      <x:c r="C1581" s="84" t="str">
        <x:v>CUST-0517</x:v>
      </x:c>
      <x:c r="D1581" s="84" t="str">
        <x:v>Layla Irwin</x:v>
      </x:c>
      <x:c r="E1581" s="84" t="str">
        <x:v>Corporate</x:v>
      </x:c>
      <x:c r="F1581" s="84" t="str">
        <x:v>Northeast</x:v>
      </x:c>
      <x:c r="G1581" s="84" t="str">
        <x:v>Newark</x:v>
      </x:c>
      <x:c r="H1581" s="84" t="str">
        <x:v>Retail Store </x:v>
      </x:c>
      <x:c r="I1581" s="84" t="str">
        <x:v>CARE-004</x:v>
      </x:c>
      <x:c r="J1581" s="86" t="n">
        <x:v>2</x:v>
      </x:c>
      <x:c r="K1581" s="87" t="n">
        <x:v>0</x:v>
      </x:c>
      <x:c r="L1581" s="84" t="str">
        <x:v>Returned</x:v>
      </x:c>
      <x:c r="M1581" s="84" t="str">
        <x:v> DEBIT CARD </x:v>
      </x:c>
      <x:c r="N1581" s="84" t="str">
        <x:v>Sofia Bennett</x:v>
      </x:c>
      <x:c r="O1581" s="85" t="n">
        <x:v>45814</x:v>
      </x:c>
      <x:c r="P1581" s="84" t="str">
        <x:v>POS_2025_06</x:v>
      </x:c>
      <x:c r="Q1581" s="84" t="str">
        <x:v>Electric Toothbrush</x:v>
      </x:c>
      <x:c r="R1581" s="84" t="str">
        <x:v>personal care</x:v>
      </x:c>
    </x:row>
    <x:row r="1582">
      <x:c r="A1582" s="84" t="str">
        <x:v>ORD-2025-01426</x:v>
      </x:c>
      <x:c r="B1582" s="85" t="n">
        <x:v>45814</x:v>
      </x:c>
      <x:c r="C1582" s="84" t="str">
        <x:v>CUST-0591</x:v>
      </x:c>
      <x:c r="D1582" s="84" t="str">
        <x:v>grace quinn</x:v>
      </x:c>
      <x:c r="E1582" s="84" t="str">
        <x:v>Consumer</x:v>
      </x:c>
      <x:c r="F1582" s="84" t="str">
        <x:v>Northeast</x:v>
      </x:c>
      <x:c r="G1582" s="84" t="str">
        <x:v>Philadelphia</x:v>
      </x:c>
      <x:c r="H1582" s="84" t="str">
        <x:v>Online</x:v>
      </x:c>
      <x:c r="I1582" s="84" t="str">
        <x:v>ELEC-002</x:v>
      </x:c>
      <x:c r="J1582" s="86" t="n">
        <x:v>4</x:v>
      </x:c>
      <x:c r="K1582" s="87" t="n">
        <x:v>0</x:v>
      </x:c>
      <x:c r="L1582" s="84" t="str">
        <x:v>Completed</x:v>
      </x:c>
      <x:c r="M1582" s="84" t="str">
        <x:v>Debit Card </x:v>
      </x:c>
      <x:c r="N1582" s="84" t="str">
        <x:v>Sofia Bennett</x:v>
      </x:c>
      <x:c r="O1582" s="85" t="n">
        <x:v>45818</x:v>
      </x:c>
      <x:c r="P1582" s="84" t="str">
        <x:v>WEB_2025_06</x:v>
      </x:c>
      <x:c r="Q1582" s="84" t="str">
        <x:v>Smartwatch</x:v>
      </x:c>
      <x:c r="R1582" s="84" t="str">
        <x:v> ELECTRONICS </x:v>
      </x:c>
    </x:row>
    <x:row r="1583">
      <x:c r="A1583" s="84" t="str">
        <x:v>ORD-2025-01885</x:v>
      </x:c>
      <x:c r="B1583" s="85" t="n">
        <x:v>45814</x:v>
      </x:c>
      <x:c r="C1583" s="84" t="str">
        <x:v>CUST-0081</x:v>
      </x:c>
      <x:c r="D1583" s="84" t="str">
        <x:v>Grace Young</x:v>
      </x:c>
      <x:c r="E1583" s="84" t="str">
        <x:v>Small Business</x:v>
      </x:c>
      <x:c r="F1583" s="84" t="str">
        <x:v>Northeast</x:v>
      </x:c>
      <x:c r="G1583" s="84" t="str">
        <x:v>new york</x:v>
      </x:c>
      <x:c r="H1583" s="84" t="str">
        <x:v>Retail Store</x:v>
      </x:c>
      <x:c r="I1583" s="84" t="str">
        <x:v>CARE-003</x:v>
      </x:c>
      <x:c r="J1583" s="86" t="n">
        <x:v>1</x:v>
      </x:c>
      <x:c r="K1583" s="87" t="n">
        <x:v>0.1</x:v>
      </x:c>
      <x:c r="L1583" s="84" t="str">
        <x:v>completed</x:v>
      </x:c>
      <x:c r="M1583" s="84" t="str">
        <x:v>Debit Card</x:v>
      </x:c>
      <x:c r="N1583" s="84" t="str">
        <x:v>Ethan Cole</x:v>
      </x:c>
      <x:c r="O1583" s="85" t="n">
        <x:v>45815</x:v>
      </x:c>
      <x:c r="P1583" s="84" t="str">
        <x:v>POS_2025_06</x:v>
      </x:c>
      <x:c r="Q1583" s="84" t="str">
        <x:v>Facial Cleanser</x:v>
      </x:c>
      <x:c r="R1583" s="84" t="str">
        <x:v> PERSONAL CARE </x:v>
      </x:c>
    </x:row>
    <x:row r="1584">
      <x:c r="A1584" s="84" t="str">
        <x:v>ORD-2025-01885</x:v>
      </x:c>
      <x:c r="B1584" s="85" t="n">
        <x:v>45814</x:v>
      </x:c>
      <x:c r="C1584" s="84" t="str">
        <x:v>CUST-0081</x:v>
      </x:c>
      <x:c r="D1584" s="84" t="str">
        <x:v>Grace Young</x:v>
      </x:c>
      <x:c r="E1584" s="84" t="str">
        <x:v>Small Business</x:v>
      </x:c>
      <x:c r="F1584" s="84" t="str">
        <x:v>Northeast</x:v>
      </x:c>
      <x:c r="G1584" s="84" t="str">
        <x:v>new york</x:v>
      </x:c>
      <x:c r="H1584" s="84" t="str">
        <x:v>Retail Store</x:v>
      </x:c>
      <x:c r="I1584" s="84" t="str">
        <x:v>CARE-003</x:v>
      </x:c>
      <x:c r="J1584" s="86" t="n">
        <x:v>1</x:v>
      </x:c>
      <x:c r="K1584" s="87" t="n">
        <x:v>0.1</x:v>
      </x:c>
      <x:c r="L1584" s="84" t="str">
        <x:v>completed</x:v>
      </x:c>
      <x:c r="M1584" s="84" t="str">
        <x:v>Debit Card</x:v>
      </x:c>
      <x:c r="N1584" s="84" t="str">
        <x:v>Ethan Cole</x:v>
      </x:c>
      <x:c r="O1584" s="85" t="n">
        <x:v>45815</x:v>
      </x:c>
      <x:c r="P1584" s="84" t="str">
        <x:v>RELOAD_POS_2025_06</x:v>
      </x:c>
      <x:c r="Q1584" s="84" t="str">
        <x:v>Facial Cleanser</x:v>
      </x:c>
      <x:c r="R1584" s="84" t="str">
        <x:v> PERSONAL CARE </x:v>
      </x:c>
    </x:row>
    <x:row r="1585">
      <x:c r="A1585" s="84" t="str">
        <x:v>ORD-2025-01066</x:v>
      </x:c>
      <x:c r="B1585" s="85" t="n">
        <x:v>45815</x:v>
      </x:c>
      <x:c r="C1585" s="84" t="str">
        <x:v>CUST-0127</x:v>
      </x:c>
      <x:c r="D1585" s="84" t="str">
        <x:v>Elias Nelson</x:v>
      </x:c>
      <x:c r="E1585" s="84" t="str">
        <x:v>Corporate</x:v>
      </x:c>
      <x:c r="F1585" s="84" t="str">
        <x:v>West</x:v>
      </x:c>
      <x:c r="G1585" s="84" t="str">
        <x:v>Seattle</x:v>
      </x:c>
      <x:c r="H1585" s="84" t="str">
        <x:v>Retail Store</x:v>
      </x:c>
      <x:c r="I1585" s="84" t="str">
        <x:v>ELEC-006</x:v>
      </x:c>
      <x:c r="J1585" s="86" t="n">
        <x:v>3</x:v>
      </x:c>
      <x:c r="K1585" s="87" t="n">
        <x:v>0.05</x:v>
      </x:c>
      <x:c r="L1585" s="84" t="str">
        <x:v>Completed</x:v>
      </x:c>
      <x:c r="M1585" s="84" t="str">
        <x:v>credit card</x:v>
      </x:c>
      <x:c r="N1585" s="84" t="str">
        <x:v>Mia Chen</x:v>
      </x:c>
      <x:c r="O1585" s="85" t="n">
        <x:v>45815</x:v>
      </x:c>
      <x:c r="P1585" s="84" t="str">
        <x:v>POS_2025_06</x:v>
      </x:c>
      <x:c r="Q1585" s="84" t="str">
        <x:v>Portable SSD</x:v>
      </x:c>
      <x:c r="R1585" s="84" t="str">
        <x:v>Electronics </x:v>
      </x:c>
    </x:row>
    <x:row r="1586">
      <x:c r="A1586" s="84" t="str">
        <x:v>ORD-2025-01974</x:v>
      </x:c>
      <x:c r="B1586" s="85" t="n">
        <x:v>45815</x:v>
      </x:c>
      <x:c r="C1586" s="84" t="str">
        <x:v>CUST-0174</x:v>
      </x:c>
      <x:c r="D1586" s="84" t="str">
        <x:v>Victoria Walker</x:v>
      </x:c>
      <x:c r="E1586" s="84" t="str">
        <x:v>Small Business </x:v>
      </x:c>
      <x:c r="F1586" s="84" t="str">
        <x:v>Northeast</x:v>
      </x:c>
      <x:c r="G1586" s="84" t="str">
        <x:v>New York </x:v>
      </x:c>
      <x:c r="H1586" s="84" t="str">
        <x:v>Marketplace</x:v>
      </x:c>
      <x:c r="I1586" s="84" t="str">
        <x:v>FITN-004</x:v>
      </x:c>
      <x:c r="J1586" s="86" t="n">
        <x:v>3</x:v>
      </x:c>
      <x:c r="K1586" s="87" t="n">
        <x:v>0</x:v>
      </x:c>
      <x:c r="L1586" s="84" t="str">
        <x:v>Completed</x:v>
      </x:c>
      <x:c r="M1586" s="84" t="str">
        <x:v>Credit Card</x:v>
      </x:c>
      <x:c r="N1586" s="84" t="str">
        <x:v>Ethan Cole</x:v>
      </x:c>
      <x:c r="O1586" s="85" t="n">
        <x:v>45821</x:v>
      </x:c>
      <x:c r="P1586" s="84" t="str">
        <x:v>MKT_2025_06</x:v>
      </x:c>
      <x:c r="Q1586" s="84" t="str">
        <x:v>Fitness Tracker</x:v>
      </x:c>
      <x:c r="R1586" s="84" t="str">
        <x:v>Fitness</x:v>
      </x:c>
    </x:row>
    <x:row r="1587">
      <x:c r="A1587" s="84" t="str">
        <x:v>ORD-2025-02073</x:v>
      </x:c>
      <x:c r="B1587" s="85" t="n">
        <x:v>45815</x:v>
      </x:c>
      <x:c r="C1587" s="84" t="str">
        <x:v>CUST-0263</x:v>
      </x:c>
      <x:c r="D1587" s="84" t="str">
        <x:v>Theo Smith</x:v>
      </x:c>
      <x:c r="E1587" s="84" t="str">
        <x:v>Consumer</x:v>
      </x:c>
      <x:c r="F1587" s="84" t="str">
        <x:v>West</x:v>
      </x:c>
      <x:c r="G1587" s="84" t="str">
        <x:v>Seattle</x:v>
      </x:c>
      <x:c r="H1587" s="84" t="str">
        <x:v>Retail Store</x:v>
      </x:c>
      <x:c r="I1587" s="84" t="str">
        <x:v>HOME-005</x:v>
      </x:c>
      <x:c r="J1587" s="86" t="n">
        <x:v>1</x:v>
      </x:c>
      <x:c r="K1587" s="87" t="n">
        <x:v>0.1</x:v>
      </x:c>
      <x:c r="L1587" s="84" t="str">
        <x:v>Completed</x:v>
      </x:c>
      <x:c r="M1587" s="84" t="str">
        <x:v>Mobile Wallet</x:v>
      </x:c>
      <x:c r="N1587" s="84" t="str">
        <x:v>Nora Kim</x:v>
      </x:c>
      <x:c r="O1587" s="85" t="n">
        <x:v>45816</x:v>
      </x:c>
      <x:c r="P1587" s="84" t="str">
        <x:v>POS_2025_06</x:v>
      </x:c>
      <x:c r="Q1587" s="84" t="str">
        <x:v>Cordless Vacuum </x:v>
      </x:c>
      <x:c r="R1587" s="84" t="str">
        <x:v>Home &amp; Kitchen</x:v>
      </x:c>
    </x:row>
    <x:row r="1588">
      <x:c r="A1588" s="84" t="str">
        <x:v>ORD-2025-00549</x:v>
      </x:c>
      <x:c r="B1588" s="85" t="n">
        <x:v>45816</x:v>
      </x:c>
      <x:c r="C1588" s="84" t="str">
        <x:v>CUST-0442</x:v>
      </x:c>
      <x:c r="D1588" s="84" t="str">
        <x:v>Elena Irwin</x:v>
      </x:c>
      <x:c r="E1588" s="84" t="str"/>
      <x:c r="F1588" s="84" t="str">
        <x:v>Northeast</x:v>
      </x:c>
      <x:c r="G1588" s="84" t="str">
        <x:v>Boston</x:v>
      </x:c>
      <x:c r="H1588" s="84" t="str">
        <x:v>Online </x:v>
      </x:c>
      <x:c r="I1588" s="84" t="str">
        <x:v>ACCS-001</x:v>
      </x:c>
      <x:c r="J1588" s="86" t="n">
        <x:v>2</x:v>
      </x:c>
      <x:c r="K1588" s="87" t="n">
        <x:v>0.1</x:v>
      </x:c>
      <x:c r="L1588" s="84" t="str">
        <x:v> COMPLETED </x:v>
      </x:c>
      <x:c r="M1588" s="84" t="str">
        <x:v>debit card</x:v>
      </x:c>
      <x:c r="N1588" s="84" t="str">
        <x:v>Maya Brooks</x:v>
      </x:c>
      <x:c r="O1588" s="85" t="n">
        <x:v>45820</x:v>
      </x:c>
      <x:c r="P1588" s="84" t="str">
        <x:v>WEB_2025_06</x:v>
      </x:c>
      <x:c r="Q1588" s="84" t="str">
        <x:v>Canvas Tote Bag</x:v>
      </x:c>
      <x:c r="R1588" s="84" t="str">
        <x:v>Accessories</x:v>
      </x:c>
    </x:row>
    <x:row r="1589">
      <x:c r="A1589" s="84" t="str">
        <x:v>ORD-2025-01250</x:v>
      </x:c>
      <x:c r="B1589" s="85" t="n">
        <x:v>45816</x:v>
      </x:c>
      <x:c r="C1589" s="84" t="str">
        <x:v>CUST-0493</x:v>
      </x:c>
      <x:c r="D1589" s="84" t="str">
        <x:v>nina evans</x:v>
      </x:c>
      <x:c r="E1589" s="84" t="str">
        <x:v>Corporate</x:v>
      </x:c>
      <x:c r="F1589" s="84" t="str">
        <x:v>West </x:v>
      </x:c>
      <x:c r="G1589" s="84" t="str">
        <x:v>Denver</x:v>
      </x:c>
      <x:c r="H1589" s="84" t="str">
        <x:v>Retail Store</x:v>
      </x:c>
      <x:c r="I1589" s="84" t="str">
        <x:v>FITN-002</x:v>
      </x:c>
      <x:c r="J1589" s="86" t="n">
        <x:v>1</x:v>
      </x:c>
      <x:c r="K1589" s="87" t="n">
        <x:v>0</x:v>
      </x:c>
      <x:c r="L1589" s="84" t="str">
        <x:v>Completed</x:v>
      </x:c>
      <x:c r="M1589" s="84" t="str">
        <x:v>Credit Card</x:v>
      </x:c>
      <x:c r="N1589" s="84" t="str">
        <x:v>Nora Kim </x:v>
      </x:c>
      <x:c r="O1589" s="85" t="n">
        <x:v>45816</x:v>
      </x:c>
      <x:c r="P1589" s="84" t="str">
        <x:v>POS_2025_06</x:v>
      </x:c>
      <x:c r="Q1589" s="84" t="str">
        <x:v>Adjustable Dumbbell Set</x:v>
      </x:c>
      <x:c r="R1589" s="84" t="str">
        <x:v>Fitness</x:v>
      </x:c>
    </x:row>
    <x:row r="1590">
      <x:c r="A1590" s="84" t="str">
        <x:v>ORD-2025-01629</x:v>
      </x:c>
      <x:c r="B1590" s="85" t="n">
        <x:v>45816</x:v>
      </x:c>
      <x:c r="C1590" s="84" t="str">
        <x:v>CUST-0402</x:v>
      </x:c>
      <x:c r="D1590" s="84" t="str">
        <x:v> ZARA CARTER </x:v>
      </x:c>
      <x:c r="E1590" s="84" t="str">
        <x:v>Small Business</x:v>
      </x:c>
      <x:c r="F1590" s="84" t="str">
        <x:v> NORTHEAST </x:v>
      </x:c>
      <x:c r="G1590" s="84" t="str">
        <x:v>Philadelphia</x:v>
      </x:c>
      <x:c r="H1590" s="84" t="str">
        <x:v>Retail Store</x:v>
      </x:c>
      <x:c r="I1590" s="84" t="str">
        <x:v>HOME-001</x:v>
      </x:c>
      <x:c r="J1590" s="86" t="n">
        <x:v>1</x:v>
      </x:c>
      <x:c r="K1590" s="87" t="n">
        <x:v>0.1</x:v>
      </x:c>
      <x:c r="L1590" s="84" t="str">
        <x:v>Completed</x:v>
      </x:c>
      <x:c r="M1590" s="84" t="str">
        <x:v>Credit Card </x:v>
      </x:c>
      <x:c r="N1590" s="84" t="str">
        <x:v>Maya Brooks</x:v>
      </x:c>
      <x:c r="O1590" s="85" t="n">
        <x:v>45817</x:v>
      </x:c>
      <x:c r="P1590" s="84" t="str">
        <x:v>POS_2025_06</x:v>
      </x:c>
      <x:c r="Q1590" s="84" t="str">
        <x:v>Air Fryer</x:v>
      </x:c>
      <x:c r="R1590" s="84" t="str">
        <x:v>Home &amp; Kitchen</x:v>
      </x:c>
    </x:row>
    <x:row r="1591">
      <x:c r="A1591" s="84" t="str">
        <x:v>ORD-2025-00497</x:v>
      </x:c>
      <x:c r="B1591" s="85" t="n">
        <x:v>45817</x:v>
      </x:c>
      <x:c r="C1591" s="84" t="str">
        <x:v>CUST-0069</x:v>
      </x:c>
      <x:c r="D1591" s="84" t="str">
        <x:v>Nina Ortiz</x:v>
      </x:c>
      <x:c r="E1591" s="84" t="str">
        <x:v>Corporate </x:v>
      </x:c>
      <x:c r="F1591" s="84" t="str">
        <x:v>Midwest</x:v>
      </x:c>
      <x:c r="G1591" s="84" t="str">
        <x:v>Minneapolis </x:v>
      </x:c>
      <x:c r="H1591" s="84" t="str">
        <x:v>Marketplace</x:v>
      </x:c>
      <x:c r="I1591" s="84" t="str">
        <x:v>OFFC-003</x:v>
      </x:c>
      <x:c r="J1591" s="86" t="n">
        <x:v>4</x:v>
      </x:c>
      <x:c r="K1591" s="87" t="n">
        <x:v>0</x:v>
      </x:c>
      <x:c r="L1591" s="84" t="str">
        <x:v>Completed</x:v>
      </x:c>
      <x:c r="M1591" s="84" t="str">
        <x:v>Credit Card</x:v>
      </x:c>
      <x:c r="N1591" s="84" t="str">
        <x:v>emma hayes</x:v>
      </x:c>
      <x:c r="O1591" s="85" t="n">
        <x:v>45823</x:v>
      </x:c>
      <x:c r="P1591" s="84" t="str">
        <x:v>MKT_2025_06</x:v>
      </x:c>
      <x:c r="Q1591" s="84" t="str">
        <x:v> LED DESK LAMP </x:v>
      </x:c>
      <x:c r="R1591" s="84" t="str">
        <x:v>Office</x:v>
      </x:c>
    </x:row>
    <x:row r="1592">
      <x:c r="A1592" s="84" t="str">
        <x:v>ORD-2025-00521</x:v>
      </x:c>
      <x:c r="B1592" s="85" t="n">
        <x:v>45817</x:v>
      </x:c>
      <x:c r="C1592" s="84" t="str">
        <x:v>CUST-0127</x:v>
      </x:c>
      <x:c r="D1592" s="84" t="str">
        <x:v>Elias Nelson</x:v>
      </x:c>
      <x:c r="E1592" s="84" t="str">
        <x:v>Corporate</x:v>
      </x:c>
      <x:c r="F1592" s="84" t="str">
        <x:v>West</x:v>
      </x:c>
      <x:c r="G1592" s="84" t="str">
        <x:v>seattle</x:v>
      </x:c>
      <x:c r="H1592" s="84" t="str">
        <x:v>Retail Store </x:v>
      </x:c>
      <x:c r="I1592" s="84" t="str">
        <x:v>ELEC-006</x:v>
      </x:c>
      <x:c r="J1592" s="86" t="n">
        <x:v>4</x:v>
      </x:c>
      <x:c r="K1592" s="87" t="n">
        <x:v>0</x:v>
      </x:c>
      <x:c r="L1592" s="84" t="str">
        <x:v>completed</x:v>
      </x:c>
      <x:c r="M1592" s="84" t="str">
        <x:v> MOBILE WALLET </x:v>
      </x:c>
      <x:c r="N1592" s="84" t="str">
        <x:v>Nora Kim</x:v>
      </x:c>
      <x:c r="O1592" s="85" t="n">
        <x:v>45818</x:v>
      </x:c>
      <x:c r="P1592" s="84" t="str">
        <x:v>POS_2025_06</x:v>
      </x:c>
      <x:c r="Q1592" s="84" t="str">
        <x:v>Portable SSD</x:v>
      </x:c>
      <x:c r="R1592" s="84" t="str">
        <x:v>Electronics</x:v>
      </x:c>
    </x:row>
    <x:row r="1593">
      <x:c r="A1593" s="84" t="str">
        <x:v>ORD-2025-02022</x:v>
      </x:c>
      <x:c r="B1593" s="85" t="n">
        <x:v>45817</x:v>
      </x:c>
      <x:c r="C1593" s="84" t="str">
        <x:v>CUST-0071</x:v>
      </x:c>
      <x:c r="D1593" s="84" t="str">
        <x:v>Owen Foster</x:v>
      </x:c>
      <x:c r="E1593" s="84" t="str">
        <x:v>Consumer</x:v>
      </x:c>
      <x:c r="F1593" s="84" t="str">
        <x:v>Midwest</x:v>
      </x:c>
      <x:c r="G1593" s="84" t="str">
        <x:v>Detroit</x:v>
      </x:c>
      <x:c r="H1593" s="84" t="str">
        <x:v>Online</x:v>
      </x:c>
      <x:c r="I1593" s="84" t="str">
        <x:v>HOME-002</x:v>
      </x:c>
      <x:c r="J1593" s="86" t="n">
        <x:v>2</x:v>
      </x:c>
      <x:c r="K1593" s="87" t="n">
        <x:v>0</x:v>
      </x:c>
      <x:c r="L1593" s="84" t="str">
        <x:v>Completed </x:v>
      </x:c>
      <x:c r="M1593" s="84" t="str">
        <x:v>PayPal</x:v>
      </x:c>
      <x:c r="N1593" s="84" t="str">
        <x:v>Lucas Grant</x:v>
      </x:c>
      <x:c r="O1593" s="85" t="n">
        <x:v>45821</x:v>
      </x:c>
      <x:c r="P1593" s="84" t="str">
        <x:v>WEB_2025_06</x:v>
      </x:c>
      <x:c r="Q1593" s="84" t="str">
        <x:v>electric kettle</x:v>
      </x:c>
      <x:c r="R1593" s="84" t="str">
        <x:v>Home &amp; Kitchen</x:v>
      </x:c>
    </x:row>
    <x:row r="1594">
      <x:c r="A1594" s="84" t="str">
        <x:v>ORD-2025-02007</x:v>
      </x:c>
      <x:c r="B1594" s="85" t="n">
        <x:v>45818</x:v>
      </x:c>
      <x:c r="C1594" s="84" t="str">
        <x:v>CUST-0402</x:v>
      </x:c>
      <x:c r="D1594" s="84" t="str">
        <x:v>Zara Carter </x:v>
      </x:c>
      <x:c r="E1594" s="84" t="str">
        <x:v>Small Business</x:v>
      </x:c>
      <x:c r="F1594" s="84" t="str">
        <x:v>Northeast</x:v>
      </x:c>
      <x:c r="G1594" s="84" t="str">
        <x:v>Philadelphia</x:v>
      </x:c>
      <x:c r="H1594" s="84" t="str">
        <x:v>Marketplace</x:v>
      </x:c>
      <x:c r="I1594" s="84" t="str">
        <x:v>CARE-002</x:v>
      </x:c>
      <x:c r="J1594" s="86" t="n">
        <x:v>1</x:v>
      </x:c>
      <x:c r="K1594" s="87" t="n">
        <x:v>0.1</x:v>
      </x:c>
      <x:c r="L1594" s="84" t="str">
        <x:v>Completed</x:v>
      </x:c>
      <x:c r="M1594" s="84" t="str">
        <x:v>PayPal </x:v>
      </x:c>
      <x:c r="N1594" s="84" t="str">
        <x:v>Ethan Cole</x:v>
      </x:c>
      <x:c r="O1594" s="85" t="n">
        <x:v>45822</x:v>
      </x:c>
      <x:c r="P1594" s="84" t="str">
        <x:v>MKT_2025_06</x:v>
      </x:c>
      <x:c r="Q1594" s="84" t="str">
        <x:v>Rechargeable Trimmer</x:v>
      </x:c>
      <x:c r="R1594" s="84" t="str">
        <x:v>Personal Care</x:v>
      </x:c>
    </x:row>
    <x:row r="1595">
      <x:c r="A1595" s="84" t="str">
        <x:v>ORD-2025-02211</x:v>
      </x:c>
      <x:c r="B1595" s="85" t="n">
        <x:v>45818</x:v>
      </x:c>
      <x:c r="C1595" s="84" t="str">
        <x:v>CUST-0254</x:v>
      </x:c>
      <x:c r="D1595" s="84" t="str">
        <x:v>Marcus Carter</x:v>
      </x:c>
      <x:c r="E1595" s="84" t="str">
        <x:v>consumer</x:v>
      </x:c>
      <x:c r="F1595" s="84" t="str">
        <x:v>Northeast</x:v>
      </x:c>
      <x:c r="G1595" s="84" t="str">
        <x:v>Boston</x:v>
      </x:c>
      <x:c r="H1595" s="84" t="str">
        <x:v>retail store</x:v>
      </x:c>
      <x:c r="I1595" s="84" t="str">
        <x:v>HOME-003</x:v>
      </x:c>
      <x:c r="J1595" s="86" t="n">
        <x:v>1</x:v>
      </x:c>
      <x:c r="K1595" s="87" t="n">
        <x:v>0.05</x:v>
      </x:c>
      <x:c r="L1595" s="84" t="str">
        <x:v>Completed </x:v>
      </x:c>
      <x:c r="M1595" s="84" t="str">
        <x:v>Debit Card</x:v>
      </x:c>
      <x:c r="N1595" s="84" t="str">
        <x:v>Ethan Cole</x:v>
      </x:c>
      <x:c r="O1595" s="85" t="n">
        <x:v>45818</x:v>
      </x:c>
      <x:c r="P1595" s="84" t="str">
        <x:v>POS_2025_06</x:v>
      </x:c>
      <x:c r="Q1595" s="84" t="str">
        <x:v>Countertop Blender</x:v>
      </x:c>
      <x:c r="R1595" s="84" t="str">
        <x:v>Home &amp; Kitchen</x:v>
      </x:c>
    </x:row>
    <x:row r="1596">
      <x:c r="A1596" s="84" t="str">
        <x:v>ORD-2025-00272</x:v>
      </x:c>
      <x:c r="B1596" s="85" t="n">
        <x:v>45819</x:v>
      </x:c>
      <x:c r="C1596" s="84" t="str">
        <x:v>CUST-0054</x:v>
      </x:c>
      <x:c r="D1596" s="84" t="str">
        <x:v>Priya Roberts</x:v>
      </x:c>
      <x:c r="E1596" s="84" t="str">
        <x:v> CONSUMER </x:v>
      </x:c>
      <x:c r="F1596" s="84" t="str">
        <x:v>west</x:v>
      </x:c>
      <x:c r="G1596" s="84" t="str">
        <x:v>Phoenix</x:v>
      </x:c>
      <x:c r="H1596" s="84" t="str">
        <x:v>Online</x:v>
      </x:c>
      <x:c r="I1596" s="84" t="str">
        <x:v>ELEC-003</x:v>
      </x:c>
      <x:c r="J1596" s="86" t="n">
        <x:v>2</x:v>
      </x:c>
      <x:c r="K1596" s="87" t="n">
        <x:v>0.2</x:v>
      </x:c>
      <x:c r="L1596" s="84" t="str">
        <x:v>Completed </x:v>
      </x:c>
      <x:c r="M1596" s="84" t="str">
        <x:v>Credit Card</x:v>
      </x:c>
      <x:c r="N1596" s="84" t="str">
        <x:v>Nora Kim</x:v>
      </x:c>
      <x:c r="O1596" s="85" t="n">
        <x:v>45822</x:v>
      </x:c>
      <x:c r="P1596" s="84" t="str">
        <x:v>WEB_2025_06</x:v>
      </x:c>
      <x:c r="Q1596" s="84" t="str">
        <x:v>Bluetooth Speaker</x:v>
      </x:c>
      <x:c r="R1596" s="84" t="str">
        <x:v>Electronics</x:v>
      </x:c>
    </x:row>
    <x:row r="1597">
      <x:c r="A1597" s="84" t="str">
        <x:v>ORD-2025-00890</x:v>
      </x:c>
      <x:c r="B1597" s="85" t="n">
        <x:v>45819</x:v>
      </x:c>
      <x:c r="C1597" s="84" t="str">
        <x:v>CUST-0582</x:v>
      </x:c>
      <x:c r="D1597" s="84" t="str">
        <x:v>Maya Lewis</x:v>
      </x:c>
      <x:c r="E1597" s="84" t="str">
        <x:v>Consumer</x:v>
      </x:c>
      <x:c r="F1597" s="84" t="str">
        <x:v>Midwest</x:v>
      </x:c>
      <x:c r="G1597" s="84" t="str">
        <x:v>Columbus</x:v>
      </x:c>
      <x:c r="H1597" s="84" t="str">
        <x:v> RETAIL STORE </x:v>
      </x:c>
      <x:c r="I1597" s="84" t="str">
        <x:v>FITN-001</x:v>
      </x:c>
      <x:c r="J1597" s="86" t="n">
        <x:v>2</x:v>
      </x:c>
      <x:c r="K1597" s="87" t="n">
        <x:v>0.1</x:v>
      </x:c>
      <x:c r="L1597" s="84" t="str">
        <x:v>Completed</x:v>
      </x:c>
      <x:c r="M1597" s="84" t="str">
        <x:v>credit card</x:v>
      </x:c>
      <x:c r="N1597" s="84" t="str">
        <x:v>Lucas Grant</x:v>
      </x:c>
      <x:c r="O1597" s="85" t="n">
        <x:v>45820</x:v>
      </x:c>
      <x:c r="P1597" s="84" t="str">
        <x:v>POS_2025_06</x:v>
      </x:c>
      <x:c r="Q1597" s="84" t="str">
        <x:v>Yoga Mat </x:v>
      </x:c>
      <x:c r="R1597" s="84" t="str">
        <x:v>Fitness</x:v>
      </x:c>
    </x:row>
    <x:row r="1598">
      <x:c r="A1598" s="84" t="str">
        <x:v>ORD-2025-01076</x:v>
      </x:c>
      <x:c r="B1598" s="85" t="n">
        <x:v>45819</x:v>
      </x:c>
      <x:c r="C1598" s="84" t="str">
        <x:v>CUST-0438</x:v>
      </x:c>
      <x:c r="D1598" s="84" t="str">
        <x:v>Isaac Ortiz </x:v>
      </x:c>
      <x:c r="E1598" s="84" t="str">
        <x:v>Consumer</x:v>
      </x:c>
      <x:c r="F1598" s="84" t="str">
        <x:v>Midwest</x:v>
      </x:c>
      <x:c r="G1598" s="84" t="str">
        <x:v>Columbus</x:v>
      </x:c>
      <x:c r="H1598" s="84" t="str">
        <x:v>Retail Store</x:v>
      </x:c>
      <x:c r="I1598" s="84" t="str">
        <x:v>FITN-005</x:v>
      </x:c>
      <x:c r="J1598" s="86" t="n">
        <x:v>1</x:v>
      </x:c>
      <x:c r="K1598" s="87" t="n">
        <x:v>0</x:v>
      </x:c>
      <x:c r="L1598" s="84" t="str">
        <x:v> COMPLETED </x:v>
      </x:c>
      <x:c r="M1598" s="84" t="str">
        <x:v>Mobile Wallet </x:v>
      </x:c>
      <x:c r="N1598" s="84" t="str">
        <x:v>Zoe Turner</x:v>
      </x:c>
      <x:c r="O1598" s="85" t="n">
        <x:v>45819</x:v>
      </x:c>
      <x:c r="P1598" s="84" t="str">
        <x:v>POS_2025_06</x:v>
      </x:c>
      <x:c r="Q1598" s="84" t="str">
        <x:v>sports water bottle</x:v>
      </x:c>
      <x:c r="R1598" s="84" t="str">
        <x:v>Fitness</x:v>
      </x:c>
    </x:row>
    <x:row r="1599">
      <x:c r="A1599" s="84" t="str">
        <x:v>ORD-2025-01580</x:v>
      </x:c>
      <x:c r="B1599" s="85" t="n">
        <x:v>45819</x:v>
      </x:c>
      <x:c r="C1599" s="84" t="str">
        <x:v>CUST-0141</x:v>
      </x:c>
      <x:c r="D1599" s="84" t="str">
        <x:v>victoria taylor</x:v>
      </x:c>
      <x:c r="E1599" s="84" t="str">
        <x:v>Consumer</x:v>
      </x:c>
      <x:c r="F1599" s="84" t="str">
        <x:v>Midwest</x:v>
      </x:c>
      <x:c r="G1599" s="84" t="str">
        <x:v>Minneapolis</x:v>
      </x:c>
      <x:c r="H1599" s="84" t="str">
        <x:v>Marketplace</x:v>
      </x:c>
      <x:c r="I1599" s="84" t="str">
        <x:v>ELEC-004</x:v>
      </x:c>
      <x:c r="J1599" s="86" t="n">
        <x:v>2</x:v>
      </x:c>
      <x:c r="K1599" s="87" t="n">
        <x:v>0.15</x:v>
      </x:c>
      <x:c r="L1599" s="84" t="str">
        <x:v>Completed</x:v>
      </x:c>
      <x:c r="M1599" s="84" t="str">
        <x:v>Credit Card </x:v>
      </x:c>
      <x:c r="N1599" s="84" t="str">
        <x:v>Emma Hayes</x:v>
      </x:c>
      <x:c r="O1599" s="85" t="n">
        <x:v>45822</x:v>
      </x:c>
      <x:c r="P1599" s="84" t="str">
        <x:v>MKT_2025_06</x:v>
      </x:c>
      <x:c r="Q1599" s="84" t="str">
        <x:v>Power Bank</x:v>
      </x:c>
      <x:c r="R1599" s="84" t="str">
        <x:v>Electronics</x:v>
      </x:c>
    </x:row>
    <x:row r="1600">
      <x:c r="A1600" s="84" t="str">
        <x:v>ORD-2025-02136</x:v>
      </x:c>
      <x:c r="B1600" s="85" t="n">
        <x:v>45819</x:v>
      </x:c>
      <x:c r="C1600" s="84" t="str">
        <x:v>CUST-0117</x:v>
      </x:c>
      <x:c r="D1600" s="84" t="str">
        <x:v>Caleb Evans</x:v>
      </x:c>
      <x:c r="E1600" s="84" t="str">
        <x:v>Consumer</x:v>
      </x:c>
      <x:c r="F1600" s="84" t="str">
        <x:v>Northeast</x:v>
      </x:c>
      <x:c r="G1600" s="84" t="str">
        <x:v>Newark</x:v>
      </x:c>
      <x:c r="H1600" s="84" t="str">
        <x:v>Retail Store</x:v>
      </x:c>
      <x:c r="I1600" s="84" t="str">
        <x:v>HOME-001</x:v>
      </x:c>
      <x:c r="J1600" s="86" t="n">
        <x:v>1</x:v>
      </x:c>
      <x:c r="K1600" s="87" t="n">
        <x:v>0.1</x:v>
      </x:c>
      <x:c r="L1600" s="84" t="str">
        <x:v>Completed</x:v>
      </x:c>
      <x:c r="M1600" s="84" t="str">
        <x:v> DEBIT CARD </x:v>
      </x:c>
      <x:c r="N1600" s="84" t="str">
        <x:v>sofia bennett</x:v>
      </x:c>
      <x:c r="O1600" s="85" t="n">
        <x:v>45819</x:v>
      </x:c>
      <x:c r="P1600" s="84" t="str">
        <x:v>POS_2025_06</x:v>
      </x:c>
      <x:c r="Q1600" s="84" t="str">
        <x:v>Air Fryer </x:v>
      </x:c>
      <x:c r="R1600" s="84" t="str">
        <x:v>Home &amp; Kitchen</x:v>
      </x:c>
    </x:row>
    <x:row r="1601">
      <x:c r="A1601" s="84" t="str">
        <x:v>ORD-2025-00530</x:v>
      </x:c>
      <x:c r="B1601" s="85" t="n">
        <x:v>45820</x:v>
      </x:c>
      <x:c r="C1601" s="84" t="str">
        <x:v>CUST-0625</x:v>
      </x:c>
      <x:c r="D1601" s="84" t="str">
        <x:v>Daniel Patel </x:v>
      </x:c>
      <x:c r="E1601" s="84" t="str">
        <x:v>Small Business</x:v>
      </x:c>
      <x:c r="F1601" s="84" t="str">
        <x:v>West</x:v>
      </x:c>
      <x:c r="G1601" s="84" t="str">
        <x:v>Phoenix</x:v>
      </x:c>
      <x:c r="H1601" s="84" t="str">
        <x:v>Marketplace</x:v>
      </x:c>
      <x:c r="I1601" s="84" t="str">
        <x:v>OFFC-002</x:v>
      </x:c>
      <x:c r="J1601" s="86" t="n">
        <x:v>1</x:v>
      </x:c>
      <x:c r="K1601" s="87" t="n">
        <x:v>0.2</x:v>
      </x:c>
      <x:c r="L1601" s="84" t="str">
        <x:v>Completed</x:v>
      </x:c>
      <x:c r="M1601" s="84" t="str">
        <x:v>Mobile Wallet </x:v>
      </x:c>
      <x:c r="N1601" s="84" t="str">
        <x:v> LEO MARTINEZ </x:v>
      </x:c>
      <x:c r="O1601" s="85" t="n">
        <x:v>45823</x:v>
      </x:c>
      <x:c r="P1601" s="84" t="str">
        <x:v>MKT_2025_06</x:v>
      </x:c>
      <x:c r="Q1601" s="84" t="str">
        <x:v>Standing Desk</x:v>
      </x:c>
      <x:c r="R1601" s="84" t="str">
        <x:v>Office</x:v>
      </x:c>
    </x:row>
    <x:row r="1602">
      <x:c r="A1602" s="84" t="str">
        <x:v>ORD-2025-01000</x:v>
      </x:c>
      <x:c r="B1602" s="85" t="n">
        <x:v>45820</x:v>
      </x:c>
      <x:c r="C1602" s="84" t="str">
        <x:v>CUST-0501</x:v>
      </x:c>
      <x:c r="D1602" s="84" t="str">
        <x:v> PRIYA GARCIA </x:v>
      </x:c>
      <x:c r="E1602" s="84" t="str">
        <x:v>Consumer</x:v>
      </x:c>
      <x:c r="F1602" s="84" t="str">
        <x:v> NORTHEAST </x:v>
      </x:c>
      <x:c r="G1602" s="84" t="str">
        <x:v>Boston</x:v>
      </x:c>
      <x:c r="H1602" s="84" t="str">
        <x:v>Retail Store</x:v>
      </x:c>
      <x:c r="I1602" s="84" t="str">
        <x:v>FITN-004</x:v>
      </x:c>
      <x:c r="J1602" s="86" t="n">
        <x:v>1</x:v>
      </x:c>
      <x:c r="K1602" s="87" t="n">
        <x:v>0.05</x:v>
      </x:c>
      <x:c r="L1602" s="84" t="str">
        <x:v>Completed </x:v>
      </x:c>
      <x:c r="M1602" s="84" t="str">
        <x:v>mobile wallet</x:v>
      </x:c>
      <x:c r="N1602" s="84" t="str">
        <x:v>Maya Brooks</x:v>
      </x:c>
      <x:c r="O1602" s="85" t="n">
        <x:v>45820</x:v>
      </x:c>
      <x:c r="P1602" s="84" t="str">
        <x:v>POS_2025_06</x:v>
      </x:c>
      <x:c r="Q1602" s="84" t="str">
        <x:v>Fitness Tracker</x:v>
      </x:c>
      <x:c r="R1602" s="84" t="str">
        <x:v>Fitness</x:v>
      </x:c>
    </x:row>
    <x:row r="1603">
      <x:c r="A1603" s="84" t="str">
        <x:v>ORD-2025-01886</x:v>
      </x:c>
      <x:c r="B1603" s="85" t="n">
        <x:v>45820</x:v>
      </x:c>
      <x:c r="C1603" s="84" t="str">
        <x:v>CUST-0457</x:v>
      </x:c>
      <x:c r="D1603" s="84" t="str">
        <x:v>Amelia Carter</x:v>
      </x:c>
      <x:c r="E1603" s="84" t="str">
        <x:v>Small Business</x:v>
      </x:c>
      <x:c r="F1603" s="84" t="str">
        <x:v>Midwest</x:v>
      </x:c>
      <x:c r="G1603" s="84" t="str">
        <x:v>Columbus</x:v>
      </x:c>
      <x:c r="H1603" s="84" t="str">
        <x:v>Retail Store </x:v>
      </x:c>
      <x:c r="I1603" s="84" t="str">
        <x:v>OFFC-001</x:v>
      </x:c>
      <x:c r="J1603" s="86" t="n">
        <x:v>1</x:v>
      </x:c>
      <x:c r="K1603" s="87" t="n">
        <x:v>0.05</x:v>
      </x:c>
      <x:c r="L1603" s="84" t="str">
        <x:v>Completed</x:v>
      </x:c>
      <x:c r="M1603" s="84" t="str">
        <x:v>Credit Card</x:v>
      </x:c>
      <x:c r="N1603" s="84" t="str">
        <x:v>Lucas Grant</x:v>
      </x:c>
      <x:c r="O1603" s="85" t="n">
        <x:v>45820</x:v>
      </x:c>
      <x:c r="P1603" s="84" t="str">
        <x:v>POS_2025_06</x:v>
      </x:c>
      <x:c r="Q1603" s="84" t="str">
        <x:v>Ergonomic Chair</x:v>
      </x:c>
      <x:c r="R1603" s="84" t="str">
        <x:v>Office</x:v>
      </x:c>
    </x:row>
    <x:row r="1604">
      <x:c r="A1604" s="84" t="str">
        <x:v>ORD-2025-00164</x:v>
      </x:c>
      <x:c r="B1604" s="85" t="n">
        <x:v>45821</x:v>
      </x:c>
      <x:c r="C1604" s="84" t="str">
        <x:v>CUST-0121</x:v>
      </x:c>
      <x:c r="D1604" s="84" t="str">
        <x:v>Zara Patel</x:v>
      </x:c>
      <x:c r="E1604" s="84" t="str">
        <x:v>Corporate</x:v>
      </x:c>
      <x:c r="F1604" s="84" t="str">
        <x:v>West</x:v>
      </x:c>
      <x:c r="G1604" s="84" t="str">
        <x:v>Denver</x:v>
      </x:c>
      <x:c r="H1604" s="84" t="str">
        <x:v>Retail Store </x:v>
      </x:c>
      <x:c r="I1604" s="84" t="str">
        <x:v>ACCS-004</x:v>
      </x:c>
      <x:c r="J1604" s="86" t="n">
        <x:v>1</x:v>
      </x:c>
      <x:c r="K1604" s="87" t="n">
        <x:v>0.05</x:v>
      </x:c>
      <x:c r="L1604" s="84" t="str">
        <x:v>Completed</x:v>
      </x:c>
      <x:c r="M1604" s="84" t="str">
        <x:v> CREDIT CARD </x:v>
      </x:c>
      <x:c r="N1604" s="84" t="str">
        <x:v>Mia Chen</x:v>
      </x:c>
      <x:c r="O1604" s="85" t="n">
        <x:v>45821</x:v>
      </x:c>
      <x:c r="P1604" s="84" t="str">
        <x:v>POS_2025_06</x:v>
      </x:c>
      <x:c r="Q1604" s="84" t="str">
        <x:v>Leather Wallet</x:v>
      </x:c>
      <x:c r="R1604" s="84" t="str">
        <x:v>Accessories</x:v>
      </x:c>
    </x:row>
    <x:row r="1605">
      <x:c r="A1605" s="84" t="str">
        <x:v>ORD-2025-00649</x:v>
      </x:c>
      <x:c r="B1605" s="85" t="n">
        <x:v>45822</x:v>
      </x:c>
      <x:c r="C1605" s="84" t="str">
        <x:v>CUST-0020</x:v>
      </x:c>
      <x:c r="D1605" s="84" t="str">
        <x:v>Elias Ortiz </x:v>
      </x:c>
      <x:c r="E1605" s="84" t="str">
        <x:v>consumer</x:v>
      </x:c>
      <x:c r="F1605" s="84" t="str">
        <x:v>Southeast</x:v>
      </x:c>
      <x:c r="G1605" s="84" t="str">
        <x:v>Miami</x:v>
      </x:c>
      <x:c r="H1605" s="84" t="str">
        <x:v>online</x:v>
      </x:c>
      <x:c r="I1605" s="84" t="str">
        <x:v>OFFC-004</x:v>
      </x:c>
      <x:c r="J1605" s="86" t="n">
        <x:v>3</x:v>
      </x:c>
      <x:c r="K1605" s="87" t="n">
        <x:v>0</x:v>
      </x:c>
      <x:c r="L1605" s="84" t="str">
        <x:v>Completed</x:v>
      </x:c>
      <x:c r="M1605" s="84" t="str">
        <x:v>Credit Card </x:v>
      </x:c>
      <x:c r="N1605" s="84" t="str">
        <x:v> LIAM PARKER </x:v>
      </x:c>
      <x:c r="O1605" s="85" t="n">
        <x:v>45828</x:v>
      </x:c>
      <x:c r="P1605" s="84" t="str">
        <x:v>WEB_2025_06</x:v>
      </x:c>
      <x:c r="Q1605" s="84" t="str">
        <x:v>Premium Notebook Pack</x:v>
      </x:c>
      <x:c r="R1605" s="84" t="str">
        <x:v>Office</x:v>
      </x:c>
    </x:row>
    <x:row r="1606">
      <x:c r="A1606" s="84" t="str">
        <x:v>ORD-2025-01994</x:v>
      </x:c>
      <x:c r="B1606" s="85" t="n">
        <x:v>45822</x:v>
      </x:c>
      <x:c r="C1606" s="84" t="str">
        <x:v>CUST-0301</x:v>
      </x:c>
      <x:c r="D1606" s="84" t="str">
        <x:v>Elias Smith</x:v>
      </x:c>
      <x:c r="E1606" s="84" t="str">
        <x:v>Consumer</x:v>
      </x:c>
      <x:c r="F1606" s="84" t="str">
        <x:v>Southeast</x:v>
      </x:c>
      <x:c r="G1606" s="84" t="str">
        <x:v>Charlotte</x:v>
      </x:c>
      <x:c r="H1606" s="84" t="str">
        <x:v>Online</x:v>
      </x:c>
      <x:c r="I1606" s="84" t="str">
        <x:v>FITN-002</x:v>
      </x:c>
      <x:c r="J1606" s="86" t="n">
        <x:v>3</x:v>
      </x:c>
      <x:c r="K1606" s="87" t="n">
        <x:v>0.05</x:v>
      </x:c>
      <x:c r="L1606" s="84" t="str">
        <x:v> COMPLETED </x:v>
      </x:c>
      <x:c r="M1606" s="84" t="str">
        <x:v>Credit Card</x:v>
      </x:c>
      <x:c r="N1606" s="84" t="str">
        <x:v>Ava Mitchell</x:v>
      </x:c>
      <x:c r="O1606" s="85" t="n">
        <x:v>45826</x:v>
      </x:c>
      <x:c r="P1606" s="84" t="str">
        <x:v>WEB_2025_06</x:v>
      </x:c>
      <x:c r="Q1606" s="84" t="str">
        <x:v>Adjustable Dumbbell Set</x:v>
      </x:c>
      <x:c r="R1606" s="84" t="str">
        <x:v>fitness</x:v>
      </x:c>
    </x:row>
    <x:row r="1607">
      <x:c r="A1607" s="84" t="str">
        <x:v>ORD-2025-02312</x:v>
      </x:c>
      <x:c r="B1607" s="85" t="n">
        <x:v>45822</x:v>
      </x:c>
      <x:c r="C1607" s="84" t="str">
        <x:v>CUST-0497</x:v>
      </x:c>
      <x:c r="D1607" s="84" t="str">
        <x:v>Theo Foster</x:v>
      </x:c>
      <x:c r="E1607" s="84" t="str">
        <x:v> CONSUMER </x:v>
      </x:c>
      <x:c r="F1607" s="84" t="str">
        <x:v>Midwest</x:v>
      </x:c>
      <x:c r="G1607" s="84" t="str">
        <x:v>Chicago</x:v>
      </x:c>
      <x:c r="H1607" s="84" t="str">
        <x:v>Online</x:v>
      </x:c>
      <x:c r="I1607" s="84" t="str">
        <x:v>ELEC-002</x:v>
      </x:c>
      <x:c r="J1607" s="86" t="n">
        <x:v>1</x:v>
      </x:c>
      <x:c r="K1607" s="87" t="n">
        <x:v>0.1</x:v>
      </x:c>
      <x:c r="L1607" s="84" t="str">
        <x:v>Completed</x:v>
      </x:c>
      <x:c r="M1607" s="84" t="str">
        <x:v>Debit Card</x:v>
      </x:c>
      <x:c r="N1607" s="84" t="str">
        <x:v>lucas grant</x:v>
      </x:c>
      <x:c r="O1607" s="85" t="n">
        <x:v>45826</x:v>
      </x:c>
      <x:c r="P1607" s="84" t="str">
        <x:v>WEB_2025_06</x:v>
      </x:c>
      <x:c r="Q1607" s="84" t="str">
        <x:v>Smartwatch</x:v>
      </x:c>
      <x:c r="R1607" s="84" t="str">
        <x:v>Electronics </x:v>
      </x:c>
    </x:row>
    <x:row r="1608">
      <x:c r="A1608" s="84" t="str">
        <x:v>ORD-2025-02312</x:v>
      </x:c>
      <x:c r="B1608" s="85" t="n">
        <x:v>45822</x:v>
      </x:c>
      <x:c r="C1608" s="84" t="str">
        <x:v>CUST-0497</x:v>
      </x:c>
      <x:c r="D1608" s="84" t="str">
        <x:v>Theo Foster</x:v>
      </x:c>
      <x:c r="E1608" s="84" t="str">
        <x:v> CONSUMER </x:v>
      </x:c>
      <x:c r="F1608" s="84" t="str">
        <x:v>Midwest</x:v>
      </x:c>
      <x:c r="G1608" s="84" t="str">
        <x:v>Chicago</x:v>
      </x:c>
      <x:c r="H1608" s="84" t="str">
        <x:v>Online</x:v>
      </x:c>
      <x:c r="I1608" s="84" t="str">
        <x:v>ELEC-002</x:v>
      </x:c>
      <x:c r="J1608" s="86" t="n">
        <x:v>1</x:v>
      </x:c>
      <x:c r="K1608" s="87" t="n">
        <x:v>0.1</x:v>
      </x:c>
      <x:c r="L1608" s="84" t="str">
        <x:v>Completed</x:v>
      </x:c>
      <x:c r="M1608" s="84" t="str">
        <x:v>Debit Card</x:v>
      </x:c>
      <x:c r="N1608" s="84" t="str">
        <x:v>lucas grant</x:v>
      </x:c>
      <x:c r="O1608" s="85" t="n">
        <x:v>45826</x:v>
      </x:c>
      <x:c r="P1608" s="84" t="str">
        <x:v>RELOAD_WEB_2025_06</x:v>
      </x:c>
      <x:c r="Q1608" s="84" t="str">
        <x:v>Smartwatch</x:v>
      </x:c>
      <x:c r="R1608" s="84" t="str">
        <x:v>Electronics </x:v>
      </x:c>
    </x:row>
    <x:row r="1609">
      <x:c r="A1609" s="84" t="str">
        <x:v>ORD-2025-00316</x:v>
      </x:c>
      <x:c r="B1609" s="85" t="n">
        <x:v>45823</x:v>
      </x:c>
      <x:c r="C1609" s="84" t="str">
        <x:v>CUST-0631</x:v>
      </x:c>
      <x:c r="D1609" s="84" t="str">
        <x:v>Amelia Adams</x:v>
      </x:c>
      <x:c r="E1609" s="84" t="str">
        <x:v>Consumer</x:v>
      </x:c>
      <x:c r="F1609" s="84" t="str">
        <x:v>midwest</x:v>
      </x:c>
      <x:c r="G1609" s="84" t="str">
        <x:v> MINNEAPOLIS </x:v>
      </x:c>
      <x:c r="H1609" s="84" t="str">
        <x:v>Retail Store</x:v>
      </x:c>
      <x:c r="I1609" s="84" t="str">
        <x:v>ACCS-003</x:v>
      </x:c>
      <x:c r="J1609" s="86" t="n">
        <x:v>2</x:v>
      </x:c>
      <x:c r="K1609" s="87" t="n">
        <x:v>0</x:v>
      </x:c>
      <x:c r="L1609" s="84" t="str">
        <x:v>Completed</x:v>
      </x:c>
      <x:c r="M1609" s="84" t="str">
        <x:v>Debit Card</x:v>
      </x:c>
      <x:c r="N1609" s="84" t="str">
        <x:v>Lucas Grant</x:v>
      </x:c>
      <x:c r="O1609" s="85" t="n">
        <x:v>45823</x:v>
      </x:c>
      <x:c r="P1609" s="84" t="str">
        <x:v>POS_2025_06</x:v>
      </x:c>
      <x:c r="Q1609" s="84" t="str">
        <x:v>Polarized Sunglasses </x:v>
      </x:c>
      <x:c r="R1609" s="84" t="str">
        <x:v>Accessories</x:v>
      </x:c>
    </x:row>
    <x:row r="1610">
      <x:c r="A1610" s="84" t="str">
        <x:v>ORD-2025-00316</x:v>
      </x:c>
      <x:c r="B1610" s="85" t="n">
        <x:v>45823</x:v>
      </x:c>
      <x:c r="C1610" s="84" t="str">
        <x:v>CUST-0631</x:v>
      </x:c>
      <x:c r="D1610" s="84" t="str">
        <x:v>Amelia Adams</x:v>
      </x:c>
      <x:c r="E1610" s="84" t="str">
        <x:v>Consumer</x:v>
      </x:c>
      <x:c r="F1610" s="84" t="str">
        <x:v>midwest</x:v>
      </x:c>
      <x:c r="G1610" s="84" t="str">
        <x:v> MINNEAPOLIS </x:v>
      </x:c>
      <x:c r="H1610" s="84" t="str">
        <x:v>Retail Store</x:v>
      </x:c>
      <x:c r="I1610" s="84" t="str">
        <x:v>ACCS-003</x:v>
      </x:c>
      <x:c r="J1610" s="86" t="n">
        <x:v>2</x:v>
      </x:c>
      <x:c r="K1610" s="87" t="n">
        <x:v>0</x:v>
      </x:c>
      <x:c r="L1610" s="84" t="str">
        <x:v>Completed</x:v>
      </x:c>
      <x:c r="M1610" s="84" t="str">
        <x:v>Debit Card</x:v>
      </x:c>
      <x:c r="N1610" s="84" t="str">
        <x:v>Lucas Grant</x:v>
      </x:c>
      <x:c r="O1610" s="85" t="n">
        <x:v>45823</x:v>
      </x:c>
      <x:c r="P1610" s="84" t="str">
        <x:v>RELOAD_POS_2025_06</x:v>
      </x:c>
      <x:c r="Q1610" s="84" t="str">
        <x:v>Polarized Sunglasses </x:v>
      </x:c>
      <x:c r="R1610" s="84" t="str">
        <x:v>Accessories</x:v>
      </x:c>
    </x:row>
    <x:row r="1611">
      <x:c r="A1611" s="84" t="str">
        <x:v>ORD-2025-00427</x:v>
      </x:c>
      <x:c r="B1611" s="85" t="n">
        <x:v>45823</x:v>
      </x:c>
      <x:c r="C1611" s="84" t="str">
        <x:v>CUST-0349</x:v>
      </x:c>
      <x:c r="D1611" s="84" t="str">
        <x:v>Amelia Lewis</x:v>
      </x:c>
      <x:c r="E1611" s="84" t="str"/>
      <x:c r="F1611" s="84" t="str">
        <x:v>Southeast</x:v>
      </x:c>
      <x:c r="G1611" s="84" t="str">
        <x:v>Miami </x:v>
      </x:c>
      <x:c r="H1611" s="84" t="str">
        <x:v>Online</x:v>
      </x:c>
      <x:c r="I1611" s="84" t="str">
        <x:v>CARE-003</x:v>
      </x:c>
      <x:c r="J1611" s="86" t="n">
        <x:v>1</x:v>
      </x:c>
      <x:c r="K1611" s="87" t="n">
        <x:v>0</x:v>
      </x:c>
      <x:c r="L1611" s="84" t="str">
        <x:v>Completed</x:v>
      </x:c>
      <x:c r="M1611" s="84" t="str">
        <x:v>Mobile Wallet</x:v>
      </x:c>
      <x:c r="N1611" s="84" t="str">
        <x:v>Liam Parker</x:v>
      </x:c>
      <x:c r="O1611" s="85" t="n">
        <x:v>45827</x:v>
      </x:c>
      <x:c r="P1611" s="84" t="str">
        <x:v>WEB_2025_06</x:v>
      </x:c>
      <x:c r="Q1611" s="84" t="str">
        <x:v>facial cleanser</x:v>
      </x:c>
      <x:c r="R1611" s="84" t="str">
        <x:v>Personal Care</x:v>
      </x:c>
    </x:row>
    <x:row r="1612">
      <x:c r="A1612" s="84" t="str">
        <x:v>ORD-2025-02065</x:v>
      </x:c>
      <x:c r="B1612" s="85" t="n">
        <x:v>45823</x:v>
      </x:c>
      <x:c r="C1612" s="84" t="str">
        <x:v>CUST-0013</x:v>
      </x:c>
      <x:c r="D1612" s="84" t="str">
        <x:v>Marcus Moore</x:v>
      </x:c>
      <x:c r="E1612" s="84" t="str">
        <x:v>Consumer </x:v>
      </x:c>
      <x:c r="F1612" s="84" t="str">
        <x:v>midwest</x:v>
      </x:c>
      <x:c r="G1612" s="84" t="str">
        <x:v>Columbus </x:v>
      </x:c>
      <x:c r="H1612" s="84" t="str">
        <x:v>Online</x:v>
      </x:c>
      <x:c r="I1612" s="84" t="str">
        <x:v>OFFC-003</x:v>
      </x:c>
      <x:c r="J1612" s="86" t="n">
        <x:v>1</x:v>
      </x:c>
      <x:c r="K1612" s="87" t="n">
        <x:v>0</x:v>
      </x:c>
      <x:c r="L1612" s="84" t="str">
        <x:v>Returned</x:v>
      </x:c>
      <x:c r="M1612" s="84" t="str">
        <x:v>Credit Card</x:v>
      </x:c>
      <x:c r="N1612" s="84" t="str">
        <x:v>Emma Hayes</x:v>
      </x:c>
      <x:c r="O1612" s="85" t="n">
        <x:v>45826</x:v>
      </x:c>
      <x:c r="P1612" s="84" t="str">
        <x:v>WEB_2025_06</x:v>
      </x:c>
      <x:c r="Q1612" s="84" t="str">
        <x:v>LED Desk Lamp</x:v>
      </x:c>
      <x:c r="R1612" s="84" t="str">
        <x:v>Office</x:v>
      </x:c>
    </x:row>
    <x:row r="1613">
      <x:c r="A1613" s="84" t="str">
        <x:v>ORD-2025-02214</x:v>
      </x:c>
      <x:c r="B1613" s="85" t="n">
        <x:v>45823</x:v>
      </x:c>
      <x:c r="C1613" s="84" t="str">
        <x:v>CUST-0456</x:v>
      </x:c>
      <x:c r="D1613" s="84" t="str">
        <x:v>Elias Carter</x:v>
      </x:c>
      <x:c r="E1613" s="84" t="str">
        <x:v>Consumer</x:v>
      </x:c>
      <x:c r="F1613" s="84" t="str">
        <x:v>Northeast</x:v>
      </x:c>
      <x:c r="G1613" s="84" t="str">
        <x:v>Boston</x:v>
      </x:c>
      <x:c r="H1613" s="84" t="str">
        <x:v>Online</x:v>
      </x:c>
      <x:c r="I1613" s="84" t="str">
        <x:v>CARE-004</x:v>
      </x:c>
      <x:c r="J1613" s="86" t="n">
        <x:v>0</x:v>
      </x:c>
      <x:c r="K1613" s="87" t="n">
        <x:v>0.05</x:v>
      </x:c>
      <x:c r="L1613" s="84" t="str">
        <x:v>Returned</x:v>
      </x:c>
      <x:c r="M1613" s="84" t="str">
        <x:v>Mobile Wallet</x:v>
      </x:c>
      <x:c r="N1613" s="84" t="str">
        <x:v>Maya Brooks</x:v>
      </x:c>
      <x:c r="O1613" s="85" t="n">
        <x:v>45827</x:v>
      </x:c>
      <x:c r="P1613" s="84" t="str">
        <x:v>WEB_2025_06</x:v>
      </x:c>
      <x:c r="Q1613" s="84" t="str">
        <x:v> ELECTRIC TOOTHBRUSH </x:v>
      </x:c>
      <x:c r="R1613" s="84" t="str">
        <x:v>personal care</x:v>
      </x:c>
    </x:row>
    <x:row r="1614">
      <x:c r="A1614" s="84" t="str">
        <x:v>ORD-2025-00074</x:v>
      </x:c>
      <x:c r="B1614" s="85" t="n">
        <x:v>45824</x:v>
      </x:c>
      <x:c r="C1614" s="84" t="str">
        <x:v>CUST-0211</x:v>
      </x:c>
      <x:c r="D1614" s="84" t="str">
        <x:v>Caleb Roberts</x:v>
      </x:c>
      <x:c r="E1614" s="84" t="str">
        <x:v>Consumer</x:v>
      </x:c>
      <x:c r="F1614" s="84" t="str">
        <x:v>northeast</x:v>
      </x:c>
      <x:c r="G1614" s="84" t="str">
        <x:v>New York</x:v>
      </x:c>
      <x:c r="H1614" s="84" t="str">
        <x:v> ONLINE </x:v>
      </x:c>
      <x:c r="I1614" s="84" t="str">
        <x:v>FITN-004</x:v>
      </x:c>
      <x:c r="J1614" s="86" t="n">
        <x:v>1</x:v>
      </x:c>
      <x:c r="K1614" s="87" t="n">
        <x:v>0.05</x:v>
      </x:c>
      <x:c r="L1614" s="84" t="str">
        <x:v>Completed</x:v>
      </x:c>
      <x:c r="M1614" s="84" t="str">
        <x:v>Credit Card</x:v>
      </x:c>
      <x:c r="N1614" s="84" t="str">
        <x:v>Sofia Bennett </x:v>
      </x:c>
      <x:c r="O1614" s="85" t="n">
        <x:v>45827</x:v>
      </x:c>
      <x:c r="P1614" s="84" t="str">
        <x:v>WEB_2025_06</x:v>
      </x:c>
      <x:c r="Q1614" s="84" t="str">
        <x:v>Fitness Tracker</x:v>
      </x:c>
      <x:c r="R1614" s="84" t="str">
        <x:v>Fitness</x:v>
      </x:c>
    </x:row>
    <x:row r="1615">
      <x:c r="A1615" s="84" t="str">
        <x:v>ORD-2025-00369</x:v>
      </x:c>
      <x:c r="B1615" s="85" t="n">
        <x:v>45824</x:v>
      </x:c>
      <x:c r="C1615" s="84" t="str">
        <x:v>CUST-0001</x:v>
      </x:c>
      <x:c r="D1615" s="84" t="str">
        <x:v>Elena Walker </x:v>
      </x:c>
      <x:c r="E1615" s="84" t="str">
        <x:v>Corporate</x:v>
      </x:c>
      <x:c r="F1615" s="84" t="str">
        <x:v>Southeast</x:v>
      </x:c>
      <x:c r="G1615" s="84" t="str">
        <x:v>Miami</x:v>
      </x:c>
      <x:c r="H1615" s="84" t="str">
        <x:v>Retail Store</x:v>
      </x:c>
      <x:c r="I1615" s="84" t="str">
        <x:v>OFFC-001</x:v>
      </x:c>
      <x:c r="J1615" s="86" t="n">
        <x:v>2</x:v>
      </x:c>
      <x:c r="K1615" s="87" t="n">
        <x:v>0</x:v>
      </x:c>
      <x:c r="L1615" s="84" t="str">
        <x:v>Completed</x:v>
      </x:c>
      <x:c r="M1615" s="84" t="str">
        <x:v>Cash </x:v>
      </x:c>
      <x:c r="N1615" s="84" t="str">
        <x:v>Liam Parker</x:v>
      </x:c>
      <x:c r="O1615" s="85" t="n">
        <x:v>45824</x:v>
      </x:c>
      <x:c r="P1615" s="84" t="str">
        <x:v>POS_2025_06</x:v>
      </x:c>
      <x:c r="Q1615" s="84" t="str">
        <x:v>Ergonomic Chair</x:v>
      </x:c>
      <x:c r="R1615" s="84" t="str">
        <x:v>Office</x:v>
      </x:c>
    </x:row>
    <x:row r="1616">
      <x:c r="A1616" s="84" t="str">
        <x:v>ORD-2025-00379</x:v>
      </x:c>
      <x:c r="B1616" s="85" t="n">
        <x:v>45824</x:v>
      </x:c>
      <x:c r="C1616" s="84" t="str">
        <x:v>CUST-0084</x:v>
      </x:c>
      <x:c r="D1616" s="84" t="str">
        <x:v>Marcus Davis</x:v>
      </x:c>
      <x:c r="E1616" s="84" t="str">
        <x:v>Corporate</x:v>
      </x:c>
      <x:c r="F1616" s="84" t="str">
        <x:v>Southeast</x:v>
      </x:c>
      <x:c r="G1616" s="84" t="str">
        <x:v>Miami</x:v>
      </x:c>
      <x:c r="H1616" s="84" t="str">
        <x:v>Online</x:v>
      </x:c>
      <x:c r="I1616" s="84" t="str">
        <x:v>OFFC-005</x:v>
      </x:c>
      <x:c r="J1616" s="86" t="n">
        <x:v>8</x:v>
      </x:c>
      <x:c r="K1616" s="87" t="n">
        <x:v>0</x:v>
      </x:c>
      <x:c r="L1616" s="84" t="str">
        <x:v> COMPLETED </x:v>
      </x:c>
      <x:c r="M1616" s="84" t="str">
        <x:v>Debit Card</x:v>
      </x:c>
      <x:c r="N1616" s="84" t="str">
        <x:v>Liam Parker</x:v>
      </x:c>
      <x:c r="O1616" s="85" t="n">
        <x:v>45828</x:v>
      </x:c>
      <x:c r="P1616" s="84" t="str">
        <x:v>WEB_2025_06</x:v>
      </x:c>
      <x:c r="Q1616" s="84" t="str">
        <x:v>Wireless Keyboard </x:v>
      </x:c>
      <x:c r="R1616" s="84" t="str">
        <x:v>Office</x:v>
      </x:c>
    </x:row>
    <x:row r="1617">
      <x:c r="A1617" s="84" t="str">
        <x:v>ORD-2025-01178</x:v>
      </x:c>
      <x:c r="B1617" s="85" t="n">
        <x:v>45824</x:v>
      </x:c>
      <x:c r="C1617" s="84" t="str">
        <x:v>CUST-0079</x:v>
      </x:c>
      <x:c r="D1617" s="84" t="str">
        <x:v>Isaac Foster</x:v>
      </x:c>
      <x:c r="E1617" s="84" t="str">
        <x:v>Consumer</x:v>
      </x:c>
      <x:c r="F1617" s="84" t="str">
        <x:v>Midwest</x:v>
      </x:c>
      <x:c r="G1617" s="84" t="str">
        <x:v>Minneapolis</x:v>
      </x:c>
      <x:c r="H1617" s="84" t="str">
        <x:v>Marketplace</x:v>
      </x:c>
      <x:c r="I1617" s="84" t="str">
        <x:v>OFFC-002</x:v>
      </x:c>
      <x:c r="J1617" s="86" t="n">
        <x:v>1</x:v>
      </x:c>
      <x:c r="K1617" s="87" t="n">
        <x:v>0</x:v>
      </x:c>
      <x:c r="L1617" s="84" t="str">
        <x:v> COMPLETED </x:v>
      </x:c>
      <x:c r="M1617" s="84" t="str">
        <x:v>Credit Card</x:v>
      </x:c>
      <x:c r="N1617" s="84" t="str">
        <x:v>Emma Hayes</x:v>
      </x:c>
      <x:c r="O1617" s="85" t="n">
        <x:v>45830</x:v>
      </x:c>
      <x:c r="P1617" s="84" t="str">
        <x:v>MKT_2025_06</x:v>
      </x:c>
      <x:c r="Q1617" s="84" t="str">
        <x:v>Standing Desk</x:v>
      </x:c>
      <x:c r="R1617" s="84" t="str">
        <x:v>Office </x:v>
      </x:c>
    </x:row>
    <x:row r="1618">
      <x:c r="A1618" s="84" t="str">
        <x:v>ORD-2025-01842</x:v>
      </x:c>
      <x:c r="B1618" s="85" t="n">
        <x:v>45824</x:v>
      </x:c>
      <x:c r="C1618" s="84" t="str">
        <x:v>CUST-0232</x:v>
      </x:c>
      <x:c r="D1618" s="84" t="str">
        <x:v>Layla Smith</x:v>
      </x:c>
      <x:c r="E1618" s="84" t="str">
        <x:v>Consumer</x:v>
      </x:c>
      <x:c r="F1618" s="84" t="str">
        <x:v>Southeast</x:v>
      </x:c>
      <x:c r="G1618" s="84" t="str">
        <x:v>Atlanta</x:v>
      </x:c>
      <x:c r="H1618" s="84" t="str">
        <x:v> MARKETPLACE </x:v>
      </x:c>
      <x:c r="I1618" s="84" t="str">
        <x:v>HOME-003</x:v>
      </x:c>
      <x:c r="J1618" s="86" t="n">
        <x:v>1</x:v>
      </x:c>
      <x:c r="K1618" s="87" t="n">
        <x:v>0.1</x:v>
      </x:c>
      <x:c r="L1618" s="84" t="str">
        <x:v>Completed</x:v>
      </x:c>
      <x:c r="M1618" s="84" t="str">
        <x:v>Credit Card</x:v>
      </x:c>
      <x:c r="N1618" s="84" t="str">
        <x:v>Noah Reed</x:v>
      </x:c>
      <x:c r="O1618" s="85" t="n">
        <x:v>45828</x:v>
      </x:c>
      <x:c r="P1618" s="84" t="str">
        <x:v>MKT_2025_06</x:v>
      </x:c>
      <x:c r="Q1618" s="84" t="str">
        <x:v>Countertop Blender </x:v>
      </x:c>
      <x:c r="R1618" s="84" t="str">
        <x:v>Home &amp; Kitchen</x:v>
      </x:c>
    </x:row>
    <x:row r="1619">
      <x:c r="A1619" s="84" t="str">
        <x:v>ORD-2025-01942</x:v>
      </x:c>
      <x:c r="B1619" s="85" t="n">
        <x:v>45824</x:v>
      </x:c>
      <x:c r="C1619" s="84" t="str">
        <x:v>CUST-0160</x:v>
      </x:c>
      <x:c r="D1619" s="84" t="str">
        <x:v>Amelia Adams</x:v>
      </x:c>
      <x:c r="E1619" s="84" t="str">
        <x:v>Consumer</x:v>
      </x:c>
      <x:c r="F1619" s="84" t="str">
        <x:v>Southeast</x:v>
      </x:c>
      <x:c r="G1619" s="84" t="str">
        <x:v>Atlanta</x:v>
      </x:c>
      <x:c r="H1619" s="84" t="str">
        <x:v>Online </x:v>
      </x:c>
      <x:c r="I1619" s="84" t="str">
        <x:v>ACCS-004</x:v>
      </x:c>
      <x:c r="J1619" s="86" t="n">
        <x:v>1</x:v>
      </x:c>
      <x:c r="K1619" s="87" t="n">
        <x:v>0.05</x:v>
      </x:c>
      <x:c r="L1619" s="84" t="str">
        <x:v>Completed</x:v>
      </x:c>
      <x:c r="M1619" s="84" t="str">
        <x:v>Credit Card</x:v>
      </x:c>
      <x:c r="N1619" s="84" t="str">
        <x:v>Ava Mitchell</x:v>
      </x:c>
      <x:c r="O1619" s="85" t="n">
        <x:v>45828</x:v>
      </x:c>
      <x:c r="P1619" s="84" t="str">
        <x:v>WEB_2025_06</x:v>
      </x:c>
      <x:c r="Q1619" s="84" t="str">
        <x:v> LEATHER WALLET </x:v>
      </x:c>
      <x:c r="R1619" s="84" t="str">
        <x:v>Accessories</x:v>
      </x:c>
    </x:row>
    <x:row r="1620">
      <x:c r="A1620" s="84" t="str">
        <x:v>ORD-2025-00632</x:v>
      </x:c>
      <x:c r="B1620" s="85" t="n">
        <x:v>45825</x:v>
      </x:c>
      <x:c r="C1620" s="84" t="str">
        <x:v>CUST-0259</x:v>
      </x:c>
      <x:c r="D1620" s="84" t="str">
        <x:v>Caleb Foster</x:v>
      </x:c>
      <x:c r="E1620" s="84" t="str">
        <x:v>Consumer</x:v>
      </x:c>
      <x:c r="F1620" s="84" t="str">
        <x:v>Northeast</x:v>
      </x:c>
      <x:c r="G1620" s="84" t="str">
        <x:v>New York</x:v>
      </x:c>
      <x:c r="H1620" s="84" t="str">
        <x:v>Marketplace</x:v>
      </x:c>
      <x:c r="I1620" s="84" t="str">
        <x:v>FITN-004</x:v>
      </x:c>
      <x:c r="J1620" s="86" t="n">
        <x:v>1</x:v>
      </x:c>
      <x:c r="K1620" s="87" t="n">
        <x:v>0</x:v>
      </x:c>
      <x:c r="L1620" s="84" t="str">
        <x:v>Completed</x:v>
      </x:c>
      <x:c r="M1620" s="84" t="str">
        <x:v>Debit Card</x:v>
      </x:c>
      <x:c r="N1620" s="84" t="str">
        <x:v> ETHAN COLE </x:v>
      </x:c>
      <x:c r="O1620" s="85" t="n">
        <x:v>45828</x:v>
      </x:c>
      <x:c r="P1620" s="84" t="str">
        <x:v>MKT_2025_06</x:v>
      </x:c>
      <x:c r="Q1620" s="84" t="str">
        <x:v>Fitness Tracker</x:v>
      </x:c>
      <x:c r="R1620" s="84" t="str">
        <x:v>Fitness </x:v>
      </x:c>
    </x:row>
    <x:row r="1621">
      <x:c r="A1621" s="84" t="str">
        <x:v>ORD-2025-01482</x:v>
      </x:c>
      <x:c r="B1621" s="85" t="n">
        <x:v>45825</x:v>
      </x:c>
      <x:c r="C1621" s="84" t="str">
        <x:v>CUST-0459</x:v>
      </x:c>
      <x:c r="D1621" s="84" t="str">
        <x:v>Theo Baker </x:v>
      </x:c>
      <x:c r="E1621" s="84" t="str">
        <x:v>Consumer</x:v>
      </x:c>
      <x:c r="F1621" s="84" t="str">
        <x:v>southeast</x:v>
      </x:c>
      <x:c r="G1621" s="84" t="str">
        <x:v>Miami</x:v>
      </x:c>
      <x:c r="H1621" s="84" t="str">
        <x:v>Retail Store</x:v>
      </x:c>
      <x:c r="I1621" s="84" t="str">
        <x:v>HOME-004</x:v>
      </x:c>
      <x:c r="J1621" s="86" t="n">
        <x:v>2</x:v>
      </x:c>
      <x:c r="K1621" s="87" t="n">
        <x:v>0</x:v>
      </x:c>
      <x:c r="L1621" s="84" t="str">
        <x:v>Completed</x:v>
      </x:c>
      <x:c r="M1621" s="84" t="str">
        <x:v>Credit Card </x:v>
      </x:c>
      <x:c r="N1621" s="84" t="str">
        <x:v> AVA MITCHELL </x:v>
      </x:c>
      <x:c r="O1621" s="85" t="n">
        <x:v>45825</x:v>
      </x:c>
      <x:c r="P1621" s="84" t="str">
        <x:v>POS_2025_06</x:v>
      </x:c>
      <x:c r="Q1621" s="84" t="str">
        <x:v>Coffee Maker</x:v>
      </x:c>
      <x:c r="R1621" s="84" t="str">
        <x:v>Home &amp; Kitchen</x:v>
      </x:c>
    </x:row>
    <x:row r="1622">
      <x:c r="A1622" s="84" t="str">
        <x:v>ORD-2025-01662</x:v>
      </x:c>
      <x:c r="B1622" s="85" t="n">
        <x:v>45825</x:v>
      </x:c>
      <x:c r="C1622" s="84" t="str">
        <x:v>CUST-0362</x:v>
      </x:c>
      <x:c r="D1622" s="84" t="str">
        <x:v>Samuel Moore</x:v>
      </x:c>
      <x:c r="E1622" s="84" t="str">
        <x:v>Corporate</x:v>
      </x:c>
      <x:c r="F1622" s="84" t="str">
        <x:v>West</x:v>
      </x:c>
      <x:c r="G1622" s="84" t="str">
        <x:v>Los Angeles</x:v>
      </x:c>
      <x:c r="H1622" s="84" t="str">
        <x:v>Retail Store </x:v>
      </x:c>
      <x:c r="I1622" s="84" t="str">
        <x:v>ELEC-005</x:v>
      </x:c>
      <x:c r="J1622" s="86" t="n">
        <x:v>2</x:v>
      </x:c>
      <x:c r="K1622" s="87" t="n">
        <x:v>0.2</x:v>
      </x:c>
      <x:c r="L1622" s="84" t="str">
        <x:v>Completed</x:v>
      </x:c>
      <x:c r="M1622" s="84" t="str">
        <x:v>Cash</x:v>
      </x:c>
      <x:c r="N1622" s="84" t="str">
        <x:v>Nora Kim</x:v>
      </x:c>
      <x:c r="O1622" s="85" t="n">
        <x:v>45825</x:v>
      </x:c>
      <x:c r="P1622" s="84" t="str">
        <x:v>POS_2025_06</x:v>
      </x:c>
      <x:c r="Q1622" s="84" t="str">
        <x:v>HD Webcam</x:v>
      </x:c>
      <x:c r="R1622" s="84" t="str">
        <x:v>Electronics</x:v>
      </x:c>
    </x:row>
    <x:row r="1623">
      <x:c r="A1623" s="84" t="str">
        <x:v>ORD-2025-02139</x:v>
      </x:c>
      <x:c r="B1623" s="85" t="n">
        <x:v>45825</x:v>
      </x:c>
      <x:c r="C1623" s="84" t="str">
        <x:v>CUST-0413</x:v>
      </x:c>
      <x:c r="D1623" s="84" t="str">
        <x:v> GRACE TAYLOR </x:v>
      </x:c>
      <x:c r="E1623" s="84" t="str">
        <x:v>Corporate</x:v>
      </x:c>
      <x:c r="F1623" s="84" t="str">
        <x:v> NORTHEAST </x:v>
      </x:c>
      <x:c r="G1623" s="84" t="str">
        <x:v>Philadelphia</x:v>
      </x:c>
      <x:c r="H1623" s="84" t="str">
        <x:v>Retail Store</x:v>
      </x:c>
      <x:c r="I1623" s="84" t="str">
        <x:v>ACCS-001</x:v>
      </x:c>
      <x:c r="J1623" s="86" t="n">
        <x:v>2</x:v>
      </x:c>
      <x:c r="K1623" s="87" t="n">
        <x:v>0</x:v>
      </x:c>
      <x:c r="L1623" s="84" t="str">
        <x:v>Completed</x:v>
      </x:c>
      <x:c r="M1623" s="84" t="str">
        <x:v>Cash</x:v>
      </x:c>
      <x:c r="N1623" s="84" t="str">
        <x:v>Maya Brooks </x:v>
      </x:c>
      <x:c r="O1623" s="85" t="n">
        <x:v>45825</x:v>
      </x:c>
      <x:c r="P1623" s="84" t="str">
        <x:v>POS_2025_06</x:v>
      </x:c>
      <x:c r="Q1623" s="84" t="str">
        <x:v>Canvas Tote Bag</x:v>
      </x:c>
      <x:c r="R1623" s="84" t="str">
        <x:v>Accessories</x:v>
      </x:c>
    </x:row>
    <x:row r="1624">
      <x:c r="A1624" s="84" t="str">
        <x:v>ORD-2025-00315</x:v>
      </x:c>
      <x:c r="B1624" s="85" t="n">
        <x:v>45826</x:v>
      </x:c>
      <x:c r="C1624" s="84" t="str">
        <x:v>CUST-0400</x:v>
      </x:c>
      <x:c r="D1624" s="84" t="str">
        <x:v>amelia nelson</x:v>
      </x:c>
      <x:c r="E1624" s="84" t="str">
        <x:v>Consumer </x:v>
      </x:c>
      <x:c r="F1624" s="84" t="str">
        <x:v>Southeast</x:v>
      </x:c>
      <x:c r="G1624" s="84" t="str">
        <x:v>Nashville </x:v>
      </x:c>
      <x:c r="H1624" s="84" t="str">
        <x:v>Retail Store</x:v>
      </x:c>
      <x:c r="I1624" s="84" t="str">
        <x:v>OFFC-003</x:v>
      </x:c>
      <x:c r="J1624" s="86" t="n">
        <x:v>3</x:v>
      </x:c>
      <x:c r="K1624" s="87" t="n">
        <x:v>0</x:v>
      </x:c>
      <x:c r="L1624" s="84" t="str">
        <x:v>Completed</x:v>
      </x:c>
      <x:c r="M1624" s="84" t="str">
        <x:v>Mobile Wallet</x:v>
      </x:c>
      <x:c r="N1624" s="84" t="str">
        <x:v>Noah Reed</x:v>
      </x:c>
      <x:c r="O1624" s="85" t="n">
        <x:v>45826</x:v>
      </x:c>
      <x:c r="P1624" s="84" t="str">
        <x:v>POS_2025_06</x:v>
      </x:c>
      <x:c r="Q1624" s="84" t="str">
        <x:v>LED Desk Lamp</x:v>
      </x:c>
      <x:c r="R1624" s="84" t="str">
        <x:v>Office</x:v>
      </x:c>
    </x:row>
    <x:row r="1625">
      <x:c r="A1625" s="84" t="str">
        <x:v>ORD-2025-00954</x:v>
      </x:c>
      <x:c r="B1625" s="85" t="n">
        <x:v>45826</x:v>
      </x:c>
      <x:c r="C1625" s="84" t="str">
        <x:v>CUST-0205</x:v>
      </x:c>
      <x:c r="D1625" s="84" t="str">
        <x:v>Elena Young</x:v>
      </x:c>
      <x:c r="E1625" s="84" t="str">
        <x:v>Corporate</x:v>
      </x:c>
      <x:c r="F1625" s="84" t="str">
        <x:v>west</x:v>
      </x:c>
      <x:c r="G1625" s="84" t="str">
        <x:v>Denver</x:v>
      </x:c>
      <x:c r="H1625" s="84" t="str">
        <x:v>Retail Store</x:v>
      </x:c>
      <x:c r="I1625" s="84" t="str">
        <x:v>CARE-003</x:v>
      </x:c>
      <x:c r="J1625" s="86" t="n">
        <x:v>5</x:v>
      </x:c>
      <x:c r="K1625" s="87" t="n">
        <x:v>0.05</x:v>
      </x:c>
      <x:c r="L1625" s="84" t="str">
        <x:v>Completed</x:v>
      </x:c>
      <x:c r="M1625" s="84" t="str">
        <x:v>Credit Card</x:v>
      </x:c>
      <x:c r="N1625" s="84" t="str">
        <x:v>Leo Martinez</x:v>
      </x:c>
      <x:c r="O1625" s="85" t="n">
        <x:v>45826</x:v>
      </x:c>
      <x:c r="P1625" s="84" t="str">
        <x:v>POS_2025_06</x:v>
      </x:c>
      <x:c r="Q1625" s="84" t="str">
        <x:v>Facial Cleanser</x:v>
      </x:c>
      <x:c r="R1625" s="84" t="str">
        <x:v>Personal Care </x:v>
      </x:c>
    </x:row>
    <x:row r="1626">
      <x:c r="A1626" s="84" t="str">
        <x:v>ORD-2025-01312</x:v>
      </x:c>
      <x:c r="B1626" s="85" t="n">
        <x:v>45826</x:v>
      </x:c>
      <x:c r="C1626" s="84" t="str">
        <x:v>CUST-0449</x:v>
      </x:c>
      <x:c r="D1626" s="84" t="str">
        <x:v>Chloe Taylor</x:v>
      </x:c>
      <x:c r="E1626" s="84" t="str">
        <x:v>Corporate</x:v>
      </x:c>
      <x:c r="F1626" s="84" t="str">
        <x:v>West</x:v>
      </x:c>
      <x:c r="G1626" s="84" t="str">
        <x:v>Seattle</x:v>
      </x:c>
      <x:c r="H1626" s="84" t="str">
        <x:v>Retail Store </x:v>
      </x:c>
      <x:c r="I1626" s="84" t="str">
        <x:v>FITN-003</x:v>
      </x:c>
      <x:c r="J1626" s="86" t="n">
        <x:v>5</x:v>
      </x:c>
      <x:c r="K1626" s="87" t="n">
        <x:v>0.05</x:v>
      </x:c>
      <x:c r="L1626" s="84" t="str">
        <x:v>Completed</x:v>
      </x:c>
      <x:c r="M1626" s="84" t="str">
        <x:v>Debit Card</x:v>
      </x:c>
      <x:c r="N1626" s="84" t="str">
        <x:v> LEO MARTINEZ </x:v>
      </x:c>
      <x:c r="O1626" s="85" t="n">
        <x:v>45826</x:v>
      </x:c>
      <x:c r="P1626" s="84" t="str">
        <x:v>POS_2025_06</x:v>
      </x:c>
      <x:c r="Q1626" s="84" t="str">
        <x:v>Resistance Band Set</x:v>
      </x:c>
      <x:c r="R1626" s="84" t="str">
        <x:v>fitness</x:v>
      </x:c>
    </x:row>
    <x:row r="1627">
      <x:c r="A1627" s="84" t="str">
        <x:v>ORD-2025-01350</x:v>
      </x:c>
      <x:c r="B1627" s="85" t="n">
        <x:v>45826</x:v>
      </x:c>
      <x:c r="C1627" s="84" t="str">
        <x:v>CUST-0174</x:v>
      </x:c>
      <x:c r="D1627" s="84" t="str">
        <x:v>Victoria Walker</x:v>
      </x:c>
      <x:c r="E1627" s="84" t="str">
        <x:v>Small Business</x:v>
      </x:c>
      <x:c r="F1627" s="84" t="str">
        <x:v>northeast</x:v>
      </x:c>
      <x:c r="G1627" s="84" t="str">
        <x:v>New York</x:v>
      </x:c>
      <x:c r="H1627" s="84" t="str">
        <x:v>Online</x:v>
      </x:c>
      <x:c r="I1627" s="84" t="str">
        <x:v>ACCS-003</x:v>
      </x:c>
      <x:c r="J1627" s="86" t="n">
        <x:v>1</x:v>
      </x:c>
      <x:c r="K1627" s="87" t="n">
        <x:v>0.15</x:v>
      </x:c>
      <x:c r="L1627" s="84" t="str">
        <x:v>Completed </x:v>
      </x:c>
      <x:c r="M1627" s="84" t="str">
        <x:v>Debit Card</x:v>
      </x:c>
      <x:c r="N1627" s="84" t="str">
        <x:v>Ethan Cole</x:v>
      </x:c>
      <x:c r="O1627" s="85" t="n">
        <x:v>45832</x:v>
      </x:c>
      <x:c r="P1627" s="84" t="str">
        <x:v>WEB_2025_06</x:v>
      </x:c>
      <x:c r="Q1627" s="84" t="str">
        <x:v>Polarized Sunglasses</x:v>
      </x:c>
      <x:c r="R1627" s="84" t="str">
        <x:v>Accessories</x:v>
      </x:c>
    </x:row>
    <x:row r="1628">
      <x:c r="A1628" s="84" t="str">
        <x:v>ORD-2025-01350</x:v>
      </x:c>
      <x:c r="B1628" s="85" t="n">
        <x:v>45826</x:v>
      </x:c>
      <x:c r="C1628" s="84" t="str">
        <x:v>CUST-0174</x:v>
      </x:c>
      <x:c r="D1628" s="84" t="str">
        <x:v>Victoria Walker</x:v>
      </x:c>
      <x:c r="E1628" s="84" t="str">
        <x:v>Small Business</x:v>
      </x:c>
      <x:c r="F1628" s="84" t="str">
        <x:v>northeast</x:v>
      </x:c>
      <x:c r="G1628" s="84" t="str">
        <x:v>New York</x:v>
      </x:c>
      <x:c r="H1628" s="84" t="str">
        <x:v>Online</x:v>
      </x:c>
      <x:c r="I1628" s="84" t="str">
        <x:v>ACCS-003</x:v>
      </x:c>
      <x:c r="J1628" s="86" t="n">
        <x:v>1</x:v>
      </x:c>
      <x:c r="K1628" s="87" t="n">
        <x:v>0.15</x:v>
      </x:c>
      <x:c r="L1628" s="84" t="str">
        <x:v>Completed </x:v>
      </x:c>
      <x:c r="M1628" s="84" t="str">
        <x:v>Debit Card</x:v>
      </x:c>
      <x:c r="N1628" s="84" t="str">
        <x:v>Ethan Cole</x:v>
      </x:c>
      <x:c r="O1628" s="85" t="n">
        <x:v>45832</x:v>
      </x:c>
      <x:c r="P1628" s="84" t="str">
        <x:v>RELOAD_WEB_2025_06</x:v>
      </x:c>
      <x:c r="Q1628" s="84" t="str">
        <x:v>Polarized Sunglasses</x:v>
      </x:c>
      <x:c r="R1628" s="84" t="str">
        <x:v>Accessories</x:v>
      </x:c>
    </x:row>
    <x:row r="1629">
      <x:c r="A1629" s="84" t="str">
        <x:v>ORD-2025-01605</x:v>
      </x:c>
      <x:c r="B1629" s="85" t="n">
        <x:v>45826</x:v>
      </x:c>
      <x:c r="C1629" s="84" t="str">
        <x:v>CUST-0199</x:v>
      </x:c>
      <x:c r="D1629" s="84" t="str">
        <x:v>Theo Adams</x:v>
      </x:c>
      <x:c r="E1629" s="84" t="str">
        <x:v>Corporate</x:v>
      </x:c>
      <x:c r="F1629" s="84" t="str">
        <x:v>Northeast</x:v>
      </x:c>
      <x:c r="G1629" s="84" t="str">
        <x:v>Philadelphia</x:v>
      </x:c>
      <x:c r="H1629" s="84" t="str">
        <x:v>Retail Store</x:v>
      </x:c>
      <x:c r="I1629" s="84" t="str">
        <x:v>FITN-001</x:v>
      </x:c>
      <x:c r="J1629" s="86" t="n">
        <x:v>4</x:v>
      </x:c>
      <x:c r="K1629" s="87" t="n">
        <x:v>0.05</x:v>
      </x:c>
      <x:c r="L1629" s="84" t="str">
        <x:v>Returned</x:v>
      </x:c>
      <x:c r="M1629" s="84" t="str">
        <x:v>cash</x:v>
      </x:c>
      <x:c r="N1629" s="84" t="str">
        <x:v>Maya Brooks</x:v>
      </x:c>
      <x:c r="O1629" s="85" t="n">
        <x:v>45826</x:v>
      </x:c>
      <x:c r="P1629" s="84" t="str">
        <x:v>POS_2025_06</x:v>
      </x:c>
      <x:c r="Q1629" s="84" t="str">
        <x:v>Yoga Mat</x:v>
      </x:c>
      <x:c r="R1629" s="84" t="str">
        <x:v>Fitness </x:v>
      </x:c>
    </x:row>
    <x:row r="1630">
      <x:c r="A1630" s="84" t="str">
        <x:v>ORD-2025-01795</x:v>
      </x:c>
      <x:c r="B1630" s="85" t="n">
        <x:v>45826</x:v>
      </x:c>
      <x:c r="C1630" s="84" t="str">
        <x:v>CUST-0012</x:v>
      </x:c>
      <x:c r="D1630" s="84" t="str">
        <x:v>William Lewis</x:v>
      </x:c>
      <x:c r="E1630" s="84" t="str">
        <x:v>Consumer</x:v>
      </x:c>
      <x:c r="F1630" s="84" t="str">
        <x:v>West</x:v>
      </x:c>
      <x:c r="G1630" s="84" t="str">
        <x:v> DENVER </x:v>
      </x:c>
      <x:c r="H1630" s="84" t="str">
        <x:v>Online </x:v>
      </x:c>
      <x:c r="I1630" s="84" t="str">
        <x:v>OFFC-005</x:v>
      </x:c>
      <x:c r="J1630" s="86" t="n">
        <x:v>2</x:v>
      </x:c>
      <x:c r="K1630" s="87" t="n">
        <x:v>0</x:v>
      </x:c>
      <x:c r="L1630" s="84" t="str">
        <x:v>Completed</x:v>
      </x:c>
      <x:c r="M1630" s="84" t="str">
        <x:v>Debit Card</x:v>
      </x:c>
      <x:c r="N1630" s="84" t="str">
        <x:v>nora kim</x:v>
      </x:c>
      <x:c r="O1630" s="85" t="n">
        <x:v>45831</x:v>
      </x:c>
      <x:c r="P1630" s="84" t="str">
        <x:v>WEB_2025_06</x:v>
      </x:c>
      <x:c r="Q1630" s="84" t="str">
        <x:v>Wireless Keyboard</x:v>
      </x:c>
      <x:c r="R1630" s="84" t="str">
        <x:v>Office</x:v>
      </x:c>
    </x:row>
    <x:row r="1631">
      <x:c r="A1631" s="84" t="str">
        <x:v>ORD-2025-02265</x:v>
      </x:c>
      <x:c r="B1631" s="85" t="n">
        <x:v>45826</x:v>
      </x:c>
      <x:c r="C1631" s="84" t="str">
        <x:v>CUST-0428</x:v>
      </x:c>
      <x:c r="D1631" s="84" t="str">
        <x:v>Theo Taylor</x:v>
      </x:c>
      <x:c r="E1631" s="84" t="str">
        <x:v>Consumer</x:v>
      </x:c>
      <x:c r="F1631" s="84" t="str">
        <x:v>Midwest </x:v>
      </x:c>
      <x:c r="G1631" s="84" t="str">
        <x:v>Chicago</x:v>
      </x:c>
      <x:c r="H1631" s="84" t="str">
        <x:v>Marketplace</x:v>
      </x:c>
      <x:c r="I1631" s="84" t="str">
        <x:v>HOME-003</x:v>
      </x:c>
      <x:c r="J1631" s="86" t="n">
        <x:v>1</x:v>
      </x:c>
      <x:c r="K1631" s="87" t="n">
        <x:v>0.1</x:v>
      </x:c>
      <x:c r="L1631" s="84" t="str">
        <x:v>Completed</x:v>
      </x:c>
      <x:c r="M1631" s="84" t="str">
        <x:v>credit card</x:v>
      </x:c>
      <x:c r="N1631" s="84" t="str">
        <x:v>Emma Hayes </x:v>
      </x:c>
      <x:c r="O1631" s="85" t="n">
        <x:v>45832</x:v>
      </x:c>
      <x:c r="P1631" s="84" t="str">
        <x:v>MKT_2025_06</x:v>
      </x:c>
      <x:c r="Q1631" s="84" t="str">
        <x:v> COUNTERTOP BLENDER </x:v>
      </x:c>
      <x:c r="R1631" s="84" t="str">
        <x:v>Home &amp; Kitchen</x:v>
      </x:c>
    </x:row>
    <x:row r="1632">
      <x:c r="A1632" s="84" t="str">
        <x:v>ORD-2025-00603</x:v>
      </x:c>
      <x:c r="B1632" s="85" t="n">
        <x:v>45827</x:v>
      </x:c>
      <x:c r="C1632" s="84" t="str">
        <x:v>CUST-0405</x:v>
      </x:c>
      <x:c r="D1632" s="84" t="str">
        <x:v>Daniel Irwin</x:v>
      </x:c>
      <x:c r="E1632" s="84" t="str">
        <x:v>Corporate</x:v>
      </x:c>
      <x:c r="F1632" s="84" t="str">
        <x:v>West</x:v>
      </x:c>
      <x:c r="G1632" s="84" t="str">
        <x:v>Seattle</x:v>
      </x:c>
      <x:c r="H1632" s="84" t="str">
        <x:v>Online</x:v>
      </x:c>
      <x:c r="I1632" s="84" t="str">
        <x:v>ELEC-002</x:v>
      </x:c>
      <x:c r="J1632" s="86" t="n">
        <x:v>2</x:v>
      </x:c>
      <x:c r="K1632" s="87" t="n">
        <x:v>0.1</x:v>
      </x:c>
      <x:c r="L1632" s="84" t="str">
        <x:v>Completed</x:v>
      </x:c>
      <x:c r="M1632" s="84" t="str">
        <x:v>Credit Card</x:v>
      </x:c>
      <x:c r="N1632" s="84" t="str">
        <x:v>Mia Chen</x:v>
      </x:c>
      <x:c r="O1632" s="85" t="n">
        <x:v>45830</x:v>
      </x:c>
      <x:c r="P1632" s="84" t="str">
        <x:v>WEB_2025_06</x:v>
      </x:c>
      <x:c r="Q1632" s="84" t="str">
        <x:v>smartwatch</x:v>
      </x:c>
      <x:c r="R1632" s="84" t="str">
        <x:v>Electronics</x:v>
      </x:c>
    </x:row>
    <x:row r="1633">
      <x:c r="A1633" s="84" t="str">
        <x:v>ORD-2025-00907</x:v>
      </x:c>
      <x:c r="B1633" s="85" t="n">
        <x:v>45827</x:v>
      </x:c>
      <x:c r="C1633" s="84" t="str">
        <x:v>CUST-0202</x:v>
      </x:c>
      <x:c r="D1633" s="84" t="str">
        <x:v>Jasmine Garcia</x:v>
      </x:c>
      <x:c r="E1633" s="84" t="str">
        <x:v>Small Business</x:v>
      </x:c>
      <x:c r="F1633" s="84" t="str">
        <x:v>Midwest </x:v>
      </x:c>
      <x:c r="G1633" s="84" t="str">
        <x:v>Detroit</x:v>
      </x:c>
      <x:c r="H1633" s="84" t="str">
        <x:v> RETAIL STORE </x:v>
      </x:c>
      <x:c r="I1633" s="84" t="str">
        <x:v>HOME-004</x:v>
      </x:c>
      <x:c r="J1633" s="86" t="n">
        <x:v>1</x:v>
      </x:c>
      <x:c r="K1633" s="87" t="n">
        <x:v>0.1</x:v>
      </x:c>
      <x:c r="L1633" s="84" t="str">
        <x:v>Completed</x:v>
      </x:c>
      <x:c r="M1633" s="84" t="str">
        <x:v>Cash</x:v>
      </x:c>
      <x:c r="N1633" s="84" t="str">
        <x:v>Emma Hayes </x:v>
      </x:c>
      <x:c r="O1633" s="85" t="n">
        <x:v>45827</x:v>
      </x:c>
      <x:c r="P1633" s="84" t="str">
        <x:v>POS_2025_06</x:v>
      </x:c>
      <x:c r="Q1633" s="84" t="str">
        <x:v>Coffee Maker</x:v>
      </x:c>
      <x:c r="R1633" s="84" t="str">
        <x:v>Home &amp; Kitchen</x:v>
      </x:c>
    </x:row>
    <x:row r="1634">
      <x:c r="A1634" s="84" t="str">
        <x:v>ORD-2025-00018</x:v>
      </x:c>
      <x:c r="B1634" s="85" t="n">
        <x:v>45828</x:v>
      </x:c>
      <x:c r="C1634" s="84" t="str">
        <x:v>CUST-0429</x:v>
      </x:c>
      <x:c r="D1634" s="84" t="str">
        <x:v>maya smith</x:v>
      </x:c>
      <x:c r="E1634" s="84" t="str">
        <x:v>Small Business</x:v>
      </x:c>
      <x:c r="F1634" s="84" t="str">
        <x:v>West </x:v>
      </x:c>
      <x:c r="G1634" s="84" t="str">
        <x:v>Los Angeles</x:v>
      </x:c>
      <x:c r="H1634" s="84" t="str">
        <x:v>Marketplace</x:v>
      </x:c>
      <x:c r="I1634" s="84" t="str">
        <x:v>HOME-003</x:v>
      </x:c>
      <x:c r="J1634" s="86" t="n">
        <x:v>3</x:v>
      </x:c>
      <x:c r="K1634" s="87" t="n">
        <x:v>0.1</x:v>
      </x:c>
      <x:c r="L1634" s="84" t="str">
        <x:v>Completed</x:v>
      </x:c>
      <x:c r="M1634" s="84" t="str">
        <x:v>Credit Card</x:v>
      </x:c>
      <x:c r="N1634" s="84" t="str">
        <x:v>Mia Chen </x:v>
      </x:c>
      <x:c r="O1634" s="85" t="n">
        <x:v>45833</x:v>
      </x:c>
      <x:c r="P1634" s="84" t="str">
        <x:v>MKT_2025_06</x:v>
      </x:c>
      <x:c r="Q1634" s="84" t="str">
        <x:v>Countertop Blender</x:v>
      </x:c>
      <x:c r="R1634" s="84" t="str">
        <x:v>Home &amp; Kitchen</x:v>
      </x:c>
    </x:row>
    <x:row r="1635">
      <x:c r="A1635" s="84" t="str">
        <x:v>ORD-2025-00929</x:v>
      </x:c>
      <x:c r="B1635" s="85" t="n">
        <x:v>45828</x:v>
      </x:c>
      <x:c r="C1635" s="84" t="str">
        <x:v>CUST-0095</x:v>
      </x:c>
      <x:c r="D1635" s="84" t="str">
        <x:v>Elena Irwin </x:v>
      </x:c>
      <x:c r="E1635" s="84" t="str">
        <x:v>Corporate</x:v>
      </x:c>
      <x:c r="F1635" s="84" t="str">
        <x:v>Northeast</x:v>
      </x:c>
      <x:c r="G1635" s="84" t="str">
        <x:v>Newark</x:v>
      </x:c>
      <x:c r="H1635" s="84" t="str">
        <x:v>Retail Store</x:v>
      </x:c>
      <x:c r="I1635" s="84" t="str">
        <x:v>ELEC-004</x:v>
      </x:c>
      <x:c r="J1635" s="86" t="n">
        <x:v>8</x:v>
      </x:c>
      <x:c r="K1635" s="87" t="n">
        <x:v>0.2</x:v>
      </x:c>
      <x:c r="L1635" s="84" t="str">
        <x:v>Completed</x:v>
      </x:c>
      <x:c r="M1635" s="84" t="str">
        <x:v> CREDIT CARD </x:v>
      </x:c>
      <x:c r="N1635" s="84" t="str">
        <x:v>Sofia Bennett</x:v>
      </x:c>
      <x:c r="O1635" s="85" t="n">
        <x:v>45828</x:v>
      </x:c>
      <x:c r="P1635" s="84" t="str">
        <x:v>POS_2025_06</x:v>
      </x:c>
      <x:c r="Q1635" s="84" t="str">
        <x:v>Power Bank</x:v>
      </x:c>
      <x:c r="R1635" s="84" t="str">
        <x:v>Electronics</x:v>
      </x:c>
    </x:row>
    <x:row r="1636">
      <x:c r="A1636" s="84" t="str">
        <x:v>ORD-2025-00963</x:v>
      </x:c>
      <x:c r="B1636" s="85" t="n">
        <x:v>45828</x:v>
      </x:c>
      <x:c r="C1636" s="84" t="str">
        <x:v>CUST-0605</x:v>
      </x:c>
      <x:c r="D1636" s="84" t="str">
        <x:v>Layla Adams</x:v>
      </x:c>
      <x:c r="E1636" s="84" t="str">
        <x:v>Consumer</x:v>
      </x:c>
      <x:c r="F1636" s="84" t="str">
        <x:v>Northeast </x:v>
      </x:c>
      <x:c r="G1636" s="84" t="str">
        <x:v>Philadelphia</x:v>
      </x:c>
      <x:c r="H1636" s="84" t="str">
        <x:v>Online</x:v>
      </x:c>
      <x:c r="I1636" s="84" t="str">
        <x:v>HOME-006</x:v>
      </x:c>
      <x:c r="J1636" s="86" t="n">
        <x:v>1</x:v>
      </x:c>
      <x:c r="K1636" s="87" t="n">
        <x:v>0</x:v>
      </x:c>
      <x:c r="L1636" s="84" t="str">
        <x:v>Completed</x:v>
      </x:c>
      <x:c r="M1636" s="84" t="str">
        <x:v> PAYPAL </x:v>
      </x:c>
      <x:c r="N1636" s="84" t="str">
        <x:v>Sofia Bennett </x:v>
      </x:c>
      <x:c r="O1636" s="85" t="n">
        <x:v>45831</x:v>
      </x:c>
      <x:c r="P1636" s="84" t="str">
        <x:v>WEB_2025_06</x:v>
      </x:c>
      <x:c r="Q1636" s="84" t="str">
        <x:v>Food Storage Set</x:v>
      </x:c>
      <x:c r="R1636" s="84" t="str">
        <x:v>Home &amp; Kitchen</x:v>
      </x:c>
    </x:row>
    <x:row r="1637">
      <x:c r="A1637" s="84" t="str">
        <x:v>ORD-2025-00386</x:v>
      </x:c>
      <x:c r="B1637" s="85" t="n">
        <x:v>45829</x:v>
      </x:c>
      <x:c r="C1637" s="84" t="str">
        <x:v>CUST-0419</x:v>
      </x:c>
      <x:c r="D1637" s="84" t="str">
        <x:v>Isaac Nelson</x:v>
      </x:c>
      <x:c r="E1637" s="84" t="str">
        <x:v>Consumer</x:v>
      </x:c>
      <x:c r="F1637" s="84" t="str">
        <x:v>Northeast</x:v>
      </x:c>
      <x:c r="G1637" s="84" t="str">
        <x:v>New York</x:v>
      </x:c>
      <x:c r="H1637" s="84" t="str">
        <x:v>Retail Store</x:v>
      </x:c>
      <x:c r="I1637" s="84" t="str">
        <x:v>ELEC-006</x:v>
      </x:c>
      <x:c r="J1637" s="86" t="n">
        <x:v>1</x:v>
      </x:c>
      <x:c r="K1637" s="87" t="n">
        <x:v>0</x:v>
      </x:c>
      <x:c r="L1637" s="84" t="str">
        <x:v>Completed</x:v>
      </x:c>
      <x:c r="M1637" s="84" t="str">
        <x:v>Credit Card</x:v>
      </x:c>
      <x:c r="N1637" s="84" t="str">
        <x:v>Maya Brooks</x:v>
      </x:c>
      <x:c r="O1637" s="85" t="n">
        <x:v>45829</x:v>
      </x:c>
      <x:c r="P1637" s="84" t="str">
        <x:v>POS_2025_06</x:v>
      </x:c>
      <x:c r="Q1637" s="84" t="str">
        <x:v>Portable SSD </x:v>
      </x:c>
      <x:c r="R1637" s="84" t="str">
        <x:v>Electronics</x:v>
      </x:c>
    </x:row>
    <x:row r="1638">
      <x:c r="A1638" s="84" t="str">
        <x:v>ORD-2025-00948</x:v>
      </x:c>
      <x:c r="B1638" s="85" t="n">
        <x:v>45829</x:v>
      </x:c>
      <x:c r="C1638" s="84" t="str">
        <x:v>CUST-0160</x:v>
      </x:c>
      <x:c r="D1638" s="84" t="str">
        <x:v>Amelia Adams</x:v>
      </x:c>
      <x:c r="E1638" s="84" t="str">
        <x:v>Consumer</x:v>
      </x:c>
      <x:c r="F1638" s="84" t="str">
        <x:v>Southeast</x:v>
      </x:c>
      <x:c r="G1638" s="84" t="str">
        <x:v>Atlanta</x:v>
      </x:c>
      <x:c r="H1638" s="84" t="str">
        <x:v>Retail Store </x:v>
      </x:c>
      <x:c r="I1638" s="84" t="str">
        <x:v>HOME-005</x:v>
      </x:c>
      <x:c r="J1638" s="86" t="n">
        <x:v>1</x:v>
      </x:c>
      <x:c r="K1638" s="87" t="n">
        <x:v>0</x:v>
      </x:c>
      <x:c r="L1638" s="84" t="str">
        <x:v>Completed</x:v>
      </x:c>
      <x:c r="M1638" s="84" t="str">
        <x:v>Mobile Wallet</x:v>
      </x:c>
      <x:c r="N1638" s="84" t="str">
        <x:v>noah reed</x:v>
      </x:c>
      <x:c r="O1638" s="85" t="n">
        <x:v>45829</x:v>
      </x:c>
      <x:c r="P1638" s="84" t="str">
        <x:v>POS_2025_06</x:v>
      </x:c>
      <x:c r="Q1638" s="84" t="str">
        <x:v>Cordless Vacuum</x:v>
      </x:c>
      <x:c r="R1638" s="84" t="str">
        <x:v>Home &amp; Kitchen</x:v>
      </x:c>
    </x:row>
    <x:row r="1639">
      <x:c r="A1639" s="84" t="str">
        <x:v>ORD-2025-01035</x:v>
      </x:c>
      <x:c r="B1639" s="85" t="n">
        <x:v>45829</x:v>
      </x:c>
      <x:c r="C1639" s="84" t="str">
        <x:v>CUST-0575</x:v>
      </x:c>
      <x:c r="D1639" s="84" t="str">
        <x:v>Elena Walker</x:v>
      </x:c>
      <x:c r="E1639" s="84" t="str">
        <x:v>Consumer</x:v>
      </x:c>
      <x:c r="F1639" s="84" t="str">
        <x:v>Northeast</x:v>
      </x:c>
      <x:c r="G1639" s="84" t="str">
        <x:v>Philadelphia</x:v>
      </x:c>
      <x:c r="H1639" s="84" t="str">
        <x:v>Online</x:v>
      </x:c>
      <x:c r="I1639" s="84" t="str">
        <x:v>ELEC-006</x:v>
      </x:c>
      <x:c r="J1639" s="86" t="n">
        <x:v>1</x:v>
      </x:c>
      <x:c r="K1639" s="87" t="n">
        <x:v>0</x:v>
      </x:c>
      <x:c r="L1639" s="84" t="str">
        <x:v>Completed </x:v>
      </x:c>
      <x:c r="M1639" s="84" t="str">
        <x:v>Mobile Wallet</x:v>
      </x:c>
      <x:c r="N1639" s="84" t="str">
        <x:v>Ethan Cole</x:v>
      </x:c>
      <x:c r="O1639" s="85" t="n">
        <x:v>45833</x:v>
      </x:c>
      <x:c r="P1639" s="84" t="str">
        <x:v>WEB_2025_06</x:v>
      </x:c>
      <x:c r="Q1639" s="84" t="str">
        <x:v>Portable SSD</x:v>
      </x:c>
      <x:c r="R1639" s="84" t="str">
        <x:v> ELECTRONICS </x:v>
      </x:c>
    </x:row>
    <x:row r="1640">
      <x:c r="A1640" s="84" t="str">
        <x:v>ORD-2025-01068</x:v>
      </x:c>
      <x:c r="B1640" s="85" t="n">
        <x:v>45829</x:v>
      </x:c>
      <x:c r="C1640" s="84" t="str">
        <x:v>CUST-0268</x:v>
      </x:c>
      <x:c r="D1640" s="84" t="str">
        <x:v> AIDEN MOORE </x:v>
      </x:c>
      <x:c r="E1640" s="84" t="str">
        <x:v>Small Business</x:v>
      </x:c>
      <x:c r="F1640" s="84" t="str">
        <x:v> MIDWEST </x:v>
      </x:c>
      <x:c r="G1640" s="84" t="str">
        <x:v>Chicago</x:v>
      </x:c>
      <x:c r="H1640" s="84" t="str">
        <x:v>Online</x:v>
      </x:c>
      <x:c r="I1640" s="84" t="str">
        <x:v>OFFC-004</x:v>
      </x:c>
      <x:c r="J1640" s="86" t="n">
        <x:v>1</x:v>
      </x:c>
      <x:c r="K1640" s="87" t="n">
        <x:v>0</x:v>
      </x:c>
      <x:c r="L1640" s="84" t="str">
        <x:v>Completed</x:v>
      </x:c>
      <x:c r="M1640" s="84" t="str">
        <x:v>Credit Card</x:v>
      </x:c>
      <x:c r="N1640" s="84" t="str">
        <x:v>Lucas Grant </x:v>
      </x:c>
      <x:c r="O1640" s="85" t="n">
        <x:v>45833</x:v>
      </x:c>
      <x:c r="P1640" s="84" t="str">
        <x:v>WEB_2025_06</x:v>
      </x:c>
      <x:c r="Q1640" s="84" t="str">
        <x:v>Premium Notebook Pack</x:v>
      </x:c>
      <x:c r="R1640" s="84" t="str">
        <x:v>Office</x:v>
      </x:c>
    </x:row>
    <x:row r="1641">
      <x:c r="A1641" s="84" t="str">
        <x:v>ORD-2025-01346</x:v>
      </x:c>
      <x:c r="B1641" s="85" t="n">
        <x:v>45829</x:v>
      </x:c>
      <x:c r="C1641" s="84" t="str">
        <x:v>CUST-0228</x:v>
      </x:c>
      <x:c r="D1641" s="84" t="str">
        <x:v>Victoria Irwin</x:v>
      </x:c>
      <x:c r="E1641" s="84" t="str">
        <x:v>Consumer</x:v>
      </x:c>
      <x:c r="F1641" s="84" t="str">
        <x:v>Midwest</x:v>
      </x:c>
      <x:c r="G1641" s="84" t="str">
        <x:v>columbus</x:v>
      </x:c>
      <x:c r="H1641" s="84" t="str">
        <x:v>Retail Store</x:v>
      </x:c>
      <x:c r="I1641" s="84" t="str">
        <x:v>ACCS-006</x:v>
      </x:c>
      <x:c r="J1641" s="86" t="n">
        <x:v>3</x:v>
      </x:c>
      <x:c r="K1641" s="87" t="n">
        <x:v>0.05</x:v>
      </x:c>
      <x:c r="L1641" s="84" t="str">
        <x:v>completed</x:v>
      </x:c>
      <x:c r="M1641" s="84" t="str">
        <x:v>Debit Card</x:v>
      </x:c>
      <x:c r="N1641" s="84" t="str">
        <x:v> ZOE TURNER </x:v>
      </x:c>
      <x:c r="O1641" s="85" t="n">
        <x:v>45829</x:v>
      </x:c>
      <x:c r="P1641" s="84" t="str">
        <x:v>POS_2025_06</x:v>
      </x:c>
      <x:c r="Q1641" s="84" t="str">
        <x:v>Insulated Lunch Bag</x:v>
      </x:c>
      <x:c r="R1641" s="84" t="str">
        <x:v>Accessories </x:v>
      </x:c>
    </x:row>
    <x:row r="1642">
      <x:c r="A1642" s="84" t="str">
        <x:v>ORD-2025-01525</x:v>
      </x:c>
      <x:c r="B1642" s="85" t="n">
        <x:v>45829</x:v>
      </x:c>
      <x:c r="C1642" s="84" t="str">
        <x:v>CUST-0623</x:v>
      </x:c>
      <x:c r="D1642" s="84" t="str">
        <x:v>theo roberts</x:v>
      </x:c>
      <x:c r="E1642" s="84" t="str"/>
      <x:c r="F1642" s="84" t="str">
        <x:v>Midwest</x:v>
      </x:c>
      <x:c r="G1642" s="84" t="str">
        <x:v>Detroit</x:v>
      </x:c>
      <x:c r="H1642" s="84" t="str">
        <x:v>Retail Store</x:v>
      </x:c>
      <x:c r="I1642" s="84" t="str">
        <x:v>OFFC-002</x:v>
      </x:c>
      <x:c r="J1642" s="86" t="n">
        <x:v>1</x:v>
      </x:c>
      <x:c r="K1642" s="87" t="n">
        <x:v>0</x:v>
      </x:c>
      <x:c r="L1642" s="84" t="str">
        <x:v>Completed </x:v>
      </x:c>
      <x:c r="M1642" s="84" t="str">
        <x:v>Mobile Wallet</x:v>
      </x:c>
      <x:c r="N1642" s="84" t="str">
        <x:v>Zoe Turner</x:v>
      </x:c>
      <x:c r="O1642" s="85" t="n">
        <x:v>45829</x:v>
      </x:c>
      <x:c r="P1642" s="84" t="str">
        <x:v>POS_2025_06</x:v>
      </x:c>
      <x:c r="Q1642" s="84" t="str">
        <x:v>Standing Desk</x:v>
      </x:c>
      <x:c r="R1642" s="84" t="str">
        <x:v>Office</x:v>
      </x:c>
    </x:row>
    <x:row r="1643">
      <x:c r="A1643" s="84" t="str">
        <x:v>ORD-2025-00040</x:v>
      </x:c>
      <x:c r="B1643" s="85" t="n">
        <x:v>45830</x:v>
      </x:c>
      <x:c r="C1643" s="84" t="str">
        <x:v>CUST-0564</x:v>
      </x:c>
      <x:c r="D1643" s="84" t="str">
        <x:v>amelia khan</x:v>
      </x:c>
      <x:c r="E1643" s="84" t="str">
        <x:v>Corporate</x:v>
      </x:c>
      <x:c r="F1643" s="84" t="str">
        <x:v>Southeast</x:v>
      </x:c>
      <x:c r="G1643" s="84" t="str">
        <x:v>Miami</x:v>
      </x:c>
      <x:c r="H1643" s="84" t="str">
        <x:v> RETAIL STORE </x:v>
      </x:c>
      <x:c r="I1643" s="84" t="str">
        <x:v>OFFC-006</x:v>
      </x:c>
      <x:c r="J1643" s="86" t="n">
        <x:v>4</x:v>
      </x:c>
      <x:c r="K1643" s="87" t="n">
        <x:v>0.05</x:v>
      </x:c>
      <x:c r="L1643" s="84" t="str">
        <x:v>Completed</x:v>
      </x:c>
      <x:c r="M1643" s="84" t="str">
        <x:v>Credit Card </x:v>
      </x:c>
      <x:c r="N1643" s="84" t="str">
        <x:v>Noah Reed</x:v>
      </x:c>
      <x:c r="O1643" s="85" t="n">
        <x:v>45830</x:v>
      </x:c>
      <x:c r="P1643" s="84" t="str">
        <x:v>POS_2025_06</x:v>
      </x:c>
      <x:c r="Q1643" s="84" t="str">
        <x:v>Monitor Stand</x:v>
      </x:c>
      <x:c r="R1643" s="84" t="str">
        <x:v>Office</x:v>
      </x:c>
    </x:row>
    <x:row r="1644">
      <x:c r="A1644" s="84" t="str">
        <x:v>ORD-2025-00793</x:v>
      </x:c>
      <x:c r="B1644" s="85" t="n">
        <x:v>45830</x:v>
      </x:c>
      <x:c r="C1644" s="84" t="str">
        <x:v>CUST-0472</x:v>
      </x:c>
      <x:c r="D1644" s="84" t="str">
        <x:v>Owen Davis</x:v>
      </x:c>
      <x:c r="E1644" s="84" t="str"/>
      <x:c r="F1644" s="84" t="str">
        <x:v>West</x:v>
      </x:c>
      <x:c r="G1644" s="84" t="str">
        <x:v>Los Angeles</x:v>
      </x:c>
      <x:c r="H1644" s="84" t="str">
        <x:v>Retail Store</x:v>
      </x:c>
      <x:c r="I1644" s="84" t="str">
        <x:v>FITN-005</x:v>
      </x:c>
      <x:c r="J1644" s="86" t="n">
        <x:v>4</x:v>
      </x:c>
      <x:c r="K1644" s="87" t="n">
        <x:v>0</x:v>
      </x:c>
      <x:c r="L1644" s="84" t="str">
        <x:v>Completed</x:v>
      </x:c>
      <x:c r="M1644" s="84" t="str">
        <x:v> MOBILE WALLET </x:v>
      </x:c>
      <x:c r="N1644" s="84" t="str">
        <x:v>Nora Kim</x:v>
      </x:c>
      <x:c r="O1644" s="85" t="n">
        <x:v>45830</x:v>
      </x:c>
      <x:c r="P1644" s="84" t="str">
        <x:v>POS_2025_06</x:v>
      </x:c>
      <x:c r="Q1644" s="84" t="str">
        <x:v>Sports Water Bottle</x:v>
      </x:c>
      <x:c r="R1644" s="84" t="str">
        <x:v>Fitness </x:v>
      </x:c>
    </x:row>
    <x:row r="1645">
      <x:c r="A1645" s="84" t="str">
        <x:v>ORD-2025-01071</x:v>
      </x:c>
      <x:c r="B1645" s="85" t="n">
        <x:v>45830</x:v>
      </x:c>
      <x:c r="C1645" s="84" t="str">
        <x:v>CUST-0592</x:v>
      </x:c>
      <x:c r="D1645" s="84" t="str">
        <x:v>Theo Patel</x:v>
      </x:c>
      <x:c r="E1645" s="84" t="str">
        <x:v> CORPORATE </x:v>
      </x:c>
      <x:c r="F1645" s="84" t="str">
        <x:v>Southeast</x:v>
      </x:c>
      <x:c r="G1645" s="84" t="str">
        <x:v>nashville</x:v>
      </x:c>
      <x:c r="H1645" s="84" t="str">
        <x:v>Marketplace</x:v>
      </x:c>
      <x:c r="I1645" s="84" t="str">
        <x:v>HOME-001</x:v>
      </x:c>
      <x:c r="J1645" s="86" t="n">
        <x:v>8</x:v>
      </x:c>
      <x:c r="K1645" s="87" t="n">
        <x:v>0</x:v>
      </x:c>
      <x:c r="L1645" s="84" t="str">
        <x:v>completed</x:v>
      </x:c>
      <x:c r="M1645" s="84" t="str">
        <x:v>Debit Card</x:v>
      </x:c>
      <x:c r="N1645" s="84" t="str">
        <x:v>Noah Reed</x:v>
      </x:c>
      <x:c r="O1645" s="85" t="n">
        <x:v>45834</x:v>
      </x:c>
      <x:c r="P1645" s="84" t="str">
        <x:v>MKT_2025_06</x:v>
      </x:c>
      <x:c r="Q1645" s="84" t="str">
        <x:v>Air Fryer</x:v>
      </x:c>
      <x:c r="R1645" s="84" t="str">
        <x:v>Home &amp; Kitchen</x:v>
      </x:c>
    </x:row>
    <x:row r="1646">
      <x:c r="A1646" s="84" t="str">
        <x:v>ORD-2025-01372</x:v>
      </x:c>
      <x:c r="B1646" s="85" t="n">
        <x:v>45830</x:v>
      </x:c>
      <x:c r="C1646" s="84" t="str">
        <x:v>CUST-0589</x:v>
      </x:c>
      <x:c r="D1646" s="84" t="str">
        <x:v>Nathan Foster</x:v>
      </x:c>
      <x:c r="E1646" s="84" t="str">
        <x:v>Consumer </x:v>
      </x:c>
      <x:c r="F1646" s="84" t="str">
        <x:v>northeast</x:v>
      </x:c>
      <x:c r="G1646" s="84" t="str">
        <x:v>Philadelphia </x:v>
      </x:c>
      <x:c r="H1646" s="84" t="str">
        <x:v>Online</x:v>
      </x:c>
      <x:c r="I1646" s="84" t="str">
        <x:v>FITN-005</x:v>
      </x:c>
      <x:c r="J1646" s="86" t="n">
        <x:v>1</x:v>
      </x:c>
      <x:c r="K1646" s="87" t="n">
        <x:v>0</x:v>
      </x:c>
      <x:c r="L1646" s="84" t="str">
        <x:v>Completed</x:v>
      </x:c>
      <x:c r="M1646" s="84" t="str">
        <x:v>Credit Card</x:v>
      </x:c>
      <x:c r="N1646" s="84" t="str">
        <x:v>Ethan Cole</x:v>
      </x:c>
      <x:c r="O1646" s="85" t="n">
        <x:v>45834</x:v>
      </x:c>
      <x:c r="P1646" s="84" t="str">
        <x:v>WEB_2025_06</x:v>
      </x:c>
      <x:c r="Q1646" s="84" t="str">
        <x:v>Sports Water Bottle</x:v>
      </x:c>
      <x:c r="R1646" s="84" t="str">
        <x:v>Fitness</x:v>
      </x:c>
    </x:row>
    <x:row r="1647">
      <x:c r="A1647" s="84" t="str">
        <x:v>ORD-2025-00503</x:v>
      </x:c>
      <x:c r="B1647" s="85" t="n">
        <x:v>45831</x:v>
      </x:c>
      <x:c r="C1647" s="84" t="str">
        <x:v>CUST-0476</x:v>
      </x:c>
      <x:c r="D1647" s="84" t="str">
        <x:v>Victoria Irwin</x:v>
      </x:c>
      <x:c r="E1647" s="84" t="str">
        <x:v>Small Business</x:v>
      </x:c>
      <x:c r="F1647" s="84" t="str">
        <x:v>southeast</x:v>
      </x:c>
      <x:c r="G1647" s="84" t="str">
        <x:v> CHARLOTTE </x:v>
      </x:c>
      <x:c r="H1647" s="84" t="str">
        <x:v>Online</x:v>
      </x:c>
      <x:c r="I1647" s="84" t="str">
        <x:v>FITN-005</x:v>
      </x:c>
      <x:c r="J1647" s="86" t="n">
        <x:v>2</x:v>
      </x:c>
      <x:c r="K1647" s="87" t="n">
        <x:v>0.05</x:v>
      </x:c>
      <x:c r="L1647" s="84" t="str">
        <x:v>Completed </x:v>
      </x:c>
      <x:c r="M1647" s="84" t="str">
        <x:v>Debit Card</x:v>
      </x:c>
      <x:c r="N1647" s="84" t="str">
        <x:v>Noah Reed</x:v>
      </x:c>
      <x:c r="O1647" s="85" t="n">
        <x:v>45833</x:v>
      </x:c>
      <x:c r="P1647" s="84" t="str">
        <x:v>WEB_2025_06</x:v>
      </x:c>
      <x:c r="Q1647" s="84" t="str">
        <x:v>Sports Water Bottle</x:v>
      </x:c>
      <x:c r="R1647" s="84" t="str">
        <x:v>Fitness</x:v>
      </x:c>
    </x:row>
    <x:row r="1648">
      <x:c r="A1648" s="84" t="str">
        <x:v>ORD-2025-01615</x:v>
      </x:c>
      <x:c r="B1648" s="85" t="n">
        <x:v>45831</x:v>
      </x:c>
      <x:c r="C1648" s="84" t="str">
        <x:v>CUST-0235</x:v>
      </x:c>
      <x:c r="D1648" s="84" t="str">
        <x:v>Samuel Quinn </x:v>
      </x:c>
      <x:c r="E1648" s="84" t="str">
        <x:v> CONSUMER </x:v>
      </x:c>
      <x:c r="F1648" s="84" t="str">
        <x:v>West</x:v>
      </x:c>
      <x:c r="G1648" s="84" t="str">
        <x:v>Phoenix</x:v>
      </x:c>
      <x:c r="H1648" s="84" t="str">
        <x:v>Online</x:v>
      </x:c>
      <x:c r="I1648" s="84" t="str">
        <x:v>ELEC-006</x:v>
      </x:c>
      <x:c r="J1648" s="86" t="n">
        <x:v>1</x:v>
      </x:c>
      <x:c r="K1648" s="87" t="n">
        <x:v>0.05</x:v>
      </x:c>
      <x:c r="L1648" s="84" t="str">
        <x:v>Returned</x:v>
      </x:c>
      <x:c r="M1648" s="84" t="str">
        <x:v>Credit Card </x:v>
      </x:c>
      <x:c r="N1648" s="84" t="str">
        <x:v>Nora Kim</x:v>
      </x:c>
      <x:c r="O1648" s="85" t="n">
        <x:v>45834</x:v>
      </x:c>
      <x:c r="P1648" s="84" t="str">
        <x:v>WEB_2025_06</x:v>
      </x:c>
      <x:c r="Q1648" s="84" t="str">
        <x:v>portable ssd</x:v>
      </x:c>
      <x:c r="R1648" s="84" t="str">
        <x:v>Electronics</x:v>
      </x:c>
    </x:row>
    <x:row r="1649">
      <x:c r="A1649" s="84" t="str">
        <x:v>ORD-2025-02217</x:v>
      </x:c>
      <x:c r="B1649" s="85" t="n">
        <x:v>45831</x:v>
      </x:c>
      <x:c r="C1649" s="84" t="str">
        <x:v>CUST-0209</x:v>
      </x:c>
      <x:c r="D1649" s="84" t="str">
        <x:v>Sara Walker </x:v>
      </x:c>
      <x:c r="E1649" s="84" t="str">
        <x:v>Consumer</x:v>
      </x:c>
      <x:c r="F1649" s="84" t="str">
        <x:v>Midwest</x:v>
      </x:c>
      <x:c r="G1649" s="84" t="str">
        <x:v>Chicago</x:v>
      </x:c>
      <x:c r="H1649" s="84" t="str">
        <x:v>Retail Store</x:v>
      </x:c>
      <x:c r="I1649" s="84" t="str">
        <x:v>ACCS-003</x:v>
      </x:c>
      <x:c r="J1649" s="86" t="n">
        <x:v>1</x:v>
      </x:c>
      <x:c r="K1649" s="87" t="n">
        <x:v>0.05</x:v>
      </x:c>
      <x:c r="L1649" s="84" t="str">
        <x:v>Completed</x:v>
      </x:c>
      <x:c r="M1649" s="84" t="str">
        <x:v>Credit Card </x:v>
      </x:c>
      <x:c r="N1649" s="84" t="str">
        <x:v>Lucas Grant</x:v>
      </x:c>
      <x:c r="O1649" s="85" t="n">
        <x:v>45831</x:v>
      </x:c>
      <x:c r="P1649" s="84" t="str">
        <x:v>POS_2025_06</x:v>
      </x:c>
      <x:c r="Q1649" s="84" t="str">
        <x:v>Polarized Sunglasses</x:v>
      </x:c>
      <x:c r="R1649" s="84" t="str">
        <x:v>Accessories</x:v>
      </x:c>
    </x:row>
    <x:row r="1650">
      <x:c r="A1650" s="84" t="str">
        <x:v>ORD-2025-00143</x:v>
      </x:c>
      <x:c r="B1650" s="85" t="n">
        <x:v>45832</x:v>
      </x:c>
      <x:c r="C1650" s="84" t="str">
        <x:v>CUST-0076</x:v>
      </x:c>
      <x:c r="D1650" s="84" t="str">
        <x:v>Jonah Patel</x:v>
      </x:c>
      <x:c r="E1650" s="84" t="str">
        <x:v>small business</x:v>
      </x:c>
      <x:c r="F1650" s="84" t="str">
        <x:v>Southeast</x:v>
      </x:c>
      <x:c r="G1650" s="84" t="str">
        <x:v>Charlotte</x:v>
      </x:c>
      <x:c r="H1650" s="84" t="str">
        <x:v>online</x:v>
      </x:c>
      <x:c r="I1650" s="84" t="str">
        <x:v>ACCS-006</x:v>
      </x:c>
      <x:c r="J1650" s="86" t="n">
        <x:v>1</x:v>
      </x:c>
      <x:c r="K1650" s="87" t="n">
        <x:v>0.05</x:v>
      </x:c>
      <x:c r="L1650" s="84" t="str">
        <x:v>Completed</x:v>
      </x:c>
      <x:c r="M1650" s="84" t="str">
        <x:v>Debit Card</x:v>
      </x:c>
      <x:c r="N1650" s="84" t="str">
        <x:v>Liam Parker</x:v>
      </x:c>
      <x:c r="O1650" s="85" t="n">
        <x:v>45836</x:v>
      </x:c>
      <x:c r="P1650" s="84" t="str">
        <x:v>WEB_2025_06</x:v>
      </x:c>
      <x:c r="Q1650" s="84" t="str">
        <x:v>Insulated Lunch Bag</x:v>
      </x:c>
      <x:c r="R1650" s="84" t="str">
        <x:v>Accessories</x:v>
      </x:c>
    </x:row>
    <x:row r="1651">
      <x:c r="A1651" s="84" t="str">
        <x:v>ORD-2025-01274</x:v>
      </x:c>
      <x:c r="B1651" s="85" t="n">
        <x:v>45832</x:v>
      </x:c>
      <x:c r="C1651" s="84" t="str">
        <x:v>CUST-0189</x:v>
      </x:c>
      <x:c r="D1651" s="84" t="str">
        <x:v>Marcus Taylor</x:v>
      </x:c>
      <x:c r="E1651" s="84" t="str">
        <x:v>Consumer </x:v>
      </x:c>
      <x:c r="F1651" s="84" t="str">
        <x:v>Midwest</x:v>
      </x:c>
      <x:c r="G1651" s="84" t="str">
        <x:v>Chicago </x:v>
      </x:c>
      <x:c r="H1651" s="84" t="str">
        <x:v>Retail Store</x:v>
      </x:c>
      <x:c r="I1651" s="84" t="str">
        <x:v>ELEC-005</x:v>
      </x:c>
      <x:c r="J1651" s="86" t="n">
        <x:v>1</x:v>
      </x:c>
      <x:c r="K1651" s="87" t="n">
        <x:v>0.1</x:v>
      </x:c>
      <x:c r="L1651" s="84" t="str">
        <x:v>Completed</x:v>
      </x:c>
      <x:c r="M1651" s="84" t="str">
        <x:v>Credit Card</x:v>
      </x:c>
      <x:c r="N1651" s="84" t="str">
        <x:v>Lucas Grant</x:v>
      </x:c>
      <x:c r="O1651" s="85" t="n">
        <x:v>45832</x:v>
      </x:c>
      <x:c r="P1651" s="84" t="str">
        <x:v>POS_2025_06</x:v>
      </x:c>
      <x:c r="Q1651" s="84" t="str">
        <x:v>hd webcam</x:v>
      </x:c>
      <x:c r="R1651" s="84" t="str">
        <x:v>Electronics</x:v>
      </x:c>
    </x:row>
    <x:row r="1652">
      <x:c r="A1652" s="84" t="str">
        <x:v>ORD-2025-02394</x:v>
      </x:c>
      <x:c r="B1652" s="85" t="n">
        <x:v>45832</x:v>
      </x:c>
      <x:c r="C1652" s="84" t="str">
        <x:v>CUST-0471</x:v>
      </x:c>
      <x:c r="D1652" s="84" t="str">
        <x:v> MARCUS LEWIS </x:v>
      </x:c>
      <x:c r="E1652" s="84" t="str">
        <x:v>Consumer </x:v>
      </x:c>
      <x:c r="F1652" s="84" t="str">
        <x:v> SOUTHEAST </x:v>
      </x:c>
      <x:c r="G1652" s="84" t="str">
        <x:v>Charlotte </x:v>
      </x:c>
      <x:c r="H1652" s="84" t="str">
        <x:v>Online</x:v>
      </x:c>
      <x:c r="I1652" s="84" t="str">
        <x:v>ELEC-006</x:v>
      </x:c>
      <x:c r="J1652" s="86" t="n">
        <x:v>1</x:v>
      </x:c>
      <x:c r="K1652" s="87" t="n">
        <x:v>0</x:v>
      </x:c>
      <x:c r="L1652" s="84" t="str">
        <x:v>Completed</x:v>
      </x:c>
      <x:c r="M1652" s="84" t="str">
        <x:v>Credit Card</x:v>
      </x:c>
      <x:c r="N1652" s="84" t="str">
        <x:v>Ava Mitchell</x:v>
      </x:c>
      <x:c r="O1652" s="85" t="n">
        <x:v>45835</x:v>
      </x:c>
      <x:c r="P1652" s="84" t="str">
        <x:v>WEB_2025_06</x:v>
      </x:c>
      <x:c r="Q1652" s="84" t="str">
        <x:v>Portable SSD</x:v>
      </x:c>
      <x:c r="R1652" s="84" t="str">
        <x:v>Electronics</x:v>
      </x:c>
    </x:row>
    <x:row r="1653">
      <x:c r="A1653" s="84" t="str">
        <x:v>ORD-2025-01218</x:v>
      </x:c>
      <x:c r="B1653" s="85" t="n">
        <x:v>45833</x:v>
      </x:c>
      <x:c r="C1653" s="84" t="str">
        <x:v>CUST-0202</x:v>
      </x:c>
      <x:c r="D1653" s="84" t="str">
        <x:v>Jasmine Garcia</x:v>
      </x:c>
      <x:c r="E1653" s="84" t="str">
        <x:v>Small Business </x:v>
      </x:c>
      <x:c r="F1653" s="84" t="str">
        <x:v>midwest</x:v>
      </x:c>
      <x:c r="G1653" s="84" t="str">
        <x:v>Detroit </x:v>
      </x:c>
      <x:c r="H1653" s="84" t="str">
        <x:v>Online</x:v>
      </x:c>
      <x:c r="I1653" s="84" t="str">
        <x:v>FITN-005</x:v>
      </x:c>
      <x:c r="J1653" s="86" t="n">
        <x:v>1</x:v>
      </x:c>
      <x:c r="K1653" s="87" t="n">
        <x:v>0.05</x:v>
      </x:c>
      <x:c r="L1653" s="84" t="str">
        <x:v>Completed</x:v>
      </x:c>
      <x:c r="M1653" s="84" t="str">
        <x:v> DEBIT CARD </x:v>
      </x:c>
      <x:c r="N1653" s="84" t="str">
        <x:v>Emma Hayes</x:v>
      </x:c>
      <x:c r="O1653" s="85" t="n">
        <x:v>45835</x:v>
      </x:c>
      <x:c r="P1653" s="84" t="str">
        <x:v>WEB_2025_06</x:v>
      </x:c>
      <x:c r="Q1653" s="84" t="str">
        <x:v>Sports Water Bottle</x:v>
      </x:c>
      <x:c r="R1653" s="84" t="str">
        <x:v>Fitness</x:v>
      </x:c>
    </x:row>
    <x:row r="1654">
      <x:c r="A1654" s="84" t="str">
        <x:v>ORD-2025-01661</x:v>
      </x:c>
      <x:c r="B1654" s="85" t="n">
        <x:v>45833</x:v>
      </x:c>
      <x:c r="C1654" s="84" t="str">
        <x:v>CUST-0388</x:v>
      </x:c>
      <x:c r="D1654" s="84" t="str">
        <x:v>Isaac Hall</x:v>
      </x:c>
      <x:c r="E1654" s="84" t="str">
        <x:v>consumer</x:v>
      </x:c>
      <x:c r="F1654" s="84" t="str">
        <x:v>Northeast</x:v>
      </x:c>
      <x:c r="G1654" s="84" t="str">
        <x:v>Boston</x:v>
      </x:c>
      <x:c r="H1654" s="84" t="str">
        <x:v>retail store</x:v>
      </x:c>
      <x:c r="I1654" s="84" t="str">
        <x:v>ELEC-004</x:v>
      </x:c>
      <x:c r="J1654" s="86" t="n">
        <x:v>3</x:v>
      </x:c>
      <x:c r="K1654" s="87" t="n">
        <x:v>0.15</x:v>
      </x:c>
      <x:c r="L1654" s="84" t="str">
        <x:v>Completed</x:v>
      </x:c>
      <x:c r="M1654" s="84" t="str">
        <x:v>Debit Card</x:v>
      </x:c>
      <x:c r="N1654" s="84" t="str">
        <x:v>Maya Brooks</x:v>
      </x:c>
      <x:c r="O1654" s="85" t="n">
        <x:v>45833</x:v>
      </x:c>
      <x:c r="P1654" s="84" t="str">
        <x:v>POS_2025_06</x:v>
      </x:c>
      <x:c r="Q1654" s="84" t="str">
        <x:v>Power Bank</x:v>
      </x:c>
      <x:c r="R1654" s="84" t="str">
        <x:v>Electronics </x:v>
      </x:c>
    </x:row>
    <x:row r="1655">
      <x:c r="A1655" s="84" t="str">
        <x:v>ORD-2025-01965</x:v>
      </x:c>
      <x:c r="B1655" s="85" t="n">
        <x:v>45833</x:v>
      </x:c>
      <x:c r="C1655" s="84" t="str">
        <x:v>CUST-0486</x:v>
      </x:c>
      <x:c r="D1655" s="84" t="str">
        <x:v>zara evans</x:v>
      </x:c>
      <x:c r="E1655" s="84" t="str">
        <x:v>Consumer</x:v>
      </x:c>
      <x:c r="F1655" s="84" t="str">
        <x:v>Southeast</x:v>
      </x:c>
      <x:c r="G1655" s="84" t="str">
        <x:v> NASHVILLE </x:v>
      </x:c>
      <x:c r="H1655" s="84" t="str">
        <x:v>Online</x:v>
      </x:c>
      <x:c r="I1655" s="84" t="str">
        <x:v>HOME-005</x:v>
      </x:c>
      <x:c r="J1655" s="86" t="n">
        <x:v>3</x:v>
      </x:c>
      <x:c r="K1655" s="87" t="n">
        <x:v>0.1</x:v>
      </x:c>
      <x:c r="L1655" s="84" t="str">
        <x:v>Completed</x:v>
      </x:c>
      <x:c r="M1655" s="84" t="str">
        <x:v>Credit Card </x:v>
      </x:c>
      <x:c r="N1655" s="84" t="str">
        <x:v>Noah Reed</x:v>
      </x:c>
      <x:c r="O1655" s="85" t="n">
        <x:v>45836</x:v>
      </x:c>
      <x:c r="P1655" s="84" t="str">
        <x:v>WEB_2025_06</x:v>
      </x:c>
      <x:c r="Q1655" s="84" t="str">
        <x:v>Cordless Vacuum</x:v>
      </x:c>
      <x:c r="R1655" s="84" t="str">
        <x:v>Home &amp; Kitchen</x:v>
      </x:c>
    </x:row>
    <x:row r="1656">
      <x:c r="A1656" s="84" t="str">
        <x:v>ORD-2025-02292</x:v>
      </x:c>
      <x:c r="B1656" s="85" t="n">
        <x:v>45833</x:v>
      </x:c>
      <x:c r="C1656" s="84" t="str">
        <x:v>CUST-0017</x:v>
      </x:c>
      <x:c r="D1656" s="84" t="str">
        <x:v> VICTORIA EVANS </x:v>
      </x:c>
      <x:c r="E1656" s="84" t="str">
        <x:v>Corporate</x:v>
      </x:c>
      <x:c r="F1656" s="84" t="str">
        <x:v> NORTHEAST </x:v>
      </x:c>
      <x:c r="G1656" s="84" t="str">
        <x:v>newark</x:v>
      </x:c>
      <x:c r="H1656" s="84" t="str">
        <x:v>Retail Store </x:v>
      </x:c>
      <x:c r="I1656" s="84" t="str">
        <x:v>CARE-004</x:v>
      </x:c>
      <x:c r="J1656" s="86" t="n">
        <x:v>3</x:v>
      </x:c>
      <x:c r="K1656" s="87" t="n">
        <x:v>0.1</x:v>
      </x:c>
      <x:c r="L1656" s="84" t="str">
        <x:v>completed</x:v>
      </x:c>
      <x:c r="M1656" s="84" t="str">
        <x:v>Debit Card</x:v>
      </x:c>
      <x:c r="N1656" s="84" t="str">
        <x:v>Maya Brooks</x:v>
      </x:c>
      <x:c r="O1656" s="85" t="n">
        <x:v>45833</x:v>
      </x:c>
      <x:c r="P1656" s="84" t="str">
        <x:v>POS_2025_06</x:v>
      </x:c>
      <x:c r="Q1656" s="84" t="str">
        <x:v>Electric Toothbrush</x:v>
      </x:c>
      <x:c r="R1656" s="84" t="str">
        <x:v>Personal Care</x:v>
      </x:c>
    </x:row>
    <x:row r="1657">
      <x:c r="A1657" s="84" t="str">
        <x:v>ORD-2025-01719</x:v>
      </x:c>
      <x:c r="B1657" s="85" t="n">
        <x:v>45834</x:v>
      </x:c>
      <x:c r="C1657" s="84" t="str">
        <x:v>CUST-0475</x:v>
      </x:c>
      <x:c r="D1657" s="84" t="str">
        <x:v>Samuel Walker</x:v>
      </x:c>
      <x:c r="E1657" s="84" t="str">
        <x:v>Corporate</x:v>
      </x:c>
      <x:c r="F1657" s="84" t="str">
        <x:v>Northeast </x:v>
      </x:c>
      <x:c r="G1657" s="84" t="str">
        <x:v>Boston</x:v>
      </x:c>
      <x:c r="H1657" s="84" t="str">
        <x:v>Retail Store</x:v>
      </x:c>
      <x:c r="I1657" s="84" t="str">
        <x:v>CARE-003</x:v>
      </x:c>
      <x:c r="J1657" s="86" t="n">
        <x:v>2</x:v>
      </x:c>
      <x:c r="K1657" s="87" t="n">
        <x:v>0</x:v>
      </x:c>
      <x:c r="L1657" s="84" t="str">
        <x:v>Completed</x:v>
      </x:c>
      <x:c r="M1657" s="84" t="str">
        <x:v>Credit Card</x:v>
      </x:c>
      <x:c r="N1657" s="84" t="str">
        <x:v>Ethan Cole </x:v>
      </x:c>
      <x:c r="O1657" s="85" t="n">
        <x:v>45834</x:v>
      </x:c>
      <x:c r="P1657" s="84" t="str">
        <x:v>POS_2025_06</x:v>
      </x:c>
      <x:c r="Q1657" s="84" t="str">
        <x:v>Facial Cleanser</x:v>
      </x:c>
      <x:c r="R1657" s="84" t="str">
        <x:v>personal care</x:v>
      </x:c>
    </x:row>
    <x:row r="1658">
      <x:c r="A1658" s="84" t="str">
        <x:v>ORD-2025-00029</x:v>
      </x:c>
      <x:c r="B1658" s="85" t="n">
        <x:v>45835</x:v>
      </x:c>
      <x:c r="C1658" s="84" t="str">
        <x:v>CUST-0053</x:v>
      </x:c>
      <x:c r="D1658" s="84" t="str">
        <x:v>theo patel</x:v>
      </x:c>
      <x:c r="E1658" s="84" t="str">
        <x:v>Small Business</x:v>
      </x:c>
      <x:c r="F1658" s="84" t="str">
        <x:v>West</x:v>
      </x:c>
      <x:c r="G1658" s="84" t="str">
        <x:v>Los Angeles</x:v>
      </x:c>
      <x:c r="H1658" s="84" t="str">
        <x:v>Online</x:v>
      </x:c>
      <x:c r="I1658" s="84" t="str">
        <x:v>HOME-002</x:v>
      </x:c>
      <x:c r="J1658" s="86" t="n">
        <x:v>2</x:v>
      </x:c>
      <x:c r="K1658" s="87" t="n">
        <x:v>0</x:v>
      </x:c>
      <x:c r="L1658" s="84" t="str">
        <x:v>Completed</x:v>
      </x:c>
      <x:c r="M1658" s="84" t="str">
        <x:v>Mobile Wallet</x:v>
      </x:c>
      <x:c r="N1658" s="84" t="str">
        <x:v>Nora Kim</x:v>
      </x:c>
      <x:c r="O1658" s="85" t="n">
        <x:v>45838</x:v>
      </x:c>
      <x:c r="P1658" s="84" t="str">
        <x:v>WEB_2025_06</x:v>
      </x:c>
      <x:c r="Q1658" s="84" t="str">
        <x:v>Electric Kettle </x:v>
      </x:c>
      <x:c r="R1658" s="84" t="str">
        <x:v>Home &amp; Kitchen</x:v>
      </x:c>
    </x:row>
    <x:row r="1659">
      <x:c r="A1659" s="84" t="str">
        <x:v>ORD-2025-00322</x:v>
      </x:c>
      <x:c r="B1659" s="85" t="n">
        <x:v>45835</x:v>
      </x:c>
      <x:c r="C1659" s="84" t="str">
        <x:v>CUST-0077</x:v>
      </x:c>
      <x:c r="D1659" s="84" t="str">
        <x:v>Layla Foster</x:v>
      </x:c>
      <x:c r="E1659" s="84" t="str">
        <x:v>Corporate </x:v>
      </x:c>
      <x:c r="F1659" s="84" t="str">
        <x:v>Northeast</x:v>
      </x:c>
      <x:c r="G1659" s="84" t="str">
        <x:v>Philadelphia </x:v>
      </x:c>
      <x:c r="H1659" s="84" t="str">
        <x:v>Marketplace</x:v>
      </x:c>
      <x:c r="I1659" s="84" t="str">
        <x:v>ACCS-002</x:v>
      </x:c>
      <x:c r="J1659" s="86" t="n">
        <x:v>2</x:v>
      </x:c>
      <x:c r="K1659" s="87" t="n">
        <x:v>0.1</x:v>
      </x:c>
      <x:c r="L1659" s="84" t="str">
        <x:v>Completed</x:v>
      </x:c>
      <x:c r="M1659" s="84" t="str">
        <x:v>Mobile Wallet</x:v>
      </x:c>
      <x:c r="N1659" s="84" t="str">
        <x:v>Maya Brooks</x:v>
      </x:c>
      <x:c r="O1659" s="85" t="n">
        <x:v>45839</x:v>
      </x:c>
      <x:c r="P1659" s="84" t="str">
        <x:v>MKT_2025_06</x:v>
      </x:c>
      <x:c r="Q1659" s="84" t="str">
        <x:v>Travel Backpack</x:v>
      </x:c>
      <x:c r="R1659" s="84" t="str">
        <x:v>accessories</x:v>
      </x:c>
    </x:row>
    <x:row r="1660">
      <x:c r="A1660" s="84" t="str">
        <x:v>ORD-2025-01589</x:v>
      </x:c>
      <x:c r="B1660" s="85" t="n">
        <x:v>45835</x:v>
      </x:c>
      <x:c r="C1660" s="84" t="str">
        <x:v>CUST-0351</x:v>
      </x:c>
      <x:c r="D1660" s="84" t="str">
        <x:v>Sara Garcia</x:v>
      </x:c>
      <x:c r="E1660" s="84" t="str">
        <x:v>Consumer </x:v>
      </x:c>
      <x:c r="F1660" s="84" t="str">
        <x:v>Midwest</x:v>
      </x:c>
      <x:c r="G1660" s="84" t="str">
        <x:v>Columbus </x:v>
      </x:c>
      <x:c r="H1660" s="84" t="str">
        <x:v>Online</x:v>
      </x:c>
      <x:c r="I1660" s="84" t="str">
        <x:v>ACCS-002</x:v>
      </x:c>
      <x:c r="J1660" s="86" t="n">
        <x:v>1</x:v>
      </x:c>
      <x:c r="K1660" s="87" t="n">
        <x:v>0</x:v>
      </x:c>
      <x:c r="L1660" s="84" t="str">
        <x:v>Completed</x:v>
      </x:c>
      <x:c r="M1660" s="84" t="str">
        <x:v>Credit Card</x:v>
      </x:c>
      <x:c r="N1660" s="84" t="str">
        <x:v>Emma Hayes</x:v>
      </x:c>
      <x:c r="O1660" s="85" t="n">
        <x:v>45839</x:v>
      </x:c>
      <x:c r="P1660" s="84" t="str">
        <x:v>WEB_2025_06</x:v>
      </x:c>
      <x:c r="Q1660" s="84" t="str">
        <x:v>Travel Backpack</x:v>
      </x:c>
      <x:c r="R1660" s="84" t="str">
        <x:v>Accessories</x:v>
      </x:c>
    </x:row>
    <x:row r="1661">
      <x:c r="A1661" s="84" t="str">
        <x:v>ORD-2025-01061</x:v>
      </x:c>
      <x:c r="B1661" s="85" t="n">
        <x:v>45836</x:v>
      </x:c>
      <x:c r="C1661" s="84" t="str">
        <x:v>CUST-0243</x:v>
      </x:c>
      <x:c r="D1661" s="84" t="str">
        <x:v>Jasmine Johnson</x:v>
      </x:c>
      <x:c r="E1661" s="84" t="str">
        <x:v>Corporate</x:v>
      </x:c>
      <x:c r="F1661" s="84" t="str">
        <x:v>Northeast </x:v>
      </x:c>
      <x:c r="G1661" s="84" t="str">
        <x:v>Newark</x:v>
      </x:c>
      <x:c r="H1661" s="84" t="str">
        <x:v>Retail Store</x:v>
      </x:c>
      <x:c r="I1661" s="84" t="str">
        <x:v>ACCS-001</x:v>
      </x:c>
      <x:c r="J1661" s="86" t="n">
        <x:v>3</x:v>
      </x:c>
      <x:c r="K1661" s="87" t="n">
        <x:v>0.05</x:v>
      </x:c>
      <x:c r="L1661" s="84" t="str">
        <x:v>Completed</x:v>
      </x:c>
      <x:c r="M1661" s="84" t="str">
        <x:v>Cash</x:v>
      </x:c>
      <x:c r="N1661" s="84" t="str">
        <x:v>Ethan Cole </x:v>
      </x:c>
      <x:c r="O1661" s="85" t="n">
        <x:v>45836</x:v>
      </x:c>
      <x:c r="P1661" s="84" t="str">
        <x:v>POS_2025_06</x:v>
      </x:c>
      <x:c r="Q1661" s="84" t="str">
        <x:v>Canvas Tote Bag</x:v>
      </x:c>
      <x:c r="R1661" s="84" t="str">
        <x:v>Accessories</x:v>
      </x:c>
    </x:row>
    <x:row r="1662">
      <x:c r="A1662" s="84" t="str">
        <x:v>ORD-2025-01245</x:v>
      </x:c>
      <x:c r="B1662" s="85" t="n">
        <x:v>45836</x:v>
      </x:c>
      <x:c r="C1662" s="84" t="str">
        <x:v>CUST-0291</x:v>
      </x:c>
      <x:c r="D1662" s="84" t="str">
        <x:v>Victoria Patel</x:v>
      </x:c>
      <x:c r="E1662" s="84" t="str">
        <x:v>Corporate</x:v>
      </x:c>
      <x:c r="F1662" s="84" t="str">
        <x:v>Midwest</x:v>
      </x:c>
      <x:c r="G1662" s="84" t="str">
        <x:v>Chicago</x:v>
      </x:c>
      <x:c r="H1662" s="84" t="str">
        <x:v>Retail Store</x:v>
      </x:c>
      <x:c r="I1662" s="84" t="str">
        <x:v>CARE-001</x:v>
      </x:c>
      <x:c r="J1662" s="86" t="n">
        <x:v>2</x:v>
      </x:c>
      <x:c r="K1662" s="87" t="n">
        <x:v>0.05</x:v>
      </x:c>
      <x:c r="L1662" s="84" t="str">
        <x:v>Completed </x:v>
      </x:c>
      <x:c r="M1662" s="84" t="str">
        <x:v>Cash</x:v>
      </x:c>
      <x:c r="N1662" s="84" t="str">
        <x:v>zoe turner</x:v>
      </x:c>
      <x:c r="O1662" s="85" t="n">
        <x:v>45836</x:v>
      </x:c>
      <x:c r="P1662" s="84" t="str">
        <x:v>POS_2025_06</x:v>
      </x:c>
      <x:c r="Q1662" s="84" t="str">
        <x:v> IONIC HAIR DRYER </x:v>
      </x:c>
      <x:c r="R1662" s="84" t="str">
        <x:v>Personal Care</x:v>
      </x:c>
    </x:row>
    <x:row r="1663">
      <x:c r="A1663" s="84" t="str">
        <x:v>ORD-2025-01409</x:v>
      </x:c>
      <x:c r="B1663" s="85" t="n">
        <x:v>45836</x:v>
      </x:c>
      <x:c r="C1663" s="84" t="str">
        <x:v>CUST-0355</x:v>
      </x:c>
      <x:c r="D1663" s="84" t="str">
        <x:v>Caleb Evans</x:v>
      </x:c>
      <x:c r="E1663" s="84" t="str">
        <x:v>Consumer</x:v>
      </x:c>
      <x:c r="F1663" s="84" t="str">
        <x:v>Northeast</x:v>
      </x:c>
      <x:c r="G1663" s="84" t="str">
        <x:v>Philadelphia</x:v>
      </x:c>
      <x:c r="H1663" s="84" t="str">
        <x:v>Online</x:v>
      </x:c>
      <x:c r="I1663" s="84" t="str">
        <x:v>ELEC-003</x:v>
      </x:c>
      <x:c r="J1663" s="86" t="n">
        <x:v>2</x:v>
      </x:c>
      <x:c r="K1663" s="87" t="n">
        <x:v>0.1</x:v>
      </x:c>
      <x:c r="L1663" s="84" t="str">
        <x:v>Completed</x:v>
      </x:c>
      <x:c r="M1663" s="84" t="str">
        <x:v>Credit Card</x:v>
      </x:c>
      <x:c r="N1663" s="84" t="str">
        <x:v>Ethan Cole</x:v>
      </x:c>
      <x:c r="O1663" s="85" t="n">
        <x:v>45839</x:v>
      </x:c>
      <x:c r="P1663" s="84" t="str">
        <x:v>WEB_2025_06</x:v>
      </x:c>
      <x:c r="Q1663" s="84" t="str">
        <x:v>Bluetooth Speaker</x:v>
      </x:c>
      <x:c r="R1663" s="84" t="str">
        <x:v> ELECTRONICS </x:v>
      </x:c>
    </x:row>
    <x:row r="1664">
      <x:c r="A1664" s="84" t="str">
        <x:v>ORD-2025-02013</x:v>
      </x:c>
      <x:c r="B1664" s="85" t="n">
        <x:v>45836</x:v>
      </x:c>
      <x:c r="C1664" s="84" t="str">
        <x:v>CUST-0246</x:v>
      </x:c>
      <x:c r="D1664" s="84" t="str">
        <x:v>Maya Baker</x:v>
      </x:c>
      <x:c r="E1664" s="84" t="str"/>
      <x:c r="F1664" s="84" t="str">
        <x:v>Southeast </x:v>
      </x:c>
      <x:c r="G1664" s="84" t="str">
        <x:v>Atlanta</x:v>
      </x:c>
      <x:c r="H1664" s="84" t="str">
        <x:v>retail store</x:v>
      </x:c>
      <x:c r="I1664" s="84" t="str">
        <x:v>ACCS-005</x:v>
      </x:c>
      <x:c r="J1664" s="86" t="n">
        <x:v>2</x:v>
      </x:c>
      <x:c r="K1664" s="87" t="n">
        <x:v>0.05</x:v>
      </x:c>
      <x:c r="L1664" s="84" t="str">
        <x:v>Completed</x:v>
      </x:c>
      <x:c r="M1664" s="84" t="str">
        <x:v>Debit Card</x:v>
      </x:c>
      <x:c r="N1664" s="84" t="str">
        <x:v>Liam Parker </x:v>
      </x:c>
      <x:c r="O1664" s="85" t="n">
        <x:v>45836</x:v>
      </x:c>
      <x:c r="P1664" s="84" t="str">
        <x:v>POS_2025_06</x:v>
      </x:c>
      <x:c r="Q1664" s="84" t="str">
        <x:v>Protective Phone Case</x:v>
      </x:c>
      <x:c r="R1664" s="84" t="str">
        <x:v>Accessories</x:v>
      </x:c>
    </x:row>
    <x:row r="1665">
      <x:c r="A1665" s="84" t="str">
        <x:v>ORD-2025-00117</x:v>
      </x:c>
      <x:c r="B1665" s="85" t="n">
        <x:v>45837</x:v>
      </x:c>
      <x:c r="C1665" s="84" t="str">
        <x:v>CUST-0468</x:v>
      </x:c>
      <x:c r="D1665" s="84" t="str">
        <x:v>sara garcia</x:v>
      </x:c>
      <x:c r="E1665" s="84" t="str">
        <x:v>Corporate</x:v>
      </x:c>
      <x:c r="F1665" s="84" t="str">
        <x:v>Northeast</x:v>
      </x:c>
      <x:c r="G1665" s="84" t="str">
        <x:v>Boston</x:v>
      </x:c>
      <x:c r="H1665" s="84" t="str">
        <x:v>Marketplace</x:v>
      </x:c>
      <x:c r="I1665" s="84" t="str">
        <x:v>FITN-001</x:v>
      </x:c>
      <x:c r="J1665" s="86" t="n">
        <x:v>2</x:v>
      </x:c>
      <x:c r="K1665" s="87" t="n">
        <x:v>0</x:v>
      </x:c>
      <x:c r="L1665" s="84" t="str">
        <x:v>Completed</x:v>
      </x:c>
      <x:c r="M1665" s="84" t="str">
        <x:v>Debit Card </x:v>
      </x:c>
      <x:c r="N1665" s="84" t="str">
        <x:v>Maya Brooks</x:v>
      </x:c>
      <x:c r="O1665" s="85" t="n">
        <x:v>45842</x:v>
      </x:c>
      <x:c r="P1665" s="84" t="str">
        <x:v>MKT_2025_06</x:v>
      </x:c>
      <x:c r="Q1665" s="84" t="str">
        <x:v>Yoga Mat</x:v>
      </x:c>
      <x:c r="R1665" s="84" t="str">
        <x:v> FITNESS </x:v>
      </x:c>
    </x:row>
    <x:row r="1666">
      <x:c r="A1666" s="84" t="str">
        <x:v>ORD-2025-01165</x:v>
      </x:c>
      <x:c r="B1666" s="85" t="n">
        <x:v>45837</x:v>
      </x:c>
      <x:c r="C1666" s="84" t="str">
        <x:v>CUST-0144</x:v>
      </x:c>
      <x:c r="D1666" s="84" t="str">
        <x:v>Grace Patel</x:v>
      </x:c>
      <x:c r="E1666" s="84" t="str">
        <x:v>Corporate</x:v>
      </x:c>
      <x:c r="F1666" s="84" t="str">
        <x:v>West</x:v>
      </x:c>
      <x:c r="G1666" s="84" t="str">
        <x:v>Phoenix</x:v>
      </x:c>
      <x:c r="H1666" s="84" t="str">
        <x:v>Marketplace </x:v>
      </x:c>
      <x:c r="I1666" s="84" t="str">
        <x:v>HOME-003</x:v>
      </x:c>
      <x:c r="J1666" s="86" t="n">
        <x:v>3</x:v>
      </x:c>
      <x:c r="K1666" s="87" t="n">
        <x:v>0.05</x:v>
      </x:c>
      <x:c r="L1666" s="84" t="str">
        <x:v>Completed</x:v>
      </x:c>
      <x:c r="M1666" s="84" t="str">
        <x:v>credit card</x:v>
      </x:c>
      <x:c r="N1666" s="84" t="str">
        <x:v>Mia Chen</x:v>
      </x:c>
      <x:c r="O1666" s="85" t="n">
        <x:v>45845</x:v>
      </x:c>
      <x:c r="P1666" s="84" t="str">
        <x:v>MKT_2025_06</x:v>
      </x:c>
      <x:c r="Q1666" s="84" t="str">
        <x:v>Countertop Blender</x:v>
      </x:c>
      <x:c r="R1666" s="84" t="str">
        <x:v>Home &amp; Kitchen</x:v>
      </x:c>
    </x:row>
    <x:row r="1667">
      <x:c r="A1667" s="84" t="str">
        <x:v>ORD-2025-00314</x:v>
      </x:c>
      <x:c r="B1667" s="85" t="n">
        <x:v>45838</x:v>
      </x:c>
      <x:c r="C1667" s="84" t="str">
        <x:v>CUST-0185</x:v>
      </x:c>
      <x:c r="D1667" s="84" t="str">
        <x:v>Caleb Foster</x:v>
      </x:c>
      <x:c r="E1667" s="84" t="str">
        <x:v>Corporate</x:v>
      </x:c>
      <x:c r="F1667" s="84" t="str">
        <x:v>Midwest</x:v>
      </x:c>
      <x:c r="G1667" s="84" t="str">
        <x:v>Minneapolis</x:v>
      </x:c>
      <x:c r="H1667" s="84" t="str">
        <x:v>Marketplace</x:v>
      </x:c>
      <x:c r="I1667" s="84" t="str">
        <x:v>FITN-006</x:v>
      </x:c>
      <x:c r="J1667" s="86" t="n">
        <x:v>2</x:v>
      </x:c>
      <x:c r="K1667" s="87" t="n">
        <x:v>0.1</x:v>
      </x:c>
      <x:c r="L1667" s="84" t="str">
        <x:v>Completed </x:v>
      </x:c>
      <x:c r="M1667" s="84" t="str">
        <x:v>Debit Card</x:v>
      </x:c>
      <x:c r="N1667" s="84" t="str">
        <x:v>Zoe Turner</x:v>
      </x:c>
      <x:c r="O1667" s="85" t="n">
        <x:v>45845</x:v>
      </x:c>
      <x:c r="P1667" s="84" t="str">
        <x:v>MKT_2025_06</x:v>
      </x:c>
      <x:c r="Q1667" s="84" t="str">
        <x:v>Foam Roller</x:v>
      </x:c>
      <x:c r="R1667" s="84" t="str">
        <x:v>Fitness</x:v>
      </x:c>
    </x:row>
    <x:row r="1668">
      <x:c r="A1668" s="84" t="str">
        <x:v>ORD-2025-01704</x:v>
      </x:c>
      <x:c r="B1668" s="85" t="n">
        <x:v>45838</x:v>
      </x:c>
      <x:c r="C1668" s="84" t="str">
        <x:v>CUST-0147</x:v>
      </x:c>
      <x:c r="D1668" s="84" t="str">
        <x:v>Isaac Khan</x:v>
      </x:c>
      <x:c r="E1668" s="84" t="str">
        <x:v>Corporate</x:v>
      </x:c>
      <x:c r="F1668" s="84" t="str">
        <x:v>Northeast</x:v>
      </x:c>
      <x:c r="G1668" s="84" t="str">
        <x:v>Boston</x:v>
      </x:c>
      <x:c r="H1668" s="84" t="str">
        <x:v>Retail Store </x:v>
      </x:c>
      <x:c r="I1668" s="84" t="str">
        <x:v>CARE-006</x:v>
      </x:c>
      <x:c r="J1668" s="86" t="n">
        <x:v>2</x:v>
      </x:c>
      <x:c r="K1668" s="87" t="n">
        <x:v>0.05</x:v>
      </x:c>
      <x:c r="L1668" s="84" t="str">
        <x:v>Completed</x:v>
      </x:c>
      <x:c r="M1668" s="84" t="str">
        <x:v>credit card</x:v>
      </x:c>
      <x:c r="N1668" s="84" t="str">
        <x:v>Ethan Cole</x:v>
      </x:c>
      <x:c r="O1668" s="85" t="n">
        <x:v>45838</x:v>
      </x:c>
      <x:c r="P1668" s="84" t="str">
        <x:v>POS_2025_06</x:v>
      </x:c>
      <x:c r="Q1668" s="84" t="str">
        <x:v> PERCUSSION MASSAGE GUN </x:v>
      </x:c>
      <x:c r="R1668" s="84" t="str">
        <x:v>Personal Care</x:v>
      </x:c>
    </x:row>
    <x:row r="1669">
      <x:c r="A1669" s="84" t="str">
        <x:v>ORD-2025-02172</x:v>
      </x:c>
      <x:c r="B1669" s="85" t="n">
        <x:v>45838</x:v>
      </x:c>
      <x:c r="C1669" s="84" t="str">
        <x:v>CUST-0557</x:v>
      </x:c>
      <x:c r="D1669" s="84" t="str">
        <x:v>Isaac Smith</x:v>
      </x:c>
      <x:c r="E1669" s="84" t="str">
        <x:v>Consumer</x:v>
      </x:c>
      <x:c r="F1669" s="84" t="str">
        <x:v>Northeast</x:v>
      </x:c>
      <x:c r="G1669" s="84" t="str">
        <x:v>Boston</x:v>
      </x:c>
      <x:c r="H1669" s="84" t="str">
        <x:v>Retail Store</x:v>
      </x:c>
      <x:c r="I1669" s="84" t="str">
        <x:v>OFFC-003</x:v>
      </x:c>
      <x:c r="J1669" s="86" t="n">
        <x:v>1</x:v>
      </x:c>
      <x:c r="K1669" s="87" t="n">
        <x:v>0.2</x:v>
      </x:c>
      <x:c r="L1669" s="84" t="str">
        <x:v>Completed</x:v>
      </x:c>
      <x:c r="M1669" s="84" t="str">
        <x:v>Cash</x:v>
      </x:c>
      <x:c r="N1669" s="84" t="str">
        <x:v>Maya Brooks</x:v>
      </x:c>
      <x:c r="O1669" s="85" t="n">
        <x:v>45838</x:v>
      </x:c>
      <x:c r="P1669" s="84" t="str">
        <x:v>POS_2025_06</x:v>
      </x:c>
      <x:c r="Q1669" s="84" t="str">
        <x:v>LED Desk Lamp</x:v>
      </x:c>
      <x:c r="R1669" s="84" t="str">
        <x:v>Office </x:v>
      </x:c>
    </x:row>
    <x:row r="1670">
      <x:c r="A1670" s="84" t="str">
        <x:v>ORD-2025-02195</x:v>
      </x:c>
      <x:c r="B1670" s="85" t="n">
        <x:v>45838</x:v>
      </x:c>
      <x:c r="C1670" s="84" t="str">
        <x:v>CUST-0290</x:v>
      </x:c>
      <x:c r="D1670" s="84" t="str">
        <x:v>Nathan Baker</x:v>
      </x:c>
      <x:c r="E1670" s="84" t="str">
        <x:v>Consumer</x:v>
      </x:c>
      <x:c r="F1670" s="84" t="str">
        <x:v>West </x:v>
      </x:c>
      <x:c r="G1670" s="84" t="str">
        <x:v>Denver</x:v>
      </x:c>
      <x:c r="H1670" s="84" t="str">
        <x:v>Online</x:v>
      </x:c>
      <x:c r="I1670" s="84" t="str">
        <x:v>ELEC-005</x:v>
      </x:c>
      <x:c r="J1670" s="86" t="n">
        <x:v>3</x:v>
      </x:c>
      <x:c r="K1670" s="87" t="n">
        <x:v>0</x:v>
      </x:c>
      <x:c r="L1670" s="84" t="str">
        <x:v>Completed</x:v>
      </x:c>
      <x:c r="M1670" s="84" t="str">
        <x:v>PayPal</x:v>
      </x:c>
      <x:c r="N1670" s="84" t="str">
        <x:v>Mia Chen </x:v>
      </x:c>
      <x:c r="O1670" s="85" t="n">
        <x:v>45841</x:v>
      </x:c>
      <x:c r="P1670" s="84" t="str">
        <x:v>WEB_2025_06</x:v>
      </x:c>
      <x:c r="Q1670" s="84" t="str">
        <x:v>HD Webcam</x:v>
      </x:c>
      <x:c r="R1670" s="84" t="str">
        <x:v>Electronics</x:v>
      </x:c>
    </x:row>
    <x:row r="1671">
      <x:c r="A1671" s="84" t="str">
        <x:v>ORD-2025-00563</x:v>
      </x:c>
      <x:c r="B1671" s="85" t="n">
        <x:v>45839</x:v>
      </x:c>
      <x:c r="C1671" s="84" t="str">
        <x:v>CUST-0218</x:v>
      </x:c>
      <x:c r="D1671" s="84" t="str">
        <x:v>Grace Walker</x:v>
      </x:c>
      <x:c r="E1671" s="84" t="str">
        <x:v>Consumer</x:v>
      </x:c>
      <x:c r="F1671" s="84" t="str">
        <x:v>Northeast</x:v>
      </x:c>
      <x:c r="G1671" s="84" t="str">
        <x:v>Philadelphia</x:v>
      </x:c>
      <x:c r="H1671" s="84" t="str">
        <x:v>Retail Store </x:v>
      </x:c>
      <x:c r="I1671" s="84" t="str">
        <x:v>CARE-002</x:v>
      </x:c>
      <x:c r="J1671" s="86" t="n">
        <x:v>2</x:v>
      </x:c>
      <x:c r="K1671" s="87" t="n">
        <x:v>0.1</x:v>
      </x:c>
      <x:c r="L1671" s="84" t="str">
        <x:v>Completed</x:v>
      </x:c>
      <x:c r="M1671" s="84" t="str">
        <x:v>Cash</x:v>
      </x:c>
      <x:c r="N1671" s="84" t="str">
        <x:v>ethan cole</x:v>
      </x:c>
      <x:c r="O1671" s="85" t="n">
        <x:v>45839</x:v>
      </x:c>
      <x:c r="P1671" s="84" t="str">
        <x:v>POS_2025_07</x:v>
      </x:c>
      <x:c r="Q1671" s="84" t="str">
        <x:v>Rechargeable Trimmer</x:v>
      </x:c>
      <x:c r="R1671" s="84" t="str">
        <x:v>Personal Care</x:v>
      </x:c>
    </x:row>
    <x:row r="1672">
      <x:c r="A1672" s="84" t="str">
        <x:v>ORD-2025-01031</x:v>
      </x:c>
      <x:c r="B1672" s="85" t="n">
        <x:v>45839</x:v>
      </x:c>
      <x:c r="C1672" s="84" t="str">
        <x:v>CUST-0501</x:v>
      </x:c>
      <x:c r="D1672" s="84" t="str">
        <x:v>Priya Garcia</x:v>
      </x:c>
      <x:c r="E1672" s="84" t="str">
        <x:v>Consumer</x:v>
      </x:c>
      <x:c r="F1672" s="84" t="str">
        <x:v>northeast</x:v>
      </x:c>
      <x:c r="G1672" s="84" t="str">
        <x:v>Boston</x:v>
      </x:c>
      <x:c r="H1672" s="84" t="str">
        <x:v>Retail Store</x:v>
      </x:c>
      <x:c r="I1672" s="84" t="str">
        <x:v>ELEC-005</x:v>
      </x:c>
      <x:c r="J1672" s="86" t="n">
        <x:v>1</x:v>
      </x:c>
      <x:c r="K1672" s="87" t="n">
        <x:v>0.1</x:v>
      </x:c>
      <x:c r="L1672" s="84" t="str">
        <x:v>Completed</x:v>
      </x:c>
      <x:c r="M1672" s="84" t="str">
        <x:v> CASH </x:v>
      </x:c>
      <x:c r="N1672" s="84" t="str">
        <x:v>Maya Brooks</x:v>
      </x:c>
      <x:c r="O1672" s="85" t="n">
        <x:v>45839</x:v>
      </x:c>
      <x:c r="P1672" s="84" t="str">
        <x:v>POS_2025_07</x:v>
      </x:c>
      <x:c r="Q1672" s="84" t="str">
        <x:v>HD Webcam</x:v>
      </x:c>
      <x:c r="R1672" s="84" t="str">
        <x:v>Electronics </x:v>
      </x:c>
    </x:row>
    <x:row r="1673">
      <x:c r="A1673" s="84" t="str">
        <x:v>ORD-2025-01773</x:v>
      </x:c>
      <x:c r="B1673" s="85" t="n">
        <x:v>45839</x:v>
      </x:c>
      <x:c r="C1673" s="84" t="str">
        <x:v>CUST-0164</x:v>
      </x:c>
      <x:c r="D1673" s="84" t="str">
        <x:v>Maya Patel</x:v>
      </x:c>
      <x:c r="E1673" s="84" t="str">
        <x:v>Corporate</x:v>
      </x:c>
      <x:c r="F1673" s="84" t="str">
        <x:v>West</x:v>
      </x:c>
      <x:c r="G1673" s="84" t="str">
        <x:v>Phoenix</x:v>
      </x:c>
      <x:c r="H1673" s="84" t="str">
        <x:v>Marketplace</x:v>
      </x:c>
      <x:c r="I1673" s="84" t="str">
        <x:v>OFFC-005</x:v>
      </x:c>
      <x:c r="J1673" s="86" t="n">
        <x:v>8</x:v>
      </x:c>
      <x:c r="K1673" s="87" t="n">
        <x:v>0.05</x:v>
      </x:c>
      <x:c r="L1673" s="84" t="str">
        <x:v> COMPLETED </x:v>
      </x:c>
      <x:c r="M1673" s="84" t="str">
        <x:v>Debit Card</x:v>
      </x:c>
      <x:c r="N1673" s="84" t="str">
        <x:v>nora kim</x:v>
      </x:c>
      <x:c r="O1673" s="85" t="n">
        <x:v>45845</x:v>
      </x:c>
      <x:c r="P1673" s="84" t="str">
        <x:v>MKT_2025_07</x:v>
      </x:c>
      <x:c r="Q1673" s="84" t="str">
        <x:v>Wireless Keyboard</x:v>
      </x:c>
      <x:c r="R1673" s="84" t="str">
        <x:v>Office </x:v>
      </x:c>
    </x:row>
    <x:row r="1674">
      <x:c r="A1674" s="84" t="str">
        <x:v>ORD-2025-01908</x:v>
      </x:c>
      <x:c r="B1674" s="85" t="n">
        <x:v>45839</x:v>
      </x:c>
      <x:c r="C1674" s="84" t="str">
        <x:v>CUST-0599</x:v>
      </x:c>
      <x:c r="D1674" s="84" t="str">
        <x:v>Caleb Adams</x:v>
      </x:c>
      <x:c r="E1674" s="84" t="str">
        <x:v>Consumer</x:v>
      </x:c>
      <x:c r="F1674" s="84" t="str">
        <x:v>West </x:v>
      </x:c>
      <x:c r="G1674" s="84" t="str">
        <x:v>Phoenix</x:v>
      </x:c>
      <x:c r="H1674" s="84" t="str">
        <x:v>Online</x:v>
      </x:c>
      <x:c r="I1674" s="84" t="str">
        <x:v>HOME-002</x:v>
      </x:c>
      <x:c r="J1674" s="86" t="n">
        <x:v>2</x:v>
      </x:c>
      <x:c r="K1674" s="87" t="n">
        <x:v>0</x:v>
      </x:c>
      <x:c r="L1674" s="84" t="str">
        <x:v>Completed</x:v>
      </x:c>
      <x:c r="M1674" s="84" t="str">
        <x:v>PayPal</x:v>
      </x:c>
      <x:c r="N1674" s="84" t="str">
        <x:v>Leo Martinez </x:v>
      </x:c>
      <x:c r="O1674" s="85" t="n">
        <x:v>45841</x:v>
      </x:c>
      <x:c r="P1674" s="84" t="str">
        <x:v>WEB_2025_07</x:v>
      </x:c>
      <x:c r="Q1674" s="84" t="str">
        <x:v> ELECTRIC KETTLE </x:v>
      </x:c>
      <x:c r="R1674" s="84" t="str">
        <x:v>Home &amp; Kitchen</x:v>
      </x:c>
    </x:row>
    <x:row r="1675">
      <x:c r="A1675" s="84" t="str">
        <x:v>ORD-2025-00260</x:v>
      </x:c>
      <x:c r="B1675" s="85" t="n">
        <x:v>45840</x:v>
      </x:c>
      <x:c r="C1675" s="84" t="str">
        <x:v>CUST-0396</x:v>
      </x:c>
      <x:c r="D1675" s="84" t="str">
        <x:v>victoria carter</x:v>
      </x:c>
      <x:c r="E1675" s="84" t="str">
        <x:v>Consumer</x:v>
      </x:c>
      <x:c r="F1675" s="84" t="str">
        <x:v>Southeast</x:v>
      </x:c>
      <x:c r="G1675" s="84" t="str">
        <x:v>Nashville</x:v>
      </x:c>
      <x:c r="H1675" s="84" t="str">
        <x:v>Marketplace</x:v>
      </x:c>
      <x:c r="I1675" s="84" t="str">
        <x:v>HOME-005</x:v>
      </x:c>
      <x:c r="J1675" s="86" t="n">
        <x:v>1</x:v>
      </x:c>
      <x:c r="K1675" s="87" t="n">
        <x:v>0.05</x:v>
      </x:c>
      <x:c r="L1675" s="84" t="str">
        <x:v> COMPLETED </x:v>
      </x:c>
      <x:c r="M1675" s="84" t="str">
        <x:v>PayPal</x:v>
      </x:c>
      <x:c r="N1675" s="84" t="str">
        <x:v>Ava Mitchell</x:v>
      </x:c>
      <x:c r="O1675" s="85" t="n">
        <x:v>45845</x:v>
      </x:c>
      <x:c r="P1675" s="84" t="str">
        <x:v>MKT_2025_07</x:v>
      </x:c>
      <x:c r="Q1675" s="84" t="str">
        <x:v>Cordless Vacuum </x:v>
      </x:c>
      <x:c r="R1675" s="84" t="str">
        <x:v>Home &amp; Kitchen</x:v>
      </x:c>
    </x:row>
    <x:row r="1676">
      <x:c r="A1676" s="84" t="str">
        <x:v>ORD-2025-00579</x:v>
      </x:c>
      <x:c r="B1676" s="85" t="n">
        <x:v>45840</x:v>
      </x:c>
      <x:c r="C1676" s="84" t="str">
        <x:v>CUST-0143</x:v>
      </x:c>
      <x:c r="D1676" s="84" t="str">
        <x:v>owen foster</x:v>
      </x:c>
      <x:c r="E1676" s="84" t="str">
        <x:v>Small Business</x:v>
      </x:c>
      <x:c r="F1676" s="84" t="str">
        <x:v>Southeast</x:v>
      </x:c>
      <x:c r="G1676" s="84" t="str">
        <x:v>Atlanta</x:v>
      </x:c>
      <x:c r="H1676" s="84" t="str">
        <x:v>Retail Store</x:v>
      </x:c>
      <x:c r="I1676" s="84" t="str">
        <x:v>ACCS-005</x:v>
      </x:c>
      <x:c r="J1676" s="86" t="n">
        <x:v>3</x:v>
      </x:c>
      <x:c r="K1676" s="87" t="n">
        <x:v>0.05</x:v>
      </x:c>
      <x:c r="L1676" s="84" t="str">
        <x:v>Completed</x:v>
      </x:c>
      <x:c r="M1676" s="84" t="str">
        <x:v>Cash </x:v>
      </x:c>
      <x:c r="N1676" s="84" t="str">
        <x:v>Liam Parker</x:v>
      </x:c>
      <x:c r="O1676" s="85" t="n">
        <x:v>45840</x:v>
      </x:c>
      <x:c r="P1676" s="84" t="str">
        <x:v>POS_2025_07</x:v>
      </x:c>
      <x:c r="Q1676" s="84" t="str">
        <x:v>Protective Phone Case</x:v>
      </x:c>
      <x:c r="R1676" s="84" t="str">
        <x:v>Accessories</x:v>
      </x:c>
    </x:row>
    <x:row r="1677">
      <x:c r="A1677" s="84" t="str">
        <x:v>ORD-2025-02028</x:v>
      </x:c>
      <x:c r="B1677" s="85" t="n">
        <x:v>45840</x:v>
      </x:c>
      <x:c r="C1677" s="84" t="str">
        <x:v>CUST-0058</x:v>
      </x:c>
      <x:c r="D1677" s="84" t="str">
        <x:v>Zara Evans </x:v>
      </x:c>
      <x:c r="E1677" s="84" t="str">
        <x:v>Consumer</x:v>
      </x:c>
      <x:c r="F1677" s="84" t="str">
        <x:v>Midwest</x:v>
      </x:c>
      <x:c r="G1677" s="84" t="str">
        <x:v>chicago</x:v>
      </x:c>
      <x:c r="H1677" s="84" t="str">
        <x:v>Marketplace</x:v>
      </x:c>
      <x:c r="I1677" s="84" t="str">
        <x:v>ACCS-003</x:v>
      </x:c>
      <x:c r="J1677" s="86" t="n">
        <x:v>4</x:v>
      </x:c>
      <x:c r="K1677" s="87" t="n">
        <x:v>0.05</x:v>
      </x:c>
      <x:c r="L1677" s="84" t="str">
        <x:v> COMPLETED </x:v>
      </x:c>
      <x:c r="M1677" s="84" t="str">
        <x:v>Debit Card </x:v>
      </x:c>
      <x:c r="N1677" s="84" t="str">
        <x:v>Zoe Turner</x:v>
      </x:c>
      <x:c r="O1677" s="85" t="n">
        <x:v>45845</x:v>
      </x:c>
      <x:c r="P1677" s="84" t="str">
        <x:v>MKT_2025_07</x:v>
      </x:c>
      <x:c r="Q1677" s="84" t="str">
        <x:v>Polarized Sunglasses</x:v>
      </x:c>
      <x:c r="R1677" s="84" t="str">
        <x:v>Accessories</x:v>
      </x:c>
    </x:row>
    <x:row r="1678">
      <x:c r="A1678" s="84" t="str">
        <x:v>ORD-2025-02141</x:v>
      </x:c>
      <x:c r="B1678" s="85" t="n">
        <x:v>45840</x:v>
      </x:c>
      <x:c r="C1678" s="84" t="str">
        <x:v>CUST-0092</x:v>
      </x:c>
      <x:c r="D1678" s="84" t="str">
        <x:v>jasmine smith</x:v>
      </x:c>
      <x:c r="E1678" s="84" t="str">
        <x:v>Corporate</x:v>
      </x:c>
      <x:c r="F1678" s="84" t="str">
        <x:v>Midwest</x:v>
      </x:c>
      <x:c r="G1678" s="84" t="str">
        <x:v>Detroit</x:v>
      </x:c>
      <x:c r="H1678" s="84" t="str">
        <x:v>Online</x:v>
      </x:c>
      <x:c r="I1678" s="84" t="str">
        <x:v>HOME-005</x:v>
      </x:c>
      <x:c r="J1678" s="86" t="n">
        <x:v>2</x:v>
      </x:c>
      <x:c r="K1678" s="87" t="n">
        <x:v>0.15</x:v>
      </x:c>
      <x:c r="L1678" s="84" t="str">
        <x:v>Completed </x:v>
      </x:c>
      <x:c r="M1678" s="84" t="str">
        <x:v>Credit Card</x:v>
      </x:c>
      <x:c r="N1678" s="84" t="str">
        <x:v>Lucas Grant</x:v>
      </x:c>
      <x:c r="O1678" s="85" t="n">
        <x:v>45844</x:v>
      </x:c>
      <x:c r="P1678" s="84" t="str">
        <x:v>WEB_2025_07</x:v>
      </x:c>
      <x:c r="Q1678" s="84" t="str">
        <x:v>Cordless Vacuum</x:v>
      </x:c>
      <x:c r="R1678" s="84" t="str">
        <x:v>Home &amp; Kitchen</x:v>
      </x:c>
    </x:row>
    <x:row r="1679">
      <x:c r="A1679" s="84" t="str">
        <x:v>ORD-2025-02319</x:v>
      </x:c>
      <x:c r="B1679" s="85" t="n">
        <x:v>45840</x:v>
      </x:c>
      <x:c r="C1679" s="84" t="str">
        <x:v>CUST-0269</x:v>
      </x:c>
      <x:c r="D1679" s="84" t="str">
        <x:v>Daniel Evans</x:v>
      </x:c>
      <x:c r="E1679" s="84" t="str">
        <x:v>Small Business</x:v>
      </x:c>
      <x:c r="F1679" s="84" t="str">
        <x:v>Southeast</x:v>
      </x:c>
      <x:c r="G1679" s="84" t="str">
        <x:v>Charlotte</x:v>
      </x:c>
      <x:c r="H1679" s="84" t="str">
        <x:v>Retail Store</x:v>
      </x:c>
      <x:c r="I1679" s="84" t="str">
        <x:v>ACCS-006</x:v>
      </x:c>
      <x:c r="J1679" s="86" t="n">
        <x:v>4</x:v>
      </x:c>
      <x:c r="K1679" s="87" t="n">
        <x:v>0.15</x:v>
      </x:c>
      <x:c r="L1679" s="84" t="str">
        <x:v>Completed</x:v>
      </x:c>
      <x:c r="M1679" s="84" t="str">
        <x:v>Credit Card</x:v>
      </x:c>
      <x:c r="N1679" s="84" t="str">
        <x:v>Liam Parker</x:v>
      </x:c>
      <x:c r="O1679" s="85" t="n">
        <x:v>45840</x:v>
      </x:c>
      <x:c r="P1679" s="84" t="str">
        <x:v>POS_2025_07</x:v>
      </x:c>
      <x:c r="Q1679" s="84" t="str">
        <x:v>insulated lunch bag</x:v>
      </x:c>
      <x:c r="R1679" s="84" t="str">
        <x:v>Accessories </x:v>
      </x:c>
    </x:row>
    <x:row r="1680">
      <x:c r="A1680" s="84" t="str">
        <x:v>ORD-2025-00051</x:v>
      </x:c>
      <x:c r="B1680" s="85" t="n">
        <x:v>45841</x:v>
      </x:c>
      <x:c r="C1680" s="84" t="str">
        <x:v>CUST-0408</x:v>
      </x:c>
      <x:c r="D1680" s="84" t="str">
        <x:v>caleb smith</x:v>
      </x:c>
      <x:c r="E1680" s="84" t="str">
        <x:v> SMALL BUSINESS </x:v>
      </x:c>
      <x:c r="F1680" s="84" t="str">
        <x:v>Southeast</x:v>
      </x:c>
      <x:c r="G1680" s="84" t="str">
        <x:v>Miami</x:v>
      </x:c>
      <x:c r="H1680" s="84" t="str">
        <x:v>Retail Store</x:v>
      </x:c>
      <x:c r="I1680" s="84" t="str">
        <x:v>FITN-006</x:v>
      </x:c>
      <x:c r="J1680" s="86" t="n">
        <x:v>1</x:v>
      </x:c>
      <x:c r="K1680" s="87" t="n">
        <x:v>0.2</x:v>
      </x:c>
      <x:c r="L1680" s="84" t="str">
        <x:v>Returned</x:v>
      </x:c>
      <x:c r="M1680" s="84" t="str">
        <x:v>Credit Card</x:v>
      </x:c>
      <x:c r="N1680" s="84" t="str">
        <x:v>Ava Mitchell</x:v>
      </x:c>
      <x:c r="O1680" s="85" t="n">
        <x:v>45841</x:v>
      </x:c>
      <x:c r="P1680" s="84" t="str">
        <x:v>POS_2025_07</x:v>
      </x:c>
      <x:c r="Q1680" s="84" t="str">
        <x:v>Foam Roller</x:v>
      </x:c>
      <x:c r="R1680" s="84" t="str">
        <x:v>Fitness </x:v>
      </x:c>
    </x:row>
    <x:row r="1681">
      <x:c r="A1681" s="84" t="str">
        <x:v>ORD-2025-01705</x:v>
      </x:c>
      <x:c r="B1681" s="85" t="n">
        <x:v>45841</x:v>
      </x:c>
      <x:c r="C1681" s="84" t="str">
        <x:v>CUST-0263</x:v>
      </x:c>
      <x:c r="D1681" s="84" t="str">
        <x:v>Theo Smith</x:v>
      </x:c>
      <x:c r="E1681" s="84" t="str">
        <x:v>consumer</x:v>
      </x:c>
      <x:c r="F1681" s="84" t="str">
        <x:v>West </x:v>
      </x:c>
      <x:c r="G1681" s="84" t="str">
        <x:v>Seattle</x:v>
      </x:c>
      <x:c r="H1681" s="84" t="str">
        <x:v>online</x:v>
      </x:c>
      <x:c r="I1681" s="84" t="str">
        <x:v>ELEC-003</x:v>
      </x:c>
      <x:c r="J1681" s="86" t="n">
        <x:v>2</x:v>
      </x:c>
      <x:c r="K1681" s="87" t="n">
        <x:v>0.05</x:v>
      </x:c>
      <x:c r="L1681" s="84" t="str">
        <x:v> COMPLETED </x:v>
      </x:c>
      <x:c r="M1681" s="84" t="str">
        <x:v>Credit Card</x:v>
      </x:c>
      <x:c r="N1681" s="84" t="str">
        <x:v>Leo Martinez </x:v>
      </x:c>
      <x:c r="O1681" s="85" t="n">
        <x:v>45844</x:v>
      </x:c>
      <x:c r="P1681" s="84" t="str">
        <x:v>WEB_2025_07</x:v>
      </x:c>
      <x:c r="Q1681" s="84" t="str">
        <x:v>Bluetooth Speaker</x:v>
      </x:c>
      <x:c r="R1681" s="84" t="str">
        <x:v>Electronics</x:v>
      </x:c>
    </x:row>
    <x:row r="1682">
      <x:c r="A1682" s="84" t="str">
        <x:v>ORD-2025-01887</x:v>
      </x:c>
      <x:c r="B1682" s="85" t="n">
        <x:v>45841</x:v>
      </x:c>
      <x:c r="C1682" s="84" t="str">
        <x:v>CUST-0289</x:v>
      </x:c>
      <x:c r="D1682" s="84" t="str">
        <x:v>Chloe Patel</x:v>
      </x:c>
      <x:c r="E1682" s="84" t="str">
        <x:v> CONSUMER </x:v>
      </x:c>
      <x:c r="F1682" s="84" t="str">
        <x:v>West </x:v>
      </x:c>
      <x:c r="G1682" s="84" t="str">
        <x:v>Denver</x:v>
      </x:c>
      <x:c r="H1682" s="84" t="str">
        <x:v>Retail Store</x:v>
      </x:c>
      <x:c r="I1682" s="84" t="str">
        <x:v>CARE-006</x:v>
      </x:c>
      <x:c r="J1682" s="86" t="n">
        <x:v>2</x:v>
      </x:c>
      <x:c r="K1682" s="87" t="n">
        <x:v>0</x:v>
      </x:c>
      <x:c r="L1682" s="84" t="str">
        <x:v>Completed</x:v>
      </x:c>
      <x:c r="M1682" s="84" t="str">
        <x:v>Credit Card</x:v>
      </x:c>
      <x:c r="N1682" s="84" t="str">
        <x:v>Mia Chen </x:v>
      </x:c>
      <x:c r="O1682" s="85" t="n">
        <x:v>45841</x:v>
      </x:c>
      <x:c r="P1682" s="84" t="str">
        <x:v>POS_2025_07</x:v>
      </x:c>
      <x:c r="Q1682" s="84" t="str">
        <x:v>Percussion Massage Gun</x:v>
      </x:c>
      <x:c r="R1682" s="84" t="str">
        <x:v>Personal Care</x:v>
      </x:c>
    </x:row>
    <x:row r="1683">
      <x:c r="A1683" s="84" t="str">
        <x:v>ORD-2025-01924</x:v>
      </x:c>
      <x:c r="B1683" s="85" t="n">
        <x:v>45841</x:v>
      </x:c>
      <x:c r="C1683" s="84" t="str">
        <x:v>CUST-0463</x:v>
      </x:c>
      <x:c r="D1683" s="84" t="str">
        <x:v>Aiden Lewis</x:v>
      </x:c>
      <x:c r="E1683" s="84" t="str">
        <x:v>Consumer</x:v>
      </x:c>
      <x:c r="F1683" s="84" t="str">
        <x:v>Northeast</x:v>
      </x:c>
      <x:c r="G1683" s="84" t="str">
        <x:v>Newark</x:v>
      </x:c>
      <x:c r="H1683" s="84" t="str">
        <x:v>Marketplace</x:v>
      </x:c>
      <x:c r="I1683" s="84" t="str">
        <x:v>ELEC-001</x:v>
      </x:c>
      <x:c r="J1683" s="86" t="n">
        <x:v>1</x:v>
      </x:c>
      <x:c r="K1683" s="87" t="n">
        <x:v>0</x:v>
      </x:c>
      <x:c r="L1683" s="84" t="str">
        <x:v>Completed </x:v>
      </x:c>
      <x:c r="M1683" s="84" t="str">
        <x:v>credit card</x:v>
      </x:c>
      <x:c r="N1683" s="84" t="str">
        <x:v> MAYA BROOKS </x:v>
      </x:c>
      <x:c r="O1683" s="85" t="n">
        <x:v>45844</x:v>
      </x:c>
      <x:c r="P1683" s="84" t="str">
        <x:v>MKT_2025_07</x:v>
      </x:c>
      <x:c r="Q1683" s="84" t="str">
        <x:v>Wireless Earbuds</x:v>
      </x:c>
      <x:c r="R1683" s="84" t="str">
        <x:v>Electronics</x:v>
      </x:c>
    </x:row>
    <x:row r="1684">
      <x:c r="A1684" s="84" t="str">
        <x:v>ORD-2025-00391</x:v>
      </x:c>
      <x:c r="B1684" s="85" t="n">
        <x:v>45842</x:v>
      </x:c>
      <x:c r="C1684" s="84" t="str">
        <x:v>CUST-0625</x:v>
      </x:c>
      <x:c r="D1684" s="84" t="str">
        <x:v>Daniel Patel</x:v>
      </x:c>
      <x:c r="E1684" s="84" t="str">
        <x:v> SMALL BUSINESS </x:v>
      </x:c>
      <x:c r="F1684" s="84" t="str">
        <x:v>West</x:v>
      </x:c>
      <x:c r="G1684" s="84" t="str">
        <x:v>Phoenix</x:v>
      </x:c>
      <x:c r="H1684" s="84" t="str">
        <x:v>Online</x:v>
      </x:c>
      <x:c r="I1684" s="84" t="str">
        <x:v>FITN-005</x:v>
      </x:c>
      <x:c r="J1684" s="86" t="n">
        <x:v>3</x:v>
      </x:c>
      <x:c r="K1684" s="87" t="n">
        <x:v>0</x:v>
      </x:c>
      <x:c r="L1684" s="84" t="str">
        <x:v>Completed </x:v>
      </x:c>
      <x:c r="M1684" s="84" t="str">
        <x:v>PayPal</x:v>
      </x:c>
      <x:c r="N1684" s="84" t="str">
        <x:v>Nora Kim</x:v>
      </x:c>
      <x:c r="O1684" s="85" t="n">
        <x:v>45848</x:v>
      </x:c>
      <x:c r="P1684" s="84" t="str">
        <x:v>WEB_2025_07</x:v>
      </x:c>
      <x:c r="Q1684" s="84" t="str">
        <x:v>Sports Water Bottle</x:v>
      </x:c>
      <x:c r="R1684" s="84" t="str">
        <x:v>Fitness</x:v>
      </x:c>
    </x:row>
    <x:row r="1685">
      <x:c r="A1685" s="84" t="str">
        <x:v>ORD-2025-01734</x:v>
      </x:c>
      <x:c r="B1685" s="85" t="n">
        <x:v>45842</x:v>
      </x:c>
      <x:c r="C1685" s="84" t="str">
        <x:v>CUST-0394</x:v>
      </x:c>
      <x:c r="D1685" s="84" t="str">
        <x:v>priya nelson</x:v>
      </x:c>
      <x:c r="E1685" s="84" t="str">
        <x:v> CORPORATE </x:v>
      </x:c>
      <x:c r="F1685" s="84" t="str">
        <x:v>West</x:v>
      </x:c>
      <x:c r="G1685" s="84" t="str">
        <x:v>Denver</x:v>
      </x:c>
      <x:c r="H1685" s="84" t="str">
        <x:v>Retail Store</x:v>
      </x:c>
      <x:c r="I1685" s="84" t="str">
        <x:v>FITN-001</x:v>
      </x:c>
      <x:c r="J1685" s="86" t="n">
        <x:v>1</x:v>
      </x:c>
      <x:c r="K1685" s="87" t="n">
        <x:v>0.05</x:v>
      </x:c>
      <x:c r="L1685" s="84" t="str">
        <x:v>Completed</x:v>
      </x:c>
      <x:c r="M1685" s="84" t="str">
        <x:v>Credit Card </x:v>
      </x:c>
      <x:c r="N1685" s="84" t="str">
        <x:v>Leo Martinez</x:v>
      </x:c>
      <x:c r="O1685" s="85" t="n">
        <x:v>45842</x:v>
      </x:c>
      <x:c r="P1685" s="84" t="str">
        <x:v>POS_2025_07</x:v>
      </x:c>
      <x:c r="Q1685" s="84" t="str">
        <x:v>Yoga Mat</x:v>
      </x:c>
      <x:c r="R1685" s="84" t="str">
        <x:v>Fitness</x:v>
      </x:c>
    </x:row>
    <x:row r="1686">
      <x:c r="A1686" s="84" t="str">
        <x:v>ORD-2025-00005</x:v>
      </x:c>
      <x:c r="B1686" s="85" t="n">
        <x:v>45843</x:v>
      </x:c>
      <x:c r="C1686" s="84" t="str">
        <x:v>CUST-0442</x:v>
      </x:c>
      <x:c r="D1686" s="84" t="str">
        <x:v>Elena Irwin </x:v>
      </x:c>
      <x:c r="E1686" s="84" t="str">
        <x:v>Consumer</x:v>
      </x:c>
      <x:c r="F1686" s="84" t="str">
        <x:v>Northeast</x:v>
      </x:c>
      <x:c r="G1686" s="84" t="str">
        <x:v>Boston</x:v>
      </x:c>
      <x:c r="H1686" s="84" t="str">
        <x:v>Retail Store</x:v>
      </x:c>
      <x:c r="I1686" s="84" t="str">
        <x:v>HOME-006</x:v>
      </x:c>
      <x:c r="J1686" s="86" t="n">
        <x:v>1</x:v>
      </x:c>
      <x:c r="K1686" s="87" t="n">
        <x:v>0</x:v>
      </x:c>
      <x:c r="L1686" s="84" t="str">
        <x:v> RETURNED </x:v>
      </x:c>
      <x:c r="M1686" s="84" t="str">
        <x:v>Credit Card </x:v>
      </x:c>
      <x:c r="N1686" s="84" t="str">
        <x:v>Sofia Bennett</x:v>
      </x:c>
      <x:c r="O1686" s="85" t="n">
        <x:v>45844</x:v>
      </x:c>
      <x:c r="P1686" s="84" t="str">
        <x:v>POS_2025_07</x:v>
      </x:c>
      <x:c r="Q1686" s="84" t="str">
        <x:v>Food Storage Set</x:v>
      </x:c>
      <x:c r="R1686" s="84" t="str">
        <x:v>Home &amp; Kitchen</x:v>
      </x:c>
    </x:row>
    <x:row r="1687">
      <x:c r="A1687" s="84" t="str">
        <x:v>ORD-2025-01457</x:v>
      </x:c>
      <x:c r="B1687" s="85" t="n">
        <x:v>45843</x:v>
      </x:c>
      <x:c r="C1687" s="84" t="str">
        <x:v>CUST-0423</x:v>
      </x:c>
      <x:c r="D1687" s="84" t="str">
        <x:v>Marcus Smith</x:v>
      </x:c>
      <x:c r="E1687" s="84" t="str">
        <x:v>Small Business</x:v>
      </x:c>
      <x:c r="F1687" s="84" t="str">
        <x:v>Northeast</x:v>
      </x:c>
      <x:c r="G1687" s="84" t="str">
        <x:v>Philadelphia</x:v>
      </x:c>
      <x:c r="H1687" s="84" t="str">
        <x:v>Online</x:v>
      </x:c>
      <x:c r="I1687" s="84" t="str">
        <x:v>ELEC-001</x:v>
      </x:c>
      <x:c r="J1687" s="86" t="n">
        <x:v>1</x:v>
      </x:c>
      <x:c r="K1687" s="87" t="n">
        <x:v>0.05</x:v>
      </x:c>
      <x:c r="L1687" s="84" t="str">
        <x:v>Returned</x:v>
      </x:c>
      <x:c r="M1687" s="84" t="str">
        <x:v>PayPal</x:v>
      </x:c>
      <x:c r="N1687" s="84" t="str">
        <x:v>Ethan Cole</x:v>
      </x:c>
      <x:c r="O1687" s="85" t="n">
        <x:v>45845</x:v>
      </x:c>
      <x:c r="P1687" s="84" t="str">
        <x:v>WEB_2025_07</x:v>
      </x:c>
      <x:c r="Q1687" s="84" t="str">
        <x:v>Wireless Earbuds </x:v>
      </x:c>
      <x:c r="R1687" s="84" t="str">
        <x:v>Electronics</x:v>
      </x:c>
    </x:row>
    <x:row r="1688">
      <x:c r="A1688" s="84" t="str">
        <x:v>ORD-2025-01791</x:v>
      </x:c>
      <x:c r="B1688" s="85" t="n">
        <x:v>45843</x:v>
      </x:c>
      <x:c r="C1688" s="84" t="str">
        <x:v>CUST-0549</x:v>
      </x:c>
      <x:c r="D1688" s="84" t="str">
        <x:v>Marcus Patel</x:v>
      </x:c>
      <x:c r="E1688" s="84" t="str">
        <x:v>Small Business</x:v>
      </x:c>
      <x:c r="F1688" s="84" t="str">
        <x:v>Northeast</x:v>
      </x:c>
      <x:c r="G1688" s="84" t="str">
        <x:v>Boston</x:v>
      </x:c>
      <x:c r="H1688" s="84" t="str">
        <x:v> MARKETPLACE </x:v>
      </x:c>
      <x:c r="I1688" s="84" t="str">
        <x:v>ELEC-003</x:v>
      </x:c>
      <x:c r="J1688" s="86" t="n">
        <x:v>1</x:v>
      </x:c>
      <x:c r="K1688" s="87" t="n">
        <x:v>0.2</x:v>
      </x:c>
      <x:c r="L1688" s="84" t="str">
        <x:v>Completed </x:v>
      </x:c>
      <x:c r="M1688" s="84" t="str">
        <x:v>PayPal</x:v>
      </x:c>
      <x:c r="N1688" s="84" t="str">
        <x:v>Sofia Bennett</x:v>
      </x:c>
      <x:c r="O1688" s="85" t="n">
        <x:v>45850</x:v>
      </x:c>
      <x:c r="P1688" s="84" t="str">
        <x:v>MKT_2025_07</x:v>
      </x:c>
      <x:c r="Q1688" s="84" t="str">
        <x:v>bluetooth speaker</x:v>
      </x:c>
      <x:c r="R1688" s="84" t="str">
        <x:v>Electronics</x:v>
      </x:c>
    </x:row>
    <x:row r="1689">
      <x:c r="A1689" s="84" t="str">
        <x:v>ORD-2025-02015</x:v>
      </x:c>
      <x:c r="B1689" s="85" t="n">
        <x:v>45843</x:v>
      </x:c>
      <x:c r="C1689" s="84" t="str">
        <x:v>CUST-0346</x:v>
      </x:c>
      <x:c r="D1689" s="84" t="str">
        <x:v>Grace Foster</x:v>
      </x:c>
      <x:c r="E1689" s="84" t="str">
        <x:v>Small Business</x:v>
      </x:c>
      <x:c r="F1689" s="84" t="str">
        <x:v>West</x:v>
      </x:c>
      <x:c r="G1689" s="84" t="str">
        <x:v>Seattle</x:v>
      </x:c>
      <x:c r="H1689" s="84" t="str">
        <x:v>Online</x:v>
      </x:c>
      <x:c r="I1689" s="84" t="str">
        <x:v>ELEC-006</x:v>
      </x:c>
      <x:c r="J1689" s="86" t="n">
        <x:v>1</x:v>
      </x:c>
      <x:c r="K1689" s="87" t="n">
        <x:v>0.1</x:v>
      </x:c>
      <x:c r="L1689" s="84" t="str">
        <x:v>Returned </x:v>
      </x:c>
      <x:c r="M1689" s="84" t="str">
        <x:v>Mobile Wallet</x:v>
      </x:c>
      <x:c r="N1689" s="84" t="str">
        <x:v>mia chen</x:v>
      </x:c>
      <x:c r="O1689" s="85" t="n">
        <x:v>45845</x:v>
      </x:c>
      <x:c r="P1689" s="84" t="str">
        <x:v>WEB_2025_07</x:v>
      </x:c>
      <x:c r="Q1689" s="84" t="str">
        <x:v>Portable SSD</x:v>
      </x:c>
      <x:c r="R1689" s="84" t="str">
        <x:v>Electronics</x:v>
      </x:c>
    </x:row>
    <x:row r="1690">
      <x:c r="A1690" s="84" t="str">
        <x:v>ORD-2025-00042</x:v>
      </x:c>
      <x:c r="B1690" s="85" t="n">
        <x:v>45844</x:v>
      </x:c>
      <x:c r="C1690" s="84" t="str">
        <x:v>CUST-0539</x:v>
      </x:c>
      <x:c r="D1690" s="84" t="str">
        <x:v>Chloe Johnson</x:v>
      </x:c>
      <x:c r="E1690" s="84" t="str">
        <x:v>Small Business </x:v>
      </x:c>
      <x:c r="F1690" s="84" t="str">
        <x:v>West</x:v>
      </x:c>
      <x:c r="G1690" s="84" t="str">
        <x:v>Los Angeles </x:v>
      </x:c>
      <x:c r="H1690" s="84" t="str">
        <x:v>Online</x:v>
      </x:c>
      <x:c r="I1690" s="84" t="str">
        <x:v>ELEC-005</x:v>
      </x:c>
      <x:c r="J1690" s="86" t="n">
        <x:v>1</x:v>
      </x:c>
      <x:c r="K1690" s="87" t="n">
        <x:v>0.15</x:v>
      </x:c>
      <x:c r="L1690" s="84" t="str">
        <x:v>Completed</x:v>
      </x:c>
      <x:c r="M1690" s="84" t="str">
        <x:v>Debit Card</x:v>
      </x:c>
      <x:c r="N1690" s="84" t="str">
        <x:v>Nora Kim</x:v>
      </x:c>
      <x:c r="O1690" s="85" t="n">
        <x:v>45850</x:v>
      </x:c>
      <x:c r="P1690" s="84" t="str">
        <x:v>WEB_2025_07</x:v>
      </x:c>
      <x:c r="Q1690" s="84" t="str">
        <x:v>hd webcam</x:v>
      </x:c>
      <x:c r="R1690" s="84" t="str">
        <x:v>Electronics</x:v>
      </x:c>
    </x:row>
    <x:row r="1691">
      <x:c r="A1691" s="84" t="str">
        <x:v>ORD-2025-00554</x:v>
      </x:c>
      <x:c r="B1691" s="85" t="n">
        <x:v>45844</x:v>
      </x:c>
      <x:c r="C1691" s="84" t="str">
        <x:v>CUST-0365</x:v>
      </x:c>
      <x:c r="D1691" s="84" t="str">
        <x:v>Grace Johnson</x:v>
      </x:c>
      <x:c r="E1691" s="84" t="str">
        <x:v>Consumer</x:v>
      </x:c>
      <x:c r="F1691" s="84" t="str">
        <x:v>West</x:v>
      </x:c>
      <x:c r="G1691" s="84" t="str">
        <x:v> LOS ANGELES </x:v>
      </x:c>
      <x:c r="H1691" s="84" t="str">
        <x:v>Retail Store</x:v>
      </x:c>
      <x:c r="I1691" s="84" t="str">
        <x:v>ACCS-001</x:v>
      </x:c>
      <x:c r="J1691" s="86" t="n">
        <x:v>1</x:v>
      </x:c>
      <x:c r="K1691" s="87" t="n">
        <x:v>0.05</x:v>
      </x:c>
      <x:c r="L1691" s="84" t="str">
        <x:v>completed</x:v>
      </x:c>
      <x:c r="M1691" s="84" t="str">
        <x:v>Debit Card</x:v>
      </x:c>
      <x:c r="N1691" s="84" t="str">
        <x:v>Nora Kim</x:v>
      </x:c>
      <x:c r="O1691" s="85" t="n">
        <x:v>45844</x:v>
      </x:c>
      <x:c r="P1691" s="84" t="str">
        <x:v>POS_2025_07</x:v>
      </x:c>
      <x:c r="Q1691" s="84" t="str">
        <x:v>Canvas Tote Bag </x:v>
      </x:c>
      <x:c r="R1691" s="84" t="str">
        <x:v>Accessories</x:v>
      </x:c>
    </x:row>
    <x:row r="1692">
      <x:c r="A1692" s="84" t="str">
        <x:v>ORD-2025-02128</x:v>
      </x:c>
      <x:c r="B1692" s="85" t="n">
        <x:v>45844</x:v>
      </x:c>
      <x:c r="C1692" s="84" t="str">
        <x:v>CUST-0225</x:v>
      </x:c>
      <x:c r="D1692" s="84" t="str">
        <x:v>Sara Ortiz</x:v>
      </x:c>
      <x:c r="E1692" s="84" t="str">
        <x:v>Small Business </x:v>
      </x:c>
      <x:c r="F1692" s="84" t="str">
        <x:v>Southeast</x:v>
      </x:c>
      <x:c r="G1692" s="84" t="str">
        <x:v>Atlanta </x:v>
      </x:c>
      <x:c r="H1692" s="84" t="str">
        <x:v>Online</x:v>
      </x:c>
      <x:c r="I1692" s="84" t="str">
        <x:v>HOME-006</x:v>
      </x:c>
      <x:c r="J1692" s="86" t="n">
        <x:v>1</x:v>
      </x:c>
      <x:c r="K1692" s="87" t="n">
        <x:v>0.05</x:v>
      </x:c>
      <x:c r="L1692" s="84" t="str">
        <x:v>Completed</x:v>
      </x:c>
      <x:c r="M1692" s="84" t="str">
        <x:v>Credit Card</x:v>
      </x:c>
      <x:c r="N1692" s="84" t="str">
        <x:v> AVA MITCHELL </x:v>
      </x:c>
      <x:c r="O1692" s="85" t="n">
        <x:v>45848</x:v>
      </x:c>
      <x:c r="P1692" s="84" t="str">
        <x:v>WEB_2025_07</x:v>
      </x:c>
      <x:c r="Q1692" s="84" t="str">
        <x:v>Food Storage Set</x:v>
      </x:c>
      <x:c r="R1692" s="84" t="str">
        <x:v>Home &amp; Kitchen</x:v>
      </x:c>
    </x:row>
    <x:row r="1693">
      <x:c r="A1693" s="84" t="str">
        <x:v>ORD-2025-00600</x:v>
      </x:c>
      <x:c r="B1693" s="85" t="n">
        <x:v>45845</x:v>
      </x:c>
      <x:c r="C1693" s="84" t="str">
        <x:v>CUST-0616</x:v>
      </x:c>
      <x:c r="D1693" s="84" t="str">
        <x:v>Samuel Smith </x:v>
      </x:c>
      <x:c r="E1693" s="84" t="str">
        <x:v>Small Business</x:v>
      </x:c>
      <x:c r="F1693" s="84" t="str">
        <x:v>Northeast</x:v>
      </x:c>
      <x:c r="G1693" s="84" t="str">
        <x:v>Philadelphia</x:v>
      </x:c>
      <x:c r="H1693" s="84" t="str">
        <x:v>Online</x:v>
      </x:c>
      <x:c r="I1693" s="84" t="str">
        <x:v>ELEC-004</x:v>
      </x:c>
      <x:c r="J1693" s="86" t="n">
        <x:v>1</x:v>
      </x:c>
      <x:c r="K1693" s="87" t="n">
        <x:v>0</x:v>
      </x:c>
      <x:c r="L1693" s="84" t="str">
        <x:v> COMPLETED </x:v>
      </x:c>
      <x:c r="M1693" s="84" t="str">
        <x:v>Mobile Wallet </x:v>
      </x:c>
      <x:c r="N1693" s="84" t="str">
        <x:v>Ethan Cole</x:v>
      </x:c>
      <x:c r="O1693" s="85" t="n">
        <x:v>45851</x:v>
      </x:c>
      <x:c r="P1693" s="84" t="str">
        <x:v>WEB_2025_07</x:v>
      </x:c>
      <x:c r="Q1693" s="84" t="str">
        <x:v>Power Bank</x:v>
      </x:c>
      <x:c r="R1693" s="84" t="str">
        <x:v>Electronics</x:v>
      </x:c>
    </x:row>
    <x:row r="1694">
      <x:c r="A1694" s="84" t="str">
        <x:v>ORD-2025-00887</x:v>
      </x:c>
      <x:c r="B1694" s="85" t="n">
        <x:v>45845</x:v>
      </x:c>
      <x:c r="C1694" s="84" t="str">
        <x:v>CUST-0211</x:v>
      </x:c>
      <x:c r="D1694" s="84" t="str">
        <x:v>caleb roberts</x:v>
      </x:c>
      <x:c r="E1694" s="84" t="str">
        <x:v>Consumer</x:v>
      </x:c>
      <x:c r="F1694" s="84" t="str">
        <x:v>Northeast</x:v>
      </x:c>
      <x:c r="G1694" s="84" t="str">
        <x:v>New York</x:v>
      </x:c>
      <x:c r="H1694" s="84" t="str">
        <x:v>Marketplace</x:v>
      </x:c>
      <x:c r="I1694" s="84" t="str">
        <x:v>ELEC-004</x:v>
      </x:c>
      <x:c r="J1694" s="86" t="n">
        <x:v>1</x:v>
      </x:c>
      <x:c r="K1694" s="87" t="n">
        <x:v>0.1</x:v>
      </x:c>
      <x:c r="L1694" s="84" t="str">
        <x:v>Completed</x:v>
      </x:c>
      <x:c r="M1694" s="84" t="str">
        <x:v>Debit Card </x:v>
      </x:c>
      <x:c r="N1694" s="84" t="str">
        <x:v> SOFIA BENNETT </x:v>
      </x:c>
      <x:c r="O1694" s="85" t="n">
        <x:v>45852</x:v>
      </x:c>
      <x:c r="P1694" s="84" t="str">
        <x:v>MKT_2025_07</x:v>
      </x:c>
      <x:c r="Q1694" s="84" t="str">
        <x:v>Power Bank</x:v>
      </x:c>
      <x:c r="R1694" s="84" t="str">
        <x:v>Electronics</x:v>
      </x:c>
    </x:row>
    <x:row r="1695">
      <x:c r="A1695" s="84" t="str">
        <x:v>ORD-2025-01831</x:v>
      </x:c>
      <x:c r="B1695" s="85" t="n">
        <x:v>45845</x:v>
      </x:c>
      <x:c r="C1695" s="84" t="str">
        <x:v>CUST-0470</x:v>
      </x:c>
      <x:c r="D1695" s="84" t="str">
        <x:v>Jasmine Lewis</x:v>
      </x:c>
      <x:c r="E1695" s="84" t="str">
        <x:v>Corporate</x:v>
      </x:c>
      <x:c r="F1695" s="84" t="str">
        <x:v>Southeast </x:v>
      </x:c>
      <x:c r="G1695" s="84" t="str">
        <x:v>Miami</x:v>
      </x:c>
      <x:c r="H1695" s="84" t="str">
        <x:v>Online</x:v>
      </x:c>
      <x:c r="I1695" s="84" t="str">
        <x:v>ELEC-003</x:v>
      </x:c>
      <x:c r="J1695" s="86" t="n">
        <x:v>1</x:v>
      </x:c>
      <x:c r="K1695" s="87" t="n">
        <x:v>0</x:v>
      </x:c>
      <x:c r="L1695" s="84" t="str">
        <x:v>Returned</x:v>
      </x:c>
      <x:c r="M1695" s="84" t="str">
        <x:v>Mobile Wallet</x:v>
      </x:c>
      <x:c r="N1695" s="84" t="str">
        <x:v>Ava Mitchell </x:v>
      </x:c>
      <x:c r="O1695" s="85" t="n">
        <x:v>45848</x:v>
      </x:c>
      <x:c r="P1695" s="84" t="str">
        <x:v>WEB_2025_07</x:v>
      </x:c>
      <x:c r="Q1695" s="84" t="str">
        <x:v>Bluetooth Speaker</x:v>
      </x:c>
      <x:c r="R1695" s="84" t="str">
        <x:v>Electronics</x:v>
      </x:c>
    </x:row>
    <x:row r="1696">
      <x:c r="A1696" s="84" t="str">
        <x:v>ORD-2025-01958</x:v>
      </x:c>
      <x:c r="B1696" s="85" t="n">
        <x:v>45845</x:v>
      </x:c>
      <x:c r="C1696" s="84" t="str">
        <x:v>CUST-0022</x:v>
      </x:c>
      <x:c r="D1696" s="84" t="str">
        <x:v>Amelia Nelson </x:v>
      </x:c>
      <x:c r="E1696" s="84" t="str">
        <x:v>corporate</x:v>
      </x:c>
      <x:c r="F1696" s="84" t="str">
        <x:v>Northeast</x:v>
      </x:c>
      <x:c r="G1696" s="84" t="str">
        <x:v>New York</x:v>
      </x:c>
      <x:c r="H1696" s="84" t="str">
        <x:v>retail store</x:v>
      </x:c>
      <x:c r="I1696" s="84" t="str">
        <x:v>CARE-003</x:v>
      </x:c>
      <x:c r="J1696" s="86" t="n">
        <x:v>6</x:v>
      </x:c>
      <x:c r="K1696" s="87" t="n">
        <x:v>0.05</x:v>
      </x:c>
      <x:c r="L1696" s="84" t="str">
        <x:v>Completed</x:v>
      </x:c>
      <x:c r="M1696" s="84" t="str">
        <x:v>Credit Card </x:v>
      </x:c>
      <x:c r="N1696" s="84" t="str">
        <x:v> SOFIA BENNETT </x:v>
      </x:c>
      <x:c r="O1696" s="85" t="n">
        <x:v>45846</x:v>
      </x:c>
      <x:c r="P1696" s="84" t="str">
        <x:v>POS_2025_07</x:v>
      </x:c>
      <x:c r="Q1696" s="84" t="str">
        <x:v>Facial Cleanser</x:v>
      </x:c>
      <x:c r="R1696" s="84" t="str">
        <x:v>Personal Care</x:v>
      </x:c>
    </x:row>
    <x:row r="1697">
      <x:c r="A1697" s="84" t="str">
        <x:v>ORD-2025-00786</x:v>
      </x:c>
      <x:c r="B1697" s="85" t="n">
        <x:v>45846</x:v>
      </x:c>
      <x:c r="C1697" s="84" t="str">
        <x:v>CUST-0485</x:v>
      </x:c>
      <x:c r="D1697" s="84" t="str">
        <x:v>Elias Ortiz</x:v>
      </x:c>
      <x:c r="E1697" s="84" t="str">
        <x:v>Consumer</x:v>
      </x:c>
      <x:c r="F1697" s="84" t="str">
        <x:v>Southeast</x:v>
      </x:c>
      <x:c r="G1697" s="84" t="str">
        <x:v>Atlanta</x:v>
      </x:c>
      <x:c r="H1697" s="84" t="str">
        <x:v>Retail Store</x:v>
      </x:c>
      <x:c r="I1697" s="84" t="str">
        <x:v>ELEC-002</x:v>
      </x:c>
      <x:c r="J1697" s="86" t="n">
        <x:v>3</x:v>
      </x:c>
      <x:c r="K1697" s="87" t="n">
        <x:v>0</x:v>
      </x:c>
      <x:c r="L1697" s="84" t="str">
        <x:v>Completed</x:v>
      </x:c>
      <x:c r="M1697" s="84" t="str">
        <x:v>Debit Card</x:v>
      </x:c>
      <x:c r="N1697" s="84" t="str">
        <x:v>Noah Reed</x:v>
      </x:c>
      <x:c r="O1697" s="85" t="n">
        <x:v>45846</x:v>
      </x:c>
      <x:c r="P1697" s="84" t="str">
        <x:v>POS_2025_07</x:v>
      </x:c>
      <x:c r="Q1697" s="84" t="str">
        <x:v> SMARTWATCH </x:v>
      </x:c>
      <x:c r="R1697" s="84" t="str">
        <x:v>Electronics </x:v>
      </x:c>
    </x:row>
    <x:row r="1698">
      <x:c r="A1698" s="84" t="str">
        <x:v>ORD-2025-00795</x:v>
      </x:c>
      <x:c r="B1698" s="85" t="n">
        <x:v>45847</x:v>
      </x:c>
      <x:c r="C1698" s="84" t="str">
        <x:v>CUST-0036</x:v>
      </x:c>
      <x:c r="D1698" s="84" t="str">
        <x:v>Victoria Ortiz</x:v>
      </x:c>
      <x:c r="E1698" s="84" t="str">
        <x:v>Small Business</x:v>
      </x:c>
      <x:c r="F1698" s="84" t="str">
        <x:v>Northeast </x:v>
      </x:c>
      <x:c r="G1698" s="84" t="str">
        <x:v>Philadelphia</x:v>
      </x:c>
      <x:c r="H1698" s="84" t="str">
        <x:v>Online</x:v>
      </x:c>
      <x:c r="I1698" s="84" t="str">
        <x:v>ELEC-001</x:v>
      </x:c>
      <x:c r="J1698" s="86" t="n">
        <x:v>1</x:v>
      </x:c>
      <x:c r="K1698" s="87" t="n">
        <x:v>0.15</x:v>
      </x:c>
      <x:c r="L1698" s="84" t="str">
        <x:v>Completed</x:v>
      </x:c>
      <x:c r="M1698" s="84" t="str">
        <x:v>PayPal</x:v>
      </x:c>
      <x:c r="N1698" s="84" t="str">
        <x:v>Ethan Cole </x:v>
      </x:c>
      <x:c r="O1698" s="85" t="n">
        <x:v>45851</x:v>
      </x:c>
      <x:c r="P1698" s="84" t="str">
        <x:v>WEB_2025_07</x:v>
      </x:c>
      <x:c r="Q1698" s="84" t="str">
        <x:v>Wireless Earbuds</x:v>
      </x:c>
      <x:c r="R1698" s="84" t="str">
        <x:v>electronics</x:v>
      </x:c>
    </x:row>
    <x:row r="1699">
      <x:c r="A1699" s="84" t="str">
        <x:v>ORD-2025-02154</x:v>
      </x:c>
      <x:c r="B1699" s="85" t="n">
        <x:v>45847</x:v>
      </x:c>
      <x:c r="C1699" s="84" t="str">
        <x:v>CUST-0460</x:v>
      </x:c>
      <x:c r="D1699" s="84" t="str">
        <x:v>Sara Johnson </x:v>
      </x:c>
      <x:c r="E1699" s="84" t="str">
        <x:v>Consumer</x:v>
      </x:c>
      <x:c r="F1699" s="84" t="str">
        <x:v>West</x:v>
      </x:c>
      <x:c r="G1699" s="84" t="str">
        <x:v>Denver</x:v>
      </x:c>
      <x:c r="H1699" s="84" t="str">
        <x:v>Marketplace</x:v>
      </x:c>
      <x:c r="I1699" s="84" t="str">
        <x:v>ACCS-004</x:v>
      </x:c>
      <x:c r="J1699" s="86" t="n">
        <x:v>2</x:v>
      </x:c>
      <x:c r="K1699" s="87" t="n">
        <x:v>0.2</x:v>
      </x:c>
      <x:c r="L1699" s="84" t="str">
        <x:v>Completed</x:v>
      </x:c>
      <x:c r="M1699" s="84" t="str">
        <x:v>PayPal </x:v>
      </x:c>
      <x:c r="N1699" s="84" t="str">
        <x:v>Nora Kim</x:v>
      </x:c>
      <x:c r="O1699" s="85" t="n">
        <x:v>45852</x:v>
      </x:c>
      <x:c r="P1699" s="84" t="str">
        <x:v>MKT_2025_07</x:v>
      </x:c>
      <x:c r="Q1699" s="84" t="str">
        <x:v>leather wallet</x:v>
      </x:c>
      <x:c r="R1699" s="84" t="str">
        <x:v>Accessories</x:v>
      </x:c>
    </x:row>
    <x:row r="1700">
      <x:c r="A1700" s="84" t="str">
        <x:v>ORD-2025-00637</x:v>
      </x:c>
      <x:c r="B1700" s="85" t="n">
        <x:v>45848</x:v>
      </x:c>
      <x:c r="C1700" s="84" t="str">
        <x:v>CUST-0280</x:v>
      </x:c>
      <x:c r="D1700" s="84" t="str">
        <x:v>Theo Taylor</x:v>
      </x:c>
      <x:c r="E1700" s="84" t="str">
        <x:v>Corporate </x:v>
      </x:c>
      <x:c r="F1700" s="84" t="str">
        <x:v>Southeast</x:v>
      </x:c>
      <x:c r="G1700" s="84" t="str">
        <x:v>Charlotte </x:v>
      </x:c>
      <x:c r="H1700" s="84" t="str">
        <x:v>Retail Store</x:v>
      </x:c>
      <x:c r="I1700" s="84" t="str">
        <x:v>OFFC-006</x:v>
      </x:c>
      <x:c r="J1700" s="86" t="n">
        <x:v>4</x:v>
      </x:c>
      <x:c r="K1700" s="87" t="n">
        <x:v>0.05</x:v>
      </x:c>
      <x:c r="L1700" s="84" t="str">
        <x:v>Returned</x:v>
      </x:c>
      <x:c r="M1700" s="84" t="str">
        <x:v>credit card</x:v>
      </x:c>
      <x:c r="N1700" s="84" t="str">
        <x:v>Ava Mitchell</x:v>
      </x:c>
      <x:c r="O1700" s="85" t="n">
        <x:v>45848</x:v>
      </x:c>
      <x:c r="P1700" s="84" t="str">
        <x:v>POS_2025_07</x:v>
      </x:c>
      <x:c r="Q1700" s="84" t="str">
        <x:v>Monitor Stand</x:v>
      </x:c>
      <x:c r="R1700" s="84" t="str">
        <x:v>Office</x:v>
      </x:c>
    </x:row>
    <x:row r="1701">
      <x:c r="A1701" s="84" t="str">
        <x:v>ORD-2025-00751</x:v>
      </x:c>
      <x:c r="B1701" s="85" t="n">
        <x:v>45848</x:v>
      </x:c>
      <x:c r="C1701" s="84" t="str">
        <x:v>CUST-0485</x:v>
      </x:c>
      <x:c r="D1701" s="84" t="str">
        <x:v>Elias Ortiz</x:v>
      </x:c>
      <x:c r="E1701" s="84" t="str">
        <x:v>Consumer</x:v>
      </x:c>
      <x:c r="F1701" s="84" t="str">
        <x:v>Southeast</x:v>
      </x:c>
      <x:c r="G1701" s="84" t="str">
        <x:v>Atlanta</x:v>
      </x:c>
      <x:c r="H1701" s="84" t="str">
        <x:v>Retail Store</x:v>
      </x:c>
      <x:c r="I1701" s="84" t="str">
        <x:v>ACCS-005</x:v>
      </x:c>
      <x:c r="J1701" s="86" t="n">
        <x:v>2</x:v>
      </x:c>
      <x:c r="K1701" s="87" t="n">
        <x:v>0.05</x:v>
      </x:c>
      <x:c r="L1701" s="84" t="str">
        <x:v>Completed</x:v>
      </x:c>
      <x:c r="M1701" s="84" t="str">
        <x:v>Credit Card</x:v>
      </x:c>
      <x:c r="N1701" s="84" t="str">
        <x:v> NOAH REED </x:v>
      </x:c>
      <x:c r="O1701" s="85" t="n">
        <x:v>45848</x:v>
      </x:c>
      <x:c r="P1701" s="84" t="str">
        <x:v>POS_2025_07</x:v>
      </x:c>
      <x:c r="Q1701" s="84" t="str">
        <x:v>Protective Phone Case</x:v>
      </x:c>
      <x:c r="R1701" s="84" t="str">
        <x:v>accessories</x:v>
      </x:c>
    </x:row>
    <x:row r="1702">
      <x:c r="A1702" s="84" t="str">
        <x:v>ORD-2025-01394</x:v>
      </x:c>
      <x:c r="B1702" s="85" t="n">
        <x:v>45848</x:v>
      </x:c>
      <x:c r="C1702" s="84" t="str">
        <x:v>CUST-0469</x:v>
      </x:c>
      <x:c r="D1702" s="84" t="str">
        <x:v>Layla Evans</x:v>
      </x:c>
      <x:c r="E1702" s="84" t="str">
        <x:v> CORPORATE </x:v>
      </x:c>
      <x:c r="F1702" s="84" t="str">
        <x:v>midwest</x:v>
      </x:c>
      <x:c r="G1702" s="84" t="str">
        <x:v>Minneapolis</x:v>
      </x:c>
      <x:c r="H1702" s="84" t="str">
        <x:v>Retail Store</x:v>
      </x:c>
      <x:c r="I1702" s="84" t="str">
        <x:v>OFFC-001</x:v>
      </x:c>
      <x:c r="J1702" s="86" t="n">
        <x:v>1</x:v>
      </x:c>
      <x:c r="K1702" s="87" t="n">
        <x:v>0.05</x:v>
      </x:c>
      <x:c r="L1702" s="84" t="str">
        <x:v>Returned</x:v>
      </x:c>
      <x:c r="M1702" s="84" t="str">
        <x:v>Cash</x:v>
      </x:c>
      <x:c r="N1702" s="84" t="str">
        <x:v>Zoe Turner</x:v>
      </x:c>
      <x:c r="O1702" s="85" t="n">
        <x:v>45848</x:v>
      </x:c>
      <x:c r="P1702" s="84" t="str">
        <x:v>POS_2025_07</x:v>
      </x:c>
      <x:c r="Q1702" s="84" t="str">
        <x:v>Ergonomic Chair </x:v>
      </x:c>
      <x:c r="R1702" s="84" t="str">
        <x:v>Office</x:v>
      </x:c>
    </x:row>
    <x:row r="1703">
      <x:c r="A1703" s="84" t="str">
        <x:v>ORD-2025-02380</x:v>
      </x:c>
      <x:c r="B1703" s="85" t="n">
        <x:v>45848</x:v>
      </x:c>
      <x:c r="C1703" s="84" t="str">
        <x:v>CUST-0022</x:v>
      </x:c>
      <x:c r="D1703" s="84" t="str">
        <x:v>Amelia Nelson</x:v>
      </x:c>
      <x:c r="E1703" s="84" t="str">
        <x:v> CORPORATE </x:v>
      </x:c>
      <x:c r="F1703" s="84" t="str">
        <x:v>Northeast</x:v>
      </x:c>
      <x:c r="G1703" s="84" t="str">
        <x:v>new york</x:v>
      </x:c>
      <x:c r="H1703" s="84" t="str">
        <x:v>Retail Store</x:v>
      </x:c>
      <x:c r="I1703" s="84" t="str">
        <x:v>CARE-004</x:v>
      </x:c>
      <x:c r="J1703" s="86" t="n">
        <x:v>5</x:v>
      </x:c>
      <x:c r="K1703" s="87" t="n">
        <x:v>0</x:v>
      </x:c>
      <x:c r="L1703" s="84" t="str">
        <x:v>completed</x:v>
      </x:c>
      <x:c r="M1703" s="84" t="str">
        <x:v>Credit Card</x:v>
      </x:c>
      <x:c r="N1703" s="84" t="str">
        <x:v>Ethan Cole</x:v>
      </x:c>
      <x:c r="O1703" s="85" t="n">
        <x:v>45848</x:v>
      </x:c>
      <x:c r="P1703" s="84" t="str">
        <x:v>POS_2025_07</x:v>
      </x:c>
      <x:c r="Q1703" s="84" t="str">
        <x:v>Electric Toothbrush</x:v>
      </x:c>
      <x:c r="R1703" s="84" t="str">
        <x:v>Personal Care</x:v>
      </x:c>
    </x:row>
    <x:row r="1704">
      <x:c r="A1704" s="84" t="str">
        <x:v>ORD-2025-00758</x:v>
      </x:c>
      <x:c r="B1704" s="85" t="n">
        <x:v>45849</x:v>
      </x:c>
      <x:c r="C1704" s="84" t="str">
        <x:v>CUST-0311</x:v>
      </x:c>
      <x:c r="D1704" s="84" t="str">
        <x:v>Amelia Evans</x:v>
      </x:c>
      <x:c r="E1704" s="84" t="str">
        <x:v>Consumer</x:v>
      </x:c>
      <x:c r="F1704" s="84" t="str">
        <x:v>Midwest</x:v>
      </x:c>
      <x:c r="G1704" s="84" t="str">
        <x:v> DETROIT </x:v>
      </x:c>
      <x:c r="H1704" s="84" t="str">
        <x:v>Online</x:v>
      </x:c>
      <x:c r="I1704" s="84" t="str">
        <x:v>FITN-001</x:v>
      </x:c>
      <x:c r="J1704" s="86" t="n">
        <x:v>1</x:v>
      </x:c>
      <x:c r="K1704" s="87" t="n">
        <x:v>0</x:v>
      </x:c>
      <x:c r="L1704" s="84" t="str">
        <x:v>Completed</x:v>
      </x:c>
      <x:c r="M1704" s="84" t="str">
        <x:v>paypal</x:v>
      </x:c>
      <x:c r="N1704" s="84" t="str">
        <x:v>Emma Hayes</x:v>
      </x:c>
      <x:c r="O1704" s="85" t="n">
        <x:v>45851</x:v>
      </x:c>
      <x:c r="P1704" s="84" t="str">
        <x:v>WEB_2025_07</x:v>
      </x:c>
      <x:c r="Q1704" s="84" t="str">
        <x:v>Yoga Mat</x:v>
      </x:c>
      <x:c r="R1704" s="84" t="str">
        <x:v>Fitness </x:v>
      </x:c>
    </x:row>
    <x:row r="1705">
      <x:c r="A1705" s="84" t="str">
        <x:v>ORD-2025-00812</x:v>
      </x:c>
      <x:c r="B1705" s="85" t="n">
        <x:v>45849</x:v>
      </x:c>
      <x:c r="C1705" s="84" t="str">
        <x:v>CUST-0376</x:v>
      </x:c>
      <x:c r="D1705" s="84" t="str">
        <x:v>Nina Foster</x:v>
      </x:c>
      <x:c r="E1705" s="84" t="str">
        <x:v>Consumer </x:v>
      </x:c>
      <x:c r="F1705" s="84" t="str">
        <x:v>West</x:v>
      </x:c>
      <x:c r="G1705" s="84" t="str">
        <x:v>Denver </x:v>
      </x:c>
      <x:c r="H1705" s="84" t="str">
        <x:v>Marketplace</x:v>
      </x:c>
      <x:c r="I1705" s="84" t="str">
        <x:v>HOME-002</x:v>
      </x:c>
      <x:c r="J1705" s="86" t="n">
        <x:v>1</x:v>
      </x:c>
      <x:c r="K1705" s="87" t="n">
        <x:v>0</x:v>
      </x:c>
      <x:c r="L1705" s="84" t="str">
        <x:v>Completed</x:v>
      </x:c>
      <x:c r="M1705" s="84" t="str">
        <x:v>Debit Card</x:v>
      </x:c>
      <x:c r="N1705" s="84" t="str">
        <x:v>Mia Chen</x:v>
      </x:c>
      <x:c r="O1705" s="85" t="n">
        <x:v>45856</x:v>
      </x:c>
      <x:c r="P1705" s="84" t="str">
        <x:v>MKT_2025_07</x:v>
      </x:c>
      <x:c r="Q1705" s="84" t="str">
        <x:v>electric kettle</x:v>
      </x:c>
      <x:c r="R1705" s="84" t="str">
        <x:v>Home &amp; Kitchen</x:v>
      </x:c>
    </x:row>
    <x:row r="1706">
      <x:c r="A1706" s="84" t="str">
        <x:v>ORD-2025-01002</x:v>
      </x:c>
      <x:c r="B1706" s="85" t="n">
        <x:v>45849</x:v>
      </x:c>
      <x:c r="C1706" s="84" t="str">
        <x:v>CUST-0355</x:v>
      </x:c>
      <x:c r="D1706" s="84" t="str">
        <x:v>Caleb Evans</x:v>
      </x:c>
      <x:c r="E1706" s="84" t="str">
        <x:v>Consumer</x:v>
      </x:c>
      <x:c r="F1706" s="84" t="str">
        <x:v>Northeast</x:v>
      </x:c>
      <x:c r="G1706" s="84" t="str">
        <x:v>Philadelphia</x:v>
      </x:c>
      <x:c r="H1706" s="84" t="str">
        <x:v>Retail Store</x:v>
      </x:c>
      <x:c r="I1706" s="84" t="str">
        <x:v>CARE-003</x:v>
      </x:c>
      <x:c r="J1706" s="86" t="n">
        <x:v>4</x:v>
      </x:c>
      <x:c r="K1706" s="87" t="n">
        <x:v>0.15</x:v>
      </x:c>
      <x:c r="L1706" s="84" t="str">
        <x:v>Completed</x:v>
      </x:c>
      <x:c r="M1706" s="84" t="str">
        <x:v>Cash</x:v>
      </x:c>
      <x:c r="N1706" s="84" t="str">
        <x:v>Maya Brooks</x:v>
      </x:c>
      <x:c r="O1706" s="85" t="n">
        <x:v>45850</x:v>
      </x:c>
      <x:c r="P1706" s="84" t="str">
        <x:v>POS_2025_07</x:v>
      </x:c>
      <x:c r="Q1706" s="84" t="str">
        <x:v>Facial Cleanser </x:v>
      </x:c>
      <x:c r="R1706" s="84" t="str">
        <x:v>Personal Care</x:v>
      </x:c>
    </x:row>
    <x:row r="1707">
      <x:c r="A1707" s="84" t="str">
        <x:v>ORD-2025-01187</x:v>
      </x:c>
      <x:c r="B1707" s="85" t="n">
        <x:v>45849</x:v>
      </x:c>
      <x:c r="C1707" s="84" t="str">
        <x:v>CUST-0629</x:v>
      </x:c>
      <x:c r="D1707" s="84" t="str">
        <x:v> NINA GARCIA </x:v>
      </x:c>
      <x:c r="E1707" s="84" t="str">
        <x:v>Consumer</x:v>
      </x:c>
      <x:c r="F1707" s="84" t="str">
        <x:v> SOUTHEAST </x:v>
      </x:c>
      <x:c r="G1707" s="84" t="str">
        <x:v>Charlotte</x:v>
      </x:c>
      <x:c r="H1707" s="84" t="str">
        <x:v>Retail Store</x:v>
      </x:c>
      <x:c r="I1707" s="84" t="str">
        <x:v>ACCS-002</x:v>
      </x:c>
      <x:c r="J1707" s="86" t="n">
        <x:v>2</x:v>
      </x:c>
      <x:c r="K1707" s="87" t="n">
        <x:v>0</x:v>
      </x:c>
      <x:c r="L1707" s="84" t="str">
        <x:v>Completed</x:v>
      </x:c>
      <x:c r="M1707" s="84" t="str">
        <x:v>credit card</x:v>
      </x:c>
      <x:c r="N1707" s="84" t="str">
        <x:v>Noah Reed </x:v>
      </x:c>
      <x:c r="O1707" s="85" t="n">
        <x:v>45849</x:v>
      </x:c>
      <x:c r="P1707" s="84" t="str">
        <x:v>POS_2025_07</x:v>
      </x:c>
      <x:c r="Q1707" s="84" t="str">
        <x:v>Travel Backpack</x:v>
      </x:c>
      <x:c r="R1707" s="84" t="str">
        <x:v>Accessories</x:v>
      </x:c>
    </x:row>
    <x:row r="1708">
      <x:c r="A1708" s="84" t="str">
        <x:v>ORD-2025-01531</x:v>
      </x:c>
      <x:c r="B1708" s="85" t="n">
        <x:v>45849</x:v>
      </x:c>
      <x:c r="C1708" s="84" t="str">
        <x:v>CUST-0229</x:v>
      </x:c>
      <x:c r="D1708" s="84" t="str">
        <x:v>Maya Evans </x:v>
      </x:c>
      <x:c r="E1708" s="84" t="str">
        <x:v>Small Business</x:v>
      </x:c>
      <x:c r="F1708" s="84" t="str">
        <x:v>Southeast</x:v>
      </x:c>
      <x:c r="G1708" s="84" t="str">
        <x:v>Miami</x:v>
      </x:c>
      <x:c r="H1708" s="84" t="str">
        <x:v>Retail Store</x:v>
      </x:c>
      <x:c r="I1708" s="84" t="str">
        <x:v>ELEC-002</x:v>
      </x:c>
      <x:c r="J1708" s="86" t="n">
        <x:v>1</x:v>
      </x:c>
      <x:c r="K1708" s="87" t="n">
        <x:v>0</x:v>
      </x:c>
      <x:c r="L1708" s="84" t="str">
        <x:v>Completed</x:v>
      </x:c>
      <x:c r="M1708" s="84" t="str">
        <x:v>Cash </x:v>
      </x:c>
      <x:c r="N1708" s="84" t="str">
        <x:v>ava mitchell</x:v>
      </x:c>
      <x:c r="O1708" s="85" t="n">
        <x:v>45849</x:v>
      </x:c>
      <x:c r="P1708" s="84" t="str">
        <x:v>POS_2025_07</x:v>
      </x:c>
      <x:c r="Q1708" s="84" t="str">
        <x:v>Smartwatch</x:v>
      </x:c>
      <x:c r="R1708" s="84" t="str">
        <x:v>Electronics</x:v>
      </x:c>
    </x:row>
    <x:row r="1709">
      <x:c r="A1709" s="84" t="str">
        <x:v>ORD-2025-02392</x:v>
      </x:c>
      <x:c r="B1709" s="85" t="n">
        <x:v>45849</x:v>
      </x:c>
      <x:c r="C1709" s="84" t="str">
        <x:v>CUST-0176</x:v>
      </x:c>
      <x:c r="D1709" s="84" t="str">
        <x:v>Grace Smith </x:v>
      </x:c>
      <x:c r="E1709" s="84" t="str">
        <x:v>Corporate</x:v>
      </x:c>
      <x:c r="F1709" s="84" t="str">
        <x:v>Northeast</x:v>
      </x:c>
      <x:c r="G1709" s="84" t="str">
        <x:v>New York</x:v>
      </x:c>
      <x:c r="H1709" s="84" t="str">
        <x:v>Online</x:v>
      </x:c>
      <x:c r="I1709" s="84" t="str">
        <x:v>ACCS-002</x:v>
      </x:c>
      <x:c r="J1709" s="86" t="n">
        <x:v>2</x:v>
      </x:c>
      <x:c r="K1709" s="87" t="n">
        <x:v>0.15</x:v>
      </x:c>
      <x:c r="L1709" s="84" t="str">
        <x:v>Completed</x:v>
      </x:c>
      <x:c r="M1709" s="84" t="str">
        <x:v>Credit Card </x:v>
      </x:c>
      <x:c r="N1709" s="84" t="str">
        <x:v>Maya Brooks</x:v>
      </x:c>
      <x:c r="O1709" s="85" t="n">
        <x:v>45852</x:v>
      </x:c>
      <x:c r="P1709" s="84" t="str">
        <x:v>WEB_2025_07</x:v>
      </x:c>
      <x:c r="Q1709" s="84" t="str">
        <x:v>Travel Backpack</x:v>
      </x:c>
      <x:c r="R1709" s="84" t="str">
        <x:v>Accessories</x:v>
      </x:c>
    </x:row>
    <x:row r="1710">
      <x:c r="A1710" s="84" t="str">
        <x:v>ORD-2025-01054</x:v>
      </x:c>
      <x:c r="B1710" s="85" t="n">
        <x:v>45850</x:v>
      </x:c>
      <x:c r="C1710" s="84" t="str">
        <x:v>CUST-0250</x:v>
      </x:c>
      <x:c r="D1710" s="84" t="str">
        <x:v>Theo Young</x:v>
      </x:c>
      <x:c r="E1710" s="84" t="str">
        <x:v> CORPORATE </x:v>
      </x:c>
      <x:c r="F1710" s="84" t="str">
        <x:v>Northeast </x:v>
      </x:c>
      <x:c r="G1710" s="84" t="str">
        <x:v>Philadelphia</x:v>
      </x:c>
      <x:c r="H1710" s="84" t="str">
        <x:v>Marketplace</x:v>
      </x:c>
      <x:c r="I1710" s="84" t="str">
        <x:v>ACCS-002</x:v>
      </x:c>
      <x:c r="J1710" s="86" t="n">
        <x:v>4</x:v>
      </x:c>
      <x:c r="K1710" s="87" t="n">
        <x:v>0.15</x:v>
      </x:c>
      <x:c r="L1710" s="84" t="str">
        <x:v>Completed</x:v>
      </x:c>
      <x:c r="M1710" s="84" t="str">
        <x:v>Credit Card</x:v>
      </x:c>
      <x:c r="N1710" s="84" t="str">
        <x:v>Maya Brooks </x:v>
      </x:c>
      <x:c r="O1710" s="85" t="n">
        <x:v>45855</x:v>
      </x:c>
      <x:c r="P1710" s="84" t="str">
        <x:v>MKT_2025_07</x:v>
      </x:c>
      <x:c r="Q1710" s="84" t="str">
        <x:v>travel backpack</x:v>
      </x:c>
      <x:c r="R1710" s="84" t="str">
        <x:v>Accessories</x:v>
      </x:c>
    </x:row>
    <x:row r="1711">
      <x:c r="A1711" s="84" t="str">
        <x:v>ORD-2025-01339</x:v>
      </x:c>
      <x:c r="B1711" s="85" t="n">
        <x:v>45850</x:v>
      </x:c>
      <x:c r="C1711" s="84" t="str">
        <x:v>CUST-0590</x:v>
      </x:c>
      <x:c r="D1711" s="84" t="str">
        <x:v>Theo Young</x:v>
      </x:c>
      <x:c r="E1711" s="84" t="str">
        <x:v>Consumer</x:v>
      </x:c>
      <x:c r="F1711" s="84" t="str">
        <x:v>southeast</x:v>
      </x:c>
      <x:c r="G1711" s="84" t="str">
        <x:v>Atlanta</x:v>
      </x:c>
      <x:c r="H1711" s="84" t="str">
        <x:v>Online</x:v>
      </x:c>
      <x:c r="I1711" s="84" t="str">
        <x:v>ACCS-001</x:v>
      </x:c>
      <x:c r="J1711" s="86" t="n">
        <x:v>1</x:v>
      </x:c>
      <x:c r="K1711" s="87" t="n">
        <x:v>0.05</x:v>
      </x:c>
      <x:c r="L1711" s="84" t="str">
        <x:v>Completed</x:v>
      </x:c>
      <x:c r="M1711" s="84" t="str">
        <x:v>Debit Card</x:v>
      </x:c>
      <x:c r="N1711" s="84" t="str">
        <x:v>Ava Mitchell</x:v>
      </x:c>
      <x:c r="O1711" s="85" t="n">
        <x:v>45852</x:v>
      </x:c>
      <x:c r="P1711" s="84" t="str">
        <x:v>WEB_2025_07</x:v>
      </x:c>
      <x:c r="Q1711" s="84" t="str">
        <x:v>Canvas Tote Bag</x:v>
      </x:c>
      <x:c r="R1711" s="84" t="str">
        <x:v>Accessories </x:v>
      </x:c>
    </x:row>
    <x:row r="1712">
      <x:c r="A1712" s="84" t="str">
        <x:v>ORD-2025-02047</x:v>
      </x:c>
      <x:c r="B1712" s="85" t="n">
        <x:v>45850</x:v>
      </x:c>
      <x:c r="C1712" s="84" t="str">
        <x:v>CUST-0041</x:v>
      </x:c>
      <x:c r="D1712" s="84" t="str">
        <x:v>Isaac Evans</x:v>
      </x:c>
      <x:c r="E1712" s="84" t="str">
        <x:v>Consumer</x:v>
      </x:c>
      <x:c r="F1712" s="84" t="str">
        <x:v>Midwest</x:v>
      </x:c>
      <x:c r="G1712" s="84" t="str">
        <x:v>Detroit</x:v>
      </x:c>
      <x:c r="H1712" s="84" t="str">
        <x:v>Online </x:v>
      </x:c>
      <x:c r="I1712" s="84" t="str">
        <x:v>OFFC-002</x:v>
      </x:c>
      <x:c r="J1712" s="86" t="n">
        <x:v>1</x:v>
      </x:c>
      <x:c r="K1712" s="87" t="n">
        <x:v>0</x:v>
      </x:c>
      <x:c r="L1712" s="84" t="str">
        <x:v>Completed</x:v>
      </x:c>
      <x:c r="M1712" s="84" t="str">
        <x:v>Credit Card</x:v>
      </x:c>
      <x:c r="N1712" s="84" t="str">
        <x:v>Lucas Grant</x:v>
      </x:c>
      <x:c r="O1712" s="85" t="n">
        <x:v>45854</x:v>
      </x:c>
      <x:c r="P1712" s="84" t="str">
        <x:v>WEB_2025_07</x:v>
      </x:c>
      <x:c r="Q1712" s="84" t="str">
        <x:v>Standing Desk</x:v>
      </x:c>
      <x:c r="R1712" s="84" t="str">
        <x:v>Office</x:v>
      </x:c>
    </x:row>
    <x:row r="1713">
      <x:c r="A1713" s="84" t="str">
        <x:v>ORD-2025-00769</x:v>
      </x:c>
      <x:c r="B1713" s="85" t="n">
        <x:v>45851</x:v>
      </x:c>
      <x:c r="C1713" s="84" t="str">
        <x:v>CUST-0418</x:v>
      </x:c>
      <x:c r="D1713" s="84" t="str">
        <x:v>Grace Ortiz</x:v>
      </x:c>
      <x:c r="E1713" s="84" t="str">
        <x:v>Small Business</x:v>
      </x:c>
      <x:c r="F1713" s="84" t="str">
        <x:v>West</x:v>
      </x:c>
      <x:c r="G1713" s="84" t="str">
        <x:v>Seattle</x:v>
      </x:c>
      <x:c r="H1713" s="84" t="str">
        <x:v>Online</x:v>
      </x:c>
      <x:c r="I1713" s="84" t="str">
        <x:v>ACCS-003</x:v>
      </x:c>
      <x:c r="J1713" s="86" t="n">
        <x:v>2</x:v>
      </x:c>
      <x:c r="K1713" s="87" t="n">
        <x:v>0.1</x:v>
      </x:c>
      <x:c r="L1713" s="84" t="str">
        <x:v>Completed </x:v>
      </x:c>
      <x:c r="M1713" s="84" t="str">
        <x:v>debit card</x:v>
      </x:c>
      <x:c r="N1713" s="84" t="str">
        <x:v>Leo Martinez</x:v>
      </x:c>
      <x:c r="O1713" s="85" t="n">
        <x:v>45853</x:v>
      </x:c>
      <x:c r="P1713" s="84" t="str">
        <x:v>WEB_2025_07</x:v>
      </x:c>
      <x:c r="Q1713" s="84" t="str">
        <x:v> POLARIZED SUNGLASSES </x:v>
      </x:c>
      <x:c r="R1713" s="84" t="str">
        <x:v>Accessories</x:v>
      </x:c>
    </x:row>
    <x:row r="1714">
      <x:c r="A1714" s="84" t="str">
        <x:v>ORD-2025-00949</x:v>
      </x:c>
      <x:c r="B1714" s="85" t="n">
        <x:v>45851</x:v>
      </x:c>
      <x:c r="C1714" s="84" t="str">
        <x:v>CUST-0194</x:v>
      </x:c>
      <x:c r="D1714" s="84" t="str">
        <x:v> SAMUEL ROBERTS </x:v>
      </x:c>
      <x:c r="E1714" s="84" t="str">
        <x:v>Small Business</x:v>
      </x:c>
      <x:c r="F1714" s="84" t="str">
        <x:v> SOUTHEAST </x:v>
      </x:c>
      <x:c r="G1714" s="84" t="str">
        <x:v>Atlanta</x:v>
      </x:c>
      <x:c r="H1714" s="84" t="str">
        <x:v>Retail Store</x:v>
      </x:c>
      <x:c r="I1714" s="84" t="str">
        <x:v>OFFC-004</x:v>
      </x:c>
      <x:c r="J1714" s="86" t="n">
        <x:v>2</x:v>
      </x:c>
      <x:c r="K1714" s="87" t="n">
        <x:v>0</x:v>
      </x:c>
      <x:c r="L1714" s="84" t="str">
        <x:v>Completed</x:v>
      </x:c>
      <x:c r="M1714" s="84" t="str">
        <x:v>Debit Card</x:v>
      </x:c>
      <x:c r="N1714" s="84" t="str">
        <x:v>Liam Parker </x:v>
      </x:c>
      <x:c r="O1714" s="85" t="n">
        <x:v>45851</x:v>
      </x:c>
      <x:c r="P1714" s="84" t="str">
        <x:v>POS_2025_07</x:v>
      </x:c>
      <x:c r="Q1714" s="84" t="str">
        <x:v>Premium Notebook Pack</x:v>
      </x:c>
      <x:c r="R1714" s="84" t="str">
        <x:v>office</x:v>
      </x:c>
    </x:row>
    <x:row r="1715">
      <x:c r="A1715" s="84" t="str">
        <x:v>ORD-2025-01141</x:v>
      </x:c>
      <x:c r="B1715" s="85" t="n">
        <x:v>45851</x:v>
      </x:c>
      <x:c r="C1715" s="84" t="str">
        <x:v>CUST-0105</x:v>
      </x:c>
      <x:c r="D1715" s="84" t="str">
        <x:v>Chloe Ortiz</x:v>
      </x:c>
      <x:c r="E1715" s="84" t="str">
        <x:v>Corporate </x:v>
      </x:c>
      <x:c r="F1715" s="84" t="str">
        <x:v>west</x:v>
      </x:c>
      <x:c r="G1715" s="84" t="str">
        <x:v>Phoenix </x:v>
      </x:c>
      <x:c r="H1715" s="84" t="str">
        <x:v>Online</x:v>
      </x:c>
      <x:c r="I1715" s="84" t="str">
        <x:v>ELEC-003</x:v>
      </x:c>
      <x:c r="J1715" s="86" t="n">
        <x:v>5</x:v>
      </x:c>
      <x:c r="K1715" s="87" t="n">
        <x:v>0.05</x:v>
      </x:c>
      <x:c r="L1715" s="84" t="str">
        <x:v>Completed</x:v>
      </x:c>
      <x:c r="M1715" s="84" t="str">
        <x:v>Mobile Wallet</x:v>
      </x:c>
      <x:c r="N1715" s="84" t="str">
        <x:v>Leo Martinez</x:v>
      </x:c>
      <x:c r="O1715" s="85" t="n">
        <x:v>45854</x:v>
      </x:c>
      <x:c r="P1715" s="84" t="str">
        <x:v>WEB_2025_07</x:v>
      </x:c>
      <x:c r="Q1715" s="84" t="str">
        <x:v>Bluetooth Speaker</x:v>
      </x:c>
      <x:c r="R1715" s="84" t="str">
        <x:v>Electronics</x:v>
      </x:c>
    </x:row>
    <x:row r="1716">
      <x:c r="A1716" s="84" t="str">
        <x:v>ORD-2025-01465</x:v>
      </x:c>
      <x:c r="B1716" s="85" t="n">
        <x:v>45852</x:v>
      </x:c>
      <x:c r="C1716" s="84" t="str">
        <x:v>CUST-0286</x:v>
      </x:c>
      <x:c r="D1716" s="84" t="str">
        <x:v>Isaac Hall</x:v>
      </x:c>
      <x:c r="E1716" s="84" t="str">
        <x:v>Consumer</x:v>
      </x:c>
      <x:c r="F1716" s="84" t="str">
        <x:v>Midwest</x:v>
      </x:c>
      <x:c r="G1716" s="84" t="str">
        <x:v>Chicago</x:v>
      </x:c>
      <x:c r="H1716" s="84" t="str">
        <x:v>Online</x:v>
      </x:c>
      <x:c r="I1716" s="84" t="str">
        <x:v>OFFC-002</x:v>
      </x:c>
      <x:c r="J1716" s="86" t="n">
        <x:v>2</x:v>
      </x:c>
      <x:c r="K1716" s="87" t="n">
        <x:v>0.1</x:v>
      </x:c>
      <x:c r="L1716" s="84" t="str">
        <x:v>Completed</x:v>
      </x:c>
      <x:c r="M1716" s="84" t="str">
        <x:v>Mobile Wallet</x:v>
      </x:c>
      <x:c r="N1716" s="84" t="str">
        <x:v> EMMA HAYES </x:v>
      </x:c>
      <x:c r="O1716" s="85" t="n">
        <x:v>45856</x:v>
      </x:c>
      <x:c r="P1716" s="84" t="str">
        <x:v>WEB_2025_07</x:v>
      </x:c>
      <x:c r="Q1716" s="84" t="str">
        <x:v>Standing Desk</x:v>
      </x:c>
      <x:c r="R1716" s="84" t="str">
        <x:v>Office </x:v>
      </x:c>
    </x:row>
    <x:row r="1717">
      <x:c r="A1717" s="84" t="str">
        <x:v>ORD-2025-00690</x:v>
      </x:c>
      <x:c r="B1717" s="85" t="n">
        <x:v>45853</x:v>
      </x:c>
      <x:c r="C1717" s="84" t="str">
        <x:v>CUST-0385</x:v>
      </x:c>
      <x:c r="D1717" s="84" t="str">
        <x:v>Elias Garcia</x:v>
      </x:c>
      <x:c r="E1717" s="84" t="str">
        <x:v>Corporate</x:v>
      </x:c>
      <x:c r="F1717" s="84" t="str">
        <x:v>southeast</x:v>
      </x:c>
      <x:c r="G1717" s="84" t="str">
        <x:v> ATLANTA </x:v>
      </x:c>
      <x:c r="H1717" s="84" t="str">
        <x:v>Marketplace</x:v>
      </x:c>
      <x:c r="I1717" s="84" t="str">
        <x:v>ELEC-002</x:v>
      </x:c>
      <x:c r="J1717" s="86" t="n">
        <x:v>2</x:v>
      </x:c>
      <x:c r="K1717" s="87" t="n">
        <x:v>0</x:v>
      </x:c>
      <x:c r="L1717" s="84" t="str">
        <x:v>Completed</x:v>
      </x:c>
      <x:c r="M1717" s="84" t="str">
        <x:v>Debit Card</x:v>
      </x:c>
      <x:c r="N1717" s="84" t="str">
        <x:v>Noah Reed </x:v>
      </x:c>
      <x:c r="O1717" s="85" t="n">
        <x:v>45857</x:v>
      </x:c>
      <x:c r="P1717" s="84" t="str">
        <x:v>MKT_2025_07</x:v>
      </x:c>
      <x:c r="Q1717" s="84" t="str">
        <x:v>Smartwatch</x:v>
      </x:c>
      <x:c r="R1717" s="84" t="str">
        <x:v>Electronics</x:v>
      </x:c>
    </x:row>
    <x:row r="1718">
      <x:c r="A1718" s="84" t="str">
        <x:v>ORD-2025-01083</x:v>
      </x:c>
      <x:c r="B1718" s="85" t="n">
        <x:v>45853</x:v>
      </x:c>
      <x:c r="C1718" s="84" t="str">
        <x:v>CUST-0071</x:v>
      </x:c>
      <x:c r="D1718" s="84" t="str">
        <x:v>Owen Foster </x:v>
      </x:c>
      <x:c r="E1718" s="84" t="str">
        <x:v>Consumer</x:v>
      </x:c>
      <x:c r="F1718" s="84" t="str">
        <x:v>Midwest</x:v>
      </x:c>
      <x:c r="G1718" s="84" t="str">
        <x:v>Detroit</x:v>
      </x:c>
      <x:c r="H1718" s="84" t="str">
        <x:v>Marketplace</x:v>
      </x:c>
      <x:c r="I1718" s="84" t="str">
        <x:v>HOME-002</x:v>
      </x:c>
      <x:c r="J1718" s="86" t="n">
        <x:v>1</x:v>
      </x:c>
      <x:c r="K1718" s="87" t="n">
        <x:v>0.1</x:v>
      </x:c>
      <x:c r="L1718" s="84" t="str">
        <x:v>Completed</x:v>
      </x:c>
      <x:c r="M1718" s="84" t="str">
        <x:v>PayPal </x:v>
      </x:c>
      <x:c r="N1718" s="84" t="str">
        <x:v>Emma Hayes</x:v>
      </x:c>
      <x:c r="O1718" s="85" t="n">
        <x:v>45858</x:v>
      </x:c>
      <x:c r="P1718" s="84" t="str">
        <x:v>MKT_2025_07</x:v>
      </x:c>
      <x:c r="Q1718" s="84" t="str">
        <x:v>Electric Kettle</x:v>
      </x:c>
      <x:c r="R1718" s="84" t="str">
        <x:v>Home &amp; Kitchen</x:v>
      </x:c>
    </x:row>
    <x:row r="1719">
      <x:c r="A1719" s="84" t="str">
        <x:v>ORD-2025-01219</x:v>
      </x:c>
      <x:c r="B1719" s="85" t="n">
        <x:v>45853</x:v>
      </x:c>
      <x:c r="C1719" s="84" t="str">
        <x:v>CUST-0067</x:v>
      </x:c>
      <x:c r="D1719" s="84" t="str">
        <x:v>William Garcia</x:v>
      </x:c>
      <x:c r="E1719" s="84" t="str">
        <x:v>Consumer</x:v>
      </x:c>
      <x:c r="F1719" s="84" t="str">
        <x:v>West</x:v>
      </x:c>
      <x:c r="G1719" s="84" t="str">
        <x:v>Phoenix</x:v>
      </x:c>
      <x:c r="H1719" s="84" t="str">
        <x:v>Online</x:v>
      </x:c>
      <x:c r="I1719" s="84" t="str">
        <x:v>HOME-005</x:v>
      </x:c>
      <x:c r="J1719" s="86" t="n">
        <x:v>2</x:v>
      </x:c>
      <x:c r="K1719" s="87" t="n">
        <x:v>0</x:v>
      </x:c>
      <x:c r="L1719" s="84" t="str">
        <x:v>Completed</x:v>
      </x:c>
      <x:c r="M1719" s="84" t="str">
        <x:v>Mobile Wallet</x:v>
      </x:c>
      <x:c r="N1719" s="84" t="str">
        <x:v>Mia Chen</x:v>
      </x:c>
      <x:c r="O1719" s="85" t="n">
        <x:v>45858</x:v>
      </x:c>
      <x:c r="P1719" s="84" t="str">
        <x:v>WEB_2025_07</x:v>
      </x:c>
      <x:c r="Q1719" s="84" t="str">
        <x:v>cordless vacuum</x:v>
      </x:c>
      <x:c r="R1719" s="84" t="str">
        <x:v>Home &amp; Kitchen</x:v>
      </x:c>
    </x:row>
    <x:row r="1720">
      <x:c r="A1720" s="84" t="str">
        <x:v>ORD-2025-01835</x:v>
      </x:c>
      <x:c r="B1720" s="85" t="n">
        <x:v>45853</x:v>
      </x:c>
      <x:c r="C1720" s="84" t="str">
        <x:v>CUST-0401</x:v>
      </x:c>
      <x:c r="D1720" s="84" t="str">
        <x:v>Priya Hall</x:v>
      </x:c>
      <x:c r="E1720" s="84" t="str">
        <x:v>Consumer</x:v>
      </x:c>
      <x:c r="F1720" s="84" t="str">
        <x:v>Northeast</x:v>
      </x:c>
      <x:c r="G1720" s="84" t="str">
        <x:v>Newark</x:v>
      </x:c>
      <x:c r="H1720" s="84" t="str">
        <x:v>Online</x:v>
      </x:c>
      <x:c r="I1720" s="84" t="str">
        <x:v>FITN-003</x:v>
      </x:c>
      <x:c r="J1720" s="86" t="n">
        <x:v>1</x:v>
      </x:c>
      <x:c r="K1720" s="87" t="n">
        <x:v>0.15</x:v>
      </x:c>
      <x:c r="L1720" s="84" t="str">
        <x:v>Completed</x:v>
      </x:c>
      <x:c r="M1720" s="84" t="str">
        <x:v>Credit Card</x:v>
      </x:c>
      <x:c r="N1720" s="84" t="str">
        <x:v>Sofia Bennett</x:v>
      </x:c>
      <x:c r="O1720" s="85" t="n">
        <x:v>45856</x:v>
      </x:c>
      <x:c r="P1720" s="84" t="str">
        <x:v>WEB_2025_07</x:v>
      </x:c>
      <x:c r="Q1720" s="84" t="str">
        <x:v>resistance band set</x:v>
      </x:c>
      <x:c r="R1720" s="84" t="str">
        <x:v>Fitness</x:v>
      </x:c>
    </x:row>
    <x:row r="1721">
      <x:c r="A1721" s="84" t="str">
        <x:v>ORD-2025-02196</x:v>
      </x:c>
      <x:c r="B1721" s="85" t="n">
        <x:v>45853</x:v>
      </x:c>
      <x:c r="C1721" s="84" t="str">
        <x:v>CUST-0240</x:v>
      </x:c>
      <x:c r="D1721" s="84" t="str">
        <x:v>elena garcia</x:v>
      </x:c>
      <x:c r="E1721" s="84" t="str"/>
      <x:c r="F1721" s="84" t="str">
        <x:v>Midwest</x:v>
      </x:c>
      <x:c r="G1721" s="84" t="str">
        <x:v>Detroit</x:v>
      </x:c>
      <x:c r="H1721" s="84" t="str">
        <x:v>Retail Store</x:v>
      </x:c>
      <x:c r="I1721" s="84" t="str">
        <x:v>CARE-006</x:v>
      </x:c>
      <x:c r="J1721" s="86" t="n">
        <x:v>1</x:v>
      </x:c>
      <x:c r="K1721" s="87" t="n">
        <x:v>0.2</x:v>
      </x:c>
      <x:c r="L1721" s="84" t="str">
        <x:v>Returned</x:v>
      </x:c>
      <x:c r="M1721" s="84" t="str">
        <x:v>Debit Card </x:v>
      </x:c>
      <x:c r="N1721" s="84" t="str">
        <x:v> EMMA HAYES </x:v>
      </x:c>
      <x:c r="O1721" s="85" t="n">
        <x:v>45853</x:v>
      </x:c>
      <x:c r="P1721" s="84" t="str">
        <x:v>POS_2025_07</x:v>
      </x:c>
      <x:c r="Q1721" s="84" t="str">
        <x:v>Percussion Massage Gun</x:v>
      </x:c>
      <x:c r="R1721" s="84" t="str">
        <x:v>Personal Care</x:v>
      </x:c>
    </x:row>
    <x:row r="1722">
      <x:c r="A1722" s="84" t="str">
        <x:v>ORD-2025-00845</x:v>
      </x:c>
      <x:c r="B1722" s="85" t="n">
        <x:v>45854</x:v>
      </x:c>
      <x:c r="C1722" s="84" t="str">
        <x:v>CUST-0039</x:v>
      </x:c>
      <x:c r="D1722" s="84" t="str">
        <x:v>Amelia Patel </x:v>
      </x:c>
      <x:c r="E1722" s="84" t="str">
        <x:v>Consumer</x:v>
      </x:c>
      <x:c r="F1722" s="84" t="str">
        <x:v>West</x:v>
      </x:c>
      <x:c r="G1722" s="84" t="str">
        <x:v>Denver</x:v>
      </x:c>
      <x:c r="H1722" s="84" t="str">
        <x:v>Retail Store</x:v>
      </x:c>
      <x:c r="I1722" s="84" t="str">
        <x:v>OFFC-005</x:v>
      </x:c>
      <x:c r="J1722" s="86" t="n">
        <x:v>2</x:v>
      </x:c>
      <x:c r="K1722" s="87" t="n">
        <x:v>0.2</x:v>
      </x:c>
      <x:c r="L1722" s="84" t="str">
        <x:v>Completed</x:v>
      </x:c>
      <x:c r="M1722" s="84" t="str">
        <x:v>Debit Card </x:v>
      </x:c>
      <x:c r="N1722" s="84" t="str">
        <x:v>Nora Kim</x:v>
      </x:c>
      <x:c r="O1722" s="85" t="n">
        <x:v>45854</x:v>
      </x:c>
      <x:c r="P1722" s="84" t="str">
        <x:v>POS_2025_07</x:v>
      </x:c>
      <x:c r="Q1722" s="84" t="str">
        <x:v>wireless keyboard</x:v>
      </x:c>
      <x:c r="R1722" s="84" t="str">
        <x:v>Office</x:v>
      </x:c>
    </x:row>
    <x:row r="1723">
      <x:c r="A1723" s="84" t="str">
        <x:v>ORD-2025-01155</x:v>
      </x:c>
      <x:c r="B1723" s="85" t="n">
        <x:v>45854</x:v>
      </x:c>
      <x:c r="C1723" s="84" t="str">
        <x:v>CUST-0424</x:v>
      </x:c>
      <x:c r="D1723" s="84" t="str">
        <x:v>Layla Quinn</x:v>
      </x:c>
      <x:c r="E1723" s="84" t="str">
        <x:v>consumer</x:v>
      </x:c>
      <x:c r="F1723" s="84" t="str">
        <x:v>Southeast</x:v>
      </x:c>
      <x:c r="G1723" s="84" t="str">
        <x:v>Miami </x:v>
      </x:c>
      <x:c r="H1723" s="84" t="str">
        <x:v>online</x:v>
      </x:c>
      <x:c r="I1723" s="84" t="str">
        <x:v>OFFC-006</x:v>
      </x:c>
      <x:c r="J1723" s="86" t="n">
        <x:v>3</x:v>
      </x:c>
      <x:c r="K1723" s="87" t="n">
        <x:v>0</x:v>
      </x:c>
      <x:c r="L1723" s="84" t="str">
        <x:v>Completed</x:v>
      </x:c>
      <x:c r="M1723" s="84" t="str">
        <x:v>Debit Card</x:v>
      </x:c>
      <x:c r="N1723" s="84" t="str">
        <x:v>Liam Parker</x:v>
      </x:c>
      <x:c r="O1723" s="85" t="n">
        <x:v>45859</x:v>
      </x:c>
      <x:c r="P1723" s="84" t="str">
        <x:v>WEB_2025_07</x:v>
      </x:c>
      <x:c r="Q1723" s="84" t="str">
        <x:v>Monitor Stand</x:v>
      </x:c>
      <x:c r="R1723" s="84" t="str">
        <x:v>Office</x:v>
      </x:c>
    </x:row>
    <x:row r="1724">
      <x:c r="A1724" s="84" t="str">
        <x:v>ORD-2025-01255</x:v>
      </x:c>
      <x:c r="B1724" s="85" t="n">
        <x:v>45854</x:v>
      </x:c>
      <x:c r="C1724" s="84" t="str">
        <x:v>CUST-0633</x:v>
      </x:c>
      <x:c r="D1724" s="84" t="str">
        <x:v> JONAH TAYLOR </x:v>
      </x:c>
      <x:c r="E1724" s="84" t="str">
        <x:v>Consumer</x:v>
      </x:c>
      <x:c r="F1724" s="84" t="str">
        <x:v> WEST </x:v>
      </x:c>
      <x:c r="G1724" s="84" t="str">
        <x:v>Phoenix</x:v>
      </x:c>
      <x:c r="H1724" s="84" t="str">
        <x:v>Retail Store</x:v>
      </x:c>
      <x:c r="I1724" s="84" t="str">
        <x:v>ELEC-003</x:v>
      </x:c>
      <x:c r="J1724" s="86" t="n">
        <x:v>3</x:v>
      </x:c>
      <x:c r="K1724" s="87" t="n">
        <x:v>0.2</x:v>
      </x:c>
      <x:c r="L1724" s="84" t="str">
        <x:v>Completed</x:v>
      </x:c>
      <x:c r="M1724" s="84" t="str">
        <x:v>Debit Card</x:v>
      </x:c>
      <x:c r="N1724" s="84" t="str">
        <x:v>Leo Martinez</x:v>
      </x:c>
      <x:c r="O1724" s="85" t="n">
        <x:v>45855</x:v>
      </x:c>
      <x:c r="P1724" s="84" t="str">
        <x:v>POS_2025_07</x:v>
      </x:c>
      <x:c r="Q1724" s="84" t="str">
        <x:v>Bluetooth Speaker</x:v>
      </x:c>
      <x:c r="R1724" s="84" t="str">
        <x:v>Electronics </x:v>
      </x:c>
    </x:row>
    <x:row r="1725">
      <x:c r="A1725" s="84" t="str">
        <x:v>ORD-2025-02328</x:v>
      </x:c>
      <x:c r="B1725" s="85" t="n">
        <x:v>45854</x:v>
      </x:c>
      <x:c r="C1725" s="84" t="str">
        <x:v>CUST-0360</x:v>
      </x:c>
      <x:c r="D1725" s="84" t="str">
        <x:v>elena taylor</x:v>
      </x:c>
      <x:c r="E1725" s="84" t="str">
        <x:v>Corporate</x:v>
      </x:c>
      <x:c r="F1725" s="84" t="str">
        <x:v>Northeast </x:v>
      </x:c>
      <x:c r="G1725" s="84" t="str">
        <x:v>New York</x:v>
      </x:c>
      <x:c r="H1725" s="84" t="str">
        <x:v>Online</x:v>
      </x:c>
      <x:c r="I1725" s="84" t="str">
        <x:v>ACCS-004</x:v>
      </x:c>
      <x:c r="J1725" s="86" t="n">
        <x:v>2</x:v>
      </x:c>
      <x:c r="K1725" s="87" t="n">
        <x:v>0</x:v>
      </x:c>
      <x:c r="L1725" s="84" t="str">
        <x:v>Completed</x:v>
      </x:c>
      <x:c r="M1725" s="84" t="str">
        <x:v>Credit Card</x:v>
      </x:c>
      <x:c r="N1725" s="84" t="str">
        <x:v>Sofia Bennett </x:v>
      </x:c>
      <x:c r="O1725" s="85" t="n">
        <x:v>45859</x:v>
      </x:c>
      <x:c r="P1725" s="84" t="str">
        <x:v>WEB_2025_07</x:v>
      </x:c>
      <x:c r="Q1725" s="84" t="str">
        <x:v>Leather Wallet</x:v>
      </x:c>
      <x:c r="R1725" s="84" t="str">
        <x:v>Accessories</x:v>
      </x:c>
    </x:row>
    <x:row r="1726">
      <x:c r="A1726" s="84" t="str">
        <x:v>ORD-2025-02330</x:v>
      </x:c>
      <x:c r="B1726" s="85" t="n">
        <x:v>45854</x:v>
      </x:c>
      <x:c r="C1726" s="84" t="str">
        <x:v>CUST-0293</x:v>
      </x:c>
      <x:c r="D1726" s="84" t="str">
        <x:v>Marcus Johnson</x:v>
      </x:c>
      <x:c r="E1726" s="84" t="str">
        <x:v>Consumer</x:v>
      </x:c>
      <x:c r="F1726" s="84" t="str">
        <x:v>West</x:v>
      </x:c>
      <x:c r="G1726" s="84" t="str">
        <x:v>Denver</x:v>
      </x:c>
      <x:c r="H1726" s="84" t="str">
        <x:v>Marketplace</x:v>
      </x:c>
      <x:c r="I1726" s="84" t="str">
        <x:v>FITN-006</x:v>
      </x:c>
      <x:c r="J1726" s="86" t="n">
        <x:v>4</x:v>
      </x:c>
      <x:c r="K1726" s="87" t="n">
        <x:v>0.1</x:v>
      </x:c>
      <x:c r="L1726" s="84" t="str">
        <x:v>Completed </x:v>
      </x:c>
      <x:c r="M1726" s="84" t="str">
        <x:v>PayPal</x:v>
      </x:c>
      <x:c r="N1726" s="84" t="str">
        <x:v>Mia Chen</x:v>
      </x:c>
      <x:c r="O1726" s="85" t="n">
        <x:v>45858</x:v>
      </x:c>
      <x:c r="P1726" s="84" t="str">
        <x:v>MKT_2025_07</x:v>
      </x:c>
      <x:c r="Q1726" s="84" t="str">
        <x:v>foam roller</x:v>
      </x:c>
      <x:c r="R1726" s="84" t="str">
        <x:v>Fitness</x:v>
      </x:c>
    </x:row>
    <x:row r="1727">
      <x:c r="A1727" s="84" t="str">
        <x:v>ORD-2025-02024</x:v>
      </x:c>
      <x:c r="B1727" s="85" t="n">
        <x:v>45855</x:v>
      </x:c>
      <x:c r="C1727" s="84" t="str">
        <x:v>CUST-0501</x:v>
      </x:c>
      <x:c r="D1727" s="84" t="str">
        <x:v>Priya Garcia</x:v>
      </x:c>
      <x:c r="E1727" s="84" t="str">
        <x:v>consumer</x:v>
      </x:c>
      <x:c r="F1727" s="84" t="str">
        <x:v>Northeast</x:v>
      </x:c>
      <x:c r="G1727" s="84" t="str">
        <x:v>Boston</x:v>
      </x:c>
      <x:c r="H1727" s="84" t="str">
        <x:v>online</x:v>
      </x:c>
      <x:c r="I1727" s="84" t="str">
        <x:v>ELEC-001</x:v>
      </x:c>
      <x:c r="J1727" s="86" t="n">
        <x:v>1</x:v>
      </x:c>
      <x:c r="K1727" s="87" t="n">
        <x:v>0.15</x:v>
      </x:c>
      <x:c r="L1727" s="84" t="str">
        <x:v>Completed</x:v>
      </x:c>
      <x:c r="M1727" s="84" t="str">
        <x:v>Mobile Wallet</x:v>
      </x:c>
      <x:c r="N1727" s="84" t="str">
        <x:v>Sofia Bennett</x:v>
      </x:c>
      <x:c r="O1727" s="85" t="n">
        <x:v>45858</x:v>
      </x:c>
      <x:c r="P1727" s="84" t="str">
        <x:v>WEB_2025_07</x:v>
      </x:c>
      <x:c r="Q1727" s="84" t="str">
        <x:v>Wireless Earbuds </x:v>
      </x:c>
      <x:c r="R1727" s="84" t="str">
        <x:v>Electronics</x:v>
      </x:c>
    </x:row>
    <x:row r="1728">
      <x:c r="A1728" s="84" t="str">
        <x:v>ORD-2025-02117</x:v>
      </x:c>
      <x:c r="B1728" s="85" t="n">
        <x:v>45855</x:v>
      </x:c>
      <x:c r="C1728" s="84" t="str">
        <x:v>CUST-0141</x:v>
      </x:c>
      <x:c r="D1728" s="84" t="str">
        <x:v>Victoria Taylor</x:v>
      </x:c>
      <x:c r="E1728" s="84" t="str">
        <x:v>Consumer</x:v>
      </x:c>
      <x:c r="F1728" s="84" t="str">
        <x:v>Midwest</x:v>
      </x:c>
      <x:c r="G1728" s="84" t="str">
        <x:v>Minneapolis</x:v>
      </x:c>
      <x:c r="H1728" s="84" t="str">
        <x:v>Online </x:v>
      </x:c>
      <x:c r="I1728" s="84" t="str">
        <x:v>HOME-002</x:v>
      </x:c>
      <x:c r="J1728" s="86" t="n">
        <x:v>1</x:v>
      </x:c>
      <x:c r="K1728" s="87" t="n">
        <x:v>0.05</x:v>
      </x:c>
      <x:c r="L1728" s="84" t="str">
        <x:v>Completed</x:v>
      </x:c>
      <x:c r="M1728" s="84" t="str">
        <x:v>Mobile Wallet</x:v>
      </x:c>
      <x:c r="N1728" s="84" t="str">
        <x:v>Zoe Turner</x:v>
      </x:c>
      <x:c r="O1728" s="85" t="n">
        <x:v>45857</x:v>
      </x:c>
      <x:c r="P1728" s="84" t="str">
        <x:v>WEB_2025_07</x:v>
      </x:c>
      <x:c r="Q1728" s="84" t="str">
        <x:v>Electric Kettle</x:v>
      </x:c>
      <x:c r="R1728" s="84" t="str">
        <x:v>Home &amp; Kitchen</x:v>
      </x:c>
    </x:row>
    <x:row r="1729">
      <x:c r="A1729" s="84" t="str">
        <x:v>ORD-2025-01001</x:v>
      </x:c>
      <x:c r="B1729" s="85" t="n">
        <x:v>45856</x:v>
      </x:c>
      <x:c r="C1729" s="84" t="str">
        <x:v>CUST-0063</x:v>
      </x:c>
      <x:c r="D1729" s="84" t="str">
        <x:v>Jonah Irwin</x:v>
      </x:c>
      <x:c r="E1729" s="84" t="str">
        <x:v>small business</x:v>
      </x:c>
      <x:c r="F1729" s="84" t="str">
        <x:v>Midwest</x:v>
      </x:c>
      <x:c r="G1729" s="84" t="str">
        <x:v>Detroit </x:v>
      </x:c>
      <x:c r="H1729" s="84" t="str">
        <x:v>retail store</x:v>
      </x:c>
      <x:c r="I1729" s="84" t="str">
        <x:v>ELEC-003</x:v>
      </x:c>
      <x:c r="J1729" s="86" t="n">
        <x:v>1</x:v>
      </x:c>
      <x:c r="K1729" s="87" t="n">
        <x:v>0.2</x:v>
      </x:c>
      <x:c r="L1729" s="84" t="str">
        <x:v>Completed</x:v>
      </x:c>
      <x:c r="M1729" s="84" t="str">
        <x:v>Credit Card</x:v>
      </x:c>
      <x:c r="N1729" s="84" t="str">
        <x:v>Zoe Turner</x:v>
      </x:c>
      <x:c r="O1729" s="85" t="n">
        <x:v>45857</x:v>
      </x:c>
      <x:c r="P1729" s="84" t="str">
        <x:v>POS_2025_07</x:v>
      </x:c>
      <x:c r="Q1729" s="84" t="str">
        <x:v>Bluetooth Speaker</x:v>
      </x:c>
      <x:c r="R1729" s="84" t="str">
        <x:v> ELECTRONICS </x:v>
      </x:c>
    </x:row>
    <x:row r="1730">
      <x:c r="A1730" s="84" t="str">
        <x:v>ORD-2025-00925</x:v>
      </x:c>
      <x:c r="B1730" s="85" t="n">
        <x:v>45857</x:v>
      </x:c>
      <x:c r="C1730" s="84" t="str">
        <x:v>CUST-0246</x:v>
      </x:c>
      <x:c r="D1730" s="84" t="str">
        <x:v>Maya Baker</x:v>
      </x:c>
      <x:c r="E1730" s="84" t="str">
        <x:v>Corporate</x:v>
      </x:c>
      <x:c r="F1730" s="84" t="str">
        <x:v>Southeast</x:v>
      </x:c>
      <x:c r="G1730" s="84" t="str">
        <x:v>Atlanta</x:v>
      </x:c>
      <x:c r="H1730" s="84" t="str">
        <x:v>Retail Store</x:v>
      </x:c>
      <x:c r="I1730" s="84" t="str">
        <x:v>ACCS-003</x:v>
      </x:c>
      <x:c r="J1730" s="86" t="n">
        <x:v>3</x:v>
      </x:c>
      <x:c r="K1730" s="87" t="n">
        <x:v>0.05</x:v>
      </x:c>
      <x:c r="L1730" s="84" t="str">
        <x:v>Completed</x:v>
      </x:c>
      <x:c r="M1730" s="84" t="str">
        <x:v>Credit Card</x:v>
      </x:c>
      <x:c r="N1730" s="84" t="str">
        <x:v>Ava Mitchell</x:v>
      </x:c>
      <x:c r="O1730" s="85" t="n">
        <x:v>45857</x:v>
      </x:c>
      <x:c r="P1730" s="84" t="str">
        <x:v>POS_2025_07</x:v>
      </x:c>
      <x:c r="Q1730" s="84" t="str">
        <x:v>Polarized Sunglasses </x:v>
      </x:c>
      <x:c r="R1730" s="84" t="str">
        <x:v>Accessories</x:v>
      </x:c>
    </x:row>
    <x:row r="1731">
      <x:c r="A1731" s="84" t="str">
        <x:v>ORD-2025-01009</x:v>
      </x:c>
      <x:c r="B1731" s="85" t="n">
        <x:v>45858</x:v>
      </x:c>
      <x:c r="C1731" s="84" t="str">
        <x:v>CUST-0212</x:v>
      </x:c>
      <x:c r="D1731" s="84" t="str">
        <x:v>Theo Walker</x:v>
      </x:c>
      <x:c r="E1731" s="84" t="str">
        <x:v>Corporate</x:v>
      </x:c>
      <x:c r="F1731" s="84" t="str">
        <x:v>midwest</x:v>
      </x:c>
      <x:c r="G1731" s="84" t="str">
        <x:v>Columbus</x:v>
      </x:c>
      <x:c r="H1731" s="84" t="str">
        <x:v> RETAIL STORE </x:v>
      </x:c>
      <x:c r="I1731" s="84" t="str">
        <x:v>CARE-004</x:v>
      </x:c>
      <x:c r="J1731" s="86" t="n">
        <x:v>4</x:v>
      </x:c>
      <x:c r="K1731" s="87" t="n">
        <x:v>0.15</x:v>
      </x:c>
      <x:c r="L1731" s="84" t="str">
        <x:v>Completed</x:v>
      </x:c>
      <x:c r="M1731" s="84" t="str">
        <x:v>Cash</x:v>
      </x:c>
      <x:c r="N1731" s="84" t="str">
        <x:v>Zoe Turner</x:v>
      </x:c>
      <x:c r="O1731" s="85" t="n">
        <x:v>45858</x:v>
      </x:c>
      <x:c r="P1731" s="84" t="str">
        <x:v>POS_2025_07</x:v>
      </x:c>
      <x:c r="Q1731" s="84" t="str">
        <x:v>Electric Toothbrush </x:v>
      </x:c>
      <x:c r="R1731" s="84" t="str">
        <x:v>Personal Care</x:v>
      </x:c>
    </x:row>
    <x:row r="1732">
      <x:c r="A1732" s="84" t="str">
        <x:v>ORD-2025-01758</x:v>
      </x:c>
      <x:c r="B1732" s="85" t="n">
        <x:v>45858</x:v>
      </x:c>
      <x:c r="C1732" s="84" t="str">
        <x:v>CUST-0550</x:v>
      </x:c>
      <x:c r="D1732" s="84" t="str">
        <x:v>Samuel Young</x:v>
      </x:c>
      <x:c r="E1732" s="84" t="str">
        <x:v>Consumer</x:v>
      </x:c>
      <x:c r="F1732" s="84" t="str">
        <x:v>Midwest</x:v>
      </x:c>
      <x:c r="G1732" s="84" t="str">
        <x:v>Minneapolis</x:v>
      </x:c>
      <x:c r="H1732" s="84" t="str">
        <x:v>Retail Store</x:v>
      </x:c>
      <x:c r="I1732" s="84" t="str">
        <x:v>HOME-004</x:v>
      </x:c>
      <x:c r="J1732" s="86" t="n">
        <x:v>1</x:v>
      </x:c>
      <x:c r="K1732" s="87" t="n">
        <x:v>0.1</x:v>
      </x:c>
      <x:c r="L1732" s="84" t="str">
        <x:v>Completed</x:v>
      </x:c>
      <x:c r="M1732" s="84" t="str">
        <x:v>Cash</x:v>
      </x:c>
      <x:c r="N1732" s="84" t="str">
        <x:v>Emma Hayes</x:v>
      </x:c>
      <x:c r="O1732" s="85" t="n">
        <x:v>45859</x:v>
      </x:c>
      <x:c r="P1732" s="84" t="str">
        <x:v>POS_2025_07</x:v>
      </x:c>
      <x:c r="Q1732" s="84" t="str">
        <x:v>coffee maker</x:v>
      </x:c>
      <x:c r="R1732" s="84" t="str">
        <x:v>Home &amp; Kitchen</x:v>
      </x:c>
    </x:row>
    <x:row r="1733">
      <x:c r="A1733" s="84" t="str">
        <x:v>ORD-2025-02261</x:v>
      </x:c>
      <x:c r="B1733" s="85" t="n">
        <x:v>45858</x:v>
      </x:c>
      <x:c r="C1733" s="84" t="str">
        <x:v>CUST-0571</x:v>
      </x:c>
      <x:c r="D1733" s="84" t="str">
        <x:v>Elias Smith</x:v>
      </x:c>
      <x:c r="E1733" s="84" t="str">
        <x:v> CONSUMER </x:v>
      </x:c>
      <x:c r="F1733" s="84" t="str">
        <x:v>Southeast</x:v>
      </x:c>
      <x:c r="G1733" s="84" t="str">
        <x:v>Miami </x:v>
      </x:c>
      <x:c r="H1733" s="84" t="str">
        <x:v>Retail Store</x:v>
      </x:c>
      <x:c r="I1733" s="84" t="str">
        <x:v>HOME-003</x:v>
      </x:c>
      <x:c r="J1733" s="86" t="n">
        <x:v>1</x:v>
      </x:c>
      <x:c r="K1733" s="87" t="n">
        <x:v>0.05</x:v>
      </x:c>
      <x:c r="L1733" s="84" t="str">
        <x:v>Completed</x:v>
      </x:c>
      <x:c r="M1733" s="84" t="str">
        <x:v>Cash</x:v>
      </x:c>
      <x:c r="N1733" s="84" t="str">
        <x:v>Noah Reed</x:v>
      </x:c>
      <x:c r="O1733" s="85" t="n">
        <x:v>45858</x:v>
      </x:c>
      <x:c r="P1733" s="84" t="str">
        <x:v>POS_2025_07</x:v>
      </x:c>
      <x:c r="Q1733" s="84" t="str">
        <x:v>Countertop Blender</x:v>
      </x:c>
      <x:c r="R1733" s="84" t="str">
        <x:v>Home &amp; Kitchen</x:v>
      </x:c>
    </x:row>
    <x:row r="1734">
      <x:c r="A1734" s="84" t="str">
        <x:v>ORD-2025-01732</x:v>
      </x:c>
      <x:c r="B1734" s="85" t="n">
        <x:v>45859</x:v>
      </x:c>
      <x:c r="C1734" s="84" t="str">
        <x:v>CUST-0191</x:v>
      </x:c>
      <x:c r="D1734" s="84" t="str">
        <x:v>Samuel Carter</x:v>
      </x:c>
      <x:c r="E1734" s="84" t="str">
        <x:v>Consumer</x:v>
      </x:c>
      <x:c r="F1734" s="84" t="str">
        <x:v>Southeast</x:v>
      </x:c>
      <x:c r="G1734" s="84" t="str">
        <x:v>Miami</x:v>
      </x:c>
      <x:c r="H1734" s="84" t="str">
        <x:v>Marketplace </x:v>
      </x:c>
      <x:c r="I1734" s="84" t="str">
        <x:v>OFFC-004</x:v>
      </x:c>
      <x:c r="J1734" s="86" t="n">
        <x:v>2</x:v>
      </x:c>
      <x:c r="K1734" s="87" t="n">
        <x:v>0.1</x:v>
      </x:c>
      <x:c r="L1734" s="84" t="str">
        <x:v>Completed</x:v>
      </x:c>
      <x:c r="M1734" s="84" t="str">
        <x:v>Credit Card</x:v>
      </x:c>
      <x:c r="N1734" s="84" t="str">
        <x:v>Liam Parker</x:v>
      </x:c>
      <x:c r="O1734" s="85" t="n">
        <x:v>45862</x:v>
      </x:c>
      <x:c r="P1734" s="84" t="str">
        <x:v>MKT_2025_07</x:v>
      </x:c>
      <x:c r="Q1734" s="84" t="str">
        <x:v>Premium Notebook Pack</x:v>
      </x:c>
      <x:c r="R1734" s="84" t="str">
        <x:v> OFFICE </x:v>
      </x:c>
    </x:row>
    <x:row r="1735">
      <x:c r="A1735" s="84" t="str">
        <x:v>ORD-2025-02032</x:v>
      </x:c>
      <x:c r="B1735" s="85" t="n">
        <x:v>45859</x:v>
      </x:c>
      <x:c r="C1735" s="84" t="str">
        <x:v>CUST-0424</x:v>
      </x:c>
      <x:c r="D1735" s="84" t="str">
        <x:v>Layla Quinn</x:v>
      </x:c>
      <x:c r="E1735" s="84" t="str">
        <x:v>Consumer</x:v>
      </x:c>
      <x:c r="F1735" s="84" t="str">
        <x:v>southeast</x:v>
      </x:c>
      <x:c r="G1735" s="84" t="str">
        <x:v>Miami</x:v>
      </x:c>
      <x:c r="H1735" s="84" t="str">
        <x:v>Retail Store</x:v>
      </x:c>
      <x:c r="I1735" s="84" t="str">
        <x:v>OFFC-005</x:v>
      </x:c>
      <x:c r="J1735" s="86" t="n">
        <x:v>1</x:v>
      </x:c>
      <x:c r="K1735" s="87" t="n">
        <x:v>0.05</x:v>
      </x:c>
      <x:c r="L1735" s="84" t="str">
        <x:v>Completed</x:v>
      </x:c>
      <x:c r="M1735" s="84" t="str">
        <x:v>Debit Card</x:v>
      </x:c>
      <x:c r="N1735" s="84" t="str">
        <x:v>Liam Parker</x:v>
      </x:c>
      <x:c r="O1735" s="85" t="n">
        <x:v>45859</x:v>
      </x:c>
      <x:c r="P1735" s="84" t="str">
        <x:v>POS_2025_07</x:v>
      </x:c>
      <x:c r="Q1735" s="84" t="str">
        <x:v>Wireless Keyboard</x:v>
      </x:c>
      <x:c r="R1735" s="84" t="str">
        <x:v>Office </x:v>
      </x:c>
    </x:row>
    <x:row r="1736">
      <x:c r="A1736" s="84" t="str">
        <x:v>ORD-2025-01348</x:v>
      </x:c>
      <x:c r="B1736" s="85" t="n">
        <x:v>45860</x:v>
      </x:c>
      <x:c r="C1736" s="84" t="str">
        <x:v>CUST-0029</x:v>
      </x:c>
      <x:c r="D1736" s="84" t="str">
        <x:v>Theo Ortiz</x:v>
      </x:c>
      <x:c r="E1736" s="84" t="str">
        <x:v>Corporate</x:v>
      </x:c>
      <x:c r="F1736" s="84" t="str">
        <x:v>Northeast </x:v>
      </x:c>
      <x:c r="G1736" s="84" t="str">
        <x:v>Philadelphia</x:v>
      </x:c>
      <x:c r="H1736" s="84" t="str">
        <x:v>Marketplace</x:v>
      </x:c>
      <x:c r="I1736" s="84" t="str">
        <x:v>OFFC-003</x:v>
      </x:c>
      <x:c r="J1736" s="86" t="n">
        <x:v>2</x:v>
      </x:c>
      <x:c r="K1736" s="87" t="n">
        <x:v>0.1</x:v>
      </x:c>
      <x:c r="L1736" s="84" t="str">
        <x:v> COMPLETED </x:v>
      </x:c>
      <x:c r="M1736" s="84" t="str">
        <x:v>Mobile Wallet</x:v>
      </x:c>
      <x:c r="N1736" s="84" t="str">
        <x:v>Maya Brooks </x:v>
      </x:c>
      <x:c r="O1736" s="85" t="n">
        <x:v>45865</x:v>
      </x:c>
      <x:c r="P1736" s="84" t="str">
        <x:v>MKT_2025_07</x:v>
      </x:c>
      <x:c r="Q1736" s="84" t="str">
        <x:v>LED Desk Lamp</x:v>
      </x:c>
      <x:c r="R1736" s="84" t="str">
        <x:v>Office</x:v>
      </x:c>
    </x:row>
    <x:row r="1737">
      <x:c r="A1737" s="84" t="str">
        <x:v>ORD-2025-00531</x:v>
      </x:c>
      <x:c r="B1737" s="85" t="n">
        <x:v>45861</x:v>
      </x:c>
      <x:c r="C1737" s="84" t="str">
        <x:v>CUST-0569</x:v>
      </x:c>
      <x:c r="D1737" s="84" t="str">
        <x:v>Daniel Walker</x:v>
      </x:c>
      <x:c r="E1737" s="84" t="str">
        <x:v>Consumer</x:v>
      </x:c>
      <x:c r="F1737" s="84" t="str">
        <x:v>Midwest</x:v>
      </x:c>
      <x:c r="G1737" s="84" t="str">
        <x:v>Chicago</x:v>
      </x:c>
      <x:c r="H1737" s="84" t="str">
        <x:v>Marketplace</x:v>
      </x:c>
      <x:c r="I1737" s="84" t="str">
        <x:v>CARE-002</x:v>
      </x:c>
      <x:c r="J1737" s="86" t="n">
        <x:v>1</x:v>
      </x:c>
      <x:c r="K1737" s="87" t="n">
        <x:v>0.15</x:v>
      </x:c>
      <x:c r="L1737" s="84" t="str">
        <x:v>Completed </x:v>
      </x:c>
      <x:c r="M1737" s="84" t="str">
        <x:v>Mobile Wallet</x:v>
      </x:c>
      <x:c r="N1737" s="84" t="str">
        <x:v>Emma Hayes</x:v>
      </x:c>
      <x:c r="O1737" s="85" t="n">
        <x:v>45865</x:v>
      </x:c>
      <x:c r="P1737" s="84" t="str">
        <x:v>MKT_2025_07</x:v>
      </x:c>
      <x:c r="Q1737" s="84" t="str">
        <x:v> RECHARGEABLE TRIMMER </x:v>
      </x:c>
      <x:c r="R1737" s="84" t="str">
        <x:v>personal care</x:v>
      </x:c>
    </x:row>
    <x:row r="1738">
      <x:c r="A1738" s="84" t="str">
        <x:v>ORD-2025-00586</x:v>
      </x:c>
      <x:c r="B1738" s="85" t="n">
        <x:v>45861</x:v>
      </x:c>
      <x:c r="C1738" s="84" t="str">
        <x:v>CUST-0005</x:v>
      </x:c>
      <x:c r="D1738" s="84" t="str">
        <x:v>Zara Hall </x:v>
      </x:c>
      <x:c r="E1738" s="84" t="str">
        <x:v>Consumer</x:v>
      </x:c>
      <x:c r="F1738" s="84" t="str">
        <x:v>Midwest</x:v>
      </x:c>
      <x:c r="G1738" s="84" t="str">
        <x:v>Columbus</x:v>
      </x:c>
      <x:c r="H1738" s="84" t="str">
        <x:v>Online</x:v>
      </x:c>
      <x:c r="I1738" s="84" t="str">
        <x:v>OFFC-001</x:v>
      </x:c>
      <x:c r="J1738" s="86" t="n">
        <x:v>1</x:v>
      </x:c>
      <x:c r="K1738" s="87" t="n">
        <x:v>0.1</x:v>
      </x:c>
      <x:c r="L1738" s="84" t="str">
        <x:v>Completed</x:v>
      </x:c>
      <x:c r="M1738" s="84" t="str">
        <x:v>Debit Card </x:v>
      </x:c>
      <x:c r="N1738" s="84" t="str">
        <x:v>Emma Hayes</x:v>
      </x:c>
      <x:c r="O1738" s="85" t="n">
        <x:v>45866</x:v>
      </x:c>
      <x:c r="P1738" s="84" t="str">
        <x:v>WEB_2025_07</x:v>
      </x:c>
      <x:c r="Q1738" s="84" t="str">
        <x:v>Ergonomic Chair</x:v>
      </x:c>
      <x:c r="R1738" s="84" t="str">
        <x:v>office</x:v>
      </x:c>
    </x:row>
    <x:row r="1739">
      <x:c r="A1739" s="84" t="str">
        <x:v>ORD-2025-01359</x:v>
      </x:c>
      <x:c r="B1739" s="85" t="n">
        <x:v>45861</x:v>
      </x:c>
      <x:c r="C1739" s="84" t="str">
        <x:v>CUST-0332</x:v>
      </x:c>
      <x:c r="D1739" s="84" t="str">
        <x:v>Grace Smith</x:v>
      </x:c>
      <x:c r="E1739" s="84" t="str">
        <x:v>Small Business</x:v>
      </x:c>
      <x:c r="F1739" s="84" t="str">
        <x:v>Midwest</x:v>
      </x:c>
      <x:c r="G1739" s="84" t="str">
        <x:v>Chicago</x:v>
      </x:c>
      <x:c r="H1739" s="84" t="str">
        <x:v>Marketplace</x:v>
      </x:c>
      <x:c r="I1739" s="84" t="str">
        <x:v>FITN-003</x:v>
      </x:c>
      <x:c r="J1739" s="86" t="n">
        <x:v>1</x:v>
      </x:c>
      <x:c r="K1739" s="87" t="n">
        <x:v>0.15</x:v>
      </x:c>
      <x:c r="L1739" s="84" t="str">
        <x:v>Completed</x:v>
      </x:c>
      <x:c r="M1739" s="84" t="str">
        <x:v>Mobile Wallet</x:v>
      </x:c>
      <x:c r="N1739" s="84" t="str">
        <x:v>Emma Hayes</x:v>
      </x:c>
      <x:c r="O1739" s="85" t="n">
        <x:v>45868</x:v>
      </x:c>
      <x:c r="P1739" s="84" t="str">
        <x:v>MKT_2025_07</x:v>
      </x:c>
      <x:c r="Q1739" s="84" t="str">
        <x:v>Resistance Band Set </x:v>
      </x:c>
      <x:c r="R1739" s="84" t="str">
        <x:v>Fitness</x:v>
      </x:c>
    </x:row>
    <x:row r="1740">
      <x:c r="A1740" s="84" t="str">
        <x:v>ORD-2025-02348</x:v>
      </x:c>
      <x:c r="B1740" s="85" t="n">
        <x:v>45861</x:v>
      </x:c>
      <x:c r="C1740" s="84" t="str">
        <x:v>CUST-0195</x:v>
      </x:c>
      <x:c r="D1740" s="84" t="str">
        <x:v>Aiden Carter</x:v>
      </x:c>
      <x:c r="E1740" s="84" t="str">
        <x:v>Corporate</x:v>
      </x:c>
      <x:c r="F1740" s="84" t="str">
        <x:v>Northeast</x:v>
      </x:c>
      <x:c r="G1740" s="84" t="str">
        <x:v>New York</x:v>
      </x:c>
      <x:c r="H1740" s="84" t="str">
        <x:v>Retail Store </x:v>
      </x:c>
      <x:c r="I1740" s="84" t="str">
        <x:v>ELEC-006</x:v>
      </x:c>
      <x:c r="J1740" s="86" t="n">
        <x:v>4</x:v>
      </x:c>
      <x:c r="K1740" s="87" t="n">
        <x:v>0.1</x:v>
      </x:c>
      <x:c r="L1740" s="84" t="str">
        <x:v>Completed</x:v>
      </x:c>
      <x:c r="M1740" s="84" t="str">
        <x:v>Debit Card</x:v>
      </x:c>
      <x:c r="N1740" s="84" t="str">
        <x:v>Sofia Bennett</x:v>
      </x:c>
      <x:c r="O1740" s="85" t="n">
        <x:v>45861</x:v>
      </x:c>
      <x:c r="P1740" s="84" t="str">
        <x:v>POS_2025_07</x:v>
      </x:c>
      <x:c r="Q1740" s="84" t="str">
        <x:v>Portable SSD</x:v>
      </x:c>
      <x:c r="R1740" s="84" t="str">
        <x:v>Electronics</x:v>
      </x:c>
    </x:row>
    <x:row r="1741">
      <x:c r="A1741" s="84" t="str">
        <x:v>ORD-2025-01946</x:v>
      </x:c>
      <x:c r="B1741" s="85" t="n">
        <x:v>45862</x:v>
      </x:c>
      <x:c r="C1741" s="84" t="str">
        <x:v>CUST-0325</x:v>
      </x:c>
      <x:c r="D1741" s="84" t="str">
        <x:v>Caleb Baker</x:v>
      </x:c>
      <x:c r="E1741" s="84" t="str">
        <x:v>Small Business </x:v>
      </x:c>
      <x:c r="F1741" s="84" t="str">
        <x:v>West</x:v>
      </x:c>
      <x:c r="G1741" s="84" t="str">
        <x:v>Phoenix </x:v>
      </x:c>
      <x:c r="H1741" s="84" t="str">
        <x:v>Online</x:v>
      </x:c>
      <x:c r="I1741" s="84" t="str">
        <x:v>OFFC-004</x:v>
      </x:c>
      <x:c r="J1741" s="86" t="n">
        <x:v>1</x:v>
      </x:c>
      <x:c r="K1741" s="87" t="n">
        <x:v>0.1</x:v>
      </x:c>
      <x:c r="L1741" s="84" t="str">
        <x:v>Completed</x:v>
      </x:c>
      <x:c r="M1741" s="84" t="str">
        <x:v>debit card</x:v>
      </x:c>
      <x:c r="N1741" s="84" t="str">
        <x:v>Leo Martinez</x:v>
      </x:c>
      <x:c r="O1741" s="85" t="n">
        <x:v>45867</x:v>
      </x:c>
      <x:c r="P1741" s="84" t="str">
        <x:v>WEB_2025_07</x:v>
      </x:c>
      <x:c r="Q1741" s="84" t="str">
        <x:v>Premium Notebook Pack</x:v>
      </x:c>
      <x:c r="R1741" s="84" t="str">
        <x:v>Office</x:v>
      </x:c>
    </x:row>
    <x:row r="1742">
      <x:c r="A1742" s="84" t="str">
        <x:v>ORD-2025-00139</x:v>
      </x:c>
      <x:c r="B1742" s="85" t="n">
        <x:v>45863</x:v>
      </x:c>
      <x:c r="C1742" s="84" t="str">
        <x:v>CUST-0135</x:v>
      </x:c>
      <x:c r="D1742" s="84" t="str">
        <x:v>layla roberts</x:v>
      </x:c>
      <x:c r="E1742" s="84" t="str">
        <x:v>Consumer</x:v>
      </x:c>
      <x:c r="F1742" s="84" t="str">
        <x:v>Southeast</x:v>
      </x:c>
      <x:c r="G1742" s="84" t="str">
        <x:v>Miami</x:v>
      </x:c>
      <x:c r="H1742" s="84" t="str">
        <x:v>Marketplace</x:v>
      </x:c>
      <x:c r="I1742" s="84" t="str">
        <x:v>FITN-004</x:v>
      </x:c>
      <x:c r="J1742" s="86" t="n">
        <x:v>1</x:v>
      </x:c>
      <x:c r="K1742" s="87" t="n">
        <x:v>0.05</x:v>
      </x:c>
      <x:c r="L1742" s="84" t="str">
        <x:v>Completed </x:v>
      </x:c>
      <x:c r="M1742" s="84" t="str">
        <x:v>Credit Card</x:v>
      </x:c>
      <x:c r="N1742" s="84" t="str">
        <x:v> NOAH REED </x:v>
      </x:c>
      <x:c r="O1742" s="85" t="n">
        <x:v>45869</x:v>
      </x:c>
      <x:c r="P1742" s="84" t="str">
        <x:v>MKT_2025_07</x:v>
      </x:c>
      <x:c r="Q1742" s="84" t="str">
        <x:v>Fitness Tracker</x:v>
      </x:c>
      <x:c r="R1742" s="84" t="str">
        <x:v>Fitness</x:v>
      </x:c>
    </x:row>
    <x:row r="1743">
      <x:c r="A1743" s="84" t="str">
        <x:v>ORD-2025-00933</x:v>
      </x:c>
      <x:c r="B1743" s="85" t="n">
        <x:v>45863</x:v>
      </x:c>
      <x:c r="C1743" s="84" t="str">
        <x:v>CUST-0624</x:v>
      </x:c>
      <x:c r="D1743" s="84" t="str">
        <x:v>Nina Irwin</x:v>
      </x:c>
      <x:c r="E1743" s="84" t="str">
        <x:v>Small Business</x:v>
      </x:c>
      <x:c r="F1743" s="84" t="str">
        <x:v>Northeast</x:v>
      </x:c>
      <x:c r="G1743" s="84" t="str">
        <x:v>Philadelphia</x:v>
      </x:c>
      <x:c r="H1743" s="84" t="str">
        <x:v>Online</x:v>
      </x:c>
      <x:c r="I1743" s="84" t="str">
        <x:v>OFFC-004</x:v>
      </x:c>
      <x:c r="J1743" s="86" t="n">
        <x:v>1</x:v>
      </x:c>
      <x:c r="K1743" s="87" t="n">
        <x:v>0</x:v>
      </x:c>
      <x:c r="L1743" s="84" t="str">
        <x:v>Completed</x:v>
      </x:c>
      <x:c r="M1743" s="84" t="str">
        <x:v>Credit Card</x:v>
      </x:c>
      <x:c r="N1743" s="84" t="str">
        <x:v>Sofia Bennett</x:v>
      </x:c>
      <x:c r="O1743" s="85" t="n">
        <x:v>45867</x:v>
      </x:c>
      <x:c r="P1743" s="84" t="str">
        <x:v>WEB_2025_07</x:v>
      </x:c>
      <x:c r="Q1743" s="84" t="str">
        <x:v>premium notebook pack</x:v>
      </x:c>
      <x:c r="R1743" s="84" t="str">
        <x:v> OFFICE </x:v>
      </x:c>
    </x:row>
    <x:row r="1744">
      <x:c r="A1744" s="84" t="str">
        <x:v>ORD-2025-01036</x:v>
      </x:c>
      <x:c r="B1744" s="85" t="n">
        <x:v>45863</x:v>
      </x:c>
      <x:c r="C1744" s="84" t="str">
        <x:v>CUST-0045</x:v>
      </x:c>
      <x:c r="D1744" s="84" t="str">
        <x:v>Nina Foster</x:v>
      </x:c>
      <x:c r="E1744" s="84" t="str">
        <x:v>Small Business </x:v>
      </x:c>
      <x:c r="F1744" s="84" t="str">
        <x:v>Northeast</x:v>
      </x:c>
      <x:c r="G1744" s="84" t="str">
        <x:v>Boston </x:v>
      </x:c>
      <x:c r="H1744" s="84" t="str">
        <x:v>Online</x:v>
      </x:c>
      <x:c r="I1744" s="84" t="str">
        <x:v>CARE-001</x:v>
      </x:c>
      <x:c r="J1744" s="86" t="n">
        <x:v>2</x:v>
      </x:c>
      <x:c r="K1744" s="87" t="n">
        <x:v>0</x:v>
      </x:c>
      <x:c r="L1744" s="84" t="str">
        <x:v>Completed</x:v>
      </x:c>
      <x:c r="M1744" s="84" t="str">
        <x:v>Debit Card</x:v>
      </x:c>
      <x:c r="N1744" s="84" t="str">
        <x:v>maya brooks</x:v>
      </x:c>
      <x:c r="O1744" s="85" t="n">
        <x:v>45866</x:v>
      </x:c>
      <x:c r="P1744" s="84" t="str">
        <x:v>WEB_2025_07</x:v>
      </x:c>
      <x:c r="Q1744" s="84" t="str">
        <x:v>Ionic Hair Dryer</x:v>
      </x:c>
      <x:c r="R1744" s="84" t="str">
        <x:v>Personal Care</x:v>
      </x:c>
    </x:row>
    <x:row r="1745">
      <x:c r="A1745" s="84" t="str">
        <x:v>ORD-2025-01907</x:v>
      </x:c>
      <x:c r="B1745" s="85" t="n">
        <x:v>45863</x:v>
      </x:c>
      <x:c r="C1745" s="84" t="str">
        <x:v>CUST-0111</x:v>
      </x:c>
      <x:c r="D1745" s="84" t="str">
        <x:v>Elias Evans</x:v>
      </x:c>
      <x:c r="E1745" s="84" t="str">
        <x:v>Small Business</x:v>
      </x:c>
      <x:c r="F1745" s="84" t="str">
        <x:v>Northeast</x:v>
      </x:c>
      <x:c r="G1745" s="84" t="str">
        <x:v>new york</x:v>
      </x:c>
      <x:c r="H1745" s="84" t="str">
        <x:v>Retail Store </x:v>
      </x:c>
      <x:c r="I1745" s="84" t="str">
        <x:v>HOME-004</x:v>
      </x:c>
      <x:c r="J1745" s="86" t="n">
        <x:v>1</x:v>
      </x:c>
      <x:c r="K1745" s="87" t="n">
        <x:v>0.1</x:v>
      </x:c>
      <x:c r="L1745" s="84" t="str">
        <x:v>completed</x:v>
      </x:c>
      <x:c r="M1745" s="84" t="str">
        <x:v>Credit Card</x:v>
      </x:c>
      <x:c r="N1745" s="84" t="str">
        <x:v> SOFIA BENNETT </x:v>
      </x:c>
      <x:c r="O1745" s="85" t="n">
        <x:v>45863</x:v>
      </x:c>
      <x:c r="P1745" s="84" t="str">
        <x:v>POS_2025_07</x:v>
      </x:c>
      <x:c r="Q1745" s="84" t="str">
        <x:v>Coffee Maker</x:v>
      </x:c>
      <x:c r="R1745" s="84" t="str">
        <x:v>Home &amp; Kitchen</x:v>
      </x:c>
    </x:row>
    <x:row r="1746">
      <x:c r="A1746" s="84" t="str">
        <x:v>ORD-2025-01097</x:v>
      </x:c>
      <x:c r="B1746" s="85" t="n">
        <x:v>45864</x:v>
      </x:c>
      <x:c r="C1746" s="84" t="str">
        <x:v>CUST-0568</x:v>
      </x:c>
      <x:c r="D1746" s="84" t="str">
        <x:v>Owen Carter </x:v>
      </x:c>
      <x:c r="E1746" s="84" t="str">
        <x:v>Consumer</x:v>
      </x:c>
      <x:c r="F1746" s="84" t="str">
        <x:v>southeast</x:v>
      </x:c>
      <x:c r="G1746" s="84" t="str">
        <x:v>Miami</x:v>
      </x:c>
      <x:c r="H1746" s="84" t="str">
        <x:v>Marketplace</x:v>
      </x:c>
      <x:c r="I1746" s="84" t="str">
        <x:v>ELEC-005</x:v>
      </x:c>
      <x:c r="J1746" s="86" t="n">
        <x:v>4</x:v>
      </x:c>
      <x:c r="K1746" s="87" t="n">
        <x:v>0.05</x:v>
      </x:c>
      <x:c r="L1746" s="84" t="str">
        <x:v>Completed</x:v>
      </x:c>
      <x:c r="M1746" s="84" t="str">
        <x:v>Credit Card </x:v>
      </x:c>
      <x:c r="N1746" s="84" t="str">
        <x:v>Ava Mitchell</x:v>
      </x:c>
      <x:c r="O1746" s="85" t="n">
        <x:v>45869</x:v>
      </x:c>
      <x:c r="P1746" s="84" t="str">
        <x:v>MKT_2025_07</x:v>
      </x:c>
      <x:c r="Q1746" s="84" t="str">
        <x:v>HD Webcam</x:v>
      </x:c>
      <x:c r="R1746" s="84" t="str">
        <x:v>Electronics</x:v>
      </x:c>
    </x:row>
    <x:row r="1747">
      <x:c r="A1747" s="84" t="str">
        <x:v>ORD-2025-01344</x:v>
      </x:c>
      <x:c r="B1747" s="85" t="n">
        <x:v>45864</x:v>
      </x:c>
      <x:c r="C1747" s="84" t="str">
        <x:v>CUST-0157</x:v>
      </x:c>
      <x:c r="D1747" s="84" t="str">
        <x:v>Isaac Smith</x:v>
      </x:c>
      <x:c r="E1747" s="84" t="str">
        <x:v>Corporate </x:v>
      </x:c>
      <x:c r="F1747" s="84" t="str">
        <x:v>West</x:v>
      </x:c>
      <x:c r="G1747" s="84" t="str">
        <x:v>Los Angeles </x:v>
      </x:c>
      <x:c r="H1747" s="84" t="str">
        <x:v>Retail Store</x:v>
      </x:c>
      <x:c r="I1747" s="84" t="str">
        <x:v>FITN-003</x:v>
      </x:c>
      <x:c r="J1747" s="86" t="n">
        <x:v>2</x:v>
      </x:c>
      <x:c r="K1747" s="87" t="n">
        <x:v>0.05</x:v>
      </x:c>
      <x:c r="L1747" s="84" t="str">
        <x:v>Completed</x:v>
      </x:c>
      <x:c r="M1747" s="84" t="str">
        <x:v>Credit Card</x:v>
      </x:c>
      <x:c r="N1747" s="84" t="str">
        <x:v>nora kim</x:v>
      </x:c>
      <x:c r="O1747" s="85" t="n">
        <x:v>45864</x:v>
      </x:c>
      <x:c r="P1747" s="84" t="str">
        <x:v>POS_2025_07</x:v>
      </x:c>
      <x:c r="Q1747" s="84" t="str">
        <x:v>Resistance Band Set</x:v>
      </x:c>
      <x:c r="R1747" s="84" t="str">
        <x:v>Fitness</x:v>
      </x:c>
    </x:row>
    <x:row r="1748">
      <x:c r="A1748" s="84" t="str">
        <x:v>ORD-2025-01894</x:v>
      </x:c>
      <x:c r="B1748" s="85" t="n">
        <x:v>45864</x:v>
      </x:c>
      <x:c r="C1748" s="84" t="str">
        <x:v>CUST-0450</x:v>
      </x:c>
      <x:c r="D1748" s="84" t="str">
        <x:v>Samuel Garcia</x:v>
      </x:c>
      <x:c r="E1748" s="84" t="str">
        <x:v>Small Business</x:v>
      </x:c>
      <x:c r="F1748" s="84" t="str">
        <x:v>West </x:v>
      </x:c>
      <x:c r="G1748" s="84" t="str">
        <x:v>Seattle</x:v>
      </x:c>
      <x:c r="H1748" s="84" t="str">
        <x:v>Retail Store</x:v>
      </x:c>
      <x:c r="I1748" s="84" t="str">
        <x:v>HOME-005</x:v>
      </x:c>
      <x:c r="J1748" s="86" t="n">
        <x:v>1</x:v>
      </x:c>
      <x:c r="K1748" s="87" t="n">
        <x:v>0.2</x:v>
      </x:c>
      <x:c r="L1748" s="84" t="str">
        <x:v>Completed</x:v>
      </x:c>
      <x:c r="M1748" s="84" t="str">
        <x:v>Mobile Wallet</x:v>
      </x:c>
      <x:c r="N1748" s="84" t="str">
        <x:v>nora kim</x:v>
      </x:c>
      <x:c r="O1748" s="85" t="n">
        <x:v>45864</x:v>
      </x:c>
      <x:c r="P1748" s="84" t="str">
        <x:v>POS_2025_07</x:v>
      </x:c>
      <x:c r="Q1748" s="84" t="str">
        <x:v>Cordless Vacuum</x:v>
      </x:c>
      <x:c r="R1748" s="84" t="str">
        <x:v>Home &amp; Kitchen</x:v>
      </x:c>
    </x:row>
    <x:row r="1749">
      <x:c r="A1749" s="84" t="str">
        <x:v>ORD-2025-02088</x:v>
      </x:c>
      <x:c r="B1749" s="85" t="n">
        <x:v>45864</x:v>
      </x:c>
      <x:c r="C1749" s="84" t="str">
        <x:v>CUST-0478</x:v>
      </x:c>
      <x:c r="D1749" s="84" t="str">
        <x:v> OWEN SMITH </x:v>
      </x:c>
      <x:c r="E1749" s="84" t="str">
        <x:v>Small Business</x:v>
      </x:c>
      <x:c r="F1749" s="84" t="str">
        <x:v> NORTHEAST </x:v>
      </x:c>
      <x:c r="G1749" s="84" t="str">
        <x:v>New York</x:v>
      </x:c>
      <x:c r="H1749" s="84" t="str">
        <x:v>Retail Store</x:v>
      </x:c>
      <x:c r="I1749" s="84" t="str">
        <x:v>ACCS-005</x:v>
      </x:c>
      <x:c r="J1749" s="86" t="n">
        <x:v>1</x:v>
      </x:c>
      <x:c r="K1749" s="87" t="n">
        <x:v>0</x:v>
      </x:c>
      <x:c r="L1749" s="84" t="str">
        <x:v>Completed</x:v>
      </x:c>
      <x:c r="M1749" s="84" t="str">
        <x:v>Cash</x:v>
      </x:c>
      <x:c r="N1749" s="84" t="str">
        <x:v>Ethan Cole</x:v>
      </x:c>
      <x:c r="O1749" s="85" t="n">
        <x:v>45864</x:v>
      </x:c>
      <x:c r="P1749" s="84" t="str">
        <x:v>POS_2025_07</x:v>
      </x:c>
      <x:c r="Q1749" s="84" t="str">
        <x:v>protective phone case</x:v>
      </x:c>
      <x:c r="R1749" s="84" t="str">
        <x:v>Accessories </x:v>
      </x:c>
    </x:row>
    <x:row r="1750">
      <x:c r="A1750" s="84" t="str">
        <x:v>ORD-2025-02270</x:v>
      </x:c>
      <x:c r="B1750" s="85" t="n">
        <x:v>45864</x:v>
      </x:c>
      <x:c r="C1750" s="84" t="str">
        <x:v>CUST-0588</x:v>
      </x:c>
      <x:c r="D1750" s="84" t="str">
        <x:v>Nathan Johnson</x:v>
      </x:c>
      <x:c r="E1750" s="84" t="str">
        <x:v>Consumer</x:v>
      </x:c>
      <x:c r="F1750" s="84" t="str">
        <x:v>Midwest</x:v>
      </x:c>
      <x:c r="G1750" s="84" t="str">
        <x:v>detroit</x:v>
      </x:c>
      <x:c r="H1750" s="84" t="str">
        <x:v>Online</x:v>
      </x:c>
      <x:c r="I1750" s="84" t="str">
        <x:v>OFFC-006</x:v>
      </x:c>
      <x:c r="J1750" s="86" t="n">
        <x:v>2</x:v>
      </x:c>
      <x:c r="K1750" s="87" t="n">
        <x:v>0.05</x:v>
      </x:c>
      <x:c r="L1750" s="84" t="str">
        <x:v>completed</x:v>
      </x:c>
      <x:c r="M1750" s="84" t="str">
        <x:v>Mobile Wallet</x:v>
      </x:c>
      <x:c r="N1750" s="84" t="str">
        <x:v>Lucas Grant</x:v>
      </x:c>
      <x:c r="O1750" s="85" t="n">
        <x:v>45866</x:v>
      </x:c>
      <x:c r="P1750" s="84" t="str">
        <x:v>WEB_2025_07</x:v>
      </x:c>
      <x:c r="Q1750" s="84" t="str">
        <x:v>Monitor Stand</x:v>
      </x:c>
      <x:c r="R1750" s="84" t="str">
        <x:v>Office </x:v>
      </x:c>
    </x:row>
    <x:row r="1751">
      <x:c r="A1751" s="84" t="str">
        <x:v>ORD-2025-02306</x:v>
      </x:c>
      <x:c r="B1751" s="85" t="n">
        <x:v>45864</x:v>
      </x:c>
      <x:c r="C1751" s="84" t="str">
        <x:v>CUST-0592</x:v>
      </x:c>
      <x:c r="D1751" s="84" t="str">
        <x:v>theo patel</x:v>
      </x:c>
      <x:c r="E1751" s="84" t="str">
        <x:v>Corporate</x:v>
      </x:c>
      <x:c r="F1751" s="84" t="str">
        <x:v>Southeast</x:v>
      </x:c>
      <x:c r="G1751" s="84" t="str">
        <x:v>Nashville</x:v>
      </x:c>
      <x:c r="H1751" s="84" t="str">
        <x:v>Marketplace </x:v>
      </x:c>
      <x:c r="I1751" s="84" t="str">
        <x:v>ELEC-006</x:v>
      </x:c>
      <x:c r="J1751" s="86" t="n">
        <x:v>4</x:v>
      </x:c>
      <x:c r="K1751" s="87" t="n">
        <x:v>0.1</x:v>
      </x:c>
      <x:c r="L1751" s="84" t="str">
        <x:v>Completed</x:v>
      </x:c>
      <x:c r="M1751" s="84" t="str">
        <x:v> CREDIT CARD </x:v>
      </x:c>
      <x:c r="N1751" s="84" t="str">
        <x:v>Noah Reed</x:v>
      </x:c>
      <x:c r="O1751" s="85" t="n">
        <x:v>45870</x:v>
      </x:c>
      <x:c r="P1751" s="84" t="str">
        <x:v>MKT_2025_07</x:v>
      </x:c>
      <x:c r="Q1751" s="84" t="str">
        <x:v>Portable SSD</x:v>
      </x:c>
      <x:c r="R1751" s="84" t="str">
        <x:v>Electronics</x:v>
      </x:c>
    </x:row>
    <x:row r="1752">
      <x:c r="A1752" s="84" t="str">
        <x:v>ORD-2025-01082</x:v>
      </x:c>
      <x:c r="B1752" s="85" t="n">
        <x:v>45865</x:v>
      </x:c>
      <x:c r="C1752" s="84" t="str">
        <x:v>CUST-0453</x:v>
      </x:c>
      <x:c r="D1752" s="84" t="str">
        <x:v>Victoria Foster</x:v>
      </x:c>
      <x:c r="E1752" s="84" t="str">
        <x:v>Consumer</x:v>
      </x:c>
      <x:c r="F1752" s="84" t="str">
        <x:v>Southeast </x:v>
      </x:c>
      <x:c r="G1752" s="84" t="str">
        <x:v>atlanta</x:v>
      </x:c>
      <x:c r="H1752" s="84" t="str">
        <x:v>Marketplace</x:v>
      </x:c>
      <x:c r="I1752" s="84" t="str">
        <x:v>OFFC-003</x:v>
      </x:c>
      <x:c r="J1752" s="86" t="n">
        <x:v>2</x:v>
      </x:c>
      <x:c r="K1752" s="87" t="n">
        <x:v>0.05</x:v>
      </x:c>
      <x:c r="L1752" s="84" t="str">
        <x:v>completed</x:v>
      </x:c>
      <x:c r="M1752" s="84" t="str">
        <x:v> CREDIT CARD </x:v>
      </x:c>
      <x:c r="N1752" s="84" t="str">
        <x:v>Ava Mitchell </x:v>
      </x:c>
      <x:c r="O1752" s="85" t="n">
        <x:v>45870</x:v>
      </x:c>
      <x:c r="P1752" s="84" t="str">
        <x:v>MKT_2025_07</x:v>
      </x:c>
      <x:c r="Q1752" s="84" t="str">
        <x:v>LED Desk Lamp</x:v>
      </x:c>
      <x:c r="R1752" s="84" t="str">
        <x:v>Office</x:v>
      </x:c>
    </x:row>
    <x:row r="1753">
      <x:c r="A1753" s="84" t="str">
        <x:v>ORD-2025-01604</x:v>
      </x:c>
      <x:c r="B1753" s="85" t="n">
        <x:v>45865</x:v>
      </x:c>
      <x:c r="C1753" s="84" t="str">
        <x:v>CUST-0292</x:v>
      </x:c>
      <x:c r="D1753" s="84" t="str">
        <x:v>Caleb Nelson</x:v>
      </x:c>
      <x:c r="E1753" s="84" t="str">
        <x:v>Small Business</x:v>
      </x:c>
      <x:c r="F1753" s="84" t="str">
        <x:v>Midwest</x:v>
      </x:c>
      <x:c r="G1753" s="84" t="str">
        <x:v>Columbus</x:v>
      </x:c>
      <x:c r="H1753" s="84" t="str">
        <x:v> RETAIL STORE </x:v>
      </x:c>
      <x:c r="I1753" s="84" t="str">
        <x:v>ELEC-005</x:v>
      </x:c>
      <x:c r="J1753" s="86" t="n">
        <x:v>1</x:v>
      </x:c>
      <x:c r="K1753" s="87" t="n">
        <x:v>0</x:v>
      </x:c>
      <x:c r="L1753" s="84" t="str">
        <x:v>Completed</x:v>
      </x:c>
      <x:c r="M1753" s="84" t="str">
        <x:v>Credit Card</x:v>
      </x:c>
      <x:c r="N1753" s="84" t="str">
        <x:v>Lucas Grant</x:v>
      </x:c>
      <x:c r="O1753" s="85" t="n">
        <x:v>45865</x:v>
      </x:c>
      <x:c r="P1753" s="84" t="str">
        <x:v>POS_2025_07</x:v>
      </x:c>
      <x:c r="Q1753" s="84" t="str">
        <x:v>hd webcam</x:v>
      </x:c>
      <x:c r="R1753" s="84" t="str">
        <x:v>Electronics</x:v>
      </x:c>
    </x:row>
    <x:row r="1754">
      <x:c r="A1754" s="84" t="str">
        <x:v>ORD-2025-02347</x:v>
      </x:c>
      <x:c r="B1754" s="85" t="n">
        <x:v>45865</x:v>
      </x:c>
      <x:c r="C1754" s="84" t="str">
        <x:v>CUST-0360</x:v>
      </x:c>
      <x:c r="D1754" s="84" t="str">
        <x:v>Elena Taylor</x:v>
      </x:c>
      <x:c r="E1754" s="84" t="str">
        <x:v>Corporate</x:v>
      </x:c>
      <x:c r="F1754" s="84" t="str">
        <x:v>Northeast</x:v>
      </x:c>
      <x:c r="G1754" s="84" t="str">
        <x:v>new york</x:v>
      </x:c>
      <x:c r="H1754" s="84" t="str">
        <x:v>Marketplace</x:v>
      </x:c>
      <x:c r="I1754" s="84" t="str">
        <x:v>HOME-005</x:v>
      </x:c>
      <x:c r="J1754" s="86" t="n">
        <x:v>8</x:v>
      </x:c>
      <x:c r="K1754" s="87" t="n">
        <x:v>0</x:v>
      </x:c>
      <x:c r="L1754" s="84" t="str">
        <x:v>completed</x:v>
      </x:c>
      <x:c r="M1754" s="84" t="str">
        <x:v>PayPal</x:v>
      </x:c>
      <x:c r="N1754" s="84" t="str">
        <x:v>Ethan Cole</x:v>
      </x:c>
      <x:c r="O1754" s="85" t="n">
        <x:v>45870</x:v>
      </x:c>
      <x:c r="P1754" s="84" t="str">
        <x:v>MKT_2025_07</x:v>
      </x:c>
      <x:c r="Q1754" s="84" t="str">
        <x:v>Cordless Vacuum</x:v>
      </x:c>
      <x:c r="R1754" s="84" t="str">
        <x:v>Home &amp; Kitchen </x:v>
      </x:c>
    </x:row>
    <x:row r="1755">
      <x:c r="A1755" s="84" t="str">
        <x:v>ORD-2025-00635</x:v>
      </x:c>
      <x:c r="B1755" s="85" t="n">
        <x:v>45866</x:v>
      </x:c>
      <x:c r="C1755" s="84" t="str">
        <x:v>CUST-0156</x:v>
      </x:c>
      <x:c r="D1755" s="84" t="str">
        <x:v>Nina Ortiz </x:v>
      </x:c>
      <x:c r="E1755" s="84" t="str">
        <x:v>Consumer</x:v>
      </x:c>
      <x:c r="F1755" s="84" t="str">
        <x:v>southeast</x:v>
      </x:c>
      <x:c r="G1755" s="84" t="str">
        <x:v>Charlotte</x:v>
      </x:c>
      <x:c r="H1755" s="84" t="str">
        <x:v> ONLINE </x:v>
      </x:c>
      <x:c r="I1755" s="84" t="str">
        <x:v>OFFC-004</x:v>
      </x:c>
      <x:c r="J1755" s="86" t="n">
        <x:v>3</x:v>
      </x:c>
      <x:c r="K1755" s="87" t="n">
        <x:v>0.05</x:v>
      </x:c>
      <x:c r="L1755" s="84" t="str">
        <x:v>Completed</x:v>
      </x:c>
      <x:c r="M1755" s="84" t="str">
        <x:v>Credit Card </x:v>
      </x:c>
      <x:c r="N1755" s="84" t="str">
        <x:v>Ava Mitchell</x:v>
      </x:c>
      <x:c r="O1755" s="85" t="n">
        <x:v>45870</x:v>
      </x:c>
      <x:c r="P1755" s="84" t="str">
        <x:v>WEB_2025_07</x:v>
      </x:c>
      <x:c r="Q1755" s="84" t="str">
        <x:v>Premium Notebook Pack</x:v>
      </x:c>
      <x:c r="R1755" s="84" t="str">
        <x:v>Office</x:v>
      </x:c>
    </x:row>
    <x:row r="1756">
      <x:c r="A1756" s="84" t="str">
        <x:v>ORD-2025-00950</x:v>
      </x:c>
      <x:c r="B1756" s="85" t="n">
        <x:v>45866</x:v>
      </x:c>
      <x:c r="C1756" s="84" t="str">
        <x:v>CUST-0165</x:v>
      </x:c>
      <x:c r="D1756" s="84" t="str">
        <x:v>Amelia Lewis </x:v>
      </x:c>
      <x:c r="E1756" s="84" t="str">
        <x:v>Consumer</x:v>
      </x:c>
      <x:c r="F1756" s="84" t="str">
        <x:v>Northeast</x:v>
      </x:c>
      <x:c r="G1756" s="84" t="str">
        <x:v>philadelphia</x:v>
      </x:c>
      <x:c r="H1756" s="84" t="str">
        <x:v>Online</x:v>
      </x:c>
      <x:c r="I1756" s="84" t="str">
        <x:v>HOME-004</x:v>
      </x:c>
      <x:c r="J1756" s="86" t="n">
        <x:v>2</x:v>
      </x:c>
      <x:c r="K1756" s="87" t="n">
        <x:v>0.1</x:v>
      </x:c>
      <x:c r="L1756" s="84" t="str">
        <x:v>completed</x:v>
      </x:c>
      <x:c r="M1756" s="84" t="str">
        <x:v>Debit Card </x:v>
      </x:c>
      <x:c r="N1756" s="84" t="str">
        <x:v>Sofia Bennett</x:v>
      </x:c>
      <x:c r="O1756" s="85" t="n">
        <x:v>45872</x:v>
      </x:c>
      <x:c r="P1756" s="84" t="str">
        <x:v>WEB_2025_07</x:v>
      </x:c>
      <x:c r="Q1756" s="84" t="str">
        <x:v>Coffee Maker</x:v>
      </x:c>
      <x:c r="R1756" s="84" t="str">
        <x:v> HOME &amp; KITCHEN </x:v>
      </x:c>
    </x:row>
    <x:row r="1757">
      <x:c r="A1757" s="84" t="str">
        <x:v>ORD-2025-01130</x:v>
      </x:c>
      <x:c r="B1757" s="85" t="n">
        <x:v>45866</x:v>
      </x:c>
      <x:c r="C1757" s="84" t="str">
        <x:v>CUST-0117</x:v>
      </x:c>
      <x:c r="D1757" s="84" t="str">
        <x:v>Caleb Evans</x:v>
      </x:c>
      <x:c r="E1757" s="84" t="str">
        <x:v>Consumer</x:v>
      </x:c>
      <x:c r="F1757" s="84" t="str">
        <x:v>northeast</x:v>
      </x:c>
      <x:c r="G1757" s="84" t="str">
        <x:v>Newark</x:v>
      </x:c>
      <x:c r="H1757" s="84" t="str">
        <x:v>Online </x:v>
      </x:c>
      <x:c r="I1757" s="84" t="str">
        <x:v>HOME-001</x:v>
      </x:c>
      <x:c r="J1757" s="86" t="n">
        <x:v>3</x:v>
      </x:c>
      <x:c r="K1757" s="87" t="n">
        <x:v>0</x:v>
      </x:c>
      <x:c r="L1757" s="84" t="str">
        <x:v>Completed</x:v>
      </x:c>
      <x:c r="M1757" s="84" t="str">
        <x:v>Debit Card</x:v>
      </x:c>
      <x:c r="N1757" s="84" t="str">
        <x:v>Maya Brooks</x:v>
      </x:c>
      <x:c r="O1757" s="85" t="n">
        <x:v>45871</x:v>
      </x:c>
      <x:c r="P1757" s="84" t="str">
        <x:v>WEB_2025_07</x:v>
      </x:c>
      <x:c r="Q1757" s="84" t="str">
        <x:v>Air Fryer</x:v>
      </x:c>
      <x:c r="R1757" s="84" t="str">
        <x:v>Home &amp; Kitchen</x:v>
      </x:c>
    </x:row>
    <x:row r="1758">
      <x:c r="A1758" s="84" t="str">
        <x:v>ORD-2025-01656</x:v>
      </x:c>
      <x:c r="B1758" s="85" t="n">
        <x:v>45866</x:v>
      </x:c>
      <x:c r="C1758" s="84" t="str">
        <x:v>CUST-0616</x:v>
      </x:c>
      <x:c r="D1758" s="84" t="str">
        <x:v>Samuel Smith</x:v>
      </x:c>
      <x:c r="E1758" s="84" t="str">
        <x:v>Small Business</x:v>
      </x:c>
      <x:c r="F1758" s="84" t="str">
        <x:v>Northeast </x:v>
      </x:c>
      <x:c r="G1758" s="84" t="str">
        <x:v>Philadelphia</x:v>
      </x:c>
      <x:c r="H1758" s="84" t="str">
        <x:v>Retail Store</x:v>
      </x:c>
      <x:c r="I1758" s="84" t="str">
        <x:v>ACCS-003</x:v>
      </x:c>
      <x:c r="J1758" s="86" t="n">
        <x:v>1</x:v>
      </x:c>
      <x:c r="K1758" s="87" t="n">
        <x:v>0.05</x:v>
      </x:c>
      <x:c r="L1758" s="84" t="str">
        <x:v>Completed</x:v>
      </x:c>
      <x:c r="M1758" s="84" t="str">
        <x:v>Cash</x:v>
      </x:c>
      <x:c r="N1758" s="84" t="str">
        <x:v>Sofia Bennett </x:v>
      </x:c>
      <x:c r="O1758" s="85" t="n">
        <x:v>45866</x:v>
      </x:c>
      <x:c r="P1758" s="84" t="str">
        <x:v>POS_2025_07</x:v>
      </x:c>
      <x:c r="Q1758" s="84" t="str">
        <x:v>Polarized Sunglasses</x:v>
      </x:c>
      <x:c r="R1758" s="84" t="str">
        <x:v>Accessories</x:v>
      </x:c>
    </x:row>
    <x:row r="1759">
      <x:c r="A1759" s="84" t="str">
        <x:v>ORD-2025-01767</x:v>
      </x:c>
      <x:c r="B1759" s="85" t="n">
        <x:v>45866</x:v>
      </x:c>
      <x:c r="C1759" s="84" t="str">
        <x:v>CUST-0636</x:v>
      </x:c>
      <x:c r="D1759" s="84" t="str">
        <x:v>nina baker</x:v>
      </x:c>
      <x:c r="E1759" s="84" t="str">
        <x:v>Small Business</x:v>
      </x:c>
      <x:c r="F1759" s="84" t="str">
        <x:v>Midwest</x:v>
      </x:c>
      <x:c r="G1759" s="84" t="str">
        <x:v>Chicago</x:v>
      </x:c>
      <x:c r="H1759" s="84" t="str">
        <x:v>Online </x:v>
      </x:c>
      <x:c r="I1759" s="84" t="str">
        <x:v>OFFC-004</x:v>
      </x:c>
      <x:c r="J1759" s="86" t="n">
        <x:v>1</x:v>
      </x:c>
      <x:c r="K1759" s="87" t="n">
        <x:v>0</x:v>
      </x:c>
      <x:c r="L1759" s="84" t="str">
        <x:v>Completed</x:v>
      </x:c>
      <x:c r="M1759" s="84" t="str">
        <x:v>PayPal</x:v>
      </x:c>
      <x:c r="N1759" s="84" t="str">
        <x:v>Lucas Grant</x:v>
      </x:c>
      <x:c r="O1759" s="85" t="n">
        <x:v>45870</x:v>
      </x:c>
      <x:c r="P1759" s="84" t="str">
        <x:v>WEB_2025_07</x:v>
      </x:c>
      <x:c r="Q1759" s="84" t="str">
        <x:v>Premium Notebook Pack</x:v>
      </x:c>
      <x:c r="R1759" s="84" t="str">
        <x:v>Office</x:v>
      </x:c>
    </x:row>
    <x:row r="1760">
      <x:c r="A1760" s="84" t="str">
        <x:v>ORD-2025-00349</x:v>
      </x:c>
      <x:c r="B1760" s="85" t="n">
        <x:v>45867</x:v>
      </x:c>
      <x:c r="C1760" s="84" t="str">
        <x:v>CUST-0210</x:v>
      </x:c>
      <x:c r="D1760" s="84" t="str">
        <x:v>Jonah Walker</x:v>
      </x:c>
      <x:c r="E1760" s="84" t="str">
        <x:v>Consumer</x:v>
      </x:c>
      <x:c r="F1760" s="84" t="str">
        <x:v>west</x:v>
      </x:c>
      <x:c r="G1760" s="84" t="str">
        <x:v>Los Angeles</x:v>
      </x:c>
      <x:c r="H1760" s="84" t="str">
        <x:v>Retail Store</x:v>
      </x:c>
      <x:c r="I1760" s="84" t="str">
        <x:v>OFFC-006</x:v>
      </x:c>
      <x:c r="J1760" s="86" t="n">
        <x:v>1</x:v>
      </x:c>
      <x:c r="K1760" s="87" t="n">
        <x:v>0.05</x:v>
      </x:c>
      <x:c r="L1760" s="84" t="str">
        <x:v>Completed </x:v>
      </x:c>
      <x:c r="M1760" s="84" t="str">
        <x:v>Debit Card</x:v>
      </x:c>
      <x:c r="N1760" s="84" t="str">
        <x:v>Mia Chen</x:v>
      </x:c>
      <x:c r="O1760" s="85" t="n">
        <x:v>45867</x:v>
      </x:c>
      <x:c r="P1760" s="84" t="str">
        <x:v>POS_2025_07</x:v>
      </x:c>
      <x:c r="Q1760" s="84" t="str">
        <x:v>Monitor Stand</x:v>
      </x:c>
      <x:c r="R1760" s="84" t="str">
        <x:v>Office</x:v>
      </x:c>
    </x:row>
    <x:row r="1761">
      <x:c r="A1761" s="84" t="str">
        <x:v>ORD-2025-01507</x:v>
      </x:c>
      <x:c r="B1761" s="85" t="n">
        <x:v>45867</x:v>
      </x:c>
      <x:c r="C1761" s="84" t="str">
        <x:v>CUST-0098</x:v>
      </x:c>
      <x:c r="D1761" s="84" t="str">
        <x:v>Sara Irwin</x:v>
      </x:c>
      <x:c r="E1761" s="84" t="str">
        <x:v>small business</x:v>
      </x:c>
      <x:c r="F1761" s="84" t="str">
        <x:v>Southeast</x:v>
      </x:c>
      <x:c r="G1761" s="84" t="str">
        <x:v>Nashville</x:v>
      </x:c>
      <x:c r="H1761" s="84" t="str">
        <x:v>online</x:v>
      </x:c>
      <x:c r="I1761" s="84" t="str">
        <x:v>ELEC-002</x:v>
      </x:c>
      <x:c r="J1761" s="86" t="n">
        <x:v>3</x:v>
      </x:c>
      <x:c r="K1761" s="87" t="n">
        <x:v>0.15</x:v>
      </x:c>
      <x:c r="L1761" s="84" t="str">
        <x:v>Completed</x:v>
      </x:c>
      <x:c r="M1761" s="84" t="str">
        <x:v> CREDIT CARD </x:v>
      </x:c>
      <x:c r="N1761" s="84" t="str">
        <x:v>Noah Reed</x:v>
      </x:c>
      <x:c r="O1761" s="85" t="n">
        <x:v>45869</x:v>
      </x:c>
      <x:c r="P1761" s="84" t="str">
        <x:v>WEB_2025_07</x:v>
      </x:c>
      <x:c r="Q1761" s="84" t="str">
        <x:v>Smartwatch</x:v>
      </x:c>
      <x:c r="R1761" s="84" t="str">
        <x:v>Electronics </x:v>
      </x:c>
    </x:row>
    <x:row r="1762">
      <x:c r="A1762" s="84" t="str">
        <x:v>ORD-2025-02025</x:v>
      </x:c>
      <x:c r="B1762" s="85" t="n">
        <x:v>45867</x:v>
      </x:c>
      <x:c r="C1762" s="84" t="str">
        <x:v>CUST-0047</x:v>
      </x:c>
      <x:c r="D1762" s="84" t="str">
        <x:v>Isaac Adams</x:v>
      </x:c>
      <x:c r="E1762" s="84" t="str">
        <x:v>Consumer</x:v>
      </x:c>
      <x:c r="F1762" s="84" t="str">
        <x:v>Southeast</x:v>
      </x:c>
      <x:c r="G1762" s="84" t="str">
        <x:v>Nashville</x:v>
      </x:c>
      <x:c r="H1762" s="84" t="str">
        <x:v>Online</x:v>
      </x:c>
      <x:c r="I1762" s="84" t="str">
        <x:v>ELEC-005</x:v>
      </x:c>
      <x:c r="J1762" s="86" t="n">
        <x:v>1</x:v>
      </x:c>
      <x:c r="K1762" s="87" t="n">
        <x:v>0.15</x:v>
      </x:c>
      <x:c r="L1762" s="84" t="str">
        <x:v>Completed</x:v>
      </x:c>
      <x:c r="M1762" s="84" t="str">
        <x:v>Mobile Wallet</x:v>
      </x:c>
      <x:c r="N1762" s="84" t="str">
        <x:v>Liam Parker</x:v>
      </x:c>
      <x:c r="O1762" s="85" t="n">
        <x:v>45870</x:v>
      </x:c>
      <x:c r="P1762" s="84" t="str">
        <x:v>WEB_2025_07</x:v>
      </x:c>
      <x:c r="Q1762" s="84" t="str">
        <x:v>HD Webcam</x:v>
      </x:c>
      <x:c r="R1762" s="84" t="str">
        <x:v>Electronics </x:v>
      </x:c>
    </x:row>
    <x:row r="1763">
      <x:c r="A1763" s="84" t="str">
        <x:v>ORD-2025-01116</x:v>
      </x:c>
      <x:c r="B1763" s="85" t="n">
        <x:v>45869</x:v>
      </x:c>
      <x:c r="C1763" s="84" t="str">
        <x:v>CUST-0285</x:v>
      </x:c>
      <x:c r="D1763" s="84" t="str">
        <x:v>Caleb Evans</x:v>
      </x:c>
      <x:c r="E1763" s="84" t="str">
        <x:v>Consumer</x:v>
      </x:c>
      <x:c r="F1763" s="84" t="str">
        <x:v>Southeast</x:v>
      </x:c>
      <x:c r="G1763" s="84" t="str">
        <x:v>Charlotte</x:v>
      </x:c>
      <x:c r="H1763" s="84" t="str">
        <x:v>Retail Store </x:v>
      </x:c>
      <x:c r="I1763" s="84" t="str">
        <x:v>ELEC-004</x:v>
      </x:c>
      <x:c r="J1763" s="86" t="n">
        <x:v>2</x:v>
      </x:c>
      <x:c r="K1763" s="87" t="n">
        <x:v>0.05</x:v>
      </x:c>
      <x:c r="L1763" s="84" t="str">
        <x:v>Completed</x:v>
      </x:c>
      <x:c r="M1763" s="84" t="str">
        <x:v> CREDIT CARD </x:v>
      </x:c>
      <x:c r="N1763" s="84" t="str">
        <x:v>Noah Reed</x:v>
      </x:c>
      <x:c r="O1763" s="85" t="n">
        <x:v>45869</x:v>
      </x:c>
      <x:c r="P1763" s="84" t="str">
        <x:v>POS_2025_07</x:v>
      </x:c>
      <x:c r="Q1763" s="84" t="str">
        <x:v>Power Bank</x:v>
      </x:c>
      <x:c r="R1763" s="84" t="str">
        <x:v>Electronics</x:v>
      </x:c>
    </x:row>
    <x:row r="1764">
      <x:c r="A1764" s="84" t="str">
        <x:v>ORD-2025-01437</x:v>
      </x:c>
      <x:c r="B1764" s="85" t="n">
        <x:v>45869</x:v>
      </x:c>
      <x:c r="C1764" s="84" t="str">
        <x:v>CUST-0292</x:v>
      </x:c>
      <x:c r="D1764" s="84" t="str">
        <x:v>caleb nelson</x:v>
      </x:c>
      <x:c r="E1764" s="84" t="str">
        <x:v>Small Business</x:v>
      </x:c>
      <x:c r="F1764" s="84" t="str">
        <x:v>Midwest</x:v>
      </x:c>
      <x:c r="G1764" s="84" t="str">
        <x:v>Columbus</x:v>
      </x:c>
      <x:c r="H1764" s="84" t="str">
        <x:v>Retail Store</x:v>
      </x:c>
      <x:c r="I1764" s="84" t="str">
        <x:v>FITN-002</x:v>
      </x:c>
      <x:c r="J1764" s="86" t="n">
        <x:v>1</x:v>
      </x:c>
      <x:c r="K1764" s="87" t="n">
        <x:v>0.05</x:v>
      </x:c>
      <x:c r="L1764" s="84" t="str">
        <x:v>Completed</x:v>
      </x:c>
      <x:c r="M1764" s="84" t="str">
        <x:v>Cash</x:v>
      </x:c>
      <x:c r="N1764" s="84" t="str">
        <x:v>Emma Hayes</x:v>
      </x:c>
      <x:c r="O1764" s="85" t="n">
        <x:v>45869</x:v>
      </x:c>
      <x:c r="P1764" s="84" t="str">
        <x:v>POS_2025_07</x:v>
      </x:c>
      <x:c r="Q1764" s="84" t="str">
        <x:v>Adjustable Dumbbell Set</x:v>
      </x:c>
      <x:c r="R1764" s="84" t="str">
        <x:v>Fitness </x:v>
      </x:c>
    </x:row>
    <x:row r="1765">
      <x:c r="A1765" s="84" t="str">
        <x:v>ORD-2025-00305</x:v>
      </x:c>
      <x:c r="B1765" s="85" t="n">
        <x:v>45870</x:v>
      </x:c>
      <x:c r="C1765" s="84" t="str">
        <x:v>CUST-0024</x:v>
      </x:c>
      <x:c r="D1765" s="84" t="str">
        <x:v>Zara Quinn</x:v>
      </x:c>
      <x:c r="E1765" s="84" t="str"/>
      <x:c r="F1765" s="84" t="str">
        <x:v>midwest</x:v>
      </x:c>
      <x:c r="G1765" s="84" t="str">
        <x:v>Columbus</x:v>
      </x:c>
      <x:c r="H1765" s="84" t="str">
        <x:v>Online</x:v>
      </x:c>
      <x:c r="I1765" s="84" t="str">
        <x:v>ELEC-005</x:v>
      </x:c>
      <x:c r="J1765" s="86" t="n">
        <x:v>1</x:v>
      </x:c>
      <x:c r="K1765" s="87" t="n">
        <x:v>0.1</x:v>
      </x:c>
      <x:c r="L1765" s="84" t="str">
        <x:v>Completed</x:v>
      </x:c>
      <x:c r="M1765" s="84" t="str">
        <x:v>Debit Card</x:v>
      </x:c>
      <x:c r="N1765" s="84" t="str">
        <x:v>Lucas Grant </x:v>
      </x:c>
      <x:c r="O1765" s="85" t="n">
        <x:v>45876</x:v>
      </x:c>
      <x:c r="P1765" s="84" t="str">
        <x:v>WEB_2025_08</x:v>
      </x:c>
      <x:c r="Q1765" s="84" t="str">
        <x:v>HD Webcam</x:v>
      </x:c>
      <x:c r="R1765" s="84" t="str">
        <x:v>Electronics</x:v>
      </x:c>
    </x:row>
    <x:row r="1766">
      <x:c r="A1766" s="84" t="str">
        <x:v>ORD-2025-00862</x:v>
      </x:c>
      <x:c r="B1766" s="85" t="n">
        <x:v>45870</x:v>
      </x:c>
      <x:c r="C1766" s="84" t="str">
        <x:v>CUST-0370</x:v>
      </x:c>
      <x:c r="D1766" s="84" t="str">
        <x:v>Aiden Moore</x:v>
      </x:c>
      <x:c r="E1766" s="84" t="str">
        <x:v>Small Business</x:v>
      </x:c>
      <x:c r="F1766" s="84" t="str">
        <x:v>West</x:v>
      </x:c>
      <x:c r="G1766" s="84" t="str">
        <x:v>phoenix</x:v>
      </x:c>
      <x:c r="H1766" s="84" t="str">
        <x:v>Retail Store</x:v>
      </x:c>
      <x:c r="I1766" s="84" t="str">
        <x:v>HOME-006</x:v>
      </x:c>
      <x:c r="J1766" s="86" t="n">
        <x:v>2</x:v>
      </x:c>
      <x:c r="K1766" s="87" t="n">
        <x:v>0</x:v>
      </x:c>
      <x:c r="L1766" s="84" t="str">
        <x:v>completed</x:v>
      </x:c>
      <x:c r="M1766" s="84" t="str">
        <x:v>Mobile Wallet</x:v>
      </x:c>
      <x:c r="N1766" s="84" t="str">
        <x:v>Mia Chen</x:v>
      </x:c>
      <x:c r="O1766" s="85" t="n">
        <x:v>45871</x:v>
      </x:c>
      <x:c r="P1766" s="84" t="str">
        <x:v>POS_2025_08</x:v>
      </x:c>
      <x:c r="Q1766" s="84" t="str">
        <x:v>Food Storage Set </x:v>
      </x:c>
      <x:c r="R1766" s="84" t="str">
        <x:v>Home &amp; Kitchen</x:v>
      </x:c>
    </x:row>
    <x:row r="1767">
      <x:c r="A1767" s="84" t="str">
        <x:v>ORD-2025-01138</x:v>
      </x:c>
      <x:c r="B1767" s="85" t="n">
        <x:v>45870</x:v>
      </x:c>
      <x:c r="C1767" s="84" t="str">
        <x:v>CUST-0107</x:v>
      </x:c>
      <x:c r="D1767" s="84" t="str">
        <x:v>Elena Hall</x:v>
      </x:c>
      <x:c r="E1767" s="84" t="str">
        <x:v>Consumer</x:v>
      </x:c>
      <x:c r="F1767" s="84" t="str">
        <x:v>Midwest </x:v>
      </x:c>
      <x:c r="G1767" s="84" t="str">
        <x:v>Columbus</x:v>
      </x:c>
      <x:c r="H1767" s="84" t="str">
        <x:v>Retail Store</x:v>
      </x:c>
      <x:c r="I1767" s="84" t="str">
        <x:v>ACCS-005</x:v>
      </x:c>
      <x:c r="J1767" s="86" t="n">
        <x:v>4</x:v>
      </x:c>
      <x:c r="K1767" s="87" t="n">
        <x:v>0.15</x:v>
      </x:c>
      <x:c r="L1767" s="84" t="str">
        <x:v>Completed</x:v>
      </x:c>
      <x:c r="M1767" s="84" t="str">
        <x:v>Debit Card</x:v>
      </x:c>
      <x:c r="N1767" s="84" t="str">
        <x:v>Emma Hayes </x:v>
      </x:c>
      <x:c r="O1767" s="85" t="n">
        <x:v>45870</x:v>
      </x:c>
      <x:c r="P1767" s="84" t="str">
        <x:v>POS_2025_08</x:v>
      </x:c>
      <x:c r="Q1767" s="84" t="str">
        <x:v>Protective Phone Case</x:v>
      </x:c>
      <x:c r="R1767" s="84" t="str">
        <x:v>Accessories</x:v>
      </x:c>
    </x:row>
    <x:row r="1768">
      <x:c r="A1768" s="84" t="str">
        <x:v>ORD-2025-01869</x:v>
      </x:c>
      <x:c r="B1768" s="85" t="n">
        <x:v>45870</x:v>
      </x:c>
      <x:c r="C1768" s="84" t="str">
        <x:v>CUST-0585</x:v>
      </x:c>
      <x:c r="D1768" s="84" t="str">
        <x:v>Isaac Patel</x:v>
      </x:c>
      <x:c r="E1768" s="84" t="str">
        <x:v>Consumer </x:v>
      </x:c>
      <x:c r="F1768" s="84" t="str">
        <x:v>Northeast</x:v>
      </x:c>
      <x:c r="G1768" s="84" t="str">
        <x:v>New York </x:v>
      </x:c>
      <x:c r="H1768" s="84" t="str">
        <x:v>Online</x:v>
      </x:c>
      <x:c r="I1768" s="84" t="str">
        <x:v>CARE-005</x:v>
      </x:c>
      <x:c r="J1768" s="86" t="n">
        <x:v>1</x:v>
      </x:c>
      <x:c r="K1768" s="87" t="n">
        <x:v>0</x:v>
      </x:c>
      <x:c r="L1768" s="84" t="str">
        <x:v>Completed</x:v>
      </x:c>
      <x:c r="M1768" s="84" t="str">
        <x:v>credit card</x:v>
      </x:c>
      <x:c r="N1768" s="84" t="str">
        <x:v>Ethan Cole</x:v>
      </x:c>
      <x:c r="O1768" s="85" t="n">
        <x:v>45872</x:v>
      </x:c>
      <x:c r="P1768" s="84" t="str">
        <x:v>WEB_2025_08</x:v>
      </x:c>
      <x:c r="Q1768" s="84" t="str">
        <x:v>Skin Care Starter Kit</x:v>
      </x:c>
      <x:c r="R1768" s="84" t="str">
        <x:v>Personal Care</x:v>
      </x:c>
    </x:row>
    <x:row r="1769">
      <x:c r="A1769" s="84" t="str">
        <x:v>ORD-2025-00162</x:v>
      </x:c>
      <x:c r="B1769" s="85" t="n">
        <x:v>45871</x:v>
      </x:c>
      <x:c r="C1769" s="84" t="str">
        <x:v>CUST-0090</x:v>
      </x:c>
      <x:c r="D1769" s="84" t="str">
        <x:v>Jasmine Baker</x:v>
      </x:c>
      <x:c r="E1769" s="84" t="str">
        <x:v>Consumer</x:v>
      </x:c>
      <x:c r="F1769" s="84" t="str">
        <x:v>west</x:v>
      </x:c>
      <x:c r="G1769" s="84" t="str">
        <x:v>Los Angeles</x:v>
      </x:c>
      <x:c r="H1769" s="84" t="str">
        <x:v>Online</x:v>
      </x:c>
      <x:c r="I1769" s="84" t="str">
        <x:v>ACCS-002</x:v>
      </x:c>
      <x:c r="J1769" s="86" t="n">
        <x:v>2</x:v>
      </x:c>
      <x:c r="K1769" s="87" t="n">
        <x:v>0</x:v>
      </x:c>
      <x:c r="L1769" s="84" t="str">
        <x:v>Completed</x:v>
      </x:c>
      <x:c r="M1769" s="84" t="str">
        <x:v>Mobile Wallet</x:v>
      </x:c>
      <x:c r="N1769" s="84" t="str">
        <x:v>Mia Chen</x:v>
      </x:c>
      <x:c r="O1769" s="85" t="n">
        <x:v>45876</x:v>
      </x:c>
      <x:c r="P1769" s="84" t="str">
        <x:v>WEB_2025_08</x:v>
      </x:c>
      <x:c r="Q1769" s="84" t="str">
        <x:v>Travel Backpack </x:v>
      </x:c>
      <x:c r="R1769" s="84" t="str">
        <x:v>Accessories</x:v>
      </x:c>
    </x:row>
    <x:row r="1770">
      <x:c r="A1770" s="84" t="str">
        <x:v>ORD-2025-00242</x:v>
      </x:c>
      <x:c r="B1770" s="85" t="n">
        <x:v>45871</x:v>
      </x:c>
      <x:c r="C1770" s="84" t="str">
        <x:v>CUST-0319</x:v>
      </x:c>
      <x:c r="D1770" s="84" t="str">
        <x:v>Amelia Young</x:v>
      </x:c>
      <x:c r="E1770" s="84" t="str">
        <x:v>consumer</x:v>
      </x:c>
      <x:c r="F1770" s="84" t="str">
        <x:v>Southeast </x:v>
      </x:c>
      <x:c r="G1770" s="84" t="str">
        <x:v>Nashville</x:v>
      </x:c>
      <x:c r="H1770" s="84" t="str">
        <x:v>online</x:v>
      </x:c>
      <x:c r="I1770" s="84" t="str">
        <x:v>ACCS-006</x:v>
      </x:c>
      <x:c r="J1770" s="86" t="n">
        <x:v>2</x:v>
      </x:c>
      <x:c r="K1770" s="87" t="n">
        <x:v>0</x:v>
      </x:c>
      <x:c r="L1770" s="84" t="str">
        <x:v>Completed</x:v>
      </x:c>
      <x:c r="M1770" s="84" t="str">
        <x:v>Mobile Wallet</x:v>
      </x:c>
      <x:c r="N1770" s="84" t="str">
        <x:v>Noah Reed </x:v>
      </x:c>
      <x:c r="O1770" s="85" t="n">
        <x:v>45874</x:v>
      </x:c>
      <x:c r="P1770" s="84" t="str">
        <x:v>WEB_2025_08</x:v>
      </x:c>
      <x:c r="Q1770" s="84" t="str">
        <x:v> INSULATED LUNCH BAG </x:v>
      </x:c>
      <x:c r="R1770" s="84" t="str">
        <x:v>Accessories</x:v>
      </x:c>
    </x:row>
    <x:row r="1771">
      <x:c r="A1771" s="84" t="str">
        <x:v>ORD-2025-00242</x:v>
      </x:c>
      <x:c r="B1771" s="85" t="n">
        <x:v>45871</x:v>
      </x:c>
      <x:c r="C1771" s="84" t="str">
        <x:v>CUST-0319</x:v>
      </x:c>
      <x:c r="D1771" s="84" t="str">
        <x:v>Amelia Young</x:v>
      </x:c>
      <x:c r="E1771" s="84" t="str">
        <x:v>consumer</x:v>
      </x:c>
      <x:c r="F1771" s="84" t="str">
        <x:v>Southeast </x:v>
      </x:c>
      <x:c r="G1771" s="84" t="str">
        <x:v>Nashville</x:v>
      </x:c>
      <x:c r="H1771" s="84" t="str">
        <x:v>online</x:v>
      </x:c>
      <x:c r="I1771" s="84" t="str">
        <x:v>ACCS-006</x:v>
      </x:c>
      <x:c r="J1771" s="86" t="n">
        <x:v>2</x:v>
      </x:c>
      <x:c r="K1771" s="87" t="n">
        <x:v>0</x:v>
      </x:c>
      <x:c r="L1771" s="84" t="str">
        <x:v>Completed</x:v>
      </x:c>
      <x:c r="M1771" s="84" t="str">
        <x:v>Mobile Wallet</x:v>
      </x:c>
      <x:c r="N1771" s="84" t="str">
        <x:v>Noah Reed </x:v>
      </x:c>
      <x:c r="O1771" s="85" t="n">
        <x:v>45874</x:v>
      </x:c>
      <x:c r="P1771" s="84" t="str">
        <x:v>RELOAD_WEB_2025_08</x:v>
      </x:c>
      <x:c r="Q1771" s="84" t="str">
        <x:v> INSULATED LUNCH BAG </x:v>
      </x:c>
      <x:c r="R1771" s="84" t="str">
        <x:v>Accessories</x:v>
      </x:c>
    </x:row>
    <x:row r="1772">
      <x:c r="A1772" s="84" t="str">
        <x:v>ORD-2025-00269</x:v>
      </x:c>
      <x:c r="B1772" s="85" t="n">
        <x:v>45871</x:v>
      </x:c>
      <x:c r="C1772" s="84" t="str">
        <x:v>CUST-0357</x:v>
      </x:c>
      <x:c r="D1772" s="84" t="str">
        <x:v> PRIYA BAKER </x:v>
      </x:c>
      <x:c r="E1772" s="84" t="str">
        <x:v>Consumer</x:v>
      </x:c>
      <x:c r="F1772" s="84" t="str">
        <x:v> SOUTHEAST </x:v>
      </x:c>
      <x:c r="G1772" s="84" t="str">
        <x:v>Atlanta</x:v>
      </x:c>
      <x:c r="H1772" s="84" t="str">
        <x:v>Online </x:v>
      </x:c>
      <x:c r="I1772" s="84" t="str">
        <x:v>HOME-006</x:v>
      </x:c>
      <x:c r="J1772" s="86" t="n">
        <x:v>1</x:v>
      </x:c>
      <x:c r="K1772" s="87" t="n">
        <x:v>0.15</x:v>
      </x:c>
      <x:c r="L1772" s="84" t="str">
        <x:v>Completed</x:v>
      </x:c>
      <x:c r="M1772" s="84" t="str">
        <x:v>Debit Card</x:v>
      </x:c>
      <x:c r="N1772" s="84" t="str">
        <x:v>Noah Reed</x:v>
      </x:c>
      <x:c r="O1772" s="85" t="n">
        <x:v>45875</x:v>
      </x:c>
      <x:c r="P1772" s="84" t="str">
        <x:v>WEB_2025_08</x:v>
      </x:c>
      <x:c r="Q1772" s="84" t="str">
        <x:v>Food Storage Set</x:v>
      </x:c>
      <x:c r="R1772" s="84" t="str">
        <x:v>Home &amp; Kitchen</x:v>
      </x:c>
    </x:row>
    <x:row r="1773">
      <x:c r="A1773" s="84" t="str">
        <x:v>ORD-2025-01315</x:v>
      </x:c>
      <x:c r="B1773" s="85" t="n">
        <x:v>45871</x:v>
      </x:c>
      <x:c r="C1773" s="84" t="str">
        <x:v>CUST-0360</x:v>
      </x:c>
      <x:c r="D1773" s="84" t="str">
        <x:v>Elena Taylor</x:v>
      </x:c>
      <x:c r="E1773" s="84" t="str">
        <x:v>Corporate</x:v>
      </x:c>
      <x:c r="F1773" s="84" t="str">
        <x:v>Northeast</x:v>
      </x:c>
      <x:c r="G1773" s="84" t="str">
        <x:v>New York</x:v>
      </x:c>
      <x:c r="H1773" s="84" t="str">
        <x:v> ONLINE </x:v>
      </x:c>
      <x:c r="I1773" s="84" t="str">
        <x:v>HOME-001</x:v>
      </x:c>
      <x:c r="J1773" s="86" t="n">
        <x:v>2</x:v>
      </x:c>
      <x:c r="K1773" s="87" t="n">
        <x:v>0.15</x:v>
      </x:c>
      <x:c r="L1773" s="84" t="str">
        <x:v>Completed </x:v>
      </x:c>
      <x:c r="M1773" s="84" t="str">
        <x:v>Credit Card</x:v>
      </x:c>
      <x:c r="N1773" s="84" t="str">
        <x:v>Sofia Bennett</x:v>
      </x:c>
      <x:c r="O1773" s="85" t="n">
        <x:v>45874</x:v>
      </x:c>
      <x:c r="P1773" s="84" t="str">
        <x:v>WEB_2025_08</x:v>
      </x:c>
      <x:c r="Q1773" s="84" t="str">
        <x:v>Air Fryer</x:v>
      </x:c>
      <x:c r="R1773" s="84" t="str">
        <x:v>Home &amp; Kitchen</x:v>
      </x:c>
    </x:row>
    <x:row r="1774">
      <x:c r="A1774" s="84" t="str">
        <x:v>ORD-2025-00996</x:v>
      </x:c>
      <x:c r="B1774" s="85" t="n">
        <x:v>45872</x:v>
      </x:c>
      <x:c r="C1774" s="84" t="str">
        <x:v>CUST-0150</x:v>
      </x:c>
      <x:c r="D1774" s="84" t="str">
        <x:v>Aiden Carter</x:v>
      </x:c>
      <x:c r="E1774" s="84" t="str">
        <x:v>Consumer</x:v>
      </x:c>
      <x:c r="F1774" s="84" t="str">
        <x:v>Southeast</x:v>
      </x:c>
      <x:c r="G1774" s="84" t="str">
        <x:v> ATLANTA </x:v>
      </x:c>
      <x:c r="H1774" s="84" t="str">
        <x:v>Online</x:v>
      </x:c>
      <x:c r="I1774" s="84" t="str">
        <x:v>FITN-005</x:v>
      </x:c>
      <x:c r="J1774" s="86" t="n">
        <x:v>2</x:v>
      </x:c>
      <x:c r="K1774" s="87" t="n">
        <x:v>0.1</x:v>
      </x:c>
      <x:c r="L1774" s="84" t="str">
        <x:v>Completed</x:v>
      </x:c>
      <x:c r="M1774" s="84" t="str">
        <x:v>Credit Card</x:v>
      </x:c>
      <x:c r="N1774" s="84" t="str">
        <x:v>Ava Mitchell</x:v>
      </x:c>
      <x:c r="O1774" s="85" t="n">
        <x:v>45875</x:v>
      </x:c>
      <x:c r="P1774" s="84" t="str">
        <x:v>WEB_2025_08</x:v>
      </x:c>
      <x:c r="Q1774" s="84" t="str">
        <x:v>Sports Water Bottle</x:v>
      </x:c>
      <x:c r="R1774" s="84" t="str">
        <x:v>Fitness </x:v>
      </x:c>
    </x:row>
    <x:row r="1775">
      <x:c r="A1775" s="84" t="str">
        <x:v>ORD-2025-01115</x:v>
      </x:c>
      <x:c r="B1775" s="85" t="n">
        <x:v>45872</x:v>
      </x:c>
      <x:c r="C1775" s="84" t="str">
        <x:v>CUST-0457</x:v>
      </x:c>
      <x:c r="D1775" s="84" t="str">
        <x:v>Amelia Carter</x:v>
      </x:c>
      <x:c r="E1775" s="84" t="str">
        <x:v>Small Business</x:v>
      </x:c>
      <x:c r="F1775" s="84" t="str">
        <x:v>Midwest</x:v>
      </x:c>
      <x:c r="G1775" s="84" t="str">
        <x:v> COLUMBUS </x:v>
      </x:c>
      <x:c r="H1775" s="84" t="str">
        <x:v>Online</x:v>
      </x:c>
      <x:c r="I1775" s="84" t="str">
        <x:v>FITN-001</x:v>
      </x:c>
      <x:c r="J1775" s="86" t="n">
        <x:v>2</x:v>
      </x:c>
      <x:c r="K1775" s="87" t="n">
        <x:v>0</x:v>
      </x:c>
      <x:c r="L1775" s="84" t="str">
        <x:v>returned</x:v>
      </x:c>
      <x:c r="M1775" s="84" t="str">
        <x:v>Credit Card</x:v>
      </x:c>
      <x:c r="N1775" s="84" t="str">
        <x:v>Zoe Turner</x:v>
      </x:c>
      <x:c r="O1775" s="85" t="n">
        <x:v>45875</x:v>
      </x:c>
      <x:c r="P1775" s="84" t="str">
        <x:v>WEB_2025_08</x:v>
      </x:c>
      <x:c r="Q1775" s="84" t="str">
        <x:v>Yoga Mat</x:v>
      </x:c>
      <x:c r="R1775" s="84" t="str">
        <x:v>Fitness </x:v>
      </x:c>
    </x:row>
    <x:row r="1776">
      <x:c r="A1776" s="84" t="str">
        <x:v>ORD-2025-01297</x:v>
      </x:c>
      <x:c r="B1776" s="85" t="n">
        <x:v>45872</x:v>
      </x:c>
      <x:c r="C1776" s="84" t="str">
        <x:v>CUST-0490</x:v>
      </x:c>
      <x:c r="D1776" s="84" t="str">
        <x:v>Maya Nelson</x:v>
      </x:c>
      <x:c r="E1776" s="84" t="str">
        <x:v>Small Business</x:v>
      </x:c>
      <x:c r="F1776" s="84" t="str">
        <x:v>Northeast</x:v>
      </x:c>
      <x:c r="G1776" s="84" t="str">
        <x:v>Philadelphia</x:v>
      </x:c>
      <x:c r="H1776" s="84" t="str">
        <x:v>Online</x:v>
      </x:c>
      <x:c r="I1776" s="84" t="str">
        <x:v>OFFC-002</x:v>
      </x:c>
      <x:c r="J1776" s="86" t="n">
        <x:v>4</x:v>
      </x:c>
      <x:c r="K1776" s="87" t="n">
        <x:v>0.1</x:v>
      </x:c>
      <x:c r="L1776" s="84" t="str">
        <x:v> COMPLETED </x:v>
      </x:c>
      <x:c r="M1776" s="84" t="str">
        <x:v>paypal</x:v>
      </x:c>
      <x:c r="N1776" s="84" t="str">
        <x:v>Maya Brooks</x:v>
      </x:c>
      <x:c r="O1776" s="85" t="n">
        <x:v>45874</x:v>
      </x:c>
      <x:c r="P1776" s="84" t="str">
        <x:v>WEB_2025_08</x:v>
      </x:c>
      <x:c r="Q1776" s="84" t="str">
        <x:v>Standing Desk</x:v>
      </x:c>
      <x:c r="R1776" s="84" t="str">
        <x:v>Office </x:v>
      </x:c>
    </x:row>
    <x:row r="1777">
      <x:c r="A1777" s="84" t="str">
        <x:v>ORD-2025-01347</x:v>
      </x:c>
      <x:c r="B1777" s="85" t="n">
        <x:v>45872</x:v>
      </x:c>
      <x:c r="C1777" s="84" t="str">
        <x:v>CUST-0472</x:v>
      </x:c>
      <x:c r="D1777" s="84" t="str">
        <x:v>Owen Davis</x:v>
      </x:c>
      <x:c r="E1777" s="84" t="str">
        <x:v>Corporate</x:v>
      </x:c>
      <x:c r="F1777" s="84" t="str">
        <x:v>West</x:v>
      </x:c>
      <x:c r="G1777" s="84" t="str">
        <x:v>Los Angeles</x:v>
      </x:c>
      <x:c r="H1777" s="84" t="str">
        <x:v>Marketplace </x:v>
      </x:c>
      <x:c r="I1777" s="84" t="str">
        <x:v>HOME-006</x:v>
      </x:c>
      <x:c r="J1777" s="86" t="n">
        <x:v>6</x:v>
      </x:c>
      <x:c r="K1777" s="87" t="n">
        <x:v>0.1</x:v>
      </x:c>
      <x:c r="L1777" s="84" t="str">
        <x:v>Completed</x:v>
      </x:c>
      <x:c r="M1777" s="84" t="str">
        <x:v>Mobile Wallet</x:v>
      </x:c>
      <x:c r="N1777" s="84" t="str">
        <x:v>Leo Martinez</x:v>
      </x:c>
      <x:c r="O1777" s="85" t="n">
        <x:v>45877</x:v>
      </x:c>
      <x:c r="P1777" s="84" t="str">
        <x:v>MKT_2025_08</x:v>
      </x:c>
      <x:c r="Q1777" s="84" t="str">
        <x:v> FOOD STORAGE SET </x:v>
      </x:c>
      <x:c r="R1777" s="84" t="str">
        <x:v>Home &amp; Kitchen</x:v>
      </x:c>
    </x:row>
    <x:row r="1778">
      <x:c r="A1778" s="84" t="str">
        <x:v>ORD-2025-01434</x:v>
      </x:c>
      <x:c r="B1778" s="85" t="n">
        <x:v>45872</x:v>
      </x:c>
      <x:c r="C1778" s="84" t="str">
        <x:v>CUST-0119</x:v>
      </x:c>
      <x:c r="D1778" s="84" t="str">
        <x:v>Grace Nelson</x:v>
      </x:c>
      <x:c r="E1778" s="84" t="str">
        <x:v>Small Business</x:v>
      </x:c>
      <x:c r="F1778" s="84" t="str">
        <x:v>West</x:v>
      </x:c>
      <x:c r="G1778" s="84" t="str">
        <x:v>denver</x:v>
      </x:c>
      <x:c r="H1778" s="84" t="str">
        <x:v> ONLINE </x:v>
      </x:c>
      <x:c r="I1778" s="84" t="str">
        <x:v>HOME-003</x:v>
      </x:c>
      <x:c r="J1778" s="86" t="n">
        <x:v>1</x:v>
      </x:c>
      <x:c r="K1778" s="87" t="n">
        <x:v>0</x:v>
      </x:c>
      <x:c r="L1778" s="84" t="str">
        <x:v>returned</x:v>
      </x:c>
      <x:c r="M1778" s="84" t="str">
        <x:v>Credit Card</x:v>
      </x:c>
      <x:c r="N1778" s="84" t="str">
        <x:v>Nora Kim</x:v>
      </x:c>
      <x:c r="O1778" s="85" t="n">
        <x:v>45875</x:v>
      </x:c>
      <x:c r="P1778" s="84" t="str">
        <x:v>WEB_2025_08</x:v>
      </x:c>
      <x:c r="Q1778" s="84" t="str">
        <x:v>Countertop Blender</x:v>
      </x:c>
      <x:c r="R1778" s="84" t="str">
        <x:v>Home &amp; Kitchen</x:v>
      </x:c>
    </x:row>
    <x:row r="1779">
      <x:c r="A1779" s="84" t="str">
        <x:v>ORD-2025-01648</x:v>
      </x:c>
      <x:c r="B1779" s="85" t="n">
        <x:v>45872</x:v>
      </x:c>
      <x:c r="C1779" s="84" t="str">
        <x:v>CUST-0552</x:v>
      </x:c>
      <x:c r="D1779" s="84" t="str">
        <x:v>Victoria Foster</x:v>
      </x:c>
      <x:c r="E1779" s="84" t="str">
        <x:v>Corporate</x:v>
      </x:c>
      <x:c r="F1779" s="84" t="str">
        <x:v>Southeast</x:v>
      </x:c>
      <x:c r="G1779" s="84" t="str">
        <x:v>Miami</x:v>
      </x:c>
      <x:c r="H1779" s="84" t="str">
        <x:v>Online </x:v>
      </x:c>
      <x:c r="I1779" s="84" t="str">
        <x:v>CARE-006</x:v>
      </x:c>
      <x:c r="J1779" s="86" t="n">
        <x:v>4</x:v>
      </x:c>
      <x:c r="K1779" s="87" t="n">
        <x:v>0.15</x:v>
      </x:c>
      <x:c r="L1779" s="84" t="str">
        <x:v>Completed</x:v>
      </x:c>
      <x:c r="M1779" s="84" t="str">
        <x:v>PayPal</x:v>
      </x:c>
      <x:c r="N1779" s="84" t="str">
        <x:v>Noah Reed</x:v>
      </x:c>
      <x:c r="O1779" s="85" t="n">
        <x:v>45874</x:v>
      </x:c>
      <x:c r="P1779" s="84" t="str">
        <x:v>WEB_2025_08</x:v>
      </x:c>
      <x:c r="Q1779" s="84" t="str">
        <x:v>percussion massage gun</x:v>
      </x:c>
      <x:c r="R1779" s="84" t="str">
        <x:v>Personal Care</x:v>
      </x:c>
    </x:row>
    <x:row r="1780">
      <x:c r="A1780" s="84" t="str">
        <x:v>ORD-2025-01947</x:v>
      </x:c>
      <x:c r="B1780" s="85" t="n">
        <x:v>45872</x:v>
      </x:c>
      <x:c r="C1780" s="84" t="str">
        <x:v>CUST-0551</x:v>
      </x:c>
      <x:c r="D1780" s="84" t="str">
        <x:v>Isaac Johnson</x:v>
      </x:c>
      <x:c r="E1780" s="84" t="str">
        <x:v>consumer</x:v>
      </x:c>
      <x:c r="F1780" s="84" t="str">
        <x:v>Southeast</x:v>
      </x:c>
      <x:c r="G1780" s="84" t="str">
        <x:v>Atlanta</x:v>
      </x:c>
      <x:c r="H1780" s="84" t="str">
        <x:v>online</x:v>
      </x:c>
      <x:c r="I1780" s="84" t="str">
        <x:v>ELEC-004</x:v>
      </x:c>
      <x:c r="J1780" s="86" t="n">
        <x:v>1</x:v>
      </x:c>
      <x:c r="K1780" s="87" t="n">
        <x:v>0.05</x:v>
      </x:c>
      <x:c r="L1780" s="84" t="str">
        <x:v>Completed</x:v>
      </x:c>
      <x:c r="M1780" s="84" t="str">
        <x:v>Credit Card</x:v>
      </x:c>
      <x:c r="N1780" s="84" t="str">
        <x:v>Liam Parker</x:v>
      </x:c>
      <x:c r="O1780" s="85" t="n">
        <x:v>45877</x:v>
      </x:c>
      <x:c r="P1780" s="84" t="str">
        <x:v>WEB_2025_08</x:v>
      </x:c>
      <x:c r="Q1780" s="84" t="str">
        <x:v>Power Bank </x:v>
      </x:c>
      <x:c r="R1780" s="84" t="str">
        <x:v>Electronics</x:v>
      </x:c>
    </x:row>
    <x:row r="1781">
      <x:c r="A1781" s="84" t="str">
        <x:v>ORD-2025-00411</x:v>
      </x:c>
      <x:c r="B1781" s="85" t="n">
        <x:v>45873</x:v>
      </x:c>
      <x:c r="C1781" s="84" t="str">
        <x:v>CUST-0088</x:v>
      </x:c>
      <x:c r="D1781" s="84" t="str">
        <x:v>Jasmine Khan </x:v>
      </x:c>
      <x:c r="E1781" s="84" t="str">
        <x:v>Consumer</x:v>
      </x:c>
      <x:c r="F1781" s="84" t="str">
        <x:v>Northeast</x:v>
      </x:c>
      <x:c r="G1781" s="84" t="str">
        <x:v>boston</x:v>
      </x:c>
      <x:c r="H1781" s="84" t="str">
        <x:v>Online</x:v>
      </x:c>
      <x:c r="I1781" s="84" t="str">
        <x:v>ELEC-006</x:v>
      </x:c>
      <x:c r="J1781" s="86" t="n">
        <x:v>2</x:v>
      </x:c>
      <x:c r="K1781" s="87" t="n">
        <x:v>0.05</x:v>
      </x:c>
      <x:c r="L1781" s="84" t="str">
        <x:v>completed</x:v>
      </x:c>
      <x:c r="M1781" s="84" t="str">
        <x:v>Debit Card </x:v>
      </x:c>
      <x:c r="N1781" s="84" t="str">
        <x:v> MAYA BROOKS </x:v>
      </x:c>
      <x:c r="O1781" s="85" t="n">
        <x:v>45877</x:v>
      </x:c>
      <x:c r="P1781" s="84" t="str">
        <x:v>WEB_2025_08</x:v>
      </x:c>
      <x:c r="Q1781" s="84" t="str">
        <x:v>Portable SSD</x:v>
      </x:c>
      <x:c r="R1781" s="84" t="str">
        <x:v>Electronics</x:v>
      </x:c>
    </x:row>
    <x:row r="1782">
      <x:c r="A1782" s="84" t="str">
        <x:v>ORD-2025-01479</x:v>
      </x:c>
      <x:c r="B1782" s="85" t="n">
        <x:v>45873</x:v>
      </x:c>
      <x:c r="C1782" s="84" t="str">
        <x:v>CUST-0321</x:v>
      </x:c>
      <x:c r="D1782" s="84" t="str">
        <x:v>Grace Smith</x:v>
      </x:c>
      <x:c r="E1782" s="84" t="str">
        <x:v> CORPORATE </x:v>
      </x:c>
      <x:c r="F1782" s="84" t="str">
        <x:v>Southeast</x:v>
      </x:c>
      <x:c r="G1782" s="84" t="str">
        <x:v>Miami</x:v>
      </x:c>
      <x:c r="H1782" s="84" t="str">
        <x:v>Marketplace</x:v>
      </x:c>
      <x:c r="I1782" s="84" t="str">
        <x:v>ELEC-006</x:v>
      </x:c>
      <x:c r="J1782" s="86" t="n">
        <x:v>1</x:v>
      </x:c>
      <x:c r="K1782" s="87" t="n">
        <x:v>0.1</x:v>
      </x:c>
      <x:c r="L1782" s="84" t="str">
        <x:v>Completed</x:v>
      </x:c>
      <x:c r="M1782" s="84" t="str">
        <x:v>Credit Card</x:v>
      </x:c>
      <x:c r="N1782" s="84" t="str">
        <x:v>Ava Mitchell</x:v>
      </x:c>
      <x:c r="O1782" s="85" t="n">
        <x:v>45878</x:v>
      </x:c>
      <x:c r="P1782" s="84" t="str">
        <x:v>MKT_2025_08</x:v>
      </x:c>
      <x:c r="Q1782" s="84" t="str">
        <x:v>Portable SSD</x:v>
      </x:c>
      <x:c r="R1782" s="84" t="str">
        <x:v>Electronics </x:v>
      </x:c>
    </x:row>
    <x:row r="1783">
      <x:c r="A1783" s="84" t="str">
        <x:v>ORD-2025-01598</x:v>
      </x:c>
      <x:c r="B1783" s="85" t="n">
        <x:v>45873</x:v>
      </x:c>
      <x:c r="C1783" s="84" t="str">
        <x:v>CUST-0096</x:v>
      </x:c>
      <x:c r="D1783" s="84" t="str">
        <x:v>Nina Irwin</x:v>
      </x:c>
      <x:c r="E1783" s="84" t="str">
        <x:v> CONSUMER </x:v>
      </x:c>
      <x:c r="F1783" s="84" t="str">
        <x:v>Southeast</x:v>
      </x:c>
      <x:c r="G1783" s="84" t="str">
        <x:v>Miami</x:v>
      </x:c>
      <x:c r="H1783" s="84" t="str">
        <x:v>Online</x:v>
      </x:c>
      <x:c r="I1783" s="84" t="str">
        <x:v>HOME-004</x:v>
      </x:c>
      <x:c r="J1783" s="86" t="n">
        <x:v>1</x:v>
      </x:c>
      <x:c r="K1783" s="87" t="n">
        <x:v>0</x:v>
      </x:c>
      <x:c r="L1783" s="84" t="str">
        <x:v>Completed</x:v>
      </x:c>
      <x:c r="M1783" s="84" t="str">
        <x:v>Debit Card</x:v>
      </x:c>
      <x:c r="N1783" s="84" t="str">
        <x:v>Liam Parker</x:v>
      </x:c>
      <x:c r="O1783" s="85" t="n">
        <x:v>45875</x:v>
      </x:c>
      <x:c r="P1783" s="84" t="str">
        <x:v>WEB_2025_08</x:v>
      </x:c>
      <x:c r="Q1783" s="84" t="str">
        <x:v>Coffee Maker</x:v>
      </x:c>
      <x:c r="R1783" s="84" t="str">
        <x:v>home &amp; kitchen</x:v>
      </x:c>
    </x:row>
    <x:row r="1784">
      <x:c r="A1784" s="84" t="str">
        <x:v>ORD-2025-01928</x:v>
      </x:c>
      <x:c r="B1784" s="85" t="n">
        <x:v>45873</x:v>
      </x:c>
      <x:c r="C1784" s="84" t="str">
        <x:v>CUST-0262</x:v>
      </x:c>
      <x:c r="D1784" s="84" t="str">
        <x:v>Owen Carter</x:v>
      </x:c>
      <x:c r="E1784" s="84" t="str">
        <x:v>Small Business</x:v>
      </x:c>
      <x:c r="F1784" s="84" t="str">
        <x:v>Northeast</x:v>
      </x:c>
      <x:c r="G1784" s="84" t="str">
        <x:v>New York</x:v>
      </x:c>
      <x:c r="H1784" s="84" t="str">
        <x:v>Retail Store </x:v>
      </x:c>
      <x:c r="I1784" s="84" t="str">
        <x:v>CARE-002</x:v>
      </x:c>
      <x:c r="J1784" s="86" t="n">
        <x:v>1</x:v>
      </x:c>
      <x:c r="K1784" s="87" t="n">
        <x:v>0.05</x:v>
      </x:c>
      <x:c r="L1784" s="84" t="str">
        <x:v>Completed</x:v>
      </x:c>
      <x:c r="M1784" s="84" t="str">
        <x:v>Debit Card</x:v>
      </x:c>
      <x:c r="N1784" s="84" t="str">
        <x:v>Sofia Bennett</x:v>
      </x:c>
      <x:c r="O1784" s="85" t="n">
        <x:v>45874</x:v>
      </x:c>
      <x:c r="P1784" s="84" t="str">
        <x:v>POS_2025_08</x:v>
      </x:c>
      <x:c r="Q1784" s="84" t="str">
        <x:v>Rechargeable Trimmer</x:v>
      </x:c>
      <x:c r="R1784" s="84" t="str">
        <x:v>personal care</x:v>
      </x:c>
    </x:row>
    <x:row r="1785">
      <x:c r="A1785" s="84" t="str">
        <x:v>ORD-2025-00885</x:v>
      </x:c>
      <x:c r="B1785" s="85" t="n">
        <x:v>45874</x:v>
      </x:c>
      <x:c r="C1785" s="84" t="str">
        <x:v>CUST-0535</x:v>
      </x:c>
      <x:c r="D1785" s="84" t="str">
        <x:v>Caleb Walker</x:v>
      </x:c>
      <x:c r="E1785" s="84" t="str">
        <x:v>Corporate</x:v>
      </x:c>
      <x:c r="F1785" s="84" t="str">
        <x:v>Southeast</x:v>
      </x:c>
      <x:c r="G1785" s="84" t="str">
        <x:v>Miami</x:v>
      </x:c>
      <x:c r="H1785" s="84" t="str">
        <x:v>Online </x:v>
      </x:c>
      <x:c r="I1785" s="84" t="str">
        <x:v>OFFC-004</x:v>
      </x:c>
      <x:c r="J1785" s="86" t="n">
        <x:v>1</x:v>
      </x:c>
      <x:c r="K1785" s="87" t="n">
        <x:v>0</x:v>
      </x:c>
      <x:c r="L1785" s="84" t="str">
        <x:v>Completed</x:v>
      </x:c>
      <x:c r="M1785" s="84" t="str">
        <x:v>Credit Card</x:v>
      </x:c>
      <x:c r="N1785" s="84" t="str">
        <x:v>Ava Mitchell</x:v>
      </x:c>
      <x:c r="O1785" s="85" t="n">
        <x:v>45878</x:v>
      </x:c>
      <x:c r="P1785" s="84" t="str">
        <x:v>WEB_2025_08</x:v>
      </x:c>
      <x:c r="Q1785" s="84" t="str">
        <x:v>Premium Notebook Pack</x:v>
      </x:c>
      <x:c r="R1785" s="84" t="str">
        <x:v>Office</x:v>
      </x:c>
    </x:row>
    <x:row r="1786">
      <x:c r="A1786" s="84" t="str">
        <x:v>ORD-2025-00247</x:v>
      </x:c>
      <x:c r="B1786" s="85" t="n">
        <x:v>45875</x:v>
      </x:c>
      <x:c r="C1786" s="84" t="str">
        <x:v>CUST-0055</x:v>
      </x:c>
      <x:c r="D1786" s="84" t="str">
        <x:v>Isaac Baker</x:v>
      </x:c>
      <x:c r="E1786" s="84" t="str">
        <x:v>Small Business</x:v>
      </x:c>
      <x:c r="F1786" s="84" t="str">
        <x:v>Midwest</x:v>
      </x:c>
      <x:c r="G1786" s="84" t="str">
        <x:v>Detroit</x:v>
      </x:c>
      <x:c r="H1786" s="84" t="str">
        <x:v>Online</x:v>
      </x:c>
      <x:c r="I1786" s="84" t="str">
        <x:v>OFFC-002</x:v>
      </x:c>
      <x:c r="J1786" s="86" t="n">
        <x:v>2</x:v>
      </x:c>
      <x:c r="K1786" s="87" t="n">
        <x:v>0.1</x:v>
      </x:c>
      <x:c r="L1786" s="84" t="str">
        <x:v>Completed</x:v>
      </x:c>
      <x:c r="M1786" s="84" t="str">
        <x:v>Mobile Wallet</x:v>
      </x:c>
      <x:c r="N1786" s="84" t="str">
        <x:v>Emma Hayes</x:v>
      </x:c>
      <x:c r="O1786" s="85" t="n">
        <x:v>45878</x:v>
      </x:c>
      <x:c r="P1786" s="84" t="str">
        <x:v>WEB_2025_08</x:v>
      </x:c>
      <x:c r="Q1786" s="84" t="str">
        <x:v>Standing Desk</x:v>
      </x:c>
      <x:c r="R1786" s="84" t="str">
        <x:v>Office </x:v>
      </x:c>
    </x:row>
    <x:row r="1787">
      <x:c r="A1787" s="84" t="str">
        <x:v>ORD-2025-00800</x:v>
      </x:c>
      <x:c r="B1787" s="85" t="n">
        <x:v>45875</x:v>
      </x:c>
      <x:c r="C1787" s="84" t="str">
        <x:v>CUST-0594</x:v>
      </x:c>
      <x:c r="D1787" s="84" t="str">
        <x:v>Theo Patel</x:v>
      </x:c>
      <x:c r="E1787" s="84" t="str">
        <x:v>Consumer</x:v>
      </x:c>
      <x:c r="F1787" s="84" t="str">
        <x:v>northeast</x:v>
      </x:c>
      <x:c r="G1787" s="84" t="str">
        <x:v>Newark</x:v>
      </x:c>
      <x:c r="H1787" s="84" t="str">
        <x:v>Online</x:v>
      </x:c>
      <x:c r="I1787" s="84" t="str">
        <x:v>OFFC-001</x:v>
      </x:c>
      <x:c r="J1787" s="86" t="n">
        <x:v>1</x:v>
      </x:c>
      <x:c r="K1787" s="87" t="n">
        <x:v>0</x:v>
      </x:c>
      <x:c r="L1787" s="84" t="str">
        <x:v>Completed</x:v>
      </x:c>
      <x:c r="M1787" s="84" t="str">
        <x:v>Debit Card</x:v>
      </x:c>
      <x:c r="N1787" s="84" t="str">
        <x:v>Sofia Bennett</x:v>
      </x:c>
      <x:c r="O1787" s="85" t="n">
        <x:v>45879</x:v>
      </x:c>
      <x:c r="P1787" s="84" t="str">
        <x:v>WEB_2025_08</x:v>
      </x:c>
      <x:c r="Q1787" s="84" t="str">
        <x:v>Ergonomic Chair</x:v>
      </x:c>
      <x:c r="R1787" s="84" t="str">
        <x:v>Office </x:v>
      </x:c>
    </x:row>
    <x:row r="1788">
      <x:c r="A1788" s="84" t="str">
        <x:v>ORD-2025-00821</x:v>
      </x:c>
      <x:c r="B1788" s="85" t="n">
        <x:v>45875</x:v>
      </x:c>
      <x:c r="C1788" s="84" t="str">
        <x:v>CUST-0577</x:v>
      </x:c>
      <x:c r="D1788" s="84" t="str">
        <x:v>grace young</x:v>
      </x:c>
      <x:c r="E1788" s="84" t="str">
        <x:v>Consumer</x:v>
      </x:c>
      <x:c r="F1788" s="84" t="str">
        <x:v>Southeast</x:v>
      </x:c>
      <x:c r="G1788" s="84" t="str">
        <x:v>Charlotte</x:v>
      </x:c>
      <x:c r="H1788" s="84" t="str">
        <x:v>Online</x:v>
      </x:c>
      <x:c r="I1788" s="84" t="str">
        <x:v>OFFC-006</x:v>
      </x:c>
      <x:c r="J1788" s="86" t="n">
        <x:v>2</x:v>
      </x:c>
      <x:c r="K1788" s="87" t="n">
        <x:v>0.15</x:v>
      </x:c>
      <x:c r="L1788" s="84" t="str">
        <x:v> COMPLETED </x:v>
      </x:c>
      <x:c r="M1788" s="84" t="str">
        <x:v>Credit Card</x:v>
      </x:c>
      <x:c r="N1788" s="84" t="str">
        <x:v>Ava Mitchell</x:v>
      </x:c>
      <x:c r="O1788" s="85" t="n">
        <x:v>45878</x:v>
      </x:c>
      <x:c r="P1788" s="84" t="str">
        <x:v>WEB_2025_08</x:v>
      </x:c>
      <x:c r="Q1788" s="84" t="str">
        <x:v>Monitor Stand</x:v>
      </x:c>
      <x:c r="R1788" s="84" t="str">
        <x:v>Office </x:v>
      </x:c>
    </x:row>
    <x:row r="1789">
      <x:c r="A1789" s="84" t="str">
        <x:v>ORD-2025-01273</x:v>
      </x:c>
      <x:c r="B1789" s="85" t="n">
        <x:v>45875</x:v>
      </x:c>
      <x:c r="C1789" s="84" t="str">
        <x:v>CUST-0054</x:v>
      </x:c>
      <x:c r="D1789" s="84" t="str">
        <x:v>Priya Roberts</x:v>
      </x:c>
      <x:c r="E1789" s="84" t="str">
        <x:v>Consumer</x:v>
      </x:c>
      <x:c r="F1789" s="84" t="str">
        <x:v>west</x:v>
      </x:c>
      <x:c r="G1789" s="84" t="str">
        <x:v>Phoenix</x:v>
      </x:c>
      <x:c r="H1789" s="84" t="str">
        <x:v>Online</x:v>
      </x:c>
      <x:c r="I1789" s="84" t="str">
        <x:v>ELEC-006</x:v>
      </x:c>
      <x:c r="J1789" s="86" t="n">
        <x:v>2</x:v>
      </x:c>
      <x:c r="K1789" s="87" t="n">
        <x:v>0</x:v>
      </x:c>
      <x:c r="L1789" s="84" t="str">
        <x:v>Completed </x:v>
      </x:c>
      <x:c r="M1789" s="84" t="str">
        <x:v>Credit Card</x:v>
      </x:c>
      <x:c r="N1789" s="84" t="str">
        <x:v>Nora Kim</x:v>
      </x:c>
      <x:c r="O1789" s="85" t="n">
        <x:v>45879</x:v>
      </x:c>
      <x:c r="P1789" s="84" t="str">
        <x:v>WEB_2025_08</x:v>
      </x:c>
      <x:c r="Q1789" s="84" t="str">
        <x:v>Portable SSD</x:v>
      </x:c>
      <x:c r="R1789" s="84" t="str">
        <x:v> ELECTRONICS </x:v>
      </x:c>
    </x:row>
    <x:row r="1790">
      <x:c r="A1790" s="84" t="str">
        <x:v>ORD-2025-01423</x:v>
      </x:c>
      <x:c r="B1790" s="85" t="n">
        <x:v>45875</x:v>
      </x:c>
      <x:c r="C1790" s="84" t="str">
        <x:v>CUST-0489</x:v>
      </x:c>
      <x:c r="D1790" s="84" t="str">
        <x:v>William Quinn</x:v>
      </x:c>
      <x:c r="E1790" s="84" t="str">
        <x:v>Consumer</x:v>
      </x:c>
      <x:c r="F1790" s="84" t="str">
        <x:v>West</x:v>
      </x:c>
      <x:c r="G1790" s="84" t="str">
        <x:v>los angeles</x:v>
      </x:c>
      <x:c r="H1790" s="84" t="str">
        <x:v>Retail Store</x:v>
      </x:c>
      <x:c r="I1790" s="84" t="str">
        <x:v>FITN-003</x:v>
      </x:c>
      <x:c r="J1790" s="86" t="n">
        <x:v>1</x:v>
      </x:c>
      <x:c r="K1790" s="87" t="n">
        <x:v>0</x:v>
      </x:c>
      <x:c r="L1790" s="84" t="str">
        <x:v>completed</x:v>
      </x:c>
      <x:c r="M1790" s="84" t="str">
        <x:v>Cash</x:v>
      </x:c>
      <x:c r="N1790" s="84" t="str">
        <x:v>Nora Kim</x:v>
      </x:c>
      <x:c r="O1790" s="85" t="n">
        <x:v>45875</x:v>
      </x:c>
      <x:c r="P1790" s="84" t="str">
        <x:v>POS_2025_08</x:v>
      </x:c>
      <x:c r="Q1790" s="84" t="str">
        <x:v>Resistance Band Set</x:v>
      </x:c>
      <x:c r="R1790" s="84" t="str">
        <x:v>Fitness </x:v>
      </x:c>
    </x:row>
    <x:row r="1791">
      <x:c r="A1791" s="84" t="str">
        <x:v>ORD-2025-02234</x:v>
      </x:c>
      <x:c r="B1791" s="85" t="n">
        <x:v>45875</x:v>
      </x:c>
      <x:c r="C1791" s="84" t="str">
        <x:v>CUST-0054</x:v>
      </x:c>
      <x:c r="D1791" s="84" t="str">
        <x:v>Priya Roberts</x:v>
      </x:c>
      <x:c r="E1791" s="84" t="str">
        <x:v>Consumer</x:v>
      </x:c>
      <x:c r="F1791" s="84" t="str">
        <x:v>West</x:v>
      </x:c>
      <x:c r="G1791" s="84" t="str">
        <x:v>Phoenix</x:v>
      </x:c>
      <x:c r="H1791" s="84" t="str">
        <x:v>Online</x:v>
      </x:c>
      <x:c r="I1791" s="84" t="str">
        <x:v>OFFC-005</x:v>
      </x:c>
      <x:c r="J1791" s="86" t="n">
        <x:v>2</x:v>
      </x:c>
      <x:c r="K1791" s="87" t="n">
        <x:v>0</x:v>
      </x:c>
      <x:c r="L1791" s="84" t="str">
        <x:v>Completed</x:v>
      </x:c>
      <x:c r="M1791" s="84" t="str">
        <x:v>Debit Card</x:v>
      </x:c>
      <x:c r="N1791" s="84" t="str">
        <x:v>Mia Chen</x:v>
      </x:c>
      <x:c r="O1791" s="85" t="n">
        <x:v>45878</x:v>
      </x:c>
      <x:c r="P1791" s="84" t="str">
        <x:v>WEB_2025_08</x:v>
      </x:c>
      <x:c r="Q1791" s="84" t="str">
        <x:v>Wireless Keyboard </x:v>
      </x:c>
      <x:c r="R1791" s="84" t="str">
        <x:v>Office</x:v>
      </x:c>
    </x:row>
    <x:row r="1792">
      <x:c r="A1792" s="84" t="str">
        <x:v>ORD-2025-02272</x:v>
      </x:c>
      <x:c r="B1792" s="85" t="n">
        <x:v>45875</x:v>
      </x:c>
      <x:c r="C1792" s="84" t="str">
        <x:v>CUST-0456</x:v>
      </x:c>
      <x:c r="D1792" s="84" t="str">
        <x:v>Elias Carter</x:v>
      </x:c>
      <x:c r="E1792" s="84" t="str">
        <x:v>Consumer</x:v>
      </x:c>
      <x:c r="F1792" s="84" t="str">
        <x:v>Northeast </x:v>
      </x:c>
      <x:c r="G1792" s="84" t="str">
        <x:v>Boston</x:v>
      </x:c>
      <x:c r="H1792" s="84" t="str">
        <x:v>Retail Store</x:v>
      </x:c>
      <x:c r="I1792" s="84" t="str">
        <x:v>FITN-004</x:v>
      </x:c>
      <x:c r="J1792" s="86" t="n">
        <x:v>1</x:v>
      </x:c>
      <x:c r="K1792" s="87" t="n">
        <x:v>0.2</x:v>
      </x:c>
      <x:c r="L1792" s="84" t="str">
        <x:v>Completed</x:v>
      </x:c>
      <x:c r="M1792" s="84" t="str">
        <x:v> CREDIT CARD </x:v>
      </x:c>
      <x:c r="N1792" s="84" t="str">
        <x:v>Ethan Cole </x:v>
      </x:c>
      <x:c r="O1792" s="85" t="n">
        <x:v>45876</x:v>
      </x:c>
      <x:c r="P1792" s="84" t="str">
        <x:v>POS_2025_08</x:v>
      </x:c>
      <x:c r="Q1792" s="84" t="str">
        <x:v>Fitness Tracker</x:v>
      </x:c>
      <x:c r="R1792" s="84" t="str">
        <x:v>Fitness</x:v>
      </x:c>
    </x:row>
    <x:row r="1793">
      <x:c r="A1793" s="84" t="str">
        <x:v>ORD-2025-02358</x:v>
      </x:c>
      <x:c r="B1793" s="85" t="n">
        <x:v>45875</x:v>
      </x:c>
      <x:c r="C1793" s="84" t="str">
        <x:v>CUST-0306</x:v>
      </x:c>
      <x:c r="D1793" s="84" t="str">
        <x:v>Sara Garcia</x:v>
      </x:c>
      <x:c r="E1793" s="84" t="str">
        <x:v>Consumer</x:v>
      </x:c>
      <x:c r="F1793" s="84" t="str">
        <x:v>Southeast</x:v>
      </x:c>
      <x:c r="G1793" s="84" t="str">
        <x:v>atlanta</x:v>
      </x:c>
      <x:c r="H1793" s="84" t="str">
        <x:v>Online</x:v>
      </x:c>
      <x:c r="I1793" s="84" t="str">
        <x:v>CARE-001</x:v>
      </x:c>
      <x:c r="J1793" s="86" t="n">
        <x:v>3</x:v>
      </x:c>
      <x:c r="K1793" s="87" t="n">
        <x:v>0</x:v>
      </x:c>
      <x:c r="L1793" s="84" t="str">
        <x:v>completed</x:v>
      </x:c>
      <x:c r="M1793" s="84" t="str">
        <x:v>Credit Card</x:v>
      </x:c>
      <x:c r="N1793" s="84" t="str">
        <x:v>Noah Reed</x:v>
      </x:c>
      <x:c r="O1793" s="85" t="n">
        <x:v>45878</x:v>
      </x:c>
      <x:c r="P1793" s="84" t="str">
        <x:v>WEB_2025_08</x:v>
      </x:c>
      <x:c r="Q1793" s="84" t="str">
        <x:v>Ionic Hair Dryer</x:v>
      </x:c>
      <x:c r="R1793" s="84" t="str">
        <x:v>Personal Care</x:v>
      </x:c>
    </x:row>
    <x:row r="1794">
      <x:c r="A1794" s="84" t="str">
        <x:v>ORD-2025-00049</x:v>
      </x:c>
      <x:c r="B1794" s="85" t="n">
        <x:v>45876</x:v>
      </x:c>
      <x:c r="C1794" s="84" t="str">
        <x:v>CUST-0490</x:v>
      </x:c>
      <x:c r="D1794" s="84" t="str">
        <x:v>Maya Nelson</x:v>
      </x:c>
      <x:c r="E1794" s="84" t="str">
        <x:v>Small Business </x:v>
      </x:c>
      <x:c r="F1794" s="84" t="str">
        <x:v>Northeast</x:v>
      </x:c>
      <x:c r="G1794" s="84" t="str">
        <x:v>Philadelphia </x:v>
      </x:c>
      <x:c r="H1794" s="84" t="str">
        <x:v>Online</x:v>
      </x:c>
      <x:c r="I1794" s="84" t="str">
        <x:v>FITN-005</x:v>
      </x:c>
      <x:c r="J1794" s="86" t="n">
        <x:v>1</x:v>
      </x:c>
      <x:c r="K1794" s="87" t="n">
        <x:v>0</x:v>
      </x:c>
      <x:c r="L1794" s="84" t="str">
        <x:v>Completed</x:v>
      </x:c>
      <x:c r="M1794" s="84" t="str">
        <x:v>Credit Card</x:v>
      </x:c>
      <x:c r="N1794" s="84" t="str">
        <x:v>Maya Brooks</x:v>
      </x:c>
      <x:c r="O1794" s="85" t="n">
        <x:v>45878</x:v>
      </x:c>
      <x:c r="P1794" s="84" t="str">
        <x:v>WEB_2025_08</x:v>
      </x:c>
      <x:c r="Q1794" s="84" t="str">
        <x:v>Sports Water Bottle</x:v>
      </x:c>
      <x:c r="R1794" s="84" t="str">
        <x:v> FITNESS </x:v>
      </x:c>
    </x:row>
    <x:row r="1795">
      <x:c r="A1795" s="84" t="str">
        <x:v>ORD-2025-00736</x:v>
      </x:c>
      <x:c r="B1795" s="85" t="n">
        <x:v>45876</x:v>
      </x:c>
      <x:c r="C1795" s="84" t="str">
        <x:v>CUST-0428</x:v>
      </x:c>
      <x:c r="D1795" s="84" t="str">
        <x:v>Theo Taylor</x:v>
      </x:c>
      <x:c r="E1795" s="84" t="str">
        <x:v>Consumer</x:v>
      </x:c>
      <x:c r="F1795" s="84" t="str">
        <x:v>Midwest</x:v>
      </x:c>
      <x:c r="G1795" s="84" t="str">
        <x:v>Chicago</x:v>
      </x:c>
      <x:c r="H1795" s="84" t="str">
        <x:v>Retail Store</x:v>
      </x:c>
      <x:c r="I1795" s="84" t="str">
        <x:v>FITN-004</x:v>
      </x:c>
      <x:c r="J1795" s="86" t="n">
        <x:v>3</x:v>
      </x:c>
      <x:c r="K1795" s="87" t="n">
        <x:v>0</x:v>
      </x:c>
      <x:c r="L1795" s="84" t="str">
        <x:v> COMPLETED </x:v>
      </x:c>
      <x:c r="M1795" s="84" t="str">
        <x:v>credit card</x:v>
      </x:c>
      <x:c r="N1795" s="84" t="str">
        <x:v>Emma Hayes</x:v>
      </x:c>
      <x:c r="O1795" s="85" t="n">
        <x:v>45877</x:v>
      </x:c>
      <x:c r="P1795" s="84" t="str">
        <x:v>POS_2025_08</x:v>
      </x:c>
      <x:c r="Q1795" s="84" t="str">
        <x:v>Fitness Tracker </x:v>
      </x:c>
      <x:c r="R1795" s="84" t="str">
        <x:v>Fitness</x:v>
      </x:c>
    </x:row>
    <x:row r="1796">
      <x:c r="A1796" s="84" t="str">
        <x:v>ORD-2025-01986</x:v>
      </x:c>
      <x:c r="B1796" s="85" t="n">
        <x:v>45876</x:v>
      </x:c>
      <x:c r="C1796" s="84" t="str">
        <x:v>CUST-0428</x:v>
      </x:c>
      <x:c r="D1796" s="84" t="str">
        <x:v> THEO TAYLOR </x:v>
      </x:c>
      <x:c r="E1796" s="84" t="str">
        <x:v>Consumer</x:v>
      </x:c>
      <x:c r="F1796" s="84" t="str">
        <x:v> MIDWEST </x:v>
      </x:c>
      <x:c r="G1796" s="84" t="str">
        <x:v>Chicago</x:v>
      </x:c>
      <x:c r="H1796" s="84" t="str">
        <x:v>Retail Store</x:v>
      </x:c>
      <x:c r="I1796" s="84" t="str">
        <x:v>OFFC-002</x:v>
      </x:c>
      <x:c r="J1796" s="86" t="n">
        <x:v>1</x:v>
      </x:c>
      <x:c r="K1796" s="87" t="n">
        <x:v>0</x:v>
      </x:c>
      <x:c r="L1796" s="84" t="str">
        <x:v>Completed</x:v>
      </x:c>
      <x:c r="M1796" s="84" t="str">
        <x:v>Debit Card </x:v>
      </x:c>
      <x:c r="N1796" s="84" t="str">
        <x:v>Lucas Grant</x:v>
      </x:c>
      <x:c r="O1796" s="85" t="n">
        <x:v>45876</x:v>
      </x:c>
      <x:c r="P1796" s="84" t="str">
        <x:v>POS_2025_08</x:v>
      </x:c>
      <x:c r="Q1796" s="84" t="str">
        <x:v>Standing Desk</x:v>
      </x:c>
      <x:c r="R1796" s="84" t="str">
        <x:v>Office</x:v>
      </x:c>
    </x:row>
    <x:row r="1797">
      <x:c r="A1797" s="84" t="str">
        <x:v>ORD-2025-00797</x:v>
      </x:c>
      <x:c r="B1797" s="85" t="n">
        <x:v>45877</x:v>
      </x:c>
      <x:c r="C1797" s="84" t="str">
        <x:v>CUST-0065</x:v>
      </x:c>
      <x:c r="D1797" s="84" t="str">
        <x:v>Marcus Young</x:v>
      </x:c>
      <x:c r="E1797" s="84" t="str">
        <x:v>Small Business</x:v>
      </x:c>
      <x:c r="F1797" s="84" t="str">
        <x:v>West</x:v>
      </x:c>
      <x:c r="G1797" s="84" t="str">
        <x:v>Seattle</x:v>
      </x:c>
      <x:c r="H1797" s="84" t="str">
        <x:v>Online</x:v>
      </x:c>
      <x:c r="I1797" s="84" t="str">
        <x:v>ELEC-001</x:v>
      </x:c>
      <x:c r="J1797" s="86" t="n">
        <x:v>2</x:v>
      </x:c>
      <x:c r="K1797" s="87" t="n">
        <x:v>0</x:v>
      </x:c>
      <x:c r="L1797" s="84" t="str">
        <x:v>Completed </x:v>
      </x:c>
      <x:c r="M1797" s="84" t="str">
        <x:v>Debit Card</x:v>
      </x:c>
      <x:c r="N1797" s="84" t="str">
        <x:v>Mia Chen</x:v>
      </x:c>
      <x:c r="O1797" s="85" t="n">
        <x:v>45880</x:v>
      </x:c>
      <x:c r="P1797" s="84" t="str">
        <x:v>WEB_2025_08</x:v>
      </x:c>
      <x:c r="Q1797" s="84" t="str">
        <x:v>Wireless Earbuds</x:v>
      </x:c>
      <x:c r="R1797" s="84" t="str">
        <x:v> ELECTRONICS </x:v>
      </x:c>
    </x:row>
    <x:row r="1798">
      <x:c r="A1798" s="84" t="str">
        <x:v>ORD-2025-01236</x:v>
      </x:c>
      <x:c r="B1798" s="85" t="n">
        <x:v>45877</x:v>
      </x:c>
      <x:c r="C1798" s="84" t="str">
        <x:v>CUST-0488</x:v>
      </x:c>
      <x:c r="D1798" s="84" t="str">
        <x:v>Nathan Moore</x:v>
      </x:c>
      <x:c r="E1798" s="84" t="str">
        <x:v>Consumer</x:v>
      </x:c>
      <x:c r="F1798" s="84" t="str">
        <x:v>Northeast </x:v>
      </x:c>
      <x:c r="G1798" s="84" t="str">
        <x:v>new york</x:v>
      </x:c>
      <x:c r="H1798" s="84" t="str">
        <x:v>Retail Store</x:v>
      </x:c>
      <x:c r="I1798" s="84" t="str">
        <x:v>HOME-003</x:v>
      </x:c>
      <x:c r="J1798" s="86" t="n">
        <x:v>1</x:v>
      </x:c>
      <x:c r="K1798" s="87" t="n">
        <x:v>0</x:v>
      </x:c>
      <x:c r="L1798" s="84" t="str">
        <x:v>completed</x:v>
      </x:c>
      <x:c r="M1798" s="84" t="str">
        <x:v>Mobile Wallet</x:v>
      </x:c>
      <x:c r="N1798" s="84" t="str">
        <x:v>Ethan Cole </x:v>
      </x:c>
      <x:c r="O1798" s="85" t="n">
        <x:v>45877</x:v>
      </x:c>
      <x:c r="P1798" s="84" t="str">
        <x:v>POS_2025_08</x:v>
      </x:c>
      <x:c r="Q1798" s="84" t="str">
        <x:v>Countertop Blender</x:v>
      </x:c>
      <x:c r="R1798" s="84" t="str">
        <x:v>Home &amp; Kitchen</x:v>
      </x:c>
    </x:row>
    <x:row r="1799">
      <x:c r="A1799" s="84" t="str">
        <x:v>ORD-2025-00617</x:v>
      </x:c>
      <x:c r="B1799" s="85" t="n">
        <x:v>45878</x:v>
      </x:c>
      <x:c r="C1799" s="84" t="str">
        <x:v>CUST-0052</x:v>
      </x:c>
      <x:c r="D1799" s="84" t="str">
        <x:v>Elias Adams</x:v>
      </x:c>
      <x:c r="E1799" s="84" t="str">
        <x:v>Consumer</x:v>
      </x:c>
      <x:c r="F1799" s="84" t="str">
        <x:v>Southeast</x:v>
      </x:c>
      <x:c r="G1799" s="84" t="str">
        <x:v>Atlanta</x:v>
      </x:c>
      <x:c r="H1799" s="84" t="str">
        <x:v>Retail Store</x:v>
      </x:c>
      <x:c r="I1799" s="84" t="str">
        <x:v>HOME-005</x:v>
      </x:c>
      <x:c r="J1799" s="86" t="n">
        <x:v>1</x:v>
      </x:c>
      <x:c r="K1799" s="87" t="n">
        <x:v>0.1</x:v>
      </x:c>
      <x:c r="L1799" s="84" t="str">
        <x:v> COMPLETED </x:v>
      </x:c>
      <x:c r="M1799" s="84" t="str">
        <x:v>Credit Card</x:v>
      </x:c>
      <x:c r="N1799" s="84" t="str">
        <x:v>Noah Reed</x:v>
      </x:c>
      <x:c r="O1799" s="85" t="n">
        <x:v>45878</x:v>
      </x:c>
      <x:c r="P1799" s="84" t="str">
        <x:v>POS_2025_08</x:v>
      </x:c>
      <x:c r="Q1799" s="84" t="str">
        <x:v>Cordless Vacuum </x:v>
      </x:c>
      <x:c r="R1799" s="84" t="str">
        <x:v>Home &amp; Kitchen</x:v>
      </x:c>
    </x:row>
    <x:row r="1800">
      <x:c r="A1800" s="84" t="str">
        <x:v>ORD-2025-00716</x:v>
      </x:c>
      <x:c r="B1800" s="85" t="n">
        <x:v>45878</x:v>
      </x:c>
      <x:c r="C1800" s="84" t="str">
        <x:v>CUST-0185</x:v>
      </x:c>
      <x:c r="D1800" s="84" t="str">
        <x:v>Caleb Foster</x:v>
      </x:c>
      <x:c r="E1800" s="84" t="str">
        <x:v>Corporate</x:v>
      </x:c>
      <x:c r="F1800" s="84" t="str">
        <x:v>Midwest</x:v>
      </x:c>
      <x:c r="G1800" s="84" t="str">
        <x:v>Minneapolis</x:v>
      </x:c>
      <x:c r="H1800" s="84" t="str">
        <x:v>Retail Store</x:v>
      </x:c>
      <x:c r="I1800" s="84" t="str">
        <x:v>CARE-002</x:v>
      </x:c>
      <x:c r="J1800" s="86" t="n">
        <x:v>5</x:v>
      </x:c>
      <x:c r="K1800" s="87" t="n">
        <x:v>0</x:v>
      </x:c>
      <x:c r="L1800" s="84" t="str">
        <x:v>Completed</x:v>
      </x:c>
      <x:c r="M1800" s="84" t="str">
        <x:v>Credit Card</x:v>
      </x:c>
      <x:c r="N1800" s="84" t="str">
        <x:v>Lucas Grant</x:v>
      </x:c>
      <x:c r="O1800" s="85" t="n">
        <x:v>45879</x:v>
      </x:c>
      <x:c r="P1800" s="84" t="str">
        <x:v>POS_2025_08</x:v>
      </x:c>
      <x:c r="Q1800" s="84" t="str">
        <x:v>Rechargeable Trimmer</x:v>
      </x:c>
      <x:c r="R1800" s="84" t="str">
        <x:v>Personal Care </x:v>
      </x:c>
    </x:row>
    <x:row r="1801">
      <x:c r="A1801" s="84" t="str">
        <x:v>ORD-2025-00857</x:v>
      </x:c>
      <x:c r="B1801" s="85" t="n">
        <x:v>45878</x:v>
      </x:c>
      <x:c r="C1801" s="84" t="str">
        <x:v>CUST-0495</x:v>
      </x:c>
      <x:c r="D1801" s="84" t="str">
        <x:v>Victoria Walker</x:v>
      </x:c>
      <x:c r="E1801" s="84" t="str">
        <x:v>Consumer</x:v>
      </x:c>
      <x:c r="F1801" s="84" t="str">
        <x:v>West</x:v>
      </x:c>
      <x:c r="G1801" s="84" t="str">
        <x:v>Denver</x:v>
      </x:c>
      <x:c r="H1801" s="84" t="str">
        <x:v>Retail Store </x:v>
      </x:c>
      <x:c r="I1801" s="84" t="str">
        <x:v>ACCS-005</x:v>
      </x:c>
      <x:c r="J1801" s="86" t="n">
        <x:v>1</x:v>
      </x:c>
      <x:c r="K1801" s="87" t="n">
        <x:v>0.15</x:v>
      </x:c>
      <x:c r="L1801" s="84" t="str">
        <x:v>Completed</x:v>
      </x:c>
      <x:c r="M1801" s="84" t="str">
        <x:v>credit card</x:v>
      </x:c>
      <x:c r="N1801" s="84" t="str">
        <x:v>Mia Chen</x:v>
      </x:c>
      <x:c r="O1801" s="85" t="n">
        <x:v>45878</x:v>
      </x:c>
      <x:c r="P1801" s="84" t="str">
        <x:v>POS_2025_08</x:v>
      </x:c>
      <x:c r="Q1801" s="84" t="str">
        <x:v>Protective Phone Case</x:v>
      </x:c>
      <x:c r="R1801" s="84" t="str">
        <x:v>Accessories</x:v>
      </x:c>
    </x:row>
    <x:row r="1802">
      <x:c r="A1802" s="84" t="str">
        <x:v>ORD-2025-01793</x:v>
      </x:c>
      <x:c r="B1802" s="85" t="n">
        <x:v>45878</x:v>
      </x:c>
      <x:c r="C1802" s="84" t="str">
        <x:v>CUST-0422</x:v>
      </x:c>
      <x:c r="D1802" s="84" t="str">
        <x:v>William Adams</x:v>
      </x:c>
      <x:c r="E1802" s="84" t="str">
        <x:v>consumer</x:v>
      </x:c>
      <x:c r="F1802" s="84" t="str">
        <x:v>Midwest</x:v>
      </x:c>
      <x:c r="G1802" s="84" t="str">
        <x:v>Detroit</x:v>
      </x:c>
      <x:c r="H1802" s="84" t="str">
        <x:v>online</x:v>
      </x:c>
      <x:c r="I1802" s="84" t="str">
        <x:v>FITN-005</x:v>
      </x:c>
      <x:c r="J1802" s="86" t="n">
        <x:v>1</x:v>
      </x:c>
      <x:c r="K1802" s="87" t="n">
        <x:v>0.05</x:v>
      </x:c>
      <x:c r="L1802" s="84" t="str">
        <x:v>Completed</x:v>
      </x:c>
      <x:c r="M1802" s="84" t="str">
        <x:v>Credit Card</x:v>
      </x:c>
      <x:c r="N1802" s="84" t="str">
        <x:v>Lucas Grant</x:v>
      </x:c>
      <x:c r="O1802" s="85" t="n">
        <x:v>45883</x:v>
      </x:c>
      <x:c r="P1802" s="84" t="str">
        <x:v>WEB_2025_08</x:v>
      </x:c>
      <x:c r="Q1802" s="84" t="str">
        <x:v>Sports Water Bottle </x:v>
      </x:c>
      <x:c r="R1802" s="84" t="str">
        <x:v>Fitness</x:v>
      </x:c>
    </x:row>
    <x:row r="1803">
      <x:c r="A1803" s="84" t="str">
        <x:v>ORD-2025-00384</x:v>
      </x:c>
      <x:c r="B1803" s="85" t="n">
        <x:v>45879</x:v>
      </x:c>
      <x:c r="C1803" s="84" t="str">
        <x:v>CUST-0110</x:v>
      </x:c>
      <x:c r="D1803" s="84" t="str">
        <x:v>Chloe Hall</x:v>
      </x:c>
      <x:c r="E1803" s="84" t="str">
        <x:v>Corporate</x:v>
      </x:c>
      <x:c r="F1803" s="84" t="str">
        <x:v>Southeast</x:v>
      </x:c>
      <x:c r="G1803" s="84" t="str">
        <x:v> ATLANTA </x:v>
      </x:c>
      <x:c r="H1803" s="84" t="str">
        <x:v>Retail Store</x:v>
      </x:c>
      <x:c r="I1803" s="84" t="str">
        <x:v>HOME-001</x:v>
      </x:c>
      <x:c r="J1803" s="86" t="n">
        <x:v>8</x:v>
      </x:c>
      <x:c r="K1803" s="87" t="n">
        <x:v>0.05</x:v>
      </x:c>
      <x:c r="L1803" s="84" t="str">
        <x:v>Completed </x:v>
      </x:c>
      <x:c r="M1803" s="84" t="str">
        <x:v>debit card</x:v>
      </x:c>
      <x:c r="N1803" s="84" t="str">
        <x:v>Ava Mitchell</x:v>
      </x:c>
      <x:c r="O1803" s="85" t="n">
        <x:v>45879</x:v>
      </x:c>
      <x:c r="P1803" s="84" t="str">
        <x:v>POS_2025_08</x:v>
      </x:c>
      <x:c r="Q1803" s="84" t="str">
        <x:v>Air Fryer</x:v>
      </x:c>
      <x:c r="R1803" s="84" t="str">
        <x:v>Home &amp; Kitchen</x:v>
      </x:c>
    </x:row>
    <x:row r="1804">
      <x:c r="A1804" s="84" t="str">
        <x:v>ORD-2025-00509</x:v>
      </x:c>
      <x:c r="B1804" s="85" t="n">
        <x:v>45879</x:v>
      </x:c>
      <x:c r="C1804" s="84" t="str">
        <x:v>CUST-0577</x:v>
      </x:c>
      <x:c r="D1804" s="84" t="str">
        <x:v>Grace Young </x:v>
      </x:c>
      <x:c r="E1804" s="84" t="str">
        <x:v>Consumer</x:v>
      </x:c>
      <x:c r="F1804" s="84" t="str">
        <x:v>Southeast</x:v>
      </x:c>
      <x:c r="G1804" s="84" t="str">
        <x:v>Charlotte</x:v>
      </x:c>
      <x:c r="H1804" s="84" t="str">
        <x:v>Retail Store</x:v>
      </x:c>
      <x:c r="I1804" s="84" t="str">
        <x:v>ELEC-002</x:v>
      </x:c>
      <x:c r="J1804" s="86" t="n">
        <x:v>1</x:v>
      </x:c>
      <x:c r="K1804" s="87" t="n">
        <x:v>0.1</x:v>
      </x:c>
      <x:c r="L1804" s="84" t="str">
        <x:v>Completed</x:v>
      </x:c>
      <x:c r="M1804" s="84" t="str">
        <x:v>Debit Card </x:v>
      </x:c>
      <x:c r="N1804" s="84" t="str">
        <x:v>Ava Mitchell</x:v>
      </x:c>
      <x:c r="O1804" s="85" t="n">
        <x:v>45879</x:v>
      </x:c>
      <x:c r="P1804" s="84" t="str">
        <x:v>POS_2025_08</x:v>
      </x:c>
      <x:c r="Q1804" s="84" t="str">
        <x:v>Smartwatch</x:v>
      </x:c>
      <x:c r="R1804" s="84" t="str">
        <x:v>electronics</x:v>
      </x:c>
    </x:row>
    <x:row r="1805">
      <x:c r="A1805" s="84" t="str">
        <x:v>ORD-2025-00755</x:v>
      </x:c>
      <x:c r="B1805" s="85" t="n">
        <x:v>45879</x:v>
      </x:c>
      <x:c r="C1805" s="84" t="str">
        <x:v>CUST-0566</x:v>
      </x:c>
      <x:c r="D1805" s="84" t="str">
        <x:v>jonah quinn</x:v>
      </x:c>
      <x:c r="E1805" s="84" t="str">
        <x:v>Small Business</x:v>
      </x:c>
      <x:c r="F1805" s="84" t="str">
        <x:v>Northeast</x:v>
      </x:c>
      <x:c r="G1805" s="84" t="str">
        <x:v>New York</x:v>
      </x:c>
      <x:c r="H1805" s="84" t="str">
        <x:v>Retail Store</x:v>
      </x:c>
      <x:c r="I1805" s="84" t="str">
        <x:v>OFFC-002</x:v>
      </x:c>
      <x:c r="J1805" s="86" t="n">
        <x:v>1</x:v>
      </x:c>
      <x:c r="K1805" s="87" t="n">
        <x:v>0.05</x:v>
      </x:c>
      <x:c r="L1805" s="84" t="str">
        <x:v>Completed </x:v>
      </x:c>
      <x:c r="M1805" s="84" t="str">
        <x:v>Credit Card</x:v>
      </x:c>
      <x:c r="N1805" s="84" t="str">
        <x:v>Sofia Bennett</x:v>
      </x:c>
      <x:c r="O1805" s="85" t="n">
        <x:v>45880</x:v>
      </x:c>
      <x:c r="P1805" s="84" t="str">
        <x:v>POS_2025_08</x:v>
      </x:c>
      <x:c r="Q1805" s="84" t="str">
        <x:v>Standing Desk</x:v>
      </x:c>
      <x:c r="R1805" s="84" t="str">
        <x:v>Office</x:v>
      </x:c>
    </x:row>
    <x:row r="1806">
      <x:c r="A1806" s="84" t="str">
        <x:v>ORD-2025-02055</x:v>
      </x:c>
      <x:c r="B1806" s="85" t="n">
        <x:v>45879</x:v>
      </x:c>
      <x:c r="C1806" s="84" t="str">
        <x:v>CUST-0638</x:v>
      </x:c>
      <x:c r="D1806" s="84" t="str">
        <x:v>Zara Roberts</x:v>
      </x:c>
      <x:c r="E1806" s="84" t="str">
        <x:v>Consumer</x:v>
      </x:c>
      <x:c r="F1806" s="84" t="str">
        <x:v>Northeast </x:v>
      </x:c>
      <x:c r="G1806" s="84" t="str">
        <x:v>Philadelphia</x:v>
      </x:c>
      <x:c r="H1806" s="84" t="str">
        <x:v>Online</x:v>
      </x:c>
      <x:c r="I1806" s="84" t="str">
        <x:v>OFFC-001</x:v>
      </x:c>
      <x:c r="J1806" s="86" t="n">
        <x:v>2</x:v>
      </x:c>
      <x:c r="K1806" s="87" t="n">
        <x:v>0.1</x:v>
      </x:c>
      <x:c r="L1806" s="84" t="str">
        <x:v>Completed</x:v>
      </x:c>
      <x:c r="M1806" s="84" t="str">
        <x:v>PayPal</x:v>
      </x:c>
      <x:c r="N1806" s="84" t="str">
        <x:v>Maya Brooks </x:v>
      </x:c>
      <x:c r="O1806" s="85" t="n">
        <x:v>45883</x:v>
      </x:c>
      <x:c r="P1806" s="84" t="str">
        <x:v>WEB_2025_08</x:v>
      </x:c>
      <x:c r="Q1806" s="84" t="str">
        <x:v>ergonomic chair</x:v>
      </x:c>
      <x:c r="R1806" s="84" t="str">
        <x:v> OFFICE </x:v>
      </x:c>
    </x:row>
    <x:row r="1807">
      <x:c r="A1807" s="84" t="str">
        <x:v>ORD-2025-02138</x:v>
      </x:c>
      <x:c r="B1807" s="85" t="n">
        <x:v>45879</x:v>
      </x:c>
      <x:c r="C1807" s="84" t="str">
        <x:v>CUST-0105</x:v>
      </x:c>
      <x:c r="D1807" s="84" t="str">
        <x:v>Chloe Ortiz</x:v>
      </x:c>
      <x:c r="E1807" s="84" t="str">
        <x:v>Corporate</x:v>
      </x:c>
      <x:c r="F1807" s="84" t="str">
        <x:v>West</x:v>
      </x:c>
      <x:c r="G1807" s="84" t="str">
        <x:v>phoenix</x:v>
      </x:c>
      <x:c r="H1807" s="84" t="str">
        <x:v>Marketplace </x:v>
      </x:c>
      <x:c r="I1807" s="84" t="str">
        <x:v>FITN-006</x:v>
      </x:c>
      <x:c r="J1807" s="86" t="n">
        <x:v>6</x:v>
      </x:c>
      <x:c r="K1807" s="87" t="n">
        <x:v>0.05</x:v>
      </x:c>
      <x:c r="L1807" s="84" t="str">
        <x:v>completed</x:v>
      </x:c>
      <x:c r="M1807" s="84" t="str">
        <x:v>Credit Card</x:v>
      </x:c>
      <x:c r="N1807" s="84" t="str">
        <x:v>Nora Kim</x:v>
      </x:c>
      <x:c r="O1807" s="85" t="n">
        <x:v>45885</x:v>
      </x:c>
      <x:c r="P1807" s="84" t="str">
        <x:v>MKT_2025_08</x:v>
      </x:c>
      <x:c r="Q1807" s="84" t="str">
        <x:v>Foam Roller</x:v>
      </x:c>
      <x:c r="R1807" s="84" t="str">
        <x:v>Fitness</x:v>
      </x:c>
    </x:row>
    <x:row r="1808">
      <x:c r="A1808" s="84" t="str">
        <x:v>ORD-2025-00220</x:v>
      </x:c>
      <x:c r="B1808" s="85" t="n">
        <x:v>45880</x:v>
      </x:c>
      <x:c r="C1808" s="84" t="str">
        <x:v>CUST-0492</x:v>
      </x:c>
      <x:c r="D1808" s="84" t="str">
        <x:v>Jonah Garcia</x:v>
      </x:c>
      <x:c r="E1808" s="84" t="str">
        <x:v>small business</x:v>
      </x:c>
      <x:c r="F1808" s="84" t="str">
        <x:v>Southeast</x:v>
      </x:c>
      <x:c r="G1808" s="84" t="str">
        <x:v>Charlotte</x:v>
      </x:c>
      <x:c r="H1808" s="84" t="str">
        <x:v>retail store</x:v>
      </x:c>
      <x:c r="I1808" s="84" t="str">
        <x:v>ELEC-006</x:v>
      </x:c>
      <x:c r="J1808" s="86" t="n">
        <x:v>1</x:v>
      </x:c>
      <x:c r="K1808" s="87" t="n">
        <x:v>0.1</x:v>
      </x:c>
      <x:c r="L1808" s="84" t="str">
        <x:v>Completed</x:v>
      </x:c>
      <x:c r="M1808" s="84" t="str">
        <x:v>Credit Card</x:v>
      </x:c>
      <x:c r="N1808" s="84" t="str">
        <x:v>Noah Reed</x:v>
      </x:c>
      <x:c r="O1808" s="85" t="n">
        <x:v>45880</x:v>
      </x:c>
      <x:c r="P1808" s="84" t="str">
        <x:v>POS_2025_08</x:v>
      </x:c>
      <x:c r="Q1808" s="84" t="str">
        <x:v>Portable SSD</x:v>
      </x:c>
      <x:c r="R1808" s="84" t="str">
        <x:v>Electronics</x:v>
      </x:c>
    </x:row>
    <x:row r="1809">
      <x:c r="A1809" s="84" t="str">
        <x:v>ORD-2025-01088</x:v>
      </x:c>
      <x:c r="B1809" s="85" t="n">
        <x:v>45880</x:v>
      </x:c>
      <x:c r="C1809" s="84" t="str">
        <x:v>CUST-0387</x:v>
      </x:c>
      <x:c r="D1809" s="84" t="str">
        <x:v>Samuel Evans</x:v>
      </x:c>
      <x:c r="E1809" s="84" t="str">
        <x:v> SMALL BUSINESS </x:v>
      </x:c>
      <x:c r="F1809" s="84" t="str">
        <x:v>West</x:v>
      </x:c>
      <x:c r="G1809" s="84" t="str">
        <x:v>Denver</x:v>
      </x:c>
      <x:c r="H1809" s="84" t="str">
        <x:v>Online </x:v>
      </x:c>
      <x:c r="I1809" s="84" t="str">
        <x:v>FITN-003</x:v>
      </x:c>
      <x:c r="J1809" s="86" t="n">
        <x:v>1</x:v>
      </x:c>
      <x:c r="K1809" s="87" t="n">
        <x:v>0</x:v>
      </x:c>
      <x:c r="L1809" s="84" t="str">
        <x:v>Returned</x:v>
      </x:c>
      <x:c r="M1809" s="84" t="str">
        <x:v>paypal</x:v>
      </x:c>
      <x:c r="N1809" s="84" t="str">
        <x:v>Nora Kim</x:v>
      </x:c>
      <x:c r="O1809" s="85" t="n">
        <x:v>45883</x:v>
      </x:c>
      <x:c r="P1809" s="84" t="str">
        <x:v>WEB_2025_08</x:v>
      </x:c>
      <x:c r="Q1809" s="84" t="str">
        <x:v>Resistance Band Set</x:v>
      </x:c>
      <x:c r="R1809" s="84" t="str">
        <x:v>Fitness</x:v>
      </x:c>
    </x:row>
    <x:row r="1810">
      <x:c r="A1810" s="84" t="str">
        <x:v>ORD-2025-01299</x:v>
      </x:c>
      <x:c r="B1810" s="85" t="n">
        <x:v>45880</x:v>
      </x:c>
      <x:c r="C1810" s="84" t="str">
        <x:v>CUST-0396</x:v>
      </x:c>
      <x:c r="D1810" s="84" t="str">
        <x:v>Victoria Carter</x:v>
      </x:c>
      <x:c r="E1810" s="84" t="str">
        <x:v>Consumer</x:v>
      </x:c>
      <x:c r="F1810" s="84" t="str">
        <x:v>Southeast </x:v>
      </x:c>
      <x:c r="G1810" s="84" t="str">
        <x:v>Nashville</x:v>
      </x:c>
      <x:c r="H1810" s="84" t="str">
        <x:v>Retail Store</x:v>
      </x:c>
      <x:c r="I1810" s="84" t="str">
        <x:v>CARE-003</x:v>
      </x:c>
      <x:c r="J1810" s="86" t="n">
        <x:v>1</x:v>
      </x:c>
      <x:c r="K1810" s="87" t="n">
        <x:v>0.1</x:v>
      </x:c>
      <x:c r="L1810" s="84" t="str">
        <x:v>Completed</x:v>
      </x:c>
      <x:c r="M1810" s="84" t="str">
        <x:v>Cash</x:v>
      </x:c>
      <x:c r="N1810" s="84" t="str">
        <x:v>Liam Parker </x:v>
      </x:c>
      <x:c r="O1810" s="85" t="n">
        <x:v>45881</x:v>
      </x:c>
      <x:c r="P1810" s="84" t="str">
        <x:v>POS_2025_08</x:v>
      </x:c>
      <x:c r="Q1810" s="84" t="str">
        <x:v>Facial Cleanser</x:v>
      </x:c>
      <x:c r="R1810" s="84" t="str">
        <x:v>Personal Care</x:v>
      </x:c>
    </x:row>
    <x:row r="1811">
      <x:c r="A1811" s="84" t="str">
        <x:v>ORD-2025-00016</x:v>
      </x:c>
      <x:c r="B1811" s="85" t="n">
        <x:v>45881</x:v>
      </x:c>
      <x:c r="C1811" s="84" t="str">
        <x:v>CUST-0590</x:v>
      </x:c>
      <x:c r="D1811" s="84" t="str">
        <x:v>Theo Young</x:v>
      </x:c>
      <x:c r="E1811" s="84" t="str">
        <x:v>Consumer</x:v>
      </x:c>
      <x:c r="F1811" s="84" t="str">
        <x:v>Southeast</x:v>
      </x:c>
      <x:c r="G1811" s="84" t="str">
        <x:v>Atlanta</x:v>
      </x:c>
      <x:c r="H1811" s="84" t="str">
        <x:v>Online</x:v>
      </x:c>
      <x:c r="I1811" s="84" t="str">
        <x:v>HOME-001</x:v>
      </x:c>
      <x:c r="J1811" s="86" t="n">
        <x:v>1</x:v>
      </x:c>
      <x:c r="K1811" s="87" t="n">
        <x:v>0</x:v>
      </x:c>
      <x:c r="L1811" s="84" t="str">
        <x:v>Completed</x:v>
      </x:c>
      <x:c r="M1811" s="84" t="str">
        <x:v>PayPal</x:v>
      </x:c>
      <x:c r="N1811" s="84" t="str">
        <x:v>Liam Parker</x:v>
      </x:c>
      <x:c r="O1811" s="85" t="n">
        <x:v>45884</x:v>
      </x:c>
      <x:c r="P1811" s="84" t="str">
        <x:v>WEB_2025_08</x:v>
      </x:c>
      <x:c r="Q1811" s="84" t="str">
        <x:v>Air Fryer</x:v>
      </x:c>
      <x:c r="R1811" s="84" t="str">
        <x:v>Home &amp; Kitchen </x:v>
      </x:c>
    </x:row>
    <x:row r="1812">
      <x:c r="A1812" s="84" t="str">
        <x:v>ORD-2025-00347</x:v>
      </x:c>
      <x:c r="B1812" s="85" t="n">
        <x:v>45881</x:v>
      </x:c>
      <x:c r="C1812" s="84" t="str">
        <x:v>CUST-0154</x:v>
      </x:c>
      <x:c r="D1812" s="84" t="str">
        <x:v>Priya Moore</x:v>
      </x:c>
      <x:c r="E1812" s="84" t="str">
        <x:v>Consumer</x:v>
      </x:c>
      <x:c r="F1812" s="84" t="str">
        <x:v>West </x:v>
      </x:c>
      <x:c r="G1812" s="84" t="str">
        <x:v>Denver</x:v>
      </x:c>
      <x:c r="H1812" s="84" t="str">
        <x:v>Marketplace</x:v>
      </x:c>
      <x:c r="I1812" s="84" t="str">
        <x:v>OFFC-005</x:v>
      </x:c>
      <x:c r="J1812" s="86" t="n">
        <x:v>1</x:v>
      </x:c>
      <x:c r="K1812" s="87" t="n">
        <x:v>0.15</x:v>
      </x:c>
      <x:c r="L1812" s="84" t="str">
        <x:v>Completed</x:v>
      </x:c>
      <x:c r="M1812" s="84" t="str">
        <x:v>PayPal</x:v>
      </x:c>
      <x:c r="N1812" s="84" t="str">
        <x:v>Leo Martinez </x:v>
      </x:c>
      <x:c r="O1812" s="85" t="n">
        <x:v>45887</x:v>
      </x:c>
      <x:c r="P1812" s="84" t="str">
        <x:v>MKT_2025_08</x:v>
      </x:c>
      <x:c r="Q1812" s="84" t="str">
        <x:v>Wireless Keyboard</x:v>
      </x:c>
      <x:c r="R1812" s="84" t="str">
        <x:v>Office</x:v>
      </x:c>
    </x:row>
    <x:row r="1813">
      <x:c r="A1813" s="84" t="str">
        <x:v>ORD-2025-01989</x:v>
      </x:c>
      <x:c r="B1813" s="85" t="n">
        <x:v>45881</x:v>
      </x:c>
      <x:c r="C1813" s="84" t="str">
        <x:v>CUST-0082</x:v>
      </x:c>
      <x:c r="D1813" s="84" t="str">
        <x:v>Isaac Patel</x:v>
      </x:c>
      <x:c r="E1813" s="84" t="str">
        <x:v> SMALL BUSINESS </x:v>
      </x:c>
      <x:c r="F1813" s="84" t="str">
        <x:v>West</x:v>
      </x:c>
      <x:c r="G1813" s="84" t="str">
        <x:v>Denver</x:v>
      </x:c>
      <x:c r="H1813" s="84" t="str">
        <x:v>Online</x:v>
      </x:c>
      <x:c r="I1813" s="84" t="str">
        <x:v>FITN-002</x:v>
      </x:c>
      <x:c r="J1813" s="86" t="n">
        <x:v>1</x:v>
      </x:c>
      <x:c r="K1813" s="87" t="n">
        <x:v>0.1</x:v>
      </x:c>
      <x:c r="L1813" s="84" t="str">
        <x:v>Completed</x:v>
      </x:c>
      <x:c r="M1813" s="84" t="str">
        <x:v>Credit Card</x:v>
      </x:c>
      <x:c r="N1813" s="84" t="str">
        <x:v>Mia Chen</x:v>
      </x:c>
      <x:c r="O1813" s="85" t="n">
        <x:v>45884</x:v>
      </x:c>
      <x:c r="P1813" s="84" t="str">
        <x:v>WEB_2025_08</x:v>
      </x:c>
      <x:c r="Q1813" s="84" t="str">
        <x:v>adjustable dumbbell set</x:v>
      </x:c>
      <x:c r="R1813" s="84" t="str">
        <x:v>Fitness</x:v>
      </x:c>
    </x:row>
    <x:row r="1814">
      <x:c r="A1814" s="84" t="str">
        <x:v>ORD-2025-00185</x:v>
      </x:c>
      <x:c r="B1814" s="85" t="n">
        <x:v>45882</x:v>
      </x:c>
      <x:c r="C1814" s="84" t="str">
        <x:v>CUST-0377</x:v>
      </x:c>
      <x:c r="D1814" s="84" t="str">
        <x:v>Owen Adams</x:v>
      </x:c>
      <x:c r="E1814" s="84" t="str">
        <x:v>Consumer</x:v>
      </x:c>
      <x:c r="F1814" s="84" t="str">
        <x:v>Northeast</x:v>
      </x:c>
      <x:c r="G1814" s="84" t="str">
        <x:v>Boston</x:v>
      </x:c>
      <x:c r="H1814" s="84" t="str">
        <x:v>Online </x:v>
      </x:c>
      <x:c r="I1814" s="84" t="str">
        <x:v>ELEC-001</x:v>
      </x:c>
      <x:c r="J1814" s="86" t="n">
        <x:v>1</x:v>
      </x:c>
      <x:c r="K1814" s="87" t="n">
        <x:v>0.1</x:v>
      </x:c>
      <x:c r="L1814" s="84" t="str">
        <x:v>Completed</x:v>
      </x:c>
      <x:c r="M1814" s="84" t="str">
        <x:v>Credit Card</x:v>
      </x:c>
      <x:c r="N1814" s="84" t="str">
        <x:v>Ethan Cole</x:v>
      </x:c>
      <x:c r="O1814" s="85" t="n">
        <x:v>45884</x:v>
      </x:c>
      <x:c r="P1814" s="84" t="str">
        <x:v>WEB_2025_08</x:v>
      </x:c>
      <x:c r="Q1814" s="84" t="str">
        <x:v>wireless earbuds</x:v>
      </x:c>
      <x:c r="R1814" s="84" t="str">
        <x:v> ELECTRONICS </x:v>
      </x:c>
    </x:row>
    <x:row r="1815">
      <x:c r="A1815" s="84" t="str">
        <x:v>ORD-2025-01804</x:v>
      </x:c>
      <x:c r="B1815" s="85" t="n">
        <x:v>45882</x:v>
      </x:c>
      <x:c r="C1815" s="84" t="str">
        <x:v>CUST-0205</x:v>
      </x:c>
      <x:c r="D1815" s="84" t="str">
        <x:v>Elena Young </x:v>
      </x:c>
      <x:c r="E1815" s="84" t="str">
        <x:v>corporate</x:v>
      </x:c>
      <x:c r="F1815" s="84" t="str">
        <x:v>West</x:v>
      </x:c>
      <x:c r="G1815" s="84" t="str">
        <x:v>Denver</x:v>
      </x:c>
      <x:c r="H1815" s="84" t="str">
        <x:v>retail store</x:v>
      </x:c>
      <x:c r="I1815" s="84" t="str">
        <x:v>ACCS-003</x:v>
      </x:c>
      <x:c r="J1815" s="86" t="n">
        <x:v>3</x:v>
      </x:c>
      <x:c r="K1815" s="87" t="n">
        <x:v>0.1</x:v>
      </x:c>
      <x:c r="L1815" s="84" t="str">
        <x:v>Completed</x:v>
      </x:c>
      <x:c r="M1815" s="84" t="str">
        <x:v>Credit Card </x:v>
      </x:c>
      <x:c r="N1815" s="84" t="str">
        <x:v>Leo Martinez</x:v>
      </x:c>
      <x:c r="O1815" s="85" t="n">
        <x:v>45882</x:v>
      </x:c>
      <x:c r="P1815" s="84" t="str">
        <x:v>POS_2025_08</x:v>
      </x:c>
      <x:c r="Q1815" s="84" t="str">
        <x:v>Polarized Sunglasses</x:v>
      </x:c>
      <x:c r="R1815" s="84" t="str">
        <x:v>Accessories</x:v>
      </x:c>
    </x:row>
    <x:row r="1816">
      <x:c r="A1816" s="84" t="str">
        <x:v>ORD-2025-02369</x:v>
      </x:c>
      <x:c r="B1816" s="85" t="n">
        <x:v>45882</x:v>
      </x:c>
      <x:c r="C1816" s="84" t="str">
        <x:v>CUST-0151</x:v>
      </x:c>
      <x:c r="D1816" s="84" t="str">
        <x:v>Theo Davis</x:v>
      </x:c>
      <x:c r="E1816" s="84" t="str">
        <x:v>Small Business</x:v>
      </x:c>
      <x:c r="F1816" s="84" t="str">
        <x:v>Southeast</x:v>
      </x:c>
      <x:c r="G1816" s="84" t="str">
        <x:v>nashville</x:v>
      </x:c>
      <x:c r="H1816" s="84" t="str">
        <x:v> ONLINE </x:v>
      </x:c>
      <x:c r="I1816" s="84" t="str">
        <x:v>CARE-005</x:v>
      </x:c>
      <x:c r="J1816" s="86" t="n">
        <x:v>2</x:v>
      </x:c>
      <x:c r="K1816" s="87" t="n">
        <x:v>0.1</x:v>
      </x:c>
      <x:c r="L1816" s="84" t="str">
        <x:v>completed</x:v>
      </x:c>
      <x:c r="M1816" s="84" t="str">
        <x:v>Debit Card</x:v>
      </x:c>
      <x:c r="N1816" s="84" t="str">
        <x:v>Noah Reed</x:v>
      </x:c>
      <x:c r="O1816" s="85" t="n">
        <x:v>45885</x:v>
      </x:c>
      <x:c r="P1816" s="84" t="str">
        <x:v>WEB_2025_08</x:v>
      </x:c>
      <x:c r="Q1816" s="84" t="str">
        <x:v>Skin Care Starter Kit</x:v>
      </x:c>
      <x:c r="R1816" s="84" t="str">
        <x:v>Personal Care</x:v>
      </x:c>
    </x:row>
    <x:row r="1817">
      <x:c r="A1817" s="84" t="str">
        <x:v>ORD-2025-00283</x:v>
      </x:c>
      <x:c r="B1817" s="85" t="n">
        <x:v>45883</x:v>
      </x:c>
      <x:c r="C1817" s="84" t="str">
        <x:v>CUST-0051</x:v>
      </x:c>
      <x:c r="D1817" s="84" t="str">
        <x:v>Marcus Moore</x:v>
      </x:c>
      <x:c r="E1817" s="84" t="str">
        <x:v>Consumer</x:v>
      </x:c>
      <x:c r="F1817" s="84" t="str">
        <x:v>west</x:v>
      </x:c>
      <x:c r="G1817" s="84" t="str">
        <x:v>Seattle</x:v>
      </x:c>
      <x:c r="H1817" s="84" t="str">
        <x:v>Online </x:v>
      </x:c>
      <x:c r="I1817" s="84" t="str">
        <x:v>HOME-006</x:v>
      </x:c>
      <x:c r="J1817" s="86" t="n">
        <x:v>1</x:v>
      </x:c>
      <x:c r="K1817" s="87" t="n">
        <x:v>0.05</x:v>
      </x:c>
      <x:c r="L1817" s="84" t="str">
        <x:v>Completed</x:v>
      </x:c>
      <x:c r="M1817" s="84" t="str">
        <x:v> CREDIT CARD </x:v>
      </x:c>
      <x:c r="N1817" s="84" t="str">
        <x:v>Mia Chen</x:v>
      </x:c>
      <x:c r="O1817" s="85" t="n">
        <x:v>45886</x:v>
      </x:c>
      <x:c r="P1817" s="84" t="str">
        <x:v>WEB_2025_08</x:v>
      </x:c>
      <x:c r="Q1817" s="84" t="str">
        <x:v>Food Storage Set</x:v>
      </x:c>
      <x:c r="R1817" s="84" t="str">
        <x:v>Home &amp; Kitchen</x:v>
      </x:c>
    </x:row>
    <x:row r="1818">
      <x:c r="A1818" s="84" t="str">
        <x:v>ORD-2025-00638</x:v>
      </x:c>
      <x:c r="B1818" s="85" t="n">
        <x:v>45883</x:v>
      </x:c>
      <x:c r="C1818" s="84" t="str">
        <x:v>CUST-0429</x:v>
      </x:c>
      <x:c r="D1818" s="84" t="str">
        <x:v>Maya Smith</x:v>
      </x:c>
      <x:c r="E1818" s="84" t="str">
        <x:v>small business</x:v>
      </x:c>
      <x:c r="F1818" s="84" t="str">
        <x:v>West</x:v>
      </x:c>
      <x:c r="G1818" s="84" t="str">
        <x:v>Los Angeles</x:v>
      </x:c>
      <x:c r="H1818" s="84" t="str">
        <x:v>retail store</x:v>
      </x:c>
      <x:c r="I1818" s="84" t="str">
        <x:v>ELEC-002</x:v>
      </x:c>
      <x:c r="J1818" s="86" t="n">
        <x:v>1</x:v>
      </x:c>
      <x:c r="K1818" s="87" t="n">
        <x:v>0</x:v>
      </x:c>
      <x:c r="L1818" s="84" t="str">
        <x:v>Completed</x:v>
      </x:c>
      <x:c r="M1818" s="84" t="str">
        <x:v>Credit Card</x:v>
      </x:c>
      <x:c r="N1818" s="84" t="str">
        <x:v>Leo Martinez</x:v>
      </x:c>
      <x:c r="O1818" s="85" t="n">
        <x:v>45883</x:v>
      </x:c>
      <x:c r="P1818" s="84" t="str">
        <x:v>POS_2025_08</x:v>
      </x:c>
      <x:c r="Q1818" s="84" t="str">
        <x:v>Smartwatch </x:v>
      </x:c>
      <x:c r="R1818" s="84" t="str">
        <x:v>Electronics</x:v>
      </x:c>
    </x:row>
    <x:row r="1819">
      <x:c r="A1819" s="84" t="str">
        <x:v>ORD-2025-01004</x:v>
      </x:c>
      <x:c r="B1819" s="85" t="n">
        <x:v>45883</x:v>
      </x:c>
      <x:c r="C1819" s="84" t="str">
        <x:v>CUST-0035</x:v>
      </x:c>
      <x:c r="D1819" s="84" t="str">
        <x:v>Nathan Ortiz</x:v>
      </x:c>
      <x:c r="E1819" s="84" t="str">
        <x:v>Corporate</x:v>
      </x:c>
      <x:c r="F1819" s="84" t="str">
        <x:v>Southeast</x:v>
      </x:c>
      <x:c r="G1819" s="84" t="str">
        <x:v>Charlotte</x:v>
      </x:c>
      <x:c r="H1819" s="84" t="str">
        <x:v>Retail Store </x:v>
      </x:c>
      <x:c r="I1819" s="84" t="str">
        <x:v>FITN-005</x:v>
      </x:c>
      <x:c r="J1819" s="86" t="n">
        <x:v>6</x:v>
      </x:c>
      <x:c r="K1819" s="87" t="n">
        <x:v>0.1</x:v>
      </x:c>
      <x:c r="L1819" s="84" t="str">
        <x:v>Completed</x:v>
      </x:c>
      <x:c r="M1819" s="84" t="str">
        <x:v>Credit Card</x:v>
      </x:c>
      <x:c r="N1819" s="84" t="str">
        <x:v>Noah Reed</x:v>
      </x:c>
      <x:c r="O1819" s="85" t="n">
        <x:v>45883</x:v>
      </x:c>
      <x:c r="P1819" s="84" t="str">
        <x:v>POS_2025_08</x:v>
      </x:c>
      <x:c r="Q1819" s="84" t="str">
        <x:v>Sports Water Bottle</x:v>
      </x:c>
      <x:c r="R1819" s="84" t="str">
        <x:v>fitness</x:v>
      </x:c>
    </x:row>
    <x:row r="1820">
      <x:c r="A1820" s="84" t="str">
        <x:v>ORD-2025-02012</x:v>
      </x:c>
      <x:c r="B1820" s="85" t="n">
        <x:v>45883</x:v>
      </x:c>
      <x:c r="C1820" s="84" t="str">
        <x:v>CUST-0565</x:v>
      </x:c>
      <x:c r="D1820" s="84" t="str">
        <x:v>Nathan Taylor</x:v>
      </x:c>
      <x:c r="E1820" s="84" t="str">
        <x:v>Consumer</x:v>
      </x:c>
      <x:c r="F1820" s="84" t="str">
        <x:v>West</x:v>
      </x:c>
      <x:c r="G1820" s="84" t="str">
        <x:v>Phoenix</x:v>
      </x:c>
      <x:c r="H1820" s="84" t="str">
        <x:v> MARKETPLACE </x:v>
      </x:c>
      <x:c r="I1820" s="84" t="str">
        <x:v>FITN-002</x:v>
      </x:c>
      <x:c r="J1820" s="86" t="n">
        <x:v>1</x:v>
      </x:c>
      <x:c r="K1820" s="87" t="n">
        <x:v>0.1</x:v>
      </x:c>
      <x:c r="L1820" s="84" t="str">
        <x:v>Completed</x:v>
      </x:c>
      <x:c r="M1820" s="84" t="str">
        <x:v>credit card</x:v>
      </x:c>
      <x:c r="N1820" s="84" t="str">
        <x:v>Leo Martinez</x:v>
      </x:c>
      <x:c r="O1820" s="85" t="n">
        <x:v>45886</x:v>
      </x:c>
      <x:c r="P1820" s="84" t="str">
        <x:v>MKT_2025_08</x:v>
      </x:c>
      <x:c r="Q1820" s="84" t="str">
        <x:v>Adjustable Dumbbell Set</x:v>
      </x:c>
      <x:c r="R1820" s="84" t="str">
        <x:v>Fitness</x:v>
      </x:c>
    </x:row>
    <x:row r="1821">
      <x:c r="A1821" s="84" t="str">
        <x:v>ORD-2025-00030</x:v>
      </x:c>
      <x:c r="B1821" s="85" t="n">
        <x:v>45884</x:v>
      </x:c>
      <x:c r="C1821" s="84" t="str">
        <x:v>CUST-0371</x:v>
      </x:c>
      <x:c r="D1821" s="84" t="str">
        <x:v>Sara Moore</x:v>
      </x:c>
      <x:c r="E1821" s="84" t="str">
        <x:v>Small Business</x:v>
      </x:c>
      <x:c r="F1821" s="84" t="str">
        <x:v>west</x:v>
      </x:c>
      <x:c r="G1821" s="84" t="str">
        <x:v>Seattle</x:v>
      </x:c>
      <x:c r="H1821" s="84" t="str">
        <x:v>Online</x:v>
      </x:c>
      <x:c r="I1821" s="84" t="str">
        <x:v>FITN-002</x:v>
      </x:c>
      <x:c r="J1821" s="86" t="n">
        <x:v>1</x:v>
      </x:c>
      <x:c r="K1821" s="87" t="n">
        <x:v>0.15</x:v>
      </x:c>
      <x:c r="L1821" s="84" t="str">
        <x:v>Completed</x:v>
      </x:c>
      <x:c r="M1821" s="84" t="str">
        <x:v>Credit Card</x:v>
      </x:c>
      <x:c r="N1821" s="84" t="str">
        <x:v>Mia Chen</x:v>
      </x:c>
      <x:c r="O1821" s="85" t="n">
        <x:v>45889</x:v>
      </x:c>
      <x:c r="P1821" s="84" t="str">
        <x:v>WEB_2025_08</x:v>
      </x:c>
      <x:c r="Q1821" s="84" t="str">
        <x:v>Adjustable Dumbbell Set</x:v>
      </x:c>
      <x:c r="R1821" s="84" t="str">
        <x:v>Fitness </x:v>
      </x:c>
    </x:row>
    <x:row r="1822">
      <x:c r="A1822" s="84" t="str">
        <x:v>ORD-2025-01392</x:v>
      </x:c>
      <x:c r="B1822" s="85" t="n">
        <x:v>45884</x:v>
      </x:c>
      <x:c r="C1822" s="84" t="str">
        <x:v>CUST-0560</x:v>
      </x:c>
      <x:c r="D1822" s="84" t="str">
        <x:v>Sara Khan</x:v>
      </x:c>
      <x:c r="E1822" s="84" t="str">
        <x:v>Consumer</x:v>
      </x:c>
      <x:c r="F1822" s="84" t="str">
        <x:v>Northeast</x:v>
      </x:c>
      <x:c r="G1822" s="84" t="str">
        <x:v>Philadelphia</x:v>
      </x:c>
      <x:c r="H1822" s="84" t="str">
        <x:v>Marketplace</x:v>
      </x:c>
      <x:c r="I1822" s="84" t="str">
        <x:v>FITN-004</x:v>
      </x:c>
      <x:c r="J1822" s="86" t="n">
        <x:v>1</x:v>
      </x:c>
      <x:c r="K1822" s="87" t="n">
        <x:v>0.1</x:v>
      </x:c>
      <x:c r="L1822" s="84" t="str">
        <x:v>Completed </x:v>
      </x:c>
      <x:c r="M1822" s="84" t="str">
        <x:v>Credit Card</x:v>
      </x:c>
      <x:c r="N1822" s="84" t="str">
        <x:v>Sofia Bennett</x:v>
      </x:c>
      <x:c r="O1822" s="85" t="n">
        <x:v>45890</x:v>
      </x:c>
      <x:c r="P1822" s="84" t="str">
        <x:v>MKT_2025_08</x:v>
      </x:c>
      <x:c r="Q1822" s="84" t="str">
        <x:v>Fitness Tracker</x:v>
      </x:c>
      <x:c r="R1822" s="84" t="str">
        <x:v> FITNESS </x:v>
      </x:c>
    </x:row>
    <x:row r="1823">
      <x:c r="A1823" s="84" t="str">
        <x:v>ORD-2025-01472</x:v>
      </x:c>
      <x:c r="B1823" s="85" t="n">
        <x:v>45884</x:v>
      </x:c>
      <x:c r="C1823" s="84" t="str">
        <x:v>CUST-0381</x:v>
      </x:c>
      <x:c r="D1823" s="84" t="str">
        <x:v>William Lewis</x:v>
      </x:c>
      <x:c r="E1823" s="84" t="str">
        <x:v>Corporate</x:v>
      </x:c>
      <x:c r="F1823" s="84" t="str">
        <x:v>Midwest</x:v>
      </x:c>
      <x:c r="G1823" s="84" t="str">
        <x:v> COLUMBUS </x:v>
      </x:c>
      <x:c r="H1823" s="84" t="str">
        <x:v>Marketplace</x:v>
      </x:c>
      <x:c r="I1823" s="84" t="str">
        <x:v>CARE-001</x:v>
      </x:c>
      <x:c r="J1823" s="86" t="n">
        <x:v>5</x:v>
      </x:c>
      <x:c r="K1823" s="87" t="n">
        <x:v>0.15</x:v>
      </x:c>
      <x:c r="L1823" s="84" t="str">
        <x:v>Completed</x:v>
      </x:c>
      <x:c r="M1823" s="84" t="str">
        <x:v>Debit Card</x:v>
      </x:c>
      <x:c r="N1823" s="84" t="str">
        <x:v>Lucas Grant</x:v>
      </x:c>
      <x:c r="O1823" s="85" t="n">
        <x:v>45888</x:v>
      </x:c>
      <x:c r="P1823" s="84" t="str">
        <x:v>MKT_2025_08</x:v>
      </x:c>
      <x:c r="Q1823" s="84" t="str">
        <x:v>ionic hair dryer</x:v>
      </x:c>
      <x:c r="R1823" s="84" t="str">
        <x:v>Personal Care </x:v>
      </x:c>
    </x:row>
    <x:row r="1824">
      <x:c r="A1824" s="84" t="str">
        <x:v>ORD-2025-00096</x:v>
      </x:c>
      <x:c r="B1824" s="85" t="n">
        <x:v>45885</x:v>
      </x:c>
      <x:c r="C1824" s="84" t="str">
        <x:v>CUST-0469</x:v>
      </x:c>
      <x:c r="D1824" s="84" t="str">
        <x:v>Layla Evans </x:v>
      </x:c>
      <x:c r="E1824" s="84" t="str">
        <x:v>Corporate</x:v>
      </x:c>
      <x:c r="F1824" s="84" t="str">
        <x:v>midwest</x:v>
      </x:c>
      <x:c r="G1824" s="84" t="str">
        <x:v>Minneapolis</x:v>
      </x:c>
      <x:c r="H1824" s="84" t="str">
        <x:v>Retail Store</x:v>
      </x:c>
      <x:c r="I1824" s="84" t="str">
        <x:v>OFFC-005</x:v>
      </x:c>
      <x:c r="J1824" s="86" t="n">
        <x:v>6</x:v>
      </x:c>
      <x:c r="K1824" s="87" t="n">
        <x:v>0.05</x:v>
      </x:c>
      <x:c r="L1824" s="84" t="str">
        <x:v>Completed</x:v>
      </x:c>
      <x:c r="M1824" s="84" t="str">
        <x:v> CREDIT CARD </x:v>
      </x:c>
      <x:c r="N1824" s="84" t="str">
        <x:v>Lucas Grant</x:v>
      </x:c>
      <x:c r="O1824" s="85" t="n">
        <x:v>45885</x:v>
      </x:c>
      <x:c r="P1824" s="84" t="str">
        <x:v>POS_2025_08</x:v>
      </x:c>
      <x:c r="Q1824" s="84" t="str">
        <x:v>Wireless Keyboard</x:v>
      </x:c>
      <x:c r="R1824" s="84" t="str">
        <x:v>Office</x:v>
      </x:c>
    </x:row>
    <x:row r="1825">
      <x:c r="A1825" s="84" t="str">
        <x:v>ORD-2025-00192</x:v>
      </x:c>
      <x:c r="B1825" s="85" t="n">
        <x:v>45885</x:v>
      </x:c>
      <x:c r="C1825" s="84" t="str">
        <x:v>CUST-0244</x:v>
      </x:c>
      <x:c r="D1825" s="84" t="str">
        <x:v>Caleb Nelson</x:v>
      </x:c>
      <x:c r="E1825" s="84" t="str">
        <x:v>Small Business</x:v>
      </x:c>
      <x:c r="F1825" s="84" t="str">
        <x:v>Midwest</x:v>
      </x:c>
      <x:c r="G1825" s="84" t="str">
        <x:v>Detroit</x:v>
      </x:c>
      <x:c r="H1825" s="84" t="str">
        <x:v>Online </x:v>
      </x:c>
      <x:c r="I1825" s="84" t="str">
        <x:v>CARE-002</x:v>
      </x:c>
      <x:c r="J1825" s="86" t="n">
        <x:v>2</x:v>
      </x:c>
      <x:c r="K1825" s="87" t="n">
        <x:v>0.05</x:v>
      </x:c>
      <x:c r="L1825" s="84" t="str">
        <x:v> COMPLETED </x:v>
      </x:c>
      <x:c r="M1825" s="84" t="str">
        <x:v>PayPal</x:v>
      </x:c>
      <x:c r="N1825" s="84" t="str">
        <x:v>Zoe Turner</x:v>
      </x:c>
      <x:c r="O1825" s="85" t="n">
        <x:v>45889</x:v>
      </x:c>
      <x:c r="P1825" s="84" t="str">
        <x:v>WEB_2025_08</x:v>
      </x:c>
      <x:c r="Q1825" s="84" t="str">
        <x:v>Rechargeable Trimmer</x:v>
      </x:c>
      <x:c r="R1825" s="84" t="str">
        <x:v>Personal Care</x:v>
      </x:c>
    </x:row>
    <x:row r="1826">
      <x:c r="A1826" s="84" t="str">
        <x:v>ORD-2025-00302</x:v>
      </x:c>
      <x:c r="B1826" s="85" t="n">
        <x:v>45885</x:v>
      </x:c>
      <x:c r="C1826" s="84" t="str">
        <x:v>CUST-0168</x:v>
      </x:c>
      <x:c r="D1826" s="84" t="str">
        <x:v>Priya Foster</x:v>
      </x:c>
      <x:c r="E1826" s="84" t="str">
        <x:v>Small Business</x:v>
      </x:c>
      <x:c r="F1826" s="84" t="str">
        <x:v>Northeast</x:v>
      </x:c>
      <x:c r="G1826" s="84" t="str">
        <x:v>Newark</x:v>
      </x:c>
      <x:c r="H1826" s="84" t="str">
        <x:v>Marketplace</x:v>
      </x:c>
      <x:c r="I1826" s="84" t="str">
        <x:v>ELEC-003</x:v>
      </x:c>
      <x:c r="J1826" s="86" t="n">
        <x:v>1</x:v>
      </x:c>
      <x:c r="K1826" s="87" t="n">
        <x:v>0.1</x:v>
      </x:c>
      <x:c r="L1826" s="84" t="str">
        <x:v>Completed</x:v>
      </x:c>
      <x:c r="M1826" s="84" t="str">
        <x:v>Credit Card</x:v>
      </x:c>
      <x:c r="N1826" s="84" t="str">
        <x:v>Ethan Cole</x:v>
      </x:c>
      <x:c r="O1826" s="85" t="n">
        <x:v>45891</x:v>
      </x:c>
      <x:c r="P1826" s="84" t="str">
        <x:v>MKT_2025_08</x:v>
      </x:c>
      <x:c r="Q1826" s="84" t="str">
        <x:v>Bluetooth Speaker </x:v>
      </x:c>
      <x:c r="R1826" s="84" t="str">
        <x:v>Electronics</x:v>
      </x:c>
    </x:row>
    <x:row r="1827">
      <x:c r="A1827" s="84" t="str">
        <x:v>ORD-2025-00535</x:v>
      </x:c>
      <x:c r="B1827" s="85" t="n">
        <x:v>45885</x:v>
      </x:c>
      <x:c r="C1827" s="84" t="str">
        <x:v>CUST-0639</x:v>
      </x:c>
      <x:c r="D1827" s="84" t="str">
        <x:v>isaac evans</x:v>
      </x:c>
      <x:c r="E1827" s="84" t="str">
        <x:v>Consumer</x:v>
      </x:c>
      <x:c r="F1827" s="84" t="str">
        <x:v>Midwest</x:v>
      </x:c>
      <x:c r="G1827" s="84" t="str">
        <x:v>Columbus</x:v>
      </x:c>
      <x:c r="H1827" s="84" t="str">
        <x:v>Marketplace </x:v>
      </x:c>
      <x:c r="I1827" s="84" t="str">
        <x:v>ELEC-003</x:v>
      </x:c>
      <x:c r="J1827" s="86" t="n">
        <x:v>2</x:v>
      </x:c>
      <x:c r="K1827" s="87" t="n">
        <x:v>0.15</x:v>
      </x:c>
      <x:c r="L1827" s="84" t="str">
        <x:v>Completed</x:v>
      </x:c>
      <x:c r="M1827" s="84" t="str">
        <x:v>Mobile Wallet</x:v>
      </x:c>
      <x:c r="N1827" s="84" t="str">
        <x:v>Lucas Grant</x:v>
      </x:c>
      <x:c r="O1827" s="85" t="n">
        <x:v>45893</x:v>
      </x:c>
      <x:c r="P1827" s="84" t="str">
        <x:v>MKT_2025_08</x:v>
      </x:c>
      <x:c r="Q1827" s="84" t="str">
        <x:v>Bluetooth Speaker</x:v>
      </x:c>
      <x:c r="R1827" s="84" t="str">
        <x:v>Electronics</x:v>
      </x:c>
    </x:row>
    <x:row r="1828">
      <x:c r="A1828" s="84" t="str">
        <x:v>ORD-2025-00679</x:v>
      </x:c>
      <x:c r="B1828" s="85" t="n">
        <x:v>45885</x:v>
      </x:c>
      <x:c r="C1828" s="84" t="str">
        <x:v>CUST-0501</x:v>
      </x:c>
      <x:c r="D1828" s="84" t="str">
        <x:v>Priya Garcia</x:v>
      </x:c>
      <x:c r="E1828" s="84" t="str">
        <x:v>Consumer </x:v>
      </x:c>
      <x:c r="F1828" s="84" t="str">
        <x:v>northeast</x:v>
      </x:c>
      <x:c r="G1828" s="84" t="str">
        <x:v>Boston </x:v>
      </x:c>
      <x:c r="H1828" s="84" t="str">
        <x:v>Marketplace</x:v>
      </x:c>
      <x:c r="I1828" s="84" t="str">
        <x:v>ELEC-004</x:v>
      </x:c>
      <x:c r="J1828" s="86" t="n">
        <x:v>1</x:v>
      </x:c>
      <x:c r="K1828" s="87" t="n">
        <x:v>0.05</x:v>
      </x:c>
      <x:c r="L1828" s="84" t="str">
        <x:v>Completed</x:v>
      </x:c>
      <x:c r="M1828" s="84" t="str">
        <x:v>Mobile Wallet</x:v>
      </x:c>
      <x:c r="N1828" s="84" t="str">
        <x:v>Sofia Bennett</x:v>
      </x:c>
      <x:c r="O1828" s="85" t="n">
        <x:v>45891</x:v>
      </x:c>
      <x:c r="P1828" s="84" t="str">
        <x:v>MKT_2025_08</x:v>
      </x:c>
      <x:c r="Q1828" s="84" t="str">
        <x:v>Power Bank</x:v>
      </x:c>
      <x:c r="R1828" s="84" t="str">
        <x:v>Electronics</x:v>
      </x:c>
    </x:row>
    <x:row r="1829">
      <x:c r="A1829" s="84" t="str">
        <x:v>ORD-2025-00740</x:v>
      </x:c>
      <x:c r="B1829" s="85" t="n">
        <x:v>45885</x:v>
      </x:c>
      <x:c r="C1829" s="84" t="str">
        <x:v>CUST-0153</x:v>
      </x:c>
      <x:c r="D1829" s="84" t="str">
        <x:v>Marcus Evans </x:v>
      </x:c>
      <x:c r="E1829" s="84" t="str">
        <x:v>Corporate</x:v>
      </x:c>
      <x:c r="F1829" s="84" t="str">
        <x:v>Northeast</x:v>
      </x:c>
      <x:c r="G1829" s="84" t="str">
        <x:v>Philadelphia</x:v>
      </x:c>
      <x:c r="H1829" s="84" t="str">
        <x:v>Online</x:v>
      </x:c>
      <x:c r="I1829" s="84" t="str">
        <x:v>FITN-004</x:v>
      </x:c>
      <x:c r="J1829" s="86" t="n">
        <x:v>5</x:v>
      </x:c>
      <x:c r="K1829" s="87" t="n">
        <x:v>0.05</x:v>
      </x:c>
      <x:c r="L1829" s="84" t="str">
        <x:v>Completed</x:v>
      </x:c>
      <x:c r="M1829" s="84" t="str">
        <x:v>Mobile Wallet </x:v>
      </x:c>
      <x:c r="N1829" s="84" t="str">
        <x:v>Ethan Cole</x:v>
      </x:c>
      <x:c r="O1829" s="85" t="n">
        <x:v>45889</x:v>
      </x:c>
      <x:c r="P1829" s="84" t="str">
        <x:v>WEB_2025_08</x:v>
      </x:c>
      <x:c r="Q1829" s="84" t="str">
        <x:v>Fitness Tracker</x:v>
      </x:c>
      <x:c r="R1829" s="84" t="str">
        <x:v>fitness</x:v>
      </x:c>
    </x:row>
    <x:row r="1830">
      <x:c r="A1830" s="84" t="str">
        <x:v>ORD-2025-01170</x:v>
      </x:c>
      <x:c r="B1830" s="85" t="n">
        <x:v>45885</x:v>
      </x:c>
      <x:c r="C1830" s="84" t="str">
        <x:v>CUST-0576</x:v>
      </x:c>
      <x:c r="D1830" s="84" t="str">
        <x:v> MAYA WALKER </x:v>
      </x:c>
      <x:c r="E1830" s="84" t="str">
        <x:v>Corporate</x:v>
      </x:c>
      <x:c r="F1830" s="84" t="str">
        <x:v> NORTHEAST </x:v>
      </x:c>
      <x:c r="G1830" s="84" t="str">
        <x:v>new york</x:v>
      </x:c>
      <x:c r="H1830" s="84" t="str">
        <x:v>Retail Store</x:v>
      </x:c>
      <x:c r="I1830" s="84" t="str">
        <x:v>OFFC-001</x:v>
      </x:c>
      <x:c r="J1830" s="86" t="n">
        <x:v>4</x:v>
      </x:c>
      <x:c r="K1830" s="87" t="n">
        <x:v>0.1</x:v>
      </x:c>
      <x:c r="L1830" s="84" t="str">
        <x:v>completed</x:v>
      </x:c>
      <x:c r="M1830" s="84" t="str">
        <x:v>Credit Card</x:v>
      </x:c>
      <x:c r="N1830" s="84" t="str">
        <x:v>Ethan Cole</x:v>
      </x:c>
      <x:c r="O1830" s="85" t="n">
        <x:v>45885</x:v>
      </x:c>
      <x:c r="P1830" s="84" t="str">
        <x:v>POS_2025_08</x:v>
      </x:c>
      <x:c r="Q1830" s="84" t="str">
        <x:v>Ergonomic Chair </x:v>
      </x:c>
      <x:c r="R1830" s="84" t="str">
        <x:v>Office</x:v>
      </x:c>
    </x:row>
    <x:row r="1831">
      <x:c r="A1831" s="84" t="str">
        <x:v>ORD-2025-02320</x:v>
      </x:c>
      <x:c r="B1831" s="85" t="n">
        <x:v>45886</x:v>
      </x:c>
      <x:c r="C1831" s="84" t="str">
        <x:v>CUST-0425</x:v>
      </x:c>
      <x:c r="D1831" s="84" t="str">
        <x:v>Elena Baker</x:v>
      </x:c>
      <x:c r="E1831" s="84" t="str">
        <x:v>Corporate</x:v>
      </x:c>
      <x:c r="F1831" s="84" t="str">
        <x:v>Midwest</x:v>
      </x:c>
      <x:c r="G1831" s="84" t="str">
        <x:v>Chicago</x:v>
      </x:c>
      <x:c r="H1831" s="84" t="str">
        <x:v>Online </x:v>
      </x:c>
      <x:c r="I1831" s="84" t="str">
        <x:v>HOME-006</x:v>
      </x:c>
      <x:c r="J1831" s="86" t="n">
        <x:v>8</x:v>
      </x:c>
      <x:c r="K1831" s="87" t="n">
        <x:v>0.1</x:v>
      </x:c>
      <x:c r="L1831" s="84" t="str">
        <x:v>Completed</x:v>
      </x:c>
      <x:c r="M1831" s="84" t="str">
        <x:v>debit card</x:v>
      </x:c>
      <x:c r="N1831" s="84" t="str">
        <x:v>Zoe Turner</x:v>
      </x:c>
      <x:c r="O1831" s="85" t="n">
        <x:v>45888</x:v>
      </x:c>
      <x:c r="P1831" s="84" t="str">
        <x:v>WEB_2025_08</x:v>
      </x:c>
      <x:c r="Q1831" s="84" t="str">
        <x:v>Food Storage Set</x:v>
      </x:c>
      <x:c r="R1831" s="84" t="str">
        <x:v>Home &amp; Kitchen</x:v>
      </x:c>
    </x:row>
    <x:row r="1832">
      <x:c r="A1832" s="84" t="str">
        <x:v>ORD-2025-00485</x:v>
      </x:c>
      <x:c r="B1832" s="85" t="n">
        <x:v>45887</x:v>
      </x:c>
      <x:c r="C1832" s="84" t="str">
        <x:v>CUST-0488</x:v>
      </x:c>
      <x:c r="D1832" s="84" t="str">
        <x:v>Nathan Moore</x:v>
      </x:c>
      <x:c r="E1832" s="84" t="str">
        <x:v>Consumer</x:v>
      </x:c>
      <x:c r="F1832" s="84" t="str">
        <x:v>Northeast</x:v>
      </x:c>
      <x:c r="G1832" s="84" t="str">
        <x:v>New York</x:v>
      </x:c>
      <x:c r="H1832" s="84" t="str">
        <x:v>Retail Store</x:v>
      </x:c>
      <x:c r="I1832" s="84" t="str">
        <x:v>ELEC-001</x:v>
      </x:c>
      <x:c r="J1832" s="86" t="n">
        <x:v>1</x:v>
      </x:c>
      <x:c r="K1832" s="87" t="n">
        <x:v>0.05</x:v>
      </x:c>
      <x:c r="L1832" s="84" t="str">
        <x:v>Completed</x:v>
      </x:c>
      <x:c r="M1832" s="84" t="str">
        <x:v>Credit Card</x:v>
      </x:c>
      <x:c r="N1832" s="84" t="str">
        <x:v>Sofia Bennett</x:v>
      </x:c>
      <x:c r="O1832" s="85" t="n">
        <x:v>45887</x:v>
      </x:c>
      <x:c r="P1832" s="84" t="str">
        <x:v>POS_2025_08</x:v>
      </x:c>
      <x:c r="Q1832" s="84" t="str">
        <x:v>Wireless Earbuds</x:v>
      </x:c>
      <x:c r="R1832" s="84" t="str">
        <x:v>Electronics </x:v>
      </x:c>
    </x:row>
    <x:row r="1833">
      <x:c r="A1833" s="84" t="str">
        <x:v>ORD-2025-00540</x:v>
      </x:c>
      <x:c r="B1833" s="85" t="n">
        <x:v>45888</x:v>
      </x:c>
      <x:c r="C1833" s="84" t="str">
        <x:v>CUST-0211</x:v>
      </x:c>
      <x:c r="D1833" s="84" t="str">
        <x:v>Caleb Roberts</x:v>
      </x:c>
      <x:c r="E1833" s="84" t="str">
        <x:v>Consumer</x:v>
      </x:c>
      <x:c r="F1833" s="84" t="str">
        <x:v>Northeast</x:v>
      </x:c>
      <x:c r="G1833" s="84" t="str">
        <x:v>New York</x:v>
      </x:c>
      <x:c r="H1833" s="84" t="str">
        <x:v>Online</x:v>
      </x:c>
      <x:c r="I1833" s="84" t="str">
        <x:v>ELEC-002</x:v>
      </x:c>
      <x:c r="J1833" s="86" t="n">
        <x:v>2</x:v>
      </x:c>
      <x:c r="K1833" s="87" t="n">
        <x:v>0.05</x:v>
      </x:c>
      <x:c r="L1833" s="84" t="str">
        <x:v>Completed</x:v>
      </x:c>
      <x:c r="M1833" s="84" t="str">
        <x:v>PayPal</x:v>
      </x:c>
      <x:c r="N1833" s="84" t="str">
        <x:v>Ethan Cole</x:v>
      </x:c>
      <x:c r="O1833" s="85" t="n">
        <x:v>45890</x:v>
      </x:c>
      <x:c r="P1833" s="84" t="str">
        <x:v>WEB_2025_08</x:v>
      </x:c>
      <x:c r="Q1833" s="84" t="str">
        <x:v>Smartwatch </x:v>
      </x:c>
      <x:c r="R1833" s="84" t="str">
        <x:v>Electronics</x:v>
      </x:c>
    </x:row>
    <x:row r="1834">
      <x:c r="A1834" s="84" t="str">
        <x:v>ORD-2025-00713</x:v>
      </x:c>
      <x:c r="B1834" s="85" t="n">
        <x:v>45888</x:v>
      </x:c>
      <x:c r="C1834" s="84" t="str">
        <x:v>CUST-0322</x:v>
      </x:c>
      <x:c r="D1834" s="84" t="str">
        <x:v>Jasmine Khan</x:v>
      </x:c>
      <x:c r="E1834" s="84" t="str">
        <x:v>Corporate</x:v>
      </x:c>
      <x:c r="F1834" s="84" t="str">
        <x:v>Southeast</x:v>
      </x:c>
      <x:c r="G1834" s="84" t="str">
        <x:v>Atlanta</x:v>
      </x:c>
      <x:c r="H1834" s="84" t="str">
        <x:v>Retail Store</x:v>
      </x:c>
      <x:c r="I1834" s="84" t="str">
        <x:v>OFFC-004</x:v>
      </x:c>
      <x:c r="J1834" s="86" t="n">
        <x:v>1</x:v>
      </x:c>
      <x:c r="K1834" s="87" t="n">
        <x:v>0.15</x:v>
      </x:c>
      <x:c r="L1834" s="84" t="str">
        <x:v>Completed </x:v>
      </x:c>
      <x:c r="M1834" s="84" t="str">
        <x:v>Cash</x:v>
      </x:c>
      <x:c r="N1834" s="84" t="str">
        <x:v>Liam Parker</x:v>
      </x:c>
      <x:c r="O1834" s="85" t="n">
        <x:v>45889</x:v>
      </x:c>
      <x:c r="P1834" s="84" t="str">
        <x:v>POS_2025_08</x:v>
      </x:c>
      <x:c r="Q1834" s="84" t="str">
        <x:v>premium notebook pack</x:v>
      </x:c>
      <x:c r="R1834" s="84" t="str">
        <x:v>Office</x:v>
      </x:c>
    </x:row>
    <x:row r="1835">
      <x:c r="A1835" s="84" t="str">
        <x:v>ORD-2025-01103</x:v>
      </x:c>
      <x:c r="B1835" s="85" t="n">
        <x:v>45888</x:v>
      </x:c>
      <x:c r="C1835" s="84" t="str">
        <x:v>CUST-0465</x:v>
      </x:c>
      <x:c r="D1835" s="84" t="str">
        <x:v>Owen Irwin</x:v>
      </x:c>
      <x:c r="E1835" s="84" t="str">
        <x:v>Consumer</x:v>
      </x:c>
      <x:c r="F1835" s="84" t="str">
        <x:v>Midwest </x:v>
      </x:c>
      <x:c r="G1835" s="84" t="str">
        <x:v>Columbus</x:v>
      </x:c>
      <x:c r="H1835" s="84" t="str">
        <x:v>Online</x:v>
      </x:c>
      <x:c r="I1835" s="84" t="str">
        <x:v>OFFC-004</x:v>
      </x:c>
      <x:c r="J1835" s="86" t="n">
        <x:v>1</x:v>
      </x:c>
      <x:c r="K1835" s="87" t="n">
        <x:v>0.1</x:v>
      </x:c>
      <x:c r="L1835" s="84" t="str">
        <x:v>Completed</x:v>
      </x:c>
      <x:c r="M1835" s="84" t="str">
        <x:v>PayPal</x:v>
      </x:c>
      <x:c r="N1835" s="84" t="str">
        <x:v>Lucas Grant </x:v>
      </x:c>
      <x:c r="O1835" s="85" t="n">
        <x:v>45893</x:v>
      </x:c>
      <x:c r="P1835" s="84" t="str">
        <x:v>WEB_2025_08</x:v>
      </x:c>
      <x:c r="Q1835" s="84" t="str">
        <x:v>Premium Notebook Pack</x:v>
      </x:c>
      <x:c r="R1835" s="84" t="str">
        <x:v> OFFICE </x:v>
      </x:c>
    </x:row>
    <x:row r="1836">
      <x:c r="A1836" s="84" t="str">
        <x:v>ORD-2025-01613</x:v>
      </x:c>
      <x:c r="B1836" s="85" t="n">
        <x:v>45888</x:v>
      </x:c>
      <x:c r="C1836" s="84" t="str">
        <x:v>CUST-0512</x:v>
      </x:c>
      <x:c r="D1836" s="84" t="str">
        <x:v>elena carter</x:v>
      </x:c>
      <x:c r="E1836" s="84" t="str">
        <x:v>Consumer</x:v>
      </x:c>
      <x:c r="F1836" s="84" t="str">
        <x:v>West</x:v>
      </x:c>
      <x:c r="G1836" s="84" t="str">
        <x:v>Denver</x:v>
      </x:c>
      <x:c r="H1836" s="84" t="str">
        <x:v>Online </x:v>
      </x:c>
      <x:c r="I1836" s="84" t="str">
        <x:v>HOME-006</x:v>
      </x:c>
      <x:c r="J1836" s="86" t="n">
        <x:v>1</x:v>
      </x:c>
      <x:c r="K1836" s="87" t="n">
        <x:v>0.1</x:v>
      </x:c>
      <x:c r="L1836" s="84" t="str">
        <x:v>Completed</x:v>
      </x:c>
      <x:c r="M1836" s="84" t="str">
        <x:v>Mobile Wallet</x:v>
      </x:c>
      <x:c r="N1836" s="84" t="str">
        <x:v>Nora Kim</x:v>
      </x:c>
      <x:c r="O1836" s="85" t="n">
        <x:v>45893</x:v>
      </x:c>
      <x:c r="P1836" s="84" t="str">
        <x:v>WEB_2025_08</x:v>
      </x:c>
      <x:c r="Q1836" s="84" t="str">
        <x:v>Food Storage Set</x:v>
      </x:c>
      <x:c r="R1836" s="84" t="str">
        <x:v> HOME &amp; KITCHEN </x:v>
      </x:c>
    </x:row>
    <x:row r="1837">
      <x:c r="A1837" s="84" t="str">
        <x:v>ORD-2025-00073</x:v>
      </x:c>
      <x:c r="B1837" s="85" t="n">
        <x:v>45889</x:v>
      </x:c>
      <x:c r="C1837" s="84" t="str">
        <x:v>CUST-0049</x:v>
      </x:c>
      <x:c r="D1837" s="84" t="str">
        <x:v>jasmine lewis</x:v>
      </x:c>
      <x:c r="E1837" s="84" t="str">
        <x:v>Consumer</x:v>
      </x:c>
      <x:c r="F1837" s="84" t="str">
        <x:v>West</x:v>
      </x:c>
      <x:c r="G1837" s="84" t="str">
        <x:v>Seattle</x:v>
      </x:c>
      <x:c r="H1837" s="84" t="str">
        <x:v>Marketplace </x:v>
      </x:c>
      <x:c r="I1837" s="84" t="str">
        <x:v>CARE-002</x:v>
      </x:c>
      <x:c r="J1837" s="86" t="n">
        <x:v>1</x:v>
      </x:c>
      <x:c r="K1837" s="87" t="n">
        <x:v>0.05</x:v>
      </x:c>
      <x:c r="L1837" s="84" t="str">
        <x:v> COMPLETED </x:v>
      </x:c>
      <x:c r="M1837" s="84" t="str">
        <x:v>Credit Card</x:v>
      </x:c>
      <x:c r="N1837" s="84" t="str">
        <x:v>Leo Martinez</x:v>
      </x:c>
      <x:c r="O1837" s="85" t="n">
        <x:v>45893</x:v>
      </x:c>
      <x:c r="P1837" s="84" t="str">
        <x:v>MKT_2025_08</x:v>
      </x:c>
      <x:c r="Q1837" s="84" t="str">
        <x:v>Rechargeable Trimmer</x:v>
      </x:c>
      <x:c r="R1837" s="84" t="str">
        <x:v>Personal Care</x:v>
      </x:c>
    </x:row>
    <x:row r="1838">
      <x:c r="A1838" s="84" t="str">
        <x:v>ORD-2025-00073</x:v>
      </x:c>
      <x:c r="B1838" s="85" t="n">
        <x:v>45889</x:v>
      </x:c>
      <x:c r="C1838" s="84" t="str">
        <x:v>CUST-0049</x:v>
      </x:c>
      <x:c r="D1838" s="84" t="str">
        <x:v>jasmine lewis</x:v>
      </x:c>
      <x:c r="E1838" s="84" t="str">
        <x:v>Consumer</x:v>
      </x:c>
      <x:c r="F1838" s="84" t="str">
        <x:v>West</x:v>
      </x:c>
      <x:c r="G1838" s="84" t="str">
        <x:v>Seattle</x:v>
      </x:c>
      <x:c r="H1838" s="84" t="str">
        <x:v>Marketplace </x:v>
      </x:c>
      <x:c r="I1838" s="84" t="str">
        <x:v>CARE-002</x:v>
      </x:c>
      <x:c r="J1838" s="86" t="n">
        <x:v>1</x:v>
      </x:c>
      <x:c r="K1838" s="87" t="n">
        <x:v>0.05</x:v>
      </x:c>
      <x:c r="L1838" s="84" t="str">
        <x:v> COMPLETED </x:v>
      </x:c>
      <x:c r="M1838" s="84" t="str">
        <x:v>Credit Card</x:v>
      </x:c>
      <x:c r="N1838" s="84" t="str">
        <x:v>Leo Martinez</x:v>
      </x:c>
      <x:c r="O1838" s="85" t="n">
        <x:v>45893</x:v>
      </x:c>
      <x:c r="P1838" s="84" t="str">
        <x:v>RELOAD_MKT_2025_08</x:v>
      </x:c>
      <x:c r="Q1838" s="84" t="str">
        <x:v>Rechargeable Trimmer</x:v>
      </x:c>
      <x:c r="R1838" s="84" t="str">
        <x:v>Personal Care</x:v>
      </x:c>
    </x:row>
    <x:row r="1839">
      <x:c r="A1839" s="84" t="str">
        <x:v>ORD-2025-00350</x:v>
      </x:c>
      <x:c r="B1839" s="85" t="n">
        <x:v>45889</x:v>
      </x:c>
      <x:c r="C1839" s="84" t="str">
        <x:v>CUST-0608</x:v>
      </x:c>
      <x:c r="D1839" s="84" t="str">
        <x:v>Victoria Patel</x:v>
      </x:c>
      <x:c r="E1839" s="84" t="str">
        <x:v>Consumer </x:v>
      </x:c>
      <x:c r="F1839" s="84" t="str">
        <x:v>Midwest</x:v>
      </x:c>
      <x:c r="G1839" s="84" t="str">
        <x:v> CHICAGO </x:v>
      </x:c>
      <x:c r="H1839" s="84" t="str">
        <x:v>Online</x:v>
      </x:c>
      <x:c r="I1839" s="84" t="str">
        <x:v>FITN-006</x:v>
      </x:c>
      <x:c r="J1839" s="86" t="n">
        <x:v>1</x:v>
      </x:c>
      <x:c r="K1839" s="87" t="n">
        <x:v>0</x:v>
      </x:c>
      <x:c r="L1839" s="84" t="str">
        <x:v>Completed</x:v>
      </x:c>
      <x:c r="M1839" s="84" t="str">
        <x:v>Credit Card</x:v>
      </x:c>
      <x:c r="N1839" s="84" t="str">
        <x:v>Zoe Turner</x:v>
      </x:c>
      <x:c r="O1839" s="85" t="n">
        <x:v>45891</x:v>
      </x:c>
      <x:c r="P1839" s="84" t="str">
        <x:v>WEB_2025_08</x:v>
      </x:c>
      <x:c r="Q1839" s="84" t="str">
        <x:v>foam roller</x:v>
      </x:c>
      <x:c r="R1839" s="84" t="str">
        <x:v>Fitness</x:v>
      </x:c>
    </x:row>
    <x:row r="1840">
      <x:c r="A1840" s="84" t="str">
        <x:v>ORD-2025-00619</x:v>
      </x:c>
      <x:c r="B1840" s="85" t="n">
        <x:v>45889</x:v>
      </x:c>
      <x:c r="C1840" s="84" t="str">
        <x:v>CUST-0465</x:v>
      </x:c>
      <x:c r="D1840" s="84" t="str">
        <x:v>Owen Irwin</x:v>
      </x:c>
      <x:c r="E1840" s="84" t="str">
        <x:v>Consumer</x:v>
      </x:c>
      <x:c r="F1840" s="84" t="str">
        <x:v>Midwest</x:v>
      </x:c>
      <x:c r="G1840" s="84" t="str">
        <x:v>Columbus</x:v>
      </x:c>
      <x:c r="H1840" s="84" t="str">
        <x:v>Online </x:v>
      </x:c>
      <x:c r="I1840" s="84" t="str">
        <x:v>OFFC-005</x:v>
      </x:c>
      <x:c r="J1840" s="86" t="n">
        <x:v>1</x:v>
      </x:c>
      <x:c r="K1840" s="87" t="n">
        <x:v>0.05</x:v>
      </x:c>
      <x:c r="L1840" s="84" t="str">
        <x:v>Completed</x:v>
      </x:c>
      <x:c r="M1840" s="84" t="str">
        <x:v>Mobile Wallet</x:v>
      </x:c>
      <x:c r="N1840" s="84" t="str">
        <x:v>Emma Hayes</x:v>
      </x:c>
      <x:c r="O1840" s="85" t="n">
        <x:v>45891</x:v>
      </x:c>
      <x:c r="P1840" s="84" t="str">
        <x:v>WEB_2025_08</x:v>
      </x:c>
      <x:c r="Q1840" s="84" t="str">
        <x:v>Wireless Keyboard</x:v>
      </x:c>
      <x:c r="R1840" s="84" t="str">
        <x:v>office</x:v>
      </x:c>
    </x:row>
    <x:row r="1841">
      <x:c r="A1841" s="84" t="str">
        <x:v>ORD-2025-00761</x:v>
      </x:c>
      <x:c r="B1841" s="85" t="n">
        <x:v>45889</x:v>
      </x:c>
      <x:c r="C1841" s="84" t="str">
        <x:v>CUST-0193</x:v>
      </x:c>
      <x:c r="D1841" s="84" t="str">
        <x:v>Marcus Davis </x:v>
      </x:c>
      <x:c r="E1841" s="84" t="str">
        <x:v>Corporate</x:v>
      </x:c>
      <x:c r="F1841" s="84" t="str">
        <x:v>Midwest</x:v>
      </x:c>
      <x:c r="G1841" s="84" t="str">
        <x:v>Columbus</x:v>
      </x:c>
      <x:c r="H1841" s="84" t="str">
        <x:v>Online</x:v>
      </x:c>
      <x:c r="I1841" s="84" t="str">
        <x:v>CARE-006</x:v>
      </x:c>
      <x:c r="J1841" s="86" t="n">
        <x:v>4</x:v>
      </x:c>
      <x:c r="K1841" s="87" t="n">
        <x:v>0.1</x:v>
      </x:c>
      <x:c r="L1841" s="84" t="str">
        <x:v>Completed</x:v>
      </x:c>
      <x:c r="M1841" s="84" t="str">
        <x:v>Debit Card </x:v>
      </x:c>
      <x:c r="N1841" s="84" t="str">
        <x:v>emma hayes</x:v>
      </x:c>
      <x:c r="O1841" s="85" t="n">
        <x:v>45892</x:v>
      </x:c>
      <x:c r="P1841" s="84" t="str">
        <x:v>WEB_2025_08</x:v>
      </x:c>
      <x:c r="Q1841" s="84" t="str">
        <x:v>Percussion Massage Gun</x:v>
      </x:c>
      <x:c r="R1841" s="84" t="str">
        <x:v>Personal Care</x:v>
      </x:c>
    </x:row>
    <x:row r="1842">
      <x:c r="A1842" s="84" t="str">
        <x:v>ORD-2025-01415</x:v>
      </x:c>
      <x:c r="B1842" s="85" t="n">
        <x:v>45889</x:v>
      </x:c>
      <x:c r="C1842" s="84" t="str">
        <x:v>CUST-0456</x:v>
      </x:c>
      <x:c r="D1842" s="84" t="str">
        <x:v>elias carter</x:v>
      </x:c>
      <x:c r="E1842" s="84" t="str">
        <x:v>Consumer</x:v>
      </x:c>
      <x:c r="F1842" s="84" t="str">
        <x:v>Northeast</x:v>
      </x:c>
      <x:c r="G1842" s="84" t="str">
        <x:v>Boston</x:v>
      </x:c>
      <x:c r="H1842" s="84" t="str">
        <x:v>Online</x:v>
      </x:c>
      <x:c r="I1842" s="84" t="str">
        <x:v>HOME-004</x:v>
      </x:c>
      <x:c r="J1842" s="86" t="n">
        <x:v>1</x:v>
      </x:c>
      <x:c r="K1842" s="87" t="n">
        <x:v>0.05</x:v>
      </x:c>
      <x:c r="L1842" s="84" t="str">
        <x:v>Completed</x:v>
      </x:c>
      <x:c r="M1842" s="84" t="str">
        <x:v>Debit Card</x:v>
      </x:c>
      <x:c r="N1842" s="84" t="str">
        <x:v>Maya Brooks</x:v>
      </x:c>
      <x:c r="O1842" s="85" t="n">
        <x:v>45891</x:v>
      </x:c>
      <x:c r="P1842" s="84" t="str">
        <x:v>WEB_2025_08</x:v>
      </x:c>
      <x:c r="Q1842" s="84" t="str">
        <x:v> COFFEE MAKER </x:v>
      </x:c>
      <x:c r="R1842" s="84" t="str">
        <x:v>Home &amp; Kitchen</x:v>
      </x:c>
    </x:row>
    <x:row r="1843">
      <x:c r="A1843" s="84" t="str">
        <x:v>ORD-2025-01576</x:v>
      </x:c>
      <x:c r="B1843" s="85" t="n">
        <x:v>45889</x:v>
      </x:c>
      <x:c r="C1843" s="84" t="str">
        <x:v>CUST-0083</x:v>
      </x:c>
      <x:c r="D1843" s="84" t="str">
        <x:v>Theo Davis</x:v>
      </x:c>
      <x:c r="E1843" s="84" t="str">
        <x:v>Consumer</x:v>
      </x:c>
      <x:c r="F1843" s="84" t="str">
        <x:v>West</x:v>
      </x:c>
      <x:c r="G1843" s="84" t="str">
        <x:v>Phoenix</x:v>
      </x:c>
      <x:c r="H1843" s="84" t="str">
        <x:v>Online</x:v>
      </x:c>
      <x:c r="I1843" s="84" t="str">
        <x:v>ACCS-005</x:v>
      </x:c>
      <x:c r="J1843" s="86" t="n">
        <x:v>3</x:v>
      </x:c>
      <x:c r="K1843" s="87" t="n">
        <x:v>0</x:v>
      </x:c>
      <x:c r="L1843" s="84" t="str">
        <x:v>Completed</x:v>
      </x:c>
      <x:c r="M1843" s="84" t="str">
        <x:v>Mobile Wallet</x:v>
      </x:c>
      <x:c r="N1843" s="84" t="str">
        <x:v>Nora Kim</x:v>
      </x:c>
      <x:c r="O1843" s="85" t="n">
        <x:v>45893</x:v>
      </x:c>
      <x:c r="P1843" s="84" t="str">
        <x:v>WEB_2025_08</x:v>
      </x:c>
      <x:c r="Q1843" s="84" t="str">
        <x:v>Protective Phone Case </x:v>
      </x:c>
      <x:c r="R1843" s="84" t="str">
        <x:v>accessories</x:v>
      </x:c>
    </x:row>
    <x:row r="1844">
      <x:c r="A1844" s="84" t="str">
        <x:v>ORD-2025-01018</x:v>
      </x:c>
      <x:c r="B1844" s="85" t="n">
        <x:v>45890</x:v>
      </x:c>
      <x:c r="C1844" s="84" t="str">
        <x:v>CUST-0259</x:v>
      </x:c>
      <x:c r="D1844" s="84" t="str">
        <x:v>Caleb Foster</x:v>
      </x:c>
      <x:c r="E1844" s="84" t="str">
        <x:v>Consumer</x:v>
      </x:c>
      <x:c r="F1844" s="84" t="str">
        <x:v>Northeast</x:v>
      </x:c>
      <x:c r="G1844" s="84" t="str">
        <x:v>New York</x:v>
      </x:c>
      <x:c r="H1844" s="84" t="str">
        <x:v>Marketplace </x:v>
      </x:c>
      <x:c r="I1844" s="84" t="str">
        <x:v>FITN-001</x:v>
      </x:c>
      <x:c r="J1844" s="86" t="n">
        <x:v>1</x:v>
      </x:c>
      <x:c r="K1844" s="87" t="n">
        <x:v>0.05</x:v>
      </x:c>
      <x:c r="L1844" s="84" t="str">
        <x:v>Completed</x:v>
      </x:c>
      <x:c r="M1844" s="84" t="str">
        <x:v>PayPal</x:v>
      </x:c>
      <x:c r="N1844" s="84" t="str">
        <x:v>Ethan Cole</x:v>
      </x:c>
      <x:c r="O1844" s="85" t="n">
        <x:v>45894</x:v>
      </x:c>
      <x:c r="P1844" s="84" t="str">
        <x:v>MKT_2025_08</x:v>
      </x:c>
      <x:c r="Q1844" s="84" t="str">
        <x:v>Yoga Mat</x:v>
      </x:c>
      <x:c r="R1844" s="84" t="str">
        <x:v> FITNESS </x:v>
      </x:c>
    </x:row>
    <x:row r="1845">
      <x:c r="A1845" s="84" t="str">
        <x:v>ORD-2025-01104</x:v>
      </x:c>
      <x:c r="B1845" s="85" t="n">
        <x:v>45890</x:v>
      </x:c>
      <x:c r="C1845" s="84" t="str">
        <x:v>CUST-0482</x:v>
      </x:c>
      <x:c r="D1845" s="84" t="str">
        <x:v>Nathan Young </x:v>
      </x:c>
      <x:c r="E1845" s="84" t="str">
        <x:v>Small Business</x:v>
      </x:c>
      <x:c r="F1845" s="84" t="str">
        <x:v>Midwest</x:v>
      </x:c>
      <x:c r="G1845" s="84" t="str">
        <x:v>chicago</x:v>
      </x:c>
      <x:c r="H1845" s="84" t="str">
        <x:v>Retail Store</x:v>
      </x:c>
      <x:c r="I1845" s="84" t="str">
        <x:v>CARE-004</x:v>
      </x:c>
      <x:c r="J1845" s="86" t="n">
        <x:v>2</x:v>
      </x:c>
      <x:c r="K1845" s="87" t="n">
        <x:v>0.1</x:v>
      </x:c>
      <x:c r="L1845" s="84" t="str">
        <x:v>completed</x:v>
      </x:c>
      <x:c r="M1845" s="84" t="str">
        <x:v>Debit Card </x:v>
      </x:c>
      <x:c r="N1845" s="84" t="str">
        <x:v>Zoe Turner</x:v>
      </x:c>
      <x:c r="O1845" s="85" t="n">
        <x:v>45890</x:v>
      </x:c>
      <x:c r="P1845" s="84" t="str">
        <x:v>POS_2025_08</x:v>
      </x:c>
      <x:c r="Q1845" s="84" t="str">
        <x:v>Electric Toothbrush</x:v>
      </x:c>
      <x:c r="R1845" s="84" t="str">
        <x:v>Personal Care</x:v>
      </x:c>
    </x:row>
    <x:row r="1846">
      <x:c r="A1846" s="84" t="str">
        <x:v>ORD-2025-01209</x:v>
      </x:c>
      <x:c r="B1846" s="85" t="n">
        <x:v>45890</x:v>
      </x:c>
      <x:c r="C1846" s="84" t="str">
        <x:v>CUST-0411</x:v>
      </x:c>
      <x:c r="D1846" s="84" t="str">
        <x:v>Daniel Young </x:v>
      </x:c>
      <x:c r="E1846" s="84" t="str">
        <x:v>Corporate</x:v>
      </x:c>
      <x:c r="F1846" s="84" t="str">
        <x:v>West</x:v>
      </x:c>
      <x:c r="G1846" s="84" t="str">
        <x:v>Denver</x:v>
      </x:c>
      <x:c r="H1846" s="84" t="str">
        <x:v>Retail Store</x:v>
      </x:c>
      <x:c r="I1846" s="84" t="str">
        <x:v>HOME-005</x:v>
      </x:c>
      <x:c r="J1846" s="86" t="n">
        <x:v>8</x:v>
      </x:c>
      <x:c r="K1846" s="87" t="n">
        <x:v>0.05</x:v>
      </x:c>
      <x:c r="L1846" s="84" t="str">
        <x:v>Completed</x:v>
      </x:c>
      <x:c r="M1846" s="84" t="str">
        <x:v>debit card</x:v>
      </x:c>
      <x:c r="N1846" s="84" t="str">
        <x:v>Mia Chen</x:v>
      </x:c>
      <x:c r="O1846" s="85" t="n">
        <x:v>45890</x:v>
      </x:c>
      <x:c r="P1846" s="84" t="str">
        <x:v>POS_2025_08</x:v>
      </x:c>
      <x:c r="Q1846" s="84" t="str">
        <x:v>Cordless Vacuum</x:v>
      </x:c>
      <x:c r="R1846" s="84" t="str">
        <x:v>Home &amp; Kitchen</x:v>
      </x:c>
    </x:row>
    <x:row r="1847">
      <x:c r="A1847" s="84" t="str">
        <x:v>ORD-2025-01723</x:v>
      </x:c>
      <x:c r="B1847" s="85" t="n">
        <x:v>45890</x:v>
      </x:c>
      <x:c r="C1847" s="84" t="str">
        <x:v>CUST-0597</x:v>
      </x:c>
      <x:c r="D1847" s="84" t="str">
        <x:v>nathan ortiz</x:v>
      </x:c>
      <x:c r="E1847" s="84" t="str">
        <x:v>Small Business</x:v>
      </x:c>
      <x:c r="F1847" s="84" t="str">
        <x:v>West</x:v>
      </x:c>
      <x:c r="G1847" s="84" t="str">
        <x:v>Phoenix</x:v>
      </x:c>
      <x:c r="H1847" s="84" t="str">
        <x:v> RETAIL STORE </x:v>
      </x:c>
      <x:c r="I1847" s="84" t="str">
        <x:v>ACCS-001</x:v>
      </x:c>
      <x:c r="J1847" s="86" t="n">
        <x:v>2</x:v>
      </x:c>
      <x:c r="K1847" s="87" t="n">
        <x:v>0</x:v>
      </x:c>
      <x:c r="L1847" s="84" t="str">
        <x:v>Completed</x:v>
      </x:c>
      <x:c r="M1847" s="84" t="str">
        <x:v>Cash</x:v>
      </x:c>
      <x:c r="N1847" s="84" t="str">
        <x:v>Leo Martinez</x:v>
      </x:c>
      <x:c r="O1847" s="85" t="n">
        <x:v>45890</x:v>
      </x:c>
      <x:c r="P1847" s="84" t="str">
        <x:v>POS_2025_08</x:v>
      </x:c>
      <x:c r="Q1847" s="84" t="str">
        <x:v>Canvas Tote Bag </x:v>
      </x:c>
      <x:c r="R1847" s="84" t="str">
        <x:v>Accessories</x:v>
      </x:c>
    </x:row>
    <x:row r="1848">
      <x:c r="A1848" s="84" t="str">
        <x:v>ORD-2025-01990</x:v>
      </x:c>
      <x:c r="B1848" s="85" t="n">
        <x:v>45890</x:v>
      </x:c>
      <x:c r="C1848" s="84" t="str">
        <x:v>CUST-0162</x:v>
      </x:c>
      <x:c r="D1848" s="84" t="str">
        <x:v>Amelia Young</x:v>
      </x:c>
      <x:c r="E1848" s="84" t="str">
        <x:v>Corporate</x:v>
      </x:c>
      <x:c r="F1848" s="84" t="str">
        <x:v>West</x:v>
      </x:c>
      <x:c r="G1848" s="84" t="str">
        <x:v>Seattle</x:v>
      </x:c>
      <x:c r="H1848" s="84" t="str">
        <x:v>Retail Store</x:v>
      </x:c>
      <x:c r="I1848" s="84" t="str">
        <x:v>CARE-001</x:v>
      </x:c>
      <x:c r="J1848" s="86" t="n">
        <x:v>8</x:v>
      </x:c>
      <x:c r="K1848" s="87" t="n">
        <x:v>0.1</x:v>
      </x:c>
      <x:c r="L1848" s="84" t="str">
        <x:v>Completed</x:v>
      </x:c>
      <x:c r="M1848" s="84" t="str">
        <x:v>cash</x:v>
      </x:c>
      <x:c r="N1848" s="84" t="str">
        <x:v>Mia Chen</x:v>
      </x:c>
      <x:c r="O1848" s="85" t="n">
        <x:v>45890</x:v>
      </x:c>
      <x:c r="P1848" s="84" t="str">
        <x:v>POS_2025_08</x:v>
      </x:c>
      <x:c r="Q1848" s="84" t="str">
        <x:v>Ionic Hair Dryer</x:v>
      </x:c>
      <x:c r="R1848" s="84" t="str">
        <x:v>Personal Care </x:v>
      </x:c>
    </x:row>
    <x:row r="1849">
      <x:c r="A1849" s="84" t="str">
        <x:v>ORD-2025-00142</x:v>
      </x:c>
      <x:c r="B1849" s="85" t="n">
        <x:v>45891</x:v>
      </x:c>
      <x:c r="C1849" s="84" t="str">
        <x:v>CUST-0431</x:v>
      </x:c>
      <x:c r="D1849" s="84" t="str">
        <x:v>Jonah Garcia</x:v>
      </x:c>
      <x:c r="E1849" s="84" t="str">
        <x:v>Corporate</x:v>
      </x:c>
      <x:c r="F1849" s="84" t="str">
        <x:v>West</x:v>
      </x:c>
      <x:c r="G1849" s="84" t="str">
        <x:v>Denver</x:v>
      </x:c>
      <x:c r="H1849" s="84" t="str">
        <x:v> RETAIL STORE </x:v>
      </x:c>
      <x:c r="I1849" s="84" t="str">
        <x:v>ACCS-003</x:v>
      </x:c>
      <x:c r="J1849" s="86" t="n">
        <x:v>2</x:v>
      </x:c>
      <x:c r="K1849" s="87" t="n">
        <x:v>0.15</x:v>
      </x:c>
      <x:c r="L1849" s="84" t="str">
        <x:v>Completed</x:v>
      </x:c>
      <x:c r="M1849" s="84" t="str">
        <x:v>mobile wallet</x:v>
      </x:c>
      <x:c r="N1849" s="84" t="str">
        <x:v>Leo Martinez</x:v>
      </x:c>
      <x:c r="O1849" s="85" t="n">
        <x:v>45891</x:v>
      </x:c>
      <x:c r="P1849" s="84" t="str">
        <x:v>POS_2025_08</x:v>
      </x:c>
      <x:c r="Q1849" s="84" t="str">
        <x:v>Polarized Sunglasses</x:v>
      </x:c>
      <x:c r="R1849" s="84" t="str">
        <x:v>Accessories </x:v>
      </x:c>
    </x:row>
    <x:row r="1850">
      <x:c r="A1850" s="84" t="str">
        <x:v>ORD-2025-00342</x:v>
      </x:c>
      <x:c r="B1850" s="85" t="n">
        <x:v>45891</x:v>
      </x:c>
      <x:c r="C1850" s="84" t="str">
        <x:v>CUST-0263</x:v>
      </x:c>
      <x:c r="D1850" s="84" t="str">
        <x:v>Theo Smith</x:v>
      </x:c>
      <x:c r="E1850" s="84" t="str">
        <x:v>Consumer</x:v>
      </x:c>
      <x:c r="F1850" s="84" t="str">
        <x:v>West</x:v>
      </x:c>
      <x:c r="G1850" s="84" t="str">
        <x:v>Seattle</x:v>
      </x:c>
      <x:c r="H1850" s="84" t="str">
        <x:v>Retail Store</x:v>
      </x:c>
      <x:c r="I1850" s="84" t="str">
        <x:v>ACCS-001</x:v>
      </x:c>
      <x:c r="J1850" s="86" t="n">
        <x:v>1</x:v>
      </x:c>
      <x:c r="K1850" s="87" t="n">
        <x:v>0.1</x:v>
      </x:c>
      <x:c r="L1850" s="84" t="str">
        <x:v>Completed </x:v>
      </x:c>
      <x:c r="M1850" s="84" t="str">
        <x:v>Mobile Wallet</x:v>
      </x:c>
      <x:c r="N1850" s="84" t="str">
        <x:v>Leo Martinez</x:v>
      </x:c>
      <x:c r="O1850" s="85" t="n">
        <x:v>45892</x:v>
      </x:c>
      <x:c r="P1850" s="84" t="str">
        <x:v>POS_2025_08</x:v>
      </x:c>
      <x:c r="Q1850" s="84" t="str">
        <x:v>Canvas Tote Bag</x:v>
      </x:c>
      <x:c r="R1850" s="84" t="str">
        <x:v>Accessories</x:v>
      </x:c>
    </x:row>
    <x:row r="1851">
      <x:c r="A1851" s="84" t="str">
        <x:v>ORD-2025-01364</x:v>
      </x:c>
      <x:c r="B1851" s="85" t="n">
        <x:v>45891</x:v>
      </x:c>
      <x:c r="C1851" s="84" t="str">
        <x:v>CUST-0218</x:v>
      </x:c>
      <x:c r="D1851" s="84" t="str">
        <x:v>Grace Walker</x:v>
      </x:c>
      <x:c r="E1851" s="84" t="str">
        <x:v>consumer</x:v>
      </x:c>
      <x:c r="F1851" s="84" t="str">
        <x:v>Northeast</x:v>
      </x:c>
      <x:c r="G1851" s="84" t="str">
        <x:v>Philadelphia</x:v>
      </x:c>
      <x:c r="H1851" s="84" t="str">
        <x:v>retail store</x:v>
      </x:c>
      <x:c r="I1851" s="84" t="str">
        <x:v>HOME-004</x:v>
      </x:c>
      <x:c r="J1851" s="86" t="n">
        <x:v>1</x:v>
      </x:c>
      <x:c r="K1851" s="87" t="n">
        <x:v>0.15</x:v>
      </x:c>
      <x:c r="L1851" s="84" t="str">
        <x:v>Completed </x:v>
      </x:c>
      <x:c r="M1851" s="84" t="str">
        <x:v>Debit Card</x:v>
      </x:c>
      <x:c r="N1851" s="84" t="str">
        <x:v>Maya Brooks</x:v>
      </x:c>
      <x:c r="O1851" s="85" t="n">
        <x:v>45891</x:v>
      </x:c>
      <x:c r="P1851" s="84" t="str">
        <x:v>POS_2025_08</x:v>
      </x:c>
      <x:c r="Q1851" s="84" t="str">
        <x:v> COFFEE MAKER </x:v>
      </x:c>
      <x:c r="R1851" s="84" t="str">
        <x:v>Home &amp; Kitchen</x:v>
      </x:c>
    </x:row>
    <x:row r="1852">
      <x:c r="A1852" s="84" t="str">
        <x:v>ORD-2025-01442</x:v>
      </x:c>
      <x:c r="B1852" s="85" t="n">
        <x:v>45891</x:v>
      </x:c>
      <x:c r="C1852" s="84" t="str">
        <x:v>CUST-0213</x:v>
      </x:c>
      <x:c r="D1852" s="84" t="str">
        <x:v> CALEB FOSTER </x:v>
      </x:c>
      <x:c r="E1852" s="84" t="str">
        <x:v>Corporate </x:v>
      </x:c>
      <x:c r="F1852" s="84" t="str">
        <x:v> MIDWEST </x:v>
      </x:c>
      <x:c r="G1852" s="84" t="str">
        <x:v>Chicago </x:v>
      </x:c>
      <x:c r="H1852" s="84" t="str">
        <x:v>Online</x:v>
      </x:c>
      <x:c r="I1852" s="84" t="str">
        <x:v>OFFC-006</x:v>
      </x:c>
      <x:c r="J1852" s="86" t="n">
        <x:v>4</x:v>
      </x:c>
      <x:c r="K1852" s="87" t="n">
        <x:v>0.05</x:v>
      </x:c>
      <x:c r="L1852" s="84" t="str">
        <x:v>Completed</x:v>
      </x:c>
      <x:c r="M1852" s="84" t="str">
        <x:v>PayPal</x:v>
      </x:c>
      <x:c r="N1852" s="84" t="str">
        <x:v>Zoe Turner</x:v>
      </x:c>
      <x:c r="O1852" s="85" t="n">
        <x:v>45895</x:v>
      </x:c>
      <x:c r="P1852" s="84" t="str">
        <x:v>WEB_2025_08</x:v>
      </x:c>
      <x:c r="Q1852" s="84" t="str">
        <x:v>Monitor Stand</x:v>
      </x:c>
      <x:c r="R1852" s="84" t="str">
        <x:v>Office</x:v>
      </x:c>
    </x:row>
    <x:row r="1853">
      <x:c r="A1853" s="84" t="str">
        <x:v>ORD-2025-02076</x:v>
      </x:c>
      <x:c r="B1853" s="85" t="n">
        <x:v>45891</x:v>
      </x:c>
      <x:c r="C1853" s="84" t="str">
        <x:v>CUST-0117</x:v>
      </x:c>
      <x:c r="D1853" s="84" t="str">
        <x:v>Caleb Evans</x:v>
      </x:c>
      <x:c r="E1853" s="84" t="str">
        <x:v>Consumer</x:v>
      </x:c>
      <x:c r="F1853" s="84" t="str">
        <x:v>northeast</x:v>
      </x:c>
      <x:c r="G1853" s="84" t="str">
        <x:v>Newark</x:v>
      </x:c>
      <x:c r="H1853" s="84" t="str">
        <x:v>Online</x:v>
      </x:c>
      <x:c r="I1853" s="84" t="str">
        <x:v>OFFC-002</x:v>
      </x:c>
      <x:c r="J1853" s="86" t="n">
        <x:v>1</x:v>
      </x:c>
      <x:c r="K1853" s="87" t="n">
        <x:v>0.05</x:v>
      </x:c>
      <x:c r="L1853" s="84" t="str">
        <x:v>Completed</x:v>
      </x:c>
      <x:c r="M1853" s="84" t="str">
        <x:v>Debit Card</x:v>
      </x:c>
      <x:c r="N1853" s="84" t="str">
        <x:v>Sofia Bennett </x:v>
      </x:c>
      <x:c r="O1853" s="85" t="n">
        <x:v>45896</x:v>
      </x:c>
      <x:c r="P1853" s="84" t="str">
        <x:v>WEB_2025_08</x:v>
      </x:c>
      <x:c r="Q1853" s="84" t="str">
        <x:v>Standing Desk</x:v>
      </x:c>
      <x:c r="R1853" s="84" t="str">
        <x:v>Office</x:v>
      </x:c>
    </x:row>
    <x:row r="1854">
      <x:c r="A1854" s="84" t="str">
        <x:v>ORD-2025-02210</x:v>
      </x:c>
      <x:c r="B1854" s="85" t="n">
        <x:v>45891</x:v>
      </x:c>
      <x:c r="C1854" s="84" t="str">
        <x:v>CUST-0208</x:v>
      </x:c>
      <x:c r="D1854" s="84" t="str">
        <x:v>Layla Patel </x:v>
      </x:c>
      <x:c r="E1854" s="84" t="str">
        <x:v> CONSUMER </x:v>
      </x:c>
      <x:c r="F1854" s="84" t="str">
        <x:v>West</x:v>
      </x:c>
      <x:c r="G1854" s="84" t="str">
        <x:v>Los Angeles</x:v>
      </x:c>
      <x:c r="H1854" s="84" t="str">
        <x:v>Retail Store</x:v>
      </x:c>
      <x:c r="I1854" s="84" t="str">
        <x:v>FITN-004</x:v>
      </x:c>
      <x:c r="J1854" s="86" t="n">
        <x:v>1</x:v>
      </x:c>
      <x:c r="K1854" s="87" t="n">
        <x:v>0.05</x:v>
      </x:c>
      <x:c r="L1854" s="84" t="str">
        <x:v>Completed</x:v>
      </x:c>
      <x:c r="M1854" s="84" t="str">
        <x:v>credit card</x:v>
      </x:c>
      <x:c r="N1854" s="84" t="str">
        <x:v>Mia Chen</x:v>
      </x:c>
      <x:c r="O1854" s="85" t="n">
        <x:v>45891</x:v>
      </x:c>
      <x:c r="P1854" s="84" t="str">
        <x:v>POS_2025_08</x:v>
      </x:c>
      <x:c r="Q1854" s="84" t="str">
        <x:v>Fitness Tracker</x:v>
      </x:c>
      <x:c r="R1854" s="84" t="str">
        <x:v>Fitness</x:v>
      </x:c>
    </x:row>
    <x:row r="1855">
      <x:c r="A1855" s="84" t="str">
        <x:v>ORD-2025-00809</x:v>
      </x:c>
      <x:c r="B1855" s="85" t="n">
        <x:v>45892</x:v>
      </x:c>
      <x:c r="C1855" s="84" t="str">
        <x:v>CUST-0113</x:v>
      </x:c>
      <x:c r="D1855" s="84" t="str">
        <x:v>Amelia Patel</x:v>
      </x:c>
      <x:c r="E1855" s="84" t="str">
        <x:v>Consumer</x:v>
      </x:c>
      <x:c r="F1855" s="84" t="str">
        <x:v>Southeast </x:v>
      </x:c>
      <x:c r="G1855" s="84" t="str">
        <x:v> ATLANTA </x:v>
      </x:c>
      <x:c r="H1855" s="84" t="str">
        <x:v>Online</x:v>
      </x:c>
      <x:c r="I1855" s="84" t="str">
        <x:v>ELEC-002</x:v>
      </x:c>
      <x:c r="J1855" s="86" t="n">
        <x:v>2</x:v>
      </x:c>
      <x:c r="K1855" s="87" t="n">
        <x:v>0.15</x:v>
      </x:c>
      <x:c r="L1855" s="84" t="str">
        <x:v>Completed</x:v>
      </x:c>
      <x:c r="M1855" s="84" t="str">
        <x:v>Credit Card</x:v>
      </x:c>
      <x:c r="N1855" s="84" t="str">
        <x:v>Liam Parker </x:v>
      </x:c>
      <x:c r="O1855" s="85" t="n">
        <x:v>45898</x:v>
      </x:c>
      <x:c r="P1855" s="84" t="str">
        <x:v>WEB_2025_08</x:v>
      </x:c>
      <x:c r="Q1855" s="84" t="str">
        <x:v>Smartwatch</x:v>
      </x:c>
      <x:c r="R1855" s="84" t="str">
        <x:v>Electronics</x:v>
      </x:c>
    </x:row>
    <x:row r="1856">
      <x:c r="A1856" s="84" t="str">
        <x:v>ORD-2025-00981</x:v>
      </x:c>
      <x:c r="B1856" s="85" t="n">
        <x:v>45892</x:v>
      </x:c>
      <x:c r="C1856" s="84" t="str">
        <x:v>CUST-0305</x:v>
      </x:c>
      <x:c r="D1856" s="84" t="str">
        <x:v>Theo Young</x:v>
      </x:c>
      <x:c r="E1856" s="84" t="str">
        <x:v>Consumer</x:v>
      </x:c>
      <x:c r="F1856" s="84" t="str">
        <x:v>Midwest</x:v>
      </x:c>
      <x:c r="G1856" s="84" t="str">
        <x:v>Minneapolis</x:v>
      </x:c>
      <x:c r="H1856" s="84" t="str">
        <x:v>Online</x:v>
      </x:c>
      <x:c r="I1856" s="84" t="str">
        <x:v>OFFC-006</x:v>
      </x:c>
      <x:c r="J1856" s="86" t="n">
        <x:v>1</x:v>
      </x:c>
      <x:c r="K1856" s="87" t="n">
        <x:v>0</x:v>
      </x:c>
      <x:c r="L1856" s="84" t="str">
        <x:v>Completed</x:v>
      </x:c>
      <x:c r="M1856" s="84" t="str">
        <x:v>PayPal</x:v>
      </x:c>
      <x:c r="N1856" s="84" t="str">
        <x:v>lucas grant</x:v>
      </x:c>
      <x:c r="O1856" s="85" t="n">
        <x:v>45894</x:v>
      </x:c>
      <x:c r="P1856" s="84" t="str">
        <x:v>WEB_2025_08</x:v>
      </x:c>
      <x:c r="Q1856" s="84" t="str">
        <x:v>Monitor Stand </x:v>
      </x:c>
      <x:c r="R1856" s="84" t="str">
        <x:v>Office</x:v>
      </x:c>
    </x:row>
    <x:row r="1857">
      <x:c r="A1857" s="84" t="str">
        <x:v>ORD-2025-02338</x:v>
      </x:c>
      <x:c r="B1857" s="85" t="n">
        <x:v>45892</x:v>
      </x:c>
      <x:c r="C1857" s="84" t="str">
        <x:v>CUST-0013</x:v>
      </x:c>
      <x:c r="D1857" s="84" t="str">
        <x:v>Marcus Moore</x:v>
      </x:c>
      <x:c r="E1857" s="84" t="str">
        <x:v>Consumer </x:v>
      </x:c>
      <x:c r="F1857" s="84" t="str">
        <x:v>Midwest</x:v>
      </x:c>
      <x:c r="G1857" s="84" t="str">
        <x:v>Columbus </x:v>
      </x:c>
      <x:c r="H1857" s="84" t="str">
        <x:v>Retail Store</x:v>
      </x:c>
      <x:c r="I1857" s="84" t="str">
        <x:v>ELEC-005</x:v>
      </x:c>
      <x:c r="J1857" s="86" t="n">
        <x:v>1</x:v>
      </x:c>
      <x:c r="K1857" s="87" t="n">
        <x:v>0.15</x:v>
      </x:c>
      <x:c r="L1857" s="84" t="str">
        <x:v>Completed</x:v>
      </x:c>
      <x:c r="M1857" s="84" t="str">
        <x:v>Debit Card</x:v>
      </x:c>
      <x:c r="N1857" s="84" t="str">
        <x:v>Zoe Turner</x:v>
      </x:c>
      <x:c r="O1857" s="85" t="n">
        <x:v>45892</x:v>
      </x:c>
      <x:c r="P1857" s="84" t="str">
        <x:v>POS_2025_08</x:v>
      </x:c>
      <x:c r="Q1857" s="84" t="str">
        <x:v>HD Webcam</x:v>
      </x:c>
      <x:c r="R1857" s="84" t="str">
        <x:v>Electronics</x:v>
      </x:c>
    </x:row>
    <x:row r="1858">
      <x:c r="A1858" s="84" t="str">
        <x:v>ORD-2025-00673</x:v>
      </x:c>
      <x:c r="B1858" s="85" t="n">
        <x:v>45893</x:v>
      </x:c>
      <x:c r="C1858" s="84" t="str">
        <x:v>CUST-0634</x:v>
      </x:c>
      <x:c r="D1858" s="84" t="str">
        <x:v>Daniel Nelson</x:v>
      </x:c>
      <x:c r="E1858" s="84" t="str">
        <x:v>Consumer</x:v>
      </x:c>
      <x:c r="F1858" s="84" t="str">
        <x:v>Southeast</x:v>
      </x:c>
      <x:c r="G1858" s="84" t="str">
        <x:v> ATLANTA </x:v>
      </x:c>
      <x:c r="H1858" s="84" t="str">
        <x:v>Retail Store</x:v>
      </x:c>
      <x:c r="I1858" s="84" t="str">
        <x:v>OFFC-003</x:v>
      </x:c>
      <x:c r="J1858" s="86" t="n">
        <x:v>2</x:v>
      </x:c>
      <x:c r="K1858" s="87" t="n">
        <x:v>0.05</x:v>
      </x:c>
      <x:c r="L1858" s="84" t="str">
        <x:v>Completed</x:v>
      </x:c>
      <x:c r="M1858" s="84" t="str">
        <x:v>Credit Card</x:v>
      </x:c>
      <x:c r="N1858" s="84" t="str">
        <x:v>noah reed</x:v>
      </x:c>
      <x:c r="O1858" s="85" t="n">
        <x:v>45893</x:v>
      </x:c>
      <x:c r="P1858" s="84" t="str">
        <x:v>POS_2025_08</x:v>
      </x:c>
      <x:c r="Q1858" s="84" t="str">
        <x:v>LED Desk Lamp </x:v>
      </x:c>
      <x:c r="R1858" s="84" t="str">
        <x:v>Office</x:v>
      </x:c>
    </x:row>
    <x:row r="1859">
      <x:c r="A1859" s="84" t="str">
        <x:v>ORD-2025-01006</x:v>
      </x:c>
      <x:c r="B1859" s="85" t="n">
        <x:v>45893</x:v>
      </x:c>
      <x:c r="C1859" s="84" t="str">
        <x:v>CUST-0371</x:v>
      </x:c>
      <x:c r="D1859" s="84" t="str">
        <x:v>Sara Moore </x:v>
      </x:c>
      <x:c r="E1859" s="84" t="str">
        <x:v>Small Business</x:v>
      </x:c>
      <x:c r="F1859" s="84" t="str">
        <x:v>West</x:v>
      </x:c>
      <x:c r="G1859" s="84" t="str">
        <x:v>Seattle</x:v>
      </x:c>
      <x:c r="H1859" s="84" t="str">
        <x:v>Retail Store</x:v>
      </x:c>
      <x:c r="I1859" s="84" t="str">
        <x:v>ELEC-006</x:v>
      </x:c>
      <x:c r="J1859" s="86" t="n">
        <x:v>3</x:v>
      </x:c>
      <x:c r="K1859" s="87" t="n">
        <x:v>0.05</x:v>
      </x:c>
      <x:c r="L1859" s="84" t="str">
        <x:v>Completed</x:v>
      </x:c>
      <x:c r="M1859" s="84" t="str">
        <x:v>Credit Card </x:v>
      </x:c>
      <x:c r="N1859" s="84" t="str">
        <x:v> MIA CHEN </x:v>
      </x:c>
      <x:c r="O1859" s="85" t="n">
        <x:v>45893</x:v>
      </x:c>
      <x:c r="P1859" s="84" t="str">
        <x:v>POS_2025_08</x:v>
      </x:c>
      <x:c r="Q1859" s="84" t="str">
        <x:v>Portable SSD</x:v>
      </x:c>
      <x:c r="R1859" s="84" t="str">
        <x:v>Electronics</x:v>
      </x:c>
    </x:row>
    <x:row r="1860">
      <x:c r="A1860" s="84" t="str">
        <x:v>ORD-2025-01984</x:v>
      </x:c>
      <x:c r="B1860" s="85" t="n">
        <x:v>45893</x:v>
      </x:c>
      <x:c r="C1860" s="84" t="str">
        <x:v>CUST-0105</x:v>
      </x:c>
      <x:c r="D1860" s="84" t="str">
        <x:v>Chloe Ortiz</x:v>
      </x:c>
      <x:c r="E1860" s="84" t="str">
        <x:v>Corporate</x:v>
      </x:c>
      <x:c r="F1860" s="84" t="str">
        <x:v>West</x:v>
      </x:c>
      <x:c r="G1860" s="84" t="str">
        <x:v>phoenix</x:v>
      </x:c>
      <x:c r="H1860" s="84" t="str">
        <x:v>Online </x:v>
      </x:c>
      <x:c r="I1860" s="84" t="str">
        <x:v>CARE-001</x:v>
      </x:c>
      <x:c r="J1860" s="86" t="n">
        <x:v>3</x:v>
      </x:c>
      <x:c r="K1860" s="87" t="n">
        <x:v>0.1</x:v>
      </x:c>
      <x:c r="L1860" s="84" t="str">
        <x:v>completed</x:v>
      </x:c>
      <x:c r="M1860" s="84" t="str">
        <x:v>Credit Card</x:v>
      </x:c>
      <x:c r="N1860" s="84" t="str">
        <x:v>Leo Martinez</x:v>
      </x:c>
      <x:c r="O1860" s="85" t="n">
        <x:v>45896</x:v>
      </x:c>
      <x:c r="P1860" s="84" t="str">
        <x:v>WEB_2025_08</x:v>
      </x:c>
      <x:c r="Q1860" s="84" t="str">
        <x:v>Ionic Hair Dryer</x:v>
      </x:c>
      <x:c r="R1860" s="84" t="str">
        <x:v>Personal Care</x:v>
      </x:c>
    </x:row>
    <x:row r="1861">
      <x:c r="A1861" s="84" t="str">
        <x:v>ORD-2025-02052</x:v>
      </x:c>
      <x:c r="B1861" s="85" t="n">
        <x:v>45893</x:v>
      </x:c>
      <x:c r="C1861" s="84" t="str">
        <x:v>CUST-0046</x:v>
      </x:c>
      <x:c r="D1861" s="84" t="str">
        <x:v>Nathan Moore</x:v>
      </x:c>
      <x:c r="E1861" s="84" t="str">
        <x:v>Consumer</x:v>
      </x:c>
      <x:c r="F1861" s="84" t="str">
        <x:v>Midwest</x:v>
      </x:c>
      <x:c r="G1861" s="84" t="str">
        <x:v>Columbus</x:v>
      </x:c>
      <x:c r="H1861" s="84" t="str">
        <x:v>Marketplace</x:v>
      </x:c>
      <x:c r="I1861" s="84" t="str">
        <x:v>HOME-004</x:v>
      </x:c>
      <x:c r="J1861" s="86" t="n">
        <x:v>2</x:v>
      </x:c>
      <x:c r="K1861" s="87" t="n">
        <x:v>0.05</x:v>
      </x:c>
      <x:c r="L1861" s="84" t="str">
        <x:v>Completed</x:v>
      </x:c>
      <x:c r="M1861" s="84" t="str">
        <x:v>Credit Card</x:v>
      </x:c>
      <x:c r="N1861" s="84" t="str">
        <x:v>Emma Hayes</x:v>
      </x:c>
      <x:c r="O1861" s="85" t="n">
        <x:v>45898</x:v>
      </x:c>
      <x:c r="P1861" s="84" t="str">
        <x:v>MKT_2025_08</x:v>
      </x:c>
      <x:c r="Q1861" s="84" t="str">
        <x:v>Coffee Maker </x:v>
      </x:c>
      <x:c r="R1861" s="84" t="str">
        <x:v>Home &amp; Kitchen</x:v>
      </x:c>
    </x:row>
    <x:row r="1862">
      <x:c r="A1862" s="84" t="str">
        <x:v>ORD-2025-01271</x:v>
      </x:c>
      <x:c r="B1862" s="85" t="n">
        <x:v>45894</x:v>
      </x:c>
      <x:c r="C1862" s="84" t="str">
        <x:v>CUST-0357</x:v>
      </x:c>
      <x:c r="D1862" s="84" t="str">
        <x:v>Priya Baker</x:v>
      </x:c>
      <x:c r="E1862" s="84" t="str">
        <x:v>Consumer</x:v>
      </x:c>
      <x:c r="F1862" s="84" t="str">
        <x:v>Southeast </x:v>
      </x:c>
      <x:c r="G1862" s="84" t="str">
        <x:v>Atlanta</x:v>
      </x:c>
      <x:c r="H1862" s="84" t="str">
        <x:v>Retail Store</x:v>
      </x:c>
      <x:c r="I1862" s="84" t="str">
        <x:v>OFFC-001</x:v>
      </x:c>
      <x:c r="J1862" s="86" t="n">
        <x:v>1</x:v>
      </x:c>
      <x:c r="K1862" s="87" t="n">
        <x:v>0.2</x:v>
      </x:c>
      <x:c r="L1862" s="84" t="str">
        <x:v>Completed</x:v>
      </x:c>
      <x:c r="M1862" s="84" t="str">
        <x:v>Cash</x:v>
      </x:c>
      <x:c r="N1862" s="84" t="str">
        <x:v>Noah Reed </x:v>
      </x:c>
      <x:c r="O1862" s="85" t="n">
        <x:v>45895</x:v>
      </x:c>
      <x:c r="P1862" s="84" t="str">
        <x:v>POS_2025_08</x:v>
      </x:c>
      <x:c r="Q1862" s="84" t="str">
        <x:v>Ergonomic Chair</x:v>
      </x:c>
      <x:c r="R1862" s="84" t="str">
        <x:v>Office</x:v>
      </x:c>
    </x:row>
    <x:row r="1863">
      <x:c r="A1863" s="84" t="str">
        <x:v>ORD-2025-00351</x:v>
      </x:c>
      <x:c r="B1863" s="85" t="n">
        <x:v>45895</x:v>
      </x:c>
      <x:c r="C1863" s="84" t="str">
        <x:v>CUST-0470</x:v>
      </x:c>
      <x:c r="D1863" s="84" t="str">
        <x:v>Jasmine Lewis</x:v>
      </x:c>
      <x:c r="E1863" s="84" t="str">
        <x:v>Corporate</x:v>
      </x:c>
      <x:c r="F1863" s="84" t="str">
        <x:v>Southeast</x:v>
      </x:c>
      <x:c r="G1863" s="84" t="str">
        <x:v>Miami</x:v>
      </x:c>
      <x:c r="H1863" s="84" t="str">
        <x:v>Marketplace</x:v>
      </x:c>
      <x:c r="I1863" s="84" t="str">
        <x:v>ELEC-004</x:v>
      </x:c>
      <x:c r="J1863" s="86" t="n">
        <x:v>5</x:v>
      </x:c>
      <x:c r="K1863" s="87" t="n">
        <x:v>0.15</x:v>
      </x:c>
      <x:c r="L1863" s="84" t="str">
        <x:v>Completed</x:v>
      </x:c>
      <x:c r="M1863" s="84" t="str">
        <x:v> CREDIT CARD </x:v>
      </x:c>
      <x:c r="N1863" s="84" t="str">
        <x:v>Liam Parker</x:v>
      </x:c>
      <x:c r="O1863" s="85" t="n">
        <x:v>45900</x:v>
      </x:c>
      <x:c r="P1863" s="84" t="str">
        <x:v>MKT_2025_08</x:v>
      </x:c>
      <x:c r="Q1863" s="84" t="str">
        <x:v>Power Bank </x:v>
      </x:c>
      <x:c r="R1863" s="84" t="str">
        <x:v>Electronics</x:v>
      </x:c>
    </x:row>
    <x:row r="1864">
      <x:c r="A1864" s="84" t="str">
        <x:v>ORD-2025-00947</x:v>
      </x:c>
      <x:c r="B1864" s="85" t="n">
        <x:v>45895</x:v>
      </x:c>
      <x:c r="C1864" s="84" t="str">
        <x:v>CUST-0397</x:v>
      </x:c>
      <x:c r="D1864" s="84" t="str">
        <x:v>Amelia Baker</x:v>
      </x:c>
      <x:c r="E1864" s="84" t="str">
        <x:v>Corporate</x:v>
      </x:c>
      <x:c r="F1864" s="84" t="str">
        <x:v>Northeast</x:v>
      </x:c>
      <x:c r="G1864" s="84" t="str">
        <x:v>Newark</x:v>
      </x:c>
      <x:c r="H1864" s="84" t="str">
        <x:v>Retail Store</x:v>
      </x:c>
      <x:c r="I1864" s="84" t="str">
        <x:v>OFFC-003</x:v>
      </x:c>
      <x:c r="J1864" s="86" t="n">
        <x:v>4</x:v>
      </x:c>
      <x:c r="K1864" s="87" t="n">
        <x:v>0.05</x:v>
      </x:c>
      <x:c r="L1864" s="84" t="str">
        <x:v>Completed</x:v>
      </x:c>
      <x:c r="M1864" s="84" t="str">
        <x:v>Credit Card</x:v>
      </x:c>
      <x:c r="N1864" s="84" t="str">
        <x:v>Sofia Bennett</x:v>
      </x:c>
      <x:c r="O1864" s="85" t="n">
        <x:v>45895</x:v>
      </x:c>
      <x:c r="P1864" s="84" t="str">
        <x:v>POS_2025_08</x:v>
      </x:c>
      <x:c r="Q1864" s="84" t="str">
        <x:v>LED Desk Lamp</x:v>
      </x:c>
      <x:c r="R1864" s="84" t="str">
        <x:v>Office </x:v>
      </x:c>
    </x:row>
    <x:row r="1865">
      <x:c r="A1865" s="84" t="str">
        <x:v>ORD-2025-01873</x:v>
      </x:c>
      <x:c r="B1865" s="85" t="n">
        <x:v>45895</x:v>
      </x:c>
      <x:c r="C1865" s="84" t="str">
        <x:v>CUST-0206</x:v>
      </x:c>
      <x:c r="D1865" s="84" t="str">
        <x:v>Sara Hall</x:v>
      </x:c>
      <x:c r="E1865" s="84" t="str">
        <x:v>Consumer</x:v>
      </x:c>
      <x:c r="F1865" s="84" t="str">
        <x:v>West </x:v>
      </x:c>
      <x:c r="G1865" s="84" t="str">
        <x:v>Phoenix</x:v>
      </x:c>
      <x:c r="H1865" s="84" t="str">
        <x:v>Online</x:v>
      </x:c>
      <x:c r="I1865" s="84" t="str">
        <x:v>ACCS-006</x:v>
      </x:c>
      <x:c r="J1865" s="86" t="n">
        <x:v>1</x:v>
      </x:c>
      <x:c r="K1865" s="87" t="n">
        <x:v>0.05</x:v>
      </x:c>
      <x:c r="L1865" s="84" t="str">
        <x:v>Completed</x:v>
      </x:c>
      <x:c r="M1865" s="84" t="str">
        <x:v>Credit Card</x:v>
      </x:c>
      <x:c r="N1865" s="84" t="str">
        <x:v> MIA CHEN </x:v>
      </x:c>
      <x:c r="O1865" s="85" t="n">
        <x:v>45898</x:v>
      </x:c>
      <x:c r="P1865" s="84" t="str">
        <x:v>WEB_2025_08</x:v>
      </x:c>
      <x:c r="Q1865" s="84" t="str">
        <x:v>Insulated Lunch Bag</x:v>
      </x:c>
      <x:c r="R1865" s="84" t="str">
        <x:v>accessories</x:v>
      </x:c>
    </x:row>
    <x:row r="1866">
      <x:c r="A1866" s="84" t="str">
        <x:v>ORD-2025-02189</x:v>
      </x:c>
      <x:c r="B1866" s="85" t="n">
        <x:v>45895</x:v>
      </x:c>
      <x:c r="C1866" s="84" t="str">
        <x:v>CUST-0331</x:v>
      </x:c>
      <x:c r="D1866" s="84" t="str">
        <x:v>Elias Young </x:v>
      </x:c>
      <x:c r="E1866" s="84" t="str">
        <x:v>consumer</x:v>
      </x:c>
      <x:c r="F1866" s="84" t="str">
        <x:v>West</x:v>
      </x:c>
      <x:c r="G1866" s="84" t="str">
        <x:v>Seattle</x:v>
      </x:c>
      <x:c r="H1866" s="84" t="str">
        <x:v>marketplace</x:v>
      </x:c>
      <x:c r="I1866" s="84" t="str">
        <x:v>CARE-001</x:v>
      </x:c>
      <x:c r="J1866" s="86" t="n">
        <x:v>2</x:v>
      </x:c>
      <x:c r="K1866" s="87" t="n">
        <x:v>0</x:v>
      </x:c>
      <x:c r="L1866" s="84" t="str">
        <x:v>Completed</x:v>
      </x:c>
      <x:c r="M1866" s="84" t="str">
        <x:v>Debit Card </x:v>
      </x:c>
      <x:c r="N1866" s="84" t="str">
        <x:v>Leo Martinez</x:v>
      </x:c>
      <x:c r="O1866" s="85" t="n">
        <x:v>45899</x:v>
      </x:c>
      <x:c r="P1866" s="84" t="str">
        <x:v>MKT_2025_08</x:v>
      </x:c>
      <x:c r="Q1866" s="84" t="str">
        <x:v>Ionic Hair Dryer</x:v>
      </x:c>
      <x:c r="R1866" s="84" t="str">
        <x:v>Personal Care</x:v>
      </x:c>
    </x:row>
    <x:row r="1867">
      <x:c r="A1867" s="84" t="str">
        <x:v>ORD-2025-00789</x:v>
      </x:c>
      <x:c r="B1867" s="85" t="n">
        <x:v>45896</x:v>
      </x:c>
      <x:c r="C1867" s="84" t="str">
        <x:v>CUST-0323</x:v>
      </x:c>
      <x:c r="D1867" s="84" t="str">
        <x:v>Zara Evans </x:v>
      </x:c>
      <x:c r="E1867" s="84" t="str">
        <x:v>Small Business</x:v>
      </x:c>
      <x:c r="F1867" s="84" t="str">
        <x:v>midwest</x:v>
      </x:c>
      <x:c r="G1867" s="84" t="str">
        <x:v>Minneapolis</x:v>
      </x:c>
      <x:c r="H1867" s="84" t="str">
        <x:v>Retail Store</x:v>
      </x:c>
      <x:c r="I1867" s="84" t="str">
        <x:v>ELEC-006</x:v>
      </x:c>
      <x:c r="J1867" s="86" t="n">
        <x:v>1</x:v>
      </x:c>
      <x:c r="K1867" s="87" t="n">
        <x:v>0.15</x:v>
      </x:c>
      <x:c r="L1867" s="84" t="str">
        <x:v>Completed</x:v>
      </x:c>
      <x:c r="M1867" s="84" t="str">
        <x:v>Credit Card </x:v>
      </x:c>
      <x:c r="N1867" s="84" t="str">
        <x:v>Zoe Turner</x:v>
      </x:c>
      <x:c r="O1867" s="85" t="n">
        <x:v>45896</x:v>
      </x:c>
      <x:c r="P1867" s="84" t="str">
        <x:v>POS_2025_08</x:v>
      </x:c>
      <x:c r="Q1867" s="84" t="str">
        <x:v>Portable SSD</x:v>
      </x:c>
      <x:c r="R1867" s="84" t="str">
        <x:v>Electronics</x:v>
      </x:c>
    </x:row>
    <x:row r="1868">
      <x:c r="A1868" s="84" t="str">
        <x:v>ORD-2025-00799</x:v>
      </x:c>
      <x:c r="B1868" s="85" t="n">
        <x:v>45896</x:v>
      </x:c>
      <x:c r="C1868" s="84" t="str">
        <x:v>CUST-0365</x:v>
      </x:c>
      <x:c r="D1868" s="84" t="str">
        <x:v>grace johnson</x:v>
      </x:c>
      <x:c r="E1868" s="84" t="str">
        <x:v> CONSUMER </x:v>
      </x:c>
      <x:c r="F1868" s="84" t="str">
        <x:v>West</x:v>
      </x:c>
      <x:c r="G1868" s="84" t="str">
        <x:v>Los Angeles</x:v>
      </x:c>
      <x:c r="H1868" s="84" t="str">
        <x:v>Online</x:v>
      </x:c>
      <x:c r="I1868" s="84" t="str">
        <x:v>ELEC-006</x:v>
      </x:c>
      <x:c r="J1868" s="86" t="n">
        <x:v>1</x:v>
      </x:c>
      <x:c r="K1868" s="87" t="n">
        <x:v>0.05</x:v>
      </x:c>
      <x:c r="L1868" s="84" t="str">
        <x:v>Completed</x:v>
      </x:c>
      <x:c r="M1868" s="84" t="str">
        <x:v>Credit Card</x:v>
      </x:c>
      <x:c r="N1868" s="84" t="str">
        <x:v>Nora Kim</x:v>
      </x:c>
      <x:c r="O1868" s="85" t="n">
        <x:v>45900</x:v>
      </x:c>
      <x:c r="P1868" s="84" t="str">
        <x:v>WEB_2025_08</x:v>
      </x:c>
      <x:c r="Q1868" s="84" t="str">
        <x:v>Portable SSD </x:v>
      </x:c>
      <x:c r="R1868" s="84" t="str">
        <x:v>Electronics</x:v>
      </x:c>
    </x:row>
    <x:row r="1869">
      <x:c r="A1869" s="84" t="str">
        <x:v>ORD-2025-00507</x:v>
      </x:c>
      <x:c r="B1869" s="85" t="n">
        <x:v>45897</x:v>
      </x:c>
      <x:c r="C1869" s="84" t="str">
        <x:v>CUST-0577</x:v>
      </x:c>
      <x:c r="D1869" s="84" t="str">
        <x:v> GRACE YOUNG </x:v>
      </x:c>
      <x:c r="E1869" s="84" t="str">
        <x:v>Consumer</x:v>
      </x:c>
      <x:c r="F1869" s="84" t="str">
        <x:v> SOUTHEAST </x:v>
      </x:c>
      <x:c r="G1869" s="84" t="str">
        <x:v>Charlotte</x:v>
      </x:c>
      <x:c r="H1869" s="84" t="str">
        <x:v>Online </x:v>
      </x:c>
      <x:c r="I1869" s="84" t="str">
        <x:v>CARE-003</x:v>
      </x:c>
      <x:c r="J1869" s="86" t="n">
        <x:v>2</x:v>
      </x:c>
      <x:c r="K1869" s="87" t="n">
        <x:v>0.15</x:v>
      </x:c>
      <x:c r="L1869" s="84" t="str">
        <x:v>Completed</x:v>
      </x:c>
      <x:c r="M1869" s="84" t="str">
        <x:v>Debit Card</x:v>
      </x:c>
      <x:c r="N1869" s="84" t="str">
        <x:v>Liam Parker</x:v>
      </x:c>
      <x:c r="O1869" s="85" t="n">
        <x:v>45902</x:v>
      </x:c>
      <x:c r="P1869" s="84" t="str">
        <x:v>WEB_2025_08</x:v>
      </x:c>
      <x:c r="Q1869" s="84" t="str">
        <x:v>Facial Cleanser</x:v>
      </x:c>
      <x:c r="R1869" s="84" t="str">
        <x:v>Personal Care</x:v>
      </x:c>
    </x:row>
    <x:row r="1870">
      <x:c r="A1870" s="84" t="str">
        <x:v>ORD-2025-01969</x:v>
      </x:c>
      <x:c r="B1870" s="85" t="n">
        <x:v>45897</x:v>
      </x:c>
      <x:c r="C1870" s="84" t="str">
        <x:v>CUST-0429</x:v>
      </x:c>
      <x:c r="D1870" s="84" t="str">
        <x:v> MAYA SMITH </x:v>
      </x:c>
      <x:c r="E1870" s="84" t="str">
        <x:v>small business</x:v>
      </x:c>
      <x:c r="F1870" s="84" t="str">
        <x:v> WEST </x:v>
      </x:c>
      <x:c r="G1870" s="84" t="str">
        <x:v>Los Angeles</x:v>
      </x:c>
      <x:c r="H1870" s="84" t="str">
        <x:v>online</x:v>
      </x:c>
      <x:c r="I1870" s="84" t="str">
        <x:v>HOME-005</x:v>
      </x:c>
      <x:c r="J1870" s="86" t="n">
        <x:v>1</x:v>
      </x:c>
      <x:c r="K1870" s="87" t="n">
        <x:v>0.15</x:v>
      </x:c>
      <x:c r="L1870" s="84" t="str">
        <x:v>Completed</x:v>
      </x:c>
      <x:c r="M1870" s="84" t="str">
        <x:v>PayPal</x:v>
      </x:c>
      <x:c r="N1870" s="84" t="str">
        <x:v>Leo Martinez</x:v>
      </x:c>
      <x:c r="O1870" s="85" t="n">
        <x:v>45900</x:v>
      </x:c>
      <x:c r="P1870" s="84" t="str">
        <x:v>WEB_2025_08</x:v>
      </x:c>
      <x:c r="Q1870" s="84" t="str">
        <x:v>Cordless Vacuum</x:v>
      </x:c>
      <x:c r="R1870" s="84" t="str">
        <x:v>Home &amp; Kitchen </x:v>
      </x:c>
    </x:row>
    <x:row r="1871">
      <x:c r="A1871" s="84" t="str">
        <x:v>ORD-2025-00859</x:v>
      </x:c>
      <x:c r="B1871" s="85" t="n">
        <x:v>45898</x:v>
      </x:c>
      <x:c r="C1871" s="84" t="str">
        <x:v>CUST-0024</x:v>
      </x:c>
      <x:c r="D1871" s="84" t="str">
        <x:v>Zara Quinn </x:v>
      </x:c>
      <x:c r="E1871" s="84" t="str">
        <x:v>Consumer</x:v>
      </x:c>
      <x:c r="F1871" s="84" t="str">
        <x:v>Midwest</x:v>
      </x:c>
      <x:c r="G1871" s="84" t="str">
        <x:v>Columbus</x:v>
      </x:c>
      <x:c r="H1871" s="84" t="str">
        <x:v>Online</x:v>
      </x:c>
      <x:c r="I1871" s="84" t="str">
        <x:v>FITN-006</x:v>
      </x:c>
      <x:c r="J1871" s="86" t="n">
        <x:v>1</x:v>
      </x:c>
      <x:c r="K1871" s="87" t="n">
        <x:v>0</x:v>
      </x:c>
      <x:c r="L1871" s="84" t="str">
        <x:v>Completed</x:v>
      </x:c>
      <x:c r="M1871" s="84" t="str">
        <x:v>Credit Card </x:v>
      </x:c>
      <x:c r="N1871" s="84" t="str">
        <x:v>Lucas Grant</x:v>
      </x:c>
      <x:c r="O1871" s="85" t="n">
        <x:v>45901</x:v>
      </x:c>
      <x:c r="P1871" s="84" t="str">
        <x:v>WEB_2025_08</x:v>
      </x:c>
      <x:c r="Q1871" s="84" t="str">
        <x:v>Foam Roller</x:v>
      </x:c>
      <x:c r="R1871" s="84" t="str">
        <x:v>Fitness</x:v>
      </x:c>
    </x:row>
    <x:row r="1872">
      <x:c r="A1872" s="84" t="str">
        <x:v>ORD-2025-01216</x:v>
      </x:c>
      <x:c r="B1872" s="85" t="n">
        <x:v>45898</x:v>
      </x:c>
      <x:c r="C1872" s="84" t="str">
        <x:v>CUST-0193</x:v>
      </x:c>
      <x:c r="D1872" s="84" t="str">
        <x:v>Marcus Davis </x:v>
      </x:c>
      <x:c r="E1872" s="84" t="str">
        <x:v>Corporate</x:v>
      </x:c>
      <x:c r="F1872" s="84" t="str">
        <x:v>Midwest</x:v>
      </x:c>
      <x:c r="G1872" s="84" t="str">
        <x:v>Columbus</x:v>
      </x:c>
      <x:c r="H1872" s="84" t="str">
        <x:v>Retail Store</x:v>
      </x:c>
      <x:c r="I1872" s="84" t="str">
        <x:v>HOME-005</x:v>
      </x:c>
      <x:c r="J1872" s="86" t="n">
        <x:v>2</x:v>
      </x:c>
      <x:c r="K1872" s="87" t="n">
        <x:v>0</x:v>
      </x:c>
      <x:c r="L1872" s="84" t="str">
        <x:v>Completed</x:v>
      </x:c>
      <x:c r="M1872" s="84" t="str">
        <x:v>Debit Card </x:v>
      </x:c>
      <x:c r="N1872" s="84" t="str">
        <x:v>Lucas Grant</x:v>
      </x:c>
      <x:c r="O1872" s="85" t="n">
        <x:v>45898</x:v>
      </x:c>
      <x:c r="P1872" s="84" t="str">
        <x:v>POS_2025_08</x:v>
      </x:c>
      <x:c r="Q1872" s="84" t="str">
        <x:v>Cordless Vacuum</x:v>
      </x:c>
      <x:c r="R1872" s="84" t="str">
        <x:v>Home &amp; Kitchen</x:v>
      </x:c>
    </x:row>
    <x:row r="1873">
      <x:c r="A1873" s="84" t="str">
        <x:v>ORD-2025-01396</x:v>
      </x:c>
      <x:c r="B1873" s="85" t="n">
        <x:v>45898</x:v>
      </x:c>
      <x:c r="C1873" s="84" t="str">
        <x:v>CUST-0179</x:v>
      </x:c>
      <x:c r="D1873" s="84" t="str">
        <x:v>Jasmine Garcia</x:v>
      </x:c>
      <x:c r="E1873" s="84" t="str">
        <x:v>Consumer</x:v>
      </x:c>
      <x:c r="F1873" s="84" t="str">
        <x:v>West</x:v>
      </x:c>
      <x:c r="G1873" s="84" t="str">
        <x:v>Phoenix</x:v>
      </x:c>
      <x:c r="H1873" s="84" t="str">
        <x:v>Retail Store </x:v>
      </x:c>
      <x:c r="I1873" s="84" t="str">
        <x:v>ELEC-003</x:v>
      </x:c>
      <x:c r="J1873" s="86" t="n">
        <x:v>1</x:v>
      </x:c>
      <x:c r="K1873" s="87" t="n">
        <x:v>0</x:v>
      </x:c>
      <x:c r="L1873" s="84" t="str">
        <x:v>Completed</x:v>
      </x:c>
      <x:c r="M1873" s="84" t="str">
        <x:v>credit card</x:v>
      </x:c>
      <x:c r="N1873" s="84" t="str">
        <x:v>Nora Kim</x:v>
      </x:c>
      <x:c r="O1873" s="85" t="n">
        <x:v>45898</x:v>
      </x:c>
      <x:c r="P1873" s="84" t="str">
        <x:v>POS_2025_08</x:v>
      </x:c>
      <x:c r="Q1873" s="84" t="str">
        <x:v>Bluetooth Speaker</x:v>
      </x:c>
      <x:c r="R1873" s="84" t="str">
        <x:v>Electronics</x:v>
      </x:c>
    </x:row>
    <x:row r="1874">
      <x:c r="A1874" s="84" t="str">
        <x:v>ORD-2025-01968</x:v>
      </x:c>
      <x:c r="B1874" s="85" t="n">
        <x:v>45898</x:v>
      </x:c>
      <x:c r="C1874" s="84" t="str">
        <x:v>CUST-0020</x:v>
      </x:c>
      <x:c r="D1874" s="84" t="str">
        <x:v>Elias Ortiz</x:v>
      </x:c>
      <x:c r="E1874" s="84" t="str">
        <x:v>Consumer</x:v>
      </x:c>
      <x:c r="F1874" s="84" t="str">
        <x:v>Southeast</x:v>
      </x:c>
      <x:c r="G1874" s="84" t="str">
        <x:v>Miami</x:v>
      </x:c>
      <x:c r="H1874" s="84" t="str">
        <x:v>Retail Store</x:v>
      </x:c>
      <x:c r="I1874" s="84" t="str">
        <x:v>ELEC-005</x:v>
      </x:c>
      <x:c r="J1874" s="86" t="n">
        <x:v>2</x:v>
      </x:c>
      <x:c r="K1874" s="87" t="n">
        <x:v>0.1</x:v>
      </x:c>
      <x:c r="L1874" s="84" t="str">
        <x:v>Completed</x:v>
      </x:c>
      <x:c r="M1874" s="84" t="str">
        <x:v>cash</x:v>
      </x:c>
      <x:c r="N1874" s="84" t="str">
        <x:v>Noah Reed</x:v>
      </x:c>
      <x:c r="O1874" s="85" t="n">
        <x:v>45899</x:v>
      </x:c>
      <x:c r="P1874" s="84" t="str">
        <x:v>POS_2025_08</x:v>
      </x:c>
      <x:c r="Q1874" s="84" t="str">
        <x:v>HD Webcam </x:v>
      </x:c>
      <x:c r="R1874" s="84" t="str">
        <x:v>Electronics</x:v>
      </x:c>
    </x:row>
    <x:row r="1875">
      <x:c r="A1875" s="84" t="str">
        <x:v>ORD-2025-00383</x:v>
      </x:c>
      <x:c r="B1875" s="85" t="n">
        <x:v>45899</x:v>
      </x:c>
      <x:c r="C1875" s="84" t="str">
        <x:v>CUST-0268</x:v>
      </x:c>
      <x:c r="D1875" s="84" t="str">
        <x:v>Aiden Moore </x:v>
      </x:c>
      <x:c r="E1875" s="84" t="str">
        <x:v>Small Business</x:v>
      </x:c>
      <x:c r="F1875" s="84" t="str">
        <x:v>Midwest</x:v>
      </x:c>
      <x:c r="G1875" s="84" t="str">
        <x:v>Chicago</x:v>
      </x:c>
      <x:c r="H1875" s="84" t="str">
        <x:v>Online</x:v>
      </x:c>
      <x:c r="I1875" s="84" t="str">
        <x:v>HOME-002</x:v>
      </x:c>
      <x:c r="J1875" s="86" t="n">
        <x:v>2</x:v>
      </x:c>
      <x:c r="K1875" s="87" t="n">
        <x:v>0.15</x:v>
      </x:c>
      <x:c r="L1875" s="84" t="str">
        <x:v>Completed</x:v>
      </x:c>
      <x:c r="M1875" s="84" t="str">
        <x:v>Credit Card </x:v>
      </x:c>
      <x:c r="N1875" s="84" t="str">
        <x:v>Lucas Grant</x:v>
      </x:c>
      <x:c r="O1875" s="85" t="n">
        <x:v>45903</x:v>
      </x:c>
      <x:c r="P1875" s="84" t="str">
        <x:v>WEB_2025_08</x:v>
      </x:c>
      <x:c r="Q1875" s="84" t="str">
        <x:v>electric kettle</x:v>
      </x:c>
      <x:c r="R1875" s="84" t="str">
        <x:v>Home &amp; Kitchen</x:v>
      </x:c>
    </x:row>
    <x:row r="1876">
      <x:c r="A1876" s="84" t="str">
        <x:v>ORD-2025-00847</x:v>
      </x:c>
      <x:c r="B1876" s="85" t="n">
        <x:v>45901</x:v>
      </x:c>
      <x:c r="C1876" s="84" t="str">
        <x:v>CUST-0281</x:v>
      </x:c>
      <x:c r="D1876" s="84" t="str">
        <x:v> JONAH FOSTER </x:v>
      </x:c>
      <x:c r="E1876" s="84" t="str">
        <x:v>consumer</x:v>
      </x:c>
      <x:c r="F1876" s="84" t="str">
        <x:v> MIDWEST </x:v>
      </x:c>
      <x:c r="G1876" s="84" t="str">
        <x:v>Detroit </x:v>
      </x:c>
      <x:c r="H1876" s="84" t="str">
        <x:v>retail store</x:v>
      </x:c>
      <x:c r="I1876" s="84" t="str">
        <x:v>OFFC-004</x:v>
      </x:c>
      <x:c r="J1876" s="86" t="n">
        <x:v>1</x:v>
      </x:c>
      <x:c r="K1876" s="87" t="n">
        <x:v>0.05</x:v>
      </x:c>
      <x:c r="L1876" s="84" t="str">
        <x:v>Returned</x:v>
      </x:c>
      <x:c r="M1876" s="84" t="str">
        <x:v>Cash</x:v>
      </x:c>
      <x:c r="N1876" s="84" t="str">
        <x:v>Zoe Turner</x:v>
      </x:c>
      <x:c r="O1876" s="85" t="n">
        <x:v>45902</x:v>
      </x:c>
      <x:c r="P1876" s="84" t="str">
        <x:v>POS_2025_09</x:v>
      </x:c>
      <x:c r="Q1876" s="84" t="str">
        <x:v>Premium Notebook Pack</x:v>
      </x:c>
      <x:c r="R1876" s="84" t="str">
        <x:v>Office</x:v>
      </x:c>
    </x:row>
    <x:row r="1877">
      <x:c r="A1877" s="84" t="str">
        <x:v>ORD-2025-01904</x:v>
      </x:c>
      <x:c r="B1877" s="85" t="n">
        <x:v>45901</x:v>
      </x:c>
      <x:c r="C1877" s="84" t="str">
        <x:v>CUST-0223</x:v>
      </x:c>
      <x:c r="D1877" s="84" t="str">
        <x:v>Victoria Irwin</x:v>
      </x:c>
      <x:c r="E1877" s="84" t="str">
        <x:v> CONSUMER </x:v>
      </x:c>
      <x:c r="F1877" s="84" t="str">
        <x:v>Southeast</x:v>
      </x:c>
      <x:c r="G1877" s="84" t="str">
        <x:v>Charlotte </x:v>
      </x:c>
      <x:c r="H1877" s="84" t="str">
        <x:v>Retail Store</x:v>
      </x:c>
      <x:c r="I1877" s="84" t="str">
        <x:v>OFFC-003</x:v>
      </x:c>
      <x:c r="J1877" s="86" t="n">
        <x:v>2</x:v>
      </x:c>
      <x:c r="K1877" s="87" t="n">
        <x:v>0</x:v>
      </x:c>
      <x:c r="L1877" s="84" t="str">
        <x:v>Completed</x:v>
      </x:c>
      <x:c r="M1877" s="84" t="str">
        <x:v>Cash</x:v>
      </x:c>
      <x:c r="N1877" s="84" t="str">
        <x:v>Liam Parker</x:v>
      </x:c>
      <x:c r="O1877" s="85" t="n">
        <x:v>45902</x:v>
      </x:c>
      <x:c r="P1877" s="84" t="str">
        <x:v>POS_2025_09</x:v>
      </x:c>
      <x:c r="Q1877" s="84" t="str">
        <x:v>LED Desk Lamp</x:v>
      </x:c>
      <x:c r="R1877" s="84" t="str">
        <x:v>Office</x:v>
      </x:c>
    </x:row>
    <x:row r="1878">
      <x:c r="A1878" s="84" t="str">
        <x:v>ORD-2025-00193</x:v>
      </x:c>
      <x:c r="B1878" s="85" t="n">
        <x:v>45902</x:v>
      </x:c>
      <x:c r="C1878" s="84" t="str">
        <x:v>CUST-0316</x:v>
      </x:c>
      <x:c r="D1878" s="84" t="str">
        <x:v>Jonah Nelson</x:v>
      </x:c>
      <x:c r="E1878" s="84" t="str">
        <x:v>Small Business</x:v>
      </x:c>
      <x:c r="F1878" s="84" t="str">
        <x:v>Midwest </x:v>
      </x:c>
      <x:c r="G1878" s="84" t="str">
        <x:v>Detroit</x:v>
      </x:c>
      <x:c r="H1878" s="84" t="str">
        <x:v> ONLINE </x:v>
      </x:c>
      <x:c r="I1878" s="84" t="str">
        <x:v>ACCS-002</x:v>
      </x:c>
      <x:c r="J1878" s="86" t="n">
        <x:v>1</x:v>
      </x:c>
      <x:c r="K1878" s="87" t="n">
        <x:v>0.05</x:v>
      </x:c>
      <x:c r="L1878" s="84" t="str">
        <x:v>Completed</x:v>
      </x:c>
      <x:c r="M1878" s="84" t="str">
        <x:v>Mobile Wallet</x:v>
      </x:c>
      <x:c r="N1878" s="84" t="str">
        <x:v>Zoe Turner </x:v>
      </x:c>
      <x:c r="O1878" s="85" t="n">
        <x:v>45907</x:v>
      </x:c>
      <x:c r="P1878" s="84" t="str">
        <x:v>WEB_2025_09</x:v>
      </x:c>
      <x:c r="Q1878" s="84" t="str">
        <x:v>Travel Backpack</x:v>
      </x:c>
      <x:c r="R1878" s="84" t="str">
        <x:v>Accessories</x:v>
      </x:c>
    </x:row>
    <x:row r="1879">
      <x:c r="A1879" s="84" t="str">
        <x:v>ORD-2025-00182</x:v>
      </x:c>
      <x:c r="B1879" s="85" t="n">
        <x:v>45903</x:v>
      </x:c>
      <x:c r="C1879" s="84" t="str">
        <x:v>CUST-0208</x:v>
      </x:c>
      <x:c r="D1879" s="84" t="str">
        <x:v>Layla Patel</x:v>
      </x:c>
      <x:c r="E1879" s="84" t="str">
        <x:v>Consumer </x:v>
      </x:c>
      <x:c r="F1879" s="84" t="str">
        <x:v>West</x:v>
      </x:c>
      <x:c r="G1879" s="84" t="str">
        <x:v>Los Angeles </x:v>
      </x:c>
      <x:c r="H1879" s="84" t="str">
        <x:v>Retail Store</x:v>
      </x:c>
      <x:c r="I1879" s="84" t="str">
        <x:v>ELEC-003</x:v>
      </x:c>
      <x:c r="J1879" s="86" t="n">
        <x:v>2</x:v>
      </x:c>
      <x:c r="K1879" s="87" t="n">
        <x:v>0.15</x:v>
      </x:c>
      <x:c r="L1879" s="84" t="str">
        <x:v>Completed</x:v>
      </x:c>
      <x:c r="M1879" s="84" t="str">
        <x:v>Debit Card</x:v>
      </x:c>
      <x:c r="N1879" s="84" t="str">
        <x:v>Mia Chen</x:v>
      </x:c>
      <x:c r="O1879" s="85" t="n">
        <x:v>45903</x:v>
      </x:c>
      <x:c r="P1879" s="84" t="str">
        <x:v>POS_2025_09</x:v>
      </x:c>
      <x:c r="Q1879" s="84" t="str">
        <x:v>Bluetooth Speaker</x:v>
      </x:c>
      <x:c r="R1879" s="84" t="str">
        <x:v>Electronics</x:v>
      </x:c>
    </x:row>
    <x:row r="1880">
      <x:c r="A1880" s="84" t="str">
        <x:v>ORD-2025-00219</x:v>
      </x:c>
      <x:c r="B1880" s="85" t="n">
        <x:v>45903</x:v>
      </x:c>
      <x:c r="C1880" s="84" t="str">
        <x:v>CUST-0275</x:v>
      </x:c>
      <x:c r="D1880" s="84" t="str">
        <x:v>Theo Ortiz</x:v>
      </x:c>
      <x:c r="E1880" s="84" t="str">
        <x:v>Corporate</x:v>
      </x:c>
      <x:c r="F1880" s="84" t="str">
        <x:v>Southeast</x:v>
      </x:c>
      <x:c r="G1880" s="84" t="str">
        <x:v>Miami</x:v>
      </x:c>
      <x:c r="H1880" s="84" t="str">
        <x:v>Marketplace</x:v>
      </x:c>
      <x:c r="I1880" s="84" t="str">
        <x:v>FITN-005</x:v>
      </x:c>
      <x:c r="J1880" s="86" t="n">
        <x:v>3</x:v>
      </x:c>
      <x:c r="K1880" s="87" t="n">
        <x:v>0.05</x:v>
      </x:c>
      <x:c r="L1880" s="84" t="str">
        <x:v>Completed</x:v>
      </x:c>
      <x:c r="M1880" s="84" t="str">
        <x:v>paypal</x:v>
      </x:c>
      <x:c r="N1880" s="84" t="str">
        <x:v>Ava Mitchell</x:v>
      </x:c>
      <x:c r="O1880" s="85" t="n">
        <x:v>45907</x:v>
      </x:c>
      <x:c r="P1880" s="84" t="str">
        <x:v>MKT_2025_09</x:v>
      </x:c>
      <x:c r="Q1880" s="84" t="str">
        <x:v>Sports Water Bottle</x:v>
      </x:c>
      <x:c r="R1880" s="84" t="str">
        <x:v> FITNESS </x:v>
      </x:c>
    </x:row>
    <x:row r="1881">
      <x:c r="A1881" s="84" t="str">
        <x:v>ORD-2025-00244</x:v>
      </x:c>
      <x:c r="B1881" s="85" t="n">
        <x:v>45903</x:v>
      </x:c>
      <x:c r="C1881" s="84" t="str">
        <x:v>CUST-0105</x:v>
      </x:c>
      <x:c r="D1881" s="84" t="str">
        <x:v>Chloe Ortiz</x:v>
      </x:c>
      <x:c r="E1881" s="84" t="str"/>
      <x:c r="F1881" s="84" t="str">
        <x:v>West</x:v>
      </x:c>
      <x:c r="G1881" s="84" t="str">
        <x:v>Phoenix</x:v>
      </x:c>
      <x:c r="H1881" s="84" t="str">
        <x:v> RETAIL STORE </x:v>
      </x:c>
      <x:c r="I1881" s="84" t="str">
        <x:v>HOME-002</x:v>
      </x:c>
      <x:c r="J1881" s="86" t="n">
        <x:v>6</x:v>
      </x:c>
      <x:c r="K1881" s="87" t="n">
        <x:v>0.05</x:v>
      </x:c>
      <x:c r="L1881" s="84" t="str">
        <x:v>Completed </x:v>
      </x:c>
      <x:c r="M1881" s="84" t="str">
        <x:v>Debit Card</x:v>
      </x:c>
      <x:c r="N1881" s="84" t="str">
        <x:v>leo martinez</x:v>
      </x:c>
      <x:c r="O1881" s="85" t="n">
        <x:v>45903</x:v>
      </x:c>
      <x:c r="P1881" s="84" t="str">
        <x:v>POS_2025_09</x:v>
      </x:c>
      <x:c r="Q1881" s="84" t="str">
        <x:v>Electric Kettle</x:v>
      </x:c>
      <x:c r="R1881" s="84" t="str">
        <x:v>Home &amp; Kitchen</x:v>
      </x:c>
    </x:row>
    <x:row r="1882">
      <x:c r="A1882" s="84" t="str">
        <x:v>ORD-2025-00257</x:v>
      </x:c>
      <x:c r="B1882" s="85" t="n">
        <x:v>45903</x:v>
      </x:c>
      <x:c r="C1882" s="84" t="str">
        <x:v>CUST-0629</x:v>
      </x:c>
      <x:c r="D1882" s="84" t="str">
        <x:v>Nina Garcia </x:v>
      </x:c>
      <x:c r="E1882" s="84" t="str">
        <x:v>Consumer</x:v>
      </x:c>
      <x:c r="F1882" s="84" t="str">
        <x:v>Southeast</x:v>
      </x:c>
      <x:c r="G1882" s="84" t="str">
        <x:v>charlotte</x:v>
      </x:c>
      <x:c r="H1882" s="84" t="str">
        <x:v>Retail Store</x:v>
      </x:c>
      <x:c r="I1882" s="84" t="str">
        <x:v>FITN-006</x:v>
      </x:c>
      <x:c r="J1882" s="86" t="n">
        <x:v>1</x:v>
      </x:c>
      <x:c r="K1882" s="87" t="n">
        <x:v>0.05</x:v>
      </x:c>
      <x:c r="L1882" s="84" t="str">
        <x:v>completed</x:v>
      </x:c>
      <x:c r="M1882" s="84" t="str">
        <x:v>Debit Card </x:v>
      </x:c>
      <x:c r="N1882" s="84" t="str">
        <x:v>Ava Mitchell</x:v>
      </x:c>
      <x:c r="O1882" s="85" t="n">
        <x:v>45903</x:v>
      </x:c>
      <x:c r="P1882" s="84" t="str">
        <x:v>POS_2025_09</x:v>
      </x:c>
      <x:c r="Q1882" s="84" t="str">
        <x:v>Foam Roller</x:v>
      </x:c>
      <x:c r="R1882" s="84" t="str">
        <x:v>Fitness</x:v>
      </x:c>
    </x:row>
    <x:row r="1883">
      <x:c r="A1883" s="84" t="str">
        <x:v>ORD-2025-00508</x:v>
      </x:c>
      <x:c r="B1883" s="85" t="n">
        <x:v>45903</x:v>
      </x:c>
      <x:c r="C1883" s="84" t="str">
        <x:v>CUST-0506</x:v>
      </x:c>
      <x:c r="D1883" s="84" t="str">
        <x:v>Layla Baker</x:v>
      </x:c>
      <x:c r="E1883" s="84" t="str">
        <x:v>Consumer</x:v>
      </x:c>
      <x:c r="F1883" s="84" t="str">
        <x:v>Midwest </x:v>
      </x:c>
      <x:c r="G1883" s="84" t="str">
        <x:v>Columbus</x:v>
      </x:c>
      <x:c r="H1883" s="84" t="str">
        <x:v>Marketplace</x:v>
      </x:c>
      <x:c r="I1883" s="84" t="str">
        <x:v>HOME-004</x:v>
      </x:c>
      <x:c r="J1883" s="86" t="n">
        <x:v>2</x:v>
      </x:c>
      <x:c r="K1883" s="87" t="n">
        <x:v>0.05</x:v>
      </x:c>
      <x:c r="L1883" s="84" t="str">
        <x:v>Completed</x:v>
      </x:c>
      <x:c r="M1883" s="84" t="str">
        <x:v>Debit Card</x:v>
      </x:c>
      <x:c r="N1883" s="84" t="str">
        <x:v>lucas grant</x:v>
      </x:c>
      <x:c r="O1883" s="85" t="n">
        <x:v>45907</x:v>
      </x:c>
      <x:c r="P1883" s="84" t="str">
        <x:v>MKT_2025_09</x:v>
      </x:c>
      <x:c r="Q1883" s="84" t="str">
        <x:v>Coffee Maker</x:v>
      </x:c>
      <x:c r="R1883" s="84" t="str">
        <x:v> HOME &amp; KITCHEN </x:v>
      </x:c>
    </x:row>
    <x:row r="1884">
      <x:c r="A1884" s="84" t="str">
        <x:v>ORD-2025-01252</x:v>
      </x:c>
      <x:c r="B1884" s="85" t="n">
        <x:v>45903</x:v>
      </x:c>
      <x:c r="C1884" s="84" t="str">
        <x:v>CUST-0290</x:v>
      </x:c>
      <x:c r="D1884" s="84" t="str">
        <x:v>Nathan Baker</x:v>
      </x:c>
      <x:c r="E1884" s="84" t="str">
        <x:v>Consumer</x:v>
      </x:c>
      <x:c r="F1884" s="84" t="str">
        <x:v>West</x:v>
      </x:c>
      <x:c r="G1884" s="84" t="str">
        <x:v>Denver</x:v>
      </x:c>
      <x:c r="H1884" s="84" t="str">
        <x:v>Online</x:v>
      </x:c>
      <x:c r="I1884" s="84" t="str">
        <x:v>OFFC-005</x:v>
      </x:c>
      <x:c r="J1884" s="86" t="n">
        <x:v>2</x:v>
      </x:c>
      <x:c r="K1884" s="87" t="n">
        <x:v>0</x:v>
      </x:c>
      <x:c r="L1884" s="84" t="str">
        <x:v>Completed </x:v>
      </x:c>
      <x:c r="M1884" s="84" t="str">
        <x:v> CREDIT CARD </x:v>
      </x:c>
      <x:c r="N1884" s="84" t="str">
        <x:v>Mia Chen</x:v>
      </x:c>
      <x:c r="O1884" s="85" t="n">
        <x:v>45907</x:v>
      </x:c>
      <x:c r="P1884" s="84" t="str">
        <x:v>WEB_2025_09</x:v>
      </x:c>
      <x:c r="Q1884" s="84" t="str">
        <x:v>wireless keyboard</x:v>
      </x:c>
      <x:c r="R1884" s="84" t="str">
        <x:v>Office</x:v>
      </x:c>
    </x:row>
    <x:row r="1885">
      <x:c r="A1885" s="84" t="str">
        <x:v>ORD-2025-01866</x:v>
      </x:c>
      <x:c r="B1885" s="85" t="n">
        <x:v>45903</x:v>
      </x:c>
      <x:c r="C1885" s="84" t="str">
        <x:v>CUST-0232</x:v>
      </x:c>
      <x:c r="D1885" s="84" t="str">
        <x:v>layla smith</x:v>
      </x:c>
      <x:c r="E1885" s="84" t="str">
        <x:v>Consumer</x:v>
      </x:c>
      <x:c r="F1885" s="84" t="str">
        <x:v>Southeast </x:v>
      </x:c>
      <x:c r="G1885" s="84" t="str">
        <x:v>Atlanta</x:v>
      </x:c>
      <x:c r="H1885" s="84" t="str">
        <x:v>Online</x:v>
      </x:c>
      <x:c r="I1885" s="84" t="str">
        <x:v>CARE-001</x:v>
      </x:c>
      <x:c r="J1885" s="86" t="n">
        <x:v>1</x:v>
      </x:c>
      <x:c r="K1885" s="87" t="n">
        <x:v>0</x:v>
      </x:c>
      <x:c r="L1885" s="84" t="str">
        <x:v>Completed</x:v>
      </x:c>
      <x:c r="M1885" s="84" t="str">
        <x:v>PayPal</x:v>
      </x:c>
      <x:c r="N1885" s="84" t="str">
        <x:v>Liam Parker </x:v>
      </x:c>
      <x:c r="O1885" s="85" t="n">
        <x:v>45906</x:v>
      </x:c>
      <x:c r="P1885" s="84" t="str">
        <x:v>WEB_2025_09</x:v>
      </x:c>
      <x:c r="Q1885" s="84" t="str">
        <x:v>Ionic Hair Dryer</x:v>
      </x:c>
      <x:c r="R1885" s="84" t="str">
        <x:v>Personal Care</x:v>
      </x:c>
    </x:row>
    <x:row r="1886">
      <x:c r="A1886" s="84" t="str">
        <x:v>ORD-2025-00622</x:v>
      </x:c>
      <x:c r="B1886" s="85" t="n">
        <x:v>45904</x:v>
      </x:c>
      <x:c r="C1886" s="84" t="str">
        <x:v>CUST-0246</x:v>
      </x:c>
      <x:c r="D1886" s="84" t="str">
        <x:v>Maya Baker</x:v>
      </x:c>
      <x:c r="E1886" s="84" t="str">
        <x:v>Corporate</x:v>
      </x:c>
      <x:c r="F1886" s="84" t="str">
        <x:v>Southeast</x:v>
      </x:c>
      <x:c r="G1886" s="84" t="str">
        <x:v> ATLANTA </x:v>
      </x:c>
      <x:c r="H1886" s="84" t="str">
        <x:v>Online</x:v>
      </x:c>
      <x:c r="I1886" s="84" t="str">
        <x:v>HOME-001</x:v>
      </x:c>
      <x:c r="J1886" s="86" t="n">
        <x:v>2</x:v>
      </x:c>
      <x:c r="K1886" s="87" t="n">
        <x:v>0</x:v>
      </x:c>
      <x:c r="L1886" s="84" t="str">
        <x:v>Completed </x:v>
      </x:c>
      <x:c r="M1886" s="84" t="str">
        <x:v>Debit Card</x:v>
      </x:c>
      <x:c r="N1886" s="84" t="str">
        <x:v>Ava Mitchell</x:v>
      </x:c>
      <x:c r="O1886" s="85" t="n">
        <x:v>45908</x:v>
      </x:c>
      <x:c r="P1886" s="84" t="str">
        <x:v>WEB_2025_09</x:v>
      </x:c>
      <x:c r="Q1886" s="84" t="str">
        <x:v>Air Fryer</x:v>
      </x:c>
      <x:c r="R1886" s="84" t="str">
        <x:v>Home &amp; Kitchen</x:v>
      </x:c>
    </x:row>
    <x:row r="1887">
      <x:c r="A1887" s="84" t="str">
        <x:v>ORD-2025-00983</x:v>
      </x:c>
      <x:c r="B1887" s="85" t="n">
        <x:v>45904</x:v>
      </x:c>
      <x:c r="C1887" s="84" t="str">
        <x:v>CUST-0330</x:v>
      </x:c>
      <x:c r="D1887" s="84" t="str">
        <x:v> DANIEL CARTER </x:v>
      </x:c>
      <x:c r="E1887" s="84" t="str">
        <x:v>Corporate</x:v>
      </x:c>
      <x:c r="F1887" s="84" t="str">
        <x:v> SOUTHEAST </x:v>
      </x:c>
      <x:c r="G1887" s="84" t="str">
        <x:v>nashville</x:v>
      </x:c>
      <x:c r="H1887" s="84" t="str">
        <x:v>Marketplace </x:v>
      </x:c>
      <x:c r="I1887" s="84" t="str">
        <x:v>OFFC-005</x:v>
      </x:c>
      <x:c r="J1887" s="86" t="n">
        <x:v>3</x:v>
      </x:c>
      <x:c r="K1887" s="87" t="n">
        <x:v>0.15</x:v>
      </x:c>
      <x:c r="L1887" s="84" t="str">
        <x:v>completed</x:v>
      </x:c>
      <x:c r="M1887" s="84" t="str">
        <x:v>Debit Card</x:v>
      </x:c>
      <x:c r="N1887" s="84" t="str">
        <x:v>Noah Reed</x:v>
      </x:c>
      <x:c r="O1887" s="85" t="n">
        <x:v>45907</x:v>
      </x:c>
      <x:c r="P1887" s="84" t="str">
        <x:v>MKT_2025_09</x:v>
      </x:c>
      <x:c r="Q1887" s="84" t="str">
        <x:v>Wireless Keyboard</x:v>
      </x:c>
      <x:c r="R1887" s="84" t="str">
        <x:v>Office</x:v>
      </x:c>
    </x:row>
    <x:row r="1888">
      <x:c r="A1888" s="84" t="str">
        <x:v>ORD-2025-01358</x:v>
      </x:c>
      <x:c r="B1888" s="85" t="n">
        <x:v>45904</x:v>
      </x:c>
      <x:c r="C1888" s="84" t="str">
        <x:v>CUST-0146</x:v>
      </x:c>
      <x:c r="D1888" s="84" t="str">
        <x:v>Elena Quinn</x:v>
      </x:c>
      <x:c r="E1888" s="84" t="str">
        <x:v>Consumer </x:v>
      </x:c>
      <x:c r="F1888" s="84" t="str">
        <x:v>West</x:v>
      </x:c>
      <x:c r="G1888" s="84" t="str">
        <x:v>Seattle </x:v>
      </x:c>
      <x:c r="H1888" s="84" t="str">
        <x:v>Marketplace</x:v>
      </x:c>
      <x:c r="I1888" s="84" t="str">
        <x:v>ELEC-006</x:v>
      </x:c>
      <x:c r="J1888" s="86" t="n">
        <x:v>1</x:v>
      </x:c>
      <x:c r="K1888" s="87" t="n">
        <x:v>0.1</x:v>
      </x:c>
      <x:c r="L1888" s="84" t="str">
        <x:v>Completed</x:v>
      </x:c>
      <x:c r="M1888" s="84" t="str">
        <x:v>Credit Card</x:v>
      </x:c>
      <x:c r="N1888" s="84" t="str">
        <x:v>Mia Chen</x:v>
      </x:c>
      <x:c r="O1888" s="85" t="n">
        <x:v>45909</x:v>
      </x:c>
      <x:c r="P1888" s="84" t="str">
        <x:v>MKT_2025_09</x:v>
      </x:c>
      <x:c r="Q1888" s="84" t="str">
        <x:v>Portable SSD</x:v>
      </x:c>
      <x:c r="R1888" s="84" t="str">
        <x:v> ELECTRONICS </x:v>
      </x:c>
    </x:row>
    <x:row r="1889">
      <x:c r="A1889" s="84" t="str">
        <x:v>ORD-2025-00161</x:v>
      </x:c>
      <x:c r="B1889" s="85" t="n">
        <x:v>45905</x:v>
      </x:c>
      <x:c r="C1889" s="84" t="str">
        <x:v>CUST-0517</x:v>
      </x:c>
      <x:c r="D1889" s="84" t="str">
        <x:v>layla irwin</x:v>
      </x:c>
      <x:c r="E1889" s="84" t="str">
        <x:v>Corporate </x:v>
      </x:c>
      <x:c r="F1889" s="84" t="str">
        <x:v>Northeast</x:v>
      </x:c>
      <x:c r="G1889" s="84" t="str">
        <x:v>Newark </x:v>
      </x:c>
      <x:c r="H1889" s="84" t="str">
        <x:v>Retail Store</x:v>
      </x:c>
      <x:c r="I1889" s="84" t="str">
        <x:v>OFFC-004</x:v>
      </x:c>
      <x:c r="J1889" s="86" t="n">
        <x:v>8</x:v>
      </x:c>
      <x:c r="K1889" s="87" t="n">
        <x:v>0.05</x:v>
      </x:c>
      <x:c r="L1889" s="84" t="str">
        <x:v>Completed</x:v>
      </x:c>
      <x:c r="M1889" s="84" t="str">
        <x:v>Credit Card</x:v>
      </x:c>
      <x:c r="N1889" s="84" t="str">
        <x:v>Sofia Bennett</x:v>
      </x:c>
      <x:c r="O1889" s="85" t="n">
        <x:v>45905</x:v>
      </x:c>
      <x:c r="P1889" s="84" t="str">
        <x:v>POS_2025_09</x:v>
      </x:c>
      <x:c r="Q1889" s="84" t="str">
        <x:v>Premium Notebook Pack</x:v>
      </x:c>
      <x:c r="R1889" s="84" t="str">
        <x:v>Office</x:v>
      </x:c>
    </x:row>
    <x:row r="1890">
      <x:c r="A1890" s="84" t="str">
        <x:v>ORD-2025-00512</x:v>
      </x:c>
      <x:c r="B1890" s="85" t="n">
        <x:v>45905</x:v>
      </x:c>
      <x:c r="C1890" s="84" t="str">
        <x:v>CUST-0245</x:v>
      </x:c>
      <x:c r="D1890" s="84" t="str">
        <x:v>Victoria Carter</x:v>
      </x:c>
      <x:c r="E1890" s="84" t="str">
        <x:v>Consumer</x:v>
      </x:c>
      <x:c r="F1890" s="84" t="str">
        <x:v>West</x:v>
      </x:c>
      <x:c r="G1890" s="84" t="str">
        <x:v>Los Angeles</x:v>
      </x:c>
      <x:c r="H1890" s="84" t="str">
        <x:v>Retail Store</x:v>
      </x:c>
      <x:c r="I1890" s="84" t="str">
        <x:v>ACCS-002</x:v>
      </x:c>
      <x:c r="J1890" s="86" t="n">
        <x:v>1</x:v>
      </x:c>
      <x:c r="K1890" s="87" t="n">
        <x:v>0.05</x:v>
      </x:c>
      <x:c r="L1890" s="84" t="str">
        <x:v>Completed</x:v>
      </x:c>
      <x:c r="M1890" s="84" t="str">
        <x:v>Credit Card</x:v>
      </x:c>
      <x:c r="N1890" s="84" t="str">
        <x:v>Mia Chen</x:v>
      </x:c>
      <x:c r="O1890" s="85" t="n">
        <x:v>45905</x:v>
      </x:c>
      <x:c r="P1890" s="84" t="str">
        <x:v>POS_2025_09</x:v>
      </x:c>
      <x:c r="Q1890" s="84" t="str">
        <x:v>Travel Backpack </x:v>
      </x:c>
      <x:c r="R1890" s="84" t="str">
        <x:v>Accessories</x:v>
      </x:c>
    </x:row>
    <x:row r="1891">
      <x:c r="A1891" s="84" t="str">
        <x:v>ORD-2025-00726</x:v>
      </x:c>
      <x:c r="B1891" s="85" t="n">
        <x:v>45905</x:v>
      </x:c>
      <x:c r="C1891" s="84" t="str">
        <x:v>CUST-0076</x:v>
      </x:c>
      <x:c r="D1891" s="84" t="str">
        <x:v>Jonah Patel </x:v>
      </x:c>
      <x:c r="E1891" s="84" t="str">
        <x:v>small business</x:v>
      </x:c>
      <x:c r="F1891" s="84" t="str">
        <x:v>Southeast</x:v>
      </x:c>
      <x:c r="G1891" s="84" t="str">
        <x:v>Charlotte</x:v>
      </x:c>
      <x:c r="H1891" s="84" t="str">
        <x:v>marketplace</x:v>
      </x:c>
      <x:c r="I1891" s="84" t="str">
        <x:v>ELEC-005</x:v>
      </x:c>
      <x:c r="J1891" s="86" t="n">
        <x:v>1</x:v>
      </x:c>
      <x:c r="K1891" s="87" t="n">
        <x:v>0</x:v>
      </x:c>
      <x:c r="L1891" s="84" t="str">
        <x:v>Completed</x:v>
      </x:c>
      <x:c r="M1891" s="84" t="str">
        <x:v>Credit Card </x:v>
      </x:c>
      <x:c r="N1891" s="84" t="str">
        <x:v>Ava Mitchell</x:v>
      </x:c>
      <x:c r="O1891" s="85" t="n">
        <x:v>45912</x:v>
      </x:c>
      <x:c r="P1891" s="84" t="str">
        <x:v>MKT_2025_09</x:v>
      </x:c>
      <x:c r="Q1891" s="84" t="str">
        <x:v>HD Webcam</x:v>
      </x:c>
      <x:c r="R1891" s="84" t="str">
        <x:v>Electronics</x:v>
      </x:c>
    </x:row>
    <x:row r="1892">
      <x:c r="A1892" s="84" t="str">
        <x:v>ORD-2025-00770</x:v>
      </x:c>
      <x:c r="B1892" s="85" t="n">
        <x:v>45905</x:v>
      </x:c>
      <x:c r="C1892" s="84" t="str">
        <x:v>CUST-0547</x:v>
      </x:c>
      <x:c r="D1892" s="84" t="str">
        <x:v>Jonah Davis</x:v>
      </x:c>
      <x:c r="E1892" s="84" t="str">
        <x:v>corporate</x:v>
      </x:c>
      <x:c r="F1892" s="84" t="str">
        <x:v>Midwest</x:v>
      </x:c>
      <x:c r="G1892" s="84" t="str">
        <x:v>Chicago </x:v>
      </x:c>
      <x:c r="H1892" s="84" t="str">
        <x:v>online</x:v>
      </x:c>
      <x:c r="I1892" s="84" t="str">
        <x:v>HOME-002</x:v>
      </x:c>
      <x:c r="J1892" s="86" t="n">
        <x:v>5</x:v>
      </x:c>
      <x:c r="K1892" s="87" t="n">
        <x:v>0</x:v>
      </x:c>
      <x:c r="L1892" s="84" t="str">
        <x:v> COMPLETED </x:v>
      </x:c>
      <x:c r="M1892" s="84" t="str">
        <x:v>Credit Card</x:v>
      </x:c>
      <x:c r="N1892" s="84" t="str">
        <x:v>Lucas Grant</x:v>
      </x:c>
      <x:c r="O1892" s="85" t="n">
        <x:v>45907</x:v>
      </x:c>
      <x:c r="P1892" s="84" t="str">
        <x:v>WEB_2025_09</x:v>
      </x:c>
      <x:c r="Q1892" s="84" t="str">
        <x:v>Electric Kettle</x:v>
      </x:c>
      <x:c r="R1892" s="84" t="str">
        <x:v>Home &amp; Kitchen</x:v>
      </x:c>
    </x:row>
    <x:row r="1893">
      <x:c r="A1893" s="84" t="str">
        <x:v>ORD-2025-01305</x:v>
      </x:c>
      <x:c r="B1893" s="85" t="n">
        <x:v>45905</x:v>
      </x:c>
      <x:c r="C1893" s="84" t="str">
        <x:v>CUST-0358</x:v>
      </x:c>
      <x:c r="D1893" s="84" t="str">
        <x:v>grace roberts</x:v>
      </x:c>
      <x:c r="E1893" s="84" t="str">
        <x:v>Consumer</x:v>
      </x:c>
      <x:c r="F1893" s="84" t="str">
        <x:v>West</x:v>
      </x:c>
      <x:c r="G1893" s="84" t="str">
        <x:v>Seattle</x:v>
      </x:c>
      <x:c r="H1893" s="84" t="str">
        <x:v>Marketplace </x:v>
      </x:c>
      <x:c r="I1893" s="84" t="str">
        <x:v>FITN-004</x:v>
      </x:c>
      <x:c r="J1893" s="86" t="n">
        <x:v>2</x:v>
      </x:c>
      <x:c r="K1893" s="87" t="n">
        <x:v>0.05</x:v>
      </x:c>
      <x:c r="L1893" s="84" t="str">
        <x:v>Completed</x:v>
      </x:c>
      <x:c r="M1893" s="84" t="str">
        <x:v>Mobile Wallet</x:v>
      </x:c>
      <x:c r="N1893" s="84" t="str">
        <x:v>Nora Kim</x:v>
      </x:c>
      <x:c r="O1893" s="85" t="n">
        <x:v>45912</x:v>
      </x:c>
      <x:c r="P1893" s="84" t="str">
        <x:v>MKT_2025_09</x:v>
      </x:c>
      <x:c r="Q1893" s="84" t="str">
        <x:v>Fitness Tracker</x:v>
      </x:c>
      <x:c r="R1893" s="84" t="str">
        <x:v>Fitness</x:v>
      </x:c>
    </x:row>
    <x:row r="1894">
      <x:c r="A1894" s="84" t="str">
        <x:v>ORD-2025-01688</x:v>
      </x:c>
      <x:c r="B1894" s="85" t="n">
        <x:v>45905</x:v>
      </x:c>
      <x:c r="C1894" s="84" t="str">
        <x:v>CUST-0541</x:v>
      </x:c>
      <x:c r="D1894" s="84" t="str">
        <x:v>Caleb Adams</x:v>
      </x:c>
      <x:c r="E1894" s="84" t="str">
        <x:v>Small Business</x:v>
      </x:c>
      <x:c r="F1894" s="84" t="str">
        <x:v>Northeast</x:v>
      </x:c>
      <x:c r="G1894" s="84" t="str">
        <x:v>Newark</x:v>
      </x:c>
      <x:c r="H1894" s="84" t="str">
        <x:v>Online</x:v>
      </x:c>
      <x:c r="I1894" s="84" t="str">
        <x:v>ACCS-001</x:v>
      </x:c>
      <x:c r="J1894" s="86" t="n">
        <x:v>2</x:v>
      </x:c>
      <x:c r="K1894" s="87" t="n">
        <x:v>0.1</x:v>
      </x:c>
      <x:c r="L1894" s="84" t="str">
        <x:v> COMPLETED </x:v>
      </x:c>
      <x:c r="M1894" s="84" t="str">
        <x:v>Credit Card</x:v>
      </x:c>
      <x:c r="N1894" s="84" t="str">
        <x:v>Ethan Cole</x:v>
      </x:c>
      <x:c r="O1894" s="85" t="n">
        <x:v>45907</x:v>
      </x:c>
      <x:c r="P1894" s="84" t="str">
        <x:v>WEB_2025_09</x:v>
      </x:c>
      <x:c r="Q1894" s="84" t="str">
        <x:v>Canvas Tote Bag </x:v>
      </x:c>
      <x:c r="R1894" s="84" t="str">
        <x:v>Accessories</x:v>
      </x:c>
    </x:row>
    <x:row r="1895">
      <x:c r="A1895" s="84" t="str">
        <x:v>ORD-2025-01774</x:v>
      </x:c>
      <x:c r="B1895" s="85" t="n">
        <x:v>45905</x:v>
      </x:c>
      <x:c r="C1895" s="84" t="str">
        <x:v>CUST-0441</x:v>
      </x:c>
      <x:c r="D1895" s="84" t="str">
        <x:v>Maya Roberts</x:v>
      </x:c>
      <x:c r="E1895" s="84" t="str">
        <x:v>Consumer</x:v>
      </x:c>
      <x:c r="F1895" s="84" t="str">
        <x:v>Southeast</x:v>
      </x:c>
      <x:c r="G1895" s="84" t="str">
        <x:v>Atlanta</x:v>
      </x:c>
      <x:c r="H1895" s="84" t="str">
        <x:v> ONLINE </x:v>
      </x:c>
      <x:c r="I1895" s="84" t="str">
        <x:v>HOME-003</x:v>
      </x:c>
      <x:c r="J1895" s="86" t="n">
        <x:v>3</x:v>
      </x:c>
      <x:c r="K1895" s="87" t="n">
        <x:v>0.05</x:v>
      </x:c>
      <x:c r="L1895" s="84" t="str">
        <x:v>Completed</x:v>
      </x:c>
      <x:c r="M1895" s="84" t="str">
        <x:v>Debit Card</x:v>
      </x:c>
      <x:c r="N1895" s="84" t="str">
        <x:v>Liam Parker</x:v>
      </x:c>
      <x:c r="O1895" s="85" t="n">
        <x:v>45909</x:v>
      </x:c>
      <x:c r="P1895" s="84" t="str">
        <x:v>WEB_2025_09</x:v>
      </x:c>
      <x:c r="Q1895" s="84" t="str">
        <x:v>Countertop Blender</x:v>
      </x:c>
      <x:c r="R1895" s="84" t="str">
        <x:v>home &amp; kitchen</x:v>
      </x:c>
    </x:row>
    <x:row r="1896">
      <x:c r="A1896" s="84" t="str">
        <x:v>ORD-2025-01922</x:v>
      </x:c>
      <x:c r="B1896" s="85" t="n">
        <x:v>45905</x:v>
      </x:c>
      <x:c r="C1896" s="84" t="str">
        <x:v>CUST-0567</x:v>
      </x:c>
      <x:c r="D1896" s="84" t="str">
        <x:v>Amelia Walker</x:v>
      </x:c>
      <x:c r="E1896" s="84" t="str">
        <x:v>Consumer</x:v>
      </x:c>
      <x:c r="F1896" s="84" t="str">
        <x:v>west</x:v>
      </x:c>
      <x:c r="G1896" s="84" t="str">
        <x:v>Denver</x:v>
      </x:c>
      <x:c r="H1896" s="84" t="str">
        <x:v>Online</x:v>
      </x:c>
      <x:c r="I1896" s="84" t="str">
        <x:v>ELEC-006</x:v>
      </x:c>
      <x:c r="J1896" s="86" t="n">
        <x:v>1</x:v>
      </x:c>
      <x:c r="K1896" s="87" t="n">
        <x:v>0</x:v>
      </x:c>
      <x:c r="L1896" s="84" t="str">
        <x:v>Completed</x:v>
      </x:c>
      <x:c r="M1896" s="84" t="str">
        <x:v>Mobile Wallet</x:v>
      </x:c>
      <x:c r="N1896" s="84" t="str">
        <x:v>Leo Martinez </x:v>
      </x:c>
      <x:c r="O1896" s="85" t="n">
        <x:v>45909</x:v>
      </x:c>
      <x:c r="P1896" s="84" t="str">
        <x:v>WEB_2025_09</x:v>
      </x:c>
      <x:c r="Q1896" s="84" t="str">
        <x:v>Portable SSD</x:v>
      </x:c>
      <x:c r="R1896" s="84" t="str">
        <x:v>Electronics</x:v>
      </x:c>
    </x:row>
    <x:row r="1897">
      <x:c r="A1897" s="84" t="str">
        <x:v>ORD-2025-02221</x:v>
      </x:c>
      <x:c r="B1897" s="85" t="n">
        <x:v>45905</x:v>
      </x:c>
      <x:c r="C1897" s="84" t="str">
        <x:v>CUST-0576</x:v>
      </x:c>
      <x:c r="D1897" s="84" t="str">
        <x:v>Maya Walker</x:v>
      </x:c>
      <x:c r="E1897" s="84" t="str">
        <x:v>Corporate</x:v>
      </x:c>
      <x:c r="F1897" s="84" t="str">
        <x:v>Northeast</x:v>
      </x:c>
      <x:c r="G1897" s="84" t="str">
        <x:v>New York</x:v>
      </x:c>
      <x:c r="H1897" s="84" t="str">
        <x:v>Online</x:v>
      </x:c>
      <x:c r="I1897" s="84" t="str">
        <x:v>CARE-002</x:v>
      </x:c>
      <x:c r="J1897" s="86" t="n">
        <x:v>8</x:v>
      </x:c>
      <x:c r="K1897" s="87" t="n">
        <x:v>0</x:v>
      </x:c>
      <x:c r="L1897" s="84" t="str">
        <x:v>Completed</x:v>
      </x:c>
      <x:c r="M1897" s="84" t="str">
        <x:v> DEBIT CARD </x:v>
      </x:c>
      <x:c r="N1897" s="84" t="str">
        <x:v>Ethan Cole</x:v>
      </x:c>
      <x:c r="O1897" s="85" t="n">
        <x:v>45911</x:v>
      </x:c>
      <x:c r="P1897" s="84" t="str">
        <x:v>WEB_2025_09</x:v>
      </x:c>
      <x:c r="Q1897" s="84" t="str">
        <x:v>Rechargeable Trimmer</x:v>
      </x:c>
      <x:c r="R1897" s="84" t="str">
        <x:v>Personal Care </x:v>
      </x:c>
    </x:row>
    <x:row r="1898">
      <x:c r="A1898" s="84" t="str">
        <x:v>ORD-2025-00730</x:v>
      </x:c>
      <x:c r="B1898" s="85" t="n">
        <x:v>45906</x:v>
      </x:c>
      <x:c r="C1898" s="84" t="str">
        <x:v>CUST-0246</x:v>
      </x:c>
      <x:c r="D1898" s="84" t="str">
        <x:v>Maya Baker</x:v>
      </x:c>
      <x:c r="E1898" s="84" t="str">
        <x:v>Corporate</x:v>
      </x:c>
      <x:c r="F1898" s="84" t="str">
        <x:v>Southeast</x:v>
      </x:c>
      <x:c r="G1898" s="84" t="str">
        <x:v>atlanta</x:v>
      </x:c>
      <x:c r="H1898" s="84" t="str">
        <x:v>Marketplace</x:v>
      </x:c>
      <x:c r="I1898" s="84" t="str">
        <x:v>OFFC-005</x:v>
      </x:c>
      <x:c r="J1898" s="86" t="n">
        <x:v>2</x:v>
      </x:c>
      <x:c r="K1898" s="87" t="n">
        <x:v>0.05</x:v>
      </x:c>
      <x:c r="L1898" s="84" t="str">
        <x:v>completed</x:v>
      </x:c>
      <x:c r="M1898" s="84" t="str">
        <x:v>Credit Card</x:v>
      </x:c>
      <x:c r="N1898" s="84" t="str">
        <x:v>Liam Parker</x:v>
      </x:c>
      <x:c r="O1898" s="85" t="n">
        <x:v>45910</x:v>
      </x:c>
      <x:c r="P1898" s="84" t="str">
        <x:v>MKT_2025_09</x:v>
      </x:c>
      <x:c r="Q1898" s="84" t="str">
        <x:v>Wireless Keyboard</x:v>
      </x:c>
      <x:c r="R1898" s="84" t="str">
        <x:v>Office </x:v>
      </x:c>
    </x:row>
    <x:row r="1899">
      <x:c r="A1899" s="84" t="str">
        <x:v>ORD-2025-01043</x:v>
      </x:c>
      <x:c r="B1899" s="85" t="n">
        <x:v>45906</x:v>
      </x:c>
      <x:c r="C1899" s="84" t="str">
        <x:v>CUST-0007</x:v>
      </x:c>
      <x:c r="D1899" s="84" t="str">
        <x:v>Owen Roberts</x:v>
      </x:c>
      <x:c r="E1899" s="84" t="str">
        <x:v>Consumer </x:v>
      </x:c>
      <x:c r="F1899" s="84" t="str">
        <x:v>Northeast</x:v>
      </x:c>
      <x:c r="G1899" s="84" t="str">
        <x:v>Newark </x:v>
      </x:c>
      <x:c r="H1899" s="84" t="str">
        <x:v> ONLINE </x:v>
      </x:c>
      <x:c r="I1899" s="84" t="str">
        <x:v>OFFC-002</x:v>
      </x:c>
      <x:c r="J1899" s="86" t="n">
        <x:v>1</x:v>
      </x:c>
      <x:c r="K1899" s="87" t="n">
        <x:v>0.15</x:v>
      </x:c>
      <x:c r="L1899" s="84" t="str">
        <x:v>Completed</x:v>
      </x:c>
      <x:c r="M1899" s="84" t="str">
        <x:v>Credit Card</x:v>
      </x:c>
      <x:c r="N1899" s="84" t="str">
        <x:v>Maya Brooks</x:v>
      </x:c>
      <x:c r="O1899" s="85" t="n">
        <x:v>45908</x:v>
      </x:c>
      <x:c r="P1899" s="84" t="str">
        <x:v>WEB_2025_09</x:v>
      </x:c>
      <x:c r="Q1899" s="84" t="str">
        <x:v>standing desk</x:v>
      </x:c>
      <x:c r="R1899" s="84" t="str">
        <x:v>Office</x:v>
      </x:c>
    </x:row>
    <x:row r="1900">
      <x:c r="A1900" s="84" t="str">
        <x:v>ORD-2025-01048</x:v>
      </x:c>
      <x:c r="B1900" s="85" t="n">
        <x:v>45906</x:v>
      </x:c>
      <x:c r="C1900" s="84" t="str">
        <x:v>CUST-0478</x:v>
      </x:c>
      <x:c r="D1900" s="84" t="str">
        <x:v>Owen Smith </x:v>
      </x:c>
      <x:c r="E1900" s="84" t="str">
        <x:v>Small Business</x:v>
      </x:c>
      <x:c r="F1900" s="84" t="str">
        <x:v>Northeast</x:v>
      </x:c>
      <x:c r="G1900" s="84" t="str">
        <x:v>New York</x:v>
      </x:c>
      <x:c r="H1900" s="84" t="str">
        <x:v>Retail Store</x:v>
      </x:c>
      <x:c r="I1900" s="84" t="str">
        <x:v>OFFC-003</x:v>
      </x:c>
      <x:c r="J1900" s="86" t="n">
        <x:v>3</x:v>
      </x:c>
      <x:c r="K1900" s="87" t="n">
        <x:v>0.05</x:v>
      </x:c>
      <x:c r="L1900" s="84" t="str">
        <x:v>Completed</x:v>
      </x:c>
      <x:c r="M1900" s="84" t="str">
        <x:v> DEBIT CARD </x:v>
      </x:c>
      <x:c r="N1900" s="84" t="str">
        <x:v>Maya Brooks</x:v>
      </x:c>
      <x:c r="O1900" s="85" t="n">
        <x:v>45906</x:v>
      </x:c>
      <x:c r="P1900" s="84" t="str">
        <x:v>POS_2025_09</x:v>
      </x:c>
      <x:c r="Q1900" s="84" t="str">
        <x:v>LED Desk Lamp</x:v>
      </x:c>
      <x:c r="R1900" s="84" t="str">
        <x:v>office</x:v>
      </x:c>
    </x:row>
    <x:row r="1901">
      <x:c r="A1901" s="84" t="str">
        <x:v>ORD-2025-01464</x:v>
      </x:c>
      <x:c r="B1901" s="85" t="n">
        <x:v>45906</x:v>
      </x:c>
      <x:c r="C1901" s="84" t="str">
        <x:v>CUST-0569</x:v>
      </x:c>
      <x:c r="D1901" s="84" t="str">
        <x:v>Daniel Walker</x:v>
      </x:c>
      <x:c r="E1901" s="84" t="str"/>
      <x:c r="F1901" s="84" t="str">
        <x:v>Midwest</x:v>
      </x:c>
      <x:c r="G1901" s="84" t="str">
        <x:v>Chicago</x:v>
      </x:c>
      <x:c r="H1901" s="84" t="str">
        <x:v>Marketplace</x:v>
      </x:c>
      <x:c r="I1901" s="84" t="str">
        <x:v>ACCS-003</x:v>
      </x:c>
      <x:c r="J1901" s="86" t="n">
        <x:v>3</x:v>
      </x:c>
      <x:c r="K1901" s="87" t="n">
        <x:v>0.1</x:v>
      </x:c>
      <x:c r="L1901" s="84" t="str">
        <x:v>Completed</x:v>
      </x:c>
      <x:c r="M1901" s="84" t="str">
        <x:v>Credit Card</x:v>
      </x:c>
      <x:c r="N1901" s="84" t="str">
        <x:v>Emma Hayes</x:v>
      </x:c>
      <x:c r="O1901" s="85" t="n">
        <x:v>45910</x:v>
      </x:c>
      <x:c r="P1901" s="84" t="str">
        <x:v>MKT_2025_09</x:v>
      </x:c>
      <x:c r="Q1901" s="84" t="str">
        <x:v>Polarized Sunglasses </x:v>
      </x:c>
      <x:c r="R1901" s="84" t="str">
        <x:v>Accessories</x:v>
      </x:c>
    </x:row>
    <x:row r="1902">
      <x:c r="A1902" s="84" t="str">
        <x:v>ORD-2025-02085</x:v>
      </x:c>
      <x:c r="B1902" s="85" t="n">
        <x:v>45906</x:v>
      </x:c>
      <x:c r="C1902" s="84" t="str">
        <x:v>CUST-0310</x:v>
      </x:c>
      <x:c r="D1902" s="84" t="str">
        <x:v>Marcus Patel</x:v>
      </x:c>
      <x:c r="E1902" s="84" t="str">
        <x:v>Consumer</x:v>
      </x:c>
      <x:c r="F1902" s="84" t="str">
        <x:v>Midwest</x:v>
      </x:c>
      <x:c r="G1902" s="84" t="str">
        <x:v>Columbus</x:v>
      </x:c>
      <x:c r="H1902" s="84" t="str">
        <x:v>Retail Store</x:v>
      </x:c>
      <x:c r="I1902" s="84" t="str">
        <x:v>ACCS-002</x:v>
      </x:c>
      <x:c r="J1902" s="86" t="n">
        <x:v>3</x:v>
      </x:c>
      <x:c r="K1902" s="87" t="n">
        <x:v>0.05</x:v>
      </x:c>
      <x:c r="L1902" s="84" t="str">
        <x:v>Completed </x:v>
      </x:c>
      <x:c r="M1902" s="84" t="str">
        <x:v> DEBIT CARD </x:v>
      </x:c>
      <x:c r="N1902" s="84" t="str">
        <x:v>Zoe Turner</x:v>
      </x:c>
      <x:c r="O1902" s="85" t="n">
        <x:v>45906</x:v>
      </x:c>
      <x:c r="P1902" s="84" t="str">
        <x:v>POS_2025_09</x:v>
      </x:c>
      <x:c r="Q1902" s="84" t="str">
        <x:v>Travel Backpack</x:v>
      </x:c>
      <x:c r="R1902" s="84" t="str">
        <x:v>Accessories</x:v>
      </x:c>
    </x:row>
    <x:row r="1903">
      <x:c r="A1903" s="84" t="str">
        <x:v>ORD-2025-00773</x:v>
      </x:c>
      <x:c r="B1903" s="85" t="n">
        <x:v>45907</x:v>
      </x:c>
      <x:c r="C1903" s="84" t="str">
        <x:v>CUST-0002</x:v>
      </x:c>
      <x:c r="D1903" s="84" t="str">
        <x:v>Isaac Ortiz</x:v>
      </x:c>
      <x:c r="E1903" s="84" t="str">
        <x:v>Corporate</x:v>
      </x:c>
      <x:c r="F1903" s="84" t="str">
        <x:v>Northeast</x:v>
      </x:c>
      <x:c r="G1903" s="84" t="str">
        <x:v>New York</x:v>
      </x:c>
      <x:c r="H1903" s="84" t="str">
        <x:v>Retail Store </x:v>
      </x:c>
      <x:c r="I1903" s="84" t="str">
        <x:v>ELEC-003</x:v>
      </x:c>
      <x:c r="J1903" s="86" t="n">
        <x:v>2</x:v>
      </x:c>
      <x:c r="K1903" s="87" t="n">
        <x:v>0.15</x:v>
      </x:c>
      <x:c r="L1903" s="84" t="str">
        <x:v>Returned</x:v>
      </x:c>
      <x:c r="M1903" s="84" t="str">
        <x:v>Debit Card</x:v>
      </x:c>
      <x:c r="N1903" s="84" t="str">
        <x:v>Maya Brooks</x:v>
      </x:c>
      <x:c r="O1903" s="85" t="n">
        <x:v>45908</x:v>
      </x:c>
      <x:c r="P1903" s="84" t="str">
        <x:v>POS_2025_09</x:v>
      </x:c>
      <x:c r="Q1903" s="84" t="str">
        <x:v>Bluetooth Speaker</x:v>
      </x:c>
      <x:c r="R1903" s="84" t="str">
        <x:v>electronics</x:v>
      </x:c>
    </x:row>
    <x:row r="1904">
      <x:c r="A1904" s="84" t="str">
        <x:v>ORD-2025-01370</x:v>
      </x:c>
      <x:c r="B1904" s="85" t="n">
        <x:v>45907</x:v>
      </x:c>
      <x:c r="C1904" s="84" t="str">
        <x:v>CUST-0173</x:v>
      </x:c>
      <x:c r="D1904" s="84" t="str">
        <x:v>Theo Evans </x:v>
      </x:c>
      <x:c r="E1904" s="84" t="str">
        <x:v>Consumer</x:v>
      </x:c>
      <x:c r="F1904" s="84" t="str">
        <x:v>Northeast</x:v>
      </x:c>
      <x:c r="G1904" s="84" t="str">
        <x:v> BOSTON </x:v>
      </x:c>
      <x:c r="H1904" s="84" t="str">
        <x:v>Marketplace</x:v>
      </x:c>
      <x:c r="I1904" s="84" t="str">
        <x:v>OFFC-006</x:v>
      </x:c>
      <x:c r="J1904" s="86" t="n">
        <x:v>2</x:v>
      </x:c>
      <x:c r="K1904" s="87" t="n">
        <x:v>0.1</x:v>
      </x:c>
      <x:c r="L1904" s="84" t="str">
        <x:v>Completed</x:v>
      </x:c>
      <x:c r="M1904" s="84" t="str">
        <x:v>Credit Card </x:v>
      </x:c>
      <x:c r="N1904" s="84" t="str">
        <x:v>Sofia Bennett</x:v>
      </x:c>
      <x:c r="O1904" s="85" t="n">
        <x:v>45912</x:v>
      </x:c>
      <x:c r="P1904" s="84" t="str">
        <x:v>MKT_2025_09</x:v>
      </x:c>
      <x:c r="Q1904" s="84" t="str">
        <x:v>Monitor Stand</x:v>
      </x:c>
      <x:c r="R1904" s="84" t="str">
        <x:v>Office</x:v>
      </x:c>
    </x:row>
    <x:row r="1905">
      <x:c r="A1905" s="84" t="str">
        <x:v>ORD-2025-01881</x:v>
      </x:c>
      <x:c r="B1905" s="85" t="n">
        <x:v>45907</x:v>
      </x:c>
      <x:c r="C1905" s="84" t="str">
        <x:v>CUST-0382</x:v>
      </x:c>
      <x:c r="D1905" s="84" t="str">
        <x:v>Samuel Adams </x:v>
      </x:c>
      <x:c r="E1905" s="84" t="str">
        <x:v>corporate</x:v>
      </x:c>
      <x:c r="F1905" s="84" t="str">
        <x:v>Northeast</x:v>
      </x:c>
      <x:c r="G1905" s="84" t="str">
        <x:v>Boston</x:v>
      </x:c>
      <x:c r="H1905" s="84" t="str">
        <x:v>online</x:v>
      </x:c>
      <x:c r="I1905" s="84" t="str">
        <x:v>FITN-001</x:v>
      </x:c>
      <x:c r="J1905" s="86" t="n">
        <x:v>1</x:v>
      </x:c>
      <x:c r="K1905" s="87" t="n">
        <x:v>0</x:v>
      </x:c>
      <x:c r="L1905" s="84" t="str">
        <x:v>Completed</x:v>
      </x:c>
      <x:c r="M1905" s="84" t="str">
        <x:v> DEBIT CARD </x:v>
      </x:c>
      <x:c r="N1905" s="84" t="str">
        <x:v>Ethan Cole</x:v>
      </x:c>
      <x:c r="O1905" s="85" t="n">
        <x:v>45909</x:v>
      </x:c>
      <x:c r="P1905" s="84" t="str">
        <x:v>WEB_2025_09</x:v>
      </x:c>
      <x:c r="Q1905" s="84" t="str">
        <x:v>Yoga Mat</x:v>
      </x:c>
      <x:c r="R1905" s="84" t="str">
        <x:v>Fitness</x:v>
      </x:c>
    </x:row>
    <x:row r="1906">
      <x:c r="A1906" s="84" t="str">
        <x:v>ORD-2025-00163</x:v>
      </x:c>
      <x:c r="B1906" s="85" t="n">
        <x:v>45908</x:v>
      </x:c>
      <x:c r="C1906" s="84" t="str">
        <x:v>CUST-0085</x:v>
      </x:c>
      <x:c r="D1906" s="84" t="str">
        <x:v>Amelia Adams</x:v>
      </x:c>
      <x:c r="E1906" s="84" t="str">
        <x:v>Small Business</x:v>
      </x:c>
      <x:c r="F1906" s="84" t="str">
        <x:v>West</x:v>
      </x:c>
      <x:c r="G1906" s="84" t="str">
        <x:v> PHOENIX </x:v>
      </x:c>
      <x:c r="H1906" s="84" t="str">
        <x:v>Marketplace</x:v>
      </x:c>
      <x:c r="I1906" s="84" t="str">
        <x:v>CARE-004</x:v>
      </x:c>
      <x:c r="J1906" s="86" t="n">
        <x:v>2</x:v>
      </x:c>
      <x:c r="K1906" s="87" t="n">
        <x:v>0.1</x:v>
      </x:c>
      <x:c r="L1906" s="84" t="str">
        <x:v>Completed</x:v>
      </x:c>
      <x:c r="M1906" s="84" t="str">
        <x:v>Credit Card</x:v>
      </x:c>
      <x:c r="N1906" s="84" t="str">
        <x:v>Nora Kim</x:v>
      </x:c>
      <x:c r="O1906" s="85" t="n">
        <x:v>45916</x:v>
      </x:c>
      <x:c r="P1906" s="84" t="str">
        <x:v>MKT_2025_09</x:v>
      </x:c>
      <x:c r="Q1906" s="84" t="str">
        <x:v>electric toothbrush</x:v>
      </x:c>
      <x:c r="R1906" s="84" t="str">
        <x:v>Personal Care </x:v>
      </x:c>
    </x:row>
    <x:row r="1907">
      <x:c r="A1907" s="84" t="str">
        <x:v>ORD-2025-01826</x:v>
      </x:c>
      <x:c r="B1907" s="85" t="n">
        <x:v>45908</x:v>
      </x:c>
      <x:c r="C1907" s="84" t="str">
        <x:v>CUST-0373</x:v>
      </x:c>
      <x:c r="D1907" s="84" t="str">
        <x:v>Caleb Taylor</x:v>
      </x:c>
      <x:c r="E1907" s="84" t="str">
        <x:v>corporate</x:v>
      </x:c>
      <x:c r="F1907" s="84" t="str">
        <x:v>Midwest</x:v>
      </x:c>
      <x:c r="G1907" s="84" t="str">
        <x:v>Columbus</x:v>
      </x:c>
      <x:c r="H1907" s="84" t="str">
        <x:v>retail store</x:v>
      </x:c>
      <x:c r="I1907" s="84" t="str">
        <x:v>FITN-004</x:v>
      </x:c>
      <x:c r="J1907" s="86" t="n">
        <x:v>3</x:v>
      </x:c>
      <x:c r="K1907" s="87" t="n">
        <x:v>0.05</x:v>
      </x:c>
      <x:c r="L1907" s="84" t="str">
        <x:v>Completed </x:v>
      </x:c>
      <x:c r="M1907" s="84" t="str">
        <x:v>Credit Card</x:v>
      </x:c>
      <x:c r="N1907" s="84" t="str">
        <x:v>Emma Hayes</x:v>
      </x:c>
      <x:c r="O1907" s="85" t="n">
        <x:v>45908</x:v>
      </x:c>
      <x:c r="P1907" s="84" t="str">
        <x:v>POS_2025_09</x:v>
      </x:c>
      <x:c r="Q1907" s="84" t="str">
        <x:v>Fitness Tracker</x:v>
      </x:c>
      <x:c r="R1907" s="84" t="str">
        <x:v>Fitness</x:v>
      </x:c>
    </x:row>
    <x:row r="1908">
      <x:c r="A1908" s="84" t="str">
        <x:v>ORD-2025-02060</x:v>
      </x:c>
      <x:c r="B1908" s="85" t="n">
        <x:v>45908</x:v>
      </x:c>
      <x:c r="C1908" s="84" t="str">
        <x:v>CUST-0046</x:v>
      </x:c>
      <x:c r="D1908" s="84" t="str">
        <x:v>Nathan Moore</x:v>
      </x:c>
      <x:c r="E1908" s="84" t="str">
        <x:v>Consumer</x:v>
      </x:c>
      <x:c r="F1908" s="84" t="str">
        <x:v>Midwest</x:v>
      </x:c>
      <x:c r="G1908" s="84" t="str">
        <x:v>Columbus</x:v>
      </x:c>
      <x:c r="H1908" s="84" t="str">
        <x:v>Retail Store</x:v>
      </x:c>
      <x:c r="I1908" s="84" t="str">
        <x:v>CARE-005</x:v>
      </x:c>
      <x:c r="J1908" s="86" t="n">
        <x:v>1</x:v>
      </x:c>
      <x:c r="K1908" s="87" t="n">
        <x:v>0.1</x:v>
      </x:c>
      <x:c r="L1908" s="84" t="str">
        <x:v>Completed</x:v>
      </x:c>
      <x:c r="M1908" s="84" t="str">
        <x:v>Mobile Wallet</x:v>
      </x:c>
      <x:c r="N1908" s="84" t="str">
        <x:v> ZOE TURNER </x:v>
      </x:c>
      <x:c r="O1908" s="85" t="n">
        <x:v>45908</x:v>
      </x:c>
      <x:c r="P1908" s="84" t="str">
        <x:v>POS_2025_09</x:v>
      </x:c>
      <x:c r="Q1908" s="84" t="str">
        <x:v>Skin Care Starter Kit</x:v>
      </x:c>
      <x:c r="R1908" s="84" t="str">
        <x:v>personal care</x:v>
      </x:c>
    </x:row>
    <x:row r="1909">
      <x:c r="A1909" s="84" t="str">
        <x:v>ORD-2025-00498</x:v>
      </x:c>
      <x:c r="B1909" s="85" t="n">
        <x:v>45909</x:v>
      </x:c>
      <x:c r="C1909" s="84" t="str">
        <x:v>CUST-0416</x:v>
      </x:c>
      <x:c r="D1909" s="84" t="str">
        <x:v>Isaac Garcia</x:v>
      </x:c>
      <x:c r="E1909" s="84" t="str">
        <x:v>Consumer</x:v>
      </x:c>
      <x:c r="F1909" s="84" t="str">
        <x:v>Midwest</x:v>
      </x:c>
      <x:c r="G1909" s="84" t="str">
        <x:v>Chicago</x:v>
      </x:c>
      <x:c r="H1909" s="84" t="str">
        <x:v>Marketplace</x:v>
      </x:c>
      <x:c r="I1909" s="84" t="str">
        <x:v>ACCS-003</x:v>
      </x:c>
      <x:c r="J1909" s="86" t="n">
        <x:v>1</x:v>
      </x:c>
      <x:c r="K1909" s="87" t="n">
        <x:v>0.1</x:v>
      </x:c>
      <x:c r="L1909" s="84" t="str">
        <x:v> RETURNED </x:v>
      </x:c>
      <x:c r="M1909" s="84" t="str">
        <x:v>Credit Card</x:v>
      </x:c>
      <x:c r="N1909" s="84" t="str">
        <x:v>Emma Hayes</x:v>
      </x:c>
      <x:c r="O1909" s="85" t="n">
        <x:v>45914</x:v>
      </x:c>
      <x:c r="P1909" s="84" t="str">
        <x:v>MKT_2025_09</x:v>
      </x:c>
      <x:c r="Q1909" s="84" t="str">
        <x:v>Polarized Sunglasses </x:v>
      </x:c>
      <x:c r="R1909" s="84" t="str">
        <x:v>accessories</x:v>
      </x:c>
    </x:row>
    <x:row r="1910">
      <x:c r="A1910" s="84" t="str">
        <x:v>ORD-2025-00552</x:v>
      </x:c>
      <x:c r="B1910" s="85" t="n">
        <x:v>45909</x:v>
      </x:c>
      <x:c r="C1910" s="84" t="str">
        <x:v>CUST-0088</x:v>
      </x:c>
      <x:c r="D1910" s="84" t="str">
        <x:v>Jasmine Khan</x:v>
      </x:c>
      <x:c r="E1910" s="84" t="str">
        <x:v>Consumer</x:v>
      </x:c>
      <x:c r="F1910" s="84" t="str">
        <x:v>Northeast</x:v>
      </x:c>
      <x:c r="G1910" s="84" t="str">
        <x:v>Boston</x:v>
      </x:c>
      <x:c r="H1910" s="84" t="str">
        <x:v>Retail Store</x:v>
      </x:c>
      <x:c r="I1910" s="84" t="str">
        <x:v>OFFC-003</x:v>
      </x:c>
      <x:c r="J1910" s="86" t="n">
        <x:v>1</x:v>
      </x:c>
      <x:c r="K1910" s="87" t="n">
        <x:v>0.05</x:v>
      </x:c>
      <x:c r="L1910" s="84" t="str">
        <x:v>Completed </x:v>
      </x:c>
      <x:c r="M1910" s="84" t="str">
        <x:v>Credit Card</x:v>
      </x:c>
      <x:c r="N1910" s="84" t="str">
        <x:v>sofia bennett</x:v>
      </x:c>
      <x:c r="O1910" s="85" t="n">
        <x:v>45909</x:v>
      </x:c>
      <x:c r="P1910" s="84" t="str">
        <x:v>POS_2025_09</x:v>
      </x:c>
      <x:c r="Q1910" s="84" t="str">
        <x:v>LED Desk Lamp</x:v>
      </x:c>
      <x:c r="R1910" s="84" t="str">
        <x:v>Office</x:v>
      </x:c>
    </x:row>
    <x:row r="1911">
      <x:c r="A1911" s="84" t="str">
        <x:v>ORD-2025-01057</x:v>
      </x:c>
      <x:c r="B1911" s="85" t="n">
        <x:v>45909</x:v>
      </x:c>
      <x:c r="C1911" s="84" t="str">
        <x:v>CUST-0221</x:v>
      </x:c>
      <x:c r="D1911" s="84" t="str">
        <x:v>Priya Irwin</x:v>
      </x:c>
      <x:c r="E1911" s="84" t="str">
        <x:v>Consumer </x:v>
      </x:c>
      <x:c r="F1911" s="84" t="str">
        <x:v>Southeast</x:v>
      </x:c>
      <x:c r="G1911" s="84" t="str">
        <x:v>Charlotte </x:v>
      </x:c>
      <x:c r="H1911" s="84" t="str">
        <x:v>Online</x:v>
      </x:c>
      <x:c r="I1911" s="84" t="str">
        <x:v>ELEC-004</x:v>
      </x:c>
      <x:c r="J1911" s="86" t="n">
        <x:v>2</x:v>
      </x:c>
      <x:c r="K1911" s="87" t="n">
        <x:v>0.15</x:v>
      </x:c>
      <x:c r="L1911" s="84" t="str">
        <x:v>Completed</x:v>
      </x:c>
      <x:c r="M1911" s="84" t="str">
        <x:v>PayPal</x:v>
      </x:c>
      <x:c r="N1911" s="84" t="str">
        <x:v> AVA MITCHELL </x:v>
      </x:c>
      <x:c r="O1911" s="85" t="n">
        <x:v>45915</x:v>
      </x:c>
      <x:c r="P1911" s="84" t="str">
        <x:v>WEB_2025_09</x:v>
      </x:c>
      <x:c r="Q1911" s="84" t="str">
        <x:v>Power Bank</x:v>
      </x:c>
      <x:c r="R1911" s="84" t="str">
        <x:v>Electronics</x:v>
      </x:c>
    </x:row>
    <x:row r="1912">
      <x:c r="A1912" s="84" t="str">
        <x:v>ORD-2025-01660</x:v>
      </x:c>
      <x:c r="B1912" s="85" t="n">
        <x:v>45909</x:v>
      </x:c>
      <x:c r="C1912" s="84" t="str">
        <x:v>CUST-0410</x:v>
      </x:c>
      <x:c r="D1912" s="84" t="str">
        <x:v>Jasmine Quinn</x:v>
      </x:c>
      <x:c r="E1912" s="84" t="str">
        <x:v>Consumer</x:v>
      </x:c>
      <x:c r="F1912" s="84" t="str">
        <x:v>Midwest</x:v>
      </x:c>
      <x:c r="G1912" s="84" t="str">
        <x:v>Chicago</x:v>
      </x:c>
      <x:c r="H1912" s="84" t="str">
        <x:v>Marketplace</x:v>
      </x:c>
      <x:c r="I1912" s="84" t="str">
        <x:v>OFFC-004</x:v>
      </x:c>
      <x:c r="J1912" s="86" t="n">
        <x:v>1</x:v>
      </x:c>
      <x:c r="K1912" s="87" t="n">
        <x:v>0.15</x:v>
      </x:c>
      <x:c r="L1912" s="84" t="str">
        <x:v>Completed</x:v>
      </x:c>
      <x:c r="M1912" s="84" t="str">
        <x:v> CREDIT CARD </x:v>
      </x:c>
      <x:c r="N1912" s="84" t="str">
        <x:v>Zoe Turner</x:v>
      </x:c>
      <x:c r="O1912" s="85" t="n">
        <x:v>45912</x:v>
      </x:c>
      <x:c r="P1912" s="84" t="str">
        <x:v>MKT_2025_09</x:v>
      </x:c>
      <x:c r="Q1912" s="84" t="str">
        <x:v>Premium Notebook Pack </x:v>
      </x:c>
      <x:c r="R1912" s="84" t="str">
        <x:v>Office</x:v>
      </x:c>
    </x:row>
    <x:row r="1913">
      <x:c r="A1913" s="84" t="str">
        <x:v>ORD-2025-01738</x:v>
      </x:c>
      <x:c r="B1913" s="85" t="n">
        <x:v>45909</x:v>
      </x:c>
      <x:c r="C1913" s="84" t="str">
        <x:v>CUST-0631</x:v>
      </x:c>
      <x:c r="D1913" s="84" t="str">
        <x:v>Amelia Adams</x:v>
      </x:c>
      <x:c r="E1913" s="84" t="str">
        <x:v>consumer</x:v>
      </x:c>
      <x:c r="F1913" s="84" t="str">
        <x:v>Midwest</x:v>
      </x:c>
      <x:c r="G1913" s="84" t="str">
        <x:v>Minneapolis</x:v>
      </x:c>
      <x:c r="H1913" s="84" t="str">
        <x:v>online</x:v>
      </x:c>
      <x:c r="I1913" s="84" t="str">
        <x:v>ELEC-003</x:v>
      </x:c>
      <x:c r="J1913" s="86" t="n">
        <x:v>2</x:v>
      </x:c>
      <x:c r="K1913" s="87" t="n">
        <x:v>0.2</x:v>
      </x:c>
      <x:c r="L1913" s="84" t="str">
        <x:v>Completed</x:v>
      </x:c>
      <x:c r="M1913" s="84" t="str">
        <x:v>Debit Card</x:v>
      </x:c>
      <x:c r="N1913" s="84" t="str">
        <x:v>Lucas Grant</x:v>
      </x:c>
      <x:c r="O1913" s="85" t="n">
        <x:v>45915</x:v>
      </x:c>
      <x:c r="P1913" s="84" t="str">
        <x:v>WEB_2025_09</x:v>
      </x:c>
      <x:c r="Q1913" s="84" t="str">
        <x:v> BLUETOOTH SPEAKER </x:v>
      </x:c>
      <x:c r="R1913" s="84" t="str">
        <x:v>Electronics </x:v>
      </x:c>
    </x:row>
    <x:row r="1914">
      <x:c r="A1914" s="84" t="str">
        <x:v>ORD-2025-02236</x:v>
      </x:c>
      <x:c r="B1914" s="85" t="n">
        <x:v>45909</x:v>
      </x:c>
      <x:c r="C1914" s="84" t="str">
        <x:v>CUST-0318</x:v>
      </x:c>
      <x:c r="D1914" s="84" t="str">
        <x:v>Theo Baker</x:v>
      </x:c>
      <x:c r="E1914" s="84" t="str">
        <x:v>Consumer</x:v>
      </x:c>
      <x:c r="F1914" s="84" t="str">
        <x:v>Midwest</x:v>
      </x:c>
      <x:c r="G1914" s="84" t="str">
        <x:v>Detroit</x:v>
      </x:c>
      <x:c r="H1914" s="84" t="str">
        <x:v>Retail Store </x:v>
      </x:c>
      <x:c r="I1914" s="84" t="str">
        <x:v>CARE-006</x:v>
      </x:c>
      <x:c r="J1914" s="86" t="n">
        <x:v>1</x:v>
      </x:c>
      <x:c r="K1914" s="87" t="n">
        <x:v>0.15</x:v>
      </x:c>
      <x:c r="L1914" s="84" t="str">
        <x:v>Completed</x:v>
      </x:c>
      <x:c r="M1914" s="84" t="str">
        <x:v>Debit Card</x:v>
      </x:c>
      <x:c r="N1914" s="84" t="str">
        <x:v>Lucas Grant</x:v>
      </x:c>
      <x:c r="O1914" s="85" t="n">
        <x:v>45909</x:v>
      </x:c>
      <x:c r="P1914" s="84" t="str">
        <x:v>POS_2025_09</x:v>
      </x:c>
      <x:c r="Q1914" s="84" t="str">
        <x:v>Percussion Massage Gun</x:v>
      </x:c>
      <x:c r="R1914" s="84" t="str">
        <x:v>personal care</x:v>
      </x:c>
    </x:row>
    <x:row r="1915">
      <x:c r="A1915" s="84" t="str">
        <x:v>ORD-2025-00211</x:v>
      </x:c>
      <x:c r="B1915" s="85" t="n">
        <x:v>45910</x:v>
      </x:c>
      <x:c r="C1915" s="84" t="str">
        <x:v>CUST-0378</x:v>
      </x:c>
      <x:c r="D1915" s="84" t="str">
        <x:v>Victoria Nelson</x:v>
      </x:c>
      <x:c r="E1915" s="84" t="str">
        <x:v>Consumer</x:v>
      </x:c>
      <x:c r="F1915" s="84" t="str">
        <x:v>Midwest</x:v>
      </x:c>
      <x:c r="G1915" s="84" t="str">
        <x:v>Chicago</x:v>
      </x:c>
      <x:c r="H1915" s="84" t="str">
        <x:v>Marketplace</x:v>
      </x:c>
      <x:c r="I1915" s="84" t="str">
        <x:v>ELEC-001</x:v>
      </x:c>
      <x:c r="J1915" s="86" t="n">
        <x:v>1</x:v>
      </x:c>
      <x:c r="K1915" s="87" t="n">
        <x:v>0.15</x:v>
      </x:c>
      <x:c r="L1915" s="84" t="str">
        <x:v>Returned</x:v>
      </x:c>
      <x:c r="M1915" s="84" t="str">
        <x:v>Credit Card</x:v>
      </x:c>
      <x:c r="N1915" s="84" t="str">
        <x:v>zoe turner</x:v>
      </x:c>
      <x:c r="O1915" s="85" t="n">
        <x:v>45913</x:v>
      </x:c>
      <x:c r="P1915" s="84" t="str">
        <x:v>MKT_2025_09</x:v>
      </x:c>
      <x:c r="Q1915" s="84" t="str">
        <x:v>Wireless Earbuds </x:v>
      </x:c>
      <x:c r="R1915" s="84" t="str">
        <x:v>Electronics</x:v>
      </x:c>
    </x:row>
    <x:row r="1916">
      <x:c r="A1916" s="84" t="str">
        <x:v>ORD-2025-01226</x:v>
      </x:c>
      <x:c r="B1916" s="85" t="n">
        <x:v>45910</x:v>
      </x:c>
      <x:c r="C1916" s="84" t="str">
        <x:v>CUST-0492</x:v>
      </x:c>
      <x:c r="D1916" s="84" t="str">
        <x:v>Jonah Garcia</x:v>
      </x:c>
      <x:c r="E1916" s="84" t="str">
        <x:v>Small Business</x:v>
      </x:c>
      <x:c r="F1916" s="84" t="str">
        <x:v>Southeast</x:v>
      </x:c>
      <x:c r="G1916" s="84" t="str">
        <x:v>Charlotte</x:v>
      </x:c>
      <x:c r="H1916" s="84" t="str">
        <x:v>Online</x:v>
      </x:c>
      <x:c r="I1916" s="84" t="str">
        <x:v>ACCS-006</x:v>
      </x:c>
      <x:c r="J1916" s="86" t="n">
        <x:v>1</x:v>
      </x:c>
      <x:c r="K1916" s="87" t="n">
        <x:v>0.05</x:v>
      </x:c>
      <x:c r="L1916" s="84" t="str">
        <x:v>Completed</x:v>
      </x:c>
      <x:c r="M1916" s="84" t="str">
        <x:v>Debit Card</x:v>
      </x:c>
      <x:c r="N1916" s="84" t="str">
        <x:v>Noah Reed</x:v>
      </x:c>
      <x:c r="O1916" s="85" t="n">
        <x:v>45915</x:v>
      </x:c>
      <x:c r="P1916" s="84" t="str">
        <x:v>WEB_2025_09</x:v>
      </x:c>
      <x:c r="Q1916" s="84" t="str">
        <x:v>Insulated Lunch Bag </x:v>
      </x:c>
      <x:c r="R1916" s="84" t="str">
        <x:v>Accessories</x:v>
      </x:c>
    </x:row>
    <x:row r="1917">
      <x:c r="A1917" s="84" t="str">
        <x:v>ORD-2025-01859</x:v>
      </x:c>
      <x:c r="B1917" s="85" t="n">
        <x:v>45910</x:v>
      </x:c>
      <x:c r="C1917" s="84" t="str">
        <x:v>CUST-0424</x:v>
      </x:c>
      <x:c r="D1917" s="84" t="str">
        <x:v>Layla Quinn</x:v>
      </x:c>
      <x:c r="E1917" s="84" t="str">
        <x:v>consumer</x:v>
      </x:c>
      <x:c r="F1917" s="84" t="str">
        <x:v>Southeast </x:v>
      </x:c>
      <x:c r="G1917" s="84" t="str">
        <x:v>Miami</x:v>
      </x:c>
      <x:c r="H1917" s="84" t="str">
        <x:v> ONLINE </x:v>
      </x:c>
      <x:c r="I1917" s="84" t="str">
        <x:v>ACCS-004</x:v>
      </x:c>
      <x:c r="J1917" s="86" t="n">
        <x:v>1</x:v>
      </x:c>
      <x:c r="K1917" s="87" t="n">
        <x:v>0.1</x:v>
      </x:c>
      <x:c r="L1917" s="84" t="str">
        <x:v>Completed</x:v>
      </x:c>
      <x:c r="M1917" s="84" t="str">
        <x:v>Credit Card</x:v>
      </x:c>
      <x:c r="N1917" s="84" t="str">
        <x:v>Ava Mitchell </x:v>
      </x:c>
      <x:c r="O1917" s="85" t="n">
        <x:v>45915</x:v>
      </x:c>
      <x:c r="P1917" s="84" t="str">
        <x:v>WEB_2025_09</x:v>
      </x:c>
      <x:c r="Q1917" s="84" t="str">
        <x:v>Leather Wallet</x:v>
      </x:c>
      <x:c r="R1917" s="84" t="str">
        <x:v>Accessories</x:v>
      </x:c>
    </x:row>
    <x:row r="1918">
      <x:c r="A1918" s="84" t="str">
        <x:v>ORD-2025-00667</x:v>
      </x:c>
      <x:c r="B1918" s="85" t="n">
        <x:v>45911</x:v>
      </x:c>
      <x:c r="C1918" s="84" t="str">
        <x:v>CUST-0027</x:v>
      </x:c>
      <x:c r="D1918" s="84" t="str">
        <x:v>samuel hall</x:v>
      </x:c>
      <x:c r="E1918" s="84" t="str">
        <x:v>Consumer</x:v>
      </x:c>
      <x:c r="F1918" s="84" t="str">
        <x:v>Northeast</x:v>
      </x:c>
      <x:c r="G1918" s="84" t="str">
        <x:v>Philadelphia</x:v>
      </x:c>
      <x:c r="H1918" s="84" t="str">
        <x:v>Marketplace</x:v>
      </x:c>
      <x:c r="I1918" s="84" t="str">
        <x:v>OFFC-006</x:v>
      </x:c>
      <x:c r="J1918" s="86" t="n">
        <x:v>2</x:v>
      </x:c>
      <x:c r="K1918" s="87" t="n">
        <x:v>0.2</x:v>
      </x:c>
      <x:c r="L1918" s="84" t="str">
        <x:v>Completed</x:v>
      </x:c>
      <x:c r="M1918" s="84" t="str">
        <x:v>PayPal</x:v>
      </x:c>
      <x:c r="N1918" s="84" t="str">
        <x:v>Maya Brooks</x:v>
      </x:c>
      <x:c r="O1918" s="85" t="n">
        <x:v>45919</x:v>
      </x:c>
      <x:c r="P1918" s="84" t="str">
        <x:v>MKT_2025_09</x:v>
      </x:c>
      <x:c r="Q1918" s="84" t="str">
        <x:v> MONITOR STAND </x:v>
      </x:c>
      <x:c r="R1918" s="84" t="str">
        <x:v>Office </x:v>
      </x:c>
    </x:row>
    <x:row r="1919">
      <x:c r="A1919" s="84" t="str">
        <x:v>ORD-2025-00687</x:v>
      </x:c>
      <x:c r="B1919" s="85" t="n">
        <x:v>45911</x:v>
      </x:c>
      <x:c r="C1919" s="84" t="str">
        <x:v>CUST-0584</x:v>
      </x:c>
      <x:c r="D1919" s="84" t="str">
        <x:v>William Khan</x:v>
      </x:c>
      <x:c r="E1919" s="84" t="str">
        <x:v>Corporate</x:v>
      </x:c>
      <x:c r="F1919" s="84" t="str">
        <x:v>Northeast</x:v>
      </x:c>
      <x:c r="G1919" s="84" t="str">
        <x:v>Philadelphia</x:v>
      </x:c>
      <x:c r="H1919" s="84" t="str">
        <x:v>Retail Store</x:v>
      </x:c>
      <x:c r="I1919" s="84" t="str">
        <x:v>OFFC-006</x:v>
      </x:c>
      <x:c r="J1919" s="86" t="n">
        <x:v>1</x:v>
      </x:c>
      <x:c r="K1919" s="87" t="n">
        <x:v>0.2</x:v>
      </x:c>
      <x:c r="L1919" s="84" t="str">
        <x:v>Completed</x:v>
      </x:c>
      <x:c r="M1919" s="84" t="str">
        <x:v>Mobile Wallet</x:v>
      </x:c>
      <x:c r="N1919" s="84" t="str">
        <x:v>Maya Brooks</x:v>
      </x:c>
      <x:c r="O1919" s="85" t="n">
        <x:v>45911</x:v>
      </x:c>
      <x:c r="P1919" s="84" t="str">
        <x:v>POS_2025_09</x:v>
      </x:c>
      <x:c r="Q1919" s="84" t="str">
        <x:v>Monitor Stand </x:v>
      </x:c>
      <x:c r="R1919" s="84" t="str">
        <x:v>Office</x:v>
      </x:c>
    </x:row>
    <x:row r="1920">
      <x:c r="A1920" s="84" t="str">
        <x:v>ORD-2025-02354</x:v>
      </x:c>
      <x:c r="B1920" s="85" t="n">
        <x:v>45911</x:v>
      </x:c>
      <x:c r="C1920" s="84" t="str">
        <x:v>CUST-0251</x:v>
      </x:c>
      <x:c r="D1920" s="84" t="str">
        <x:v>Isaac Patel</x:v>
      </x:c>
      <x:c r="E1920" s="84" t="str">
        <x:v>small business</x:v>
      </x:c>
      <x:c r="F1920" s="84" t="str">
        <x:v>Southeast</x:v>
      </x:c>
      <x:c r="G1920" s="84" t="str">
        <x:v>Atlanta</x:v>
      </x:c>
      <x:c r="H1920" s="84" t="str">
        <x:v>marketplace</x:v>
      </x:c>
      <x:c r="I1920" s="84" t="str">
        <x:v>ELEC-003</x:v>
      </x:c>
      <x:c r="J1920" s="86" t="n">
        <x:v>2</x:v>
      </x:c>
      <x:c r="K1920" s="87" t="n">
        <x:v>0</x:v>
      </x:c>
      <x:c r="L1920" s="84" t="str">
        <x:v>Completed</x:v>
      </x:c>
      <x:c r="M1920" s="84" t="str">
        <x:v>Credit Card</x:v>
      </x:c>
      <x:c r="N1920" s="84" t="str">
        <x:v>Ava Mitchell</x:v>
      </x:c>
      <x:c r="O1920" s="85" t="n">
        <x:v>45917</x:v>
      </x:c>
      <x:c r="P1920" s="84" t="str">
        <x:v>MKT_2025_09</x:v>
      </x:c>
      <x:c r="Q1920" s="84" t="str">
        <x:v>Bluetooth Speaker</x:v>
      </x:c>
      <x:c r="R1920" s="84" t="str">
        <x:v>Electronics </x:v>
      </x:c>
    </x:row>
    <x:row r="1921">
      <x:c r="A1921" s="84" t="str">
        <x:v>ORD-2025-00014</x:v>
      </x:c>
      <x:c r="B1921" s="85" t="n">
        <x:v>45912</x:v>
      </x:c>
      <x:c r="C1921" s="84" t="str">
        <x:v>CUST-0535</x:v>
      </x:c>
      <x:c r="D1921" s="84" t="str">
        <x:v> CALEB WALKER </x:v>
      </x:c>
      <x:c r="E1921" s="84" t="str">
        <x:v>Corporate </x:v>
      </x:c>
      <x:c r="F1921" s="84" t="str">
        <x:v> SOUTHEAST </x:v>
      </x:c>
      <x:c r="G1921" s="84" t="str">
        <x:v>Miami </x:v>
      </x:c>
      <x:c r="H1921" s="84" t="str">
        <x:v>Online</x:v>
      </x:c>
      <x:c r="I1921" s="84" t="str">
        <x:v>CARE-006</x:v>
      </x:c>
      <x:c r="J1921" s="86" t="n">
        <x:v>2</x:v>
      </x:c>
      <x:c r="K1921" s="87" t="n">
        <x:v>0</x:v>
      </x:c>
      <x:c r="L1921" s="84" t="str">
        <x:v>Completed</x:v>
      </x:c>
      <x:c r="M1921" s="84" t="str">
        <x:v>Debit Card</x:v>
      </x:c>
      <x:c r="N1921" s="84" t="str">
        <x:v>Ava Mitchell</x:v>
      </x:c>
      <x:c r="O1921" s="85" t="n">
        <x:v>45916</x:v>
      </x:c>
      <x:c r="P1921" s="84" t="str">
        <x:v>WEB_2025_09</x:v>
      </x:c>
      <x:c r="Q1921" s="84" t="str">
        <x:v>Percussion Massage Gun</x:v>
      </x:c>
      <x:c r="R1921" s="84" t="str">
        <x:v>personal care</x:v>
      </x:c>
    </x:row>
    <x:row r="1922">
      <x:c r="A1922" s="84" t="str">
        <x:v>ORD-2025-00130</x:v>
      </x:c>
      <x:c r="B1922" s="85" t="n">
        <x:v>45912</x:v>
      </x:c>
      <x:c r="C1922" s="84" t="str">
        <x:v>CUST-0035</x:v>
      </x:c>
      <x:c r="D1922" s="84" t="str">
        <x:v>Nathan Ortiz</x:v>
      </x:c>
      <x:c r="E1922" s="84" t="str">
        <x:v>Corporate</x:v>
      </x:c>
      <x:c r="F1922" s="84" t="str">
        <x:v>Southeast </x:v>
      </x:c>
      <x:c r="G1922" s="84" t="str">
        <x:v>Charlotte</x:v>
      </x:c>
      <x:c r="H1922" s="84" t="str">
        <x:v>Retail Store</x:v>
      </x:c>
      <x:c r="I1922" s="84" t="str">
        <x:v>ELEC-003</x:v>
      </x:c>
      <x:c r="J1922" s="86" t="n">
        <x:v>8</x:v>
      </x:c>
      <x:c r="K1922" s="87" t="n">
        <x:v>0.05</x:v>
      </x:c>
      <x:c r="L1922" s="84" t="str">
        <x:v>Completed</x:v>
      </x:c>
      <x:c r="M1922" s="84" t="str">
        <x:v> DEBIT CARD </x:v>
      </x:c>
      <x:c r="N1922" s="84" t="str">
        <x:v>Ava Mitchell </x:v>
      </x:c>
      <x:c r="O1922" s="85" t="n">
        <x:v>45912</x:v>
      </x:c>
      <x:c r="P1922" s="84" t="str">
        <x:v>POS_2025_09</x:v>
      </x:c>
      <x:c r="Q1922" s="84" t="str">
        <x:v>bluetooth speaker</x:v>
      </x:c>
      <x:c r="R1922" s="84" t="str">
        <x:v>Electronics</x:v>
      </x:c>
    </x:row>
    <x:row r="1923">
      <x:c r="A1923" s="84" t="str">
        <x:v>ORD-2025-01172</x:v>
      </x:c>
      <x:c r="B1923" s="85" t="n">
        <x:v>45912</x:v>
      </x:c>
      <x:c r="C1923" s="84" t="str">
        <x:v>CUST-0322</x:v>
      </x:c>
      <x:c r="D1923" s="84" t="str">
        <x:v>Jasmine Khan</x:v>
      </x:c>
      <x:c r="E1923" s="84" t="str">
        <x:v>Corporate</x:v>
      </x:c>
      <x:c r="F1923" s="84" t="str">
        <x:v>Southeast</x:v>
      </x:c>
      <x:c r="G1923" s="84" t="str">
        <x:v>Atlanta</x:v>
      </x:c>
      <x:c r="H1923" s="84" t="str">
        <x:v>Retail Store </x:v>
      </x:c>
      <x:c r="I1923" s="84" t="str">
        <x:v>OFFC-003</x:v>
      </x:c>
      <x:c r="J1923" s="86" t="n">
        <x:v>4</x:v>
      </x:c>
      <x:c r="K1923" s="87" t="n">
        <x:v>0</x:v>
      </x:c>
      <x:c r="L1923" s="84" t="str">
        <x:v>Completed</x:v>
      </x:c>
      <x:c r="M1923" s="84" t="str">
        <x:v>Cash</x:v>
      </x:c>
      <x:c r="N1923" s="84" t="str">
        <x:v>Ava Mitchell</x:v>
      </x:c>
      <x:c r="O1923" s="85" t="n">
        <x:v>45912</x:v>
      </x:c>
      <x:c r="P1923" s="84" t="str">
        <x:v>POS_2025_09</x:v>
      </x:c>
      <x:c r="Q1923" s="84" t="str">
        <x:v>LED Desk Lamp</x:v>
      </x:c>
      <x:c r="R1923" s="84" t="str">
        <x:v>Office</x:v>
      </x:c>
    </x:row>
    <x:row r="1924">
      <x:c r="A1924" s="84" t="str">
        <x:v>ORD-2025-01608</x:v>
      </x:c>
      <x:c r="B1924" s="85" t="n">
        <x:v>45912</x:v>
      </x:c>
      <x:c r="C1924" s="84" t="str">
        <x:v>CUST-0252</x:v>
      </x:c>
      <x:c r="D1924" s="84" t="str">
        <x:v>Theo Carter </x:v>
      </x:c>
      <x:c r="E1924" s="84" t="str">
        <x:v>Consumer</x:v>
      </x:c>
      <x:c r="F1924" s="84" t="str">
        <x:v>Midwest</x:v>
      </x:c>
      <x:c r="G1924" s="84" t="str">
        <x:v> COLUMBUS </x:v>
      </x:c>
      <x:c r="H1924" s="84" t="str">
        <x:v>Marketplace</x:v>
      </x:c>
      <x:c r="I1924" s="84" t="str">
        <x:v>OFFC-002</x:v>
      </x:c>
      <x:c r="J1924" s="86" t="n">
        <x:v>1</x:v>
      </x:c>
      <x:c r="K1924" s="87" t="n">
        <x:v>0.1</x:v>
      </x:c>
      <x:c r="L1924" s="84" t="str">
        <x:v>Completed</x:v>
      </x:c>
      <x:c r="M1924" s="84" t="str">
        <x:v>Mobile Wallet </x:v>
      </x:c>
      <x:c r="N1924" s="84" t="str">
        <x:v>emma hayes</x:v>
      </x:c>
      <x:c r="O1924" s="85" t="n">
        <x:v>45916</x:v>
      </x:c>
      <x:c r="P1924" s="84" t="str">
        <x:v>MKT_2025_09</x:v>
      </x:c>
      <x:c r="Q1924" s="84" t="str">
        <x:v>Standing Desk</x:v>
      </x:c>
      <x:c r="R1924" s="84" t="str">
        <x:v>Office</x:v>
      </x:c>
    </x:row>
    <x:row r="1925">
      <x:c r="A1925" s="84" t="str">
        <x:v>ORD-2025-01954</x:v>
      </x:c>
      <x:c r="B1925" s="85" t="n">
        <x:v>45912</x:v>
      </x:c>
      <x:c r="C1925" s="84" t="str">
        <x:v>CUST-0456</x:v>
      </x:c>
      <x:c r="D1925" s="84" t="str">
        <x:v>elias carter</x:v>
      </x:c>
      <x:c r="E1925" s="84" t="str">
        <x:v>Consumer</x:v>
      </x:c>
      <x:c r="F1925" s="84" t="str">
        <x:v>Northeast</x:v>
      </x:c>
      <x:c r="G1925" s="84" t="str">
        <x:v>Boston</x:v>
      </x:c>
      <x:c r="H1925" s="84" t="str">
        <x:v>Retail Store</x:v>
      </x:c>
      <x:c r="I1925" s="84" t="str">
        <x:v>OFFC-002</x:v>
      </x:c>
      <x:c r="J1925" s="86" t="n">
        <x:v>1</x:v>
      </x:c>
      <x:c r="K1925" s="87" t="n">
        <x:v>0.05</x:v>
      </x:c>
      <x:c r="L1925" s="84" t="str">
        <x:v>Completed</x:v>
      </x:c>
      <x:c r="M1925" s="84" t="str">
        <x:v>Credit Card</x:v>
      </x:c>
      <x:c r="N1925" s="84" t="str">
        <x:v>Sofia Bennett</x:v>
      </x:c>
      <x:c r="O1925" s="85" t="n">
        <x:v>45913</x:v>
      </x:c>
      <x:c r="P1925" s="84" t="str">
        <x:v>POS_2025_09</x:v>
      </x:c>
      <x:c r="Q1925" s="84" t="str">
        <x:v>Standing Desk </x:v>
      </x:c>
      <x:c r="R1925" s="84" t="str">
        <x:v>Office</x:v>
      </x:c>
    </x:row>
    <x:row r="1926">
      <x:c r="A1926" s="84" t="str">
        <x:v>ORD-2025-02311</x:v>
      </x:c>
      <x:c r="B1926" s="85" t="n">
        <x:v>45912</x:v>
      </x:c>
      <x:c r="C1926" s="84" t="str">
        <x:v>CUST-0088</x:v>
      </x:c>
      <x:c r="D1926" s="84" t="str">
        <x:v>Jasmine Khan</x:v>
      </x:c>
      <x:c r="E1926" s="84" t="str">
        <x:v>Consumer</x:v>
      </x:c>
      <x:c r="F1926" s="84" t="str">
        <x:v>Northeast</x:v>
      </x:c>
      <x:c r="G1926" s="84" t="str">
        <x:v>Boston</x:v>
      </x:c>
      <x:c r="H1926" s="84" t="str">
        <x:v>Retail Store</x:v>
      </x:c>
      <x:c r="I1926" s="84" t="str">
        <x:v>OFFC-005</x:v>
      </x:c>
      <x:c r="J1926" s="86" t="n">
        <x:v>2</x:v>
      </x:c>
      <x:c r="K1926" s="87" t="n">
        <x:v>0.05</x:v>
      </x:c>
      <x:c r="L1926" s="84" t="str">
        <x:v>Completed</x:v>
      </x:c>
      <x:c r="M1926" s="84" t="str">
        <x:v>Debit Card</x:v>
      </x:c>
      <x:c r="N1926" s="84" t="str">
        <x:v>Sofia Bennett</x:v>
      </x:c>
      <x:c r="O1926" s="85" t="n">
        <x:v>45912</x:v>
      </x:c>
      <x:c r="P1926" s="84" t="str">
        <x:v>POS_2025_09</x:v>
      </x:c>
      <x:c r="Q1926" s="84" t="str">
        <x:v>Wireless Keyboard </x:v>
      </x:c>
      <x:c r="R1926" s="84" t="str">
        <x:v>Office</x:v>
      </x:c>
    </x:row>
    <x:row r="1927">
      <x:c r="A1927" s="84" t="str">
        <x:v>ORD-2025-00159</x:v>
      </x:c>
      <x:c r="B1927" s="85" t="n">
        <x:v>45913</x:v>
      </x:c>
      <x:c r="C1927" s="84" t="str">
        <x:v>CUST-0262</x:v>
      </x:c>
      <x:c r="D1927" s="84" t="str">
        <x:v>Owen Carter </x:v>
      </x:c>
      <x:c r="E1927" s="84" t="str">
        <x:v>Small Business</x:v>
      </x:c>
      <x:c r="F1927" s="84" t="str">
        <x:v>Northeast</x:v>
      </x:c>
      <x:c r="G1927" s="84" t="str">
        <x:v>New York</x:v>
      </x:c>
      <x:c r="H1927" s="84" t="str">
        <x:v> ONLINE </x:v>
      </x:c>
      <x:c r="I1927" s="84" t="str">
        <x:v>CARE-006</x:v>
      </x:c>
      <x:c r="J1927" s="86" t="n">
        <x:v>1</x:v>
      </x:c>
      <x:c r="K1927" s="87" t="n">
        <x:v>0.05</x:v>
      </x:c>
      <x:c r="L1927" s="84" t="str">
        <x:v>Completed</x:v>
      </x:c>
      <x:c r="M1927" s="84" t="str">
        <x:v>Mobile Wallet </x:v>
      </x:c>
      <x:c r="N1927" s="84" t="str">
        <x:v>Sofia Bennett</x:v>
      </x:c>
      <x:c r="O1927" s="85" t="n">
        <x:v>45918</x:v>
      </x:c>
      <x:c r="P1927" s="84" t="str">
        <x:v>WEB_2025_09</x:v>
      </x:c>
      <x:c r="Q1927" s="84" t="str">
        <x:v>Percussion Massage Gun</x:v>
      </x:c>
      <x:c r="R1927" s="84" t="str">
        <x:v>Personal Care</x:v>
      </x:c>
    </x:row>
    <x:row r="1928">
      <x:c r="A1928" s="84" t="str">
        <x:v>ORD-2025-00898</x:v>
      </x:c>
      <x:c r="B1928" s="85" t="n">
        <x:v>45913</x:v>
      </x:c>
      <x:c r="C1928" s="84" t="str">
        <x:v>CUST-0105</x:v>
      </x:c>
      <x:c r="D1928" s="84" t="str">
        <x:v> CHLOE ORTIZ </x:v>
      </x:c>
      <x:c r="E1928" s="84" t="str">
        <x:v>Corporate</x:v>
      </x:c>
      <x:c r="F1928" s="84" t="str">
        <x:v> WEST </x:v>
      </x:c>
      <x:c r="G1928" s="84" t="str">
        <x:v>Phoenix</x:v>
      </x:c>
      <x:c r="H1928" s="84" t="str">
        <x:v>Marketplace</x:v>
      </x:c>
      <x:c r="I1928" s="84" t="str">
        <x:v>FITN-006</x:v>
      </x:c>
      <x:c r="J1928" s="86" t="n">
        <x:v>2</x:v>
      </x:c>
      <x:c r="K1928" s="87" t="n">
        <x:v>0.2</x:v>
      </x:c>
      <x:c r="L1928" s="84" t="str">
        <x:v>Completed</x:v>
      </x:c>
      <x:c r="M1928" s="84" t="str">
        <x:v>Credit Card</x:v>
      </x:c>
      <x:c r="N1928" s="84" t="str">
        <x:v>Nora Kim</x:v>
      </x:c>
      <x:c r="O1928" s="85" t="n">
        <x:v>45918</x:v>
      </x:c>
      <x:c r="P1928" s="84" t="str">
        <x:v>MKT_2025_09</x:v>
      </x:c>
      <x:c r="Q1928" s="84" t="str">
        <x:v>Foam Roller</x:v>
      </x:c>
      <x:c r="R1928" s="84" t="str">
        <x:v>Fitness </x:v>
      </x:c>
    </x:row>
    <x:row r="1929">
      <x:c r="A1929" s="84" t="str">
        <x:v>ORD-2025-00980</x:v>
      </x:c>
      <x:c r="B1929" s="85" t="n">
        <x:v>45913</x:v>
      </x:c>
      <x:c r="C1929" s="84" t="str">
        <x:v>CUST-0516</x:v>
      </x:c>
      <x:c r="D1929" s="84" t="str">
        <x:v>Jasmine Ortiz</x:v>
      </x:c>
      <x:c r="E1929" s="84" t="str">
        <x:v>Small Business </x:v>
      </x:c>
      <x:c r="F1929" s="84" t="str">
        <x:v>Southeast</x:v>
      </x:c>
      <x:c r="G1929" s="84" t="str">
        <x:v>Charlotte </x:v>
      </x:c>
      <x:c r="H1929" s="84" t="str">
        <x:v>Retail Store</x:v>
      </x:c>
      <x:c r="I1929" s="84" t="str">
        <x:v>OFFC-006</x:v>
      </x:c>
      <x:c r="J1929" s="86" t="n">
        <x:v>1</x:v>
      </x:c>
      <x:c r="K1929" s="87" t="n">
        <x:v>0.1</x:v>
      </x:c>
      <x:c r="L1929" s="84" t="str">
        <x:v>Completed</x:v>
      </x:c>
      <x:c r="M1929" s="84" t="str">
        <x:v> CREDIT CARD </x:v>
      </x:c>
      <x:c r="N1929" s="84" t="str">
        <x:v>Liam Parker</x:v>
      </x:c>
      <x:c r="O1929" s="85" t="n">
        <x:v>45913</x:v>
      </x:c>
      <x:c r="P1929" s="84" t="str">
        <x:v>POS_2025_09</x:v>
      </x:c>
      <x:c r="Q1929" s="84" t="str">
        <x:v>Monitor Stand</x:v>
      </x:c>
      <x:c r="R1929" s="84" t="str">
        <x:v>Office</x:v>
      </x:c>
    </x:row>
    <x:row r="1930">
      <x:c r="A1930" s="84" t="str">
        <x:v>ORD-2025-01078</x:v>
      </x:c>
      <x:c r="B1930" s="85" t="n">
        <x:v>45913</x:v>
      </x:c>
      <x:c r="C1930" s="84" t="str">
        <x:v>CUST-0317</x:v>
      </x:c>
      <x:c r="D1930" s="84" t="str">
        <x:v>Owen Garcia</x:v>
      </x:c>
      <x:c r="E1930" s="84" t="str">
        <x:v>consumer</x:v>
      </x:c>
      <x:c r="F1930" s="84" t="str">
        <x:v>West</x:v>
      </x:c>
      <x:c r="G1930" s="84" t="str">
        <x:v>Seattle </x:v>
      </x:c>
      <x:c r="H1930" s="84" t="str">
        <x:v>retail store</x:v>
      </x:c>
      <x:c r="I1930" s="84" t="str">
        <x:v>OFFC-004</x:v>
      </x:c>
      <x:c r="J1930" s="86" t="n">
        <x:v>1</x:v>
      </x:c>
      <x:c r="K1930" s="87" t="n">
        <x:v>0</x:v>
      </x:c>
      <x:c r="L1930" s="84" t="str">
        <x:v>Completed</x:v>
      </x:c>
      <x:c r="M1930" s="84" t="str">
        <x:v>Debit Card</x:v>
      </x:c>
      <x:c r="N1930" s="84" t="str">
        <x:v>Mia Chen</x:v>
      </x:c>
      <x:c r="O1930" s="85" t="n">
        <x:v>45913</x:v>
      </x:c>
      <x:c r="P1930" s="84" t="str">
        <x:v>POS_2025_09</x:v>
      </x:c>
      <x:c r="Q1930" s="84" t="str">
        <x:v>Premium Notebook Pack</x:v>
      </x:c>
      <x:c r="R1930" s="84" t="str">
        <x:v>Office</x:v>
      </x:c>
    </x:row>
    <x:row r="1931">
      <x:c r="A1931" s="84" t="str">
        <x:v>ORD-2025-01265</x:v>
      </x:c>
      <x:c r="B1931" s="85" t="n">
        <x:v>45913</x:v>
      </x:c>
      <x:c r="C1931" s="84" t="str">
        <x:v>CUST-0113</x:v>
      </x:c>
      <x:c r="D1931" s="84" t="str">
        <x:v>Amelia Patel </x:v>
      </x:c>
      <x:c r="E1931" s="84" t="str">
        <x:v>consumer</x:v>
      </x:c>
      <x:c r="F1931" s="84" t="str">
        <x:v>Southeast</x:v>
      </x:c>
      <x:c r="G1931" s="84" t="str">
        <x:v>Atlanta</x:v>
      </x:c>
      <x:c r="H1931" s="84" t="str">
        <x:v>online</x:v>
      </x:c>
      <x:c r="I1931" s="84" t="str">
        <x:v>OFFC-005</x:v>
      </x:c>
      <x:c r="J1931" s="86" t="n">
        <x:v>1</x:v>
      </x:c>
      <x:c r="K1931" s="87" t="n">
        <x:v>0.2</x:v>
      </x:c>
      <x:c r="L1931" s="84" t="str">
        <x:v>Completed</x:v>
      </x:c>
      <x:c r="M1931" s="84" t="str">
        <x:v>PayPal </x:v>
      </x:c>
      <x:c r="N1931" s="84" t="str">
        <x:v>Liam Parker</x:v>
      </x:c>
      <x:c r="O1931" s="85" t="n">
        <x:v>45916</x:v>
      </x:c>
      <x:c r="P1931" s="84" t="str">
        <x:v>WEB_2025_09</x:v>
      </x:c>
      <x:c r="Q1931" s="84" t="str">
        <x:v>Wireless Keyboard</x:v>
      </x:c>
      <x:c r="R1931" s="84" t="str">
        <x:v>Office</x:v>
      </x:c>
    </x:row>
    <x:row r="1932">
      <x:c r="A1932" s="84" t="str">
        <x:v>ORD-2025-02359</x:v>
      </x:c>
      <x:c r="B1932" s="85" t="n">
        <x:v>45913</x:v>
      </x:c>
      <x:c r="C1932" s="84" t="str">
        <x:v>CUST-0196</x:v>
      </x:c>
      <x:c r="D1932" s="84" t="str">
        <x:v>Nina Baker</x:v>
      </x:c>
      <x:c r="E1932" s="84" t="str">
        <x:v>Consumer </x:v>
      </x:c>
      <x:c r="F1932" s="84" t="str">
        <x:v>Northeast</x:v>
      </x:c>
      <x:c r="G1932" s="84" t="str">
        <x:v>Boston </x:v>
      </x:c>
      <x:c r="H1932" s="84" t="str">
        <x:v>Online</x:v>
      </x:c>
      <x:c r="I1932" s="84" t="str">
        <x:v>OFFC-003</x:v>
      </x:c>
      <x:c r="J1932" s="86" t="n">
        <x:v>2</x:v>
      </x:c>
      <x:c r="K1932" s="87" t="n">
        <x:v>0.05</x:v>
      </x:c>
      <x:c r="L1932" s="84" t="str">
        <x:v>Completed</x:v>
      </x:c>
      <x:c r="M1932" s="84" t="str">
        <x:v>Credit Card</x:v>
      </x:c>
      <x:c r="N1932" s="84" t="str">
        <x:v>Ethan Cole</x:v>
      </x:c>
      <x:c r="O1932" s="85" t="n">
        <x:v>45915</x:v>
      </x:c>
      <x:c r="P1932" s="84" t="str">
        <x:v>WEB_2025_09</x:v>
      </x:c>
      <x:c r="Q1932" s="84" t="str">
        <x:v>LED Desk Lamp</x:v>
      </x:c>
      <x:c r="R1932" s="84" t="str">
        <x:v>Office</x:v>
      </x:c>
    </x:row>
    <x:row r="1933">
      <x:c r="A1933" s="84" t="str">
        <x:v>ORD-2025-01879</x:v>
      </x:c>
      <x:c r="B1933" s="85" t="n">
        <x:v>45914</x:v>
      </x:c>
      <x:c r="C1933" s="84" t="str">
        <x:v>CUST-0371</x:v>
      </x:c>
      <x:c r="D1933" s="84" t="str">
        <x:v>Sara Moore</x:v>
      </x:c>
      <x:c r="E1933" s="84" t="str">
        <x:v>Small Business</x:v>
      </x:c>
      <x:c r="F1933" s="84" t="str">
        <x:v>West</x:v>
      </x:c>
      <x:c r="G1933" s="84" t="str">
        <x:v>Seattle</x:v>
      </x:c>
      <x:c r="H1933" s="84" t="str">
        <x:v>Marketplace </x:v>
      </x:c>
      <x:c r="I1933" s="84" t="str">
        <x:v>ELEC-001</x:v>
      </x:c>
      <x:c r="J1933" s="86" t="n">
        <x:v>1</x:v>
      </x:c>
      <x:c r="K1933" s="87" t="n">
        <x:v>0</x:v>
      </x:c>
      <x:c r="L1933" s="84" t="str">
        <x:v>Completed</x:v>
      </x:c>
      <x:c r="M1933" s="84" t="str">
        <x:v>Credit Card</x:v>
      </x:c>
      <x:c r="N1933" s="84" t="str">
        <x:v>Nora Kim</x:v>
      </x:c>
      <x:c r="O1933" s="85" t="n">
        <x:v>45919</x:v>
      </x:c>
      <x:c r="P1933" s="84" t="str">
        <x:v>MKT_2025_09</x:v>
      </x:c>
      <x:c r="Q1933" s="84" t="str">
        <x:v>wireless earbuds</x:v>
      </x:c>
      <x:c r="R1933" s="84" t="str">
        <x:v>Electronics</x:v>
      </x:c>
    </x:row>
    <x:row r="1934">
      <x:c r="A1934" s="84" t="str">
        <x:v>ORD-2025-02074</x:v>
      </x:c>
      <x:c r="B1934" s="85" t="n">
        <x:v>45914</x:v>
      </x:c>
      <x:c r="C1934" s="84" t="str">
        <x:v>CUST-0278</x:v>
      </x:c>
      <x:c r="D1934" s="84" t="str">
        <x:v>Sara Ortiz</x:v>
      </x:c>
      <x:c r="E1934" s="84" t="str"/>
      <x:c r="F1934" s="84" t="str">
        <x:v>Southeast</x:v>
      </x:c>
      <x:c r="G1934" s="84" t="str">
        <x:v>Charlotte</x:v>
      </x:c>
      <x:c r="H1934" s="84" t="str">
        <x:v>Online</x:v>
      </x:c>
      <x:c r="I1934" s="84" t="str">
        <x:v>HOME-004</x:v>
      </x:c>
      <x:c r="J1934" s="86" t="n">
        <x:v>3</x:v>
      </x:c>
      <x:c r="K1934" s="87" t="n">
        <x:v>0</x:v>
      </x:c>
      <x:c r="L1934" s="84" t="str">
        <x:v>Completed</x:v>
      </x:c>
      <x:c r="M1934" s="84" t="str">
        <x:v>Credit Card</x:v>
      </x:c>
      <x:c r="N1934" s="84" t="str">
        <x:v>Liam Parker</x:v>
      </x:c>
      <x:c r="O1934" s="85" t="n">
        <x:v>45916</x:v>
      </x:c>
      <x:c r="P1934" s="84" t="str">
        <x:v>WEB_2025_09</x:v>
      </x:c>
      <x:c r="Q1934" s="84" t="str">
        <x:v>Coffee Maker</x:v>
      </x:c>
      <x:c r="R1934" s="84" t="str">
        <x:v>Home &amp; Kitchen </x:v>
      </x:c>
    </x:row>
    <x:row r="1935">
      <x:c r="A1935" s="84" t="str">
        <x:v>ORD-2025-02098</x:v>
      </x:c>
      <x:c r="B1935" s="85" t="n">
        <x:v>45914</x:v>
      </x:c>
      <x:c r="C1935" s="84" t="str">
        <x:v>CUST-0608</x:v>
      </x:c>
      <x:c r="D1935" s="84" t="str">
        <x:v>Victoria Patel </x:v>
      </x:c>
      <x:c r="E1935" s="84" t="str">
        <x:v>Consumer</x:v>
      </x:c>
      <x:c r="F1935" s="84" t="str">
        <x:v>midwest</x:v>
      </x:c>
      <x:c r="G1935" s="84" t="str">
        <x:v>Chicago</x:v>
      </x:c>
      <x:c r="H1935" s="84" t="str">
        <x:v>Online</x:v>
      </x:c>
      <x:c r="I1935" s="84" t="str">
        <x:v>ELEC-003</x:v>
      </x:c>
      <x:c r="J1935" s="86" t="n">
        <x:v>3</x:v>
      </x:c>
      <x:c r="K1935" s="87" t="n">
        <x:v>0</x:v>
      </x:c>
      <x:c r="L1935" s="84" t="str">
        <x:v>Completed</x:v>
      </x:c>
      <x:c r="M1935" s="84" t="str">
        <x:v>Debit Card </x:v>
      </x:c>
      <x:c r="N1935" s="84" t="str">
        <x:v>Emma Hayes</x:v>
      </x:c>
      <x:c r="O1935" s="85" t="n">
        <x:v>45918</x:v>
      </x:c>
      <x:c r="P1935" s="84" t="str">
        <x:v>WEB_2025_09</x:v>
      </x:c>
      <x:c r="Q1935" s="84" t="str">
        <x:v>Bluetooth Speaker</x:v>
      </x:c>
      <x:c r="R1935" s="84" t="str">
        <x:v>Electronics</x:v>
      </x:c>
    </x:row>
    <x:row r="1936">
      <x:c r="A1936" s="84" t="str">
        <x:v>ORD-2025-00209</x:v>
      </x:c>
      <x:c r="B1936" s="85" t="n">
        <x:v>45915</x:v>
      </x:c>
      <x:c r="C1936" s="84" t="str">
        <x:v>CUST-0003</x:v>
      </x:c>
      <x:c r="D1936" s="84" t="str">
        <x:v>Victoria Foster</x:v>
      </x:c>
      <x:c r="E1936" s="84" t="str">
        <x:v>consumer</x:v>
      </x:c>
      <x:c r="F1936" s="84" t="str">
        <x:v>West</x:v>
      </x:c>
      <x:c r="G1936" s="84" t="str">
        <x:v>Seattle</x:v>
      </x:c>
      <x:c r="H1936" s="84" t="str">
        <x:v>retail store</x:v>
      </x:c>
      <x:c r="I1936" s="84" t="str">
        <x:v>OFFC-001</x:v>
      </x:c>
      <x:c r="J1936" s="86" t="n">
        <x:v>2</x:v>
      </x:c>
      <x:c r="K1936" s="87" t="n">
        <x:v>0.05</x:v>
      </x:c>
      <x:c r="L1936" s="84" t="str">
        <x:v> COMPLETED </x:v>
      </x:c>
      <x:c r="M1936" s="84" t="str">
        <x:v>Cash</x:v>
      </x:c>
      <x:c r="N1936" s="84" t="str">
        <x:v>Leo Martinez</x:v>
      </x:c>
      <x:c r="O1936" s="85" t="n">
        <x:v>45915</x:v>
      </x:c>
      <x:c r="P1936" s="84" t="str">
        <x:v>POS_2025_09</x:v>
      </x:c>
      <x:c r="Q1936" s="84" t="str">
        <x:v>Ergonomic Chair</x:v>
      </x:c>
      <x:c r="R1936" s="84" t="str">
        <x:v>Office</x:v>
      </x:c>
    </x:row>
    <x:row r="1937">
      <x:c r="A1937" s="84" t="str">
        <x:v>ORD-2025-00802</x:v>
      </x:c>
      <x:c r="B1937" s="85" t="n">
        <x:v>45915</x:v>
      </x:c>
      <x:c r="C1937" s="84" t="str">
        <x:v>CUST-0217</x:v>
      </x:c>
      <x:c r="D1937" s="84" t="str">
        <x:v>Nathan Carter</x:v>
      </x:c>
      <x:c r="E1937" s="84" t="str">
        <x:v>Corporate</x:v>
      </x:c>
      <x:c r="F1937" s="84" t="str">
        <x:v>Northeast </x:v>
      </x:c>
      <x:c r="G1937" s="84" t="str">
        <x:v>Philadelphia</x:v>
      </x:c>
      <x:c r="H1937" s="84" t="str">
        <x:v>Online</x:v>
      </x:c>
      <x:c r="I1937" s="84" t="str">
        <x:v>ELEC-006</x:v>
      </x:c>
      <x:c r="J1937" s="86" t="n">
        <x:v>2</x:v>
      </x:c>
      <x:c r="K1937" s="87" t="n">
        <x:v>0</x:v>
      </x:c>
      <x:c r="L1937" s="84" t="str">
        <x:v>Completed</x:v>
      </x:c>
      <x:c r="M1937" s="84" t="str">
        <x:v>paypal</x:v>
      </x:c>
      <x:c r="N1937" s="84" t="str">
        <x:v> MAYA BROOKS </x:v>
      </x:c>
      <x:c r="O1937" s="85" t="n">
        <x:v>45917</x:v>
      </x:c>
      <x:c r="P1937" s="84" t="str">
        <x:v>WEB_2025_09</x:v>
      </x:c>
      <x:c r="Q1937" s="84" t="str">
        <x:v>Portable SSD</x:v>
      </x:c>
      <x:c r="R1937" s="84" t="str">
        <x:v>Electronics</x:v>
      </x:c>
    </x:row>
    <x:row r="1938">
      <x:c r="A1938" s="84" t="str">
        <x:v>ORD-2025-02335</x:v>
      </x:c>
      <x:c r="B1938" s="85" t="n">
        <x:v>45915</x:v>
      </x:c>
      <x:c r="C1938" s="84" t="str">
        <x:v>CUST-0073</x:v>
      </x:c>
      <x:c r="D1938" s="84" t="str">
        <x:v>Jonah Smith</x:v>
      </x:c>
      <x:c r="E1938" s="84" t="str">
        <x:v>Corporate</x:v>
      </x:c>
      <x:c r="F1938" s="84" t="str">
        <x:v>Southeast </x:v>
      </x:c>
      <x:c r="G1938" s="84" t="str">
        <x:v>Miami</x:v>
      </x:c>
      <x:c r="H1938" s="84" t="str">
        <x:v> MARKETPLACE </x:v>
      </x:c>
      <x:c r="I1938" s="84" t="str">
        <x:v>OFFC-002</x:v>
      </x:c>
      <x:c r="J1938" s="86" t="n">
        <x:v>4</x:v>
      </x:c>
      <x:c r="K1938" s="87" t="n">
        <x:v>0.2</x:v>
      </x:c>
      <x:c r="L1938" s="84" t="str">
        <x:v>Completed</x:v>
      </x:c>
      <x:c r="M1938" s="84" t="str">
        <x:v>Credit Card</x:v>
      </x:c>
      <x:c r="N1938" s="84" t="str">
        <x:v>Ava Mitchell </x:v>
      </x:c>
      <x:c r="O1938" s="85" t="n">
        <x:v>45919</x:v>
      </x:c>
      <x:c r="P1938" s="84" t="str">
        <x:v>MKT_2025_09</x:v>
      </x:c>
      <x:c r="Q1938" s="84" t="str">
        <x:v>Standing Desk</x:v>
      </x:c>
      <x:c r="R1938" s="84" t="str">
        <x:v>office</x:v>
      </x:c>
    </x:row>
    <x:row r="1939">
      <x:c r="A1939" s="84" t="str">
        <x:v>ORD-2025-00059</x:v>
      </x:c>
      <x:c r="B1939" s="85" t="n">
        <x:v>45916</x:v>
      </x:c>
      <x:c r="C1939" s="84" t="str">
        <x:v>CUST-0628</x:v>
      </x:c>
      <x:c r="D1939" s="84" t="str">
        <x:v>Isaac Young</x:v>
      </x:c>
      <x:c r="E1939" s="84" t="str">
        <x:v>Small Business</x:v>
      </x:c>
      <x:c r="F1939" s="84" t="str">
        <x:v>West</x:v>
      </x:c>
      <x:c r="G1939" s="84" t="str">
        <x:v>denver</x:v>
      </x:c>
      <x:c r="H1939" s="84" t="str">
        <x:v>Online </x:v>
      </x:c>
      <x:c r="I1939" s="84" t="str">
        <x:v>ACCS-003</x:v>
      </x:c>
      <x:c r="J1939" s="86" t="n">
        <x:v>1</x:v>
      </x:c>
      <x:c r="K1939" s="87" t="n">
        <x:v>0.05</x:v>
      </x:c>
      <x:c r="L1939" s="84" t="str">
        <x:v>completed</x:v>
      </x:c>
      <x:c r="M1939" s="84" t="str">
        <x:v>Debit Card</x:v>
      </x:c>
      <x:c r="N1939" s="84" t="str">
        <x:v>Nora Kim</x:v>
      </x:c>
      <x:c r="O1939" s="85" t="n">
        <x:v>45920</x:v>
      </x:c>
      <x:c r="P1939" s="84" t="str">
        <x:v>WEB_2025_09</x:v>
      </x:c>
      <x:c r="Q1939" s="84" t="str">
        <x:v>Polarized Sunglasses</x:v>
      </x:c>
      <x:c r="R1939" s="84" t="str">
        <x:v>Accessories</x:v>
      </x:c>
    </x:row>
    <x:row r="1940">
      <x:c r="A1940" s="84" t="str">
        <x:v>ORD-2025-00104</x:v>
      </x:c>
      <x:c r="B1940" s="85" t="n">
        <x:v>45916</x:v>
      </x:c>
      <x:c r="C1940" s="84" t="str">
        <x:v>CUST-0394</x:v>
      </x:c>
      <x:c r="D1940" s="84" t="str">
        <x:v>Priya Nelson</x:v>
      </x:c>
      <x:c r="E1940" s="84" t="str">
        <x:v>Corporate</x:v>
      </x:c>
      <x:c r="F1940" s="84" t="str">
        <x:v>West</x:v>
      </x:c>
      <x:c r="G1940" s="84" t="str">
        <x:v>Denver</x:v>
      </x:c>
      <x:c r="H1940" s="84" t="str">
        <x:v>Marketplace</x:v>
      </x:c>
      <x:c r="I1940" s="84" t="str">
        <x:v>CARE-003</x:v>
      </x:c>
      <x:c r="J1940" s="86" t="n">
        <x:v>2</x:v>
      </x:c>
      <x:c r="K1940" s="87" t="n">
        <x:v>0.05</x:v>
      </x:c>
      <x:c r="L1940" s="84" t="str">
        <x:v>Completed </x:v>
      </x:c>
      <x:c r="M1940" s="84" t="str">
        <x:v>Credit Card</x:v>
      </x:c>
      <x:c r="N1940" s="84" t="str">
        <x:v>Nora Kim</x:v>
      </x:c>
      <x:c r="O1940" s="85" t="n">
        <x:v>45919</x:v>
      </x:c>
      <x:c r="P1940" s="84" t="str">
        <x:v>MKT_2025_09</x:v>
      </x:c>
      <x:c r="Q1940" s="84" t="str">
        <x:v>Facial Cleanser</x:v>
      </x:c>
      <x:c r="R1940" s="84" t="str">
        <x:v>Personal Care</x:v>
      </x:c>
    </x:row>
    <x:row r="1941">
      <x:c r="A1941" s="84" t="str">
        <x:v>ORD-2025-00317</x:v>
      </x:c>
      <x:c r="B1941" s="85" t="n">
        <x:v>45916</x:v>
      </x:c>
      <x:c r="C1941" s="84" t="str">
        <x:v>CUST-0458</x:v>
      </x:c>
      <x:c r="D1941" s="84" t="str">
        <x:v>Samuel Carter</x:v>
      </x:c>
      <x:c r="E1941" s="84" t="str">
        <x:v>Consumer</x:v>
      </x:c>
      <x:c r="F1941" s="84" t="str">
        <x:v>Southeast</x:v>
      </x:c>
      <x:c r="G1941" s="84" t="str">
        <x:v>Atlanta</x:v>
      </x:c>
      <x:c r="H1941" s="84" t="str">
        <x:v>Retail Store</x:v>
      </x:c>
      <x:c r="I1941" s="84" t="str">
        <x:v>FITN-006</x:v>
      </x:c>
      <x:c r="J1941" s="86" t="n">
        <x:v>1</x:v>
      </x:c>
      <x:c r="K1941" s="87" t="n">
        <x:v>0</x:v>
      </x:c>
      <x:c r="L1941" s="84" t="str">
        <x:v>Completed</x:v>
      </x:c>
      <x:c r="M1941" s="84" t="str">
        <x:v> CASH </x:v>
      </x:c>
      <x:c r="N1941" s="84" t="str">
        <x:v>Ava Mitchell</x:v>
      </x:c>
      <x:c r="O1941" s="85" t="n">
        <x:v>45916</x:v>
      </x:c>
      <x:c r="P1941" s="84" t="str">
        <x:v>POS_2025_09</x:v>
      </x:c>
      <x:c r="Q1941" s="84" t="str">
        <x:v>foam roller</x:v>
      </x:c>
      <x:c r="R1941" s="84" t="str">
        <x:v>Fitness </x:v>
      </x:c>
    </x:row>
    <x:row r="1942">
      <x:c r="A1942" s="84" t="str">
        <x:v>ORD-2025-00416</x:v>
      </x:c>
      <x:c r="B1942" s="85" t="n">
        <x:v>45916</x:v>
      </x:c>
      <x:c r="C1942" s="84" t="str">
        <x:v>CUST-0493</x:v>
      </x:c>
      <x:c r="D1942" s="84" t="str">
        <x:v>Nina Evans</x:v>
      </x:c>
      <x:c r="E1942" s="84" t="str">
        <x:v>Corporate</x:v>
      </x:c>
      <x:c r="F1942" s="84" t="str">
        <x:v>West</x:v>
      </x:c>
      <x:c r="G1942" s="84" t="str">
        <x:v>Denver</x:v>
      </x:c>
      <x:c r="H1942" s="84" t="str">
        <x:v>Online </x:v>
      </x:c>
      <x:c r="I1942" s="84" t="str">
        <x:v>ELEC-006</x:v>
      </x:c>
      <x:c r="J1942" s="86" t="n">
        <x:v>3</x:v>
      </x:c>
      <x:c r="K1942" s="87" t="n">
        <x:v>0.15</x:v>
      </x:c>
      <x:c r="L1942" s="84" t="str">
        <x:v>Completed</x:v>
      </x:c>
      <x:c r="M1942" s="84" t="str">
        <x:v>Credit Card</x:v>
      </x:c>
      <x:c r="N1942" s="84" t="str">
        <x:v>Mia Chen</x:v>
      </x:c>
      <x:c r="O1942" s="85" t="n">
        <x:v>45921</x:v>
      </x:c>
      <x:c r="P1942" s="84" t="str">
        <x:v>WEB_2025_09</x:v>
      </x:c>
      <x:c r="Q1942" s="84" t="str">
        <x:v>portable ssd</x:v>
      </x:c>
      <x:c r="R1942" s="84" t="str">
        <x:v>Electronics</x:v>
      </x:c>
    </x:row>
    <x:row r="1943">
      <x:c r="A1943" s="84" t="str">
        <x:v>ORD-2025-00217</x:v>
      </x:c>
      <x:c r="B1943" s="85" t="n">
        <x:v>45917</x:v>
      </x:c>
      <x:c r="C1943" s="84" t="str">
        <x:v>CUST-0338</x:v>
      </x:c>
      <x:c r="D1943" s="84" t="str">
        <x:v>Caleb Irwin</x:v>
      </x:c>
      <x:c r="E1943" s="84" t="str">
        <x:v>Consumer </x:v>
      </x:c>
      <x:c r="F1943" s="84" t="str">
        <x:v>southeast</x:v>
      </x:c>
      <x:c r="G1943" s="84" t="str">
        <x:v>Miami </x:v>
      </x:c>
      <x:c r="H1943" s="84" t="str">
        <x:v>Online</x:v>
      </x:c>
      <x:c r="I1943" s="84" t="str">
        <x:v>ACCS-004</x:v>
      </x:c>
      <x:c r="J1943" s="86" t="n">
        <x:v>-1</x:v>
      </x:c>
      <x:c r="K1943" s="87" t="n">
        <x:v>0.1</x:v>
      </x:c>
      <x:c r="L1943" s="84" t="str">
        <x:v>Completed</x:v>
      </x:c>
      <x:c r="M1943" s="84" t="str">
        <x:v>Credit Card</x:v>
      </x:c>
      <x:c r="N1943" s="84" t="str">
        <x:v>Noah Reed</x:v>
      </x:c>
      <x:c r="O1943" s="85" t="n">
        <x:v>45922</x:v>
      </x:c>
      <x:c r="P1943" s="84" t="str">
        <x:v>WEB_2025_09</x:v>
      </x:c>
      <x:c r="Q1943" s="84" t="str">
        <x:v>Leather Wallet</x:v>
      </x:c>
      <x:c r="R1943" s="84" t="str">
        <x:v>Accessories</x:v>
      </x:c>
    </x:row>
    <x:row r="1944">
      <x:c r="A1944" s="84" t="str">
        <x:v>ORD-2025-00520</x:v>
      </x:c>
      <x:c r="B1944" s="85" t="n">
        <x:v>45917</x:v>
      </x:c>
      <x:c r="C1944" s="84" t="str">
        <x:v>CUST-0468</x:v>
      </x:c>
      <x:c r="D1944" s="84" t="str">
        <x:v>Sara Garcia</x:v>
      </x:c>
      <x:c r="E1944" s="84" t="str">
        <x:v>Corporate</x:v>
      </x:c>
      <x:c r="F1944" s="84" t="str">
        <x:v>Northeast</x:v>
      </x:c>
      <x:c r="G1944" s="84" t="str">
        <x:v> BOSTON </x:v>
      </x:c>
      <x:c r="H1944" s="84" t="str">
        <x:v>Marketplace</x:v>
      </x:c>
      <x:c r="I1944" s="84" t="str">
        <x:v>HOME-005</x:v>
      </x:c>
      <x:c r="J1944" s="86" t="n">
        <x:v>2</x:v>
      </x:c>
      <x:c r="K1944" s="87" t="n">
        <x:v>0.1</x:v>
      </x:c>
      <x:c r="L1944" s="84" t="str">
        <x:v>Completed</x:v>
      </x:c>
      <x:c r="M1944" s="84" t="str">
        <x:v>Credit Card</x:v>
      </x:c>
      <x:c r="N1944" s="84" t="str">
        <x:v>Maya Brooks</x:v>
      </x:c>
      <x:c r="O1944" s="85" t="n">
        <x:v>45923</x:v>
      </x:c>
      <x:c r="P1944" s="84" t="str">
        <x:v>MKT_2025_09</x:v>
      </x:c>
      <x:c r="Q1944" s="84" t="str">
        <x:v>Cordless Vacuum</x:v>
      </x:c>
      <x:c r="R1944" s="84" t="str">
        <x:v>home &amp; kitchen</x:v>
      </x:c>
    </x:row>
    <x:row r="1945">
      <x:c r="A1945" s="84" t="str">
        <x:v>ORD-2025-00642</x:v>
      </x:c>
      <x:c r="B1945" s="85" t="n">
        <x:v>45917</x:v>
      </x:c>
      <x:c r="C1945" s="84" t="str">
        <x:v>CUST-0280</x:v>
      </x:c>
      <x:c r="D1945" s="84" t="str">
        <x:v>Theo Taylor </x:v>
      </x:c>
      <x:c r="E1945" s="84" t="str">
        <x:v>Corporate</x:v>
      </x:c>
      <x:c r="F1945" s="84" t="str">
        <x:v>Southeast</x:v>
      </x:c>
      <x:c r="G1945" s="84" t="str">
        <x:v>charlotte</x:v>
      </x:c>
      <x:c r="H1945" s="84" t="str">
        <x:v>Online</x:v>
      </x:c>
      <x:c r="I1945" s="84" t="str">
        <x:v>ACCS-002</x:v>
      </x:c>
      <x:c r="J1945" s="86" t="n">
        <x:v>6</x:v>
      </x:c>
      <x:c r="K1945" s="87" t="n">
        <x:v>0.1</x:v>
      </x:c>
      <x:c r="L1945" s="84" t="str">
        <x:v>completed</x:v>
      </x:c>
      <x:c r="M1945" s="84" t="str">
        <x:v>Mobile Wallet </x:v>
      </x:c>
      <x:c r="N1945" s="84" t="str">
        <x:v>Liam Parker</x:v>
      </x:c>
      <x:c r="O1945" s="85" t="n">
        <x:v>45920</x:v>
      </x:c>
      <x:c r="P1945" s="84" t="str">
        <x:v>WEB_2025_09</x:v>
      </x:c>
      <x:c r="Q1945" s="84" t="str">
        <x:v>Travel Backpack</x:v>
      </x:c>
      <x:c r="R1945" s="84" t="str">
        <x:v>Accessories</x:v>
      </x:c>
    </x:row>
    <x:row r="1946">
      <x:c r="A1946" s="84" t="str">
        <x:v>ORD-2025-00934</x:v>
      </x:c>
      <x:c r="B1946" s="85" t="n">
        <x:v>45917</x:v>
      </x:c>
      <x:c r="C1946" s="84" t="str">
        <x:v>CUST-0634</x:v>
      </x:c>
      <x:c r="D1946" s="84" t="str">
        <x:v>Daniel Nelson</x:v>
      </x:c>
      <x:c r="E1946" s="84" t="str">
        <x:v>Consumer</x:v>
      </x:c>
      <x:c r="F1946" s="84" t="str">
        <x:v>Southeast</x:v>
      </x:c>
      <x:c r="G1946" s="84" t="str">
        <x:v>Atlanta</x:v>
      </x:c>
      <x:c r="H1946" s="84" t="str">
        <x:v>Online </x:v>
      </x:c>
      <x:c r="I1946" s="84" t="str">
        <x:v>ACCS-005</x:v>
      </x:c>
      <x:c r="J1946" s="86" t="n">
        <x:v>2</x:v>
      </x:c>
      <x:c r="K1946" s="87" t="n">
        <x:v>0.05</x:v>
      </x:c>
      <x:c r="L1946" s="84" t="str">
        <x:v>Completed</x:v>
      </x:c>
      <x:c r="M1946" s="84" t="str">
        <x:v>credit card</x:v>
      </x:c>
      <x:c r="N1946" s="84" t="str">
        <x:v>Noah Reed</x:v>
      </x:c>
      <x:c r="O1946" s="85" t="n">
        <x:v>45919</x:v>
      </x:c>
      <x:c r="P1946" s="84" t="str">
        <x:v>WEB_2025_09</x:v>
      </x:c>
      <x:c r="Q1946" s="84" t="str">
        <x:v>Protective Phone Case</x:v>
      </x:c>
      <x:c r="R1946" s="84" t="str">
        <x:v>Accessories</x:v>
      </x:c>
    </x:row>
    <x:row r="1947">
      <x:c r="A1947" s="84" t="str">
        <x:v>ORD-2025-01877</x:v>
      </x:c>
      <x:c r="B1947" s="85" t="n">
        <x:v>45917</x:v>
      </x:c>
      <x:c r="C1947" s="84" t="str">
        <x:v>CUST-0568</x:v>
      </x:c>
      <x:c r="D1947" s="84" t="str">
        <x:v>owen carter</x:v>
      </x:c>
      <x:c r="E1947" s="84" t="str">
        <x:v>Consumer</x:v>
      </x:c>
      <x:c r="F1947" s="84" t="str">
        <x:v>Southeast</x:v>
      </x:c>
      <x:c r="G1947" s="84" t="str">
        <x:v>Miami</x:v>
      </x:c>
      <x:c r="H1947" s="84" t="str">
        <x:v>Online</x:v>
      </x:c>
      <x:c r="I1947" s="84" t="str">
        <x:v>FITN-006</x:v>
      </x:c>
      <x:c r="J1947" s="86" t="n">
        <x:v>4</x:v>
      </x:c>
      <x:c r="K1947" s="87" t="n">
        <x:v>0</x:v>
      </x:c>
      <x:c r="L1947" s="84" t="str">
        <x:v>Completed</x:v>
      </x:c>
      <x:c r="M1947" s="84" t="str">
        <x:v>PayPal</x:v>
      </x:c>
      <x:c r="N1947" s="84" t="str">
        <x:v>Noah Reed</x:v>
      </x:c>
      <x:c r="O1947" s="85" t="n">
        <x:v>45920</x:v>
      </x:c>
      <x:c r="P1947" s="84" t="str">
        <x:v>WEB_2025_09</x:v>
      </x:c>
      <x:c r="Q1947" s="84" t="str">
        <x:v>Foam Roller </x:v>
      </x:c>
      <x:c r="R1947" s="84" t="str">
        <x:v>Fitness</x:v>
      </x:c>
    </x:row>
    <x:row r="1948">
      <x:c r="A1948" s="84" t="str">
        <x:v>ORD-2025-00674</x:v>
      </x:c>
      <x:c r="B1948" s="85" t="n">
        <x:v>45918</x:v>
      </x:c>
      <x:c r="C1948" s="84" t="str">
        <x:v>CUST-0599</x:v>
      </x:c>
      <x:c r="D1948" s="84" t="str">
        <x:v>Caleb Adams</x:v>
      </x:c>
      <x:c r="E1948" s="84" t="str">
        <x:v>Consumer</x:v>
      </x:c>
      <x:c r="F1948" s="84" t="str">
        <x:v>West</x:v>
      </x:c>
      <x:c r="G1948" s="84" t="str">
        <x:v>Phoenix</x:v>
      </x:c>
      <x:c r="H1948" s="84" t="str">
        <x:v>Marketplace</x:v>
      </x:c>
      <x:c r="I1948" s="84" t="str">
        <x:v>OFFC-006</x:v>
      </x:c>
      <x:c r="J1948" s="86" t="n">
        <x:v>1</x:v>
      </x:c>
      <x:c r="K1948" s="87" t="n">
        <x:v>0.05</x:v>
      </x:c>
      <x:c r="L1948" s="84" t="str">
        <x:v>Returned</x:v>
      </x:c>
      <x:c r="M1948" s="84" t="str">
        <x:v> CREDIT CARD </x:v>
      </x:c>
      <x:c r="N1948" s="84" t="str">
        <x:v>Mia Chen</x:v>
      </x:c>
      <x:c r="O1948" s="85" t="n">
        <x:v>45922</x:v>
      </x:c>
      <x:c r="P1948" s="84" t="str">
        <x:v>MKT_2025_09</x:v>
      </x:c>
      <x:c r="Q1948" s="84" t="str">
        <x:v>Monitor Stand</x:v>
      </x:c>
      <x:c r="R1948" s="84" t="str">
        <x:v>office</x:v>
      </x:c>
    </x:row>
    <x:row r="1949">
      <x:c r="A1949" s="84" t="str">
        <x:v>ORD-2025-00341</x:v>
      </x:c>
      <x:c r="B1949" s="85" t="n">
        <x:v>45919</x:v>
      </x:c>
      <x:c r="C1949" s="84" t="str">
        <x:v>CUST-0598</x:v>
      </x:c>
      <x:c r="D1949" s="84" t="str">
        <x:v>Amelia Evans </x:v>
      </x:c>
      <x:c r="E1949" s="84" t="str">
        <x:v>corporate</x:v>
      </x:c>
      <x:c r="F1949" s="84" t="str">
        <x:v>Southeast</x:v>
      </x:c>
      <x:c r="G1949" s="84" t="str">
        <x:v>Nashville</x:v>
      </x:c>
      <x:c r="H1949" s="84" t="str">
        <x:v>marketplace</x:v>
      </x:c>
      <x:c r="I1949" s="84" t="str">
        <x:v>ACCS-001</x:v>
      </x:c>
      <x:c r="J1949" s="86" t="n">
        <x:v>5</x:v>
      </x:c>
      <x:c r="K1949" s="87" t="n">
        <x:v>0.15</x:v>
      </x:c>
      <x:c r="L1949" s="84" t="str">
        <x:v>Completed</x:v>
      </x:c>
      <x:c r="M1949" s="84" t="str">
        <x:v>Credit Card </x:v>
      </x:c>
      <x:c r="N1949" s="84" t="str">
        <x:v>Liam Parker</x:v>
      </x:c>
      <x:c r="O1949" s="85" t="n">
        <x:v>45926</x:v>
      </x:c>
      <x:c r="P1949" s="84" t="str">
        <x:v>MKT_2025_09</x:v>
      </x:c>
      <x:c r="Q1949" s="84" t="str">
        <x:v>Canvas Tote Bag</x:v>
      </x:c>
      <x:c r="R1949" s="84" t="str">
        <x:v>Accessories</x:v>
      </x:c>
    </x:row>
    <x:row r="1950">
      <x:c r="A1950" s="84" t="str">
        <x:v>ORD-2025-00453</x:v>
      </x:c>
      <x:c r="B1950" s="85" t="n">
        <x:v>45919</x:v>
      </x:c>
      <x:c r="C1950" s="84" t="str">
        <x:v>CUST-0471</x:v>
      </x:c>
      <x:c r="D1950" s="84" t="str">
        <x:v>Marcus Lewis </x:v>
      </x:c>
      <x:c r="E1950" s="84" t="str">
        <x:v>Consumer</x:v>
      </x:c>
      <x:c r="F1950" s="84" t="str">
        <x:v>Southeast</x:v>
      </x:c>
      <x:c r="G1950" s="84" t="str">
        <x:v>Charlotte</x:v>
      </x:c>
      <x:c r="H1950" s="84" t="str">
        <x:v>Marketplace</x:v>
      </x:c>
      <x:c r="I1950" s="84" t="str">
        <x:v>ELEC-004</x:v>
      </x:c>
      <x:c r="J1950" s="86" t="n">
        <x:v>1</x:v>
      </x:c>
      <x:c r="K1950" s="87" t="n">
        <x:v>0.05</x:v>
      </x:c>
      <x:c r="L1950" s="84" t="str">
        <x:v>Completed</x:v>
      </x:c>
      <x:c r="M1950" s="84" t="str">
        <x:v> CREDIT CARD </x:v>
      </x:c>
      <x:c r="N1950" s="84" t="str">
        <x:v>liam parker</x:v>
      </x:c>
      <x:c r="O1950" s="85" t="n">
        <x:v>45923</x:v>
      </x:c>
      <x:c r="P1950" s="84" t="str">
        <x:v>MKT_2025_09</x:v>
      </x:c>
      <x:c r="Q1950" s="84" t="str">
        <x:v>Power Bank</x:v>
      </x:c>
      <x:c r="R1950" s="84" t="str">
        <x:v>Electronics</x:v>
      </x:c>
    </x:row>
    <x:row r="1951">
      <x:c r="A1951" s="84" t="str">
        <x:v>ORD-2025-01184</x:v>
      </x:c>
      <x:c r="B1951" s="85" t="n">
        <x:v>45919</x:v>
      </x:c>
      <x:c r="C1951" s="84" t="str">
        <x:v>CUST-0195</x:v>
      </x:c>
      <x:c r="D1951" s="84" t="str">
        <x:v>aiden carter</x:v>
      </x:c>
      <x:c r="E1951" s="84" t="str">
        <x:v>Corporate</x:v>
      </x:c>
      <x:c r="F1951" s="84" t="str">
        <x:v>Northeast</x:v>
      </x:c>
      <x:c r="G1951" s="84" t="str">
        <x:v>New York</x:v>
      </x:c>
      <x:c r="H1951" s="84" t="str">
        <x:v>Retail Store</x:v>
      </x:c>
      <x:c r="I1951" s="84" t="str">
        <x:v>ELEC-004</x:v>
      </x:c>
      <x:c r="J1951" s="86" t="n">
        <x:v>1</x:v>
      </x:c>
      <x:c r="K1951" s="87" t="n">
        <x:v>0.05</x:v>
      </x:c>
      <x:c r="L1951" s="84" t="str">
        <x:v>Completed</x:v>
      </x:c>
      <x:c r="M1951" s="84" t="str">
        <x:v> MOBILE WALLET </x:v>
      </x:c>
      <x:c r="N1951" s="84" t="str">
        <x:v>Maya Brooks</x:v>
      </x:c>
      <x:c r="O1951" s="85" t="n">
        <x:v>45920</x:v>
      </x:c>
      <x:c r="P1951" s="84" t="str">
        <x:v>POS_2025_09</x:v>
      </x:c>
      <x:c r="Q1951" s="84" t="str">
        <x:v>Power Bank </x:v>
      </x:c>
      <x:c r="R1951" s="84" t="str">
        <x:v>Electronics</x:v>
      </x:c>
    </x:row>
    <x:row r="1952">
      <x:c r="A1952" s="84" t="str">
        <x:v>ORD-2025-01578</x:v>
      </x:c>
      <x:c r="B1952" s="85" t="n">
        <x:v>45919</x:v>
      </x:c>
      <x:c r="C1952" s="84" t="str">
        <x:v>CUST-0046</x:v>
      </x:c>
      <x:c r="D1952" s="84" t="str">
        <x:v> NATHAN MOORE </x:v>
      </x:c>
      <x:c r="E1952" s="84" t="str">
        <x:v>Consumer</x:v>
      </x:c>
      <x:c r="F1952" s="84" t="str">
        <x:v> MIDWEST </x:v>
      </x:c>
      <x:c r="G1952" s="84" t="str">
        <x:v>Columbus</x:v>
      </x:c>
      <x:c r="H1952" s="84" t="str">
        <x:v>Retail Store </x:v>
      </x:c>
      <x:c r="I1952" s="84" t="str">
        <x:v>ACCS-004</x:v>
      </x:c>
      <x:c r="J1952" s="86" t="n">
        <x:v>1</x:v>
      </x:c>
      <x:c r="K1952" s="87" t="n">
        <x:v>0.05</x:v>
      </x:c>
      <x:c r="L1952" s="84" t="str">
        <x:v>Completed</x:v>
      </x:c>
      <x:c r="M1952" s="84" t="str">
        <x:v>Debit Card</x:v>
      </x:c>
      <x:c r="N1952" s="84" t="str">
        <x:v>Emma Hayes</x:v>
      </x:c>
      <x:c r="O1952" s="85" t="n">
        <x:v>45919</x:v>
      </x:c>
      <x:c r="P1952" s="84" t="str">
        <x:v>POS_2025_09</x:v>
      </x:c>
      <x:c r="Q1952" s="84" t="str">
        <x:v>Leather Wallet</x:v>
      </x:c>
      <x:c r="R1952" s="84" t="str">
        <x:v>Accessories</x:v>
      </x:c>
    </x:row>
    <x:row r="1953">
      <x:c r="A1953" s="84" t="str">
        <x:v>ORD-2025-00119</x:v>
      </x:c>
      <x:c r="B1953" s="85" t="n">
        <x:v>45920</x:v>
      </x:c>
      <x:c r="C1953" s="84" t="str">
        <x:v>CUST-0510</x:v>
      </x:c>
      <x:c r="D1953" s="84" t="str">
        <x:v>Theo Smith</x:v>
      </x:c>
      <x:c r="E1953" s="84" t="str">
        <x:v> CONSUMER </x:v>
      </x:c>
      <x:c r="F1953" s="84" t="str">
        <x:v>West</x:v>
      </x:c>
      <x:c r="G1953" s="84" t="str">
        <x:v>Seattle </x:v>
      </x:c>
      <x:c r="H1953" s="84" t="str">
        <x:v>Retail Store</x:v>
      </x:c>
      <x:c r="I1953" s="84" t="str">
        <x:v>ELEC-002</x:v>
      </x:c>
      <x:c r="J1953" s="86" t="n">
        <x:v>2</x:v>
      </x:c>
      <x:c r="K1953" s="87" t="n">
        <x:v>0.05</x:v>
      </x:c>
      <x:c r="L1953" s="84" t="str">
        <x:v>Completed</x:v>
      </x:c>
      <x:c r="M1953" s="84" t="str">
        <x:v>Cash</x:v>
      </x:c>
      <x:c r="N1953" s="84" t="str">
        <x:v>Mia Chen</x:v>
      </x:c>
      <x:c r="O1953" s="85" t="n">
        <x:v>45920</x:v>
      </x:c>
      <x:c r="P1953" s="84" t="str">
        <x:v>POS_2025_09</x:v>
      </x:c>
      <x:c r="Q1953" s="84" t="str">
        <x:v>smartwatch</x:v>
      </x:c>
      <x:c r="R1953" s="84" t="str">
        <x:v>Electronics</x:v>
      </x:c>
    </x:row>
    <x:row r="1954">
      <x:c r="A1954" s="84" t="str">
        <x:v>ORD-2025-00868</x:v>
      </x:c>
      <x:c r="B1954" s="85" t="n">
        <x:v>45920</x:v>
      </x:c>
      <x:c r="C1954" s="84" t="str">
        <x:v>CUST-0368</x:v>
      </x:c>
      <x:c r="D1954" s="84" t="str">
        <x:v>Nathan Roberts</x:v>
      </x:c>
      <x:c r="E1954" s="84" t="str">
        <x:v>Consumer </x:v>
      </x:c>
      <x:c r="F1954" s="84" t="str">
        <x:v>West</x:v>
      </x:c>
      <x:c r="G1954" s="84" t="str">
        <x:v>Denver </x:v>
      </x:c>
      <x:c r="H1954" s="84" t="str">
        <x:v>Online</x:v>
      </x:c>
      <x:c r="I1954" s="84" t="str">
        <x:v>OFFC-001</x:v>
      </x:c>
      <x:c r="J1954" s="86" t="n">
        <x:v>1</x:v>
      </x:c>
      <x:c r="K1954" s="87" t="n">
        <x:v>0</x:v>
      </x:c>
      <x:c r="L1954" s="84" t="str">
        <x:v>Completed</x:v>
      </x:c>
      <x:c r="M1954" s="84" t="str">
        <x:v>mobile wallet</x:v>
      </x:c>
      <x:c r="N1954" s="84" t="str">
        <x:v>Nora Kim</x:v>
      </x:c>
      <x:c r="O1954" s="85" t="n">
        <x:v>45925</x:v>
      </x:c>
      <x:c r="P1954" s="84" t="str">
        <x:v>WEB_2025_09</x:v>
      </x:c>
      <x:c r="Q1954" s="84" t="str">
        <x:v>Ergonomic Chair</x:v>
      </x:c>
      <x:c r="R1954" s="84" t="str">
        <x:v>Office</x:v>
      </x:c>
    </x:row>
    <x:row r="1955">
      <x:c r="A1955" s="84" t="str">
        <x:v>ORD-2025-01384</x:v>
      </x:c>
      <x:c r="B1955" s="85" t="n">
        <x:v>45920</x:v>
      </x:c>
      <x:c r="C1955" s="84" t="str">
        <x:v>CUST-0031</x:v>
      </x:c>
      <x:c r="D1955" s="84" t="str">
        <x:v>Theo Smith </x:v>
      </x:c>
      <x:c r="E1955" s="84" t="str">
        <x:v>Consumer</x:v>
      </x:c>
      <x:c r="F1955" s="84" t="str">
        <x:v>Southeast</x:v>
      </x:c>
      <x:c r="G1955" s="84" t="str">
        <x:v>Atlanta</x:v>
      </x:c>
      <x:c r="H1955" s="84" t="str">
        <x:v>Online</x:v>
      </x:c>
      <x:c r="I1955" s="84" t="str">
        <x:v>HOME-002</x:v>
      </x:c>
      <x:c r="J1955" s="86" t="n">
        <x:v>1</x:v>
      </x:c>
      <x:c r="K1955" s="87" t="n">
        <x:v>0.05</x:v>
      </x:c>
      <x:c r="L1955" s="84" t="str">
        <x:v>Completed</x:v>
      </x:c>
      <x:c r="M1955" s="84" t="str">
        <x:v>Credit Card </x:v>
      </x:c>
      <x:c r="N1955" s="84" t="str">
        <x:v>Ava Mitchell</x:v>
      </x:c>
      <x:c r="O1955" s="85" t="n">
        <x:v>45924</x:v>
      </x:c>
      <x:c r="P1955" s="84" t="str">
        <x:v>WEB_2025_09</x:v>
      </x:c>
      <x:c r="Q1955" s="84" t="str">
        <x:v>electric kettle</x:v>
      </x:c>
      <x:c r="R1955" s="84" t="str">
        <x:v>Home &amp; Kitchen</x:v>
      </x:c>
    </x:row>
    <x:row r="1956">
      <x:c r="A1956" s="84" t="str">
        <x:v>ORD-2025-01743</x:v>
      </x:c>
      <x:c r="B1956" s="85" t="n">
        <x:v>45920</x:v>
      </x:c>
      <x:c r="C1956" s="84" t="str">
        <x:v>CUST-0308</x:v>
      </x:c>
      <x:c r="D1956" s="84" t="str">
        <x:v>Nathan Irwin</x:v>
      </x:c>
      <x:c r="E1956" s="84" t="str">
        <x:v>Consumer </x:v>
      </x:c>
      <x:c r="F1956" s="84" t="str">
        <x:v>West</x:v>
      </x:c>
      <x:c r="G1956" s="84" t="str">
        <x:v>Denver </x:v>
      </x:c>
      <x:c r="H1956" s="84" t="str">
        <x:v>Retail Store</x:v>
      </x:c>
      <x:c r="I1956" s="84" t="str">
        <x:v>FITN-006</x:v>
      </x:c>
      <x:c r="J1956" s="86" t="n">
        <x:v>2</x:v>
      </x:c>
      <x:c r="K1956" s="87" t="n">
        <x:v>0.05</x:v>
      </x:c>
      <x:c r="L1956" s="84" t="str">
        <x:v>Completed</x:v>
      </x:c>
      <x:c r="M1956" s="84" t="str">
        <x:v>Mobile Wallet</x:v>
      </x:c>
      <x:c r="N1956" s="84" t="str">
        <x:v>Nora Kim</x:v>
      </x:c>
      <x:c r="O1956" s="85" t="n">
        <x:v>45920</x:v>
      </x:c>
      <x:c r="P1956" s="84" t="str">
        <x:v>POS_2025_09</x:v>
      </x:c>
      <x:c r="Q1956" s="84" t="str">
        <x:v>Foam Roller</x:v>
      </x:c>
      <x:c r="R1956" s="84" t="str">
        <x:v>Fitness</x:v>
      </x:c>
    </x:row>
    <x:row r="1957">
      <x:c r="A1957" s="84" t="str">
        <x:v>ORD-2025-02178</x:v>
      </x:c>
      <x:c r="B1957" s="85" t="n">
        <x:v>45920</x:v>
      </x:c>
      <x:c r="C1957" s="84" t="str">
        <x:v>CUST-0355</x:v>
      </x:c>
      <x:c r="D1957" s="84" t="str">
        <x:v>Caleb Evans</x:v>
      </x:c>
      <x:c r="E1957" s="84" t="str">
        <x:v>consumer</x:v>
      </x:c>
      <x:c r="F1957" s="84" t="str">
        <x:v>Northeast</x:v>
      </x:c>
      <x:c r="G1957" s="84" t="str">
        <x:v>Philadelphia</x:v>
      </x:c>
      <x:c r="H1957" s="84" t="str">
        <x:v>online</x:v>
      </x:c>
      <x:c r="I1957" s="84" t="str">
        <x:v>ELEC-004</x:v>
      </x:c>
      <x:c r="J1957" s="86" t="n">
        <x:v>2</x:v>
      </x:c>
      <x:c r="K1957" s="87" t="n">
        <x:v>0</x:v>
      </x:c>
      <x:c r="L1957" s="84" t="str">
        <x:v>Completed</x:v>
      </x:c>
      <x:c r="M1957" s="84" t="str">
        <x:v>Credit Card</x:v>
      </x:c>
      <x:c r="N1957" s="84" t="str">
        <x:v>Sofia Bennett</x:v>
      </x:c>
      <x:c r="O1957" s="85" t="n">
        <x:v>45923</x:v>
      </x:c>
      <x:c r="P1957" s="84" t="str">
        <x:v>WEB_2025_09</x:v>
      </x:c>
      <x:c r="Q1957" s="84" t="str">
        <x:v>Power Bank </x:v>
      </x:c>
      <x:c r="R1957" s="84" t="str">
        <x:v>Electronics</x:v>
      </x:c>
    </x:row>
    <x:row r="1958">
      <x:c r="A1958" s="84" t="str">
        <x:v>ORD-2025-00468</x:v>
      </x:c>
      <x:c r="B1958" s="85" t="n">
        <x:v>45921</x:v>
      </x:c>
      <x:c r="C1958" s="84" t="str">
        <x:v>CUST-0452</x:v>
      </x:c>
      <x:c r="D1958" s="84" t="str">
        <x:v>Aiden Moore</x:v>
      </x:c>
      <x:c r="E1958" s="84" t="str">
        <x:v>Corporate</x:v>
      </x:c>
      <x:c r="F1958" s="84" t="str">
        <x:v>Northeast</x:v>
      </x:c>
      <x:c r="G1958" s="84" t="str">
        <x:v>Philadelphia</x:v>
      </x:c>
      <x:c r="H1958" s="84" t="str">
        <x:v>Retail Store</x:v>
      </x:c>
      <x:c r="I1958" s="84" t="str">
        <x:v>ACCS-002</x:v>
      </x:c>
      <x:c r="J1958" s="86" t="n">
        <x:v>5</x:v>
      </x:c>
      <x:c r="K1958" s="87" t="n">
        <x:v>0.05</x:v>
      </x:c>
      <x:c r="L1958" s="84" t="str">
        <x:v>Completed </x:v>
      </x:c>
      <x:c r="M1958" s="84" t="str">
        <x:v>Mobile Wallet</x:v>
      </x:c>
      <x:c r="N1958" s="84" t="str">
        <x:v>Ethan Cole</x:v>
      </x:c>
      <x:c r="O1958" s="85" t="n">
        <x:v>45922</x:v>
      </x:c>
      <x:c r="P1958" s="84" t="str">
        <x:v>POS_2025_09</x:v>
      </x:c>
      <x:c r="Q1958" s="84" t="str">
        <x:v>Travel Backpack</x:v>
      </x:c>
      <x:c r="R1958" s="84" t="str">
        <x:v>Accessories</x:v>
      </x:c>
    </x:row>
    <x:row r="1959">
      <x:c r="A1959" s="84" t="str">
        <x:v>ORD-2025-02092</x:v>
      </x:c>
      <x:c r="B1959" s="85" t="n">
        <x:v>45921</x:v>
      </x:c>
      <x:c r="C1959" s="84" t="str">
        <x:v>CUST-0387</x:v>
      </x:c>
      <x:c r="D1959" s="84" t="str">
        <x:v>Samuel Evans</x:v>
      </x:c>
      <x:c r="E1959" s="84" t="str">
        <x:v>Small Business</x:v>
      </x:c>
      <x:c r="F1959" s="84" t="str">
        <x:v>West</x:v>
      </x:c>
      <x:c r="G1959" s="84" t="str">
        <x:v>Denver</x:v>
      </x:c>
      <x:c r="H1959" s="84" t="str">
        <x:v>Online</x:v>
      </x:c>
      <x:c r="I1959" s="84" t="str">
        <x:v>OFFC-006</x:v>
      </x:c>
      <x:c r="J1959" s="86" t="n">
        <x:v>1</x:v>
      </x:c>
      <x:c r="K1959" s="87" t="n">
        <x:v>0.1</x:v>
      </x:c>
      <x:c r="L1959" s="84" t="str">
        <x:v>Completed </x:v>
      </x:c>
      <x:c r="M1959" s="84" t="str">
        <x:v>Debit Card</x:v>
      </x:c>
      <x:c r="N1959" s="84" t="str">
        <x:v>nora kim</x:v>
      </x:c>
      <x:c r="O1959" s="85" t="n">
        <x:v>45927</x:v>
      </x:c>
      <x:c r="P1959" s="84" t="str">
        <x:v>WEB_2025_09</x:v>
      </x:c>
      <x:c r="Q1959" s="84" t="str">
        <x:v>Monitor Stand</x:v>
      </x:c>
      <x:c r="R1959" s="84" t="str">
        <x:v>Office</x:v>
      </x:c>
    </x:row>
    <x:row r="1960">
      <x:c r="A1960" s="84" t="str">
        <x:v>ORD-2025-01145</x:v>
      </x:c>
      <x:c r="B1960" s="85" t="n">
        <x:v>45922</x:v>
      </x:c>
      <x:c r="C1960" s="84" t="str">
        <x:v>CUST-0578</x:v>
      </x:c>
      <x:c r="D1960" s="84" t="str">
        <x:v>Priya Smith</x:v>
      </x:c>
      <x:c r="E1960" s="84" t="str">
        <x:v>Corporate</x:v>
      </x:c>
      <x:c r="F1960" s="84" t="str">
        <x:v>Northeast </x:v>
      </x:c>
      <x:c r="G1960" s="84" t="str">
        <x:v>Newark</x:v>
      </x:c>
      <x:c r="H1960" s="84" t="str">
        <x:v> RETAIL STORE </x:v>
      </x:c>
      <x:c r="I1960" s="84" t="str">
        <x:v>OFFC-005</x:v>
      </x:c>
      <x:c r="J1960" s="86" t="n">
        <x:v>1</x:v>
      </x:c>
      <x:c r="K1960" s="87" t="n">
        <x:v>0.15</x:v>
      </x:c>
      <x:c r="L1960" s="84" t="str">
        <x:v>Completed</x:v>
      </x:c>
      <x:c r="M1960" s="84" t="str">
        <x:v>Debit Card</x:v>
      </x:c>
      <x:c r="N1960" s="84" t="str">
        <x:v>Sofia Bennett </x:v>
      </x:c>
      <x:c r="O1960" s="85" t="n">
        <x:v>45922</x:v>
      </x:c>
      <x:c r="P1960" s="84" t="str">
        <x:v>POS_2025_09</x:v>
      </x:c>
      <x:c r="Q1960" s="84" t="str">
        <x:v>Wireless Keyboard</x:v>
      </x:c>
      <x:c r="R1960" s="84" t="str">
        <x:v>Office</x:v>
      </x:c>
    </x:row>
    <x:row r="1961">
      <x:c r="A1961" s="84" t="str">
        <x:v>ORD-2025-01325</x:v>
      </x:c>
      <x:c r="B1961" s="85" t="n">
        <x:v>45922</x:v>
      </x:c>
      <x:c r="C1961" s="84" t="str">
        <x:v>CUST-0591</x:v>
      </x:c>
      <x:c r="D1961" s="84" t="str">
        <x:v>Grace Quinn</x:v>
      </x:c>
      <x:c r="E1961" s="84" t="str">
        <x:v>Consumer</x:v>
      </x:c>
      <x:c r="F1961" s="84" t="str">
        <x:v>Northeast</x:v>
      </x:c>
      <x:c r="G1961" s="84" t="str">
        <x:v>Philadelphia</x:v>
      </x:c>
      <x:c r="H1961" s="84" t="str">
        <x:v>Retail Store</x:v>
      </x:c>
      <x:c r="I1961" s="84" t="str">
        <x:v>HOME-006</x:v>
      </x:c>
      <x:c r="J1961" s="86" t="n">
        <x:v>1</x:v>
      </x:c>
      <x:c r="K1961" s="87" t="n">
        <x:v>0.1</x:v>
      </x:c>
      <x:c r="L1961" s="84" t="str">
        <x:v>Completed</x:v>
      </x:c>
      <x:c r="M1961" s="84" t="str">
        <x:v>Debit Card</x:v>
      </x:c>
      <x:c r="N1961" s="84" t="str">
        <x:v>Maya Brooks</x:v>
      </x:c>
      <x:c r="O1961" s="85" t="n">
        <x:v>45922</x:v>
      </x:c>
      <x:c r="P1961" s="84" t="str">
        <x:v>POS_2025_09</x:v>
      </x:c>
      <x:c r="Q1961" s="84" t="str">
        <x:v>Food Storage Set</x:v>
      </x:c>
      <x:c r="R1961" s="84" t="str">
        <x:v>Home &amp; Kitchen </x:v>
      </x:c>
    </x:row>
    <x:row r="1962">
      <x:c r="A1962" s="84" t="str">
        <x:v>ORD-2025-01516</x:v>
      </x:c>
      <x:c r="B1962" s="85" t="n">
        <x:v>45922</x:v>
      </x:c>
      <x:c r="C1962" s="84" t="str">
        <x:v>CUST-0590</x:v>
      </x:c>
      <x:c r="D1962" s="84" t="str">
        <x:v>Theo Young</x:v>
      </x:c>
      <x:c r="E1962" s="84" t="str">
        <x:v>Consumer</x:v>
      </x:c>
      <x:c r="F1962" s="84" t="str">
        <x:v>Southeast </x:v>
      </x:c>
      <x:c r="G1962" s="84" t="str">
        <x:v>Atlanta</x:v>
      </x:c>
      <x:c r="H1962" s="84" t="str">
        <x:v>Online</x:v>
      </x:c>
      <x:c r="I1962" s="84" t="str">
        <x:v>ELEC-001</x:v>
      </x:c>
      <x:c r="J1962" s="86" t="n">
        <x:v>2</x:v>
      </x:c>
      <x:c r="K1962" s="87" t="n">
        <x:v>0</x:v>
      </x:c>
      <x:c r="L1962" s="84" t="str">
        <x:v>Completed</x:v>
      </x:c>
      <x:c r="M1962" s="84" t="str">
        <x:v>PayPal</x:v>
      </x:c>
      <x:c r="N1962" s="84" t="str">
        <x:v> LIAM PARKER </x:v>
      </x:c>
      <x:c r="O1962" s="85" t="n">
        <x:v>45924</x:v>
      </x:c>
      <x:c r="P1962" s="84" t="str">
        <x:v>WEB_2025_09</x:v>
      </x:c>
      <x:c r="Q1962" s="84" t="str">
        <x:v>wireless earbuds</x:v>
      </x:c>
      <x:c r="R1962" s="84" t="str">
        <x:v>Electronics</x:v>
      </x:c>
    </x:row>
    <x:row r="1963">
      <x:c r="A1963" s="84" t="str">
        <x:v>ORD-2025-01517</x:v>
      </x:c>
      <x:c r="B1963" s="85" t="n">
        <x:v>45922</x:v>
      </x:c>
      <x:c r="C1963" s="84" t="str">
        <x:v>CUST-0079</x:v>
      </x:c>
      <x:c r="D1963" s="84" t="str">
        <x:v>Isaac Foster </x:v>
      </x:c>
      <x:c r="E1963" s="84" t="str">
        <x:v>Consumer</x:v>
      </x:c>
      <x:c r="F1963" s="84" t="str">
        <x:v>Midwest</x:v>
      </x:c>
      <x:c r="G1963" s="84" t="str">
        <x:v>Minneapolis</x:v>
      </x:c>
      <x:c r="H1963" s="84" t="str">
        <x:v>Online</x:v>
      </x:c>
      <x:c r="I1963" s="84" t="str">
        <x:v>OFFC-001</x:v>
      </x:c>
      <x:c r="J1963" s="86" t="n">
        <x:v>1</x:v>
      </x:c>
      <x:c r="K1963" s="87" t="n">
        <x:v>0.1</x:v>
      </x:c>
      <x:c r="L1963" s="84" t="str">
        <x:v>Completed</x:v>
      </x:c>
      <x:c r="M1963" s="84" t="str">
        <x:v>paypal</x:v>
      </x:c>
      <x:c r="N1963" s="84" t="str">
        <x:v>Emma Hayes</x:v>
      </x:c>
      <x:c r="O1963" s="85" t="n">
        <x:v>45927</x:v>
      </x:c>
      <x:c r="P1963" s="84" t="str">
        <x:v>WEB_2025_09</x:v>
      </x:c>
      <x:c r="Q1963" s="84" t="str">
        <x:v> ERGONOMIC CHAIR </x:v>
      </x:c>
      <x:c r="R1963" s="84" t="str">
        <x:v>Office</x:v>
      </x:c>
    </x:row>
    <x:row r="1964">
      <x:c r="A1964" s="84" t="str">
        <x:v>ORD-2025-02386</x:v>
      </x:c>
      <x:c r="B1964" s="85" t="n">
        <x:v>45922</x:v>
      </x:c>
      <x:c r="C1964" s="84" t="str">
        <x:v>CUST-0020</x:v>
      </x:c>
      <x:c r="D1964" s="84" t="str">
        <x:v>Elias Ortiz</x:v>
      </x:c>
      <x:c r="E1964" s="84" t="str">
        <x:v>Consumer</x:v>
      </x:c>
      <x:c r="F1964" s="84" t="str">
        <x:v>Southeast</x:v>
      </x:c>
      <x:c r="G1964" s="84" t="str">
        <x:v>Miami</x:v>
      </x:c>
      <x:c r="H1964" s="84" t="str">
        <x:v> ONLINE </x:v>
      </x:c>
      <x:c r="I1964" s="84" t="str">
        <x:v>FITN-003</x:v>
      </x:c>
      <x:c r="J1964" s="86" t="n">
        <x:v>1</x:v>
      </x:c>
      <x:c r="K1964" s="87" t="n">
        <x:v>0</x:v>
      </x:c>
      <x:c r="L1964" s="84" t="str">
        <x:v>Completed </x:v>
      </x:c>
      <x:c r="M1964" s="84" t="str">
        <x:v>debit card</x:v>
      </x:c>
      <x:c r="N1964" s="84" t="str">
        <x:v>Ava Mitchell</x:v>
      </x:c>
      <x:c r="O1964" s="85" t="n">
        <x:v>45926</x:v>
      </x:c>
      <x:c r="P1964" s="84" t="str">
        <x:v>WEB_2025_09</x:v>
      </x:c>
      <x:c r="Q1964" s="84" t="str">
        <x:v>Resistance Band Set</x:v>
      </x:c>
      <x:c r="R1964" s="84" t="str">
        <x:v>Fitness</x:v>
      </x:c>
    </x:row>
    <x:row r="1965">
      <x:c r="A1965" s="84" t="str">
        <x:v>ORD-2025-00056</x:v>
      </x:c>
      <x:c r="B1965" s="85" t="n">
        <x:v>45924</x:v>
      </x:c>
      <x:c r="C1965" s="84" t="str">
        <x:v>CUST-0594</x:v>
      </x:c>
      <x:c r="D1965" s="84" t="str">
        <x:v>Theo Patel</x:v>
      </x:c>
      <x:c r="E1965" s="84" t="str">
        <x:v>Consumer </x:v>
      </x:c>
      <x:c r="F1965" s="84" t="str">
        <x:v>Northeast</x:v>
      </x:c>
      <x:c r="G1965" s="84" t="str">
        <x:v>Newark </x:v>
      </x:c>
      <x:c r="H1965" s="84" t="str">
        <x:v>Retail Store</x:v>
      </x:c>
      <x:c r="I1965" s="84" t="str">
        <x:v>ELEC-002</x:v>
      </x:c>
      <x:c r="J1965" s="86" t="n">
        <x:v>2</x:v>
      </x:c>
      <x:c r="K1965" s="87" t="n">
        <x:v>0.05</x:v>
      </x:c>
      <x:c r="L1965" s="84" t="str">
        <x:v> COMPLETED </x:v>
      </x:c>
      <x:c r="M1965" s="84" t="str">
        <x:v>Cash</x:v>
      </x:c>
      <x:c r="N1965" s="84" t="str">
        <x:v>Maya Brooks</x:v>
      </x:c>
      <x:c r="O1965" s="85" t="n">
        <x:v>45924</x:v>
      </x:c>
      <x:c r="P1965" s="84" t="str">
        <x:v>POS_2025_09</x:v>
      </x:c>
      <x:c r="Q1965" s="84" t="str">
        <x:v>Smartwatch</x:v>
      </x:c>
      <x:c r="R1965" s="84" t="str">
        <x:v>Electronics</x:v>
      </x:c>
    </x:row>
    <x:row r="1966">
      <x:c r="A1966" s="84" t="str">
        <x:v>ORD-2025-01160</x:v>
      </x:c>
      <x:c r="B1966" s="85" t="n">
        <x:v>45924</x:v>
      </x:c>
      <x:c r="C1966" s="84" t="str">
        <x:v>CUST-0431</x:v>
      </x:c>
      <x:c r="D1966" s="84" t="str">
        <x:v>Jonah Garcia </x:v>
      </x:c>
      <x:c r="E1966" s="84" t="str">
        <x:v>Corporate</x:v>
      </x:c>
      <x:c r="F1966" s="84" t="str">
        <x:v>West</x:v>
      </x:c>
      <x:c r="G1966" s="84" t="str">
        <x:v>Denver</x:v>
      </x:c>
      <x:c r="H1966" s="84" t="str">
        <x:v>Retail Store</x:v>
      </x:c>
      <x:c r="I1966" s="84" t="str">
        <x:v>ELEC-001</x:v>
      </x:c>
      <x:c r="J1966" s="86" t="n">
        <x:v>1</x:v>
      </x:c>
      <x:c r="K1966" s="87" t="n">
        <x:v>0.1</x:v>
      </x:c>
      <x:c r="L1966" s="84" t="str">
        <x:v>Completed</x:v>
      </x:c>
      <x:c r="M1966" s="84" t="str">
        <x:v>Credit Card </x:v>
      </x:c>
      <x:c r="N1966" s="84" t="str">
        <x:v>Mia Chen</x:v>
      </x:c>
      <x:c r="O1966" s="85" t="n">
        <x:v>45924</x:v>
      </x:c>
      <x:c r="P1966" s="84" t="str">
        <x:v>POS_2025_09</x:v>
      </x:c>
      <x:c r="Q1966" s="84" t="str">
        <x:v> WIRELESS EARBUDS </x:v>
      </x:c>
      <x:c r="R1966" s="84" t="str">
        <x:v>Electronics</x:v>
      </x:c>
    </x:row>
    <x:row r="1967">
      <x:c r="A1967" s="84" t="str">
        <x:v>ORD-2025-01259</x:v>
      </x:c>
      <x:c r="B1967" s="85" t="n">
        <x:v>45924</x:v>
      </x:c>
      <x:c r="C1967" s="84" t="str">
        <x:v>CUST-0340</x:v>
      </x:c>
      <x:c r="D1967" s="84" t="str">
        <x:v>Nina Moore</x:v>
      </x:c>
      <x:c r="E1967" s="84" t="str">
        <x:v>Consumer</x:v>
      </x:c>
      <x:c r="F1967" s="84" t="str">
        <x:v>West</x:v>
      </x:c>
      <x:c r="G1967" s="84" t="str">
        <x:v>Los Angeles</x:v>
      </x:c>
      <x:c r="H1967" s="84" t="str">
        <x:v>Online</x:v>
      </x:c>
      <x:c r="I1967" s="84" t="str">
        <x:v>ELEC-005</x:v>
      </x:c>
      <x:c r="J1967" s="86" t="n">
        <x:v>1</x:v>
      </x:c>
      <x:c r="K1967" s="87" t="n">
        <x:v>0</x:v>
      </x:c>
      <x:c r="L1967" s="84" t="str">
        <x:v>Completed </x:v>
      </x:c>
      <x:c r="M1967" s="84" t="str">
        <x:v>Mobile Wallet</x:v>
      </x:c>
      <x:c r="N1967" s="84" t="str">
        <x:v>Leo Martinez</x:v>
      </x:c>
      <x:c r="O1967" s="85" t="n">
        <x:v>45926</x:v>
      </x:c>
      <x:c r="P1967" s="84" t="str">
        <x:v>WEB_2025_09</x:v>
      </x:c>
      <x:c r="Q1967" s="84" t="str">
        <x:v>HD Webcam</x:v>
      </x:c>
      <x:c r="R1967" s="84" t="str">
        <x:v>Electronics</x:v>
      </x:c>
    </x:row>
    <x:row r="1968">
      <x:c r="A1968" s="84" t="str">
        <x:v>ORD-2025-01585</x:v>
      </x:c>
      <x:c r="B1968" s="85" t="n">
        <x:v>45924</x:v>
      </x:c>
      <x:c r="C1968" s="84" t="str">
        <x:v>CUST-0524</x:v>
      </x:c>
      <x:c r="D1968" s="84" t="str">
        <x:v>Elena Adams</x:v>
      </x:c>
      <x:c r="E1968" s="84" t="str">
        <x:v>Consumer</x:v>
      </x:c>
      <x:c r="F1968" s="84" t="str">
        <x:v>Midwest</x:v>
      </x:c>
      <x:c r="G1968" s="84" t="str">
        <x:v>Detroit</x:v>
      </x:c>
      <x:c r="H1968" s="84" t="str">
        <x:v>Marketplace </x:v>
      </x:c>
      <x:c r="I1968" s="84" t="str">
        <x:v>FITN-005</x:v>
      </x:c>
      <x:c r="J1968" s="86" t="n">
        <x:v>2</x:v>
      </x:c>
      <x:c r="K1968" s="87" t="n">
        <x:v>0</x:v>
      </x:c>
      <x:c r="L1968" s="84" t="str">
        <x:v>Completed</x:v>
      </x:c>
      <x:c r="M1968" s="84" t="str">
        <x:v>PayPal</x:v>
      </x:c>
      <x:c r="N1968" s="84" t="str">
        <x:v>Zoe Turner</x:v>
      </x:c>
      <x:c r="O1968" s="85" t="n">
        <x:v>45930</x:v>
      </x:c>
      <x:c r="P1968" s="84" t="str">
        <x:v>MKT_2025_09</x:v>
      </x:c>
      <x:c r="Q1968" s="84" t="str">
        <x:v> SPORTS WATER BOTTLE </x:v>
      </x:c>
      <x:c r="R1968" s="84" t="str">
        <x:v>Fitness</x:v>
      </x:c>
    </x:row>
    <x:row r="1969">
      <x:c r="A1969" s="84" t="str">
        <x:v>ORD-2025-02033</x:v>
      </x:c>
      <x:c r="B1969" s="85" t="n">
        <x:v>45924</x:v>
      </x:c>
      <x:c r="C1969" s="84" t="str">
        <x:v>CUST-0198</x:v>
      </x:c>
      <x:c r="D1969" s="84" t="str">
        <x:v>Jonah Baker</x:v>
      </x:c>
      <x:c r="E1969" s="84" t="str">
        <x:v>Consumer</x:v>
      </x:c>
      <x:c r="F1969" s="84" t="str">
        <x:v>Southeast</x:v>
      </x:c>
      <x:c r="G1969" s="84" t="str">
        <x:v> ATLANTA </x:v>
      </x:c>
      <x:c r="H1969" s="84" t="str">
        <x:v>Marketplace </x:v>
      </x:c>
      <x:c r="I1969" s="84" t="str">
        <x:v>ELEC-001</x:v>
      </x:c>
      <x:c r="J1969" s="86" t="n">
        <x:v>2</x:v>
      </x:c>
      <x:c r="K1969" s="87" t="n">
        <x:v>0</x:v>
      </x:c>
      <x:c r="L1969" s="84" t="str">
        <x:v>Returned</x:v>
      </x:c>
      <x:c r="M1969" s="84" t="str">
        <x:v>Credit Card</x:v>
      </x:c>
      <x:c r="N1969" s="84" t="str">
        <x:v>Noah Reed</x:v>
      </x:c>
      <x:c r="O1969" s="85" t="n">
        <x:v>45927</x:v>
      </x:c>
      <x:c r="P1969" s="84" t="str">
        <x:v>MKT_2025_09</x:v>
      </x:c>
      <x:c r="Q1969" s="84" t="str">
        <x:v>wireless earbuds</x:v>
      </x:c>
      <x:c r="R1969" s="84" t="str">
        <x:v>Electronics</x:v>
      </x:c>
    </x:row>
    <x:row r="1970">
      <x:c r="A1970" s="84" t="str">
        <x:v>ORD-2025-02143</x:v>
      </x:c>
      <x:c r="B1970" s="85" t="n">
        <x:v>45924</x:v>
      </x:c>
      <x:c r="C1970" s="84" t="str">
        <x:v>CUST-0564</x:v>
      </x:c>
      <x:c r="D1970" s="84" t="str">
        <x:v>Amelia Khan</x:v>
      </x:c>
      <x:c r="E1970" s="84" t="str">
        <x:v>Corporate</x:v>
      </x:c>
      <x:c r="F1970" s="84" t="str">
        <x:v>Southeast</x:v>
      </x:c>
      <x:c r="G1970" s="84" t="str">
        <x:v>Miami</x:v>
      </x:c>
      <x:c r="H1970" s="84" t="str">
        <x:v>Online</x:v>
      </x:c>
      <x:c r="I1970" s="84" t="str">
        <x:v>HOME-006</x:v>
      </x:c>
      <x:c r="J1970" s="86" t="n">
        <x:v>4</x:v>
      </x:c>
      <x:c r="K1970" s="87" t="n">
        <x:v>0.05</x:v>
      </x:c>
      <x:c r="L1970" s="84" t="str">
        <x:v>Completed</x:v>
      </x:c>
      <x:c r="M1970" s="84" t="str">
        <x:v>Debit Card</x:v>
      </x:c>
      <x:c r="N1970" s="84" t="str">
        <x:v>Noah Reed</x:v>
      </x:c>
      <x:c r="O1970" s="85" t="n">
        <x:v>45928</x:v>
      </x:c>
      <x:c r="P1970" s="84" t="str">
        <x:v>WEB_2025_09</x:v>
      </x:c>
      <x:c r="Q1970" s="84" t="str">
        <x:v>food storage set</x:v>
      </x:c>
      <x:c r="R1970" s="84" t="str">
        <x:v>Home &amp; Kitchen</x:v>
      </x:c>
    </x:row>
    <x:row r="1971">
      <x:c r="A1971" s="84" t="str">
        <x:v>ORD-2025-00660</x:v>
      </x:c>
      <x:c r="B1971" s="85" t="n">
        <x:v>45925</x:v>
      </x:c>
      <x:c r="C1971" s="84" t="str">
        <x:v>CUST-0259</x:v>
      </x:c>
      <x:c r="D1971" s="84" t="str">
        <x:v> CALEB FOSTER </x:v>
      </x:c>
      <x:c r="E1971" s="84" t="str">
        <x:v>consumer</x:v>
      </x:c>
      <x:c r="F1971" s="84" t="str">
        <x:v> NORTHEAST </x:v>
      </x:c>
      <x:c r="G1971" s="84" t="str">
        <x:v>New York</x:v>
      </x:c>
      <x:c r="H1971" s="84" t="str">
        <x:v>marketplace</x:v>
      </x:c>
      <x:c r="I1971" s="84" t="str">
        <x:v>OFFC-005</x:v>
      </x:c>
      <x:c r="J1971" s="86" t="n">
        <x:v>1</x:v>
      </x:c>
      <x:c r="K1971" s="87" t="n">
        <x:v>0.05</x:v>
      </x:c>
      <x:c r="L1971" s="84" t="str">
        <x:v>Completed</x:v>
      </x:c>
      <x:c r="M1971" s="84" t="str">
        <x:v>Credit Card</x:v>
      </x:c>
      <x:c r="N1971" s="84" t="str">
        <x:v>Ethan Cole</x:v>
      </x:c>
      <x:c r="O1971" s="85" t="n">
        <x:v>45930</x:v>
      </x:c>
      <x:c r="P1971" s="84" t="str">
        <x:v>MKT_2025_09</x:v>
      </x:c>
      <x:c r="Q1971" s="84" t="str">
        <x:v>Wireless Keyboard</x:v>
      </x:c>
      <x:c r="R1971" s="84" t="str">
        <x:v>Office </x:v>
      </x:c>
    </x:row>
    <x:row r="1972">
      <x:c r="A1972" s="84" t="str">
        <x:v>ORD-2025-01085</x:v>
      </x:c>
      <x:c r="B1972" s="85" t="n">
        <x:v>45925</x:v>
      </x:c>
      <x:c r="C1972" s="84" t="str">
        <x:v>CUST-0376</x:v>
      </x:c>
      <x:c r="D1972" s="84" t="str">
        <x:v> NINA FOSTER </x:v>
      </x:c>
      <x:c r="E1972" s="84" t="str">
        <x:v>Consumer </x:v>
      </x:c>
      <x:c r="F1972" s="84" t="str">
        <x:v> WEST </x:v>
      </x:c>
      <x:c r="G1972" s="84" t="str">
        <x:v>Denver </x:v>
      </x:c>
      <x:c r="H1972" s="84" t="str">
        <x:v>Online</x:v>
      </x:c>
      <x:c r="I1972" s="84" t="str">
        <x:v>HOME-003</x:v>
      </x:c>
      <x:c r="J1972" s="86" t="n">
        <x:v>1</x:v>
      </x:c>
      <x:c r="K1972" s="87" t="n">
        <x:v>0.1</x:v>
      </x:c>
      <x:c r="L1972" s="84" t="str">
        <x:v>Completed</x:v>
      </x:c>
      <x:c r="M1972" s="84" t="str">
        <x:v>Mobile Wallet</x:v>
      </x:c>
      <x:c r="N1972" s="84" t="str">
        <x:v>Leo Martinez</x:v>
      </x:c>
      <x:c r="O1972" s="85" t="n">
        <x:v>45929</x:v>
      </x:c>
      <x:c r="P1972" s="84" t="str">
        <x:v>WEB_2025_09</x:v>
      </x:c>
      <x:c r="Q1972" s="84" t="str">
        <x:v>Countertop Blender</x:v>
      </x:c>
      <x:c r="R1972" s="84" t="str">
        <x:v>Home &amp; Kitchen</x:v>
      </x:c>
    </x:row>
    <x:row r="1973">
      <x:c r="A1973" s="84" t="str">
        <x:v>ORD-2025-02253</x:v>
      </x:c>
      <x:c r="B1973" s="85" t="n">
        <x:v>45925</x:v>
      </x:c>
      <x:c r="C1973" s="84" t="str">
        <x:v>CUST-0460</x:v>
      </x:c>
      <x:c r="D1973" s="84" t="str">
        <x:v>Sara Johnson</x:v>
      </x:c>
      <x:c r="E1973" s="84" t="str">
        <x:v>Consumer</x:v>
      </x:c>
      <x:c r="F1973" s="84" t="str">
        <x:v>West</x:v>
      </x:c>
      <x:c r="G1973" s="84" t="str">
        <x:v>Denver</x:v>
      </x:c>
      <x:c r="H1973" s="84" t="str">
        <x:v>Online</x:v>
      </x:c>
      <x:c r="I1973" s="84" t="str">
        <x:v>HOME-006</x:v>
      </x:c>
      <x:c r="J1973" s="86" t="n">
        <x:v>1</x:v>
      </x:c>
      <x:c r="K1973" s="87" t="n">
        <x:v>0.1</x:v>
      </x:c>
      <x:c r="L1973" s="84" t="str">
        <x:v>Completed </x:v>
      </x:c>
      <x:c r="M1973" s="84" t="str">
        <x:v>Credit Card</x:v>
      </x:c>
      <x:c r="N1973" s="84" t="str">
        <x:v>Leo Martinez</x:v>
      </x:c>
      <x:c r="O1973" s="85" t="n">
        <x:v>45927</x:v>
      </x:c>
      <x:c r="P1973" s="84" t="str">
        <x:v>WEB_2025_09</x:v>
      </x:c>
      <x:c r="Q1973" s="84" t="str">
        <x:v>food storage set</x:v>
      </x:c>
      <x:c r="R1973" s="84" t="str">
        <x:v>Home &amp; Kitchen</x:v>
      </x:c>
    </x:row>
    <x:row r="1974">
      <x:c r="A1974" s="84" t="str">
        <x:v>ORD-2025-02262</x:v>
      </x:c>
      <x:c r="B1974" s="85" t="n">
        <x:v>45925</x:v>
      </x:c>
      <x:c r="C1974" s="84" t="str">
        <x:v>CUST-0066</x:v>
      </x:c>
      <x:c r="D1974" s="84" t="str">
        <x:v>zara smith</x:v>
      </x:c>
      <x:c r="E1974" s="84" t="str">
        <x:v>Consumer</x:v>
      </x:c>
      <x:c r="F1974" s="84" t="str">
        <x:v>West</x:v>
      </x:c>
      <x:c r="G1974" s="84" t="str">
        <x:v>Phoenix</x:v>
      </x:c>
      <x:c r="H1974" s="84" t="str">
        <x:v>Retail Store</x:v>
      </x:c>
      <x:c r="I1974" s="84" t="str">
        <x:v>FITN-001</x:v>
      </x:c>
      <x:c r="J1974" s="86" t="n">
        <x:v>1</x:v>
      </x:c>
      <x:c r="K1974" s="87" t="n">
        <x:v>0.15</x:v>
      </x:c>
      <x:c r="L1974" s="84" t="str">
        <x:v>Completed</x:v>
      </x:c>
      <x:c r="M1974" s="84" t="str">
        <x:v>Cash</x:v>
      </x:c>
      <x:c r="N1974" s="84" t="str">
        <x:v>Nora Kim</x:v>
      </x:c>
      <x:c r="O1974" s="85" t="n">
        <x:v>45925</x:v>
      </x:c>
      <x:c r="P1974" s="84" t="str">
        <x:v>POS_2025_09</x:v>
      </x:c>
      <x:c r="Q1974" s="84" t="str">
        <x:v>Yoga Mat </x:v>
      </x:c>
      <x:c r="R1974" s="84" t="str">
        <x:v>Fitness</x:v>
      </x:c>
    </x:row>
    <x:row r="1975">
      <x:c r="A1975" s="84" t="str">
        <x:v>ORD-2025-01567</x:v>
      </x:c>
      <x:c r="B1975" s="85" t="n">
        <x:v>45927</x:v>
      </x:c>
      <x:c r="C1975" s="84" t="str">
        <x:v>CUST-0290</x:v>
      </x:c>
      <x:c r="D1975" s="84" t="str">
        <x:v>Nathan Baker</x:v>
      </x:c>
      <x:c r="E1975" s="84" t="str">
        <x:v>Consumer</x:v>
      </x:c>
      <x:c r="F1975" s="84" t="str">
        <x:v>West</x:v>
      </x:c>
      <x:c r="G1975" s="84" t="str">
        <x:v>Denver</x:v>
      </x:c>
      <x:c r="H1975" s="84" t="str">
        <x:v>Online</x:v>
      </x:c>
      <x:c r="I1975" s="84" t="str">
        <x:v>ACCS-006</x:v>
      </x:c>
      <x:c r="J1975" s="86" t="n">
        <x:v>1</x:v>
      </x:c>
      <x:c r="K1975" s="87" t="n">
        <x:v>0.1</x:v>
      </x:c>
      <x:c r="L1975" s="84" t="str">
        <x:v>Completed </x:v>
      </x:c>
      <x:c r="M1975" s="84" t="str">
        <x:v>PayPal</x:v>
      </x:c>
      <x:c r="N1975" s="84" t="str">
        <x:v> LEO MARTINEZ </x:v>
      </x:c>
      <x:c r="O1975" s="85" t="n">
        <x:v>45933</x:v>
      </x:c>
      <x:c r="P1975" s="84" t="str">
        <x:v>WEB_2025_09</x:v>
      </x:c>
      <x:c r="Q1975" s="84" t="str">
        <x:v>Insulated Lunch Bag</x:v>
      </x:c>
      <x:c r="R1975" s="84" t="str">
        <x:v>Accessories</x:v>
      </x:c>
    </x:row>
    <x:row r="1976">
      <x:c r="A1976" s="84" t="str">
        <x:v>ORD-2025-01864</x:v>
      </x:c>
      <x:c r="B1976" s="85" t="n">
        <x:v>45927</x:v>
      </x:c>
      <x:c r="C1976" s="84" t="str">
        <x:v>CUST-0434</x:v>
      </x:c>
      <x:c r="D1976" s="84" t="str">
        <x:v>Aiden Smith</x:v>
      </x:c>
      <x:c r="E1976" s="84" t="str">
        <x:v>Corporate</x:v>
      </x:c>
      <x:c r="F1976" s="84" t="str">
        <x:v>Northeast</x:v>
      </x:c>
      <x:c r="G1976" s="84" t="str">
        <x:v>New York</x:v>
      </x:c>
      <x:c r="H1976" s="84" t="str">
        <x:v>Marketplace</x:v>
      </x:c>
      <x:c r="I1976" s="84" t="str">
        <x:v>ELEC-006</x:v>
      </x:c>
      <x:c r="J1976" s="86" t="n">
        <x:v>6</x:v>
      </x:c>
      <x:c r="K1976" s="87" t="n">
        <x:v>0.05</x:v>
      </x:c>
      <x:c r="L1976" s="84" t="str">
        <x:v>Completed</x:v>
      </x:c>
      <x:c r="M1976" s="84" t="str">
        <x:v> CREDIT CARD </x:v>
      </x:c>
      <x:c r="N1976" s="84" t="str">
        <x:v>Sofia Bennett</x:v>
      </x:c>
      <x:c r="O1976" s="85" t="n">
        <x:v>45930</x:v>
      </x:c>
      <x:c r="P1976" s="84" t="str">
        <x:v>MKT_2025_09</x:v>
      </x:c>
      <x:c r="Q1976" s="84" t="str">
        <x:v>Portable SSD</x:v>
      </x:c>
      <x:c r="R1976" s="84" t="str">
        <x:v>Electronics </x:v>
      </x:c>
    </x:row>
    <x:row r="1977">
      <x:c r="A1977" s="84" t="str">
        <x:v>ORD-2025-00021</x:v>
      </x:c>
      <x:c r="B1977" s="85" t="n">
        <x:v>45928</x:v>
      </x:c>
      <x:c r="C1977" s="84" t="str">
        <x:v>CUST-0184</x:v>
      </x:c>
      <x:c r="D1977" s="84" t="str">
        <x:v>Elena Patel</x:v>
      </x:c>
      <x:c r="E1977" s="84" t="str">
        <x:v>Consumer </x:v>
      </x:c>
      <x:c r="F1977" s="84" t="str">
        <x:v>Southeast</x:v>
      </x:c>
      <x:c r="G1977" s="84" t="str">
        <x:v>Miami </x:v>
      </x:c>
      <x:c r="H1977" s="84" t="str">
        <x:v>Online</x:v>
      </x:c>
      <x:c r="I1977" s="84" t="str">
        <x:v>ELEC-006</x:v>
      </x:c>
      <x:c r="J1977" s="86" t="n">
        <x:v>1</x:v>
      </x:c>
      <x:c r="K1977" s="87" t="n">
        <x:v>0.05</x:v>
      </x:c>
      <x:c r="L1977" s="84" t="str">
        <x:v>Completed</x:v>
      </x:c>
      <x:c r="M1977" s="84" t="str">
        <x:v>mobile wallet</x:v>
      </x:c>
      <x:c r="N1977" s="84" t="str">
        <x:v>Ava Mitchell</x:v>
      </x:c>
      <x:c r="O1977" s="85" t="n">
        <x:v>45930</x:v>
      </x:c>
      <x:c r="P1977" s="84" t="str">
        <x:v>WEB_2025_09</x:v>
      </x:c>
      <x:c r="Q1977" s="84" t="str">
        <x:v> PORTABLE SSD </x:v>
      </x:c>
      <x:c r="R1977" s="84" t="str">
        <x:v>Electronics</x:v>
      </x:c>
    </x:row>
    <x:row r="1978">
      <x:c r="A1978" s="84" t="str">
        <x:v>ORD-2025-00101</x:v>
      </x:c>
      <x:c r="B1978" s="85" t="n">
        <x:v>45928</x:v>
      </x:c>
      <x:c r="C1978" s="84" t="str">
        <x:v>CUST-0345</x:v>
      </x:c>
      <x:c r="D1978" s="84" t="str">
        <x:v>Samuel Taylor</x:v>
      </x:c>
      <x:c r="E1978" s="84" t="str">
        <x:v>Consumer</x:v>
      </x:c>
      <x:c r="F1978" s="84" t="str">
        <x:v>Southeast</x:v>
      </x:c>
      <x:c r="G1978" s="84" t="str">
        <x:v>Charlotte</x:v>
      </x:c>
      <x:c r="H1978" s="84" t="str">
        <x:v>Retail Store </x:v>
      </x:c>
      <x:c r="I1978" s="84" t="str">
        <x:v>ELEC-003</x:v>
      </x:c>
      <x:c r="J1978" s="86" t="n">
        <x:v>1</x:v>
      </x:c>
      <x:c r="K1978" s="87" t="n">
        <x:v>0.1</x:v>
      </x:c>
      <x:c r="L1978" s="84" t="str">
        <x:v>Completed</x:v>
      </x:c>
      <x:c r="M1978" s="84" t="str">
        <x:v>Debit Card</x:v>
      </x:c>
      <x:c r="N1978" s="84" t="str">
        <x:v>noah reed</x:v>
      </x:c>
      <x:c r="O1978" s="85" t="n">
        <x:v>45929</x:v>
      </x:c>
      <x:c r="P1978" s="84" t="str">
        <x:v>POS_2025_09</x:v>
      </x:c>
      <x:c r="Q1978" s="84" t="str">
        <x:v>Bluetooth Speaker</x:v>
      </x:c>
      <x:c r="R1978" s="84" t="str">
        <x:v>Electronics</x:v>
      </x:c>
    </x:row>
    <x:row r="1979">
      <x:c r="A1979" s="84" t="str">
        <x:v>ORD-2025-00267</x:v>
      </x:c>
      <x:c r="B1979" s="85" t="n">
        <x:v>45928</x:v>
      </x:c>
      <x:c r="C1979" s="84" t="str">
        <x:v>CUST-0312</x:v>
      </x:c>
      <x:c r="D1979" s="84" t="str">
        <x:v>Theo Carter</x:v>
      </x:c>
      <x:c r="E1979" s="84" t="str">
        <x:v>Small Business</x:v>
      </x:c>
      <x:c r="F1979" s="84" t="str">
        <x:v>Southeast</x:v>
      </x:c>
      <x:c r="G1979" s="84" t="str">
        <x:v>Atlanta</x:v>
      </x:c>
      <x:c r="H1979" s="84" t="str">
        <x:v>Online</x:v>
      </x:c>
      <x:c r="I1979" s="84" t="str">
        <x:v>OFFC-006</x:v>
      </x:c>
      <x:c r="J1979" s="86" t="n">
        <x:v>4</x:v>
      </x:c>
      <x:c r="K1979" s="87" t="n">
        <x:v>0.05</x:v>
      </x:c>
      <x:c r="L1979" s="84" t="str">
        <x:v>Completed</x:v>
      </x:c>
      <x:c r="M1979" s="84" t="str">
        <x:v>Credit Card</x:v>
      </x:c>
      <x:c r="N1979" s="84" t="str">
        <x:v>Liam Parker</x:v>
      </x:c>
      <x:c r="O1979" s="85" t="n">
        <x:v>45933</x:v>
      </x:c>
      <x:c r="P1979" s="84" t="str">
        <x:v>WEB_2025_09</x:v>
      </x:c>
      <x:c r="Q1979" s="84" t="str">
        <x:v>Monitor Stand </x:v>
      </x:c>
      <x:c r="R1979" s="84" t="str">
        <x:v>office</x:v>
      </x:c>
    </x:row>
    <x:row r="1980">
      <x:c r="A1980" s="84" t="str">
        <x:v>ORD-2025-00804</x:v>
      </x:c>
      <x:c r="B1980" s="85" t="n">
        <x:v>45928</x:v>
      </x:c>
      <x:c r="C1980" s="84" t="str">
        <x:v>CUST-0372</x:v>
      </x:c>
      <x:c r="D1980" s="84" t="str">
        <x:v>Owen Baker</x:v>
      </x:c>
      <x:c r="E1980" s="84" t="str">
        <x:v>Small Business</x:v>
      </x:c>
      <x:c r="F1980" s="84" t="str">
        <x:v>Midwest</x:v>
      </x:c>
      <x:c r="G1980" s="84" t="str">
        <x:v>Detroit</x:v>
      </x:c>
      <x:c r="H1980" s="84" t="str">
        <x:v>Marketplace</x:v>
      </x:c>
      <x:c r="I1980" s="84" t="str">
        <x:v>CARE-002</x:v>
      </x:c>
      <x:c r="J1980" s="86" t="n">
        <x:v>1</x:v>
      </x:c>
      <x:c r="K1980" s="87" t="n">
        <x:v>0.1</x:v>
      </x:c>
      <x:c r="L1980" s="84" t="str">
        <x:v> COMPLETED </x:v>
      </x:c>
      <x:c r="M1980" s="84" t="str">
        <x:v>Mobile Wallet</x:v>
      </x:c>
      <x:c r="N1980" s="84" t="str">
        <x:v>Emma Hayes</x:v>
      </x:c>
      <x:c r="O1980" s="85" t="n">
        <x:v>45935</x:v>
      </x:c>
      <x:c r="P1980" s="84" t="str">
        <x:v>MKT_2025_09</x:v>
      </x:c>
      <x:c r="Q1980" s="84" t="str">
        <x:v>Rechargeable Trimmer</x:v>
      </x:c>
      <x:c r="R1980" s="84" t="str">
        <x:v>Personal Care</x:v>
      </x:c>
    </x:row>
    <x:row r="1981">
      <x:c r="A1981" s="84" t="str">
        <x:v>ORD-2025-01011</x:v>
      </x:c>
      <x:c r="B1981" s="85" t="n">
        <x:v>45928</x:v>
      </x:c>
      <x:c r="C1981" s="84" t="str">
        <x:v>CUST-0637</x:v>
      </x:c>
      <x:c r="D1981" s="84" t="str">
        <x:v>Amelia Adams</x:v>
      </x:c>
      <x:c r="E1981" s="84" t="str">
        <x:v>Consumer</x:v>
      </x:c>
      <x:c r="F1981" s="84" t="str">
        <x:v>Northeast</x:v>
      </x:c>
      <x:c r="G1981" s="84" t="str">
        <x:v>New York</x:v>
      </x:c>
      <x:c r="H1981" s="84" t="str">
        <x:v>Online </x:v>
      </x:c>
      <x:c r="I1981" s="84" t="str">
        <x:v>FITN-003</x:v>
      </x:c>
      <x:c r="J1981" s="86" t="n">
        <x:v>2</x:v>
      </x:c>
      <x:c r="K1981" s="87" t="n">
        <x:v>0.05</x:v>
      </x:c>
      <x:c r="L1981" s="84" t="str">
        <x:v>Completed</x:v>
      </x:c>
      <x:c r="M1981" s="84" t="str">
        <x:v>debit card</x:v>
      </x:c>
      <x:c r="N1981" s="84" t="str">
        <x:v>Sofia Bennett</x:v>
      </x:c>
      <x:c r="O1981" s="85" t="n">
        <x:v>45930</x:v>
      </x:c>
      <x:c r="P1981" s="84" t="str">
        <x:v>WEB_2025_09</x:v>
      </x:c>
      <x:c r="Q1981" s="84" t="str">
        <x:v>Resistance Band Set</x:v>
      </x:c>
      <x:c r="R1981" s="84" t="str">
        <x:v>Fitness</x:v>
      </x:c>
    </x:row>
    <x:row r="1982">
      <x:c r="A1982" s="84" t="str">
        <x:v>ORD-2025-01011</x:v>
      </x:c>
      <x:c r="B1982" s="85" t="n">
        <x:v>45928</x:v>
      </x:c>
      <x:c r="C1982" s="84" t="str">
        <x:v>CUST-0637</x:v>
      </x:c>
      <x:c r="D1982" s="84" t="str">
        <x:v>Amelia Adams</x:v>
      </x:c>
      <x:c r="E1982" s="84" t="str">
        <x:v>Consumer</x:v>
      </x:c>
      <x:c r="F1982" s="84" t="str">
        <x:v>Northeast</x:v>
      </x:c>
      <x:c r="G1982" s="84" t="str">
        <x:v>New York</x:v>
      </x:c>
      <x:c r="H1982" s="84" t="str">
        <x:v>Online </x:v>
      </x:c>
      <x:c r="I1982" s="84" t="str">
        <x:v>FITN-003</x:v>
      </x:c>
      <x:c r="J1982" s="86" t="n">
        <x:v>2</x:v>
      </x:c>
      <x:c r="K1982" s="87" t="n">
        <x:v>0.05</x:v>
      </x:c>
      <x:c r="L1982" s="84" t="str">
        <x:v>Completed</x:v>
      </x:c>
      <x:c r="M1982" s="84" t="str">
        <x:v>debit card</x:v>
      </x:c>
      <x:c r="N1982" s="84" t="str">
        <x:v>Sofia Bennett</x:v>
      </x:c>
      <x:c r="O1982" s="85" t="n">
        <x:v>45930</x:v>
      </x:c>
      <x:c r="P1982" s="84" t="str">
        <x:v>RELOAD_WEB_2025_09</x:v>
      </x:c>
      <x:c r="Q1982" s="84" t="str">
        <x:v>Resistance Band Set</x:v>
      </x:c>
      <x:c r="R1982" s="84" t="str">
        <x:v>Fitness</x:v>
      </x:c>
    </x:row>
    <x:row r="1983">
      <x:c r="A1983" s="84" t="str">
        <x:v>ORD-2025-01546</x:v>
      </x:c>
      <x:c r="B1983" s="85" t="n">
        <x:v>45928</x:v>
      </x:c>
      <x:c r="C1983" s="84" t="str">
        <x:v>CUST-0508</x:v>
      </x:c>
      <x:c r="D1983" s="84" t="str">
        <x:v>Nina Smith</x:v>
      </x:c>
      <x:c r="E1983" s="84" t="str">
        <x:v>Consumer</x:v>
      </x:c>
      <x:c r="F1983" s="84" t="str">
        <x:v>West</x:v>
      </x:c>
      <x:c r="G1983" s="84" t="str">
        <x:v>Denver</x:v>
      </x:c>
      <x:c r="H1983" s="84" t="str">
        <x:v>Online</x:v>
      </x:c>
      <x:c r="I1983" s="84" t="str">
        <x:v>ELEC-005</x:v>
      </x:c>
      <x:c r="J1983" s="86" t="n">
        <x:v>3</x:v>
      </x:c>
      <x:c r="K1983" s="87" t="n">
        <x:v>0.05</x:v>
      </x:c>
      <x:c r="L1983" s="84" t="str">
        <x:v>Completed </x:v>
      </x:c>
      <x:c r="M1983" s="84" t="str">
        <x:v>Debit Card</x:v>
      </x:c>
      <x:c r="N1983" s="84" t="str">
        <x:v>Leo Martinez</x:v>
      </x:c>
      <x:c r="O1983" s="85" t="n">
        <x:v>45932</x:v>
      </x:c>
      <x:c r="P1983" s="84" t="str">
        <x:v>WEB_2025_09</x:v>
      </x:c>
      <x:c r="Q1983" s="84" t="str">
        <x:v>HD Webcam</x:v>
      </x:c>
      <x:c r="R1983" s="84" t="str">
        <x:v>Electronics</x:v>
      </x:c>
    </x:row>
    <x:row r="1984">
      <x:c r="A1984" s="84" t="str">
        <x:v>ORD-2025-01548</x:v>
      </x:c>
      <x:c r="B1984" s="85" t="n">
        <x:v>45928</x:v>
      </x:c>
      <x:c r="C1984" s="84" t="str">
        <x:v>CUST-0232</x:v>
      </x:c>
      <x:c r="D1984" s="84" t="str">
        <x:v>Layla Smith</x:v>
      </x:c>
      <x:c r="E1984" s="84" t="str">
        <x:v>Consumer</x:v>
      </x:c>
      <x:c r="F1984" s="84" t="str">
        <x:v>southeast</x:v>
      </x:c>
      <x:c r="G1984" s="84" t="str">
        <x:v>Atlanta</x:v>
      </x:c>
      <x:c r="H1984" s="84" t="str">
        <x:v>Online</x:v>
      </x:c>
      <x:c r="I1984" s="84" t="str">
        <x:v>OFFC-002</x:v>
      </x:c>
      <x:c r="J1984" s="86" t="n">
        <x:v>2</x:v>
      </x:c>
      <x:c r="K1984" s="87" t="n">
        <x:v>0</x:v>
      </x:c>
      <x:c r="L1984" s="84" t="str">
        <x:v>Returned</x:v>
      </x:c>
      <x:c r="M1984" s="84" t="str">
        <x:v>Credit Card</x:v>
      </x:c>
      <x:c r="N1984" s="84" t="str">
        <x:v>Liam Parker</x:v>
      </x:c>
      <x:c r="O1984" s="85" t="n">
        <x:v>45933</x:v>
      </x:c>
      <x:c r="P1984" s="84" t="str">
        <x:v>WEB_2025_09</x:v>
      </x:c>
      <x:c r="Q1984" s="84" t="str">
        <x:v>Standing Desk </x:v>
      </x:c>
      <x:c r="R1984" s="84" t="str">
        <x:v>Office</x:v>
      </x:c>
    </x:row>
    <x:row r="1985">
      <x:c r="A1985" s="84" t="str">
        <x:v>ORD-2025-00263</x:v>
      </x:c>
      <x:c r="B1985" s="85" t="n">
        <x:v>45929</x:v>
      </x:c>
      <x:c r="C1985" s="84" t="str">
        <x:v>CUST-0525</x:v>
      </x:c>
      <x:c r="D1985" s="84" t="str">
        <x:v>Daniel Carter</x:v>
      </x:c>
      <x:c r="E1985" s="84" t="str">
        <x:v>Small Business</x:v>
      </x:c>
      <x:c r="F1985" s="84" t="str">
        <x:v>Midwest </x:v>
      </x:c>
      <x:c r="G1985" s="84" t="str">
        <x:v>Columbus</x:v>
      </x:c>
      <x:c r="H1985" s="84" t="str">
        <x:v>Marketplace</x:v>
      </x:c>
      <x:c r="I1985" s="84" t="str">
        <x:v>CARE-004</x:v>
      </x:c>
      <x:c r="J1985" s="86" t="n">
        <x:v>2</x:v>
      </x:c>
      <x:c r="K1985" s="87" t="n">
        <x:v>0</x:v>
      </x:c>
      <x:c r="L1985" s="84" t="str">
        <x:v>Completed</x:v>
      </x:c>
      <x:c r="M1985" s="84" t="str">
        <x:v>debit card</x:v>
      </x:c>
      <x:c r="N1985" s="84" t="str">
        <x:v>Lucas Grant </x:v>
      </x:c>
      <x:c r="O1985" s="85" t="n">
        <x:v>45937</x:v>
      </x:c>
      <x:c r="P1985" s="84" t="str">
        <x:v>MKT_2025_09</x:v>
      </x:c>
      <x:c r="Q1985" s="84" t="str">
        <x:v>Electric Toothbrush</x:v>
      </x:c>
      <x:c r="R1985" s="84" t="str">
        <x:v>Personal Care</x:v>
      </x:c>
    </x:row>
    <x:row r="1986">
      <x:c r="A1986" s="84" t="str">
        <x:v>ORD-2025-01121</x:v>
      </x:c>
      <x:c r="B1986" s="85" t="n">
        <x:v>45929</x:v>
      </x:c>
      <x:c r="C1986" s="84" t="str">
        <x:v>CUST-0326</x:v>
      </x:c>
      <x:c r="D1986" s="84" t="str">
        <x:v>Marcus Quinn</x:v>
      </x:c>
      <x:c r="E1986" s="84" t="str">
        <x:v>Corporate</x:v>
      </x:c>
      <x:c r="F1986" s="84" t="str">
        <x:v>Southeast</x:v>
      </x:c>
      <x:c r="G1986" s="84" t="str">
        <x:v>Nashville</x:v>
      </x:c>
      <x:c r="H1986" s="84" t="str">
        <x:v>Online</x:v>
      </x:c>
      <x:c r="I1986" s="84" t="str">
        <x:v>ACCS-002</x:v>
      </x:c>
      <x:c r="J1986" s="86" t="n">
        <x:v>5</x:v>
      </x:c>
      <x:c r="K1986" s="87" t="n">
        <x:v>0</x:v>
      </x:c>
      <x:c r="L1986" s="84" t="str">
        <x:v>Completed</x:v>
      </x:c>
      <x:c r="M1986" s="84" t="str">
        <x:v>debit card</x:v>
      </x:c>
      <x:c r="N1986" s="84" t="str">
        <x:v>Ava Mitchell</x:v>
      </x:c>
      <x:c r="O1986" s="85" t="n">
        <x:v>45933</x:v>
      </x:c>
      <x:c r="P1986" s="84" t="str">
        <x:v>WEB_2025_09</x:v>
      </x:c>
      <x:c r="Q1986" s="84" t="str">
        <x:v>Travel Backpack </x:v>
      </x:c>
      <x:c r="R1986" s="84" t="str">
        <x:v>Accessories</x:v>
      </x:c>
    </x:row>
    <x:row r="1987">
      <x:c r="A1987" s="84" t="str">
        <x:v>ORD-2025-01471</x:v>
      </x:c>
      <x:c r="B1987" s="85" t="n">
        <x:v>45929</x:v>
      </x:c>
      <x:c r="C1987" s="84" t="str">
        <x:v>CUST-0479</x:v>
      </x:c>
      <x:c r="D1987" s="84" t="str">
        <x:v>Zara Taylor</x:v>
      </x:c>
      <x:c r="E1987" s="84" t="str">
        <x:v>Consumer</x:v>
      </x:c>
      <x:c r="F1987" s="84" t="str">
        <x:v>west</x:v>
      </x:c>
      <x:c r="G1987" s="84" t="str">
        <x:v>Phoenix</x:v>
      </x:c>
      <x:c r="H1987" s="84" t="str">
        <x:v>Online</x:v>
      </x:c>
      <x:c r="I1987" s="84" t="str">
        <x:v>HOME-005</x:v>
      </x:c>
      <x:c r="J1987" s="86" t="n">
        <x:v>1</x:v>
      </x:c>
      <x:c r="K1987" s="87" t="n">
        <x:v>0</x:v>
      </x:c>
      <x:c r="L1987" s="84" t="str">
        <x:v>Completed</x:v>
      </x:c>
      <x:c r="M1987" s="84" t="str">
        <x:v>Debit Card</x:v>
      </x:c>
      <x:c r="N1987" s="84" t="str">
        <x:v>Mia Chen</x:v>
      </x:c>
      <x:c r="O1987" s="85" t="n">
        <x:v>45931</x:v>
      </x:c>
      <x:c r="P1987" s="84" t="str">
        <x:v>WEB_2025_09</x:v>
      </x:c>
      <x:c r="Q1987" s="84" t="str">
        <x:v>Cordless Vacuum </x:v>
      </x:c>
      <x:c r="R1987" s="84" t="str">
        <x:v>Home &amp; Kitchen</x:v>
      </x:c>
    </x:row>
    <x:row r="1988">
      <x:c r="A1988" s="84" t="str">
        <x:v>ORD-2025-01230</x:v>
      </x:c>
      <x:c r="B1988" s="85" t="n">
        <x:v>45930</x:v>
      </x:c>
      <x:c r="C1988" s="84" t="str">
        <x:v>CUST-0240</x:v>
      </x:c>
      <x:c r="D1988" s="84" t="str">
        <x:v>Elena Garcia </x:v>
      </x:c>
      <x:c r="E1988" s="84" t="str">
        <x:v>Consumer</x:v>
      </x:c>
      <x:c r="F1988" s="84" t="str">
        <x:v>Midwest</x:v>
      </x:c>
      <x:c r="G1988" s="84" t="str">
        <x:v>Detroit</x:v>
      </x:c>
      <x:c r="H1988" s="84" t="str">
        <x:v> MARKETPLACE </x:v>
      </x:c>
      <x:c r="I1988" s="84" t="str">
        <x:v>ACCS-003</x:v>
      </x:c>
      <x:c r="J1988" s="86" t="n">
        <x:v>1</x:v>
      </x:c>
      <x:c r="K1988" s="87" t="n">
        <x:v>0.1</x:v>
      </x:c>
      <x:c r="L1988" s="84" t="str">
        <x:v>Returned</x:v>
      </x:c>
      <x:c r="M1988" s="84" t="str">
        <x:v>Credit Card </x:v>
      </x:c>
      <x:c r="N1988" s="84" t="str">
        <x:v>Lucas Grant</x:v>
      </x:c>
      <x:c r="O1988" s="85" t="n">
        <x:v>45936</x:v>
      </x:c>
      <x:c r="P1988" s="84" t="str">
        <x:v>MKT_2025_09</x:v>
      </x:c>
      <x:c r="Q1988" s="84" t="str">
        <x:v>polarized sunglasses</x:v>
      </x:c>
      <x:c r="R1988" s="84" t="str">
        <x:v>Accessories</x:v>
      </x:c>
    </x:row>
    <x:row r="1989">
      <x:c r="A1989" s="84" t="str">
        <x:v>ORD-2025-00420</x:v>
      </x:c>
      <x:c r="B1989" s="85" t="n">
        <x:v>45931</x:v>
      </x:c>
      <x:c r="C1989" s="84" t="str">
        <x:v>CUST-0443</x:v>
      </x:c>
      <x:c r="D1989" s="84" t="str">
        <x:v>Samuel Foster</x:v>
      </x:c>
      <x:c r="E1989" s="84" t="str">
        <x:v>Consumer </x:v>
      </x:c>
      <x:c r="F1989" s="84" t="str">
        <x:v>West</x:v>
      </x:c>
      <x:c r="G1989" s="84" t="str">
        <x:v>Denver </x:v>
      </x:c>
      <x:c r="H1989" s="84" t="str">
        <x:v>Online</x:v>
      </x:c>
      <x:c r="I1989" s="84" t="str">
        <x:v>ACCS-003</x:v>
      </x:c>
      <x:c r="J1989" s="86" t="n">
        <x:v>3</x:v>
      </x:c>
      <x:c r="K1989" s="87" t="n">
        <x:v>0.15</x:v>
      </x:c>
      <x:c r="L1989" s="84" t="str">
        <x:v>Completed</x:v>
      </x:c>
      <x:c r="M1989" s="84" t="str">
        <x:v>Mobile Wallet</x:v>
      </x:c>
      <x:c r="N1989" s="84" t="str">
        <x:v>mia chen</x:v>
      </x:c>
      <x:c r="O1989" s="85" t="n">
        <x:v>45934</x:v>
      </x:c>
      <x:c r="P1989" s="84" t="str">
        <x:v>WEB_2025_10</x:v>
      </x:c>
      <x:c r="Q1989" s="84" t="str">
        <x:v>Polarized Sunglasses</x:v>
      </x:c>
      <x:c r="R1989" s="84" t="str">
        <x:v>Accessories</x:v>
      </x:c>
    </x:row>
    <x:row r="1990">
      <x:c r="A1990" s="84" t="str">
        <x:v>ORD-2025-00616</x:v>
      </x:c>
      <x:c r="B1990" s="85" t="n">
        <x:v>45931</x:v>
      </x:c>
      <x:c r="C1990" s="84" t="str">
        <x:v>CUST-0526</x:v>
      </x:c>
      <x:c r="D1990" s="84" t="str">
        <x:v>Theo Davis</x:v>
      </x:c>
      <x:c r="E1990" s="84" t="str">
        <x:v>corporate</x:v>
      </x:c>
      <x:c r="F1990" s="84" t="str">
        <x:v>West</x:v>
      </x:c>
      <x:c r="G1990" s="84" t="str">
        <x:v>Phoenix </x:v>
      </x:c>
      <x:c r="H1990" s="84" t="str">
        <x:v>online</x:v>
      </x:c>
      <x:c r="I1990" s="84" t="str">
        <x:v>ELEC-004</x:v>
      </x:c>
      <x:c r="J1990" s="86" t="n">
        <x:v>5</x:v>
      </x:c>
      <x:c r="K1990" s="87" t="n">
        <x:v>0</x:v>
      </x:c>
      <x:c r="L1990" s="84" t="str">
        <x:v>Completed</x:v>
      </x:c>
      <x:c r="M1990" s="84" t="str">
        <x:v>Credit Card</x:v>
      </x:c>
      <x:c r="N1990" s="84" t="str">
        <x:v>Leo Martinez</x:v>
      </x:c>
      <x:c r="O1990" s="85" t="n">
        <x:v>45936</x:v>
      </x:c>
      <x:c r="P1990" s="84" t="str">
        <x:v>WEB_2025_10</x:v>
      </x:c>
      <x:c r="Q1990" s="84" t="str">
        <x:v> POWER BANK </x:v>
      </x:c>
      <x:c r="R1990" s="84" t="str">
        <x:v>Electronics</x:v>
      </x:c>
    </x:row>
    <x:row r="1991">
      <x:c r="A1991" s="84" t="str">
        <x:v>ORD-2025-01193</x:v>
      </x:c>
      <x:c r="B1991" s="85" t="n">
        <x:v>45931</x:v>
      </x:c>
      <x:c r="C1991" s="84" t="str">
        <x:v>CUST-0071</x:v>
      </x:c>
      <x:c r="D1991" s="84" t="str">
        <x:v>Owen Foster</x:v>
      </x:c>
      <x:c r="E1991" s="84" t="str">
        <x:v>Consumer</x:v>
      </x:c>
      <x:c r="F1991" s="84" t="str">
        <x:v>Midwest</x:v>
      </x:c>
      <x:c r="G1991" s="84" t="str">
        <x:v>Detroit</x:v>
      </x:c>
      <x:c r="H1991" s="84" t="str">
        <x:v>Marketplace </x:v>
      </x:c>
      <x:c r="I1991" s="84" t="str">
        <x:v>CARE-005</x:v>
      </x:c>
      <x:c r="J1991" s="86" t="n">
        <x:v>2</x:v>
      </x:c>
      <x:c r="K1991" s="87" t="n">
        <x:v>0.1</x:v>
      </x:c>
      <x:c r="L1991" s="84" t="str">
        <x:v>Completed</x:v>
      </x:c>
      <x:c r="M1991" s="84" t="str">
        <x:v>Credit Card</x:v>
      </x:c>
      <x:c r="N1991" s="84" t="str">
        <x:v> ZOE TURNER </x:v>
      </x:c>
      <x:c r="O1991" s="85" t="n">
        <x:v>45935</x:v>
      </x:c>
      <x:c r="P1991" s="84" t="str">
        <x:v>MKT_2025_10</x:v>
      </x:c>
      <x:c r="Q1991" s="84" t="str">
        <x:v>Skin Care Starter Kit</x:v>
      </x:c>
      <x:c r="R1991" s="84" t="str">
        <x:v>Personal Care</x:v>
      </x:c>
    </x:row>
    <x:row r="1992">
      <x:c r="A1992" s="84" t="str">
        <x:v>ORD-2025-00491</x:v>
      </x:c>
      <x:c r="B1992" s="85" t="n">
        <x:v>45932</x:v>
      </x:c>
      <x:c r="C1992" s="84" t="str">
        <x:v>CUST-0271</x:v>
      </x:c>
      <x:c r="D1992" s="84" t="str">
        <x:v>jonah nelson</x:v>
      </x:c>
      <x:c r="E1992" s="84" t="str">
        <x:v>Consumer</x:v>
      </x:c>
      <x:c r="F1992" s="84" t="str">
        <x:v>Midwest</x:v>
      </x:c>
      <x:c r="G1992" s="84" t="str">
        <x:v>Detroit</x:v>
      </x:c>
      <x:c r="H1992" s="84" t="str">
        <x:v>Marketplace</x:v>
      </x:c>
      <x:c r="I1992" s="84" t="str">
        <x:v>ELEC-006</x:v>
      </x:c>
      <x:c r="J1992" s="86" t="n">
        <x:v>2</x:v>
      </x:c>
      <x:c r="K1992" s="87" t="n">
        <x:v>0.1</x:v>
      </x:c>
      <x:c r="L1992" s="84" t="str">
        <x:v>Completed</x:v>
      </x:c>
      <x:c r="M1992" s="84" t="str">
        <x:v>Debit Card</x:v>
      </x:c>
      <x:c r="N1992" s="84" t="str">
        <x:v>Lucas Grant</x:v>
      </x:c>
      <x:c r="O1992" s="85" t="n">
        <x:v>45937</x:v>
      </x:c>
      <x:c r="P1992" s="84" t="str">
        <x:v>MKT_2025_10</x:v>
      </x:c>
      <x:c r="Q1992" s="84" t="str">
        <x:v>Portable SSD </x:v>
      </x:c>
      <x:c r="R1992" s="84" t="str">
        <x:v> ELECTRONICS </x:v>
      </x:c>
    </x:row>
    <x:row r="1993">
      <x:c r="A1993" s="84" t="str">
        <x:v>ORD-2025-01963</x:v>
      </x:c>
      <x:c r="B1993" s="85" t="n">
        <x:v>45932</x:v>
      </x:c>
      <x:c r="C1993" s="84" t="str">
        <x:v>CUST-0632</x:v>
      </x:c>
      <x:c r="D1993" s="84" t="str">
        <x:v>Caleb Adams</x:v>
      </x:c>
      <x:c r="E1993" s="84" t="str">
        <x:v>Consumer</x:v>
      </x:c>
      <x:c r="F1993" s="84" t="str">
        <x:v>West</x:v>
      </x:c>
      <x:c r="G1993" s="84" t="str">
        <x:v>Phoenix</x:v>
      </x:c>
      <x:c r="H1993" s="84" t="str">
        <x:v>Online </x:v>
      </x:c>
      <x:c r="I1993" s="84" t="str">
        <x:v>HOME-001</x:v>
      </x:c>
      <x:c r="J1993" s="86" t="n">
        <x:v>1</x:v>
      </x:c>
      <x:c r="K1993" s="87" t="n">
        <x:v>0</x:v>
      </x:c>
      <x:c r="L1993" s="84" t="str">
        <x:v>Completed</x:v>
      </x:c>
      <x:c r="M1993" s="84" t="str">
        <x:v>Credit Card</x:v>
      </x:c>
      <x:c r="N1993" s="84" t="str">
        <x:v>Leo Martinez</x:v>
      </x:c>
      <x:c r="O1993" s="85" t="n">
        <x:v>45935</x:v>
      </x:c>
      <x:c r="P1993" s="84" t="str">
        <x:v>WEB_2025_10</x:v>
      </x:c>
      <x:c r="Q1993" s="84" t="str">
        <x:v>Air Fryer</x:v>
      </x:c>
      <x:c r="R1993" s="84" t="str">
        <x:v>Home &amp; Kitchen</x:v>
      </x:c>
    </x:row>
    <x:row r="1994">
      <x:c r="A1994" s="84" t="str">
        <x:v>ORD-2025-01964</x:v>
      </x:c>
      <x:c r="B1994" s="85" t="n">
        <x:v>45932</x:v>
      </x:c>
      <x:c r="C1994" s="84" t="str">
        <x:v>CUST-0208</x:v>
      </x:c>
      <x:c r="D1994" s="84" t="str">
        <x:v>Layla Patel</x:v>
      </x:c>
      <x:c r="E1994" s="84" t="str">
        <x:v>Consumer</x:v>
      </x:c>
      <x:c r="F1994" s="84" t="str">
        <x:v>West </x:v>
      </x:c>
      <x:c r="G1994" s="84" t="str">
        <x:v>Los Angeles</x:v>
      </x:c>
      <x:c r="H1994" s="84" t="str">
        <x:v>Marketplace</x:v>
      </x:c>
      <x:c r="I1994" s="84" t="str">
        <x:v>ELEC-004</x:v>
      </x:c>
      <x:c r="J1994" s="86" t="n">
        <x:v>3</x:v>
      </x:c>
      <x:c r="K1994" s="87" t="n">
        <x:v>0.15</x:v>
      </x:c>
      <x:c r="L1994" s="84" t="str">
        <x:v>Completed</x:v>
      </x:c>
      <x:c r="M1994" s="84" t="str">
        <x:v>Credit Card</x:v>
      </x:c>
      <x:c r="N1994" s="84" t="str">
        <x:v>Nora Kim </x:v>
      </x:c>
      <x:c r="O1994" s="85" t="n">
        <x:v>45937</x:v>
      </x:c>
      <x:c r="P1994" s="84" t="str">
        <x:v>MKT_2025_10</x:v>
      </x:c>
      <x:c r="Q1994" s="84" t="str">
        <x:v>Power Bank</x:v>
      </x:c>
      <x:c r="R1994" s="84" t="str">
        <x:v>Electronics</x:v>
      </x:c>
    </x:row>
    <x:row r="1995">
      <x:c r="A1995" s="84" t="str">
        <x:v>ORD-2025-00280</x:v>
      </x:c>
      <x:c r="B1995" s="85" t="n">
        <x:v>45933</x:v>
      </x:c>
      <x:c r="C1995" s="84" t="str">
        <x:v>CUST-0077</x:v>
      </x:c>
      <x:c r="D1995" s="84" t="str">
        <x:v>Layla Foster</x:v>
      </x:c>
      <x:c r="E1995" s="84" t="str">
        <x:v>Corporate </x:v>
      </x:c>
      <x:c r="F1995" s="84" t="str">
        <x:v>Northeast</x:v>
      </x:c>
      <x:c r="G1995" s="84" t="str">
        <x:v>Philadelphia </x:v>
      </x:c>
      <x:c r="H1995" s="84" t="str">
        <x:v>Retail Store</x:v>
      </x:c>
      <x:c r="I1995" s="84" t="str">
        <x:v>ACCS-006</x:v>
      </x:c>
      <x:c r="J1995" s="86" t="n">
        <x:v>4</x:v>
      </x:c>
      <x:c r="K1995" s="87" t="n">
        <x:v>0.1</x:v>
      </x:c>
      <x:c r="L1995" s="84" t="str">
        <x:v>Completed</x:v>
      </x:c>
      <x:c r="M1995" s="84" t="str">
        <x:v>Mobile Wallet</x:v>
      </x:c>
      <x:c r="N1995" s="84" t="str">
        <x:v>Sofia Bennett</x:v>
      </x:c>
      <x:c r="O1995" s="85" t="n">
        <x:v>45933</x:v>
      </x:c>
      <x:c r="P1995" s="84" t="str">
        <x:v>POS_2025_10</x:v>
      </x:c>
      <x:c r="Q1995" s="84" t="str">
        <x:v>Insulated Lunch Bag</x:v>
      </x:c>
      <x:c r="R1995" s="84" t="str">
        <x:v>Accessories</x:v>
      </x:c>
    </x:row>
    <x:row r="1996">
      <x:c r="A1996" s="84" t="str">
        <x:v>ORD-2025-01506</x:v>
      </x:c>
      <x:c r="B1996" s="85" t="n">
        <x:v>45933</x:v>
      </x:c>
      <x:c r="C1996" s="84" t="str">
        <x:v>CUST-0635</x:v>
      </x:c>
      <x:c r="D1996" s="84" t="str">
        <x:v>Owen Patel</x:v>
      </x:c>
      <x:c r="E1996" s="84" t="str">
        <x:v>Consumer</x:v>
      </x:c>
      <x:c r="F1996" s="84" t="str">
        <x:v>Northeast</x:v>
      </x:c>
      <x:c r="G1996" s="84" t="str">
        <x:v> PHILADELPHIA </x:v>
      </x:c>
      <x:c r="H1996" s="84" t="str">
        <x:v>Retail Store</x:v>
      </x:c>
      <x:c r="I1996" s="84" t="str">
        <x:v>HOME-003</x:v>
      </x:c>
      <x:c r="J1996" s="86" t="n">
        <x:v>2</x:v>
      </x:c>
      <x:c r="K1996" s="87" t="n">
        <x:v>0</x:v>
      </x:c>
      <x:c r="L1996" s="84" t="str">
        <x:v>Completed</x:v>
      </x:c>
      <x:c r="M1996" s="84" t="str">
        <x:v>debit card</x:v>
      </x:c>
      <x:c r="N1996" s="84" t="str">
        <x:v>Maya Brooks</x:v>
      </x:c>
      <x:c r="O1996" s="85" t="n">
        <x:v>45933</x:v>
      </x:c>
      <x:c r="P1996" s="84" t="str">
        <x:v>POS_2025_10</x:v>
      </x:c>
      <x:c r="Q1996" s="84" t="str">
        <x:v>Countertop Blender </x:v>
      </x:c>
      <x:c r="R1996" s="84" t="str">
        <x:v>Home &amp; Kitchen</x:v>
      </x:c>
    </x:row>
    <x:row r="1997">
      <x:c r="A1997" s="84" t="str">
        <x:v>ORD-2025-02327</x:v>
      </x:c>
      <x:c r="B1997" s="85" t="n">
        <x:v>45933</x:v>
      </x:c>
      <x:c r="C1997" s="84" t="str">
        <x:v>CUST-0483</x:v>
      </x:c>
      <x:c r="D1997" s="84" t="str">
        <x:v>Daniel Carter</x:v>
      </x:c>
      <x:c r="E1997" s="84" t="str">
        <x:v>Consumer</x:v>
      </x:c>
      <x:c r="F1997" s="84" t="str">
        <x:v>West</x:v>
      </x:c>
      <x:c r="G1997" s="84" t="str">
        <x:v>Denver</x:v>
      </x:c>
      <x:c r="H1997" s="84" t="str">
        <x:v>Retail Store </x:v>
      </x:c>
      <x:c r="I1997" s="84" t="str">
        <x:v>ELEC-001</x:v>
      </x:c>
      <x:c r="J1997" s="86" t="n">
        <x:v>3</x:v>
      </x:c>
      <x:c r="K1997" s="87" t="n">
        <x:v>0.05</x:v>
      </x:c>
      <x:c r="L1997" s="84" t="str">
        <x:v>Completed</x:v>
      </x:c>
      <x:c r="M1997" s="84" t="str">
        <x:v>Debit Card</x:v>
      </x:c>
      <x:c r="N1997" s="84" t="str">
        <x:v>Mia Chen</x:v>
      </x:c>
      <x:c r="O1997" s="85" t="n">
        <x:v>45934</x:v>
      </x:c>
      <x:c r="P1997" s="84" t="str">
        <x:v>POS_2025_10</x:v>
      </x:c>
      <x:c r="Q1997" s="84" t="str">
        <x:v>Wireless Earbuds</x:v>
      </x:c>
      <x:c r="R1997" s="84" t="str">
        <x:v> ELECTRONICS </x:v>
      </x:c>
    </x:row>
    <x:row r="1998">
      <x:c r="A1998" s="84" t="str">
        <x:v>ORD-2025-00872</x:v>
      </x:c>
      <x:c r="B1998" s="85" t="n">
        <x:v>45934</x:v>
      </x:c>
      <x:c r="C1998" s="84" t="str">
        <x:v>CUST-0399</x:v>
      </x:c>
      <x:c r="D1998" s="84" t="str">
        <x:v>Aiden Foster</x:v>
      </x:c>
      <x:c r="E1998" s="84" t="str">
        <x:v>Consumer</x:v>
      </x:c>
      <x:c r="F1998" s="84" t="str">
        <x:v>Midwest </x:v>
      </x:c>
      <x:c r="G1998" s="84" t="str">
        <x:v>Detroit</x:v>
      </x:c>
      <x:c r="H1998" s="84" t="str">
        <x:v>Online</x:v>
      </x:c>
      <x:c r="I1998" s="84" t="str">
        <x:v>HOME-001</x:v>
      </x:c>
      <x:c r="J1998" s="86" t="n">
        <x:v>2</x:v>
      </x:c>
      <x:c r="K1998" s="87" t="n">
        <x:v>0</x:v>
      </x:c>
      <x:c r="L1998" s="84" t="str">
        <x:v> COMPLETED </x:v>
      </x:c>
      <x:c r="M1998" s="84" t="str">
        <x:v>Debit Card</x:v>
      </x:c>
      <x:c r="N1998" s="84" t="str">
        <x:v>Zoe Turner </x:v>
      </x:c>
      <x:c r="O1998" s="85" t="n">
        <x:v>45938</x:v>
      </x:c>
      <x:c r="P1998" s="84" t="str">
        <x:v>WEB_2025_10</x:v>
      </x:c>
      <x:c r="Q1998" s="84" t="str">
        <x:v>Air Fryer</x:v>
      </x:c>
      <x:c r="R1998" s="84" t="str">
        <x:v>home &amp; kitchen</x:v>
      </x:c>
    </x:row>
    <x:row r="1999">
      <x:c r="A1999" s="84" t="str">
        <x:v>ORD-2025-00990</x:v>
      </x:c>
      <x:c r="B1999" s="85" t="n">
        <x:v>45934</x:v>
      </x:c>
      <x:c r="C1999" s="84" t="str">
        <x:v>CUST-0543</x:v>
      </x:c>
      <x:c r="D1999" s="84" t="str">
        <x:v>Marcus Quinn</x:v>
      </x:c>
      <x:c r="E1999" s="84" t="str">
        <x:v>consumer</x:v>
      </x:c>
      <x:c r="F1999" s="84" t="str">
        <x:v>Southeast</x:v>
      </x:c>
      <x:c r="G1999" s="84" t="str">
        <x:v>Charlotte</x:v>
      </x:c>
      <x:c r="H1999" s="84" t="str">
        <x:v>retail store</x:v>
      </x:c>
      <x:c r="I1999" s="84" t="str">
        <x:v>ELEC-001</x:v>
      </x:c>
      <x:c r="J1999" s="86" t="n">
        <x:v>1</x:v>
      </x:c>
      <x:c r="K1999" s="87" t="n">
        <x:v>0.05</x:v>
      </x:c>
      <x:c r="L1999" s="84" t="str">
        <x:v>Completed</x:v>
      </x:c>
      <x:c r="M1999" s="84" t="str">
        <x:v>Credit Card</x:v>
      </x:c>
      <x:c r="N1999" s="84" t="str">
        <x:v>Ava Mitchell</x:v>
      </x:c>
      <x:c r="O1999" s="85" t="n">
        <x:v>45934</x:v>
      </x:c>
      <x:c r="P1999" s="84" t="str">
        <x:v>POS_2025_10</x:v>
      </x:c>
      <x:c r="Q1999" s="84" t="str">
        <x:v> WIRELESS EARBUDS </x:v>
      </x:c>
      <x:c r="R1999" s="84" t="str">
        <x:v>Electronics</x:v>
      </x:c>
    </x:row>
    <x:row r="2000">
      <x:c r="A2000" s="84" t="str">
        <x:v>ORD-2025-02296</x:v>
      </x:c>
      <x:c r="B2000" s="85" t="n">
        <x:v>45934</x:v>
      </x:c>
      <x:c r="C2000" s="84" t="str">
        <x:v>CUST-0475</x:v>
      </x:c>
      <x:c r="D2000" s="84" t="str">
        <x:v>Samuel Walker</x:v>
      </x:c>
      <x:c r="E2000" s="84" t="str">
        <x:v>Corporate </x:v>
      </x:c>
      <x:c r="F2000" s="84" t="str">
        <x:v>northeast</x:v>
      </x:c>
      <x:c r="G2000" s="84" t="str">
        <x:v>Boston </x:v>
      </x:c>
      <x:c r="H2000" s="84" t="str">
        <x:v>Marketplace</x:v>
      </x:c>
      <x:c r="I2000" s="84" t="str">
        <x:v>ELEC-004</x:v>
      </x:c>
      <x:c r="J2000" s="86" t="n">
        <x:v>2</x:v>
      </x:c>
      <x:c r="K2000" s="87" t="n">
        <x:v>0</x:v>
      </x:c>
      <x:c r="L2000" s="84" t="str">
        <x:v>Completed</x:v>
      </x:c>
      <x:c r="M2000" s="84" t="str">
        <x:v>Credit Card</x:v>
      </x:c>
      <x:c r="N2000" s="84" t="str">
        <x:v>Maya Brooks</x:v>
      </x:c>
      <x:c r="O2000" s="85" t="n">
        <x:v>45939</x:v>
      </x:c>
      <x:c r="P2000" s="84" t="str">
        <x:v>MKT_2025_10</x:v>
      </x:c>
      <x:c r="Q2000" s="84" t="str">
        <x:v>Power Bank</x:v>
      </x:c>
      <x:c r="R2000" s="84" t="str">
        <x:v>Electronics</x:v>
      </x:c>
    </x:row>
    <x:row r="2001">
      <x:c r="A2001" s="84" t="str">
        <x:v>ORD-2025-00589</x:v>
      </x:c>
      <x:c r="B2001" s="85" t="n">
        <x:v>45935</x:v>
      </x:c>
      <x:c r="C2001" s="84" t="str">
        <x:v>CUST-0004</x:v>
      </x:c>
      <x:c r="D2001" s="84" t="str">
        <x:v>Caleb Carter</x:v>
      </x:c>
      <x:c r="E2001" s="84" t="str">
        <x:v>Consumer</x:v>
      </x:c>
      <x:c r="F2001" s="84" t="str">
        <x:v>Southeast</x:v>
      </x:c>
      <x:c r="G2001" s="84" t="str">
        <x:v>Atlanta</x:v>
      </x:c>
      <x:c r="H2001" s="84" t="str">
        <x:v>Retail Store</x:v>
      </x:c>
      <x:c r="I2001" s="84" t="str">
        <x:v>HOME-001</x:v>
      </x:c>
      <x:c r="J2001" s="86" t="n">
        <x:v>2</x:v>
      </x:c>
      <x:c r="K2001" s="87" t="n">
        <x:v>0.1</x:v>
      </x:c>
      <x:c r="L2001" s="84" t="str">
        <x:v>Completed</x:v>
      </x:c>
      <x:c r="M2001" s="84" t="str">
        <x:v> DEBIT CARD </x:v>
      </x:c>
      <x:c r="N2001" s="84" t="str">
        <x:v>Noah Reed</x:v>
      </x:c>
      <x:c r="O2001" s="85" t="n">
        <x:v>45935</x:v>
      </x:c>
      <x:c r="P2001" s="84" t="str">
        <x:v>POS_2025_10</x:v>
      </x:c>
      <x:c r="Q2001" s="84" t="str">
        <x:v>Air Fryer </x:v>
      </x:c>
      <x:c r="R2001" s="84" t="str">
        <x:v>Home &amp; Kitchen</x:v>
      </x:c>
    </x:row>
    <x:row r="2002">
      <x:c r="A2002" s="84" t="str">
        <x:v>ORD-2025-00486</x:v>
      </x:c>
      <x:c r="B2002" s="85" t="n">
        <x:v>45936</x:v>
      </x:c>
      <x:c r="C2002" s="84" t="str">
        <x:v>CUST-0325</x:v>
      </x:c>
      <x:c r="D2002" s="84" t="str">
        <x:v>Caleb Baker</x:v>
      </x:c>
      <x:c r="E2002" s="84" t="str">
        <x:v>Small Business</x:v>
      </x:c>
      <x:c r="F2002" s="84" t="str">
        <x:v>West</x:v>
      </x:c>
      <x:c r="G2002" s="84" t="str">
        <x:v> PHOENIX </x:v>
      </x:c>
      <x:c r="H2002" s="84" t="str">
        <x:v>Retail Store </x:v>
      </x:c>
      <x:c r="I2002" s="84" t="str">
        <x:v>OFFC-006</x:v>
      </x:c>
      <x:c r="J2002" s="86" t="n">
        <x:v>4</x:v>
      </x:c>
      <x:c r="K2002" s="87" t="n">
        <x:v>0.05</x:v>
      </x:c>
      <x:c r="L2002" s="84" t="str">
        <x:v>Completed</x:v>
      </x:c>
      <x:c r="M2002" s="84" t="str">
        <x:v>Cash</x:v>
      </x:c>
      <x:c r="N2002" s="84" t="str">
        <x:v>mia chen</x:v>
      </x:c>
      <x:c r="O2002" s="85" t="n">
        <x:v>45936</x:v>
      </x:c>
      <x:c r="P2002" s="84" t="str">
        <x:v>POS_2025_10</x:v>
      </x:c>
      <x:c r="Q2002" s="84" t="str">
        <x:v>Monitor Stand</x:v>
      </x:c>
      <x:c r="R2002" s="84" t="str">
        <x:v>Office</x:v>
      </x:c>
    </x:row>
    <x:row r="2003">
      <x:c r="A2003" s="84" t="str">
        <x:v>ORD-2025-00718</x:v>
      </x:c>
      <x:c r="B2003" s="85" t="n">
        <x:v>45936</x:v>
      </x:c>
      <x:c r="C2003" s="84" t="str">
        <x:v>CUST-0178</x:v>
      </x:c>
      <x:c r="D2003" s="84" t="str">
        <x:v>Jasmine Baker</x:v>
      </x:c>
      <x:c r="E2003" s="84" t="str">
        <x:v>Corporate</x:v>
      </x:c>
      <x:c r="F2003" s="84" t="str">
        <x:v>Northeast </x:v>
      </x:c>
      <x:c r="G2003" s="84" t="str">
        <x:v>New York</x:v>
      </x:c>
      <x:c r="H2003" s="84" t="str">
        <x:v>Online</x:v>
      </x:c>
      <x:c r="I2003" s="84" t="str">
        <x:v>HOME-006</x:v>
      </x:c>
      <x:c r="J2003" s="86" t="n">
        <x:v>3</x:v>
      </x:c>
      <x:c r="K2003" s="87" t="n">
        <x:v>0.1</x:v>
      </x:c>
      <x:c r="L2003" s="84" t="str">
        <x:v>Completed</x:v>
      </x:c>
      <x:c r="M2003" s="84" t="str">
        <x:v>Debit Card</x:v>
      </x:c>
      <x:c r="N2003" s="84" t="str">
        <x:v>Ethan Cole </x:v>
      </x:c>
      <x:c r="O2003" s="85" t="n">
        <x:v>45939</x:v>
      </x:c>
      <x:c r="P2003" s="84" t="str">
        <x:v>WEB_2025_10</x:v>
      </x:c>
      <x:c r="Q2003" s="84" t="str">
        <x:v> FOOD STORAGE SET </x:v>
      </x:c>
      <x:c r="R2003" s="84" t="str">
        <x:v>home &amp; kitchen</x:v>
      </x:c>
    </x:row>
    <x:row r="2004">
      <x:c r="A2004" s="84" t="str">
        <x:v>ORD-2025-01361</x:v>
      </x:c>
      <x:c r="B2004" s="85" t="n">
        <x:v>45936</x:v>
      </x:c>
      <x:c r="C2004" s="84" t="str">
        <x:v>CUST-0071</x:v>
      </x:c>
      <x:c r="D2004" s="84" t="str">
        <x:v>Owen Foster</x:v>
      </x:c>
      <x:c r="E2004" s="84" t="str">
        <x:v>Consumer</x:v>
      </x:c>
      <x:c r="F2004" s="84" t="str">
        <x:v>midwest</x:v>
      </x:c>
      <x:c r="G2004" s="84" t="str">
        <x:v>Detroit</x:v>
      </x:c>
      <x:c r="H2004" s="84" t="str">
        <x:v>Retail Store </x:v>
      </x:c>
      <x:c r="I2004" s="84" t="str">
        <x:v>FITN-005</x:v>
      </x:c>
      <x:c r="J2004" s="86" t="n">
        <x:v>2</x:v>
      </x:c>
      <x:c r="K2004" s="87" t="n">
        <x:v>0.1</x:v>
      </x:c>
      <x:c r="L2004" s="84" t="str">
        <x:v>Completed</x:v>
      </x:c>
      <x:c r="M2004" s="84" t="str">
        <x:v>Debit Card</x:v>
      </x:c>
      <x:c r="N2004" s="84" t="str">
        <x:v>Zoe Turner</x:v>
      </x:c>
      <x:c r="O2004" s="85" t="n">
        <x:v>45936</x:v>
      </x:c>
      <x:c r="P2004" s="84" t="str">
        <x:v>POS_2025_10</x:v>
      </x:c>
      <x:c r="Q2004" s="84" t="str">
        <x:v>Sports Water Bottle</x:v>
      </x:c>
      <x:c r="R2004" s="84" t="str">
        <x:v>Fitness</x:v>
      </x:c>
    </x:row>
    <x:row r="2005">
      <x:c r="A2005" s="84" t="str">
        <x:v>ORD-2025-02057</x:v>
      </x:c>
      <x:c r="B2005" s="85" t="n">
        <x:v>45936</x:v>
      </x:c>
      <x:c r="C2005" s="84" t="str">
        <x:v>CUST-0220</x:v>
      </x:c>
      <x:c r="D2005" s="84" t="str">
        <x:v>Isaac Smith</x:v>
      </x:c>
      <x:c r="E2005" s="84" t="str">
        <x:v> CONSUMER </x:v>
      </x:c>
      <x:c r="F2005" s="84" t="str">
        <x:v>Midwest</x:v>
      </x:c>
      <x:c r="G2005" s="84" t="str">
        <x:v>Detroit</x:v>
      </x:c>
      <x:c r="H2005" s="84" t="str">
        <x:v>online</x:v>
      </x:c>
      <x:c r="I2005" s="84" t="str">
        <x:v>OFFC-006</x:v>
      </x:c>
      <x:c r="J2005" s="86" t="n">
        <x:v>1</x:v>
      </x:c>
      <x:c r="K2005" s="87" t="n">
        <x:v>0</x:v>
      </x:c>
      <x:c r="L2005" s="84" t="str">
        <x:v>Completed </x:v>
      </x:c>
      <x:c r="M2005" s="84" t="str">
        <x:v>Mobile Wallet</x:v>
      </x:c>
      <x:c r="N2005" s="84" t="str">
        <x:v>Emma Hayes</x:v>
      </x:c>
      <x:c r="O2005" s="85" t="n">
        <x:v>45940</x:v>
      </x:c>
      <x:c r="P2005" s="84" t="str">
        <x:v>WEB_2025_10</x:v>
      </x:c>
      <x:c r="Q2005" s="84" t="str">
        <x:v>Monitor Stand</x:v>
      </x:c>
      <x:c r="R2005" s="84" t="str">
        <x:v>Office</x:v>
      </x:c>
    </x:row>
    <x:row r="2006">
      <x:c r="A2006" s="84" t="str">
        <x:v>ORD-2025-02289</x:v>
      </x:c>
      <x:c r="B2006" s="85" t="n">
        <x:v>45936</x:v>
      </x:c>
      <x:c r="C2006" s="84" t="str">
        <x:v>CUST-0388</x:v>
      </x:c>
      <x:c r="D2006" s="84" t="str">
        <x:v>Isaac Hall</x:v>
      </x:c>
      <x:c r="E2006" s="84" t="str">
        <x:v>Consumer </x:v>
      </x:c>
      <x:c r="F2006" s="84" t="str">
        <x:v>Northeast</x:v>
      </x:c>
      <x:c r="G2006" s="84" t="str">
        <x:v>Boston </x:v>
      </x:c>
      <x:c r="H2006" s="84" t="str">
        <x:v>Retail Store</x:v>
      </x:c>
      <x:c r="I2006" s="84" t="str">
        <x:v>ACCS-006</x:v>
      </x:c>
      <x:c r="J2006" s="86" t="n">
        <x:v>2</x:v>
      </x:c>
      <x:c r="K2006" s="87" t="n">
        <x:v>0</x:v>
      </x:c>
      <x:c r="L2006" s="84" t="str">
        <x:v>Completed</x:v>
      </x:c>
      <x:c r="M2006" s="84" t="str">
        <x:v> CREDIT CARD </x:v>
      </x:c>
      <x:c r="N2006" s="84" t="str">
        <x:v>Sofia Bennett</x:v>
      </x:c>
      <x:c r="O2006" s="85" t="n">
        <x:v>45936</x:v>
      </x:c>
      <x:c r="P2006" s="84" t="str">
        <x:v>POS_2025_10</x:v>
      </x:c>
      <x:c r="Q2006" s="84" t="str">
        <x:v>Insulated Lunch Bag</x:v>
      </x:c>
      <x:c r="R2006" s="84" t="str">
        <x:v>Accessories</x:v>
      </x:c>
    </x:row>
    <x:row r="2007">
      <x:c r="A2007" s="84" t="str">
        <x:v>ORD-2025-00064</x:v>
      </x:c>
      <x:c r="B2007" s="85" t="n">
        <x:v>45937</x:v>
      </x:c>
      <x:c r="C2007" s="84" t="str">
        <x:v>CUST-0207</x:v>
      </x:c>
      <x:c r="D2007" s="84" t="str">
        <x:v>Marcus Khan</x:v>
      </x:c>
      <x:c r="E2007" s="84" t="str">
        <x:v>Consumer</x:v>
      </x:c>
      <x:c r="F2007" s="84" t="str">
        <x:v>Southeast</x:v>
      </x:c>
      <x:c r="G2007" s="84" t="str">
        <x:v>Atlanta</x:v>
      </x:c>
      <x:c r="H2007" s="84" t="str">
        <x:v>Retail Store</x:v>
      </x:c>
      <x:c r="I2007" s="84" t="str">
        <x:v>ELEC-006</x:v>
      </x:c>
      <x:c r="J2007" s="86" t="n">
        <x:v>1</x:v>
      </x:c>
      <x:c r="K2007" s="87" t="n">
        <x:v>0.1</x:v>
      </x:c>
      <x:c r="L2007" s="84" t="str">
        <x:v>Completed</x:v>
      </x:c>
      <x:c r="M2007" s="84" t="str">
        <x:v>Credit Card</x:v>
      </x:c>
      <x:c r="N2007" s="84" t="str">
        <x:v>Noah Reed</x:v>
      </x:c>
      <x:c r="O2007" s="85" t="n">
        <x:v>45937</x:v>
      </x:c>
      <x:c r="P2007" s="84" t="str">
        <x:v>POS_2025_10</x:v>
      </x:c>
      <x:c r="Q2007" s="84" t="str">
        <x:v>portable ssd</x:v>
      </x:c>
      <x:c r="R2007" s="84" t="str">
        <x:v>Electronics</x:v>
      </x:c>
    </x:row>
    <x:row r="2008">
      <x:c r="A2008" s="84" t="str">
        <x:v>ORD-2025-00606</x:v>
      </x:c>
      <x:c r="B2008" s="85" t="n">
        <x:v>45937</x:v>
      </x:c>
      <x:c r="C2008" s="84" t="str">
        <x:v>CUST-0296</x:v>
      </x:c>
      <x:c r="D2008" s="84" t="str">
        <x:v>Sara Irwin</x:v>
      </x:c>
      <x:c r="E2008" s="84" t="str">
        <x:v>Corporate</x:v>
      </x:c>
      <x:c r="F2008" s="84" t="str">
        <x:v>Midwest </x:v>
      </x:c>
      <x:c r="G2008" s="84" t="str">
        <x:v>Columbus</x:v>
      </x:c>
      <x:c r="H2008" s="84" t="str">
        <x:v>Online</x:v>
      </x:c>
      <x:c r="I2008" s="84" t="str">
        <x:v>CARE-002</x:v>
      </x:c>
      <x:c r="J2008" s="86" t="n">
        <x:v>2</x:v>
      </x:c>
      <x:c r="K2008" s="87" t="n">
        <x:v>0.05</x:v>
      </x:c>
      <x:c r="L2008" s="84" t="str">
        <x:v>Completed</x:v>
      </x:c>
      <x:c r="M2008" s="84" t="str">
        <x:v> CREDIT CARD </x:v>
      </x:c>
      <x:c r="N2008" s="84" t="str">
        <x:v>Zoe Turner </x:v>
      </x:c>
      <x:c r="O2008" s="85" t="n">
        <x:v>45940</x:v>
      </x:c>
      <x:c r="P2008" s="84" t="str">
        <x:v>WEB_2025_10</x:v>
      </x:c>
      <x:c r="Q2008" s="84" t="str">
        <x:v>Rechargeable Trimmer</x:v>
      </x:c>
      <x:c r="R2008" s="84" t="str">
        <x:v>Personal Care</x:v>
      </x:c>
    </x:row>
    <x:row r="2009">
      <x:c r="A2009" s="84" t="str">
        <x:v>ORD-2025-00614</x:v>
      </x:c>
      <x:c r="B2009" s="85" t="n">
        <x:v>45937</x:v>
      </x:c>
      <x:c r="C2009" s="84" t="str">
        <x:v>CUST-0489</x:v>
      </x:c>
      <x:c r="D2009" s="84" t="str">
        <x:v>William Quinn </x:v>
      </x:c>
      <x:c r="E2009" s="84" t="str">
        <x:v>Consumer</x:v>
      </x:c>
      <x:c r="F2009" s="84" t="str">
        <x:v>West</x:v>
      </x:c>
      <x:c r="G2009" s="84" t="str">
        <x:v>Los Angeles</x:v>
      </x:c>
      <x:c r="H2009" s="84" t="str">
        <x:v>Online</x:v>
      </x:c>
      <x:c r="I2009" s="84" t="str">
        <x:v>FITN-001</x:v>
      </x:c>
      <x:c r="J2009" s="86" t="n">
        <x:v>1</x:v>
      </x:c>
      <x:c r="K2009" s="87" t="n">
        <x:v>0.1</x:v>
      </x:c>
      <x:c r="L2009" s="84" t="str">
        <x:v>Completed</x:v>
      </x:c>
      <x:c r="M2009" s="84" t="str">
        <x:v>PayPal </x:v>
      </x:c>
      <x:c r="N2009" s="84" t="str">
        <x:v>Leo Martinez</x:v>
      </x:c>
      <x:c r="O2009" s="85" t="n">
        <x:v>45940</x:v>
      </x:c>
      <x:c r="P2009" s="84" t="str">
        <x:v>WEB_2025_10</x:v>
      </x:c>
      <x:c r="Q2009" s="84" t="str">
        <x:v>yoga mat</x:v>
      </x:c>
      <x:c r="R2009" s="84" t="str">
        <x:v>Fitness</x:v>
      </x:c>
    </x:row>
    <x:row r="2010">
      <x:c r="A2010" s="84" t="str">
        <x:v>ORD-2025-02245</x:v>
      </x:c>
      <x:c r="B2010" s="85" t="n">
        <x:v>45937</x:v>
      </x:c>
      <x:c r="C2010" s="84" t="str">
        <x:v>CUST-0041</x:v>
      </x:c>
      <x:c r="D2010" s="84" t="str">
        <x:v>Isaac Evans </x:v>
      </x:c>
      <x:c r="E2010" s="84" t="str">
        <x:v>Consumer</x:v>
      </x:c>
      <x:c r="F2010" s="84" t="str">
        <x:v>Midwest</x:v>
      </x:c>
      <x:c r="G2010" s="84" t="str">
        <x:v>Detroit</x:v>
      </x:c>
      <x:c r="H2010" s="84" t="str">
        <x:v>Online</x:v>
      </x:c>
      <x:c r="I2010" s="84" t="str">
        <x:v>ELEC-002</x:v>
      </x:c>
      <x:c r="J2010" s="86" t="n">
        <x:v>2</x:v>
      </x:c>
      <x:c r="K2010" s="87" t="n">
        <x:v>0</x:v>
      </x:c>
      <x:c r="L2010" s="84" t="str">
        <x:v>Completed</x:v>
      </x:c>
      <x:c r="M2010" s="84" t="str">
        <x:v>Credit Card </x:v>
      </x:c>
      <x:c r="N2010" s="84" t="str">
        <x:v>Lucas Grant</x:v>
      </x:c>
      <x:c r="O2010" s="85" t="n">
        <x:v>45939</x:v>
      </x:c>
      <x:c r="P2010" s="84" t="str">
        <x:v>WEB_2025_10</x:v>
      </x:c>
      <x:c r="Q2010" s="84" t="str">
        <x:v>Smartwatch</x:v>
      </x:c>
      <x:c r="R2010" s="84" t="str">
        <x:v>Electronics</x:v>
      </x:c>
    </x:row>
    <x:row r="2011">
      <x:c r="A2011" s="84" t="str">
        <x:v>ORD-2025-00180</x:v>
      </x:c>
      <x:c r="B2011" s="85" t="n">
        <x:v>45938</x:v>
      </x:c>
      <x:c r="C2011" s="84" t="str">
        <x:v>CUST-0610</x:v>
      </x:c>
      <x:c r="D2011" s="84" t="str">
        <x:v>Grace Taylor </x:v>
      </x:c>
      <x:c r="E2011" s="84" t="str">
        <x:v>Consumer</x:v>
      </x:c>
      <x:c r="F2011" s="84" t="str">
        <x:v>Southeast</x:v>
      </x:c>
      <x:c r="G2011" s="84" t="str">
        <x:v> MIAMI </x:v>
      </x:c>
      <x:c r="H2011" s="84" t="str">
        <x:v>Marketplace</x:v>
      </x:c>
      <x:c r="I2011" s="84" t="str">
        <x:v>ACCS-004</x:v>
      </x:c>
      <x:c r="J2011" s="86" t="n">
        <x:v>2</x:v>
      </x:c>
      <x:c r="K2011" s="87" t="n">
        <x:v>0.15</x:v>
      </x:c>
      <x:c r="L2011" s="84" t="str">
        <x:v>completed</x:v>
      </x:c>
      <x:c r="M2011" s="84" t="str">
        <x:v>Debit Card </x:v>
      </x:c>
      <x:c r="N2011" s="84" t="str">
        <x:v>Noah Reed</x:v>
      </x:c>
      <x:c r="O2011" s="85" t="n">
        <x:v>45944</x:v>
      </x:c>
      <x:c r="P2011" s="84" t="str">
        <x:v>MKT_2025_10</x:v>
      </x:c>
      <x:c r="Q2011" s="84" t="str">
        <x:v>Leather Wallet</x:v>
      </x:c>
      <x:c r="R2011" s="84" t="str">
        <x:v>Accessories</x:v>
      </x:c>
    </x:row>
    <x:row r="2012">
      <x:c r="A2012" s="84" t="str">
        <x:v>ORD-2025-01631</x:v>
      </x:c>
      <x:c r="B2012" s="85" t="n">
        <x:v>45938</x:v>
      </x:c>
      <x:c r="C2012" s="84" t="str">
        <x:v>CUST-0573</x:v>
      </x:c>
      <x:c r="D2012" s="84" t="str">
        <x:v>Priya Johnson</x:v>
      </x:c>
      <x:c r="E2012" s="84" t="str">
        <x:v>Corporate </x:v>
      </x:c>
      <x:c r="F2012" s="84" t="str">
        <x:v>West</x:v>
      </x:c>
      <x:c r="G2012" s="84" t="str">
        <x:v>Los Angeles </x:v>
      </x:c>
      <x:c r="H2012" s="84" t="str">
        <x:v>Online</x:v>
      </x:c>
      <x:c r="I2012" s="84" t="str">
        <x:v>HOME-005</x:v>
      </x:c>
      <x:c r="J2012" s="86" t="n">
        <x:v>2</x:v>
      </x:c>
      <x:c r="K2012" s="87" t="n">
        <x:v>0</x:v>
      </x:c>
      <x:c r="L2012" s="84" t="str">
        <x:v>Completed</x:v>
      </x:c>
      <x:c r="M2012" s="84" t="str">
        <x:v>Debit Card</x:v>
      </x:c>
      <x:c r="N2012" s="84" t="str">
        <x:v>Leo Martinez</x:v>
      </x:c>
      <x:c r="O2012" s="85" t="n">
        <x:v>45942</x:v>
      </x:c>
      <x:c r="P2012" s="84" t="str">
        <x:v>WEB_2025_10</x:v>
      </x:c>
      <x:c r="Q2012" s="84" t="str">
        <x:v>Cordless Vacuum</x:v>
      </x:c>
      <x:c r="R2012" s="84" t="str">
        <x:v>home &amp; kitchen</x:v>
      </x:c>
    </x:row>
    <x:row r="2013">
      <x:c r="A2013" s="84" t="str">
        <x:v>ORD-2025-00181</x:v>
      </x:c>
      <x:c r="B2013" s="85" t="n">
        <x:v>45939</x:v>
      </x:c>
      <x:c r="C2013" s="84" t="str">
        <x:v>CUST-0072</x:v>
      </x:c>
      <x:c r="D2013" s="84" t="str">
        <x:v>Nina Roberts</x:v>
      </x:c>
      <x:c r="E2013" s="84" t="str">
        <x:v>Corporate</x:v>
      </x:c>
      <x:c r="F2013" s="84" t="str">
        <x:v>Northeast</x:v>
      </x:c>
      <x:c r="G2013" s="84" t="str">
        <x:v>New York</x:v>
      </x:c>
      <x:c r="H2013" s="84" t="str">
        <x:v>Online</x:v>
      </x:c>
      <x:c r="I2013" s="84" t="str">
        <x:v>HOME-002</x:v>
      </x:c>
      <x:c r="J2013" s="86" t="n">
        <x:v>5</x:v>
      </x:c>
      <x:c r="K2013" s="87" t="n">
        <x:v>0.05</x:v>
      </x:c>
      <x:c r="L2013" s="84" t="str">
        <x:v>Completed </x:v>
      </x:c>
      <x:c r="M2013" s="84" t="str">
        <x:v> CREDIT CARD </x:v>
      </x:c>
      <x:c r="N2013" s="84" t="str">
        <x:v>Ethan Cole</x:v>
      </x:c>
      <x:c r="O2013" s="85" t="n">
        <x:v>45944</x:v>
      </x:c>
      <x:c r="P2013" s="84" t="str">
        <x:v>WEB_2025_10</x:v>
      </x:c>
      <x:c r="Q2013" s="84" t="str">
        <x:v>Electric Kettle</x:v>
      </x:c>
      <x:c r="R2013" s="84" t="str">
        <x:v>Home &amp; Kitchen</x:v>
      </x:c>
    </x:row>
    <x:row r="2014">
      <x:c r="A2014" s="84" t="str">
        <x:v>ORD-2025-00803</x:v>
      </x:c>
      <x:c r="B2014" s="85" t="n">
        <x:v>45939</x:v>
      </x:c>
      <x:c r="C2014" s="84" t="str">
        <x:v>CUST-0010</x:v>
      </x:c>
      <x:c r="D2014" s="84" t="str">
        <x:v>Nathan Taylor </x:v>
      </x:c>
      <x:c r="E2014" s="84" t="str">
        <x:v>consumer</x:v>
      </x:c>
      <x:c r="F2014" s="84" t="str">
        <x:v>Midwest</x:v>
      </x:c>
      <x:c r="G2014" s="84" t="str">
        <x:v>Minneapolis</x:v>
      </x:c>
      <x:c r="H2014" s="84" t="str">
        <x:v>marketplace</x:v>
      </x:c>
      <x:c r="I2014" s="84" t="str">
        <x:v>OFFC-001</x:v>
      </x:c>
      <x:c r="J2014" s="86" t="n">
        <x:v>2</x:v>
      </x:c>
      <x:c r="K2014" s="87" t="n">
        <x:v>0.05</x:v>
      </x:c>
      <x:c r="L2014" s="84" t="str">
        <x:v>Completed</x:v>
      </x:c>
      <x:c r="M2014" s="84" t="str">
        <x:v>Credit Card </x:v>
      </x:c>
      <x:c r="N2014" s="84" t="str">
        <x:v>Lucas Grant</x:v>
      </x:c>
      <x:c r="O2014" s="85" t="n">
        <x:v>45946</x:v>
      </x:c>
      <x:c r="P2014" s="84" t="str">
        <x:v>MKT_2025_10</x:v>
      </x:c>
      <x:c r="Q2014" s="84" t="str">
        <x:v> ERGONOMIC CHAIR </x:v>
      </x:c>
      <x:c r="R2014" s="84" t="str">
        <x:v>Office</x:v>
      </x:c>
    </x:row>
    <x:row r="2015">
      <x:c r="A2015" s="84" t="str">
        <x:v>ORD-2025-01024</x:v>
      </x:c>
      <x:c r="B2015" s="85" t="n">
        <x:v>45939</x:v>
      </x:c>
      <x:c r="C2015" s="84" t="str">
        <x:v>CUST-0503</x:v>
      </x:c>
      <x:c r="D2015" s="84" t="str">
        <x:v>Elena Foster</x:v>
      </x:c>
      <x:c r="E2015" s="84" t="str">
        <x:v>Consumer</x:v>
      </x:c>
      <x:c r="F2015" s="84" t="str">
        <x:v>Southeast</x:v>
      </x:c>
      <x:c r="G2015" s="84" t="str">
        <x:v>Charlotte</x:v>
      </x:c>
      <x:c r="H2015" s="84" t="str">
        <x:v>Online</x:v>
      </x:c>
      <x:c r="I2015" s="84" t="str">
        <x:v>ACCS-003</x:v>
      </x:c>
      <x:c r="J2015" s="86" t="n">
        <x:v>1</x:v>
      </x:c>
      <x:c r="K2015" s="87" t="n">
        <x:v>0</x:v>
      </x:c>
      <x:c r="L2015" s="84" t="str">
        <x:v>Completed</x:v>
      </x:c>
      <x:c r="M2015" s="84" t="str">
        <x:v>Credit Card</x:v>
      </x:c>
      <x:c r="N2015" s="84" t="str">
        <x:v>Liam Parker</x:v>
      </x:c>
      <x:c r="O2015" s="85" t="n">
        <x:v>45942</x:v>
      </x:c>
      <x:c r="P2015" s="84" t="str">
        <x:v>WEB_2025_10</x:v>
      </x:c>
      <x:c r="Q2015" s="84" t="str">
        <x:v> POLARIZED SUNGLASSES </x:v>
      </x:c>
      <x:c r="R2015" s="84" t="str">
        <x:v>Accessories </x:v>
      </x:c>
    </x:row>
    <x:row r="2016">
      <x:c r="A2016" s="84" t="str">
        <x:v>ORD-2025-01901</x:v>
      </x:c>
      <x:c r="B2016" s="85" t="n">
        <x:v>45939</x:v>
      </x:c>
      <x:c r="C2016" s="84" t="str">
        <x:v>CUST-0415</x:v>
      </x:c>
      <x:c r="D2016" s="84" t="str">
        <x:v> ZARA FOSTER </x:v>
      </x:c>
      <x:c r="E2016" s="84" t="str">
        <x:v>Corporate</x:v>
      </x:c>
      <x:c r="F2016" s="84" t="str">
        <x:v> SOUTHEAST </x:v>
      </x:c>
      <x:c r="G2016" s="84" t="str">
        <x:v>Charlotte</x:v>
      </x:c>
      <x:c r="H2016" s="84" t="str">
        <x:v>Online</x:v>
      </x:c>
      <x:c r="I2016" s="84" t="str">
        <x:v>ELEC-001</x:v>
      </x:c>
      <x:c r="J2016" s="86" t="n">
        <x:v>3</x:v>
      </x:c>
      <x:c r="K2016" s="87" t="n">
        <x:v>0.15</x:v>
      </x:c>
      <x:c r="L2016" s="84" t="str">
        <x:v>Completed</x:v>
      </x:c>
      <x:c r="M2016" s="84" t="str">
        <x:v>Credit Card</x:v>
      </x:c>
      <x:c r="N2016" s="84" t="str">
        <x:v>Ava Mitchell </x:v>
      </x:c>
      <x:c r="O2016" s="85" t="n">
        <x:v>45943</x:v>
      </x:c>
      <x:c r="P2016" s="84" t="str">
        <x:v>WEB_2025_10</x:v>
      </x:c>
      <x:c r="Q2016" s="84" t="str">
        <x:v>wireless earbuds</x:v>
      </x:c>
      <x:c r="R2016" s="84" t="str">
        <x:v>Electronics</x:v>
      </x:c>
    </x:row>
    <x:row r="2017">
      <x:c r="A2017" s="84" t="str">
        <x:v>ORD-2025-00128</x:v>
      </x:c>
      <x:c r="B2017" s="85" t="n">
        <x:v>45940</x:v>
      </x:c>
      <x:c r="C2017" s="84" t="str">
        <x:v>CUST-0205</x:v>
      </x:c>
      <x:c r="D2017" s="84" t="str">
        <x:v>elena young</x:v>
      </x:c>
      <x:c r="E2017" s="84" t="str">
        <x:v>Corporate</x:v>
      </x:c>
      <x:c r="F2017" s="84" t="str">
        <x:v>West</x:v>
      </x:c>
      <x:c r="G2017" s="84" t="str">
        <x:v>Denver</x:v>
      </x:c>
      <x:c r="H2017" s="84" t="str">
        <x:v>Retail Store</x:v>
      </x:c>
      <x:c r="I2017" s="84" t="str">
        <x:v>ELEC-002</x:v>
      </x:c>
      <x:c r="J2017" s="86" t="n">
        <x:v>2</x:v>
      </x:c>
      <x:c r="K2017" s="87" t="n">
        <x:v>0</x:v>
      </x:c>
      <x:c r="L2017" s="84" t="str">
        <x:v>Completed</x:v>
      </x:c>
      <x:c r="M2017" s="84" t="str">
        <x:v>Cash</x:v>
      </x:c>
      <x:c r="N2017" s="84" t="str">
        <x:v>Leo Martinez</x:v>
      </x:c>
      <x:c r="O2017" s="85" t="n">
        <x:v>45940</x:v>
      </x:c>
      <x:c r="P2017" s="84" t="str">
        <x:v>POS_2025_10</x:v>
      </x:c>
      <x:c r="Q2017" s="84" t="str">
        <x:v>Smartwatch</x:v>
      </x:c>
      <x:c r="R2017" s="84" t="str">
        <x:v>Electronics </x:v>
      </x:c>
    </x:row>
    <x:row r="2018">
      <x:c r="A2018" s="84" t="str">
        <x:v>ORD-2025-00252</x:v>
      </x:c>
      <x:c r="B2018" s="85" t="n">
        <x:v>45940</x:v>
      </x:c>
      <x:c r="C2018" s="84" t="str">
        <x:v>CUST-0289</x:v>
      </x:c>
      <x:c r="D2018" s="84" t="str">
        <x:v> CHLOE PATEL </x:v>
      </x:c>
      <x:c r="E2018" s="84" t="str">
        <x:v>Consumer </x:v>
      </x:c>
      <x:c r="F2018" s="84" t="str">
        <x:v> WEST </x:v>
      </x:c>
      <x:c r="G2018" s="84" t="str">
        <x:v>Denver </x:v>
      </x:c>
      <x:c r="H2018" s="84" t="str">
        <x:v>Online</x:v>
      </x:c>
      <x:c r="I2018" s="84" t="str">
        <x:v>ACCS-005</x:v>
      </x:c>
      <x:c r="J2018" s="86" t="n">
        <x:v>1</x:v>
      </x:c>
      <x:c r="K2018" s="87" t="n">
        <x:v>0.15</x:v>
      </x:c>
      <x:c r="L2018" s="84" t="str">
        <x:v>Completed</x:v>
      </x:c>
      <x:c r="M2018" s="84" t="str">
        <x:v>credit card</x:v>
      </x:c>
      <x:c r="N2018" s="84" t="str">
        <x:v>Nora Kim</x:v>
      </x:c>
      <x:c r="O2018" s="85" t="n">
        <x:v>45942</x:v>
      </x:c>
      <x:c r="P2018" s="84" t="str">
        <x:v>WEB_2025_10</x:v>
      </x:c>
      <x:c r="Q2018" s="84" t="str">
        <x:v>Protective Phone Case</x:v>
      </x:c>
      <x:c r="R2018" s="84" t="str">
        <x:v>Accessories</x:v>
      </x:c>
    </x:row>
    <x:row r="2019">
      <x:c r="A2019" s="84" t="str">
        <x:v>ORD-2025-01333</x:v>
      </x:c>
      <x:c r="B2019" s="85" t="n">
        <x:v>45940</x:v>
      </x:c>
      <x:c r="C2019" s="84" t="str">
        <x:v>CUST-0390</x:v>
      </x:c>
      <x:c r="D2019" s="84" t="str">
        <x:v>Daniel Adams</x:v>
      </x:c>
      <x:c r="E2019" s="84" t="str">
        <x:v>Consumer</x:v>
      </x:c>
      <x:c r="F2019" s="84" t="str">
        <x:v>West</x:v>
      </x:c>
      <x:c r="G2019" s="84" t="str">
        <x:v>Los Angeles</x:v>
      </x:c>
      <x:c r="H2019" s="84" t="str">
        <x:v>Retail Store </x:v>
      </x:c>
      <x:c r="I2019" s="84" t="str">
        <x:v>FITN-003</x:v>
      </x:c>
      <x:c r="J2019" s="86" t="n">
        <x:v>2</x:v>
      </x:c>
      <x:c r="K2019" s="87" t="n">
        <x:v>0</x:v>
      </x:c>
      <x:c r="L2019" s="84" t="str">
        <x:v>Completed</x:v>
      </x:c>
      <x:c r="M2019" s="84" t="str">
        <x:v>Debit Card</x:v>
      </x:c>
      <x:c r="N2019" s="84" t="str">
        <x:v>mia chen</x:v>
      </x:c>
      <x:c r="O2019" s="85" t="n">
        <x:v>45940</x:v>
      </x:c>
      <x:c r="P2019" s="84" t="str">
        <x:v>POS_2025_10</x:v>
      </x:c>
      <x:c r="Q2019" s="84" t="str">
        <x:v>Resistance Band Set</x:v>
      </x:c>
      <x:c r="R2019" s="84" t="str">
        <x:v>Fitness</x:v>
      </x:c>
    </x:row>
    <x:row r="2020">
      <x:c r="A2020" s="84" t="str">
        <x:v>ORD-2025-00470</x:v>
      </x:c>
      <x:c r="B2020" s="85" t="n">
        <x:v>45941</x:v>
      </x:c>
      <x:c r="C2020" s="84" t="str">
        <x:v>CUST-0595</x:v>
      </x:c>
      <x:c r="D2020" s="84" t="str">
        <x:v>Daniel Evans</x:v>
      </x:c>
      <x:c r="E2020" s="84" t="str">
        <x:v>Corporate</x:v>
      </x:c>
      <x:c r="F2020" s="84" t="str">
        <x:v>northeast</x:v>
      </x:c>
      <x:c r="G2020" s="84" t="str">
        <x:v>Newark</x:v>
      </x:c>
      <x:c r="H2020" s="84" t="str">
        <x:v>Retail Store</x:v>
      </x:c>
      <x:c r="I2020" s="84" t="str">
        <x:v>ACCS-004</x:v>
      </x:c>
      <x:c r="J2020" s="86" t="n">
        <x:v>8</x:v>
      </x:c>
      <x:c r="K2020" s="87" t="n">
        <x:v>0.05</x:v>
      </x:c>
      <x:c r="L2020" s="84" t="str">
        <x:v>Completed</x:v>
      </x:c>
      <x:c r="M2020" s="84" t="str">
        <x:v> CREDIT CARD </x:v>
      </x:c>
      <x:c r="N2020" s="84" t="str">
        <x:v>Maya Brooks</x:v>
      </x:c>
      <x:c r="O2020" s="85" t="n">
        <x:v>45941</x:v>
      </x:c>
      <x:c r="P2020" s="84" t="str">
        <x:v>POS_2025_10</x:v>
      </x:c>
      <x:c r="Q2020" s="84" t="str">
        <x:v>Leather Wallet </x:v>
      </x:c>
      <x:c r="R2020" s="84" t="str">
        <x:v>Accessories</x:v>
      </x:c>
    </x:row>
    <x:row r="2021">
      <x:c r="A2021" s="84" t="str">
        <x:v>ORD-2025-01164</x:v>
      </x:c>
      <x:c r="B2021" s="85" t="n">
        <x:v>45941</x:v>
      </x:c>
      <x:c r="C2021" s="84" t="str">
        <x:v>CUST-0621</x:v>
      </x:c>
      <x:c r="D2021" s="84" t="str">
        <x:v>Sara Hall</x:v>
      </x:c>
      <x:c r="E2021" s="84" t="str">
        <x:v>Consumer</x:v>
      </x:c>
      <x:c r="F2021" s="84" t="str">
        <x:v>Northeast</x:v>
      </x:c>
      <x:c r="G2021" s="84" t="str">
        <x:v>Philadelphia</x:v>
      </x:c>
      <x:c r="H2021" s="84" t="str">
        <x:v>Retail Store</x:v>
      </x:c>
      <x:c r="I2021" s="84" t="str">
        <x:v>HOME-005</x:v>
      </x:c>
      <x:c r="J2021" s="86" t="n">
        <x:v>1</x:v>
      </x:c>
      <x:c r="K2021" s="87" t="n">
        <x:v>0</x:v>
      </x:c>
      <x:c r="L2021" s="84" t="str">
        <x:v>Returned</x:v>
      </x:c>
      <x:c r="M2021" s="84" t="str">
        <x:v>Credit Card</x:v>
      </x:c>
      <x:c r="N2021" s="84" t="str">
        <x:v>Maya Brooks</x:v>
      </x:c>
      <x:c r="O2021" s="85" t="n">
        <x:v>45941</x:v>
      </x:c>
      <x:c r="P2021" s="84" t="str">
        <x:v>POS_2025_10</x:v>
      </x:c>
      <x:c r="Q2021" s="84" t="str">
        <x:v>cordless vacuum</x:v>
      </x:c>
      <x:c r="R2021" s="84" t="str">
        <x:v>Home &amp; Kitchen </x:v>
      </x:c>
    </x:row>
    <x:row r="2022">
      <x:c r="A2022" s="84" t="str">
        <x:v>ORD-2025-01962</x:v>
      </x:c>
      <x:c r="B2022" s="85" t="n">
        <x:v>45941</x:v>
      </x:c>
      <x:c r="C2022" s="84" t="str">
        <x:v>CUST-0276</x:v>
      </x:c>
      <x:c r="D2022" s="84" t="str">
        <x:v>William Adams</x:v>
      </x:c>
      <x:c r="E2022" s="84" t="str">
        <x:v>Small Business</x:v>
      </x:c>
      <x:c r="F2022" s="84" t="str">
        <x:v>Southeast</x:v>
      </x:c>
      <x:c r="G2022" s="84" t="str">
        <x:v>miami</x:v>
      </x:c>
      <x:c r="H2022" s="84" t="str">
        <x:v>Retail Store</x:v>
      </x:c>
      <x:c r="I2022" s="84" t="str">
        <x:v>CARE-003</x:v>
      </x:c>
      <x:c r="J2022" s="86" t="n">
        <x:v>3</x:v>
      </x:c>
      <x:c r="K2022" s="87" t="n">
        <x:v>0</x:v>
      </x:c>
      <x:c r="L2022" s="84" t="str">
        <x:v>completed</x:v>
      </x:c>
      <x:c r="M2022" s="84" t="str">
        <x:v>Credit Card</x:v>
      </x:c>
      <x:c r="N2022" s="84" t="str">
        <x:v>Ava Mitchell</x:v>
      </x:c>
      <x:c r="O2022" s="85" t="n">
        <x:v>45941</x:v>
      </x:c>
      <x:c r="P2022" s="84" t="str">
        <x:v>POS_2025_10</x:v>
      </x:c>
      <x:c r="Q2022" s="84" t="str">
        <x:v>Facial Cleanser</x:v>
      </x:c>
      <x:c r="R2022" s="84" t="str">
        <x:v>Personal Care </x:v>
      </x:c>
    </x:row>
    <x:row r="2023">
      <x:c r="A2023" s="84" t="str">
        <x:v>ORD-2025-02224</x:v>
      </x:c>
      <x:c r="B2023" s="85" t="n">
        <x:v>45941</x:v>
      </x:c>
      <x:c r="C2023" s="84" t="str">
        <x:v>CUST-0578</x:v>
      </x:c>
      <x:c r="D2023" s="84" t="str">
        <x:v> PRIYA SMITH </x:v>
      </x:c>
      <x:c r="E2023" s="84" t="str">
        <x:v>Corporate</x:v>
      </x:c>
      <x:c r="F2023" s="84" t="str">
        <x:v> NORTHEAST </x:v>
      </x:c>
      <x:c r="G2023" s="84" t="str">
        <x:v>Newark</x:v>
      </x:c>
      <x:c r="H2023" s="84" t="str">
        <x:v>Online</x:v>
      </x:c>
      <x:c r="I2023" s="84" t="str">
        <x:v>ELEC-003</x:v>
      </x:c>
      <x:c r="J2023" s="86" t="n">
        <x:v>5</x:v>
      </x:c>
      <x:c r="K2023" s="87" t="n">
        <x:v>0.05</x:v>
      </x:c>
      <x:c r="L2023" s="84" t="str">
        <x:v>Completed</x:v>
      </x:c>
      <x:c r="M2023" s="84" t="str">
        <x:v>Credit Card </x:v>
      </x:c>
      <x:c r="N2023" s="84" t="str">
        <x:v>ethan cole</x:v>
      </x:c>
      <x:c r="O2023" s="85" t="n">
        <x:v>45944</x:v>
      </x:c>
      <x:c r="P2023" s="84" t="str">
        <x:v>WEB_2025_10</x:v>
      </x:c>
      <x:c r="Q2023" s="84" t="str">
        <x:v>Bluetooth Speaker</x:v>
      </x:c>
      <x:c r="R2023" s="84" t="str">
        <x:v>Electronics</x:v>
      </x:c>
    </x:row>
    <x:row r="2024">
      <x:c r="A2024" s="84" t="str">
        <x:v>ORD-2025-00208</x:v>
      </x:c>
      <x:c r="B2024" s="85" t="n">
        <x:v>45942</x:v>
      </x:c>
      <x:c r="C2024" s="84" t="str">
        <x:v>CUST-0071</x:v>
      </x:c>
      <x:c r="D2024" s="84" t="str">
        <x:v>Owen Foster </x:v>
      </x:c>
      <x:c r="E2024" s="84" t="str">
        <x:v>Consumer</x:v>
      </x:c>
      <x:c r="F2024" s="84" t="str">
        <x:v>Midwest</x:v>
      </x:c>
      <x:c r="G2024" s="84" t="str">
        <x:v>Detroit</x:v>
      </x:c>
      <x:c r="H2024" s="84" t="str">
        <x:v>Online</x:v>
      </x:c>
      <x:c r="I2024" s="84" t="str">
        <x:v>CARE-006</x:v>
      </x:c>
      <x:c r="J2024" s="86" t="n">
        <x:v>1</x:v>
      </x:c>
      <x:c r="K2024" s="87" t="n">
        <x:v>0</x:v>
      </x:c>
      <x:c r="L2024" s="84" t="str">
        <x:v>Completed</x:v>
      </x:c>
      <x:c r="M2024" s="84" t="str">
        <x:v>mobile wallet</x:v>
      </x:c>
      <x:c r="N2024" s="84" t="str">
        <x:v>Zoe Turner</x:v>
      </x:c>
      <x:c r="O2024" s="85" t="n">
        <x:v>45944</x:v>
      </x:c>
      <x:c r="P2024" s="84" t="str">
        <x:v>WEB_2025_10</x:v>
      </x:c>
      <x:c r="Q2024" s="84" t="str">
        <x:v> PERCUSSION MASSAGE GUN </x:v>
      </x:c>
      <x:c r="R2024" s="84" t="str">
        <x:v>Personal Care</x:v>
      </x:c>
    </x:row>
    <x:row r="2025">
      <x:c r="A2025" s="84" t="str">
        <x:v>ORD-2025-00295</x:v>
      </x:c>
      <x:c r="B2025" s="85" t="n">
        <x:v>45942</x:v>
      </x:c>
      <x:c r="C2025" s="84" t="str">
        <x:v>CUST-0123</x:v>
      </x:c>
      <x:c r="D2025" s="84" t="str">
        <x:v>Jasmine Patel</x:v>
      </x:c>
      <x:c r="E2025" s="84" t="str">
        <x:v>Consumer</x:v>
      </x:c>
      <x:c r="F2025" s="84" t="str">
        <x:v>Southeast</x:v>
      </x:c>
      <x:c r="G2025" s="84" t="str">
        <x:v>Nashville</x:v>
      </x:c>
      <x:c r="H2025" s="84" t="str">
        <x:v> ONLINE </x:v>
      </x:c>
      <x:c r="I2025" s="84" t="str">
        <x:v>FITN-003</x:v>
      </x:c>
      <x:c r="J2025" s="86" t="n">
        <x:v>1</x:v>
      </x:c>
      <x:c r="K2025" s="87" t="n">
        <x:v>0</x:v>
      </x:c>
      <x:c r="L2025" s="84" t="str">
        <x:v>Completed</x:v>
      </x:c>
      <x:c r="M2025" s="84" t="str">
        <x:v>Debit Card</x:v>
      </x:c>
      <x:c r="N2025" s="84" t="str">
        <x:v>Noah Reed</x:v>
      </x:c>
      <x:c r="O2025" s="85" t="n">
        <x:v>45944</x:v>
      </x:c>
      <x:c r="P2025" s="84" t="str">
        <x:v>WEB_2025_10</x:v>
      </x:c>
      <x:c r="Q2025" s="84" t="str">
        <x:v>resistance band set</x:v>
      </x:c>
      <x:c r="R2025" s="84" t="str">
        <x:v>Fitness</x:v>
      </x:c>
    </x:row>
    <x:row r="2026">
      <x:c r="A2026" s="84" t="str">
        <x:v>ORD-2025-00385</x:v>
      </x:c>
      <x:c r="B2026" s="85" t="n">
        <x:v>45942</x:v>
      </x:c>
      <x:c r="C2026" s="84" t="str">
        <x:v>CUST-0578</x:v>
      </x:c>
      <x:c r="D2026" s="84" t="str">
        <x:v>Priya Smith</x:v>
      </x:c>
      <x:c r="E2026" s="84" t="str">
        <x:v>corporate</x:v>
      </x:c>
      <x:c r="F2026" s="84" t="str">
        <x:v>Northeast</x:v>
      </x:c>
      <x:c r="G2026" s="84" t="str">
        <x:v>Newark </x:v>
      </x:c>
      <x:c r="H2026" s="84" t="str">
        <x:v>online</x:v>
      </x:c>
      <x:c r="I2026" s="84" t="str">
        <x:v>HOME-005</x:v>
      </x:c>
      <x:c r="J2026" s="86" t="n">
        <x:v>3</x:v>
      </x:c>
      <x:c r="K2026" s="87" t="n">
        <x:v>0</x:v>
      </x:c>
      <x:c r="L2026" s="84" t="str">
        <x:v>Completed</x:v>
      </x:c>
      <x:c r="M2026" s="84" t="str">
        <x:v> CREDIT CARD </x:v>
      </x:c>
      <x:c r="N2026" s="84" t="str">
        <x:v>Ethan Cole</x:v>
      </x:c>
      <x:c r="O2026" s="85" t="n">
        <x:v>45947</x:v>
      </x:c>
      <x:c r="P2026" s="84" t="str">
        <x:v>WEB_2025_10</x:v>
      </x:c>
      <x:c r="Q2026" s="84" t="str">
        <x:v>Cordless Vacuum</x:v>
      </x:c>
      <x:c r="R2026" s="84" t="str">
        <x:v>Home &amp; Kitchen</x:v>
      </x:c>
    </x:row>
    <x:row r="2027">
      <x:c r="A2027" s="84" t="str">
        <x:v>ORD-2025-01822</x:v>
      </x:c>
      <x:c r="B2027" s="85" t="n">
        <x:v>45942</x:v>
      </x:c>
      <x:c r="C2027" s="84" t="str">
        <x:v>CUST-0117</x:v>
      </x:c>
      <x:c r="D2027" s="84" t="str">
        <x:v>caleb evans</x:v>
      </x:c>
      <x:c r="E2027" s="84" t="str">
        <x:v>Consumer</x:v>
      </x:c>
      <x:c r="F2027" s="84" t="str">
        <x:v>Northeast</x:v>
      </x:c>
      <x:c r="G2027" s="84" t="str">
        <x:v>Newark</x:v>
      </x:c>
      <x:c r="H2027" s="84" t="str">
        <x:v>Online</x:v>
      </x:c>
      <x:c r="I2027" s="84" t="str">
        <x:v>CARE-001</x:v>
      </x:c>
      <x:c r="J2027" s="86" t="n">
        <x:v>1</x:v>
      </x:c>
      <x:c r="K2027" s="87" t="n">
        <x:v>0</x:v>
      </x:c>
      <x:c r="L2027" s="84" t="str">
        <x:v>Completed</x:v>
      </x:c>
      <x:c r="M2027" s="84" t="str">
        <x:v>Debit Card</x:v>
      </x:c>
      <x:c r="N2027" s="84" t="str">
        <x:v> SOFIA BENNETT </x:v>
      </x:c>
      <x:c r="O2027" s="85" t="n">
        <x:v>45945</x:v>
      </x:c>
      <x:c r="P2027" s="84" t="str">
        <x:v>WEB_2025_10</x:v>
      </x:c>
      <x:c r="Q2027" s="84" t="str">
        <x:v>Ionic Hair Dryer</x:v>
      </x:c>
      <x:c r="R2027" s="84" t="str">
        <x:v>Personal Care </x:v>
      </x:c>
    </x:row>
    <x:row r="2028">
      <x:c r="A2028" s="84" t="str">
        <x:v>ORD-2025-02078</x:v>
      </x:c>
      <x:c r="B2028" s="85" t="n">
        <x:v>45942</x:v>
      </x:c>
      <x:c r="C2028" s="84" t="str">
        <x:v>CUST-0539</x:v>
      </x:c>
      <x:c r="D2028" s="84" t="str">
        <x:v>Chloe Johnson</x:v>
      </x:c>
      <x:c r="E2028" s="84" t="str">
        <x:v>Small Business</x:v>
      </x:c>
      <x:c r="F2028" s="84" t="str">
        <x:v>West</x:v>
      </x:c>
      <x:c r="G2028" s="84" t="str">
        <x:v>Los Angeles</x:v>
      </x:c>
      <x:c r="H2028" s="84" t="str">
        <x:v>Retail Store</x:v>
      </x:c>
      <x:c r="I2028" s="84" t="str">
        <x:v>CARE-001</x:v>
      </x:c>
      <x:c r="J2028" s="86" t="n">
        <x:v>1</x:v>
      </x:c>
      <x:c r="K2028" s="87" t="n">
        <x:v>0.1</x:v>
      </x:c>
      <x:c r="L2028" s="84" t="str">
        <x:v>Completed </x:v>
      </x:c>
      <x:c r="M2028" s="84" t="str">
        <x:v>cash</x:v>
      </x:c>
      <x:c r="N2028" s="84" t="str">
        <x:v>Nora Kim</x:v>
      </x:c>
      <x:c r="O2028" s="85" t="n">
        <x:v>45942</x:v>
      </x:c>
      <x:c r="P2028" s="84" t="str">
        <x:v>POS_2025_10</x:v>
      </x:c>
      <x:c r="Q2028" s="84" t="str">
        <x:v> IONIC HAIR DRYER </x:v>
      </x:c>
      <x:c r="R2028" s="84" t="str">
        <x:v>Personal Care</x:v>
      </x:c>
    </x:row>
    <x:row r="2029">
      <x:c r="A2029" s="84" t="str">
        <x:v>ORD-2025-02105</x:v>
      </x:c>
      <x:c r="B2029" s="85" t="n">
        <x:v>45942</x:v>
      </x:c>
      <x:c r="C2029" s="84" t="str">
        <x:v>CUST-0592</x:v>
      </x:c>
      <x:c r="D2029" s="84" t="str">
        <x:v> THEO PATEL </x:v>
      </x:c>
      <x:c r="E2029" s="84" t="str">
        <x:v>Corporate</x:v>
      </x:c>
      <x:c r="F2029" s="84" t="str">
        <x:v> SOUTHEAST </x:v>
      </x:c>
      <x:c r="G2029" s="84" t="str">
        <x:v>nashville</x:v>
      </x:c>
      <x:c r="H2029" s="84" t="str">
        <x:v>Online</x:v>
      </x:c>
      <x:c r="I2029" s="84" t="str">
        <x:v>ACCS-001</x:v>
      </x:c>
      <x:c r="J2029" s="86" t="n">
        <x:v>4</x:v>
      </x:c>
      <x:c r="K2029" s="87" t="n">
        <x:v>0.15</x:v>
      </x:c>
      <x:c r="L2029" s="84" t="str">
        <x:v>completed</x:v>
      </x:c>
      <x:c r="M2029" s="84" t="str">
        <x:v>Credit Card </x:v>
      </x:c>
      <x:c r="N2029" s="84" t="str">
        <x:v>Liam Parker</x:v>
      </x:c>
      <x:c r="O2029" s="85" t="n">
        <x:v>45947</x:v>
      </x:c>
      <x:c r="P2029" s="84" t="str">
        <x:v>WEB_2025_10</x:v>
      </x:c>
      <x:c r="Q2029" s="84" t="str">
        <x:v>Canvas Tote Bag</x:v>
      </x:c>
      <x:c r="R2029" s="84" t="str">
        <x:v>Accessories</x:v>
      </x:c>
    </x:row>
    <x:row r="2030">
      <x:c r="A2030" s="84" t="str">
        <x:v>ORD-2025-00487</x:v>
      </x:c>
      <x:c r="B2030" s="85" t="n">
        <x:v>45943</x:v>
      </x:c>
      <x:c r="C2030" s="84" t="str">
        <x:v>CUST-0591</x:v>
      </x:c>
      <x:c r="D2030" s="84" t="str">
        <x:v>Grace Quinn</x:v>
      </x:c>
      <x:c r="E2030" s="84" t="str">
        <x:v>Consumer</x:v>
      </x:c>
      <x:c r="F2030" s="84" t="str">
        <x:v>Northeast </x:v>
      </x:c>
      <x:c r="G2030" s="84" t="str">
        <x:v>Philadelphia</x:v>
      </x:c>
      <x:c r="H2030" s="84" t="str">
        <x:v>Online</x:v>
      </x:c>
      <x:c r="I2030" s="84" t="str">
        <x:v>ELEC-001</x:v>
      </x:c>
      <x:c r="J2030" s="86" t="n">
        <x:v>1</x:v>
      </x:c>
      <x:c r="K2030" s="87" t="n">
        <x:v>0.1</x:v>
      </x:c>
      <x:c r="L2030" s="84" t="str">
        <x:v>Completed</x:v>
      </x:c>
      <x:c r="M2030" s="84" t="str">
        <x:v> CREDIT CARD </x:v>
      </x:c>
      <x:c r="N2030" s="84" t="str">
        <x:v>Sofia Bennett </x:v>
      </x:c>
      <x:c r="O2030" s="85" t="n">
        <x:v>45946</x:v>
      </x:c>
      <x:c r="P2030" s="84" t="str">
        <x:v>WEB_2025_10</x:v>
      </x:c>
      <x:c r="Q2030" s="84" t="str">
        <x:v>Wireless Earbuds</x:v>
      </x:c>
      <x:c r="R2030" s="84" t="str">
        <x:v>electronics</x:v>
      </x:c>
    </x:row>
    <x:row r="2031">
      <x:c r="A2031" s="84" t="str">
        <x:v>ORD-2025-00833</x:v>
      </x:c>
      <x:c r="B2031" s="85" t="n">
        <x:v>45943</x:v>
      </x:c>
      <x:c r="C2031" s="84" t="str">
        <x:v>CUST-0344</x:v>
      </x:c>
      <x:c r="D2031" s="84" t="str">
        <x:v>Elena Quinn</x:v>
      </x:c>
      <x:c r="E2031" s="84" t="str">
        <x:v> SMALL BUSINESS </x:v>
      </x:c>
      <x:c r="F2031" s="84" t="str">
        <x:v>northeast</x:v>
      </x:c>
      <x:c r="G2031" s="84" t="str">
        <x:v>Newark </x:v>
      </x:c>
      <x:c r="H2031" s="84" t="str">
        <x:v>Marketplace</x:v>
      </x:c>
      <x:c r="I2031" s="84" t="str">
        <x:v>HOME-001</x:v>
      </x:c>
      <x:c r="J2031" s="86" t="n">
        <x:v>1</x:v>
      </x:c>
      <x:c r="K2031" s="87" t="n">
        <x:v>0.1</x:v>
      </x:c>
      <x:c r="L2031" s="84" t="str">
        <x:v>Completed</x:v>
      </x:c>
      <x:c r="M2031" s="84" t="str">
        <x:v>Credit Card</x:v>
      </x:c>
      <x:c r="N2031" s="84" t="str">
        <x:v>Sofia Bennett</x:v>
      </x:c>
      <x:c r="O2031" s="85" t="n">
        <x:v>45949</x:v>
      </x:c>
      <x:c r="P2031" s="84" t="str">
        <x:v>MKT_2025_10</x:v>
      </x:c>
      <x:c r="Q2031" s="84" t="str">
        <x:v>Air Fryer</x:v>
      </x:c>
      <x:c r="R2031" s="84" t="str">
        <x:v>Home &amp; Kitchen</x:v>
      </x:c>
    </x:row>
    <x:row r="2032">
      <x:c r="A2032" s="84" t="str">
        <x:v>ORD-2025-01185</x:v>
      </x:c>
      <x:c r="B2032" s="85" t="n">
        <x:v>45943</x:v>
      </x:c>
      <x:c r="C2032" s="84" t="str">
        <x:v>CUST-0580</x:v>
      </x:c>
      <x:c r="D2032" s="84" t="str">
        <x:v>Zara Foster</x:v>
      </x:c>
      <x:c r="E2032" s="84" t="str">
        <x:v>Consumer</x:v>
      </x:c>
      <x:c r="F2032" s="84" t="str">
        <x:v>northeast</x:v>
      </x:c>
      <x:c r="G2032" s="84" t="str">
        <x:v>Philadelphia</x:v>
      </x:c>
      <x:c r="H2032" s="84" t="str">
        <x:v>Marketplace</x:v>
      </x:c>
      <x:c r="I2032" s="84" t="str">
        <x:v>HOME-002</x:v>
      </x:c>
      <x:c r="J2032" s="86" t="n">
        <x:v>3</x:v>
      </x:c>
      <x:c r="K2032" s="87" t="n">
        <x:v>0.05</x:v>
      </x:c>
      <x:c r="L2032" s="84" t="str">
        <x:v>Completed</x:v>
      </x:c>
      <x:c r="M2032" s="84" t="str">
        <x:v>Credit Card</x:v>
      </x:c>
      <x:c r="N2032" s="84" t="str">
        <x:v>Sofia Bennett</x:v>
      </x:c>
      <x:c r="O2032" s="85" t="n">
        <x:v>45950</x:v>
      </x:c>
      <x:c r="P2032" s="84" t="str">
        <x:v>MKT_2025_10</x:v>
      </x:c>
      <x:c r="Q2032" s="84" t="str">
        <x:v>Electric Kettle</x:v>
      </x:c>
      <x:c r="R2032" s="84" t="str">
        <x:v>Home &amp; Kitchen </x:v>
      </x:c>
    </x:row>
    <x:row r="2033">
      <x:c r="A2033" s="84" t="str">
        <x:v>ORD-2025-01891</x:v>
      </x:c>
      <x:c r="B2033" s="85" t="n">
        <x:v>45943</x:v>
      </x:c>
      <x:c r="C2033" s="84" t="str">
        <x:v>CUST-0243</x:v>
      </x:c>
      <x:c r="D2033" s="84" t="str">
        <x:v>Jasmine Johnson</x:v>
      </x:c>
      <x:c r="E2033" s="84" t="str"/>
      <x:c r="F2033" s="84" t="str">
        <x:v>Northeast</x:v>
      </x:c>
      <x:c r="G2033" s="84" t="str">
        <x:v>Newark</x:v>
      </x:c>
      <x:c r="H2033" s="84" t="str">
        <x:v>Retail Store</x:v>
      </x:c>
      <x:c r="I2033" s="84" t="str">
        <x:v>CARE-006</x:v>
      </x:c>
      <x:c r="J2033" s="86" t="n">
        <x:v>5</x:v>
      </x:c>
      <x:c r="K2033" s="87" t="n">
        <x:v>0.1</x:v>
      </x:c>
      <x:c r="L2033" s="84" t="str">
        <x:v>Completed</x:v>
      </x:c>
      <x:c r="M2033" s="84" t="str">
        <x:v>cash</x:v>
      </x:c>
      <x:c r="N2033" s="84" t="str">
        <x:v>Ethan Cole</x:v>
      </x:c>
      <x:c r="O2033" s="85" t="n">
        <x:v>45943</x:v>
      </x:c>
      <x:c r="P2033" s="84" t="str">
        <x:v>POS_2025_10</x:v>
      </x:c>
      <x:c r="Q2033" s="84" t="str">
        <x:v> PERCUSSION MASSAGE GUN </x:v>
      </x:c>
      <x:c r="R2033" s="84" t="str">
        <x:v>Personal Care</x:v>
      </x:c>
    </x:row>
    <x:row r="2034">
      <x:c r="A2034" s="84" t="str">
        <x:v>ORD-2025-00001</x:v>
      </x:c>
      <x:c r="B2034" s="85" t="n">
        <x:v>45944</x:v>
      </x:c>
      <x:c r="C2034" s="84" t="str">
        <x:v>CUST-0369</x:v>
      </x:c>
      <x:c r="D2034" s="84" t="str">
        <x:v>Elena Johnson</x:v>
      </x:c>
      <x:c r="E2034" s="84" t="str">
        <x:v>Consumer</x:v>
      </x:c>
      <x:c r="F2034" s="84" t="str">
        <x:v>West</x:v>
      </x:c>
      <x:c r="G2034" s="84" t="str">
        <x:v>Phoenix</x:v>
      </x:c>
      <x:c r="H2034" s="84" t="str">
        <x:v>Online</x:v>
      </x:c>
      <x:c r="I2034" s="84" t="str">
        <x:v>ELEC-005</x:v>
      </x:c>
      <x:c r="J2034" s="86" t="n">
        <x:v>2</x:v>
      </x:c>
      <x:c r="K2034" s="87" t="n">
        <x:v>0</x:v>
      </x:c>
      <x:c r="L2034" s="84" t="str">
        <x:v>Completed</x:v>
      </x:c>
      <x:c r="M2034" s="84" t="str">
        <x:v>PayPal</x:v>
      </x:c>
      <x:c r="N2034" s="84" t="str">
        <x:v>Leo Martinez</x:v>
      </x:c>
      <x:c r="O2034" s="85" t="n">
        <x:v>45948</x:v>
      </x:c>
      <x:c r="P2034" s="84" t="str">
        <x:v>WEB_2025_10</x:v>
      </x:c>
      <x:c r="Q2034" s="84" t="str">
        <x:v>HD Webcam </x:v>
      </x:c>
      <x:c r="R2034" s="84" t="str">
        <x:v>Electronics</x:v>
      </x:c>
    </x:row>
    <x:row r="2035">
      <x:c r="A2035" s="84" t="str">
        <x:v>ORD-2025-01195</x:v>
      </x:c>
      <x:c r="B2035" s="85" t="n">
        <x:v>45944</x:v>
      </x:c>
      <x:c r="C2035" s="84" t="str">
        <x:v>CUST-0436</x:v>
      </x:c>
      <x:c r="D2035" s="84" t="str">
        <x:v>nathan hall</x:v>
      </x:c>
      <x:c r="E2035" s="84" t="str">
        <x:v>Consumer</x:v>
      </x:c>
      <x:c r="F2035" s="84" t="str">
        <x:v>West</x:v>
      </x:c>
      <x:c r="G2035" s="84" t="str">
        <x:v>Phoenix</x:v>
      </x:c>
      <x:c r="H2035" s="84" t="str">
        <x:v>Marketplace</x:v>
      </x:c>
      <x:c r="I2035" s="84" t="str">
        <x:v>HOME-006</x:v>
      </x:c>
      <x:c r="J2035" s="86" t="n">
        <x:v>2</x:v>
      </x:c>
      <x:c r="K2035" s="87" t="n">
        <x:v>0.2</x:v>
      </x:c>
      <x:c r="L2035" s="84" t="str">
        <x:v> COMPLETED </x:v>
      </x:c>
      <x:c r="M2035" s="84" t="str">
        <x:v>Mobile Wallet </x:v>
      </x:c>
      <x:c r="N2035" s="84" t="str">
        <x:v>Mia Chen</x:v>
      </x:c>
      <x:c r="O2035" s="85" t="n">
        <x:v>45949</x:v>
      </x:c>
      <x:c r="P2035" s="84" t="str">
        <x:v>MKT_2025_10</x:v>
      </x:c>
      <x:c r="Q2035" s="84" t="str">
        <x:v>Food Storage Set</x:v>
      </x:c>
      <x:c r="R2035" s="84" t="str">
        <x:v>Home &amp; Kitchen</x:v>
      </x:c>
    </x:row>
    <x:row r="2036">
      <x:c r="A2036" s="84" t="str">
        <x:v>ORD-2025-01419</x:v>
      </x:c>
      <x:c r="B2036" s="85" t="n">
        <x:v>45945</x:v>
      </x:c>
      <x:c r="C2036" s="84" t="str">
        <x:v>CUST-0363</x:v>
      </x:c>
      <x:c r="D2036" s="84" t="str">
        <x:v>Jasmine Baker </x:v>
      </x:c>
      <x:c r="E2036" s="84" t="str">
        <x:v>corporate</x:v>
      </x:c>
      <x:c r="F2036" s="84" t="str">
        <x:v>Midwest</x:v>
      </x:c>
      <x:c r="G2036" s="84" t="str">
        <x:v>Minneapolis</x:v>
      </x:c>
      <x:c r="H2036" s="84" t="str">
        <x:v>retail store</x:v>
      </x:c>
      <x:c r="I2036" s="84" t="str">
        <x:v>ELEC-005</x:v>
      </x:c>
      <x:c r="J2036" s="86" t="n">
        <x:v>4</x:v>
      </x:c>
      <x:c r="K2036" s="87" t="n">
        <x:v>0.05</x:v>
      </x:c>
      <x:c r="L2036" s="84" t="str">
        <x:v>Completed</x:v>
      </x:c>
      <x:c r="M2036" s="84" t="str">
        <x:v>Credit Card </x:v>
      </x:c>
      <x:c r="N2036" s="84" t="str">
        <x:v>Zoe Turner</x:v>
      </x:c>
      <x:c r="O2036" s="85" t="n">
        <x:v>45945</x:v>
      </x:c>
      <x:c r="P2036" s="84" t="str">
        <x:v>POS_2025_10</x:v>
      </x:c>
      <x:c r="Q2036" s="84" t="str">
        <x:v>HD Webcam</x:v>
      </x:c>
      <x:c r="R2036" s="84" t="str">
        <x:v>Electronics</x:v>
      </x:c>
    </x:row>
    <x:row r="2037">
      <x:c r="A2037" s="84" t="str">
        <x:v>ORD-2025-00311</x:v>
      </x:c>
      <x:c r="B2037" s="85" t="n">
        <x:v>45946</x:v>
      </x:c>
      <x:c r="C2037" s="84" t="str">
        <x:v>CUST-0469</x:v>
      </x:c>
      <x:c r="D2037" s="84" t="str">
        <x:v>Layla Evans</x:v>
      </x:c>
      <x:c r="E2037" s="84" t="str">
        <x:v>Corporate</x:v>
      </x:c>
      <x:c r="F2037" s="84" t="str">
        <x:v>Midwest</x:v>
      </x:c>
      <x:c r="G2037" s="84" t="str">
        <x:v>Minneapolis</x:v>
      </x:c>
      <x:c r="H2037" s="84" t="str">
        <x:v>Retail Store </x:v>
      </x:c>
      <x:c r="I2037" s="84" t="str">
        <x:v>ELEC-001</x:v>
      </x:c>
      <x:c r="J2037" s="86" t="n">
        <x:v>8</x:v>
      </x:c>
      <x:c r="K2037" s="87" t="n">
        <x:v>0.1</x:v>
      </x:c>
      <x:c r="L2037" s="84" t="str">
        <x:v> COMPLETED </x:v>
      </x:c>
      <x:c r="M2037" s="84" t="str">
        <x:v>Mobile Wallet</x:v>
      </x:c>
      <x:c r="N2037" s="84" t="str">
        <x:v>Emma Hayes</x:v>
      </x:c>
      <x:c r="O2037" s="85" t="n">
        <x:v>45946</x:v>
      </x:c>
      <x:c r="P2037" s="84" t="str">
        <x:v>POS_2025_10</x:v>
      </x:c>
      <x:c r="Q2037" s="84" t="str">
        <x:v>Wireless Earbuds</x:v>
      </x:c>
      <x:c r="R2037" s="84" t="str">
        <x:v>electronics</x:v>
      </x:c>
    </x:row>
    <x:row r="2038">
      <x:c r="A2038" s="84" t="str">
        <x:v>ORD-2025-01157</x:v>
      </x:c>
      <x:c r="B2038" s="85" t="n">
        <x:v>45946</x:v>
      </x:c>
      <x:c r="C2038" s="84" t="str">
        <x:v>CUST-0400</x:v>
      </x:c>
      <x:c r="D2038" s="84" t="str">
        <x:v>Amelia Nelson</x:v>
      </x:c>
      <x:c r="E2038" s="84" t="str">
        <x:v>Consumer</x:v>
      </x:c>
      <x:c r="F2038" s="84" t="str">
        <x:v>Southeast</x:v>
      </x:c>
      <x:c r="G2038" s="84" t="str">
        <x:v>Nashville</x:v>
      </x:c>
      <x:c r="H2038" s="84" t="str">
        <x:v>Marketplace</x:v>
      </x:c>
      <x:c r="I2038" s="84" t="str">
        <x:v>ACCS-005</x:v>
      </x:c>
      <x:c r="J2038" s="86" t="n">
        <x:v>2</x:v>
      </x:c>
      <x:c r="K2038" s="87" t="n">
        <x:v>0.1</x:v>
      </x:c>
      <x:c r="L2038" s="84" t="str">
        <x:v>Completed</x:v>
      </x:c>
      <x:c r="M2038" s="84" t="str">
        <x:v>Credit Card</x:v>
      </x:c>
      <x:c r="N2038" s="84" t="str">
        <x:v>liam parker</x:v>
      </x:c>
      <x:c r="O2038" s="85" t="n">
        <x:v>45951</x:v>
      </x:c>
      <x:c r="P2038" s="84" t="str">
        <x:v>MKT_2025_10</x:v>
      </x:c>
      <x:c r="Q2038" s="84" t="str">
        <x:v>Protective Phone Case</x:v>
      </x:c>
      <x:c r="R2038" s="84" t="str">
        <x:v>Accessories </x:v>
      </x:c>
    </x:row>
    <x:row r="2039">
      <x:c r="A2039" s="84" t="str">
        <x:v>ORD-2025-01982</x:v>
      </x:c>
      <x:c r="B2039" s="85" t="n">
        <x:v>45946</x:v>
      </x:c>
      <x:c r="C2039" s="84" t="str">
        <x:v>CUST-0466</x:v>
      </x:c>
      <x:c r="D2039" s="84" t="str">
        <x:v>Sara Young</x:v>
      </x:c>
      <x:c r="E2039" s="84" t="str">
        <x:v>Corporate</x:v>
      </x:c>
      <x:c r="F2039" s="84" t="str">
        <x:v>West</x:v>
      </x:c>
      <x:c r="G2039" s="84" t="str">
        <x:v> LOS ANGELES </x:v>
      </x:c>
      <x:c r="H2039" s="84" t="str">
        <x:v>Retail Store</x:v>
      </x:c>
      <x:c r="I2039" s="84" t="str">
        <x:v>CARE-006</x:v>
      </x:c>
      <x:c r="J2039" s="86" t="n">
        <x:v>8</x:v>
      </x:c>
      <x:c r="K2039" s="87" t="n">
        <x:v>0.2</x:v>
      </x:c>
      <x:c r="L2039" s="84" t="str">
        <x:v>Completed</x:v>
      </x:c>
      <x:c r="M2039" s="84" t="str">
        <x:v>Credit Card</x:v>
      </x:c>
      <x:c r="N2039" s="84" t="str">
        <x:v>leo martinez</x:v>
      </x:c>
      <x:c r="O2039" s="85" t="n">
        <x:v>45946</x:v>
      </x:c>
      <x:c r="P2039" s="84" t="str">
        <x:v>POS_2025_10</x:v>
      </x:c>
      <x:c r="Q2039" s="84" t="str">
        <x:v>Percussion Massage Gun </x:v>
      </x:c>
      <x:c r="R2039" s="84" t="str">
        <x:v>Personal Care</x:v>
      </x:c>
    </x:row>
    <x:row r="2040">
      <x:c r="A2040" s="84" t="str">
        <x:v>ORD-2025-00169</x:v>
      </x:c>
      <x:c r="B2040" s="85" t="n">
        <x:v>45947</x:v>
      </x:c>
      <x:c r="C2040" s="84" t="str">
        <x:v>CUST-0400</x:v>
      </x:c>
      <x:c r="D2040" s="84" t="str">
        <x:v>Amelia Nelson</x:v>
      </x:c>
      <x:c r="E2040" s="84" t="str">
        <x:v>Consumer</x:v>
      </x:c>
      <x:c r="F2040" s="84" t="str">
        <x:v>Southeast</x:v>
      </x:c>
      <x:c r="G2040" s="84" t="str">
        <x:v>nashville</x:v>
      </x:c>
      <x:c r="H2040" s="84" t="str">
        <x:v>Online</x:v>
      </x:c>
      <x:c r="I2040" s="84" t="str">
        <x:v>ELEC-006</x:v>
      </x:c>
      <x:c r="J2040" s="86" t="n">
        <x:v>1</x:v>
      </x:c>
      <x:c r="K2040" s="87" t="n">
        <x:v>0.15</x:v>
      </x:c>
      <x:c r="L2040" s="84" t="str">
        <x:v>completed</x:v>
      </x:c>
      <x:c r="M2040" s="84" t="str">
        <x:v>Debit Card</x:v>
      </x:c>
      <x:c r="N2040" s="84" t="str">
        <x:v>Ava Mitchell</x:v>
      </x:c>
      <x:c r="O2040" s="85" t="n">
        <x:v>45949</x:v>
      </x:c>
      <x:c r="P2040" s="84" t="str">
        <x:v>WEB_2025_10</x:v>
      </x:c>
      <x:c r="Q2040" s="84" t="str">
        <x:v>Portable SSD </x:v>
      </x:c>
      <x:c r="R2040" s="84" t="str">
        <x:v>Electronics</x:v>
      </x:c>
    </x:row>
    <x:row r="2041">
      <x:c r="A2041" s="84" t="str">
        <x:v>ORD-2025-01664</x:v>
      </x:c>
      <x:c r="B2041" s="85" t="n">
        <x:v>45947</x:v>
      </x:c>
      <x:c r="C2041" s="84" t="str">
        <x:v>CUST-0621</x:v>
      </x:c>
      <x:c r="D2041" s="84" t="str">
        <x:v>Sara Hall </x:v>
      </x:c>
      <x:c r="E2041" s="84" t="str">
        <x:v>Consumer</x:v>
      </x:c>
      <x:c r="F2041" s="84" t="str">
        <x:v>Northeast</x:v>
      </x:c>
      <x:c r="G2041" s="84" t="str">
        <x:v>Philadelphia</x:v>
      </x:c>
      <x:c r="H2041" s="84" t="str">
        <x:v>Marketplace</x:v>
      </x:c>
      <x:c r="I2041" s="84" t="str">
        <x:v>OFFC-005</x:v>
      </x:c>
      <x:c r="J2041" s="86" t="n">
        <x:v>3</x:v>
      </x:c>
      <x:c r="K2041" s="87" t="n">
        <x:v>0.2</x:v>
      </x:c>
      <x:c r="L2041" s="84" t="str">
        <x:v>Completed</x:v>
      </x:c>
      <x:c r="M2041" s="84" t="str">
        <x:v>Debit Card </x:v>
      </x:c>
      <x:c r="N2041" s="84" t="str">
        <x:v>Sofia Bennett</x:v>
      </x:c>
      <x:c r="O2041" s="85" t="n">
        <x:v>45955</x:v>
      </x:c>
      <x:c r="P2041" s="84" t="str">
        <x:v>MKT_2025_10</x:v>
      </x:c>
      <x:c r="Q2041" s="84" t="str">
        <x:v>Wireless Keyboard</x:v>
      </x:c>
      <x:c r="R2041" s="84" t="str">
        <x:v> OFFICE </x:v>
      </x:c>
    </x:row>
    <x:row r="2042">
      <x:c r="A2042" s="84" t="str">
        <x:v>ORD-2025-01827</x:v>
      </x:c>
      <x:c r="B2042" s="85" t="n">
        <x:v>45947</x:v>
      </x:c>
      <x:c r="C2042" s="84" t="str">
        <x:v>CUST-0441</x:v>
      </x:c>
      <x:c r="D2042" s="84" t="str">
        <x:v>Maya Roberts</x:v>
      </x:c>
      <x:c r="E2042" s="84" t="str">
        <x:v>Consumer </x:v>
      </x:c>
      <x:c r="F2042" s="84" t="str">
        <x:v>Southeast</x:v>
      </x:c>
      <x:c r="G2042" s="84" t="str">
        <x:v>Atlanta </x:v>
      </x:c>
      <x:c r="H2042" s="84" t="str">
        <x:v>Online</x:v>
      </x:c>
      <x:c r="I2042" s="84" t="str">
        <x:v>FITN-006</x:v>
      </x:c>
      <x:c r="J2042" s="86" t="n">
        <x:v>4</x:v>
      </x:c>
      <x:c r="K2042" s="87" t="n">
        <x:v>0.1</x:v>
      </x:c>
      <x:c r="L2042" s="84" t="str">
        <x:v>Completed</x:v>
      </x:c>
      <x:c r="M2042" s="84" t="str">
        <x:v>Debit Card</x:v>
      </x:c>
      <x:c r="N2042" s="84" t="str">
        <x:v>Liam Parker</x:v>
      </x:c>
      <x:c r="O2042" s="85" t="n">
        <x:v>45951</x:v>
      </x:c>
      <x:c r="P2042" s="84" t="str">
        <x:v>WEB_2025_10</x:v>
      </x:c>
      <x:c r="Q2042" s="84" t="str">
        <x:v>Foam Roller</x:v>
      </x:c>
      <x:c r="R2042" s="84" t="str">
        <x:v>Fitness</x:v>
      </x:c>
    </x:row>
    <x:row r="2043">
      <x:c r="A2043" s="84" t="str">
        <x:v>ORD-2025-02058</x:v>
      </x:c>
      <x:c r="B2043" s="85" t="n">
        <x:v>45947</x:v>
      </x:c>
      <x:c r="C2043" s="84" t="str">
        <x:v>CUST-0097</x:v>
      </x:c>
      <x:c r="D2043" s="84" t="str">
        <x:v>Sara Ortiz</x:v>
      </x:c>
      <x:c r="E2043" s="84" t="str">
        <x:v>Corporate </x:v>
      </x:c>
      <x:c r="F2043" s="84" t="str">
        <x:v>Northeast</x:v>
      </x:c>
      <x:c r="G2043" s="84" t="str">
        <x:v>New York </x:v>
      </x:c>
      <x:c r="H2043" s="84" t="str">
        <x:v>Marketplace</x:v>
      </x:c>
      <x:c r="I2043" s="84" t="str">
        <x:v>OFFC-002</x:v>
      </x:c>
      <x:c r="J2043" s="86" t="n">
        <x:v>2</x:v>
      </x:c>
      <x:c r="K2043" s="87" t="n">
        <x:v>0.1</x:v>
      </x:c>
      <x:c r="L2043" s="84" t="str">
        <x:v>Completed</x:v>
      </x:c>
      <x:c r="M2043" s="84" t="str">
        <x:v>Credit Card</x:v>
      </x:c>
      <x:c r="N2043" s="84" t="str">
        <x:v>Ethan Cole</x:v>
      </x:c>
      <x:c r="O2043" s="85" t="n">
        <x:v>45951</x:v>
      </x:c>
      <x:c r="P2043" s="84" t="str">
        <x:v>MKT_2025_10</x:v>
      </x:c>
      <x:c r="Q2043" s="84" t="str">
        <x:v>Standing Desk</x:v>
      </x:c>
      <x:c r="R2043" s="84" t="str">
        <x:v>Office</x:v>
      </x:c>
    </x:row>
    <x:row r="2044">
      <x:c r="A2044" s="84" t="str">
        <x:v>ORD-2025-02102</x:v>
      </x:c>
      <x:c r="B2044" s="85" t="n">
        <x:v>45947</x:v>
      </x:c>
      <x:c r="C2044" s="84" t="str">
        <x:v>CUST-0101</x:v>
      </x:c>
      <x:c r="D2044" s="84" t="str">
        <x:v>Jonah Patel</x:v>
      </x:c>
      <x:c r="E2044" s="84" t="str">
        <x:v>Consumer</x:v>
      </x:c>
      <x:c r="F2044" s="84" t="str">
        <x:v>Northeast</x:v>
      </x:c>
      <x:c r="G2044" s="84" t="str">
        <x:v>Boston</x:v>
      </x:c>
      <x:c r="H2044" s="84" t="str">
        <x:v>Marketplace</x:v>
      </x:c>
      <x:c r="I2044" s="84" t="str">
        <x:v>OFFC-006</x:v>
      </x:c>
      <x:c r="J2044" s="86" t="n">
        <x:v>1</x:v>
      </x:c>
      <x:c r="K2044" s="87" t="n">
        <x:v>0.1</x:v>
      </x:c>
      <x:c r="L2044" s="84" t="str">
        <x:v>Completed</x:v>
      </x:c>
      <x:c r="M2044" s="84" t="str">
        <x:v> CREDIT CARD </x:v>
      </x:c>
      <x:c r="N2044" s="84" t="str">
        <x:v>Sofia Bennett</x:v>
      </x:c>
      <x:c r="O2044" s="85" t="n">
        <x:v>45950</x:v>
      </x:c>
      <x:c r="P2044" s="84" t="str">
        <x:v>MKT_2025_10</x:v>
      </x:c>
      <x:c r="Q2044" s="84" t="str">
        <x:v>Monitor Stand</x:v>
      </x:c>
      <x:c r="R2044" s="84" t="str">
        <x:v>Office </x:v>
      </x:c>
    </x:row>
    <x:row r="2045">
      <x:c r="A2045" s="84" t="str">
        <x:v>ORD-2025-02111</x:v>
      </x:c>
      <x:c r="B2045" s="85" t="n">
        <x:v>45947</x:v>
      </x:c>
      <x:c r="C2045" s="84" t="str">
        <x:v>CUST-0538</x:v>
      </x:c>
      <x:c r="D2045" s="84" t="str">
        <x:v>Elena Ortiz</x:v>
      </x:c>
      <x:c r="E2045" s="84" t="str">
        <x:v>Consumer</x:v>
      </x:c>
      <x:c r="F2045" s="84" t="str">
        <x:v>West </x:v>
      </x:c>
      <x:c r="G2045" s="84" t="str">
        <x:v>Seattle</x:v>
      </x:c>
      <x:c r="H2045" s="84" t="str">
        <x:v>Online</x:v>
      </x:c>
      <x:c r="I2045" s="84" t="str">
        <x:v>HOME-003</x:v>
      </x:c>
      <x:c r="J2045" s="86" t="n">
        <x:v>1</x:v>
      </x:c>
      <x:c r="K2045" s="87" t="n">
        <x:v>0.05</x:v>
      </x:c>
      <x:c r="L2045" s="84" t="str">
        <x:v>Returned</x:v>
      </x:c>
      <x:c r="M2045" s="84" t="str">
        <x:v>paypal</x:v>
      </x:c>
      <x:c r="N2045" s="84" t="str">
        <x:v> MIA CHEN </x:v>
      </x:c>
      <x:c r="O2045" s="85" t="n">
        <x:v>45952</x:v>
      </x:c>
      <x:c r="P2045" s="84" t="str">
        <x:v>WEB_2025_10</x:v>
      </x:c>
      <x:c r="Q2045" s="84" t="str">
        <x:v>Countertop Blender</x:v>
      </x:c>
      <x:c r="R2045" s="84" t="str">
        <x:v>Home &amp; Kitchen</x:v>
      </x:c>
    </x:row>
    <x:row r="2046">
      <x:c r="A2046" s="84" t="str">
        <x:v>ORD-2025-02086</x:v>
      </x:c>
      <x:c r="B2046" s="85" t="n">
        <x:v>45948</x:v>
      </x:c>
      <x:c r="C2046" s="84" t="str">
        <x:v>CUST-0121</x:v>
      </x:c>
      <x:c r="D2046" s="84" t="str">
        <x:v>zara patel</x:v>
      </x:c>
      <x:c r="E2046" s="84" t="str">
        <x:v>Corporate </x:v>
      </x:c>
      <x:c r="F2046" s="84" t="str">
        <x:v>West</x:v>
      </x:c>
      <x:c r="G2046" s="84" t="str">
        <x:v>Denver </x:v>
      </x:c>
      <x:c r="H2046" s="84" t="str">
        <x:v>Marketplace</x:v>
      </x:c>
      <x:c r="I2046" s="84" t="str">
        <x:v>FITN-005</x:v>
      </x:c>
      <x:c r="J2046" s="86" t="n">
        <x:v>2</x:v>
      </x:c>
      <x:c r="K2046" s="87" t="n">
        <x:v>0.1</x:v>
      </x:c>
      <x:c r="L2046" s="84" t="str">
        <x:v>Completed</x:v>
      </x:c>
      <x:c r="M2046" s="84" t="str">
        <x:v>Debit Card</x:v>
      </x:c>
      <x:c r="N2046" s="84" t="str">
        <x:v>Leo Martinez</x:v>
      </x:c>
      <x:c r="O2046" s="85" t="n">
        <x:v>45955</x:v>
      </x:c>
      <x:c r="P2046" s="84" t="str">
        <x:v>MKT_2025_10</x:v>
      </x:c>
      <x:c r="Q2046" s="84" t="str">
        <x:v>Sports Water Bottle</x:v>
      </x:c>
      <x:c r="R2046" s="84" t="str">
        <x:v>Fitness</x:v>
      </x:c>
    </x:row>
    <x:row r="2047">
      <x:c r="A2047" s="84" t="str">
        <x:v>ORD-2025-02097</x:v>
      </x:c>
      <x:c r="B2047" s="85" t="n">
        <x:v>45948</x:v>
      </x:c>
      <x:c r="C2047" s="84" t="str">
        <x:v>CUST-0274</x:v>
      </x:c>
      <x:c r="D2047" s="84" t="str">
        <x:v>daniel nelson</x:v>
      </x:c>
      <x:c r="E2047" s="84" t="str">
        <x:v>Corporate</x:v>
      </x:c>
      <x:c r="F2047" s="84" t="str">
        <x:v>Northeast </x:v>
      </x:c>
      <x:c r="G2047" s="84" t="str">
        <x:v>Boston</x:v>
      </x:c>
      <x:c r="H2047" s="84" t="str">
        <x:v> RETAIL STORE </x:v>
      </x:c>
      <x:c r="I2047" s="84" t="str">
        <x:v>ELEC-005</x:v>
      </x:c>
      <x:c r="J2047" s="86" t="n">
        <x:v>2</x:v>
      </x:c>
      <x:c r="K2047" s="87" t="n">
        <x:v>0.05</x:v>
      </x:c>
      <x:c r="L2047" s="84" t="str">
        <x:v>Completed</x:v>
      </x:c>
      <x:c r="M2047" s="84" t="str">
        <x:v>Credit Card</x:v>
      </x:c>
      <x:c r="N2047" s="84" t="str">
        <x:v>Sofia Bennett </x:v>
      </x:c>
      <x:c r="O2047" s="85" t="n">
        <x:v>45948</x:v>
      </x:c>
      <x:c r="P2047" s="84" t="str">
        <x:v>POS_2025_10</x:v>
      </x:c>
      <x:c r="Q2047" s="84" t="str">
        <x:v>HD Webcam</x:v>
      </x:c>
      <x:c r="R2047" s="84" t="str">
        <x:v>Electronics</x:v>
      </x:c>
    </x:row>
    <x:row r="2048">
      <x:c r="A2048" s="84" t="str">
        <x:v>ORD-2025-02227</x:v>
      </x:c>
      <x:c r="B2048" s="85" t="n">
        <x:v>45948</x:v>
      </x:c>
      <x:c r="C2048" s="84" t="str">
        <x:v>CUST-0444</x:v>
      </x:c>
      <x:c r="D2048" s="84" t="str">
        <x:v>Amelia Walker</x:v>
      </x:c>
      <x:c r="E2048" s="84" t="str">
        <x:v> CONSUMER </x:v>
      </x:c>
      <x:c r="F2048" s="84" t="str">
        <x:v>Northeast</x:v>
      </x:c>
      <x:c r="G2048" s="84" t="str">
        <x:v>Philadelphia</x:v>
      </x:c>
      <x:c r="H2048" s="84" t="str">
        <x:v>Retail Store</x:v>
      </x:c>
      <x:c r="I2048" s="84" t="str">
        <x:v>ACCS-004</x:v>
      </x:c>
      <x:c r="J2048" s="86" t="n">
        <x:v>1</x:v>
      </x:c>
      <x:c r="K2048" s="87" t="n">
        <x:v>0</x:v>
      </x:c>
      <x:c r="L2048" s="84" t="str">
        <x:v>Completed</x:v>
      </x:c>
      <x:c r="M2048" s="84" t="str">
        <x:v>Debit Card</x:v>
      </x:c>
      <x:c r="N2048" s="84" t="str">
        <x:v>Maya Brooks</x:v>
      </x:c>
      <x:c r="O2048" s="85" t="n">
        <x:v>45948</x:v>
      </x:c>
      <x:c r="P2048" s="84" t="str">
        <x:v>POS_2025_10</x:v>
      </x:c>
      <x:c r="Q2048" s="84" t="str">
        <x:v>Leather Wallet </x:v>
      </x:c>
      <x:c r="R2048" s="84" t="str">
        <x:v>Accessories</x:v>
      </x:c>
    </x:row>
    <x:row r="2049">
      <x:c r="A2049" s="84" t="str">
        <x:v>ORD-2025-00120</x:v>
      </x:c>
      <x:c r="B2049" s="85" t="n">
        <x:v>45949</x:v>
      </x:c>
      <x:c r="C2049" s="84" t="str">
        <x:v>CUST-0132</x:v>
      </x:c>
      <x:c r="D2049" s="84" t="str">
        <x:v>Chloe Taylor</x:v>
      </x:c>
      <x:c r="E2049" s="84" t="str">
        <x:v>Corporate</x:v>
      </x:c>
      <x:c r="F2049" s="84" t="str">
        <x:v>Southeast</x:v>
      </x:c>
      <x:c r="G2049" s="84" t="str">
        <x:v>Atlanta</x:v>
      </x:c>
      <x:c r="H2049" s="84" t="str">
        <x:v>Online</x:v>
      </x:c>
      <x:c r="I2049" s="84" t="str">
        <x:v>CARE-001</x:v>
      </x:c>
      <x:c r="J2049" s="86" t="n">
        <x:v>2</x:v>
      </x:c>
      <x:c r="K2049" s="87" t="n">
        <x:v>0.15</x:v>
      </x:c>
      <x:c r="L2049" s="84" t="str">
        <x:v>Completed</x:v>
      </x:c>
      <x:c r="M2049" s="84" t="str">
        <x:v>mobile wallet</x:v>
      </x:c>
      <x:c r="N2049" s="84" t="str">
        <x:v>Liam Parker</x:v>
      </x:c>
      <x:c r="O2049" s="85" t="n">
        <x:v>45953</x:v>
      </x:c>
      <x:c r="P2049" s="84" t="str">
        <x:v>WEB_2025_10</x:v>
      </x:c>
      <x:c r="Q2049" s="84" t="str">
        <x:v>Ionic Hair Dryer </x:v>
      </x:c>
      <x:c r="R2049" s="84" t="str">
        <x:v>Personal Care</x:v>
      </x:c>
    </x:row>
    <x:row r="2050">
      <x:c r="A2050" s="84" t="str">
        <x:v>ORD-2025-00555</x:v>
      </x:c>
      <x:c r="B2050" s="85" t="n">
        <x:v>45949</x:v>
      </x:c>
      <x:c r="C2050" s="84" t="str">
        <x:v>CUST-0492</x:v>
      </x:c>
      <x:c r="D2050" s="84" t="str">
        <x:v>Jonah Garcia</x:v>
      </x:c>
      <x:c r="E2050" s="84" t="str">
        <x:v>Small Business</x:v>
      </x:c>
      <x:c r="F2050" s="84" t="str">
        <x:v>Southeast</x:v>
      </x:c>
      <x:c r="G2050" s="84" t="str">
        <x:v>Charlotte</x:v>
      </x:c>
      <x:c r="H2050" s="84" t="str">
        <x:v>Online</x:v>
      </x:c>
      <x:c r="I2050" s="84" t="str">
        <x:v>FITN-003</x:v>
      </x:c>
      <x:c r="J2050" s="86" t="n">
        <x:v>2</x:v>
      </x:c>
      <x:c r="K2050" s="87" t="n">
        <x:v>0</x:v>
      </x:c>
      <x:c r="L2050" s="84" t="str">
        <x:v>Completed</x:v>
      </x:c>
      <x:c r="M2050" s="84" t="str">
        <x:v> PAYPAL </x:v>
      </x:c>
      <x:c r="N2050" s="84" t="str">
        <x:v>Ava Mitchell</x:v>
      </x:c>
      <x:c r="O2050" s="85" t="n">
        <x:v>45951</x:v>
      </x:c>
      <x:c r="P2050" s="84" t="str">
        <x:v>WEB_2025_10</x:v>
      </x:c>
      <x:c r="Q2050" s="84" t="str">
        <x:v>Resistance Band Set</x:v>
      </x:c>
      <x:c r="R2050" s="84" t="str">
        <x:v>Fitness </x:v>
      </x:c>
    </x:row>
    <x:row r="2051">
      <x:c r="A2051" s="84" t="str">
        <x:v>ORD-2025-00557</x:v>
      </x:c>
      <x:c r="B2051" s="85" t="n">
        <x:v>45949</x:v>
      </x:c>
      <x:c r="C2051" s="84" t="str">
        <x:v>CUST-0028</x:v>
      </x:c>
      <x:c r="D2051" s="84" t="str">
        <x:v>theo roberts</x:v>
      </x:c>
      <x:c r="E2051" s="84" t="str">
        <x:v>Consumer</x:v>
      </x:c>
      <x:c r="F2051" s="84" t="str">
        <x:v>Northeast </x:v>
      </x:c>
      <x:c r="G2051" s="84" t="str">
        <x:v>Newark</x:v>
      </x:c>
      <x:c r="H2051" s="84" t="str">
        <x:v>Online</x:v>
      </x:c>
      <x:c r="I2051" s="84" t="str">
        <x:v>ACCS-002</x:v>
      </x:c>
      <x:c r="J2051" s="86" t="n">
        <x:v>2</x:v>
      </x:c>
      <x:c r="K2051" s="87" t="n">
        <x:v>0</x:v>
      </x:c>
      <x:c r="L2051" s="84" t="str">
        <x:v>Completed</x:v>
      </x:c>
      <x:c r="M2051" s="84" t="str">
        <x:v>Debit Card</x:v>
      </x:c>
      <x:c r="N2051" s="84" t="str">
        <x:v>Ethan Cole </x:v>
      </x:c>
      <x:c r="O2051" s="85" t="n">
        <x:v>45954</x:v>
      </x:c>
      <x:c r="P2051" s="84" t="str">
        <x:v>WEB_2025_10</x:v>
      </x:c>
      <x:c r="Q2051" s="84" t="str">
        <x:v>Travel Backpack</x:v>
      </x:c>
      <x:c r="R2051" s="84" t="str">
        <x:v>Accessories</x:v>
      </x:c>
    </x:row>
    <x:row r="2052">
      <x:c r="A2052" s="84" t="str">
        <x:v>ORD-2025-00998</x:v>
      </x:c>
      <x:c r="B2052" s="85" t="n">
        <x:v>45949</x:v>
      </x:c>
      <x:c r="C2052" s="84" t="str">
        <x:v>CUST-0182</x:v>
      </x:c>
      <x:c r="D2052" s="84" t="str">
        <x:v>Zara Roberts</x:v>
      </x:c>
      <x:c r="E2052" s="84" t="str">
        <x:v>Consumer</x:v>
      </x:c>
      <x:c r="F2052" s="84" t="str">
        <x:v>northeast</x:v>
      </x:c>
      <x:c r="G2052" s="84" t="str">
        <x:v>Philadelphia</x:v>
      </x:c>
      <x:c r="H2052" s="84" t="str">
        <x:v>Online</x:v>
      </x:c>
      <x:c r="I2052" s="84" t="str">
        <x:v>ACCS-004</x:v>
      </x:c>
      <x:c r="J2052" s="86" t="n">
        <x:v>1</x:v>
      </x:c>
      <x:c r="K2052" s="87" t="n">
        <x:v>0.05</x:v>
      </x:c>
      <x:c r="L2052" s="84" t="str">
        <x:v>Completed</x:v>
      </x:c>
      <x:c r="M2052" s="84" t="str">
        <x:v>Credit Card</x:v>
      </x:c>
      <x:c r="N2052" s="84" t="str">
        <x:v>Sofia Bennett </x:v>
      </x:c>
      <x:c r="O2052" s="85" t="n">
        <x:v>45951</x:v>
      </x:c>
      <x:c r="P2052" s="84" t="str">
        <x:v>WEB_2025_10</x:v>
      </x:c>
      <x:c r="Q2052" s="84" t="str">
        <x:v>Leather Wallet</x:v>
      </x:c>
      <x:c r="R2052" s="84" t="str">
        <x:v>Accessories</x:v>
      </x:c>
    </x:row>
    <x:row r="2053">
      <x:c r="A2053" s="84" t="str">
        <x:v>ORD-2025-00473</x:v>
      </x:c>
      <x:c r="B2053" s="85" t="n">
        <x:v>45950</x:v>
      </x:c>
      <x:c r="C2053" s="84" t="str">
        <x:v>CUST-0613</x:v>
      </x:c>
      <x:c r="D2053" s="84" t="str">
        <x:v> OWEN HALL </x:v>
      </x:c>
      <x:c r="E2053" s="84" t="str">
        <x:v>consumer</x:v>
      </x:c>
      <x:c r="F2053" s="84" t="str">
        <x:v> SOUTHEAST </x:v>
      </x:c>
      <x:c r="G2053" s="84" t="str">
        <x:v>Nashville</x:v>
      </x:c>
      <x:c r="H2053" s="84" t="str">
        <x:v>retail store</x:v>
      </x:c>
      <x:c r="I2053" s="84" t="str">
        <x:v>ELEC-003</x:v>
      </x:c>
      <x:c r="J2053" s="86" t="n">
        <x:v>2</x:v>
      </x:c>
      <x:c r="K2053" s="87" t="n">
        <x:v>0.05</x:v>
      </x:c>
      <x:c r="L2053" s="84" t="str">
        <x:v>Completed</x:v>
      </x:c>
      <x:c r="M2053" s="84" t="str">
        <x:v>Credit Card</x:v>
      </x:c>
      <x:c r="N2053" s="84" t="str">
        <x:v>Noah Reed </x:v>
      </x:c>
      <x:c r="O2053" s="85" t="n">
        <x:v>45950</x:v>
      </x:c>
      <x:c r="P2053" s="84" t="str">
        <x:v>POS_2025_10</x:v>
      </x:c>
      <x:c r="Q2053" s="84" t="str">
        <x:v>Bluetooth Speaker</x:v>
      </x:c>
      <x:c r="R2053" s="84" t="str">
        <x:v>Electronics</x:v>
      </x:c>
    </x:row>
    <x:row r="2054">
      <x:c r="A2054" s="84" t="str">
        <x:v>ORD-2025-01253</x:v>
      </x:c>
      <x:c r="B2054" s="85" t="n">
        <x:v>45950</x:v>
      </x:c>
      <x:c r="C2054" s="84" t="str">
        <x:v>CUST-0493</x:v>
      </x:c>
      <x:c r="D2054" s="84" t="str">
        <x:v>Nina Evans</x:v>
      </x:c>
      <x:c r="E2054" s="84" t="str">
        <x:v>Corporate </x:v>
      </x:c>
      <x:c r="F2054" s="84" t="str">
        <x:v>West</x:v>
      </x:c>
      <x:c r="G2054" s="84" t="str">
        <x:v>Denver </x:v>
      </x:c>
      <x:c r="H2054" s="84" t="str">
        <x:v>Online</x:v>
      </x:c>
      <x:c r="I2054" s="84" t="str">
        <x:v>FITN-004</x:v>
      </x:c>
      <x:c r="J2054" s="86" t="n">
        <x:v>2</x:v>
      </x:c>
      <x:c r="K2054" s="87" t="n">
        <x:v>0.05</x:v>
      </x:c>
      <x:c r="L2054" s="84" t="str">
        <x:v>Completed</x:v>
      </x:c>
      <x:c r="M2054" s="84" t="str">
        <x:v>credit card</x:v>
      </x:c>
      <x:c r="N2054" s="84" t="str">
        <x:v>Nora Kim</x:v>
      </x:c>
      <x:c r="O2054" s="85" t="n">
        <x:v>45954</x:v>
      </x:c>
      <x:c r="P2054" s="84" t="str">
        <x:v>WEB_2025_10</x:v>
      </x:c>
      <x:c r="Q2054" s="84" t="str">
        <x:v>Fitness Tracker</x:v>
      </x:c>
      <x:c r="R2054" s="84" t="str">
        <x:v>Fitness</x:v>
      </x:c>
    </x:row>
    <x:row r="2055">
      <x:c r="A2055" s="84" t="str">
        <x:v>ORD-2025-01925</x:v>
      </x:c>
      <x:c r="B2055" s="85" t="n">
        <x:v>45950</x:v>
      </x:c>
      <x:c r="C2055" s="84" t="str">
        <x:v>CUST-0450</x:v>
      </x:c>
      <x:c r="D2055" s="84" t="str">
        <x:v>Samuel Garcia</x:v>
      </x:c>
      <x:c r="E2055" s="84" t="str">
        <x:v>small business</x:v>
      </x:c>
      <x:c r="F2055" s="84" t="str">
        <x:v>West</x:v>
      </x:c>
      <x:c r="G2055" s="84" t="str">
        <x:v>Seattle </x:v>
      </x:c>
      <x:c r="H2055" s="84" t="str">
        <x:v>marketplace</x:v>
      </x:c>
      <x:c r="I2055" s="84" t="str">
        <x:v>OFFC-004</x:v>
      </x:c>
      <x:c r="J2055" s="86" t="n">
        <x:v>1</x:v>
      </x:c>
      <x:c r="K2055" s="87" t="n">
        <x:v>0.05</x:v>
      </x:c>
      <x:c r="L2055" s="84" t="str">
        <x:v>Completed</x:v>
      </x:c>
      <x:c r="M2055" s="84" t="str">
        <x:v>PayPal</x:v>
      </x:c>
      <x:c r="N2055" s="84" t="str">
        <x:v>Leo Martinez</x:v>
      </x:c>
      <x:c r="O2055" s="85" t="n">
        <x:v>45958</x:v>
      </x:c>
      <x:c r="P2055" s="84" t="str">
        <x:v>MKT_2025_10</x:v>
      </x:c>
      <x:c r="Q2055" s="84" t="str">
        <x:v> PREMIUM NOTEBOOK PACK </x:v>
      </x:c>
      <x:c r="R2055" s="84" t="str">
        <x:v>Office</x:v>
      </x:c>
    </x:row>
    <x:row r="2056">
      <x:c r="A2056" s="84" t="str">
        <x:v>ORD-2025-00079</x:v>
      </x:c>
      <x:c r="B2056" s="85" t="n">
        <x:v>45951</x:v>
      </x:c>
      <x:c r="C2056" s="84" t="str">
        <x:v>CUST-0284</x:v>
      </x:c>
      <x:c r="D2056" s="84" t="str">
        <x:v>Marcus Foster</x:v>
      </x:c>
      <x:c r="E2056" s="84" t="str">
        <x:v>Consumer</x:v>
      </x:c>
      <x:c r="F2056" s="84" t="str">
        <x:v>Midwest</x:v>
      </x:c>
      <x:c r="G2056" s="84" t="str">
        <x:v>Detroit</x:v>
      </x:c>
      <x:c r="H2056" s="84" t="str">
        <x:v>Retail Store</x:v>
      </x:c>
      <x:c r="I2056" s="84" t="str">
        <x:v>ELEC-004</x:v>
      </x:c>
      <x:c r="J2056" s="86" t="n">
        <x:v>2</x:v>
      </x:c>
      <x:c r="K2056" s="87" t="n">
        <x:v>0.05</x:v>
      </x:c>
      <x:c r="L2056" s="84" t="str">
        <x:v>Completed</x:v>
      </x:c>
      <x:c r="M2056" s="84" t="str">
        <x:v> CASH </x:v>
      </x:c>
      <x:c r="N2056" s="84" t="str">
        <x:v>emma hayes</x:v>
      </x:c>
      <x:c r="O2056" s="85" t="n">
        <x:v>45951</x:v>
      </x:c>
      <x:c r="P2056" s="84" t="str">
        <x:v>POS_2025_10</x:v>
      </x:c>
      <x:c r="Q2056" s="84" t="str">
        <x:v>Power Bank</x:v>
      </x:c>
      <x:c r="R2056" s="84" t="str">
        <x:v>Electronics </x:v>
      </x:c>
    </x:row>
    <x:row r="2057">
      <x:c r="A2057" s="84" t="str">
        <x:v>ORD-2025-02379</x:v>
      </x:c>
      <x:c r="B2057" s="85" t="n">
        <x:v>45951</x:v>
      </x:c>
      <x:c r="C2057" s="84" t="str">
        <x:v>CUST-0466</x:v>
      </x:c>
      <x:c r="D2057" s="84" t="str">
        <x:v>Sara Young</x:v>
      </x:c>
      <x:c r="E2057" s="84" t="str"/>
      <x:c r="F2057" s="84" t="str">
        <x:v>West</x:v>
      </x:c>
      <x:c r="G2057" s="84" t="str">
        <x:v>Los Angeles</x:v>
      </x:c>
      <x:c r="H2057" s="84" t="str">
        <x:v>Marketplace</x:v>
      </x:c>
      <x:c r="I2057" s="84" t="str">
        <x:v>OFFC-005</x:v>
      </x:c>
      <x:c r="J2057" s="86" t="n">
        <x:v>2</x:v>
      </x:c>
      <x:c r="K2057" s="87" t="n">
        <x:v>0</x:v>
      </x:c>
      <x:c r="L2057" s="84" t="str">
        <x:v>Completed </x:v>
      </x:c>
      <x:c r="M2057" s="84" t="str">
        <x:v>Debit Card</x:v>
      </x:c>
      <x:c r="N2057" s="84" t="str">
        <x:v>Mia Chen</x:v>
      </x:c>
      <x:c r="O2057" s="85" t="n">
        <x:v>45959</x:v>
      </x:c>
      <x:c r="P2057" s="84" t="str">
        <x:v>MKT_2025_10</x:v>
      </x:c>
      <x:c r="Q2057" s="84" t="str">
        <x:v>Wireless Keyboard</x:v>
      </x:c>
      <x:c r="R2057" s="84" t="str">
        <x:v>office</x:v>
      </x:c>
    </x:row>
    <x:row r="2058">
      <x:c r="A2058" s="84" t="str">
        <x:v>ORD-2025-01610</x:v>
      </x:c>
      <x:c r="B2058" s="85" t="n">
        <x:v>45952</x:v>
      </x:c>
      <x:c r="C2058" s="84" t="str">
        <x:v>CUST-0008</x:v>
      </x:c>
      <x:c r="D2058" s="84" t="str">
        <x:v>Nathan Foster</x:v>
      </x:c>
      <x:c r="E2058" s="84" t="str">
        <x:v>Consumer </x:v>
      </x:c>
      <x:c r="F2058" s="84" t="str">
        <x:v>West</x:v>
      </x:c>
      <x:c r="G2058" s="84" t="str">
        <x:v>denver</x:v>
      </x:c>
      <x:c r="H2058" s="84" t="str">
        <x:v>Marketplace</x:v>
      </x:c>
      <x:c r="I2058" s="84" t="str">
        <x:v>OFFC-001</x:v>
      </x:c>
      <x:c r="J2058" s="86" t="n">
        <x:v>2</x:v>
      </x:c>
      <x:c r="K2058" s="87" t="n">
        <x:v>0</x:v>
      </x:c>
      <x:c r="L2058" s="84" t="str">
        <x:v>completed</x:v>
      </x:c>
      <x:c r="M2058" s="84" t="str">
        <x:v>Credit Card</x:v>
      </x:c>
      <x:c r="N2058" s="84" t="str">
        <x:v>Leo Martinez</x:v>
      </x:c>
      <x:c r="O2058" s="85" t="n">
        <x:v>45957</x:v>
      </x:c>
      <x:c r="P2058" s="84" t="str">
        <x:v>MKT_2025_10</x:v>
      </x:c>
      <x:c r="Q2058" s="84" t="str">
        <x:v>Ergonomic Chair</x:v>
      </x:c>
      <x:c r="R2058" s="84" t="str">
        <x:v>Office</x:v>
      </x:c>
    </x:row>
    <x:row r="2059">
      <x:c r="A2059" s="84" t="str">
        <x:v>ORD-2025-00478</x:v>
      </x:c>
      <x:c r="B2059" s="85" t="n">
        <x:v>45953</x:v>
      </x:c>
      <x:c r="C2059" s="84" t="str">
        <x:v>CUST-0123</x:v>
      </x:c>
      <x:c r="D2059" s="84" t="str">
        <x:v>Jasmine Patel</x:v>
      </x:c>
      <x:c r="E2059" s="84" t="str">
        <x:v>Consumer</x:v>
      </x:c>
      <x:c r="F2059" s="84" t="str">
        <x:v>Southeast</x:v>
      </x:c>
      <x:c r="G2059" s="84" t="str">
        <x:v>Nashville</x:v>
      </x:c>
      <x:c r="H2059" s="84" t="str">
        <x:v>Online</x:v>
      </x:c>
      <x:c r="I2059" s="84" t="str">
        <x:v>CARE-002</x:v>
      </x:c>
      <x:c r="J2059" s="86" t="n">
        <x:v>1</x:v>
      </x:c>
      <x:c r="K2059" s="87" t="n">
        <x:v>0.1</x:v>
      </x:c>
      <x:c r="L2059" s="84" t="str">
        <x:v>Completed</x:v>
      </x:c>
      <x:c r="M2059" s="84" t="str">
        <x:v>Mobile Wallet</x:v>
      </x:c>
      <x:c r="N2059" s="84" t="str">
        <x:v>Ava Mitchell</x:v>
      </x:c>
      <x:c r="O2059" s="85" t="n">
        <x:v>45957</x:v>
      </x:c>
      <x:c r="P2059" s="84" t="str">
        <x:v>WEB_2025_10</x:v>
      </x:c>
      <x:c r="Q2059" s="84" t="str">
        <x:v>Rechargeable Trimmer</x:v>
      </x:c>
      <x:c r="R2059" s="84" t="str">
        <x:v>Personal Care </x:v>
      </x:c>
    </x:row>
    <x:row r="2060">
      <x:c r="A2060" s="84" t="str">
        <x:v>ORD-2025-01957</x:v>
      </x:c>
      <x:c r="B2060" s="85" t="n">
        <x:v>45953</x:v>
      </x:c>
      <x:c r="C2060" s="84" t="str">
        <x:v>CUST-0569</x:v>
      </x:c>
      <x:c r="D2060" s="84" t="str">
        <x:v>Daniel Walker</x:v>
      </x:c>
      <x:c r="E2060" s="84" t="str">
        <x:v>Consumer</x:v>
      </x:c>
      <x:c r="F2060" s="84" t="str">
        <x:v>Midwest </x:v>
      </x:c>
      <x:c r="G2060" s="84" t="str">
        <x:v>Chicago</x:v>
      </x:c>
      <x:c r="H2060" s="84" t="str">
        <x:v>Marketplace</x:v>
      </x:c>
      <x:c r="I2060" s="84" t="str">
        <x:v>CARE-003</x:v>
      </x:c>
      <x:c r="J2060" s="86" t="n">
        <x:v>2</x:v>
      </x:c>
      <x:c r="K2060" s="87" t="n">
        <x:v>0.1</x:v>
      </x:c>
      <x:c r="L2060" s="84" t="str">
        <x:v>Completed</x:v>
      </x:c>
      <x:c r="M2060" s="84" t="str">
        <x:v>credit card</x:v>
      </x:c>
      <x:c r="N2060" s="84" t="str">
        <x:v>Lucas Grant </x:v>
      </x:c>
      <x:c r="O2060" s="85" t="n">
        <x:v>45956</x:v>
      </x:c>
      <x:c r="P2060" s="84" t="str">
        <x:v>MKT_2025_10</x:v>
      </x:c>
      <x:c r="Q2060" s="84" t="str">
        <x:v>Facial Cleanser</x:v>
      </x:c>
      <x:c r="R2060" s="84" t="str">
        <x:v>Personal Care</x:v>
      </x:c>
    </x:row>
    <x:row r="2061">
      <x:c r="A2061" s="84" t="str">
        <x:v>ORD-2025-02295</x:v>
      </x:c>
      <x:c r="B2061" s="85" t="n">
        <x:v>45953</x:v>
      </x:c>
      <x:c r="C2061" s="84" t="str">
        <x:v>CUST-0541</x:v>
      </x:c>
      <x:c r="D2061" s="84" t="str">
        <x:v>caleb adams</x:v>
      </x:c>
      <x:c r="E2061" s="84" t="str">
        <x:v> SMALL BUSINESS </x:v>
      </x:c>
      <x:c r="F2061" s="84" t="str">
        <x:v>Northeast</x:v>
      </x:c>
      <x:c r="G2061" s="84" t="str">
        <x:v>Newark</x:v>
      </x:c>
      <x:c r="H2061" s="84" t="str">
        <x:v>Online</x:v>
      </x:c>
      <x:c r="I2061" s="84" t="str">
        <x:v>ELEC-005</x:v>
      </x:c>
      <x:c r="J2061" s="86" t="n">
        <x:v>2</x:v>
      </x:c>
      <x:c r="K2061" s="87" t="n">
        <x:v>0.15</x:v>
      </x:c>
      <x:c r="L2061" s="84" t="str">
        <x:v>Returned </x:v>
      </x:c>
      <x:c r="M2061" s="84" t="str">
        <x:v>Debit Card</x:v>
      </x:c>
      <x:c r="N2061" s="84" t="str">
        <x:v>Maya Brooks</x:v>
      </x:c>
      <x:c r="O2061" s="85" t="n">
        <x:v>45955</x:v>
      </x:c>
      <x:c r="P2061" s="84" t="str">
        <x:v>WEB_2025_10</x:v>
      </x:c>
      <x:c r="Q2061" s="84" t="str">
        <x:v>HD Webcam</x:v>
      </x:c>
      <x:c r="R2061" s="84" t="str">
        <x:v>Electronics</x:v>
      </x:c>
    </x:row>
    <x:row r="2062">
      <x:c r="A2062" s="84" t="str">
        <x:v>ORD-2025-02393</x:v>
      </x:c>
      <x:c r="B2062" s="85" t="n">
        <x:v>45953</x:v>
      </x:c>
      <x:c r="C2062" s="84" t="str">
        <x:v>CUST-0430</x:v>
      </x:c>
      <x:c r="D2062" s="84" t="str">
        <x:v>William Adams</x:v>
      </x:c>
      <x:c r="E2062" s="84" t="str">
        <x:v>Small Business</x:v>
      </x:c>
      <x:c r="F2062" s="84" t="str">
        <x:v>West</x:v>
      </x:c>
      <x:c r="G2062" s="84" t="str">
        <x:v>Los Angeles</x:v>
      </x:c>
      <x:c r="H2062" s="84" t="str">
        <x:v>Online</x:v>
      </x:c>
      <x:c r="I2062" s="84" t="str">
        <x:v>ACCS-005</x:v>
      </x:c>
      <x:c r="J2062" s="86" t="n">
        <x:v>1</x:v>
      </x:c>
      <x:c r="K2062" s="87" t="n">
        <x:v>0</x:v>
      </x:c>
      <x:c r="L2062" s="84" t="str">
        <x:v>Completed </x:v>
      </x:c>
      <x:c r="M2062" s="84" t="str">
        <x:v>Credit Card</x:v>
      </x:c>
      <x:c r="N2062" s="84" t="str">
        <x:v>Nora Kim</x:v>
      </x:c>
      <x:c r="O2062" s="85" t="n">
        <x:v>45956</x:v>
      </x:c>
      <x:c r="P2062" s="84" t="str">
        <x:v>WEB_2025_10</x:v>
      </x:c>
      <x:c r="Q2062" s="84" t="str">
        <x:v>Protective Phone Case</x:v>
      </x:c>
      <x:c r="R2062" s="84" t="str">
        <x:v>Accessories</x:v>
      </x:c>
    </x:row>
    <x:row r="2063">
      <x:c r="A2063" s="84" t="str">
        <x:v>ORD-2025-01131</x:v>
      </x:c>
      <x:c r="B2063" s="85" t="n">
        <x:v>45954</x:v>
      </x:c>
      <x:c r="C2063" s="84" t="str">
        <x:v>CUST-0491</x:v>
      </x:c>
      <x:c r="D2063" s="84" t="str">
        <x:v>Jonah Walker</x:v>
      </x:c>
      <x:c r="E2063" s="84" t="str">
        <x:v>Consumer</x:v>
      </x:c>
      <x:c r="F2063" s="84" t="str">
        <x:v>Midwest </x:v>
      </x:c>
      <x:c r="G2063" s="84" t="str">
        <x:v>Detroit</x:v>
      </x:c>
      <x:c r="H2063" s="84" t="str">
        <x:v>Online</x:v>
      </x:c>
      <x:c r="I2063" s="84" t="str">
        <x:v>OFFC-003</x:v>
      </x:c>
      <x:c r="J2063" s="86" t="n">
        <x:v>2</x:v>
      </x:c>
      <x:c r="K2063" s="87" t="n">
        <x:v>0</x:v>
      </x:c>
      <x:c r="L2063" s="84" t="str">
        <x:v>Completed</x:v>
      </x:c>
      <x:c r="M2063" s="84" t="str">
        <x:v>Mobile Wallet</x:v>
      </x:c>
      <x:c r="N2063" s="84" t="str">
        <x:v>Zoe Turner </x:v>
      </x:c>
      <x:c r="O2063" s="85" t="n">
        <x:v>45957</x:v>
      </x:c>
      <x:c r="P2063" s="84" t="str">
        <x:v>WEB_2025_10</x:v>
      </x:c>
      <x:c r="Q2063" s="84" t="str">
        <x:v>led desk lamp</x:v>
      </x:c>
      <x:c r="R2063" s="84" t="str">
        <x:v>Office</x:v>
      </x:c>
    </x:row>
    <x:row r="2064">
      <x:c r="A2064" s="84" t="str">
        <x:v>ORD-2025-01451</x:v>
      </x:c>
      <x:c r="B2064" s="85" t="n">
        <x:v>45954</x:v>
      </x:c>
      <x:c r="C2064" s="84" t="str">
        <x:v>CUST-0462</x:v>
      </x:c>
      <x:c r="D2064" s="84" t="str">
        <x:v>Grace Johnson</x:v>
      </x:c>
      <x:c r="E2064" s="84" t="str">
        <x:v>Consumer</x:v>
      </x:c>
      <x:c r="F2064" s="84" t="str">
        <x:v>Northeast</x:v>
      </x:c>
      <x:c r="G2064" s="84" t="str">
        <x:v>Philadelphia</x:v>
      </x:c>
      <x:c r="H2064" s="84" t="str">
        <x:v> RETAIL STORE </x:v>
      </x:c>
      <x:c r="I2064" s="84" t="str">
        <x:v>HOME-005</x:v>
      </x:c>
      <x:c r="J2064" s="86" t="n">
        <x:v>2</x:v>
      </x:c>
      <x:c r="K2064" s="87" t="n">
        <x:v>0</x:v>
      </x:c>
      <x:c r="L2064" s="84" t="str">
        <x:v>Completed</x:v>
      </x:c>
      <x:c r="M2064" s="84" t="str">
        <x:v>debit card</x:v>
      </x:c>
      <x:c r="N2064" s="84" t="str">
        <x:v>Ethan Cole</x:v>
      </x:c>
      <x:c r="O2064" s="85" t="n">
        <x:v>45955</x:v>
      </x:c>
      <x:c r="P2064" s="84" t="str">
        <x:v>POS_2025_10</x:v>
      </x:c>
      <x:c r="Q2064" s="84" t="str">
        <x:v>Cordless Vacuum</x:v>
      </x:c>
      <x:c r="R2064" s="84" t="str">
        <x:v>Home &amp; Kitchen </x:v>
      </x:c>
    </x:row>
    <x:row r="2065">
      <x:c r="A2065" s="84" t="str">
        <x:v>ORD-2025-00264</x:v>
      </x:c>
      <x:c r="B2065" s="85" t="n">
        <x:v>45955</x:v>
      </x:c>
      <x:c r="C2065" s="84" t="str">
        <x:v>CUST-0418</x:v>
      </x:c>
      <x:c r="D2065" s="84" t="str">
        <x:v>Grace Ortiz </x:v>
      </x:c>
      <x:c r="E2065" s="84" t="str">
        <x:v>small business</x:v>
      </x:c>
      <x:c r="F2065" s="84" t="str">
        <x:v>West</x:v>
      </x:c>
      <x:c r="G2065" s="84" t="str">
        <x:v>Seattle</x:v>
      </x:c>
      <x:c r="H2065" s="84" t="str">
        <x:v>online</x:v>
      </x:c>
      <x:c r="I2065" s="84" t="str">
        <x:v>ELEC-001</x:v>
      </x:c>
      <x:c r="J2065" s="86" t="n">
        <x:v>1</x:v>
      </x:c>
      <x:c r="K2065" s="87" t="n">
        <x:v>0</x:v>
      </x:c>
      <x:c r="L2065" s="84" t="str">
        <x:v>Completed</x:v>
      </x:c>
      <x:c r="M2065" s="84" t="str">
        <x:v>Credit Card </x:v>
      </x:c>
      <x:c r="N2065" s="84" t="str">
        <x:v>Nora Kim</x:v>
      </x:c>
      <x:c r="O2065" s="85" t="n">
        <x:v>45958</x:v>
      </x:c>
      <x:c r="P2065" s="84" t="str">
        <x:v>WEB_2025_10</x:v>
      </x:c>
      <x:c r="Q2065" s="84" t="str">
        <x:v>Wireless Earbuds</x:v>
      </x:c>
      <x:c r="R2065" s="84" t="str">
        <x:v>Electronics</x:v>
      </x:c>
    </x:row>
    <x:row r="2066">
      <x:c r="A2066" s="84" t="str">
        <x:v>ORD-2025-00567</x:v>
      </x:c>
      <x:c r="B2066" s="85" t="n">
        <x:v>45955</x:v>
      </x:c>
      <x:c r="C2066" s="84" t="str">
        <x:v>CUST-0137</x:v>
      </x:c>
      <x:c r="D2066" s="84" t="str">
        <x:v>Owen Adams</x:v>
      </x:c>
      <x:c r="E2066" s="84" t="str">
        <x:v>Corporate </x:v>
      </x:c>
      <x:c r="F2066" s="84" t="str">
        <x:v>Midwest</x:v>
      </x:c>
      <x:c r="G2066" s="84" t="str">
        <x:v>Chicago </x:v>
      </x:c>
      <x:c r="H2066" s="84" t="str">
        <x:v> MARKETPLACE </x:v>
      </x:c>
      <x:c r="I2066" s="84" t="str">
        <x:v>ACCS-004</x:v>
      </x:c>
      <x:c r="J2066" s="86" t="n">
        <x:v>3</x:v>
      </x:c>
      <x:c r="K2066" s="87" t="n">
        <x:v>0</x:v>
      </x:c>
      <x:c r="L2066" s="84" t="str">
        <x:v>Completed</x:v>
      </x:c>
      <x:c r="M2066" s="84" t="str">
        <x:v>Credit Card</x:v>
      </x:c>
      <x:c r="N2066" s="84" t="str">
        <x:v>Zoe Turner</x:v>
      </x:c>
      <x:c r="O2066" s="85" t="n">
        <x:v>45958</x:v>
      </x:c>
      <x:c r="P2066" s="84" t="str">
        <x:v>MKT_2025_10</x:v>
      </x:c>
      <x:c r="Q2066" s="84" t="str">
        <x:v>Leather Wallet</x:v>
      </x:c>
      <x:c r="R2066" s="84" t="str">
        <x:v>Accessories</x:v>
      </x:c>
    </x:row>
    <x:row r="2067">
      <x:c r="A2067" s="84" t="str">
        <x:v>ORD-2025-01203</x:v>
      </x:c>
      <x:c r="B2067" s="85" t="n">
        <x:v>45955</x:v>
      </x:c>
      <x:c r="C2067" s="84" t="str">
        <x:v>CUST-0095</x:v>
      </x:c>
      <x:c r="D2067" s="84" t="str">
        <x:v>Elena Irwin</x:v>
      </x:c>
      <x:c r="E2067" s="84" t="str">
        <x:v>Corporate</x:v>
      </x:c>
      <x:c r="F2067" s="84" t="str">
        <x:v>Northeast</x:v>
      </x:c>
      <x:c r="G2067" s="84" t="str">
        <x:v>newark</x:v>
      </x:c>
      <x:c r="H2067" s="84" t="str">
        <x:v>Online</x:v>
      </x:c>
      <x:c r="I2067" s="84" t="str">
        <x:v>ACCS-005</x:v>
      </x:c>
      <x:c r="J2067" s="86" t="n">
        <x:v>5</x:v>
      </x:c>
      <x:c r="K2067" s="87" t="n">
        <x:v>0</x:v>
      </x:c>
      <x:c r="L2067" s="84" t="str">
        <x:v>completed</x:v>
      </x:c>
      <x:c r="M2067" s="84" t="str">
        <x:v>Mobile Wallet</x:v>
      </x:c>
      <x:c r="N2067" s="84" t="str">
        <x:v>Sofia Bennett</x:v>
      </x:c>
      <x:c r="O2067" s="85" t="n">
        <x:v>45959</x:v>
      </x:c>
      <x:c r="P2067" s="84" t="str">
        <x:v>WEB_2025_10</x:v>
      </x:c>
      <x:c r="Q2067" s="84" t="str">
        <x:v>Protective Phone Case</x:v>
      </x:c>
      <x:c r="R2067" s="84" t="str">
        <x:v>Accessories</x:v>
      </x:c>
    </x:row>
    <x:row r="2068">
      <x:c r="A2068" s="84" t="str">
        <x:v>ORD-2025-00623</x:v>
      </x:c>
      <x:c r="B2068" s="85" t="n">
        <x:v>45956</x:v>
      </x:c>
      <x:c r="C2068" s="84" t="str">
        <x:v>CUST-0467</x:v>
      </x:c>
      <x:c r="D2068" s="84" t="str">
        <x:v>owen khan</x:v>
      </x:c>
      <x:c r="E2068" s="84" t="str">
        <x:v>Consumer </x:v>
      </x:c>
      <x:c r="F2068" s="84" t="str">
        <x:v>Northeast</x:v>
      </x:c>
      <x:c r="G2068" s="84" t="str">
        <x:v>New York </x:v>
      </x:c>
      <x:c r="H2068" s="84" t="str">
        <x:v>Retail Store</x:v>
      </x:c>
      <x:c r="I2068" s="84" t="str">
        <x:v>ELEC-003</x:v>
      </x:c>
      <x:c r="J2068" s="86" t="n">
        <x:v>3</x:v>
      </x:c>
      <x:c r="K2068" s="87" t="n">
        <x:v>0</x:v>
      </x:c>
      <x:c r="L2068" s="84" t="str">
        <x:v>Completed</x:v>
      </x:c>
      <x:c r="M2068" s="84" t="str">
        <x:v> CASH </x:v>
      </x:c>
      <x:c r="N2068" s="84" t="str">
        <x:v>Maya Brooks</x:v>
      </x:c>
      <x:c r="O2068" s="85" t="n">
        <x:v>45957</x:v>
      </x:c>
      <x:c r="P2068" s="84" t="str">
        <x:v>POS_2025_10</x:v>
      </x:c>
      <x:c r="Q2068" s="84" t="str">
        <x:v>Bluetooth Speaker</x:v>
      </x:c>
      <x:c r="R2068" s="84" t="str">
        <x:v>Electronics</x:v>
      </x:c>
    </x:row>
    <x:row r="2069">
      <x:c r="A2069" s="84" t="str">
        <x:v>ORD-2025-00774</x:v>
      </x:c>
      <x:c r="B2069" s="85" t="n">
        <x:v>45956</x:v>
      </x:c>
      <x:c r="C2069" s="84" t="str">
        <x:v>CUST-0470</x:v>
      </x:c>
      <x:c r="D2069" s="84" t="str">
        <x:v>Jasmine Lewis</x:v>
      </x:c>
      <x:c r="E2069" s="84" t="str">
        <x:v>Corporate</x:v>
      </x:c>
      <x:c r="F2069" s="84" t="str">
        <x:v>Southeast </x:v>
      </x:c>
      <x:c r="G2069" s="84" t="str">
        <x:v>miami</x:v>
      </x:c>
      <x:c r="H2069" s="84" t="str">
        <x:v>Online</x:v>
      </x:c>
      <x:c r="I2069" s="84" t="str">
        <x:v>ELEC-005</x:v>
      </x:c>
      <x:c r="J2069" s="86" t="n">
        <x:v>6</x:v>
      </x:c>
      <x:c r="K2069" s="87" t="n">
        <x:v>0.05</x:v>
      </x:c>
      <x:c r="L2069" s="84" t="str">
        <x:v>completed</x:v>
      </x:c>
      <x:c r="M2069" s="84" t="str">
        <x:v>Credit Card</x:v>
      </x:c>
      <x:c r="N2069" s="84" t="str">
        <x:v>Ava Mitchell </x:v>
      </x:c>
      <x:c r="O2069" s="85" t="n">
        <x:v>45958</x:v>
      </x:c>
      <x:c r="P2069" s="84" t="str">
        <x:v>WEB_2025_10</x:v>
      </x:c>
      <x:c r="Q2069" s="84" t="str">
        <x:v>HD Webcam</x:v>
      </x:c>
      <x:c r="R2069" s="84" t="str">
        <x:v>Electronics</x:v>
      </x:c>
    </x:row>
    <x:row r="2070">
      <x:c r="A2070" s="84" t="str">
        <x:v>ORD-2025-01819</x:v>
      </x:c>
      <x:c r="B2070" s="85" t="n">
        <x:v>45956</x:v>
      </x:c>
      <x:c r="C2070" s="84" t="str">
        <x:v>CUST-0630</x:v>
      </x:c>
      <x:c r="D2070" s="84" t="str">
        <x:v>Jasmine Foster</x:v>
      </x:c>
      <x:c r="E2070" s="84" t="str">
        <x:v> CONSUMER </x:v>
      </x:c>
      <x:c r="F2070" s="84" t="str">
        <x:v>Southeast</x:v>
      </x:c>
      <x:c r="G2070" s="84" t="str">
        <x:v>miami</x:v>
      </x:c>
      <x:c r="H2070" s="84" t="str">
        <x:v>Online</x:v>
      </x:c>
      <x:c r="I2070" s="84" t="str">
        <x:v>ELEC-006</x:v>
      </x:c>
      <x:c r="J2070" s="86" t="n">
        <x:v>1</x:v>
      </x:c>
      <x:c r="K2070" s="87" t="n">
        <x:v>0</x:v>
      </x:c>
      <x:c r="L2070" s="84" t="str">
        <x:v>returned</x:v>
      </x:c>
      <x:c r="M2070" s="84" t="str">
        <x:v>Mobile Wallet</x:v>
      </x:c>
      <x:c r="N2070" s="84" t="str">
        <x:v>Ava Mitchell</x:v>
      </x:c>
      <x:c r="O2070" s="85" t="n">
        <x:v>45959</x:v>
      </x:c>
      <x:c r="P2070" s="84" t="str">
        <x:v>WEB_2025_10</x:v>
      </x:c>
      <x:c r="Q2070" s="84" t="str">
        <x:v>Portable SSD</x:v>
      </x:c>
      <x:c r="R2070" s="84" t="str">
        <x:v>Electronics</x:v>
      </x:c>
    </x:row>
    <x:row r="2071">
      <x:c r="A2071" s="84" t="str">
        <x:v>ORD-2025-01997</x:v>
      </x:c>
      <x:c r="B2071" s="85" t="n">
        <x:v>45956</x:v>
      </x:c>
      <x:c r="C2071" s="84" t="str">
        <x:v>CUST-0282</x:v>
      </x:c>
      <x:c r="D2071" s="84" t="str">
        <x:v>Caleb Carter</x:v>
      </x:c>
      <x:c r="E2071" s="84" t="str">
        <x:v>Consumer</x:v>
      </x:c>
      <x:c r="F2071" s="84" t="str">
        <x:v>Northeast</x:v>
      </x:c>
      <x:c r="G2071" s="84" t="str">
        <x:v>Boston</x:v>
      </x:c>
      <x:c r="H2071" s="84" t="str">
        <x:v>Online</x:v>
      </x:c>
      <x:c r="I2071" s="84" t="str">
        <x:v>OFFC-005</x:v>
      </x:c>
      <x:c r="J2071" s="86" t="n">
        <x:v>3</x:v>
      </x:c>
      <x:c r="K2071" s="87" t="n">
        <x:v>0.1</x:v>
      </x:c>
      <x:c r="L2071" s="84" t="str">
        <x:v>Completed</x:v>
      </x:c>
      <x:c r="M2071" s="84" t="str">
        <x:v>Credit Card</x:v>
      </x:c>
      <x:c r="N2071" s="84" t="str">
        <x:v>Sofia Bennett</x:v>
      </x:c>
      <x:c r="O2071" s="85" t="n">
        <x:v>45962</x:v>
      </x:c>
      <x:c r="P2071" s="84" t="str">
        <x:v>WEB_2025_10</x:v>
      </x:c>
      <x:c r="Q2071" s="84" t="str">
        <x:v>Wireless Keyboard</x:v>
      </x:c>
      <x:c r="R2071" s="84" t="str">
        <x:v>Office </x:v>
      </x:c>
    </x:row>
    <x:row r="2072">
      <x:c r="A2072" s="84" t="str">
        <x:v>ORD-2025-00505</x:v>
      </x:c>
      <x:c r="B2072" s="85" t="n">
        <x:v>45957</x:v>
      </x:c>
      <x:c r="C2072" s="84" t="str">
        <x:v>CUST-0064</x:v>
      </x:c>
      <x:c r="D2072" s="84" t="str">
        <x:v>Nina Walker</x:v>
      </x:c>
      <x:c r="E2072" s="84" t="str">
        <x:v>Consumer</x:v>
      </x:c>
      <x:c r="F2072" s="84" t="str">
        <x:v>Midwest</x:v>
      </x:c>
      <x:c r="G2072" s="84" t="str">
        <x:v>Columbus</x:v>
      </x:c>
      <x:c r="H2072" s="84" t="str">
        <x:v>Marketplace</x:v>
      </x:c>
      <x:c r="I2072" s="84" t="str">
        <x:v>HOME-004</x:v>
      </x:c>
      <x:c r="J2072" s="86" t="n">
        <x:v>3</x:v>
      </x:c>
      <x:c r="K2072" s="87" t="n">
        <x:v>0.1</x:v>
      </x:c>
      <x:c r="L2072" s="84" t="str">
        <x:v>Completed</x:v>
      </x:c>
      <x:c r="M2072" s="84" t="str">
        <x:v>paypal</x:v>
      </x:c>
      <x:c r="N2072" s="84" t="str">
        <x:v>Lucas Grant</x:v>
      </x:c>
      <x:c r="O2072" s="85" t="n">
        <x:v>45961</x:v>
      </x:c>
      <x:c r="P2072" s="84" t="str">
        <x:v>MKT_2025_10</x:v>
      </x:c>
      <x:c r="Q2072" s="84" t="str">
        <x:v>Coffee Maker </x:v>
      </x:c>
      <x:c r="R2072" s="84" t="str">
        <x:v>Home &amp; Kitchen</x:v>
      </x:c>
    </x:row>
    <x:row r="2073">
      <x:c r="A2073" s="84" t="str">
        <x:v>ORD-2025-00727</x:v>
      </x:c>
      <x:c r="B2073" s="85" t="n">
        <x:v>45957</x:v>
      </x:c>
      <x:c r="C2073" s="84" t="str">
        <x:v>CUST-0088</x:v>
      </x:c>
      <x:c r="D2073" s="84" t="str">
        <x:v>Jasmine Khan</x:v>
      </x:c>
      <x:c r="E2073" s="84" t="str">
        <x:v>Consumer</x:v>
      </x:c>
      <x:c r="F2073" s="84" t="str">
        <x:v>Northeast</x:v>
      </x:c>
      <x:c r="G2073" s="84" t="str">
        <x:v>Boston</x:v>
      </x:c>
      <x:c r="H2073" s="84" t="str">
        <x:v>Online</x:v>
      </x:c>
      <x:c r="I2073" s="84" t="str">
        <x:v>OFFC-001</x:v>
      </x:c>
      <x:c r="J2073" s="86" t="n">
        <x:v>1</x:v>
      </x:c>
      <x:c r="K2073" s="87" t="n">
        <x:v>0</x:v>
      </x:c>
      <x:c r="L2073" s="84" t="str">
        <x:v>Completed </x:v>
      </x:c>
      <x:c r="M2073" s="84" t="str">
        <x:v>Credit Card</x:v>
      </x:c>
      <x:c r="N2073" s="84" t="str">
        <x:v>Sofia Bennett</x:v>
      </x:c>
      <x:c r="O2073" s="85" t="n">
        <x:v>45959</x:v>
      </x:c>
      <x:c r="P2073" s="84" t="str">
        <x:v>WEB_2025_10</x:v>
      </x:c>
      <x:c r="Q2073" s="84" t="str">
        <x:v>Ergonomic Chair</x:v>
      </x:c>
      <x:c r="R2073" s="84" t="str">
        <x:v>Office</x:v>
      </x:c>
    </x:row>
    <x:row r="2074">
      <x:c r="A2074" s="84" t="str">
        <x:v>ORD-2025-01021</x:v>
      </x:c>
      <x:c r="B2074" s="85" t="n">
        <x:v>45957</x:v>
      </x:c>
      <x:c r="C2074" s="84" t="str">
        <x:v>CUST-0111</x:v>
      </x:c>
      <x:c r="D2074" s="84" t="str">
        <x:v>Elias Evans</x:v>
      </x:c>
      <x:c r="E2074" s="84" t="str">
        <x:v>Small Business</x:v>
      </x:c>
      <x:c r="F2074" s="84" t="str">
        <x:v>Northeast</x:v>
      </x:c>
      <x:c r="G2074" s="84" t="str">
        <x:v>New York</x:v>
      </x:c>
      <x:c r="H2074" s="84" t="str">
        <x:v>Online</x:v>
      </x:c>
      <x:c r="I2074" s="84" t="str">
        <x:v>OFFC-003</x:v>
      </x:c>
      <x:c r="J2074" s="86" t="n">
        <x:v>-1</x:v>
      </x:c>
      <x:c r="K2074" s="87" t="n">
        <x:v>0.1</x:v>
      </x:c>
      <x:c r="L2074" s="84" t="str">
        <x:v>Completed </x:v>
      </x:c>
      <x:c r="M2074" s="84" t="str">
        <x:v>PayPal</x:v>
      </x:c>
      <x:c r="N2074" s="84" t="str">
        <x:v>Ethan Cole</x:v>
      </x:c>
      <x:c r="O2074" s="85" t="n">
        <x:v>45959</x:v>
      </x:c>
      <x:c r="P2074" s="84" t="str">
        <x:v>WEB_2025_10</x:v>
      </x:c>
      <x:c r="Q2074" s="84" t="str">
        <x:v>led desk lamp</x:v>
      </x:c>
      <x:c r="R2074" s="84" t="str">
        <x:v>Office</x:v>
      </x:c>
    </x:row>
    <x:row r="2075">
      <x:c r="A2075" s="84" t="str">
        <x:v>ORD-2025-01878</x:v>
      </x:c>
      <x:c r="B2075" s="85" t="n">
        <x:v>45957</x:v>
      </x:c>
      <x:c r="C2075" s="84" t="str">
        <x:v>CUST-0118</x:v>
      </x:c>
      <x:c r="D2075" s="84" t="str">
        <x:v>Daniel Davis</x:v>
      </x:c>
      <x:c r="E2075" s="84" t="str">
        <x:v>Consumer</x:v>
      </x:c>
      <x:c r="F2075" s="84" t="str">
        <x:v>midwest</x:v>
      </x:c>
      <x:c r="G2075" s="84" t="str">
        <x:v>Minneapolis</x:v>
      </x:c>
      <x:c r="H2075" s="84" t="str">
        <x:v>Online</x:v>
      </x:c>
      <x:c r="I2075" s="84" t="str">
        <x:v>OFFC-003</x:v>
      </x:c>
      <x:c r="J2075" s="86" t="n">
        <x:v>1</x:v>
      </x:c>
      <x:c r="K2075" s="87" t="n">
        <x:v>0</x:v>
      </x:c>
      <x:c r="L2075" s="84" t="str">
        <x:v>Completed</x:v>
      </x:c>
      <x:c r="M2075" s="84" t="str">
        <x:v>Credit Card</x:v>
      </x:c>
      <x:c r="N2075" s="84" t="str">
        <x:v>Emma Hayes</x:v>
      </x:c>
      <x:c r="O2075" s="85" t="n">
        <x:v>45960</x:v>
      </x:c>
      <x:c r="P2075" s="84" t="str">
        <x:v>WEB_2025_10</x:v>
      </x:c>
      <x:c r="Q2075" s="84" t="str">
        <x:v>LED Desk Lamp</x:v>
      </x:c>
      <x:c r="R2075" s="84" t="str">
        <x:v>Office </x:v>
      </x:c>
    </x:row>
    <x:row r="2076">
      <x:c r="A2076" s="84" t="str">
        <x:v>ORD-2025-00236</x:v>
      </x:c>
      <x:c r="B2076" s="85" t="n">
        <x:v>45958</x:v>
      </x:c>
      <x:c r="C2076" s="84" t="str">
        <x:v>CUST-0427</x:v>
      </x:c>
      <x:c r="D2076" s="84" t="str">
        <x:v>Aiden Ortiz </x:v>
      </x:c>
      <x:c r="E2076" s="84" t="str">
        <x:v>Consumer</x:v>
      </x:c>
      <x:c r="F2076" s="84" t="str">
        <x:v>West</x:v>
      </x:c>
      <x:c r="G2076" s="84" t="str">
        <x:v>Los Angeles</x:v>
      </x:c>
      <x:c r="H2076" s="84" t="str">
        <x:v>Retail Store</x:v>
      </x:c>
      <x:c r="I2076" s="84" t="str">
        <x:v>HOME-003</x:v>
      </x:c>
      <x:c r="J2076" s="86" t="n">
        <x:v>1</x:v>
      </x:c>
      <x:c r="K2076" s="87" t="n">
        <x:v>0</x:v>
      </x:c>
      <x:c r="L2076" s="84" t="str">
        <x:v>Completed</x:v>
      </x:c>
      <x:c r="M2076" s="84" t="str">
        <x:v>Credit Card </x:v>
      </x:c>
      <x:c r="N2076" s="84" t="str">
        <x:v>Leo Martinez</x:v>
      </x:c>
      <x:c r="O2076" s="85" t="n">
        <x:v>45958</x:v>
      </x:c>
      <x:c r="P2076" s="84" t="str">
        <x:v>POS_2025_10</x:v>
      </x:c>
      <x:c r="Q2076" s="84" t="str">
        <x:v>Countertop Blender</x:v>
      </x:c>
      <x:c r="R2076" s="84" t="str">
        <x:v> HOME &amp; KITCHEN </x:v>
      </x:c>
    </x:row>
    <x:row r="2077">
      <x:c r="A2077" s="84" t="str">
        <x:v>ORD-2025-00422</x:v>
      </x:c>
      <x:c r="B2077" s="85" t="n">
        <x:v>45958</x:v>
      </x:c>
      <x:c r="C2077" s="84" t="str">
        <x:v>CUST-0051</x:v>
      </x:c>
      <x:c r="D2077" s="84" t="str">
        <x:v> MARCUS MOORE </x:v>
      </x:c>
      <x:c r="E2077" s="84" t="str">
        <x:v>Consumer</x:v>
      </x:c>
      <x:c r="F2077" s="84" t="str">
        <x:v> WEST </x:v>
      </x:c>
      <x:c r="G2077" s="84" t="str">
        <x:v>seattle</x:v>
      </x:c>
      <x:c r="H2077" s="84" t="str">
        <x:v>Marketplace</x:v>
      </x:c>
      <x:c r="I2077" s="84" t="str">
        <x:v>HOME-006</x:v>
      </x:c>
      <x:c r="J2077" s="86" t="n">
        <x:v>1</x:v>
      </x:c>
      <x:c r="K2077" s="87" t="n">
        <x:v>0.2</x:v>
      </x:c>
      <x:c r="L2077" s="84" t="str">
        <x:v>completed</x:v>
      </x:c>
      <x:c r="M2077" s="84" t="str">
        <x:v>Debit Card</x:v>
      </x:c>
      <x:c r="N2077" s="84" t="str">
        <x:v>Nora Kim</x:v>
      </x:c>
      <x:c r="O2077" s="85" t="n">
        <x:v>45961</x:v>
      </x:c>
      <x:c r="P2077" s="84" t="str">
        <x:v>MKT_2025_10</x:v>
      </x:c>
      <x:c r="Q2077" s="84" t="str">
        <x:v>Food Storage Set</x:v>
      </x:c>
      <x:c r="R2077" s="84" t="str">
        <x:v>Home &amp; Kitchen </x:v>
      </x:c>
    </x:row>
    <x:row r="2078">
      <x:c r="A2078" s="84" t="str">
        <x:v>ORD-2025-00581</x:v>
      </x:c>
      <x:c r="B2078" s="85" t="n">
        <x:v>45958</x:v>
      </x:c>
      <x:c r="C2078" s="84" t="str">
        <x:v>CUST-0488</x:v>
      </x:c>
      <x:c r="D2078" s="84" t="str">
        <x:v>Nathan Moore</x:v>
      </x:c>
      <x:c r="E2078" s="84" t="str">
        <x:v>Consumer </x:v>
      </x:c>
      <x:c r="F2078" s="84" t="str">
        <x:v>Northeast</x:v>
      </x:c>
      <x:c r="G2078" s="84" t="str">
        <x:v>New York </x:v>
      </x:c>
      <x:c r="H2078" s="84" t="str">
        <x:v>Retail Store</x:v>
      </x:c>
      <x:c r="I2078" s="84" t="str">
        <x:v>CARE-002</x:v>
      </x:c>
      <x:c r="J2078" s="86" t="n">
        <x:v>3</x:v>
      </x:c>
      <x:c r="K2078" s="87" t="n">
        <x:v>0</x:v>
      </x:c>
      <x:c r="L2078" s="84" t="str">
        <x:v>Completed</x:v>
      </x:c>
      <x:c r="M2078" s="84" t="str">
        <x:v>Credit Card</x:v>
      </x:c>
      <x:c r="N2078" s="84" t="str">
        <x:v> MAYA BROOKS </x:v>
      </x:c>
      <x:c r="O2078" s="85" t="n">
        <x:v>45958</x:v>
      </x:c>
      <x:c r="P2078" s="84" t="str">
        <x:v>POS_2025_10</x:v>
      </x:c>
      <x:c r="Q2078" s="84" t="str">
        <x:v>rechargeable trimmer</x:v>
      </x:c>
      <x:c r="R2078" s="84" t="str">
        <x:v>Personal Care</x:v>
      </x:c>
    </x:row>
    <x:row r="2079">
      <x:c r="A2079" s="84" t="str">
        <x:v>ORD-2025-01073</x:v>
      </x:c>
      <x:c r="B2079" s="85" t="n">
        <x:v>45958</x:v>
      </x:c>
      <x:c r="C2079" s="84" t="str">
        <x:v>CUST-0122</x:v>
      </x:c>
      <x:c r="D2079" s="84" t="str">
        <x:v>Priya Young</x:v>
      </x:c>
      <x:c r="E2079" s="84" t="str">
        <x:v>Small Business</x:v>
      </x:c>
      <x:c r="F2079" s="84" t="str">
        <x:v>West</x:v>
      </x:c>
      <x:c r="G2079" s="84" t="str">
        <x:v>Los Angeles</x:v>
      </x:c>
      <x:c r="H2079" s="84" t="str">
        <x:v>Online</x:v>
      </x:c>
      <x:c r="I2079" s="84" t="str">
        <x:v>CARE-001</x:v>
      </x:c>
      <x:c r="J2079" s="86" t="n">
        <x:v>1</x:v>
      </x:c>
      <x:c r="K2079" s="87" t="n">
        <x:v>0</x:v>
      </x:c>
      <x:c r="L2079" s="84" t="str">
        <x:v>Completed</x:v>
      </x:c>
      <x:c r="M2079" s="84" t="str">
        <x:v>Debit Card</x:v>
      </x:c>
      <x:c r="N2079" s="84" t="str">
        <x:v>Nora Kim</x:v>
      </x:c>
      <x:c r="O2079" s="85" t="n">
        <x:v>45962</x:v>
      </x:c>
      <x:c r="P2079" s="84" t="str">
        <x:v>WEB_2025_10</x:v>
      </x:c>
      <x:c r="Q2079" s="84" t="str">
        <x:v>Ionic Hair Dryer</x:v>
      </x:c>
      <x:c r="R2079" s="84" t="str">
        <x:v>Personal Care </x:v>
      </x:c>
    </x:row>
    <x:row r="2080">
      <x:c r="A2080" s="84" t="str">
        <x:v>ORD-2025-00339</x:v>
      </x:c>
      <x:c r="B2080" s="85" t="n">
        <x:v>45959</x:v>
      </x:c>
      <x:c r="C2080" s="84" t="str">
        <x:v>CUST-0024</x:v>
      </x:c>
      <x:c r="D2080" s="84" t="str">
        <x:v>Zara Quinn</x:v>
      </x:c>
      <x:c r="E2080" s="84" t="str">
        <x:v>Consumer</x:v>
      </x:c>
      <x:c r="F2080" s="84" t="str">
        <x:v>Midwest</x:v>
      </x:c>
      <x:c r="G2080" s="84" t="str">
        <x:v>Columbus</x:v>
      </x:c>
      <x:c r="H2080" s="84" t="str">
        <x:v>Online </x:v>
      </x:c>
      <x:c r="I2080" s="84" t="str">
        <x:v>HOME-003</x:v>
      </x:c>
      <x:c r="J2080" s="86" t="n">
        <x:v>1</x:v>
      </x:c>
      <x:c r="K2080" s="87" t="n">
        <x:v>0.1</x:v>
      </x:c>
      <x:c r="L2080" s="84" t="str">
        <x:v>Completed</x:v>
      </x:c>
      <x:c r="M2080" s="84" t="str">
        <x:v>Debit Card</x:v>
      </x:c>
      <x:c r="N2080" s="84" t="str">
        <x:v>Lucas Grant</x:v>
      </x:c>
      <x:c r="O2080" s="85" t="n">
        <x:v>45961</x:v>
      </x:c>
      <x:c r="P2080" s="84" t="str">
        <x:v>WEB_2025_10</x:v>
      </x:c>
      <x:c r="Q2080" s="84" t="str">
        <x:v>countertop blender</x:v>
      </x:c>
      <x:c r="R2080" s="84" t="str">
        <x:v>Home &amp; Kitchen</x:v>
      </x:c>
    </x:row>
    <x:row r="2081">
      <x:c r="A2081" s="84" t="str">
        <x:v>ORD-2025-01210</x:v>
      </x:c>
      <x:c r="B2081" s="85" t="n">
        <x:v>45959</x:v>
      </x:c>
      <x:c r="C2081" s="84" t="str">
        <x:v>CUST-0037</x:v>
      </x:c>
      <x:c r="D2081" s="84" t="str">
        <x:v>Isaac Garcia</x:v>
      </x:c>
      <x:c r="E2081" s="84" t="str">
        <x:v>corporate</x:v>
      </x:c>
      <x:c r="F2081" s="84" t="str">
        <x:v>West</x:v>
      </x:c>
      <x:c r="G2081" s="84" t="str">
        <x:v>Los Angeles</x:v>
      </x:c>
      <x:c r="H2081" s="84" t="str">
        <x:v>online</x:v>
      </x:c>
      <x:c r="I2081" s="84" t="str">
        <x:v>OFFC-005</x:v>
      </x:c>
      <x:c r="J2081" s="86" t="n">
        <x:v>3</x:v>
      </x:c>
      <x:c r="K2081" s="87" t="n">
        <x:v>0.15</x:v>
      </x:c>
      <x:c r="L2081" s="84" t="str">
        <x:v>Completed </x:v>
      </x:c>
      <x:c r="M2081" s="84" t="str">
        <x:v>Credit Card</x:v>
      </x:c>
      <x:c r="N2081" s="84" t="str">
        <x:v> MIA CHEN </x:v>
      </x:c>
      <x:c r="O2081" s="85" t="n">
        <x:v>45962</x:v>
      </x:c>
      <x:c r="P2081" s="84" t="str">
        <x:v>WEB_2025_10</x:v>
      </x:c>
      <x:c r="Q2081" s="84" t="str">
        <x:v>Wireless Keyboard</x:v>
      </x:c>
      <x:c r="R2081" s="84" t="str">
        <x:v>Office</x:v>
      </x:c>
    </x:row>
    <x:row r="2082">
      <x:c r="A2082" s="84" t="str">
        <x:v>ORD-2025-01575</x:v>
      </x:c>
      <x:c r="B2082" s="85" t="n">
        <x:v>45959</x:v>
      </x:c>
      <x:c r="C2082" s="84" t="str">
        <x:v>CUST-0252</x:v>
      </x:c>
      <x:c r="D2082" s="84" t="str">
        <x:v>Theo Carter</x:v>
      </x:c>
      <x:c r="E2082" s="84" t="str">
        <x:v>Consumer </x:v>
      </x:c>
      <x:c r="F2082" s="84" t="str">
        <x:v>Midwest</x:v>
      </x:c>
      <x:c r="G2082" s="84" t="str">
        <x:v>Columbus </x:v>
      </x:c>
      <x:c r="H2082" s="84" t="str">
        <x:v>Retail Store</x:v>
      </x:c>
      <x:c r="I2082" s="84" t="str">
        <x:v>OFFC-005</x:v>
      </x:c>
      <x:c r="J2082" s="86" t="n">
        <x:v>1</x:v>
      </x:c>
      <x:c r="K2082" s="87" t="n">
        <x:v>0.15</x:v>
      </x:c>
      <x:c r="L2082" s="84" t="str">
        <x:v>Completed</x:v>
      </x:c>
      <x:c r="M2082" s="84" t="str">
        <x:v> CASH </x:v>
      </x:c>
      <x:c r="N2082" s="84" t="str">
        <x:v>zoe turner</x:v>
      </x:c>
      <x:c r="O2082" s="85" t="n">
        <x:v>45959</x:v>
      </x:c>
      <x:c r="P2082" s="84" t="str">
        <x:v>POS_2025_10</x:v>
      </x:c>
      <x:c r="Q2082" s="84" t="str">
        <x:v>Wireless Keyboard</x:v>
      </x:c>
      <x:c r="R2082" s="84" t="str">
        <x:v>Office</x:v>
      </x:c>
    </x:row>
    <x:row r="2083">
      <x:c r="A2083" s="84" t="str">
        <x:v>ORD-2025-01718</x:v>
      </x:c>
      <x:c r="B2083" s="85" t="n">
        <x:v>45959</x:v>
      </x:c>
      <x:c r="C2083" s="84" t="str">
        <x:v>CUST-0312</x:v>
      </x:c>
      <x:c r="D2083" s="84" t="str">
        <x:v>Theo Carter</x:v>
      </x:c>
      <x:c r="E2083" s="84" t="str">
        <x:v>Small Business</x:v>
      </x:c>
      <x:c r="F2083" s="84" t="str">
        <x:v>Southeast</x:v>
      </x:c>
      <x:c r="G2083" s="84" t="str">
        <x:v>Atlanta</x:v>
      </x:c>
      <x:c r="H2083" s="84" t="str">
        <x:v>Retail Store </x:v>
      </x:c>
      <x:c r="I2083" s="84" t="str">
        <x:v>ACCS-003</x:v>
      </x:c>
      <x:c r="J2083" s="86" t="n">
        <x:v>1</x:v>
      </x:c>
      <x:c r="K2083" s="87" t="n">
        <x:v>0</x:v>
      </x:c>
      <x:c r="L2083" s="84" t="str">
        <x:v>Completed</x:v>
      </x:c>
      <x:c r="M2083" s="84" t="str">
        <x:v>Debit Card</x:v>
      </x:c>
      <x:c r="N2083" s="84" t="str">
        <x:v>liam parker</x:v>
      </x:c>
      <x:c r="O2083" s="85" t="n">
        <x:v>45959</x:v>
      </x:c>
      <x:c r="P2083" s="84" t="str">
        <x:v>POS_2025_10</x:v>
      </x:c>
      <x:c r="Q2083" s="84" t="str">
        <x:v>Polarized Sunglasses</x:v>
      </x:c>
      <x:c r="R2083" s="84" t="str">
        <x:v>Accessories</x:v>
      </x:c>
    </x:row>
    <x:row r="2084">
      <x:c r="A2084" s="84" t="str">
        <x:v>ORD-2025-01630</x:v>
      </x:c>
      <x:c r="B2084" s="85" t="n">
        <x:v>45960</x:v>
      </x:c>
      <x:c r="C2084" s="84" t="str">
        <x:v>CUST-0581</x:v>
      </x:c>
      <x:c r="D2084" s="84" t="str">
        <x:v>Grace Lewis</x:v>
      </x:c>
      <x:c r="E2084" s="84" t="str">
        <x:v>Consumer</x:v>
      </x:c>
      <x:c r="F2084" s="84" t="str">
        <x:v>West</x:v>
      </x:c>
      <x:c r="G2084" s="84" t="str">
        <x:v>Phoenix</x:v>
      </x:c>
      <x:c r="H2084" s="84" t="str">
        <x:v>Online</x:v>
      </x:c>
      <x:c r="I2084" s="84" t="str">
        <x:v>CARE-003</x:v>
      </x:c>
      <x:c r="J2084" s="86" t="n">
        <x:v>4</x:v>
      </x:c>
      <x:c r="K2084" s="87" t="n">
        <x:v>0.1</x:v>
      </x:c>
      <x:c r="L2084" s="84" t="str">
        <x:v>Completed </x:v>
      </x:c>
      <x:c r="M2084" s="84" t="str">
        <x:v>Credit Card</x:v>
      </x:c>
      <x:c r="N2084" s="84" t="str">
        <x:v>leo martinez</x:v>
      </x:c>
      <x:c r="O2084" s="85" t="n">
        <x:v>45962</x:v>
      </x:c>
      <x:c r="P2084" s="84" t="str">
        <x:v>WEB_2025_10</x:v>
      </x:c>
      <x:c r="Q2084" s="84" t="str">
        <x:v>Facial Cleanser</x:v>
      </x:c>
      <x:c r="R2084" s="84" t="str">
        <x:v> PERSONAL CARE </x:v>
      </x:c>
    </x:row>
    <x:row r="2085">
      <x:c r="A2085" s="84" t="str">
        <x:v>ORD-2025-01956</x:v>
      </x:c>
      <x:c r="B2085" s="85" t="n">
        <x:v>45960</x:v>
      </x:c>
      <x:c r="C2085" s="84" t="str">
        <x:v>CUST-0029</x:v>
      </x:c>
      <x:c r="D2085" s="84" t="str">
        <x:v>Theo Ortiz</x:v>
      </x:c>
      <x:c r="E2085" s="84" t="str">
        <x:v>Corporate</x:v>
      </x:c>
      <x:c r="F2085" s="84" t="str">
        <x:v>Northeast</x:v>
      </x:c>
      <x:c r="G2085" s="84" t="str">
        <x:v>Philadelphia</x:v>
      </x:c>
      <x:c r="H2085" s="84" t="str">
        <x:v>Retail Store </x:v>
      </x:c>
      <x:c r="I2085" s="84" t="str">
        <x:v>ACCS-001</x:v>
      </x:c>
      <x:c r="J2085" s="86" t="n">
        <x:v>2</x:v>
      </x:c>
      <x:c r="K2085" s="87" t="n">
        <x:v>0.1</x:v>
      </x:c>
      <x:c r="L2085" s="84" t="str">
        <x:v>Completed</x:v>
      </x:c>
      <x:c r="M2085" s="84" t="str">
        <x:v>Credit Card</x:v>
      </x:c>
      <x:c r="N2085" s="84" t="str">
        <x:v>Sofia Bennett</x:v>
      </x:c>
      <x:c r="O2085" s="85" t="n">
        <x:v>45961</x:v>
      </x:c>
      <x:c r="P2085" s="84" t="str">
        <x:v>POS_2025_10</x:v>
      </x:c>
      <x:c r="Q2085" s="84" t="str">
        <x:v>canvas tote bag</x:v>
      </x:c>
      <x:c r="R2085" s="84" t="str">
        <x:v>Accessories</x:v>
      </x:c>
    </x:row>
    <x:row r="2086">
      <x:c r="A2086" s="84" t="str">
        <x:v>ORD-2025-00777</x:v>
      </x:c>
      <x:c r="B2086" s="85" t="n">
        <x:v>45961</x:v>
      </x:c>
      <x:c r="C2086" s="84" t="str">
        <x:v>CUST-0321</x:v>
      </x:c>
      <x:c r="D2086" s="84" t="str">
        <x:v>grace smith</x:v>
      </x:c>
      <x:c r="E2086" s="84" t="str">
        <x:v>Corporate </x:v>
      </x:c>
      <x:c r="F2086" s="84" t="str">
        <x:v>Southeast</x:v>
      </x:c>
      <x:c r="G2086" s="84" t="str">
        <x:v>Miami </x:v>
      </x:c>
      <x:c r="H2086" s="84" t="str">
        <x:v>Retail Store</x:v>
      </x:c>
      <x:c r="I2086" s="84" t="str">
        <x:v>ELEC-004</x:v>
      </x:c>
      <x:c r="J2086" s="86" t="n">
        <x:v>2</x:v>
      </x:c>
      <x:c r="K2086" s="87" t="n">
        <x:v>0.05</x:v>
      </x:c>
      <x:c r="L2086" s="84" t="str">
        <x:v>Completed</x:v>
      </x:c>
      <x:c r="M2086" s="84" t="str">
        <x:v>Cash</x:v>
      </x:c>
      <x:c r="N2086" s="84" t="str">
        <x:v>Liam Parker</x:v>
      </x:c>
      <x:c r="O2086" s="85" t="n">
        <x:v>45961</x:v>
      </x:c>
      <x:c r="P2086" s="84" t="str">
        <x:v>POS_2025_10</x:v>
      </x:c>
      <x:c r="Q2086" s="84" t="str">
        <x:v>Power Bank</x:v>
      </x:c>
      <x:c r="R2086" s="84" t="str">
        <x:v>Electronics</x:v>
      </x:c>
    </x:row>
    <x:row r="2087">
      <x:c r="A2087" s="84" t="str">
        <x:v>ORD-2025-01484</x:v>
      </x:c>
      <x:c r="B2087" s="85" t="n">
        <x:v>45961</x:v>
      </x:c>
      <x:c r="C2087" s="84" t="str">
        <x:v>CUST-0432</x:v>
      </x:c>
      <x:c r="D2087" s="84" t="str">
        <x:v>Caleb Young</x:v>
      </x:c>
      <x:c r="E2087" s="84" t="str">
        <x:v>Consumer </x:v>
      </x:c>
      <x:c r="F2087" s="84" t="str">
        <x:v>Northeast</x:v>
      </x:c>
      <x:c r="G2087" s="84" t="str">
        <x:v>New York </x:v>
      </x:c>
      <x:c r="H2087" s="84" t="str">
        <x:v>Online</x:v>
      </x:c>
      <x:c r="I2087" s="84" t="str">
        <x:v>ACCS-005</x:v>
      </x:c>
      <x:c r="J2087" s="86" t="n">
        <x:v>2</x:v>
      </x:c>
      <x:c r="K2087" s="87" t="n">
        <x:v>0</x:v>
      </x:c>
      <x:c r="L2087" s="84" t="str">
        <x:v> COMPLETED </x:v>
      </x:c>
      <x:c r="M2087" s="84" t="str">
        <x:v>paypal</x:v>
      </x:c>
      <x:c r="N2087" s="84" t="str">
        <x:v>Sofia Bennett</x:v>
      </x:c>
      <x:c r="O2087" s="85" t="n">
        <x:v>45964</x:v>
      </x:c>
      <x:c r="P2087" s="84" t="str">
        <x:v>WEB_2025_10</x:v>
      </x:c>
      <x:c r="Q2087" s="84" t="str">
        <x:v>Protective Phone Case</x:v>
      </x:c>
      <x:c r="R2087" s="84" t="str">
        <x:v>Accessories</x:v>
      </x:c>
    </x:row>
    <x:row r="2088">
      <x:c r="A2088" s="84" t="str">
        <x:v>ORD-2025-02061</x:v>
      </x:c>
      <x:c r="B2088" s="85" t="n">
        <x:v>45961</x:v>
      </x:c>
      <x:c r="C2088" s="84" t="str">
        <x:v>CUST-0410</x:v>
      </x:c>
      <x:c r="D2088" s="84" t="str">
        <x:v>Jasmine Quinn</x:v>
      </x:c>
      <x:c r="E2088" s="84" t="str">
        <x:v>Consumer</x:v>
      </x:c>
      <x:c r="F2088" s="84" t="str">
        <x:v>Midwest</x:v>
      </x:c>
      <x:c r="G2088" s="84" t="str">
        <x:v>chicago</x:v>
      </x:c>
      <x:c r="H2088" s="84" t="str">
        <x:v>Online </x:v>
      </x:c>
      <x:c r="I2088" s="84" t="str">
        <x:v>ACCS-005</x:v>
      </x:c>
      <x:c r="J2088" s="86" t="n">
        <x:v>1</x:v>
      </x:c>
      <x:c r="K2088" s="87" t="n">
        <x:v>0.15</x:v>
      </x:c>
      <x:c r="L2088" s="84" t="str">
        <x:v>returned</x:v>
      </x:c>
      <x:c r="M2088" s="84" t="str">
        <x:v>Debit Card</x:v>
      </x:c>
      <x:c r="N2088" s="84" t="str">
        <x:v>Emma Hayes</x:v>
      </x:c>
      <x:c r="O2088" s="85" t="n">
        <x:v>45964</x:v>
      </x:c>
      <x:c r="P2088" s="84" t="str">
        <x:v>WEB_2025_10</x:v>
      </x:c>
      <x:c r="Q2088" s="84" t="str">
        <x:v> PROTECTIVE PHONE CASE </x:v>
      </x:c>
      <x:c r="R2088" s="84" t="str">
        <x:v>Accessories</x:v>
      </x:c>
    </x:row>
    <x:row r="2089">
      <x:c r="A2089" s="84" t="str">
        <x:v>ORD-2025-00894</x:v>
      </x:c>
      <x:c r="B2089" s="85" t="n">
        <x:v>45962</x:v>
      </x:c>
      <x:c r="C2089" s="84" t="str">
        <x:v>CUST-0238</x:v>
      </x:c>
      <x:c r="D2089" s="84" t="str">
        <x:v>Aiden Ortiz </x:v>
      </x:c>
      <x:c r="E2089" s="84" t="str">
        <x:v>Small Business</x:v>
      </x:c>
      <x:c r="F2089" s="84" t="str">
        <x:v>West</x:v>
      </x:c>
      <x:c r="G2089" s="84" t="str">
        <x:v> PHOENIX </x:v>
      </x:c>
      <x:c r="H2089" s="84" t="str">
        <x:v>Online</x:v>
      </x:c>
      <x:c r="I2089" s="84" t="str">
        <x:v>ELEC-003</x:v>
      </x:c>
      <x:c r="J2089" s="86" t="n">
        <x:v>2</x:v>
      </x:c>
      <x:c r="K2089" s="87" t="n">
        <x:v>0.2</x:v>
      </x:c>
      <x:c r="L2089" s="84" t="str">
        <x:v>Completed</x:v>
      </x:c>
      <x:c r="M2089" s="84" t="str">
        <x:v>Debit Card </x:v>
      </x:c>
      <x:c r="N2089" s="84" t="str">
        <x:v>Mia Chen</x:v>
      </x:c>
      <x:c r="O2089" s="85" t="n">
        <x:v>45964</x:v>
      </x:c>
      <x:c r="P2089" s="84" t="str">
        <x:v>WEB_2025_11</x:v>
      </x:c>
      <x:c r="Q2089" s="84" t="str">
        <x:v>Bluetooth Speaker</x:v>
      </x:c>
      <x:c r="R2089" s="84" t="str">
        <x:v>electronics</x:v>
      </x:c>
    </x:row>
    <x:row r="2090">
      <x:c r="A2090" s="84" t="str">
        <x:v>ORD-2025-01675</x:v>
      </x:c>
      <x:c r="B2090" s="85" t="n">
        <x:v>45962</x:v>
      </x:c>
      <x:c r="C2090" s="84" t="str">
        <x:v>CUST-0295</x:v>
      </x:c>
      <x:c r="D2090" s="84" t="str">
        <x:v>Nina Garcia</x:v>
      </x:c>
      <x:c r="E2090" s="84" t="str">
        <x:v>Consumer</x:v>
      </x:c>
      <x:c r="F2090" s="84" t="str">
        <x:v>Northeast</x:v>
      </x:c>
      <x:c r="G2090" s="84" t="str">
        <x:v>Boston</x:v>
      </x:c>
      <x:c r="H2090" s="84" t="str">
        <x:v>Retail Store</x:v>
      </x:c>
      <x:c r="I2090" s="84" t="str">
        <x:v>CARE-006</x:v>
      </x:c>
      <x:c r="J2090" s="86" t="n">
        <x:v>1</x:v>
      </x:c>
      <x:c r="K2090" s="87" t="n">
        <x:v>0.1</x:v>
      </x:c>
      <x:c r="L2090" s="84" t="str">
        <x:v>Completed</x:v>
      </x:c>
      <x:c r="M2090" s="84" t="str">
        <x:v>Mobile Wallet</x:v>
      </x:c>
      <x:c r="N2090" s="84" t="str">
        <x:v>Ethan Cole</x:v>
      </x:c>
      <x:c r="O2090" s="85" t="n">
        <x:v>45962</x:v>
      </x:c>
      <x:c r="P2090" s="84" t="str">
        <x:v>POS_2025_11</x:v>
      </x:c>
      <x:c r="Q2090" s="84" t="str">
        <x:v>Percussion Massage Gun</x:v>
      </x:c>
      <x:c r="R2090" s="84" t="str">
        <x:v>personal care</x:v>
      </x:c>
    </x:row>
    <x:row r="2091">
      <x:c r="A2091" s="84" t="str">
        <x:v>ORD-2025-01854</x:v>
      </x:c>
      <x:c r="B2091" s="85" t="n">
        <x:v>45962</x:v>
      </x:c>
      <x:c r="C2091" s="84" t="str">
        <x:v>CUST-0103</x:v>
      </x:c>
      <x:c r="D2091" s="84" t="str">
        <x:v>Layla Garcia</x:v>
      </x:c>
      <x:c r="E2091" s="84" t="str">
        <x:v>Consumer</x:v>
      </x:c>
      <x:c r="F2091" s="84" t="str">
        <x:v>Southeast</x:v>
      </x:c>
      <x:c r="G2091" s="84" t="str">
        <x:v>Atlanta</x:v>
      </x:c>
      <x:c r="H2091" s="84" t="str">
        <x:v>Retail Store</x:v>
      </x:c>
      <x:c r="I2091" s="84" t="str">
        <x:v>HOME-003</x:v>
      </x:c>
      <x:c r="J2091" s="86" t="n">
        <x:v>1</x:v>
      </x:c>
      <x:c r="K2091" s="87" t="n">
        <x:v>0</x:v>
      </x:c>
      <x:c r="L2091" s="84" t="str">
        <x:v>Returned </x:v>
      </x:c>
      <x:c r="M2091" s="84" t="str">
        <x:v>Mobile Wallet</x:v>
      </x:c>
      <x:c r="N2091" s="84" t="str">
        <x:v>Noah Reed</x:v>
      </x:c>
      <x:c r="O2091" s="85" t="n">
        <x:v>45962</x:v>
      </x:c>
      <x:c r="P2091" s="84" t="str">
        <x:v>POS_2025_11</x:v>
      </x:c>
      <x:c r="Q2091" s="84" t="str">
        <x:v>Countertop Blender</x:v>
      </x:c>
      <x:c r="R2091" s="84" t="str">
        <x:v>Home &amp; Kitchen</x:v>
      </x:c>
    </x:row>
    <x:row r="2092">
      <x:c r="A2092" s="84" t="str">
        <x:v>ORD-2025-01959</x:v>
      </x:c>
      <x:c r="B2092" s="85" t="n">
        <x:v>45962</x:v>
      </x:c>
      <x:c r="C2092" s="84" t="str">
        <x:v>CUST-0128</x:v>
      </x:c>
      <x:c r="D2092" s="84" t="str">
        <x:v>Zara Patel</x:v>
      </x:c>
      <x:c r="E2092" s="84" t="str">
        <x:v>Consumer</x:v>
      </x:c>
      <x:c r="F2092" s="84" t="str">
        <x:v>Midwest</x:v>
      </x:c>
      <x:c r="G2092" s="84" t="str">
        <x:v>Detroit</x:v>
      </x:c>
      <x:c r="H2092" s="84" t="str">
        <x:v>Marketplace</x:v>
      </x:c>
      <x:c r="I2092" s="84" t="str">
        <x:v>ELEC-002</x:v>
      </x:c>
      <x:c r="J2092" s="86" t="n">
        <x:v>1</x:v>
      </x:c>
      <x:c r="K2092" s="87" t="n">
        <x:v>0.05</x:v>
      </x:c>
      <x:c r="L2092" s="84" t="str">
        <x:v>Completed </x:v>
      </x:c>
      <x:c r="M2092" s="84" t="str">
        <x:v>Mobile Wallet</x:v>
      </x:c>
      <x:c r="N2092" s="84" t="str">
        <x:v>Lucas Grant</x:v>
      </x:c>
      <x:c r="O2092" s="85" t="n">
        <x:v>45967</x:v>
      </x:c>
      <x:c r="P2092" s="84" t="str">
        <x:v>MKT_2025_11</x:v>
      </x:c>
      <x:c r="Q2092" s="84" t="str">
        <x:v> SMARTWATCH </x:v>
      </x:c>
      <x:c r="R2092" s="84" t="str">
        <x:v>Electronics</x:v>
      </x:c>
    </x:row>
    <x:row r="2093">
      <x:c r="A2093" s="84" t="str">
        <x:v>ORD-2025-01977</x:v>
      </x:c>
      <x:c r="B2093" s="85" t="n">
        <x:v>45962</x:v>
      </x:c>
      <x:c r="C2093" s="84" t="str">
        <x:v>CUST-0414</x:v>
      </x:c>
      <x:c r="D2093" s="84" t="str">
        <x:v>Aiden Garcia</x:v>
      </x:c>
      <x:c r="E2093" s="84" t="str">
        <x:v>Corporate</x:v>
      </x:c>
      <x:c r="F2093" s="84" t="str">
        <x:v>midwest</x:v>
      </x:c>
      <x:c r="G2093" s="84" t="str">
        <x:v>Minneapolis</x:v>
      </x:c>
      <x:c r="H2093" s="84" t="str">
        <x:v>Online </x:v>
      </x:c>
      <x:c r="I2093" s="84" t="str">
        <x:v>ACCS-006</x:v>
      </x:c>
      <x:c r="J2093" s="86" t="n">
        <x:v>2</x:v>
      </x:c>
      <x:c r="K2093" s="87" t="n">
        <x:v>0</x:v>
      </x:c>
      <x:c r="L2093" s="84" t="str">
        <x:v> COMPLETED </x:v>
      </x:c>
      <x:c r="M2093" s="84" t="str">
        <x:v>Credit Card</x:v>
      </x:c>
      <x:c r="N2093" s="84" t="str">
        <x:v>Lucas Grant</x:v>
      </x:c>
      <x:c r="O2093" s="85" t="n">
        <x:v>45968</x:v>
      </x:c>
      <x:c r="P2093" s="84" t="str">
        <x:v>WEB_2025_11</x:v>
      </x:c>
      <x:c r="Q2093" s="84" t="str">
        <x:v>Insulated Lunch Bag</x:v>
      </x:c>
      <x:c r="R2093" s="84" t="str">
        <x:v>Accessories</x:v>
      </x:c>
    </x:row>
    <x:row r="2094">
      <x:c r="A2094" s="84" t="str">
        <x:v>ORD-2025-02188</x:v>
      </x:c>
      <x:c r="B2094" s="85" t="n">
        <x:v>45962</x:v>
      </x:c>
      <x:c r="C2094" s="84" t="str">
        <x:v>CUST-0279</x:v>
      </x:c>
      <x:c r="D2094" s="84" t="str">
        <x:v>Priya Johnson</x:v>
      </x:c>
      <x:c r="E2094" s="84" t="str">
        <x:v>Consumer</x:v>
      </x:c>
      <x:c r="F2094" s="84" t="str">
        <x:v>West </x:v>
      </x:c>
      <x:c r="G2094" s="84" t="str">
        <x:v>Seattle</x:v>
      </x:c>
      <x:c r="H2094" s="84" t="str">
        <x:v>Marketplace</x:v>
      </x:c>
      <x:c r="I2094" s="84" t="str">
        <x:v>FITN-006</x:v>
      </x:c>
      <x:c r="J2094" s="86" t="n">
        <x:v>1</x:v>
      </x:c>
      <x:c r="K2094" s="87" t="n">
        <x:v>0.1</x:v>
      </x:c>
      <x:c r="L2094" s="84" t="str">
        <x:v>Completed</x:v>
      </x:c>
      <x:c r="M2094" s="84" t="str">
        <x:v>mobile wallet</x:v>
      </x:c>
      <x:c r="N2094" s="84" t="str">
        <x:v>Nora Kim </x:v>
      </x:c>
      <x:c r="O2094" s="85" t="n">
        <x:v>45968</x:v>
      </x:c>
      <x:c r="P2094" s="84" t="str">
        <x:v>MKT_2025_11</x:v>
      </x:c>
      <x:c r="Q2094" s="84" t="str">
        <x:v>Foam Roller</x:v>
      </x:c>
      <x:c r="R2094" s="84" t="str">
        <x:v>Fitness</x:v>
      </x:c>
    </x:row>
    <x:row r="2095">
      <x:c r="A2095" s="84" t="str">
        <x:v>ORD-2025-02202</x:v>
      </x:c>
      <x:c r="B2095" s="85" t="n">
        <x:v>45962</x:v>
      </x:c>
      <x:c r="C2095" s="84" t="str">
        <x:v>CUST-0446</x:v>
      </x:c>
      <x:c r="D2095" s="84" t="str">
        <x:v>Nathan Davis</x:v>
      </x:c>
      <x:c r="E2095" s="84" t="str">
        <x:v>Consumer</x:v>
      </x:c>
      <x:c r="F2095" s="84" t="str">
        <x:v>Southeast </x:v>
      </x:c>
      <x:c r="G2095" s="84" t="str">
        <x:v>Nashville</x:v>
      </x:c>
      <x:c r="H2095" s="84" t="str">
        <x:v>Marketplace</x:v>
      </x:c>
      <x:c r="I2095" s="84" t="str">
        <x:v>FITN-002</x:v>
      </x:c>
      <x:c r="J2095" s="86" t="n">
        <x:v>2</x:v>
      </x:c>
      <x:c r="K2095" s="87" t="n">
        <x:v>0.1</x:v>
      </x:c>
      <x:c r="L2095" s="84" t="str">
        <x:v>Completed</x:v>
      </x:c>
      <x:c r="M2095" s="84" t="str">
        <x:v>Mobile Wallet</x:v>
      </x:c>
      <x:c r="N2095" s="84" t="str">
        <x:v>liam parker</x:v>
      </x:c>
      <x:c r="O2095" s="85" t="n">
        <x:v>45969</x:v>
      </x:c>
      <x:c r="P2095" s="84" t="str">
        <x:v>MKT_2025_11</x:v>
      </x:c>
      <x:c r="Q2095" s="84" t="str">
        <x:v>Adjustable Dumbbell Set</x:v>
      </x:c>
      <x:c r="R2095" s="84" t="str">
        <x:v>Fitness</x:v>
      </x:c>
    </x:row>
    <x:row r="2096">
      <x:c r="A2096" s="84" t="str">
        <x:v>ORD-2025-02326</x:v>
      </x:c>
      <x:c r="B2096" s="85" t="n">
        <x:v>45962</x:v>
      </x:c>
      <x:c r="C2096" s="84" t="str">
        <x:v>CUST-0355</x:v>
      </x:c>
      <x:c r="D2096" s="84" t="str">
        <x:v> CALEB EVANS </x:v>
      </x:c>
      <x:c r="E2096" s="84" t="str">
        <x:v>Consumer</x:v>
      </x:c>
      <x:c r="F2096" s="84" t="str">
        <x:v> NORTHEAST </x:v>
      </x:c>
      <x:c r="G2096" s="84" t="str">
        <x:v>Philadelphia</x:v>
      </x:c>
      <x:c r="H2096" s="84" t="str">
        <x:v>Marketplace</x:v>
      </x:c>
      <x:c r="I2096" s="84" t="str">
        <x:v>ACCS-006</x:v>
      </x:c>
      <x:c r="J2096" s="86" t="n">
        <x:v>2</x:v>
      </x:c>
      <x:c r="K2096" s="87" t="n">
        <x:v>0.2</x:v>
      </x:c>
      <x:c r="L2096" s="84" t="str">
        <x:v>Completed</x:v>
      </x:c>
      <x:c r="M2096" s="84" t="str">
        <x:v>Debit Card</x:v>
      </x:c>
      <x:c r="N2096" s="84" t="str">
        <x:v>Maya Brooks</x:v>
      </x:c>
      <x:c r="O2096" s="85" t="n">
        <x:v>45968</x:v>
      </x:c>
      <x:c r="P2096" s="84" t="str">
        <x:v>MKT_2025_11</x:v>
      </x:c>
      <x:c r="Q2096" s="84" t="str">
        <x:v>Insulated Lunch Bag</x:v>
      </x:c>
      <x:c r="R2096" s="84" t="str">
        <x:v>Accessories </x:v>
      </x:c>
    </x:row>
    <x:row r="2097">
      <x:c r="A2097" s="84" t="str">
        <x:v>ORD-2025-01504</x:v>
      </x:c>
      <x:c r="B2097" s="85" t="n">
        <x:v>45963</x:v>
      </x:c>
      <x:c r="C2097" s="84" t="str">
        <x:v>CUST-0294</x:v>
      </x:c>
      <x:c r="D2097" s="84" t="str">
        <x:v>Aiden Evans</x:v>
      </x:c>
      <x:c r="E2097" s="84" t="str">
        <x:v>Consumer</x:v>
      </x:c>
      <x:c r="F2097" s="84" t="str">
        <x:v>northeast</x:v>
      </x:c>
      <x:c r="G2097" s="84" t="str">
        <x:v>Newark</x:v>
      </x:c>
      <x:c r="H2097" s="84" t="str">
        <x:v>Online</x:v>
      </x:c>
      <x:c r="I2097" s="84" t="str">
        <x:v>OFFC-003</x:v>
      </x:c>
      <x:c r="J2097" s="86" t="n">
        <x:v>1</x:v>
      </x:c>
      <x:c r="K2097" s="87" t="n">
        <x:v>0.05</x:v>
      </x:c>
      <x:c r="L2097" s="84" t="str">
        <x:v>Completed </x:v>
      </x:c>
      <x:c r="M2097" s="84" t="str">
        <x:v>Credit Card</x:v>
      </x:c>
      <x:c r="N2097" s="84" t="str">
        <x:v>Sofia Bennett</x:v>
      </x:c>
      <x:c r="O2097" s="85" t="n">
        <x:v>45969</x:v>
      </x:c>
      <x:c r="P2097" s="84" t="str">
        <x:v>WEB_2025_11</x:v>
      </x:c>
      <x:c r="Q2097" s="84" t="str">
        <x:v>LED Desk Lamp</x:v>
      </x:c>
      <x:c r="R2097" s="84" t="str">
        <x:v>Office</x:v>
      </x:c>
    </x:row>
    <x:row r="2098">
      <x:c r="A2098" s="84" t="str">
        <x:v>ORD-2025-01742</x:v>
      </x:c>
      <x:c r="B2098" s="85" t="n">
        <x:v>45963</x:v>
      </x:c>
      <x:c r="C2098" s="84" t="str">
        <x:v>CUST-0497</x:v>
      </x:c>
      <x:c r="D2098" s="84" t="str">
        <x:v>Theo Foster</x:v>
      </x:c>
      <x:c r="E2098" s="84" t="str">
        <x:v>Consumer</x:v>
      </x:c>
      <x:c r="F2098" s="84" t="str">
        <x:v>Midwest</x:v>
      </x:c>
      <x:c r="G2098" s="84" t="str">
        <x:v>chicago</x:v>
      </x:c>
      <x:c r="H2098" s="84" t="str">
        <x:v>Marketplace</x:v>
      </x:c>
      <x:c r="I2098" s="84" t="str">
        <x:v>ELEC-002</x:v>
      </x:c>
      <x:c r="J2098" s="86" t="n">
        <x:v>1</x:v>
      </x:c>
      <x:c r="K2098" s="87" t="n">
        <x:v>0.15</x:v>
      </x:c>
      <x:c r="L2098" s="84" t="str">
        <x:v>completed</x:v>
      </x:c>
      <x:c r="M2098" s="84" t="str">
        <x:v>Debit Card</x:v>
      </x:c>
      <x:c r="N2098" s="84" t="str">
        <x:v>Emma Hayes</x:v>
      </x:c>
      <x:c r="O2098" s="85" t="n">
        <x:v>45967</x:v>
      </x:c>
      <x:c r="P2098" s="84" t="str">
        <x:v>MKT_2025_11</x:v>
      </x:c>
      <x:c r="Q2098" s="84" t="str">
        <x:v>Smartwatch</x:v>
      </x:c>
      <x:c r="R2098" s="84" t="str">
        <x:v>Electronics</x:v>
      </x:c>
    </x:row>
    <x:row r="2099">
      <x:c r="A2099" s="84" t="str">
        <x:v>ORD-2025-01812</x:v>
      </x:c>
      <x:c r="B2099" s="85" t="n">
        <x:v>45963</x:v>
      </x:c>
      <x:c r="C2099" s="84" t="str">
        <x:v>CUST-0034</x:v>
      </x:c>
      <x:c r="D2099" s="84" t="str">
        <x:v>Priya Roberts</x:v>
      </x:c>
      <x:c r="E2099" s="84" t="str">
        <x:v>Consumer</x:v>
      </x:c>
      <x:c r="F2099" s="84" t="str">
        <x:v>southeast</x:v>
      </x:c>
      <x:c r="G2099" s="84" t="str">
        <x:v> NASHVILLE </x:v>
      </x:c>
      <x:c r="H2099" s="84" t="str">
        <x:v>Retail Store</x:v>
      </x:c>
      <x:c r="I2099" s="84" t="str">
        <x:v>OFFC-004</x:v>
      </x:c>
      <x:c r="J2099" s="86" t="n">
        <x:v>1</x:v>
      </x:c>
      <x:c r="K2099" s="87" t="n">
        <x:v>0.15</x:v>
      </x:c>
      <x:c r="L2099" s="84" t="str">
        <x:v>Completed </x:v>
      </x:c>
      <x:c r="M2099" s="84" t="str">
        <x:v>Cash</x:v>
      </x:c>
      <x:c r="N2099" s="84" t="str">
        <x:v>Ava Mitchell</x:v>
      </x:c>
      <x:c r="O2099" s="85" t="n">
        <x:v>45964</x:v>
      </x:c>
      <x:c r="P2099" s="84" t="str">
        <x:v>POS_2025_11</x:v>
      </x:c>
      <x:c r="Q2099" s="84" t="str">
        <x:v>Premium Notebook Pack</x:v>
      </x:c>
      <x:c r="R2099" s="84" t="str">
        <x:v>Office</x:v>
      </x:c>
    </x:row>
    <x:row r="2100">
      <x:c r="A2100" s="84" t="str">
        <x:v>ORD-2025-02276</x:v>
      </x:c>
      <x:c r="B2100" s="85" t="n">
        <x:v>45963</x:v>
      </x:c>
      <x:c r="C2100" s="84" t="str">
        <x:v>CUST-0606</x:v>
      </x:c>
      <x:c r="D2100" s="84" t="str">
        <x:v>Isaac Taylor</x:v>
      </x:c>
      <x:c r="E2100" s="84" t="str">
        <x:v>Corporate</x:v>
      </x:c>
      <x:c r="F2100" s="84" t="str">
        <x:v>Southeast</x:v>
      </x:c>
      <x:c r="G2100" s="84" t="str">
        <x:v>Charlotte</x:v>
      </x:c>
      <x:c r="H2100" s="84" t="str">
        <x:v>Online</x:v>
      </x:c>
      <x:c r="I2100" s="84" t="str">
        <x:v>HOME-004</x:v>
      </x:c>
      <x:c r="J2100" s="86" t="n">
        <x:v>2</x:v>
      </x:c>
      <x:c r="K2100" s="87" t="n">
        <x:v>0</x:v>
      </x:c>
      <x:c r="L2100" s="84" t="str">
        <x:v>Completed</x:v>
      </x:c>
      <x:c r="M2100" s="84" t="str">
        <x:v>credit card</x:v>
      </x:c>
      <x:c r="N2100" s="84" t="str">
        <x:v>Liam Parker</x:v>
      </x:c>
      <x:c r="O2100" s="85" t="n">
        <x:v>45966</x:v>
      </x:c>
      <x:c r="P2100" s="84" t="str">
        <x:v>WEB_2025_11</x:v>
      </x:c>
      <x:c r="Q2100" s="84" t="str">
        <x:v>Coffee Maker </x:v>
      </x:c>
      <x:c r="R2100" s="84" t="str">
        <x:v> HOME &amp; KITCHEN </x:v>
      </x:c>
    </x:row>
    <x:row r="2101">
      <x:c r="A2101" s="84" t="str">
        <x:v>ORD-2025-02315</x:v>
      </x:c>
      <x:c r="B2101" s="85" t="n">
        <x:v>45963</x:v>
      </x:c>
      <x:c r="C2101" s="84" t="str">
        <x:v>CUST-0097</x:v>
      </x:c>
      <x:c r="D2101" s="84" t="str">
        <x:v>Sara Ortiz </x:v>
      </x:c>
      <x:c r="E2101" s="84" t="str">
        <x:v>Corporate</x:v>
      </x:c>
      <x:c r="F2101" s="84" t="str">
        <x:v>Northeast</x:v>
      </x:c>
      <x:c r="G2101" s="84" t="str">
        <x:v>New York</x:v>
      </x:c>
      <x:c r="H2101" s="84" t="str">
        <x:v>Marketplace</x:v>
      </x:c>
      <x:c r="I2101" s="84" t="str">
        <x:v>OFFC-005</x:v>
      </x:c>
      <x:c r="J2101" s="86" t="n">
        <x:v>2</x:v>
      </x:c>
      <x:c r="K2101" s="87" t="n">
        <x:v>0.1</x:v>
      </x:c>
      <x:c r="L2101" s="84" t="str">
        <x:v>Completed</x:v>
      </x:c>
      <x:c r="M2101" s="84" t="str">
        <x:v>Debit Card </x:v>
      </x:c>
      <x:c r="N2101" s="84" t="str">
        <x:v> MAYA BROOKS </x:v>
      </x:c>
      <x:c r="O2101" s="85" t="n">
        <x:v>45968</x:v>
      </x:c>
      <x:c r="P2101" s="84" t="str">
        <x:v>MKT_2025_11</x:v>
      </x:c>
      <x:c r="Q2101" s="84" t="str">
        <x:v>Wireless Keyboard</x:v>
      </x:c>
      <x:c r="R2101" s="84" t="str">
        <x:v>Office</x:v>
      </x:c>
    </x:row>
    <x:row r="2102">
      <x:c r="A2102" s="84" t="str">
        <x:v>ORD-2025-00388</x:v>
      </x:c>
      <x:c r="B2102" s="85" t="n">
        <x:v>45964</x:v>
      </x:c>
      <x:c r="C2102" s="84" t="str">
        <x:v>CUST-0097</x:v>
      </x:c>
      <x:c r="D2102" s="84" t="str">
        <x:v> SARA ORTIZ </x:v>
      </x:c>
      <x:c r="E2102" s="84" t="str">
        <x:v>Corporate</x:v>
      </x:c>
      <x:c r="F2102" s="84" t="str">
        <x:v> NORTHEAST </x:v>
      </x:c>
      <x:c r="G2102" s="84" t="str">
        <x:v>New York</x:v>
      </x:c>
      <x:c r="H2102" s="84" t="str">
        <x:v>Retail Store </x:v>
      </x:c>
      <x:c r="I2102" s="84" t="str">
        <x:v>FITN-004</x:v>
      </x:c>
      <x:c r="J2102" s="86" t="n">
        <x:v>6</x:v>
      </x:c>
      <x:c r="K2102" s="87" t="n">
        <x:v>0</x:v>
      </x:c>
      <x:c r="L2102" s="84" t="str">
        <x:v>Completed</x:v>
      </x:c>
      <x:c r="M2102" s="84" t="str">
        <x:v>Debit Card</x:v>
      </x:c>
      <x:c r="N2102" s="84" t="str">
        <x:v>Maya Brooks</x:v>
      </x:c>
      <x:c r="O2102" s="85" t="n">
        <x:v>45964</x:v>
      </x:c>
      <x:c r="P2102" s="84" t="str">
        <x:v>POS_2025_11</x:v>
      </x:c>
      <x:c r="Q2102" s="84" t="str">
        <x:v>Fitness Tracker</x:v>
      </x:c>
      <x:c r="R2102" s="84" t="str">
        <x:v>fitness</x:v>
      </x:c>
    </x:row>
    <x:row r="2103">
      <x:c r="A2103" s="84" t="str">
        <x:v>ORD-2025-00893</x:v>
      </x:c>
      <x:c r="B2103" s="85" t="n">
        <x:v>45964</x:v>
      </x:c>
      <x:c r="C2103" s="84" t="str">
        <x:v>CUST-0601</x:v>
      </x:c>
      <x:c r="D2103" s="84" t="str">
        <x:v>Grace Taylor</x:v>
      </x:c>
      <x:c r="E2103" s="84" t="str">
        <x:v>Small Business</x:v>
      </x:c>
      <x:c r="F2103" s="84" t="str">
        <x:v>Northeast </x:v>
      </x:c>
      <x:c r="G2103" s="84" t="str">
        <x:v>Philadelphia</x:v>
      </x:c>
      <x:c r="H2103" s="84" t="str">
        <x:v>Retail Store</x:v>
      </x:c>
      <x:c r="I2103" s="84" t="str">
        <x:v>ELEC-001</x:v>
      </x:c>
      <x:c r="J2103" s="86" t="n">
        <x:v>4</x:v>
      </x:c>
      <x:c r="K2103" s="87" t="n">
        <x:v>0</x:v>
      </x:c>
      <x:c r="L2103" s="84" t="str">
        <x:v>Completed</x:v>
      </x:c>
      <x:c r="M2103" s="84" t="str">
        <x:v>Credit Card</x:v>
      </x:c>
      <x:c r="N2103" s="84" t="str">
        <x:v>ethan cole</x:v>
      </x:c>
      <x:c r="O2103" s="85" t="n">
        <x:v>45965</x:v>
      </x:c>
      <x:c r="P2103" s="84" t="str">
        <x:v>POS_2025_11</x:v>
      </x:c>
      <x:c r="Q2103" s="84" t="str">
        <x:v>Wireless Earbuds</x:v>
      </x:c>
      <x:c r="R2103" s="84" t="str">
        <x:v>Electronics</x:v>
      </x:c>
    </x:row>
    <x:row r="2104">
      <x:c r="A2104" s="84" t="str">
        <x:v>ORD-2025-01034</x:v>
      </x:c>
      <x:c r="B2104" s="85" t="n">
        <x:v>45964</x:v>
      </x:c>
      <x:c r="C2104" s="84" t="str">
        <x:v>CUST-0058</x:v>
      </x:c>
      <x:c r="D2104" s="84" t="str">
        <x:v> ZARA EVANS </x:v>
      </x:c>
      <x:c r="E2104" s="84" t="str">
        <x:v>consumer</x:v>
      </x:c>
      <x:c r="F2104" s="84" t="str">
        <x:v> MIDWEST </x:v>
      </x:c>
      <x:c r="G2104" s="84" t="str">
        <x:v>Chicago</x:v>
      </x:c>
      <x:c r="H2104" s="84" t="str">
        <x:v>retail store</x:v>
      </x:c>
      <x:c r="I2104" s="84" t="str">
        <x:v>ACCS-005</x:v>
      </x:c>
      <x:c r="J2104" s="86" t="n">
        <x:v>1</x:v>
      </x:c>
      <x:c r="K2104" s="87" t="n">
        <x:v>0</x:v>
      </x:c>
      <x:c r="L2104" s="84" t="str">
        <x:v>Completed</x:v>
      </x:c>
      <x:c r="M2104" s="84" t="str">
        <x:v>Credit Card </x:v>
      </x:c>
      <x:c r="N2104" s="84" t="str">
        <x:v>Emma Hayes</x:v>
      </x:c>
      <x:c r="O2104" s="85" t="n">
        <x:v>45964</x:v>
      </x:c>
      <x:c r="P2104" s="84" t="str">
        <x:v>POS_2025_11</x:v>
      </x:c>
      <x:c r="Q2104" s="84" t="str">
        <x:v>Protective Phone Case</x:v>
      </x:c>
      <x:c r="R2104" s="84" t="str">
        <x:v>Accessories</x:v>
      </x:c>
    </x:row>
    <x:row r="2105">
      <x:c r="A2105" s="84" t="str">
        <x:v>ORD-2025-01143</x:v>
      </x:c>
      <x:c r="B2105" s="85" t="n">
        <x:v>45964</x:v>
      </x:c>
      <x:c r="C2105" s="84" t="str">
        <x:v>CUST-0628</x:v>
      </x:c>
      <x:c r="D2105" s="84" t="str">
        <x:v>Isaac Young</x:v>
      </x:c>
      <x:c r="E2105" s="84" t="str">
        <x:v>Small Business</x:v>
      </x:c>
      <x:c r="F2105" s="84" t="str">
        <x:v>West</x:v>
      </x:c>
      <x:c r="G2105" s="84" t="str">
        <x:v>Denver</x:v>
      </x:c>
      <x:c r="H2105" s="84" t="str">
        <x:v>Retail Store</x:v>
      </x:c>
      <x:c r="I2105" s="84" t="str">
        <x:v>HOME-002</x:v>
      </x:c>
      <x:c r="J2105" s="86" t="n">
        <x:v>1</x:v>
      </x:c>
      <x:c r="K2105" s="87" t="n">
        <x:v>0</x:v>
      </x:c>
      <x:c r="L2105" s="84" t="str">
        <x:v>Completed</x:v>
      </x:c>
      <x:c r="M2105" s="84" t="str">
        <x:v>credit card</x:v>
      </x:c>
      <x:c r="N2105" s="84" t="str">
        <x:v>Nora Kim</x:v>
      </x:c>
      <x:c r="O2105" s="85" t="n">
        <x:v>45964</x:v>
      </x:c>
      <x:c r="P2105" s="84" t="str">
        <x:v>POS_2025_11</x:v>
      </x:c>
      <x:c r="Q2105" s="84" t="str">
        <x:v> ELECTRIC KETTLE </x:v>
      </x:c>
      <x:c r="R2105" s="84" t="str">
        <x:v>Home &amp; Kitchen </x:v>
      </x:c>
    </x:row>
    <x:row r="2106">
      <x:c r="A2106" s="84" t="str">
        <x:v>ORD-2025-01318</x:v>
      </x:c>
      <x:c r="B2106" s="85" t="n">
        <x:v>45964</x:v>
      </x:c>
      <x:c r="C2106" s="84" t="str">
        <x:v>CUST-0096</x:v>
      </x:c>
      <x:c r="D2106" s="84" t="str">
        <x:v>Nina Irwin</x:v>
      </x:c>
      <x:c r="E2106" s="84" t="str">
        <x:v>Consumer</x:v>
      </x:c>
      <x:c r="F2106" s="84" t="str">
        <x:v>Southeast</x:v>
      </x:c>
      <x:c r="G2106" s="84" t="str">
        <x:v>Miami</x:v>
      </x:c>
      <x:c r="H2106" s="84" t="str">
        <x:v>Marketplace</x:v>
      </x:c>
      <x:c r="I2106" s="84" t="str">
        <x:v>HOME-005</x:v>
      </x:c>
      <x:c r="J2106" s="86" t="n">
        <x:v>3</x:v>
      </x:c>
      <x:c r="K2106" s="87" t="n">
        <x:v>0</x:v>
      </x:c>
      <x:c r="L2106" s="84" t="str">
        <x:v>Completed</x:v>
      </x:c>
      <x:c r="M2106" s="84" t="str">
        <x:v>PayPal</x:v>
      </x:c>
      <x:c r="N2106" s="84" t="str">
        <x:v>Liam Parker</x:v>
      </x:c>
      <x:c r="O2106" s="85" t="n">
        <x:v>45968</x:v>
      </x:c>
      <x:c r="P2106" s="84" t="str">
        <x:v>MKT_2025_11</x:v>
      </x:c>
      <x:c r="Q2106" s="84" t="str">
        <x:v>cordless vacuum</x:v>
      </x:c>
      <x:c r="R2106" s="84" t="str">
        <x:v>Home &amp; Kitchen </x:v>
      </x:c>
    </x:row>
    <x:row r="2107">
      <x:c r="A2107" s="84" t="str">
        <x:v>ORD-2025-01556</x:v>
      </x:c>
      <x:c r="B2107" s="85" t="n">
        <x:v>45964</x:v>
      </x:c>
      <x:c r="C2107" s="84" t="str">
        <x:v>CUST-0325</x:v>
      </x:c>
      <x:c r="D2107" s="84" t="str">
        <x:v>Caleb Baker</x:v>
      </x:c>
      <x:c r="E2107" s="84" t="str">
        <x:v>Small Business</x:v>
      </x:c>
      <x:c r="F2107" s="84" t="str">
        <x:v>West</x:v>
      </x:c>
      <x:c r="G2107" s="84" t="str">
        <x:v>Phoenix</x:v>
      </x:c>
      <x:c r="H2107" s="84" t="str">
        <x:v>Marketplace</x:v>
      </x:c>
      <x:c r="I2107" s="84" t="str">
        <x:v>ELEC-003</x:v>
      </x:c>
      <x:c r="J2107" s="86" t="n">
        <x:v>1</x:v>
      </x:c>
      <x:c r="K2107" s="87" t="n">
        <x:v>0</x:v>
      </x:c>
      <x:c r="L2107" s="84" t="str">
        <x:v>Completed</x:v>
      </x:c>
      <x:c r="M2107" s="84" t="str">
        <x:v>Debit Card</x:v>
      </x:c>
      <x:c r="N2107" s="84" t="str">
        <x:v>Leo Martinez</x:v>
      </x:c>
      <x:c r="O2107" s="85" t="n">
        <x:v>45969</x:v>
      </x:c>
      <x:c r="P2107" s="84" t="str">
        <x:v>MKT_2025_11</x:v>
      </x:c>
      <x:c r="Q2107" s="84" t="str">
        <x:v>Bluetooth Speaker</x:v>
      </x:c>
      <x:c r="R2107" s="84" t="str">
        <x:v>Electronics </x:v>
      </x:c>
    </x:row>
    <x:row r="2108">
      <x:c r="A2108" s="84" t="str">
        <x:v>ORD-2025-01670</x:v>
      </x:c>
      <x:c r="B2108" s="85" t="n">
        <x:v>45964</x:v>
      </x:c>
      <x:c r="C2108" s="84" t="str">
        <x:v>CUST-0047</x:v>
      </x:c>
      <x:c r="D2108" s="84" t="str">
        <x:v>Isaac Adams</x:v>
      </x:c>
      <x:c r="E2108" s="84" t="str">
        <x:v>Consumer</x:v>
      </x:c>
      <x:c r="F2108" s="84" t="str">
        <x:v>Southeast </x:v>
      </x:c>
      <x:c r="G2108" s="84" t="str">
        <x:v>Nashville</x:v>
      </x:c>
      <x:c r="H2108" s="84" t="str">
        <x:v>Marketplace</x:v>
      </x:c>
      <x:c r="I2108" s="84" t="str">
        <x:v>ELEC-002</x:v>
      </x:c>
      <x:c r="J2108" s="86" t="n">
        <x:v>1</x:v>
      </x:c>
      <x:c r="K2108" s="87" t="n">
        <x:v>0.15</x:v>
      </x:c>
      <x:c r="L2108" s="84" t="str">
        <x:v>Completed</x:v>
      </x:c>
      <x:c r="M2108" s="84" t="str">
        <x:v>Mobile Wallet</x:v>
      </x:c>
      <x:c r="N2108" s="84" t="str">
        <x:v>Ava Mitchell </x:v>
      </x:c>
      <x:c r="O2108" s="85" t="n">
        <x:v>45967</x:v>
      </x:c>
      <x:c r="P2108" s="84" t="str">
        <x:v>MKT_2025_11</x:v>
      </x:c>
      <x:c r="Q2108" s="84" t="str">
        <x:v> SMARTWATCH </x:v>
      </x:c>
      <x:c r="R2108" s="84" t="str">
        <x:v>Electronics</x:v>
      </x:c>
    </x:row>
    <x:row r="2109">
      <x:c r="A2109" s="84" t="str">
        <x:v>ORD-2025-02351</x:v>
      </x:c>
      <x:c r="B2109" s="85" t="n">
        <x:v>45964</x:v>
      </x:c>
      <x:c r="C2109" s="84" t="str">
        <x:v>CUST-0253</x:v>
      </x:c>
      <x:c r="D2109" s="84" t="str">
        <x:v>Caleb Quinn</x:v>
      </x:c>
      <x:c r="E2109" s="84" t="str">
        <x:v>Corporate</x:v>
      </x:c>
      <x:c r="F2109" s="84" t="str">
        <x:v>midwest</x:v>
      </x:c>
      <x:c r="G2109" s="84" t="str">
        <x:v>Chicago</x:v>
      </x:c>
      <x:c r="H2109" s="84" t="str">
        <x:v>Retail Store</x:v>
      </x:c>
      <x:c r="I2109" s="84" t="str">
        <x:v>ACCS-005</x:v>
      </x:c>
      <x:c r="J2109" s="86" t="n">
        <x:v>5</x:v>
      </x:c>
      <x:c r="K2109" s="87" t="n">
        <x:v>0</x:v>
      </x:c>
      <x:c r="L2109" s="84" t="str">
        <x:v> COMPLETED </x:v>
      </x:c>
      <x:c r="M2109" s="84" t="str">
        <x:v>Credit Card</x:v>
      </x:c>
      <x:c r="N2109" s="84" t="str">
        <x:v>Emma Hayes</x:v>
      </x:c>
      <x:c r="O2109" s="85" t="n">
        <x:v>45964</x:v>
      </x:c>
      <x:c r="P2109" s="84" t="str">
        <x:v>POS_2025_11</x:v>
      </x:c>
      <x:c r="Q2109" s="84" t="str">
        <x:v>Protective Phone Case</x:v>
      </x:c>
      <x:c r="R2109" s="84" t="str">
        <x:v>Accessories</x:v>
      </x:c>
    </x:row>
    <x:row r="2110">
      <x:c r="A2110" s="84" t="str">
        <x:v>ORD-2025-00200</x:v>
      </x:c>
      <x:c r="B2110" s="85" t="n">
        <x:v>45965</x:v>
      </x:c>
      <x:c r="C2110" s="84" t="str">
        <x:v>CUST-0357</x:v>
      </x:c>
      <x:c r="D2110" s="84" t="str">
        <x:v>Priya Baker</x:v>
      </x:c>
      <x:c r="E2110" s="84" t="str">
        <x:v>Consumer</x:v>
      </x:c>
      <x:c r="F2110" s="84" t="str">
        <x:v>Southeast </x:v>
      </x:c>
      <x:c r="G2110" s="84" t="str">
        <x:v>Atlanta</x:v>
      </x:c>
      <x:c r="H2110" s="84" t="str">
        <x:v>Online</x:v>
      </x:c>
      <x:c r="I2110" s="84" t="str">
        <x:v>OFFC-002</x:v>
      </x:c>
      <x:c r="J2110" s="86" t="n">
        <x:v>1</x:v>
      </x:c>
      <x:c r="K2110" s="87" t="n">
        <x:v>0.1</x:v>
      </x:c>
      <x:c r="L2110" s="84" t="str">
        <x:v>Completed</x:v>
      </x:c>
      <x:c r="M2110" s="84" t="str">
        <x:v>Mobile Wallet</x:v>
      </x:c>
      <x:c r="N2110" s="84" t="str">
        <x:v>ava mitchell</x:v>
      </x:c>
      <x:c r="O2110" s="85" t="n">
        <x:v>45968</x:v>
      </x:c>
      <x:c r="P2110" s="84" t="str">
        <x:v>WEB_2025_11</x:v>
      </x:c>
      <x:c r="Q2110" s="84" t="str">
        <x:v>Standing Desk</x:v>
      </x:c>
      <x:c r="R2110" s="84" t="str">
        <x:v>Office</x:v>
      </x:c>
    </x:row>
    <x:row r="2111">
      <x:c r="A2111" s="84" t="str">
        <x:v>ORD-2025-01502</x:v>
      </x:c>
      <x:c r="B2111" s="85" t="n">
        <x:v>45965</x:v>
      </x:c>
      <x:c r="C2111" s="84" t="str">
        <x:v>CUST-0241</x:v>
      </x:c>
      <x:c r="D2111" s="84" t="str">
        <x:v>Maya Young</x:v>
      </x:c>
      <x:c r="E2111" s="84" t="str">
        <x:v>Small Business</x:v>
      </x:c>
      <x:c r="F2111" s="84" t="str">
        <x:v>Southeast </x:v>
      </x:c>
      <x:c r="G2111" s="84" t="str">
        <x:v>Atlanta</x:v>
      </x:c>
      <x:c r="H2111" s="84" t="str">
        <x:v> RETAIL STORE </x:v>
      </x:c>
      <x:c r="I2111" s="84" t="str">
        <x:v>OFFC-004</x:v>
      </x:c>
      <x:c r="J2111" s="86" t="n">
        <x:v>1</x:v>
      </x:c>
      <x:c r="K2111" s="87" t="n">
        <x:v>0</x:v>
      </x:c>
      <x:c r="L2111" s="84" t="str">
        <x:v>Completed</x:v>
      </x:c>
      <x:c r="M2111" s="84" t="str">
        <x:v>Mobile Wallet</x:v>
      </x:c>
      <x:c r="N2111" s="84" t="str">
        <x:v>Liam Parker </x:v>
      </x:c>
      <x:c r="O2111" s="85" t="n">
        <x:v>45965</x:v>
      </x:c>
      <x:c r="P2111" s="84" t="str">
        <x:v>POS_2025_11</x:v>
      </x:c>
      <x:c r="Q2111" s="84" t="str">
        <x:v>Premium Notebook Pack</x:v>
      </x:c>
      <x:c r="R2111" s="84" t="str">
        <x:v>Office</x:v>
      </x:c>
    </x:row>
    <x:row r="2112">
      <x:c r="A2112" s="84" t="str">
        <x:v>ORD-2025-02004</x:v>
      </x:c>
      <x:c r="B2112" s="85" t="n">
        <x:v>45965</x:v>
      </x:c>
      <x:c r="C2112" s="84" t="str">
        <x:v>CUST-0025</x:v>
      </x:c>
      <x:c r="D2112" s="84" t="str">
        <x:v>William Young</x:v>
      </x:c>
      <x:c r="E2112" s="84" t="str">
        <x:v>Consumer</x:v>
      </x:c>
      <x:c r="F2112" s="84" t="str">
        <x:v>Southeast</x:v>
      </x:c>
      <x:c r="G2112" s="84" t="str">
        <x:v>Atlanta</x:v>
      </x:c>
      <x:c r="H2112" s="84" t="str">
        <x:v>Retail Store</x:v>
      </x:c>
      <x:c r="I2112" s="84" t="str">
        <x:v>ELEC-002</x:v>
      </x:c>
      <x:c r="J2112" s="86" t="n">
        <x:v>1</x:v>
      </x:c>
      <x:c r="K2112" s="87" t="n">
        <x:v>0.15</x:v>
      </x:c>
      <x:c r="L2112" s="84" t="str">
        <x:v>Completed</x:v>
      </x:c>
      <x:c r="M2112" s="84" t="str">
        <x:v>Credit Card</x:v>
      </x:c>
      <x:c r="N2112" s="84" t="str">
        <x:v>liam parker</x:v>
      </x:c>
      <x:c r="O2112" s="85" t="n">
        <x:v>45965</x:v>
      </x:c>
      <x:c r="P2112" s="84" t="str">
        <x:v>POS_2025_11</x:v>
      </x:c>
      <x:c r="Q2112" s="84" t="str">
        <x:v>Smartwatch</x:v>
      </x:c>
      <x:c r="R2112" s="84" t="str">
        <x:v> ELECTRONICS </x:v>
      </x:c>
    </x:row>
    <x:row r="2113">
      <x:c r="A2113" s="84" t="str">
        <x:v>ORD-2025-02212</x:v>
      </x:c>
      <x:c r="B2113" s="85" t="n">
        <x:v>45965</x:v>
      </x:c>
      <x:c r="C2113" s="84" t="str">
        <x:v>CUST-0344</x:v>
      </x:c>
      <x:c r="D2113" s="84" t="str">
        <x:v>Elena Quinn</x:v>
      </x:c>
      <x:c r="E2113" s="84" t="str">
        <x:v>Small Business </x:v>
      </x:c>
      <x:c r="F2113" s="84" t="str">
        <x:v>Northeast</x:v>
      </x:c>
      <x:c r="G2113" s="84" t="str">
        <x:v>Newark </x:v>
      </x:c>
      <x:c r="H2113" s="84" t="str">
        <x:v>Online</x:v>
      </x:c>
      <x:c r="I2113" s="84" t="str">
        <x:v>ELEC-003</x:v>
      </x:c>
      <x:c r="J2113" s="86" t="n">
        <x:v>2</x:v>
      </x:c>
      <x:c r="K2113" s="87" t="n">
        <x:v>0</x:v>
      </x:c>
      <x:c r="L2113" s="84" t="str">
        <x:v>Completed</x:v>
      </x:c>
      <x:c r="M2113" s="84" t="str">
        <x:v>Debit Card</x:v>
      </x:c>
      <x:c r="N2113" s="84" t="str">
        <x:v>Sofia Bennett</x:v>
      </x:c>
      <x:c r="O2113" s="85" t="n">
        <x:v>45969</x:v>
      </x:c>
      <x:c r="P2113" s="84" t="str">
        <x:v>WEB_2025_11</x:v>
      </x:c>
      <x:c r="Q2113" s="84" t="str">
        <x:v>Bluetooth Speaker</x:v>
      </x:c>
      <x:c r="R2113" s="84" t="str">
        <x:v>Electronics</x:v>
      </x:c>
    </x:row>
    <x:row r="2114">
      <x:c r="A2114" s="84" t="str">
        <x:v>ORD-2025-00476</x:v>
      </x:c>
      <x:c r="B2114" s="85" t="n">
        <x:v>45966</x:v>
      </x:c>
      <x:c r="C2114" s="84" t="str">
        <x:v>CUST-0618</x:v>
      </x:c>
      <x:c r="D2114" s="84" t="str">
        <x:v>Layla Nelson</x:v>
      </x:c>
      <x:c r="E2114" s="84" t="str">
        <x:v> CONSUMER </x:v>
      </x:c>
      <x:c r="F2114" s="84" t="str">
        <x:v>Northeast</x:v>
      </x:c>
      <x:c r="G2114" s="84" t="str">
        <x:v>Philadelphia </x:v>
      </x:c>
      <x:c r="H2114" s="84" t="str">
        <x:v>Online</x:v>
      </x:c>
      <x:c r="I2114" s="84" t="str">
        <x:v>ELEC-004</x:v>
      </x:c>
      <x:c r="J2114" s="86" t="n">
        <x:v>2</x:v>
      </x:c>
      <x:c r="K2114" s="87" t="n">
        <x:v>0.2</x:v>
      </x:c>
      <x:c r="L2114" s="84" t="str">
        <x:v>Completed</x:v>
      </x:c>
      <x:c r="M2114" s="84" t="str">
        <x:v>Debit Card</x:v>
      </x:c>
      <x:c r="N2114" s="84" t="str">
        <x:v>Maya Brooks</x:v>
      </x:c>
      <x:c r="O2114" s="85" t="n">
        <x:v>45969</x:v>
      </x:c>
      <x:c r="P2114" s="84" t="str">
        <x:v>WEB_2025_11</x:v>
      </x:c>
      <x:c r="Q2114" s="84" t="str">
        <x:v>Power Bank</x:v>
      </x:c>
      <x:c r="R2114" s="84" t="str">
        <x:v>electronics</x:v>
      </x:c>
    </x:row>
    <x:row r="2115">
      <x:c r="A2115" s="84" t="str">
        <x:v>ORD-2025-00483</x:v>
      </x:c>
      <x:c r="B2115" s="85" t="n">
        <x:v>45966</x:v>
      </x:c>
      <x:c r="C2115" s="84" t="str">
        <x:v>CUST-0310</x:v>
      </x:c>
      <x:c r="D2115" s="84" t="str">
        <x:v>Marcus Patel</x:v>
      </x:c>
      <x:c r="E2115" s="84" t="str">
        <x:v>Consumer </x:v>
      </x:c>
      <x:c r="F2115" s="84" t="str">
        <x:v>Midwest</x:v>
      </x:c>
      <x:c r="G2115" s="84" t="str">
        <x:v>Columbus </x:v>
      </x:c>
      <x:c r="H2115" s="84" t="str">
        <x:v>Online</x:v>
      </x:c>
      <x:c r="I2115" s="84" t="str">
        <x:v>ACCS-003</x:v>
      </x:c>
      <x:c r="J2115" s="86" t="n">
        <x:v>1</x:v>
      </x:c>
      <x:c r="K2115" s="87" t="n">
        <x:v>0.1</x:v>
      </x:c>
      <x:c r="L2115" s="84" t="str">
        <x:v>Completed</x:v>
      </x:c>
      <x:c r="M2115" s="84" t="str">
        <x:v>mobile wallet</x:v>
      </x:c>
      <x:c r="N2115" s="84" t="str">
        <x:v>Lucas Grant</x:v>
      </x:c>
      <x:c r="O2115" s="85" t="n">
        <x:v>45969</x:v>
      </x:c>
      <x:c r="P2115" s="84" t="str">
        <x:v>WEB_2025_11</x:v>
      </x:c>
      <x:c r="Q2115" s="84" t="str">
        <x:v>Polarized Sunglasses</x:v>
      </x:c>
      <x:c r="R2115" s="84" t="str">
        <x:v>Accessories</x:v>
      </x:c>
    </x:row>
    <x:row r="2116">
      <x:c r="A2116" s="84" t="str">
        <x:v>ORD-2025-00843</x:v>
      </x:c>
      <x:c r="B2116" s="85" t="n">
        <x:v>45966</x:v>
      </x:c>
      <x:c r="C2116" s="84" t="str">
        <x:v>CUST-0397</x:v>
      </x:c>
      <x:c r="D2116" s="84" t="str">
        <x:v>amelia baker</x:v>
      </x:c>
      <x:c r="E2116" s="84" t="str">
        <x:v>Corporate</x:v>
      </x:c>
      <x:c r="F2116" s="84" t="str">
        <x:v>Northeast</x:v>
      </x:c>
      <x:c r="G2116" s="84" t="str">
        <x:v> NEWARK </x:v>
      </x:c>
      <x:c r="H2116" s="84" t="str">
        <x:v>Online </x:v>
      </x:c>
      <x:c r="I2116" s="84" t="str">
        <x:v>ELEC-006</x:v>
      </x:c>
      <x:c r="J2116" s="86" t="n">
        <x:v>4</x:v>
      </x:c>
      <x:c r="K2116" s="87" t="n">
        <x:v>0.1</x:v>
      </x:c>
      <x:c r="L2116" s="84" t="str">
        <x:v>Returned</x:v>
      </x:c>
      <x:c r="M2116" s="84" t="str">
        <x:v>Mobile Wallet</x:v>
      </x:c>
      <x:c r="N2116" s="84" t="str">
        <x:v>Sofia Bennett</x:v>
      </x:c>
      <x:c r="O2116" s="85" t="n">
        <x:v>45971</x:v>
      </x:c>
      <x:c r="P2116" s="84" t="str">
        <x:v>WEB_2025_11</x:v>
      </x:c>
      <x:c r="Q2116" s="84" t="str">
        <x:v>Portable SSD</x:v>
      </x:c>
      <x:c r="R2116" s="84" t="str">
        <x:v>Electronics</x:v>
      </x:c>
    </x:row>
    <x:row r="2117">
      <x:c r="A2117" s="84" t="str">
        <x:v>ORD-2025-00943</x:v>
      </x:c>
      <x:c r="B2117" s="85" t="n">
        <x:v>45966</x:v>
      </x:c>
      <x:c r="C2117" s="84" t="str">
        <x:v>CUST-0153</x:v>
      </x:c>
      <x:c r="D2117" s="84" t="str">
        <x:v>Marcus Evans </x:v>
      </x:c>
      <x:c r="E2117" s="84" t="str">
        <x:v>Corporate</x:v>
      </x:c>
      <x:c r="F2117" s="84" t="str">
        <x:v>northeast</x:v>
      </x:c>
      <x:c r="G2117" s="84" t="str">
        <x:v>Philadelphia</x:v>
      </x:c>
      <x:c r="H2117" s="84" t="str">
        <x:v>Retail Store</x:v>
      </x:c>
      <x:c r="I2117" s="84" t="str">
        <x:v>HOME-005</x:v>
      </x:c>
      <x:c r="J2117" s="86" t="n">
        <x:v>4</x:v>
      </x:c>
      <x:c r="K2117" s="87" t="n">
        <x:v>0.15</x:v>
      </x:c>
      <x:c r="L2117" s="84" t="str">
        <x:v>Completed</x:v>
      </x:c>
      <x:c r="M2117" s="84" t="str">
        <x:v>Credit Card </x:v>
      </x:c>
      <x:c r="N2117" s="84" t="str">
        <x:v>Ethan Cole</x:v>
      </x:c>
      <x:c r="O2117" s="85" t="n">
        <x:v>45966</x:v>
      </x:c>
      <x:c r="P2117" s="84" t="str">
        <x:v>POS_2025_11</x:v>
      </x:c>
      <x:c r="Q2117" s="84" t="str">
        <x:v>Cordless Vacuum</x:v>
      </x:c>
      <x:c r="R2117" s="84" t="str">
        <x:v>Home &amp; Kitchen</x:v>
      </x:c>
    </x:row>
    <x:row r="2118">
      <x:c r="A2118" s="84" t="str">
        <x:v>ORD-2025-02250</x:v>
      </x:c>
      <x:c r="B2118" s="85" t="n">
        <x:v>45966</x:v>
      </x:c>
      <x:c r="C2118" s="84" t="str">
        <x:v>CUST-0016</x:v>
      </x:c>
      <x:c r="D2118" s="84" t="str">
        <x:v>Jonah Young</x:v>
      </x:c>
      <x:c r="E2118" s="84" t="str">
        <x:v>Consumer</x:v>
      </x:c>
      <x:c r="F2118" s="84" t="str">
        <x:v>Northeast</x:v>
      </x:c>
      <x:c r="G2118" s="84" t="str">
        <x:v>New York</x:v>
      </x:c>
      <x:c r="H2118" s="84" t="str">
        <x:v> ONLINE </x:v>
      </x:c>
      <x:c r="I2118" s="84" t="str">
        <x:v>FITN-001</x:v>
      </x:c>
      <x:c r="J2118" s="86" t="n">
        <x:v>2</x:v>
      </x:c>
      <x:c r="K2118" s="87" t="n">
        <x:v>0.15</x:v>
      </x:c>
      <x:c r="L2118" s="84" t="str">
        <x:v>Completed</x:v>
      </x:c>
      <x:c r="M2118" s="84" t="str">
        <x:v>Credit Card</x:v>
      </x:c>
      <x:c r="N2118" s="84" t="str">
        <x:v>Ethan Cole</x:v>
      </x:c>
      <x:c r="O2118" s="85" t="n">
        <x:v>45971</x:v>
      </x:c>
      <x:c r="P2118" s="84" t="str">
        <x:v>WEB_2025_11</x:v>
      </x:c>
      <x:c r="Q2118" s="84" t="str">
        <x:v>Yoga Mat</x:v>
      </x:c>
      <x:c r="R2118" s="84" t="str">
        <x:v>Fitness</x:v>
      </x:c>
    </x:row>
    <x:row r="2119">
      <x:c r="A2119" s="84" t="str">
        <x:v>ORD-2025-00591</x:v>
      </x:c>
      <x:c r="B2119" s="85" t="n">
        <x:v>45967</x:v>
      </x:c>
      <x:c r="C2119" s="84" t="str">
        <x:v>CUST-0343</x:v>
      </x:c>
      <x:c r="D2119" s="84" t="str">
        <x:v>Elias Hall</x:v>
      </x:c>
      <x:c r="E2119" s="84" t="str">
        <x:v>Consumer</x:v>
      </x:c>
      <x:c r="F2119" s="84" t="str">
        <x:v>northeast</x:v>
      </x:c>
      <x:c r="G2119" s="84" t="str">
        <x:v>Philadelphia</x:v>
      </x:c>
      <x:c r="H2119" s="84" t="str">
        <x:v>Retail Store </x:v>
      </x:c>
      <x:c r="I2119" s="84" t="str">
        <x:v>FITN-004</x:v>
      </x:c>
      <x:c r="J2119" s="86" t="n">
        <x:v>1</x:v>
      </x:c>
      <x:c r="K2119" s="87" t="n">
        <x:v>0.05</x:v>
      </x:c>
      <x:c r="L2119" s="84" t="str">
        <x:v>Completed</x:v>
      </x:c>
      <x:c r="M2119" s="84" t="str">
        <x:v>Credit Card</x:v>
      </x:c>
      <x:c r="N2119" s="84" t="str">
        <x:v>Ethan Cole</x:v>
      </x:c>
      <x:c r="O2119" s="85" t="n">
        <x:v>45967</x:v>
      </x:c>
      <x:c r="P2119" s="84" t="str">
        <x:v>POS_2025_11</x:v>
      </x:c>
      <x:c r="Q2119" s="84" t="str">
        <x:v>Fitness Tracker</x:v>
      </x:c>
      <x:c r="R2119" s="84" t="str">
        <x:v>Fitness</x:v>
      </x:c>
    </x:row>
    <x:row r="2120">
      <x:c r="A2120" s="84" t="str">
        <x:v>ORD-2025-01037</x:v>
      </x:c>
      <x:c r="B2120" s="85" t="n">
        <x:v>45967</x:v>
      </x:c>
      <x:c r="C2120" s="84" t="str">
        <x:v>CUST-0359</x:v>
      </x:c>
      <x:c r="D2120" s="84" t="str">
        <x:v>Daniel Hall</x:v>
      </x:c>
      <x:c r="E2120" s="84" t="str"/>
      <x:c r="F2120" s="84" t="str">
        <x:v>West</x:v>
      </x:c>
      <x:c r="G2120" s="84" t="str">
        <x:v>Seattle</x:v>
      </x:c>
      <x:c r="H2120" s="84" t="str">
        <x:v>Online</x:v>
      </x:c>
      <x:c r="I2120" s="84" t="str">
        <x:v>FITN-005</x:v>
      </x:c>
      <x:c r="J2120" s="86" t="n">
        <x:v>1</x:v>
      </x:c>
      <x:c r="K2120" s="87" t="n">
        <x:v>0.15</x:v>
      </x:c>
      <x:c r="L2120" s="84" t="str">
        <x:v>Completed</x:v>
      </x:c>
      <x:c r="M2120" s="84" t="str">
        <x:v>Credit Card</x:v>
      </x:c>
      <x:c r="N2120" s="84" t="str">
        <x:v>Mia Chen</x:v>
      </x:c>
      <x:c r="O2120" s="85" t="n">
        <x:v>45970</x:v>
      </x:c>
      <x:c r="P2120" s="84" t="str">
        <x:v>WEB_2025_11</x:v>
      </x:c>
      <x:c r="Q2120" s="84" t="str">
        <x:v>Sports Water Bottle </x:v>
      </x:c>
      <x:c r="R2120" s="84" t="str">
        <x:v>fitness</x:v>
      </x:c>
    </x:row>
    <x:row r="2121">
      <x:c r="A2121" s="84" t="str">
        <x:v>ORD-2025-01239</x:v>
      </x:c>
      <x:c r="B2121" s="85" t="n">
        <x:v>45967</x:v>
      </x:c>
      <x:c r="C2121" s="84" t="str">
        <x:v>CUST-0400</x:v>
      </x:c>
      <x:c r="D2121" s="84" t="str">
        <x:v>amelia nelson</x:v>
      </x:c>
      <x:c r="E2121" s="84" t="str">
        <x:v>Consumer </x:v>
      </x:c>
      <x:c r="F2121" s="84" t="str">
        <x:v>Southeast</x:v>
      </x:c>
      <x:c r="G2121" s="84" t="str">
        <x:v>Nashville </x:v>
      </x:c>
      <x:c r="H2121" s="84" t="str">
        <x:v>Marketplace</x:v>
      </x:c>
      <x:c r="I2121" s="84" t="str">
        <x:v>OFFC-001</x:v>
      </x:c>
      <x:c r="J2121" s="86" t="n">
        <x:v>2</x:v>
      </x:c>
      <x:c r="K2121" s="87" t="n">
        <x:v>0.05</x:v>
      </x:c>
      <x:c r="L2121" s="84" t="str">
        <x:v>Completed</x:v>
      </x:c>
      <x:c r="M2121" s="84" t="str">
        <x:v>Credit Card</x:v>
      </x:c>
      <x:c r="N2121" s="84" t="str">
        <x:v>Ava Mitchell</x:v>
      </x:c>
      <x:c r="O2121" s="85" t="n">
        <x:v>45974</x:v>
      </x:c>
      <x:c r="P2121" s="84" t="str">
        <x:v>MKT_2025_11</x:v>
      </x:c>
      <x:c r="Q2121" s="84" t="str">
        <x:v>Ergonomic Chair</x:v>
      </x:c>
      <x:c r="R2121" s="84" t="str">
        <x:v> OFFICE </x:v>
      </x:c>
    </x:row>
    <x:row r="2122">
      <x:c r="A2122" s="84" t="str">
        <x:v>ORD-2025-01301</x:v>
      </x:c>
      <x:c r="B2122" s="85" t="n">
        <x:v>45967</x:v>
      </x:c>
      <x:c r="C2122" s="84" t="str">
        <x:v>CUST-0150</x:v>
      </x:c>
      <x:c r="D2122" s="84" t="str">
        <x:v>Aiden Carter</x:v>
      </x:c>
      <x:c r="E2122" s="84" t="str">
        <x:v>Consumer</x:v>
      </x:c>
      <x:c r="F2122" s="84" t="str">
        <x:v>Southeast</x:v>
      </x:c>
      <x:c r="G2122" s="84" t="str">
        <x:v>Atlanta</x:v>
      </x:c>
      <x:c r="H2122" s="84" t="str">
        <x:v>Online</x:v>
      </x:c>
      <x:c r="I2122" s="84" t="str">
        <x:v>ACCS-003</x:v>
      </x:c>
      <x:c r="J2122" s="86" t="n">
        <x:v>2</x:v>
      </x:c>
      <x:c r="K2122" s="87" t="n">
        <x:v>0.05</x:v>
      </x:c>
      <x:c r="L2122" s="84" t="str">
        <x:v>Completed </x:v>
      </x:c>
      <x:c r="M2122" s="84" t="str">
        <x:v>Credit Card</x:v>
      </x:c>
      <x:c r="N2122" s="84" t="str">
        <x:v>Ava Mitchell</x:v>
      </x:c>
      <x:c r="O2122" s="85" t="n">
        <x:v>45970</x:v>
      </x:c>
      <x:c r="P2122" s="84" t="str">
        <x:v>WEB_2025_11</x:v>
      </x:c>
      <x:c r="Q2122" s="84" t="str">
        <x:v>Polarized Sunglasses</x:v>
      </x:c>
      <x:c r="R2122" s="84" t="str">
        <x:v>accessories</x:v>
      </x:c>
    </x:row>
    <x:row r="2123">
      <x:c r="A2123" s="84" t="str">
        <x:v>ORD-2025-01561</x:v>
      </x:c>
      <x:c r="B2123" s="85" t="n">
        <x:v>45967</x:v>
      </x:c>
      <x:c r="C2123" s="84" t="str">
        <x:v>CUST-0436</x:v>
      </x:c>
      <x:c r="D2123" s="84" t="str">
        <x:v> NATHAN HALL </x:v>
      </x:c>
      <x:c r="E2123" s="84" t="str">
        <x:v>Consumer </x:v>
      </x:c>
      <x:c r="F2123" s="84" t="str">
        <x:v> WEST </x:v>
      </x:c>
      <x:c r="G2123" s="84" t="str">
        <x:v>Phoenix </x:v>
      </x:c>
      <x:c r="H2123" s="84" t="str">
        <x:v>Online</x:v>
      </x:c>
      <x:c r="I2123" s="84" t="str">
        <x:v>CARE-002</x:v>
      </x:c>
      <x:c r="J2123" s="86" t="n">
        <x:v>1</x:v>
      </x:c>
      <x:c r="K2123" s="87" t="n">
        <x:v>0</x:v>
      </x:c>
      <x:c r="L2123" s="84" t="str">
        <x:v>Returned</x:v>
      </x:c>
      <x:c r="M2123" s="84" t="str">
        <x:v>debit card</x:v>
      </x:c>
      <x:c r="N2123" s="84" t="str">
        <x:v>Leo Martinez</x:v>
      </x:c>
      <x:c r="O2123" s="85" t="n">
        <x:v>45971</x:v>
      </x:c>
      <x:c r="P2123" s="84" t="str">
        <x:v>WEB_2025_11</x:v>
      </x:c>
      <x:c r="Q2123" s="84" t="str">
        <x:v>Rechargeable Trimmer</x:v>
      </x:c>
      <x:c r="R2123" s="84" t="str">
        <x:v>Personal Care</x:v>
      </x:c>
    </x:row>
    <x:row r="2124">
      <x:c r="A2124" s="84" t="str">
        <x:v>ORD-2025-02150</x:v>
      </x:c>
      <x:c r="B2124" s="85" t="n">
        <x:v>45967</x:v>
      </x:c>
      <x:c r="C2124" s="84" t="str">
        <x:v>CUST-0588</x:v>
      </x:c>
      <x:c r="D2124" s="84" t="str">
        <x:v>Nathan Johnson</x:v>
      </x:c>
      <x:c r="E2124" s="84" t="str">
        <x:v>Consumer</x:v>
      </x:c>
      <x:c r="F2124" s="84" t="str">
        <x:v>Midwest</x:v>
      </x:c>
      <x:c r="G2124" s="84" t="str">
        <x:v>Detroit</x:v>
      </x:c>
      <x:c r="H2124" s="84" t="str">
        <x:v>Marketplace</x:v>
      </x:c>
      <x:c r="I2124" s="84" t="str">
        <x:v>ELEC-004</x:v>
      </x:c>
      <x:c r="J2124" s="86" t="n">
        <x:v>1</x:v>
      </x:c>
      <x:c r="K2124" s="87" t="n">
        <x:v>0.15</x:v>
      </x:c>
      <x:c r="L2124" s="84" t="str">
        <x:v>Completed</x:v>
      </x:c>
      <x:c r="M2124" s="84" t="str">
        <x:v>PayPal</x:v>
      </x:c>
      <x:c r="N2124" s="84" t="str">
        <x:v>Lucas Grant</x:v>
      </x:c>
      <x:c r="O2124" s="85" t="n">
        <x:v>45970</x:v>
      </x:c>
      <x:c r="P2124" s="84" t="str">
        <x:v>MKT_2025_11</x:v>
      </x:c>
      <x:c r="Q2124" s="84" t="str">
        <x:v>Power Bank </x:v>
      </x:c>
      <x:c r="R2124" s="84" t="str">
        <x:v>Electronics</x:v>
      </x:c>
    </x:row>
    <x:row r="2125">
      <x:c r="A2125" s="84" t="str">
        <x:v>ORD-2025-02229</x:v>
      </x:c>
      <x:c r="B2125" s="85" t="n">
        <x:v>45967</x:v>
      </x:c>
      <x:c r="C2125" s="84" t="str">
        <x:v>CUST-0631</x:v>
      </x:c>
      <x:c r="D2125" s="84" t="str">
        <x:v>amelia adams</x:v>
      </x:c>
      <x:c r="E2125" s="84" t="str">
        <x:v>Consumer</x:v>
      </x:c>
      <x:c r="F2125" s="84" t="str">
        <x:v>Midwest</x:v>
      </x:c>
      <x:c r="G2125" s="84" t="str">
        <x:v>Minneapolis</x:v>
      </x:c>
      <x:c r="H2125" s="84" t="str">
        <x:v>Online </x:v>
      </x:c>
      <x:c r="I2125" s="84" t="str">
        <x:v>OFFC-004</x:v>
      </x:c>
      <x:c r="J2125" s="86" t="n">
        <x:v>1</x:v>
      </x:c>
      <x:c r="K2125" s="87" t="n">
        <x:v>0</x:v>
      </x:c>
      <x:c r="L2125" s="84" t="str">
        <x:v>Completed</x:v>
      </x:c>
      <x:c r="M2125" s="84" t="str">
        <x:v>Credit Card</x:v>
      </x:c>
      <x:c r="N2125" s="84" t="str">
        <x:v>Emma Hayes</x:v>
      </x:c>
      <x:c r="O2125" s="85" t="n">
        <x:v>45971</x:v>
      </x:c>
      <x:c r="P2125" s="84" t="str">
        <x:v>WEB_2025_11</x:v>
      </x:c>
      <x:c r="Q2125" s="84" t="str">
        <x:v>Premium Notebook Pack</x:v>
      </x:c>
      <x:c r="R2125" s="84" t="str">
        <x:v>Office</x:v>
      </x:c>
    </x:row>
    <x:row r="2126">
      <x:c r="A2126" s="84" t="str">
        <x:v>ORD-2025-02310</x:v>
      </x:c>
      <x:c r="B2126" s="85" t="n">
        <x:v>45967</x:v>
      </x:c>
      <x:c r="C2126" s="84" t="str">
        <x:v>CUST-0495</x:v>
      </x:c>
      <x:c r="D2126" s="84" t="str">
        <x:v>Victoria Walker</x:v>
      </x:c>
      <x:c r="E2126" s="84" t="str">
        <x:v>consumer</x:v>
      </x:c>
      <x:c r="F2126" s="84" t="str">
        <x:v>West</x:v>
      </x:c>
      <x:c r="G2126" s="84" t="str">
        <x:v>Denver </x:v>
      </x:c>
      <x:c r="H2126" s="84" t="str">
        <x:v>retail store</x:v>
      </x:c>
      <x:c r="I2126" s="84" t="str">
        <x:v>FITN-006</x:v>
      </x:c>
      <x:c r="J2126" s="86" t="n">
        <x:v>4</x:v>
      </x:c>
      <x:c r="K2126" s="87" t="n">
        <x:v>0</x:v>
      </x:c>
      <x:c r="L2126" s="84" t="str">
        <x:v>Completed</x:v>
      </x:c>
      <x:c r="M2126" s="84" t="str">
        <x:v>Cash</x:v>
      </x:c>
      <x:c r="N2126" s="84" t="str">
        <x:v>Nora Kim</x:v>
      </x:c>
      <x:c r="O2126" s="85" t="n">
        <x:v>45967</x:v>
      </x:c>
      <x:c r="P2126" s="84" t="str">
        <x:v>POS_2025_11</x:v>
      </x:c>
      <x:c r="Q2126" s="84" t="str">
        <x:v>Foam Roller</x:v>
      </x:c>
      <x:c r="R2126" s="84" t="str">
        <x:v> FITNESS </x:v>
      </x:c>
    </x:row>
    <x:row r="2127">
      <x:c r="A2127" s="84" t="str">
        <x:v>ORD-2025-00234</x:v>
      </x:c>
      <x:c r="B2127" s="85" t="n">
        <x:v>45968</x:v>
      </x:c>
      <x:c r="C2127" s="84" t="str">
        <x:v>CUST-0417</x:v>
      </x:c>
      <x:c r="D2127" s="84" t="str">
        <x:v>Amelia Evans</x:v>
      </x:c>
      <x:c r="E2127" s="84" t="str">
        <x:v>Consumer</x:v>
      </x:c>
      <x:c r="F2127" s="84" t="str">
        <x:v>Northeast</x:v>
      </x:c>
      <x:c r="G2127" s="84" t="str">
        <x:v>Boston</x:v>
      </x:c>
      <x:c r="H2127" s="84" t="str">
        <x:v>Online </x:v>
      </x:c>
      <x:c r="I2127" s="84" t="str">
        <x:v>HOME-001</x:v>
      </x:c>
      <x:c r="J2127" s="86" t="n">
        <x:v>1</x:v>
      </x:c>
      <x:c r="K2127" s="87" t="n">
        <x:v>0</x:v>
      </x:c>
      <x:c r="L2127" s="84" t="str">
        <x:v>Completed</x:v>
      </x:c>
      <x:c r="M2127" s="84" t="str">
        <x:v>Debit Card</x:v>
      </x:c>
      <x:c r="N2127" s="84" t="str">
        <x:v>Ethan Cole</x:v>
      </x:c>
      <x:c r="O2127" s="85" t="n">
        <x:v>45972</x:v>
      </x:c>
      <x:c r="P2127" s="84" t="str">
        <x:v>WEB_2025_11</x:v>
      </x:c>
      <x:c r="Q2127" s="84" t="str">
        <x:v>Air Fryer</x:v>
      </x:c>
      <x:c r="R2127" s="84" t="str">
        <x:v>home &amp; kitchen</x:v>
      </x:c>
    </x:row>
    <x:row r="2128">
      <x:c r="A2128" s="84" t="str">
        <x:v>ORD-2025-00404</x:v>
      </x:c>
      <x:c r="B2128" s="85" t="n">
        <x:v>45968</x:v>
      </x:c>
      <x:c r="C2128" s="84" t="str">
        <x:v>CUST-0377</x:v>
      </x:c>
      <x:c r="D2128" s="84" t="str">
        <x:v>Owen Adams </x:v>
      </x:c>
      <x:c r="E2128" s="84" t="str">
        <x:v>Consumer</x:v>
      </x:c>
      <x:c r="F2128" s="84" t="str">
        <x:v>northeast</x:v>
      </x:c>
      <x:c r="G2128" s="84" t="str">
        <x:v>Boston</x:v>
      </x:c>
      <x:c r="H2128" s="84" t="str">
        <x:v>Retail Store</x:v>
      </x:c>
      <x:c r="I2128" s="84" t="str">
        <x:v>FITN-003</x:v>
      </x:c>
      <x:c r="J2128" s="86" t="n">
        <x:v>2</x:v>
      </x:c>
      <x:c r="K2128" s="87" t="n">
        <x:v>0.1</x:v>
      </x:c>
      <x:c r="L2128" s="84" t="str">
        <x:v>Completed</x:v>
      </x:c>
      <x:c r="M2128" s="84" t="str">
        <x:v>Cash </x:v>
      </x:c>
      <x:c r="N2128" s="84" t="str">
        <x:v>Ethan Cole</x:v>
      </x:c>
      <x:c r="O2128" s="85" t="n">
        <x:v>45969</x:v>
      </x:c>
      <x:c r="P2128" s="84" t="str">
        <x:v>POS_2025_11</x:v>
      </x:c>
      <x:c r="Q2128" s="84" t="str">
        <x:v>Resistance Band Set</x:v>
      </x:c>
      <x:c r="R2128" s="84" t="str">
        <x:v>Fitness</x:v>
      </x:c>
    </x:row>
    <x:row r="2129">
      <x:c r="A2129" s="84" t="str">
        <x:v>ORD-2025-01311</x:v>
      </x:c>
      <x:c r="B2129" s="85" t="n">
        <x:v>45968</x:v>
      </x:c>
      <x:c r="C2129" s="84" t="str">
        <x:v>CUST-0564</x:v>
      </x:c>
      <x:c r="D2129" s="84" t="str">
        <x:v>Amelia Khan</x:v>
      </x:c>
      <x:c r="E2129" s="84" t="str">
        <x:v>Corporate</x:v>
      </x:c>
      <x:c r="F2129" s="84" t="str">
        <x:v>Southeast</x:v>
      </x:c>
      <x:c r="G2129" s="84" t="str">
        <x:v>Miami</x:v>
      </x:c>
      <x:c r="H2129" s="84" t="str">
        <x:v>Online</x:v>
      </x:c>
      <x:c r="I2129" s="84" t="str">
        <x:v>OFFC-003</x:v>
      </x:c>
      <x:c r="J2129" s="86" t="n">
        <x:v>3</x:v>
      </x:c>
      <x:c r="K2129" s="87" t="n">
        <x:v>0.2</x:v>
      </x:c>
      <x:c r="L2129" s="84" t="str">
        <x:v>Completed</x:v>
      </x:c>
      <x:c r="M2129" s="84" t="str">
        <x:v>PayPal</x:v>
      </x:c>
      <x:c r="N2129" s="84" t="str">
        <x:v>noah reed</x:v>
      </x:c>
      <x:c r="O2129" s="85" t="n">
        <x:v>45971</x:v>
      </x:c>
      <x:c r="P2129" s="84" t="str">
        <x:v>WEB_2025_11</x:v>
      </x:c>
      <x:c r="Q2129" s="84" t="str">
        <x:v>LED Desk Lamp</x:v>
      </x:c>
      <x:c r="R2129" s="84" t="str">
        <x:v>Office </x:v>
      </x:c>
    </x:row>
    <x:row r="2130">
      <x:c r="A2130" s="84" t="str">
        <x:v>ORD-2025-01970</x:v>
      </x:c>
      <x:c r="B2130" s="85" t="n">
        <x:v>45968</x:v>
      </x:c>
      <x:c r="C2130" s="84" t="str">
        <x:v>CUST-0225</x:v>
      </x:c>
      <x:c r="D2130" s="84" t="str">
        <x:v>Sara Ortiz</x:v>
      </x:c>
      <x:c r="E2130" s="84" t="str">
        <x:v>Small Business</x:v>
      </x:c>
      <x:c r="F2130" s="84" t="str">
        <x:v>Southeast</x:v>
      </x:c>
      <x:c r="G2130" s="84" t="str">
        <x:v>Atlanta</x:v>
      </x:c>
      <x:c r="H2130" s="84" t="str">
        <x:v>Online </x:v>
      </x:c>
      <x:c r="I2130" s="84" t="str">
        <x:v>ELEC-005</x:v>
      </x:c>
      <x:c r="J2130" s="86" t="n">
        <x:v>2</x:v>
      </x:c>
      <x:c r="K2130" s="87" t="n">
        <x:v>0.2</x:v>
      </x:c>
      <x:c r="L2130" s="84" t="str">
        <x:v>Completed</x:v>
      </x:c>
      <x:c r="M2130" s="84" t="str">
        <x:v>Credit Card</x:v>
      </x:c>
      <x:c r="N2130" s="84" t="str">
        <x:v>Ava Mitchell</x:v>
      </x:c>
      <x:c r="O2130" s="85" t="n">
        <x:v>45972</x:v>
      </x:c>
      <x:c r="P2130" s="84" t="str">
        <x:v>WEB_2025_11</x:v>
      </x:c>
      <x:c r="Q2130" s="84" t="str">
        <x:v>HD Webcam</x:v>
      </x:c>
      <x:c r="R2130" s="84" t="str">
        <x:v> ELECTRONICS </x:v>
      </x:c>
    </x:row>
    <x:row r="2131">
      <x:c r="A2131" s="84" t="str">
        <x:v>ORD-2025-02026</x:v>
      </x:c>
      <x:c r="B2131" s="85" t="n">
        <x:v>45968</x:v>
      </x:c>
      <x:c r="C2131" s="84" t="str">
        <x:v>CUST-0048</x:v>
      </x:c>
      <x:c r="D2131" s="84" t="str">
        <x:v>Nathan Walker</x:v>
      </x:c>
      <x:c r="E2131" s="84" t="str">
        <x:v>Consumer</x:v>
      </x:c>
      <x:c r="F2131" s="84" t="str">
        <x:v>West</x:v>
      </x:c>
      <x:c r="G2131" s="84" t="str">
        <x:v>Denver</x:v>
      </x:c>
      <x:c r="H2131" s="84" t="str">
        <x:v>Retail Store </x:v>
      </x:c>
      <x:c r="I2131" s="84" t="str">
        <x:v>CARE-005</x:v>
      </x:c>
      <x:c r="J2131" s="86" t="n">
        <x:v>1</x:v>
      </x:c>
      <x:c r="K2131" s="87" t="n">
        <x:v>0.1</x:v>
      </x:c>
      <x:c r="L2131" s="84" t="str">
        <x:v>Completed</x:v>
      </x:c>
      <x:c r="M2131" s="84" t="str">
        <x:v>Debit Card</x:v>
      </x:c>
      <x:c r="N2131" s="84" t="str">
        <x:v> MIA CHEN </x:v>
      </x:c>
      <x:c r="O2131" s="85" t="n">
        <x:v>45968</x:v>
      </x:c>
      <x:c r="P2131" s="84" t="str">
        <x:v>POS_2025_11</x:v>
      </x:c>
      <x:c r="Q2131" s="84" t="str">
        <x:v>Skin Care Starter Kit</x:v>
      </x:c>
      <x:c r="R2131" s="84" t="str">
        <x:v>Personal Care</x:v>
      </x:c>
    </x:row>
    <x:row r="2132">
      <x:c r="A2132" s="84" t="str">
        <x:v>ORD-2025-02070</x:v>
      </x:c>
      <x:c r="B2132" s="85" t="n">
        <x:v>45968</x:v>
      </x:c>
      <x:c r="C2132" s="84" t="str">
        <x:v>CUST-0016</x:v>
      </x:c>
      <x:c r="D2132" s="84" t="str">
        <x:v>Jonah Young </x:v>
      </x:c>
      <x:c r="E2132" s="84" t="str">
        <x:v>Consumer</x:v>
      </x:c>
      <x:c r="F2132" s="84" t="str">
        <x:v>Northeast</x:v>
      </x:c>
      <x:c r="G2132" s="84" t="str">
        <x:v>New York</x:v>
      </x:c>
      <x:c r="H2132" s="84" t="str">
        <x:v>Online</x:v>
      </x:c>
      <x:c r="I2132" s="84" t="str">
        <x:v>ELEC-005</x:v>
      </x:c>
      <x:c r="J2132" s="86" t="n">
        <x:v>2</x:v>
      </x:c>
      <x:c r="K2132" s="87" t="n">
        <x:v>0.1</x:v>
      </x:c>
      <x:c r="L2132" s="84" t="str">
        <x:v>Completed</x:v>
      </x:c>
      <x:c r="M2132" s="84" t="str">
        <x:v>Debit Card </x:v>
      </x:c>
      <x:c r="N2132" s="84" t="str">
        <x:v>ethan cole</x:v>
      </x:c>
      <x:c r="O2132" s="85" t="n">
        <x:v>45970</x:v>
      </x:c>
      <x:c r="P2132" s="84" t="str">
        <x:v>WEB_2025_11</x:v>
      </x:c>
      <x:c r="Q2132" s="84" t="str">
        <x:v>HD Webcam</x:v>
      </x:c>
      <x:c r="R2132" s="84" t="str">
        <x:v>Electronics</x:v>
      </x:c>
    </x:row>
    <x:row r="2133">
      <x:c r="A2133" s="84" t="str">
        <x:v>ORD-2025-00090</x:v>
      </x:c>
      <x:c r="B2133" s="85" t="n">
        <x:v>45969</x:v>
      </x:c>
      <x:c r="C2133" s="84" t="str">
        <x:v>CUST-0398</x:v>
      </x:c>
      <x:c r="D2133" s="84" t="str">
        <x:v>Daniel Baker</x:v>
      </x:c>
      <x:c r="E2133" s="84" t="str">
        <x:v>Consumer</x:v>
      </x:c>
      <x:c r="F2133" s="84" t="str">
        <x:v>Northeast</x:v>
      </x:c>
      <x:c r="G2133" s="84" t="str">
        <x:v>New York</x:v>
      </x:c>
      <x:c r="H2133" s="84" t="str">
        <x:v>Retail Store</x:v>
      </x:c>
      <x:c r="I2133" s="84" t="str">
        <x:v>ELEC-005</x:v>
      </x:c>
      <x:c r="J2133" s="86" t="n">
        <x:v>1</x:v>
      </x:c>
      <x:c r="K2133" s="87" t="n">
        <x:v>0.05</x:v>
      </x:c>
      <x:c r="L2133" s="84" t="str">
        <x:v> COMPLETED </x:v>
      </x:c>
      <x:c r="M2133" s="84" t="str">
        <x:v>Credit Card</x:v>
      </x:c>
      <x:c r="N2133" s="84" t="str">
        <x:v>maya brooks</x:v>
      </x:c>
      <x:c r="O2133" s="85" t="n">
        <x:v>45969</x:v>
      </x:c>
      <x:c r="P2133" s="84" t="str">
        <x:v>POS_2025_11</x:v>
      </x:c>
      <x:c r="Q2133" s="84" t="str">
        <x:v>HD Webcam</x:v>
      </x:c>
      <x:c r="R2133" s="84" t="str">
        <x:v>Electronics</x:v>
      </x:c>
    </x:row>
    <x:row r="2134">
      <x:c r="A2134" s="84" t="str">
        <x:v>ORD-2025-00443</x:v>
      </x:c>
      <x:c r="B2134" s="85" t="n">
        <x:v>45969</x:v>
      </x:c>
      <x:c r="C2134" s="84" t="str">
        <x:v>CUST-0415</x:v>
      </x:c>
      <x:c r="D2134" s="84" t="str">
        <x:v>Zara Foster</x:v>
      </x:c>
      <x:c r="E2134" s="84" t="str">
        <x:v>Corporate</x:v>
      </x:c>
      <x:c r="F2134" s="84" t="str">
        <x:v>Southeast</x:v>
      </x:c>
      <x:c r="G2134" s="84" t="str">
        <x:v>Charlotte</x:v>
      </x:c>
      <x:c r="H2134" s="84" t="str">
        <x:v>Marketplace</x:v>
      </x:c>
      <x:c r="I2134" s="84" t="str">
        <x:v>ELEC-006</x:v>
      </x:c>
      <x:c r="J2134" s="86" t="n">
        <x:v>2</x:v>
      </x:c>
      <x:c r="K2134" s="87" t="n">
        <x:v>0.05</x:v>
      </x:c>
      <x:c r="L2134" s="84" t="str">
        <x:v>Completed</x:v>
      </x:c>
      <x:c r="M2134" s="84" t="str">
        <x:v>Mobile Wallet</x:v>
      </x:c>
      <x:c r="N2134" s="84" t="str">
        <x:v>Noah Reed</x:v>
      </x:c>
      <x:c r="O2134" s="85" t="n">
        <x:v>45975</x:v>
      </x:c>
      <x:c r="P2134" s="84" t="str">
        <x:v>MKT_2025_11</x:v>
      </x:c>
      <x:c r="Q2134" s="84" t="str">
        <x:v>Portable SSD</x:v>
      </x:c>
      <x:c r="R2134" s="84" t="str">
        <x:v>electronics</x:v>
      </x:c>
    </x:row>
    <x:row r="2135">
      <x:c r="A2135" s="84" t="str">
        <x:v>ORD-2025-00596</x:v>
      </x:c>
      <x:c r="B2135" s="85" t="n">
        <x:v>45969</x:v>
      </x:c>
      <x:c r="C2135" s="84" t="str">
        <x:v>CUST-0010</x:v>
      </x:c>
      <x:c r="D2135" s="84" t="str">
        <x:v>Nathan Taylor</x:v>
      </x:c>
      <x:c r="E2135" s="84" t="str">
        <x:v>Consumer</x:v>
      </x:c>
      <x:c r="F2135" s="84" t="str">
        <x:v>Midwest</x:v>
      </x:c>
      <x:c r="G2135" s="84" t="str">
        <x:v>Minneapolis</x:v>
      </x:c>
      <x:c r="H2135" s="84" t="str">
        <x:v>Retail Store</x:v>
      </x:c>
      <x:c r="I2135" s="84" t="str">
        <x:v>FITN-002</x:v>
      </x:c>
      <x:c r="J2135" s="86" t="n">
        <x:v>1</x:v>
      </x:c>
      <x:c r="K2135" s="87" t="n">
        <x:v>0.2</x:v>
      </x:c>
      <x:c r="L2135" s="84" t="str">
        <x:v>Returned</x:v>
      </x:c>
      <x:c r="M2135" s="84" t="str">
        <x:v>Cash</x:v>
      </x:c>
      <x:c r="N2135" s="84" t="str">
        <x:v>emma hayes</x:v>
      </x:c>
      <x:c r="O2135" s="85" t="n">
        <x:v>45969</x:v>
      </x:c>
      <x:c r="P2135" s="84" t="str">
        <x:v>POS_2025_11</x:v>
      </x:c>
      <x:c r="Q2135" s="84" t="str">
        <x:v>Adjustable Dumbbell Set </x:v>
      </x:c>
      <x:c r="R2135" s="84" t="str">
        <x:v>Fitness</x:v>
      </x:c>
    </x:row>
    <x:row r="2136">
      <x:c r="A2136" s="84" t="str">
        <x:v>ORD-2025-00729</x:v>
      </x:c>
      <x:c r="B2136" s="85" t="n">
        <x:v>45969</x:v>
      </x:c>
      <x:c r="C2136" s="84" t="str">
        <x:v>CUST-0551</x:v>
      </x:c>
      <x:c r="D2136" s="84" t="str">
        <x:v>Isaac Johnson</x:v>
      </x:c>
      <x:c r="E2136" s="84" t="str">
        <x:v>Consumer</x:v>
      </x:c>
      <x:c r="F2136" s="84" t="str">
        <x:v>Southeast</x:v>
      </x:c>
      <x:c r="G2136" s="84" t="str">
        <x:v>Atlanta</x:v>
      </x:c>
      <x:c r="H2136" s="84" t="str">
        <x:v>Retail Store</x:v>
      </x:c>
      <x:c r="I2136" s="84" t="str">
        <x:v>CARE-003</x:v>
      </x:c>
      <x:c r="J2136" s="86" t="n">
        <x:v>1</x:v>
      </x:c>
      <x:c r="K2136" s="87" t="n">
        <x:v>0.05</x:v>
      </x:c>
      <x:c r="L2136" s="84" t="str">
        <x:v>Completed</x:v>
      </x:c>
      <x:c r="M2136" s="84" t="str">
        <x:v>Credit Card</x:v>
      </x:c>
      <x:c r="N2136" s="84" t="str">
        <x:v>Liam Parker</x:v>
      </x:c>
      <x:c r="O2136" s="85" t="n">
        <x:v>45969</x:v>
      </x:c>
      <x:c r="P2136" s="84" t="str">
        <x:v>POS_2025_11</x:v>
      </x:c>
      <x:c r="Q2136" s="84" t="str">
        <x:v>Facial Cleanser </x:v>
      </x:c>
      <x:c r="R2136" s="84" t="str">
        <x:v> PERSONAL CARE </x:v>
      </x:c>
    </x:row>
    <x:row r="2137">
      <x:c r="A2137" s="84" t="str">
        <x:v>ORD-2025-00792</x:v>
      </x:c>
      <x:c r="B2137" s="85" t="n">
        <x:v>45969</x:v>
      </x:c>
      <x:c r="C2137" s="84" t="str">
        <x:v>CUST-0356</x:v>
      </x:c>
      <x:c r="D2137" s="84" t="str">
        <x:v>Grace Davis</x:v>
      </x:c>
      <x:c r="E2137" s="84" t="str">
        <x:v>consumer</x:v>
      </x:c>
      <x:c r="F2137" s="84" t="str">
        <x:v>Northeast</x:v>
      </x:c>
      <x:c r="G2137" s="84" t="str">
        <x:v> PHILADELPHIA </x:v>
      </x:c>
      <x:c r="H2137" s="84" t="str">
        <x:v>online</x:v>
      </x:c>
      <x:c r="I2137" s="84" t="str">
        <x:v>ELEC-006</x:v>
      </x:c>
      <x:c r="J2137" s="86" t="n">
        <x:v>2</x:v>
      </x:c>
      <x:c r="K2137" s="87" t="n">
        <x:v>0.05</x:v>
      </x:c>
      <x:c r="L2137" s="84" t="str">
        <x:v>Completed</x:v>
      </x:c>
      <x:c r="M2137" s="84" t="str">
        <x:v>Credit Card</x:v>
      </x:c>
      <x:c r="N2137" s="84" t="str">
        <x:v>Maya Brooks</x:v>
      </x:c>
      <x:c r="O2137" s="85" t="n">
        <x:v>45973</x:v>
      </x:c>
      <x:c r="P2137" s="84" t="str">
        <x:v>WEB_2025_11</x:v>
      </x:c>
      <x:c r="Q2137" s="84" t="str">
        <x:v>Portable SSD </x:v>
      </x:c>
      <x:c r="R2137" s="84" t="str">
        <x:v>Electronics</x:v>
      </x:c>
    </x:row>
    <x:row r="2138">
      <x:c r="A2138" s="84" t="str">
        <x:v>ORD-2025-01091</x:v>
      </x:c>
      <x:c r="B2138" s="85" t="n">
        <x:v>45969</x:v>
      </x:c>
      <x:c r="C2138" s="84" t="str">
        <x:v>CUST-0190</x:v>
      </x:c>
      <x:c r="D2138" s="84" t="str">
        <x:v>Samuel Evans</x:v>
      </x:c>
      <x:c r="E2138" s="84" t="str">
        <x:v>Consumer</x:v>
      </x:c>
      <x:c r="F2138" s="84" t="str">
        <x:v>Midwest</x:v>
      </x:c>
      <x:c r="G2138" s="84" t="str">
        <x:v>Detroit</x:v>
      </x:c>
      <x:c r="H2138" s="84" t="str">
        <x:v>Marketplace</x:v>
      </x:c>
      <x:c r="I2138" s="84" t="str">
        <x:v>ACCS-003</x:v>
      </x:c>
      <x:c r="J2138" s="86" t="n">
        <x:v>2</x:v>
      </x:c>
      <x:c r="K2138" s="87" t="n">
        <x:v>0.1</x:v>
      </x:c>
      <x:c r="L2138" s="84" t="str">
        <x:v>Completed </x:v>
      </x:c>
      <x:c r="M2138" s="84" t="str">
        <x:v>Credit Card</x:v>
      </x:c>
      <x:c r="N2138" s="84" t="str">
        <x:v> LUCAS GRANT </x:v>
      </x:c>
      <x:c r="O2138" s="85" t="n">
        <x:v>45976</x:v>
      </x:c>
      <x:c r="P2138" s="84" t="str">
        <x:v>MKT_2025_11</x:v>
      </x:c>
      <x:c r="Q2138" s="84" t="str">
        <x:v>Polarized Sunglasses</x:v>
      </x:c>
      <x:c r="R2138" s="84" t="str">
        <x:v>Accessories</x:v>
      </x:c>
    </x:row>
    <x:row r="2139">
      <x:c r="A2139" s="84" t="str">
        <x:v>ORD-2025-01794</x:v>
      </x:c>
      <x:c r="B2139" s="85" t="n">
        <x:v>45969</x:v>
      </x:c>
      <x:c r="C2139" s="84" t="str">
        <x:v>CUST-0061</x:v>
      </x:c>
      <x:c r="D2139" s="84" t="str">
        <x:v>Aiden Adams</x:v>
      </x:c>
      <x:c r="E2139" s="84" t="str">
        <x:v>Consumer</x:v>
      </x:c>
      <x:c r="F2139" s="84" t="str">
        <x:v>West</x:v>
      </x:c>
      <x:c r="G2139" s="84" t="str">
        <x:v>Denver</x:v>
      </x:c>
      <x:c r="H2139" s="84" t="str">
        <x:v>Online</x:v>
      </x:c>
      <x:c r="I2139" s="84" t="str">
        <x:v>ACCS-002</x:v>
      </x:c>
      <x:c r="J2139" s="86" t="n">
        <x:v>1</x:v>
      </x:c>
      <x:c r="K2139" s="87" t="n">
        <x:v>0.2</x:v>
      </x:c>
      <x:c r="L2139" s="84" t="str">
        <x:v>Completed</x:v>
      </x:c>
      <x:c r="M2139" s="84" t="str">
        <x:v>Debit Card</x:v>
      </x:c>
      <x:c r="N2139" s="84" t="str">
        <x:v>Nora Kim</x:v>
      </x:c>
      <x:c r="O2139" s="85" t="n">
        <x:v>45974</x:v>
      </x:c>
      <x:c r="P2139" s="84" t="str">
        <x:v>WEB_2025_11</x:v>
      </x:c>
      <x:c r="Q2139" s="84" t="str">
        <x:v>Travel Backpack</x:v>
      </x:c>
      <x:c r="R2139" s="84" t="str">
        <x:v>Accessories </x:v>
      </x:c>
    </x:row>
    <x:row r="2140">
      <x:c r="A2140" s="84" t="str">
        <x:v>ORD-2025-02198</x:v>
      </x:c>
      <x:c r="B2140" s="85" t="n">
        <x:v>45969</x:v>
      </x:c>
      <x:c r="C2140" s="84" t="str">
        <x:v>CUST-0027</x:v>
      </x:c>
      <x:c r="D2140" s="84" t="str">
        <x:v>Samuel Hall</x:v>
      </x:c>
      <x:c r="E2140" s="84" t="str">
        <x:v>Consumer </x:v>
      </x:c>
      <x:c r="F2140" s="84" t="str">
        <x:v>Northeast</x:v>
      </x:c>
      <x:c r="G2140" s="84" t="str">
        <x:v>Philadelphia </x:v>
      </x:c>
      <x:c r="H2140" s="84" t="str">
        <x:v>Marketplace</x:v>
      </x:c>
      <x:c r="I2140" s="84" t="str">
        <x:v>HOME-003</x:v>
      </x:c>
      <x:c r="J2140" s="86" t="n">
        <x:v>1</x:v>
      </x:c>
      <x:c r="K2140" s="87" t="n">
        <x:v>0.1</x:v>
      </x:c>
      <x:c r="L2140" s="84" t="str">
        <x:v> COMPLETED </x:v>
      </x:c>
      <x:c r="M2140" s="84" t="str">
        <x:v>PayPal</x:v>
      </x:c>
      <x:c r="N2140" s="84" t="str">
        <x:v>Sofia Bennett</x:v>
      </x:c>
      <x:c r="O2140" s="85" t="n">
        <x:v>45976</x:v>
      </x:c>
      <x:c r="P2140" s="84" t="str">
        <x:v>MKT_2025_11</x:v>
      </x:c>
      <x:c r="Q2140" s="84" t="str">
        <x:v>countertop blender</x:v>
      </x:c>
      <x:c r="R2140" s="84" t="str">
        <x:v>Home &amp; Kitchen</x:v>
      </x:c>
    </x:row>
    <x:row r="2141">
      <x:c r="A2141" s="84" t="str">
        <x:v>ORD-2025-00790</x:v>
      </x:c>
      <x:c r="B2141" s="85" t="n">
        <x:v>45970</x:v>
      </x:c>
      <x:c r="C2141" s="84" t="str">
        <x:v>CUST-0038</x:v>
      </x:c>
      <x:c r="D2141" s="84" t="str">
        <x:v>William Ortiz</x:v>
      </x:c>
      <x:c r="E2141" s="84" t="str">
        <x:v>Consumer</x:v>
      </x:c>
      <x:c r="F2141" s="84" t="str">
        <x:v>West</x:v>
      </x:c>
      <x:c r="G2141" s="84" t="str">
        <x:v>Phoenix</x:v>
      </x:c>
      <x:c r="H2141" s="84" t="str">
        <x:v>Retail Store</x:v>
      </x:c>
      <x:c r="I2141" s="84" t="str">
        <x:v>ELEC-001</x:v>
      </x:c>
      <x:c r="J2141" s="86" t="n">
        <x:v>1</x:v>
      </x:c>
      <x:c r="K2141" s="87" t="n">
        <x:v>0.1</x:v>
      </x:c>
      <x:c r="L2141" s="84" t="str">
        <x:v>Returned </x:v>
      </x:c>
      <x:c r="M2141" s="84" t="str">
        <x:v>Credit Card</x:v>
      </x:c>
      <x:c r="N2141" s="84" t="str">
        <x:v>Leo Martinez</x:v>
      </x:c>
      <x:c r="O2141" s="85" t="n">
        <x:v>45971</x:v>
      </x:c>
      <x:c r="P2141" s="84" t="str">
        <x:v>POS_2025_11</x:v>
      </x:c>
      <x:c r="Q2141" s="84" t="str">
        <x:v>wireless earbuds</x:v>
      </x:c>
      <x:c r="R2141" s="84" t="str">
        <x:v>Electronics</x:v>
      </x:c>
    </x:row>
    <x:row r="2142">
      <x:c r="A2142" s="84" t="str">
        <x:v>ORD-2025-01038</x:v>
      </x:c>
      <x:c r="B2142" s="85" t="n">
        <x:v>45970</x:v>
      </x:c>
      <x:c r="C2142" s="84" t="str">
        <x:v>CUST-0041</x:v>
      </x:c>
      <x:c r="D2142" s="84" t="str">
        <x:v>Isaac Evans</x:v>
      </x:c>
      <x:c r="E2142" s="84" t="str">
        <x:v>Consumer</x:v>
      </x:c>
      <x:c r="F2142" s="84" t="str">
        <x:v>Midwest</x:v>
      </x:c>
      <x:c r="G2142" s="84" t="str">
        <x:v>detroit</x:v>
      </x:c>
      <x:c r="H2142" s="84" t="str">
        <x:v>Retail Store</x:v>
      </x:c>
      <x:c r="I2142" s="84" t="str">
        <x:v>HOME-001</x:v>
      </x:c>
      <x:c r="J2142" s="86" t="n">
        <x:v>2</x:v>
      </x:c>
      <x:c r="K2142" s="87" t="n">
        <x:v>0</x:v>
      </x:c>
      <x:c r="L2142" s="84" t="str">
        <x:v>completed</x:v>
      </x:c>
      <x:c r="M2142" s="84" t="str">
        <x:v>Credit Card</x:v>
      </x:c>
      <x:c r="N2142" s="84" t="str">
        <x:v>Emma Hayes</x:v>
      </x:c>
      <x:c r="O2142" s="85" t="n">
        <x:v>45971</x:v>
      </x:c>
      <x:c r="P2142" s="84" t="str">
        <x:v>POS_2025_11</x:v>
      </x:c>
      <x:c r="Q2142" s="84" t="str">
        <x:v>Air Fryer</x:v>
      </x:c>
      <x:c r="R2142" s="84" t="str">
        <x:v>Home &amp; Kitchen </x:v>
      </x:c>
    </x:row>
    <x:row r="2143">
      <x:c r="A2143" s="84" t="str">
        <x:v>ORD-2025-01247</x:v>
      </x:c>
      <x:c r="B2143" s="85" t="n">
        <x:v>45970</x:v>
      </x:c>
      <x:c r="C2143" s="84" t="str">
        <x:v>CUST-0586</x:v>
      </x:c>
      <x:c r="D2143" s="84" t="str">
        <x:v>Isaac Adams</x:v>
      </x:c>
      <x:c r="E2143" s="84" t="str">
        <x:v>Small Business</x:v>
      </x:c>
      <x:c r="F2143" s="84" t="str">
        <x:v>Midwest</x:v>
      </x:c>
      <x:c r="G2143" s="84" t="str">
        <x:v>detroit</x:v>
      </x:c>
      <x:c r="H2143" s="84" t="str">
        <x:v> ONLINE </x:v>
      </x:c>
      <x:c r="I2143" s="84" t="str">
        <x:v>ELEC-004</x:v>
      </x:c>
      <x:c r="J2143" s="86" t="n">
        <x:v>1</x:v>
      </x:c>
      <x:c r="K2143" s="87" t="n">
        <x:v>0.2</x:v>
      </x:c>
      <x:c r="L2143" s="84" t="str">
        <x:v>completed</x:v>
      </x:c>
      <x:c r="M2143" s="84" t="str">
        <x:v>Credit Card</x:v>
      </x:c>
      <x:c r="N2143" s="84" t="str">
        <x:v>Lucas Grant</x:v>
      </x:c>
      <x:c r="O2143" s="85" t="n">
        <x:v>45972</x:v>
      </x:c>
      <x:c r="P2143" s="84" t="str">
        <x:v>WEB_2025_11</x:v>
      </x:c>
      <x:c r="Q2143" s="84" t="str">
        <x:v>Power Bank </x:v>
      </x:c>
      <x:c r="R2143" s="84" t="str">
        <x:v>Electronics</x:v>
      </x:c>
    </x:row>
    <x:row r="2144">
      <x:c r="A2144" s="84" t="str">
        <x:v>ORD-2025-01519</x:v>
      </x:c>
      <x:c r="B2144" s="85" t="n">
        <x:v>45970</x:v>
      </x:c>
      <x:c r="C2144" s="84" t="str">
        <x:v>CUST-0461</x:v>
      </x:c>
      <x:c r="D2144" s="84" t="str">
        <x:v>Nina Irwin</x:v>
      </x:c>
      <x:c r="E2144" s="84" t="str">
        <x:v>Corporate </x:v>
      </x:c>
      <x:c r="F2144" s="84" t="str">
        <x:v>Southeast</x:v>
      </x:c>
      <x:c r="G2144" s="84" t="str">
        <x:v>Miami </x:v>
      </x:c>
      <x:c r="H2144" s="84" t="str">
        <x:v> ONLINE </x:v>
      </x:c>
      <x:c r="I2144" s="84" t="str">
        <x:v>ELEC-002</x:v>
      </x:c>
      <x:c r="J2144" s="86" t="n">
        <x:v>6</x:v>
      </x:c>
      <x:c r="K2144" s="87" t="n">
        <x:v>0.1</x:v>
      </x:c>
      <x:c r="L2144" s="84" t="str">
        <x:v>Completed</x:v>
      </x:c>
      <x:c r="M2144" s="84" t="str">
        <x:v>Credit Card</x:v>
      </x:c>
      <x:c r="N2144" s="84" t="str">
        <x:v>Noah Reed</x:v>
      </x:c>
      <x:c r="O2144" s="85" t="n">
        <x:v>45972</x:v>
      </x:c>
      <x:c r="P2144" s="84" t="str">
        <x:v>WEB_2025_11</x:v>
      </x:c>
      <x:c r="Q2144" s="84" t="str">
        <x:v>Smartwatch</x:v>
      </x:c>
      <x:c r="R2144" s="84" t="str">
        <x:v>Electronics</x:v>
      </x:c>
    </x:row>
    <x:row r="2145">
      <x:c r="A2145" s="84" t="str">
        <x:v>ORD-2025-02080</x:v>
      </x:c>
      <x:c r="B2145" s="85" t="n">
        <x:v>45970</x:v>
      </x:c>
      <x:c r="C2145" s="84" t="str">
        <x:v>CUST-0264</x:v>
      </x:c>
      <x:c r="D2145" s="84" t="str">
        <x:v>Samuel Foster</x:v>
      </x:c>
      <x:c r="E2145" s="84" t="str">
        <x:v>Small Business</x:v>
      </x:c>
      <x:c r="F2145" s="84" t="str">
        <x:v>West</x:v>
      </x:c>
      <x:c r="G2145" s="84" t="str">
        <x:v>Phoenix</x:v>
      </x:c>
      <x:c r="H2145" s="84" t="str">
        <x:v> RETAIL STORE </x:v>
      </x:c>
      <x:c r="I2145" s="84" t="str">
        <x:v>ELEC-001</x:v>
      </x:c>
      <x:c r="J2145" s="86" t="n">
        <x:v>1</x:v>
      </x:c>
      <x:c r="K2145" s="87" t="n">
        <x:v>0.05</x:v>
      </x:c>
      <x:c r="L2145" s="84" t="str">
        <x:v>Completed</x:v>
      </x:c>
      <x:c r="M2145" s="84" t="str">
        <x:v>Cash</x:v>
      </x:c>
      <x:c r="N2145" s="84" t="str">
        <x:v>Mia Chen</x:v>
      </x:c>
      <x:c r="O2145" s="85" t="n">
        <x:v>45971</x:v>
      </x:c>
      <x:c r="P2145" s="84" t="str">
        <x:v>POS_2025_11</x:v>
      </x:c>
      <x:c r="Q2145" s="84" t="str">
        <x:v>Wireless Earbuds </x:v>
      </x:c>
      <x:c r="R2145" s="84" t="str">
        <x:v>Electronics</x:v>
      </x:c>
    </x:row>
    <x:row r="2146">
      <x:c r="A2146" s="84" t="str">
        <x:v>ORD-2025-00628</x:v>
      </x:c>
      <x:c r="B2146" s="85" t="n">
        <x:v>45971</x:v>
      </x:c>
      <x:c r="C2146" s="84" t="str">
        <x:v>CUST-0365</x:v>
      </x:c>
      <x:c r="D2146" s="84" t="str">
        <x:v>Grace Johnson </x:v>
      </x:c>
      <x:c r="E2146" s="84" t="str">
        <x:v>Consumer</x:v>
      </x:c>
      <x:c r="F2146" s="84" t="str">
        <x:v>West</x:v>
      </x:c>
      <x:c r="G2146" s="84" t="str">
        <x:v>Los Angeles</x:v>
      </x:c>
      <x:c r="H2146" s="84" t="str">
        <x:v>Online</x:v>
      </x:c>
      <x:c r="I2146" s="84" t="str">
        <x:v>ELEC-006</x:v>
      </x:c>
      <x:c r="J2146" s="86" t="n">
        <x:v>1</x:v>
      </x:c>
      <x:c r="K2146" s="87" t="n">
        <x:v>0.1</x:v>
      </x:c>
      <x:c r="L2146" s="84" t="str">
        <x:v>Returned</x:v>
      </x:c>
      <x:c r="M2146" s="84" t="str">
        <x:v>Debit Card </x:v>
      </x:c>
      <x:c r="N2146" s="84" t="str">
        <x:v>Mia Chen</x:v>
      </x:c>
      <x:c r="O2146" s="85" t="n">
        <x:v>45977</x:v>
      </x:c>
      <x:c r="P2146" s="84" t="str">
        <x:v>WEB_2025_11</x:v>
      </x:c>
      <x:c r="Q2146" s="84" t="str">
        <x:v>Portable SSD</x:v>
      </x:c>
      <x:c r="R2146" s="84" t="str">
        <x:v>Electronics</x:v>
      </x:c>
    </x:row>
    <x:row r="2147">
      <x:c r="A2147" s="84" t="str">
        <x:v>ORD-2025-01331</x:v>
      </x:c>
      <x:c r="B2147" s="85" t="n">
        <x:v>45971</x:v>
      </x:c>
      <x:c r="C2147" s="84" t="str">
        <x:v>CUST-0547</x:v>
      </x:c>
      <x:c r="D2147" s="84" t="str">
        <x:v>Jonah Davis</x:v>
      </x:c>
      <x:c r="E2147" s="84" t="str">
        <x:v>corporate</x:v>
      </x:c>
      <x:c r="F2147" s="84" t="str">
        <x:v>Midwest</x:v>
      </x:c>
      <x:c r="G2147" s="84" t="str">
        <x:v>Chicago</x:v>
      </x:c>
      <x:c r="H2147" s="84" t="str">
        <x:v>retail store</x:v>
      </x:c>
      <x:c r="I2147" s="84" t="str">
        <x:v>OFFC-004</x:v>
      </x:c>
      <x:c r="J2147" s="86" t="n">
        <x:v>2</x:v>
      </x:c>
      <x:c r="K2147" s="87" t="n">
        <x:v>0.1</x:v>
      </x:c>
      <x:c r="L2147" s="84" t="str">
        <x:v> COMPLETED </x:v>
      </x:c>
      <x:c r="M2147" s="84" t="str">
        <x:v>Credit Card</x:v>
      </x:c>
      <x:c r="N2147" s="84" t="str">
        <x:v>Lucas Grant</x:v>
      </x:c>
      <x:c r="O2147" s="85" t="n">
        <x:v>45972</x:v>
      </x:c>
      <x:c r="P2147" s="84" t="str">
        <x:v>POS_2025_11</x:v>
      </x:c>
      <x:c r="Q2147" s="84" t="str">
        <x:v>Premium Notebook Pack </x:v>
      </x:c>
      <x:c r="R2147" s="84" t="str">
        <x:v>Office</x:v>
      </x:c>
    </x:row>
    <x:row r="2148">
      <x:c r="A2148" s="84" t="str">
        <x:v>ORD-2025-01805</x:v>
      </x:c>
      <x:c r="B2148" s="85" t="n">
        <x:v>45971</x:v>
      </x:c>
      <x:c r="C2148" s="84" t="str">
        <x:v>CUST-0245</x:v>
      </x:c>
      <x:c r="D2148" s="84" t="str">
        <x:v>Victoria Carter</x:v>
      </x:c>
      <x:c r="E2148" s="84" t="str">
        <x:v>Consumer</x:v>
      </x:c>
      <x:c r="F2148" s="84" t="str">
        <x:v>West</x:v>
      </x:c>
      <x:c r="G2148" s="84" t="str">
        <x:v>Los Angeles</x:v>
      </x:c>
      <x:c r="H2148" s="84" t="str">
        <x:v>Retail Store</x:v>
      </x:c>
      <x:c r="I2148" s="84" t="str">
        <x:v>OFFC-004</x:v>
      </x:c>
      <x:c r="J2148" s="86" t="n">
        <x:v>4</x:v>
      </x:c>
      <x:c r="K2148" s="87" t="n">
        <x:v>0</x:v>
      </x:c>
      <x:c r="L2148" s="84" t="str">
        <x:v>Completed </x:v>
      </x:c>
      <x:c r="M2148" s="84" t="str">
        <x:v>Debit Card</x:v>
      </x:c>
      <x:c r="N2148" s="84" t="str">
        <x:v> LEO MARTINEZ </x:v>
      </x:c>
      <x:c r="O2148" s="85" t="n">
        <x:v>45971</x:v>
      </x:c>
      <x:c r="P2148" s="84" t="str">
        <x:v>POS_2025_11</x:v>
      </x:c>
      <x:c r="Q2148" s="84" t="str">
        <x:v>Premium Notebook Pack</x:v>
      </x:c>
      <x:c r="R2148" s="84" t="str">
        <x:v>Office</x:v>
      </x:c>
    </x:row>
    <x:row r="2149">
      <x:c r="A2149" s="84" t="str">
        <x:v>ORD-2025-00908</x:v>
      </x:c>
      <x:c r="B2149" s="85" t="n">
        <x:v>45972</x:v>
      </x:c>
      <x:c r="C2149" s="84" t="str">
        <x:v>CUST-0469</x:v>
      </x:c>
      <x:c r="D2149" s="84" t="str">
        <x:v>Layla Evans </x:v>
      </x:c>
      <x:c r="E2149" s="84" t="str">
        <x:v>Corporate</x:v>
      </x:c>
      <x:c r="F2149" s="84" t="str">
        <x:v>Midwest</x:v>
      </x:c>
      <x:c r="G2149" s="84" t="str">
        <x:v>Minneapolis</x:v>
      </x:c>
      <x:c r="H2149" s="84" t="str">
        <x:v>Online</x:v>
      </x:c>
      <x:c r="I2149" s="84" t="str">
        <x:v>ELEC-005</x:v>
      </x:c>
      <x:c r="J2149" s="86" t="n">
        <x:v>4</x:v>
      </x:c>
      <x:c r="K2149" s="87" t="n">
        <x:v>0.05</x:v>
      </x:c>
      <x:c r="L2149" s="84" t="str">
        <x:v>Completed</x:v>
      </x:c>
      <x:c r="M2149" s="84" t="str">
        <x:v>Credit Card </x:v>
      </x:c>
      <x:c r="N2149" s="84" t="str">
        <x:v>Lucas Grant</x:v>
      </x:c>
      <x:c r="O2149" s="85" t="n">
        <x:v>45976</x:v>
      </x:c>
      <x:c r="P2149" s="84" t="str">
        <x:v>WEB_2025_11</x:v>
      </x:c>
      <x:c r="Q2149" s="84" t="str">
        <x:v>HD Webcam</x:v>
      </x:c>
      <x:c r="R2149" s="84" t="str">
        <x:v>Electronics</x:v>
      </x:c>
    </x:row>
    <x:row r="2150">
      <x:c r="A2150" s="84" t="str">
        <x:v>ORD-2025-01007</x:v>
      </x:c>
      <x:c r="B2150" s="85" t="n">
        <x:v>45972</x:v>
      </x:c>
      <x:c r="C2150" s="84" t="str">
        <x:v>CUST-0304</x:v>
      </x:c>
      <x:c r="D2150" s="84" t="str">
        <x:v>Isaac Carter</x:v>
      </x:c>
      <x:c r="E2150" s="84" t="str">
        <x:v>Corporate</x:v>
      </x:c>
      <x:c r="F2150" s="84" t="str">
        <x:v>Northeast</x:v>
      </x:c>
      <x:c r="G2150" s="84" t="str">
        <x:v>New York</x:v>
      </x:c>
      <x:c r="H2150" s="84" t="str">
        <x:v>Online</x:v>
      </x:c>
      <x:c r="I2150" s="84" t="str">
        <x:v>HOME-006</x:v>
      </x:c>
      <x:c r="J2150" s="86" t="n">
        <x:v>3</x:v>
      </x:c>
      <x:c r="K2150" s="87" t="n">
        <x:v>0</x:v>
      </x:c>
      <x:c r="L2150" s="84" t="str">
        <x:v>Completed </x:v>
      </x:c>
      <x:c r="M2150" s="84" t="str">
        <x:v>Credit Card</x:v>
      </x:c>
      <x:c r="N2150" s="84" t="str">
        <x:v>Sofia Bennett</x:v>
      </x:c>
      <x:c r="O2150" s="85" t="n">
        <x:v>45974</x:v>
      </x:c>
      <x:c r="P2150" s="84" t="str">
        <x:v>WEB_2025_11</x:v>
      </x:c>
      <x:c r="Q2150" s="84" t="str">
        <x:v> FOOD STORAGE SET </x:v>
      </x:c>
      <x:c r="R2150" s="84" t="str">
        <x:v>Home &amp; Kitchen</x:v>
      </x:c>
    </x:row>
    <x:row r="2151">
      <x:c r="A2151" s="84" t="str">
        <x:v>ORD-2025-01634</x:v>
      </x:c>
      <x:c r="B2151" s="85" t="n">
        <x:v>45972</x:v>
      </x:c>
      <x:c r="C2151" s="84" t="str">
        <x:v>CUST-0130</x:v>
      </x:c>
      <x:c r="D2151" s="84" t="str">
        <x:v>Maya Lewis</x:v>
      </x:c>
      <x:c r="E2151" s="84" t="str">
        <x:v>Consumer</x:v>
      </x:c>
      <x:c r="F2151" s="84" t="str">
        <x:v>Southeast</x:v>
      </x:c>
      <x:c r="G2151" s="84" t="str">
        <x:v>Nashville</x:v>
      </x:c>
      <x:c r="H2151" s="84" t="str">
        <x:v>Online </x:v>
      </x:c>
      <x:c r="I2151" s="84" t="str">
        <x:v>FITN-005</x:v>
      </x:c>
      <x:c r="J2151" s="86" t="n">
        <x:v>3</x:v>
      </x:c>
      <x:c r="K2151" s="87" t="n">
        <x:v>0.1</x:v>
      </x:c>
      <x:c r="L2151" s="84" t="str">
        <x:v>Completed</x:v>
      </x:c>
      <x:c r="M2151" s="84" t="str">
        <x:v>Credit Card</x:v>
      </x:c>
      <x:c r="N2151" s="84" t="str">
        <x:v>Noah Reed</x:v>
      </x:c>
      <x:c r="O2151" s="85" t="n">
        <x:v>45975</x:v>
      </x:c>
      <x:c r="P2151" s="84" t="str">
        <x:v>WEB_2025_11</x:v>
      </x:c>
      <x:c r="Q2151" s="84" t="str">
        <x:v>Sports Water Bottle</x:v>
      </x:c>
      <x:c r="R2151" s="84" t="str">
        <x:v>Fitness</x:v>
      </x:c>
    </x:row>
    <x:row r="2152">
      <x:c r="A2152" s="84" t="str">
        <x:v>ORD-2025-01912</x:v>
      </x:c>
      <x:c r="B2152" s="85" t="n">
        <x:v>45972</x:v>
      </x:c>
      <x:c r="C2152" s="84" t="str">
        <x:v>CUST-0550</x:v>
      </x:c>
      <x:c r="D2152" s="84" t="str">
        <x:v>Samuel Young</x:v>
      </x:c>
      <x:c r="E2152" s="84" t="str">
        <x:v>Consumer</x:v>
      </x:c>
      <x:c r="F2152" s="84" t="str">
        <x:v>Midwest</x:v>
      </x:c>
      <x:c r="G2152" s="84" t="str">
        <x:v>Minneapolis</x:v>
      </x:c>
      <x:c r="H2152" s="84" t="str">
        <x:v>Marketplace</x:v>
      </x:c>
      <x:c r="I2152" s="84" t="str">
        <x:v>ELEC-001</x:v>
      </x:c>
      <x:c r="J2152" s="86" t="n">
        <x:v>1</x:v>
      </x:c>
      <x:c r="K2152" s="87" t="n">
        <x:v>0.15</x:v>
      </x:c>
      <x:c r="L2152" s="84" t="str">
        <x:v>Completed</x:v>
      </x:c>
      <x:c r="M2152" s="84" t="str">
        <x:v>Mobile Wallet</x:v>
      </x:c>
      <x:c r="N2152" s="84" t="str">
        <x:v>Zoe Turner</x:v>
      </x:c>
      <x:c r="O2152" s="85" t="n">
        <x:v>45975</x:v>
      </x:c>
      <x:c r="P2152" s="84" t="str">
        <x:v>MKT_2025_11</x:v>
      </x:c>
      <x:c r="Q2152" s="84" t="str">
        <x:v>wireless earbuds</x:v>
      </x:c>
      <x:c r="R2152" s="84" t="str">
        <x:v>Electronics</x:v>
      </x:c>
    </x:row>
    <x:row r="2153">
      <x:c r="A2153" s="84" t="str">
        <x:v>ORD-2025-02244</x:v>
      </x:c>
      <x:c r="B2153" s="85" t="n">
        <x:v>45972</x:v>
      </x:c>
      <x:c r="C2153" s="84" t="str">
        <x:v>CUST-0012</x:v>
      </x:c>
      <x:c r="D2153" s="84" t="str">
        <x:v>William Lewis</x:v>
      </x:c>
      <x:c r="E2153" s="84" t="str">
        <x:v> CONSUMER </x:v>
      </x:c>
      <x:c r="F2153" s="84" t="str">
        <x:v>West </x:v>
      </x:c>
      <x:c r="G2153" s="84" t="str">
        <x:v>Denver</x:v>
      </x:c>
      <x:c r="H2153" s="84" t="str">
        <x:v>retail store</x:v>
      </x:c>
      <x:c r="I2153" s="84" t="str">
        <x:v>CARE-004</x:v>
      </x:c>
      <x:c r="J2153" s="86" t="n">
        <x:v>1</x:v>
      </x:c>
      <x:c r="K2153" s="87" t="n">
        <x:v>0.2</x:v>
      </x:c>
      <x:c r="L2153" s="84" t="str">
        <x:v>Completed</x:v>
      </x:c>
      <x:c r="M2153" s="84" t="str">
        <x:v>Cash</x:v>
      </x:c>
      <x:c r="N2153" s="84" t="str">
        <x:v>Nora Kim </x:v>
      </x:c>
      <x:c r="O2153" s="85" t="n">
        <x:v>45972</x:v>
      </x:c>
      <x:c r="P2153" s="84" t="str">
        <x:v>POS_2025_11</x:v>
      </x:c>
      <x:c r="Q2153" s="84" t="str">
        <x:v>Electric Toothbrush</x:v>
      </x:c>
      <x:c r="R2153" s="84" t="str">
        <x:v>Personal Care</x:v>
      </x:c>
    </x:row>
    <x:row r="2154">
      <x:c r="A2154" s="84" t="str">
        <x:v>ORD-2025-02267</x:v>
      </x:c>
      <x:c r="B2154" s="85" t="n">
        <x:v>45972</x:v>
      </x:c>
      <x:c r="C2154" s="84" t="str">
        <x:v>CUST-0241</x:v>
      </x:c>
      <x:c r="D2154" s="84" t="str">
        <x:v>Maya Young</x:v>
      </x:c>
      <x:c r="E2154" s="84" t="str">
        <x:v>Small Business</x:v>
      </x:c>
      <x:c r="F2154" s="84" t="str">
        <x:v>Southeast</x:v>
      </x:c>
      <x:c r="G2154" s="84" t="str">
        <x:v>Atlanta</x:v>
      </x:c>
      <x:c r="H2154" s="84" t="str">
        <x:v> RETAIL STORE </x:v>
      </x:c>
      <x:c r="I2154" s="84" t="str">
        <x:v>FITN-004</x:v>
      </x:c>
      <x:c r="J2154" s="86" t="n">
        <x:v>1</x:v>
      </x:c>
      <x:c r="K2154" s="87" t="n">
        <x:v>0.15</x:v>
      </x:c>
      <x:c r="L2154" s="84" t="str">
        <x:v>Completed </x:v>
      </x:c>
      <x:c r="M2154" s="84" t="str">
        <x:v>Credit Card</x:v>
      </x:c>
      <x:c r="N2154" s="84" t="str">
        <x:v>Liam Parker</x:v>
      </x:c>
      <x:c r="O2154" s="85" t="n">
        <x:v>45972</x:v>
      </x:c>
      <x:c r="P2154" s="84" t="str">
        <x:v>POS_2025_11</x:v>
      </x:c>
      <x:c r="Q2154" s="84" t="str">
        <x:v>Fitness Tracker</x:v>
      </x:c>
      <x:c r="R2154" s="84" t="str">
        <x:v>Fitness</x:v>
      </x:c>
    </x:row>
    <x:row r="2155">
      <x:c r="A2155" s="84" t="str">
        <x:v>ORD-2025-00286</x:v>
      </x:c>
      <x:c r="B2155" s="85" t="n">
        <x:v>45973</x:v>
      </x:c>
      <x:c r="C2155" s="84" t="str">
        <x:v>CUST-0079</x:v>
      </x:c>
      <x:c r="D2155" s="84" t="str">
        <x:v> ISAAC FOSTER </x:v>
      </x:c>
      <x:c r="E2155" s="84" t="str">
        <x:v>consumer</x:v>
      </x:c>
      <x:c r="F2155" s="84" t="str">
        <x:v> MIDWEST </x:v>
      </x:c>
      <x:c r="G2155" s="84" t="str">
        <x:v>Minneapolis</x:v>
      </x:c>
      <x:c r="H2155" s="84" t="str">
        <x:v>retail store</x:v>
      </x:c>
      <x:c r="I2155" s="84" t="str">
        <x:v>ELEC-006</x:v>
      </x:c>
      <x:c r="J2155" s="86" t="n">
        <x:v>2</x:v>
      </x:c>
      <x:c r="K2155" s="87" t="n">
        <x:v>0.1</x:v>
      </x:c>
      <x:c r="L2155" s="84" t="str">
        <x:v>Completed </x:v>
      </x:c>
      <x:c r="M2155" s="84" t="str">
        <x:v>Debit Card</x:v>
      </x:c>
      <x:c r="N2155" s="84" t="str">
        <x:v>Emma Hayes</x:v>
      </x:c>
      <x:c r="O2155" s="85" t="n">
        <x:v>45973</x:v>
      </x:c>
      <x:c r="P2155" s="84" t="str">
        <x:v>POS_2025_11</x:v>
      </x:c>
      <x:c r="Q2155" s="84" t="str">
        <x:v>Portable SSD</x:v>
      </x:c>
      <x:c r="R2155" s="84" t="str">
        <x:v>Electronics</x:v>
      </x:c>
    </x:row>
    <x:row r="2156">
      <x:c r="A2156" s="84" t="str">
        <x:v>ORD-2025-00313</x:v>
      </x:c>
      <x:c r="B2156" s="85" t="n">
        <x:v>45973</x:v>
      </x:c>
      <x:c r="C2156" s="84" t="str">
        <x:v>CUST-0535</x:v>
      </x:c>
      <x:c r="D2156" s="84" t="str">
        <x:v>Caleb Walker </x:v>
      </x:c>
      <x:c r="E2156" s="84" t="str">
        <x:v>Corporate</x:v>
      </x:c>
      <x:c r="F2156" s="84" t="str">
        <x:v>Southeast</x:v>
      </x:c>
      <x:c r="G2156" s="84" t="str">
        <x:v>Miami</x:v>
      </x:c>
      <x:c r="H2156" s="84" t="str">
        <x:v>Retail Store</x:v>
      </x:c>
      <x:c r="I2156" s="84" t="str">
        <x:v>HOME-004</x:v>
      </x:c>
      <x:c r="J2156" s="86" t="n">
        <x:v>3</x:v>
      </x:c>
      <x:c r="K2156" s="87" t="n">
        <x:v>0</x:v>
      </x:c>
      <x:c r="L2156" s="84" t="str">
        <x:v>Completed</x:v>
      </x:c>
      <x:c r="M2156" s="84" t="str">
        <x:v>Credit Card </x:v>
      </x:c>
      <x:c r="N2156" s="84" t="str">
        <x:v>Ava Mitchell</x:v>
      </x:c>
      <x:c r="O2156" s="85" t="n">
        <x:v>45973</x:v>
      </x:c>
      <x:c r="P2156" s="84" t="str">
        <x:v>POS_2025_11</x:v>
      </x:c>
      <x:c r="Q2156" s="84" t="str">
        <x:v>Coffee Maker</x:v>
      </x:c>
      <x:c r="R2156" s="84" t="str">
        <x:v>Home &amp; Kitchen</x:v>
      </x:c>
    </x:row>
    <x:row r="2157">
      <x:c r="A2157" s="84" t="str">
        <x:v>ORD-2025-01093</x:v>
      </x:c>
      <x:c r="B2157" s="85" t="n">
        <x:v>45973</x:v>
      </x:c>
      <x:c r="C2157" s="84" t="str">
        <x:v>CUST-0182</x:v>
      </x:c>
      <x:c r="D2157" s="84" t="str">
        <x:v>Zara Roberts</x:v>
      </x:c>
      <x:c r="E2157" s="84" t="str">
        <x:v>Consumer</x:v>
      </x:c>
      <x:c r="F2157" s="84" t="str">
        <x:v>Northeast</x:v>
      </x:c>
      <x:c r="G2157" s="84" t="str">
        <x:v>philadelphia</x:v>
      </x:c>
      <x:c r="H2157" s="84" t="str">
        <x:v>Retail Store</x:v>
      </x:c>
      <x:c r="I2157" s="84" t="str">
        <x:v>CARE-002</x:v>
      </x:c>
      <x:c r="J2157" s="86" t="n">
        <x:v>1</x:v>
      </x:c>
      <x:c r="K2157" s="87" t="n">
        <x:v>0.15</x:v>
      </x:c>
      <x:c r="L2157" s="84" t="str">
        <x:v> COMPLETED </x:v>
      </x:c>
      <x:c r="M2157" s="84" t="str">
        <x:v>Debit Card</x:v>
      </x:c>
      <x:c r="N2157" s="84" t="str">
        <x:v>Ethan Cole</x:v>
      </x:c>
      <x:c r="O2157" s="85" t="n">
        <x:v>45973</x:v>
      </x:c>
      <x:c r="P2157" s="84" t="str">
        <x:v>POS_2025_11</x:v>
      </x:c>
      <x:c r="Q2157" s="84" t="str">
        <x:v>Rechargeable Trimmer </x:v>
      </x:c>
      <x:c r="R2157" s="84" t="str">
        <x:v>Personal Care</x:v>
      </x:c>
    </x:row>
    <x:row r="2158">
      <x:c r="A2158" s="84" t="str">
        <x:v>ORD-2025-01771</x:v>
      </x:c>
      <x:c r="B2158" s="85" t="n">
        <x:v>45973</x:v>
      </x:c>
      <x:c r="C2158" s="84" t="str">
        <x:v>CUST-0219</x:v>
      </x:c>
      <x:c r="D2158" s="84" t="str">
        <x:v>Caleb Quinn</x:v>
      </x:c>
      <x:c r="E2158" s="84" t="str">
        <x:v>small business</x:v>
      </x:c>
      <x:c r="F2158" s="84" t="str">
        <x:v>West</x:v>
      </x:c>
      <x:c r="G2158" s="84" t="str">
        <x:v>Los Angeles </x:v>
      </x:c>
      <x:c r="H2158" s="84" t="str">
        <x:v>marketplace</x:v>
      </x:c>
      <x:c r="I2158" s="84" t="str">
        <x:v>HOME-006</x:v>
      </x:c>
      <x:c r="J2158" s="86" t="n">
        <x:v>2</x:v>
      </x:c>
      <x:c r="K2158" s="87" t="n">
        <x:v>0.1</x:v>
      </x:c>
      <x:c r="L2158" s="84" t="str">
        <x:v>Completed</x:v>
      </x:c>
      <x:c r="M2158" s="84" t="str">
        <x:v>Credit Card</x:v>
      </x:c>
      <x:c r="N2158" s="84" t="str">
        <x:v> NORA KIM </x:v>
      </x:c>
      <x:c r="O2158" s="85" t="n">
        <x:v>45979</x:v>
      </x:c>
      <x:c r="P2158" s="84" t="str">
        <x:v>MKT_2025_11</x:v>
      </x:c>
      <x:c r="Q2158" s="84" t="str">
        <x:v>Food Storage Set</x:v>
      </x:c>
      <x:c r="R2158" s="84" t="str">
        <x:v>Home &amp; Kitchen</x:v>
      </x:c>
    </x:row>
    <x:row r="2159">
      <x:c r="A2159" s="84" t="str">
        <x:v>ORD-2025-02083</x:v>
      </x:c>
      <x:c r="B2159" s="85" t="n">
        <x:v>45973</x:v>
      </x:c>
      <x:c r="C2159" s="84" t="str">
        <x:v>CUST-0529</x:v>
      </x:c>
      <x:c r="D2159" s="84" t="str">
        <x:v>Grace Hall</x:v>
      </x:c>
      <x:c r="E2159" s="84" t="str">
        <x:v>Consumer</x:v>
      </x:c>
      <x:c r="F2159" s="84" t="str">
        <x:v>Northeast </x:v>
      </x:c>
      <x:c r="G2159" s="84" t="str">
        <x:v>newark</x:v>
      </x:c>
      <x:c r="H2159" s="84" t="str">
        <x:v>Online</x:v>
      </x:c>
      <x:c r="I2159" s="84" t="str">
        <x:v>ELEC-005</x:v>
      </x:c>
      <x:c r="J2159" s="86" t="n">
        <x:v>1</x:v>
      </x:c>
      <x:c r="K2159" s="87" t="n">
        <x:v>0</x:v>
      </x:c>
      <x:c r="L2159" s="84" t="str">
        <x:v>completed</x:v>
      </x:c>
      <x:c r="M2159" s="84" t="str">
        <x:v>Credit Card</x:v>
      </x:c>
      <x:c r="N2159" s="84" t="str">
        <x:v>Maya Brooks </x:v>
      </x:c>
      <x:c r="O2159" s="85" t="n">
        <x:v>45977</x:v>
      </x:c>
      <x:c r="P2159" s="84" t="str">
        <x:v>WEB_2025_11</x:v>
      </x:c>
      <x:c r="Q2159" s="84" t="str">
        <x:v>HD Webcam</x:v>
      </x:c>
      <x:c r="R2159" s="84" t="str">
        <x:v>Electronics</x:v>
      </x:c>
    </x:row>
    <x:row r="2160">
      <x:c r="A2160" s="84" t="str">
        <x:v>ORD-2025-02177</x:v>
      </x:c>
      <x:c r="B2160" s="85" t="n">
        <x:v>45973</x:v>
      </x:c>
      <x:c r="C2160" s="84" t="str">
        <x:v>CUST-0454</x:v>
      </x:c>
      <x:c r="D2160" s="84" t="str">
        <x:v>Amelia Baker</x:v>
      </x:c>
      <x:c r="E2160" s="84" t="str">
        <x:v>Small Business </x:v>
      </x:c>
      <x:c r="F2160" s="84" t="str">
        <x:v>Northeast</x:v>
      </x:c>
      <x:c r="G2160" s="84" t="str">
        <x:v>Newark </x:v>
      </x:c>
      <x:c r="H2160" s="84" t="str">
        <x:v>Online</x:v>
      </x:c>
      <x:c r="I2160" s="84" t="str">
        <x:v>HOME-003</x:v>
      </x:c>
      <x:c r="J2160" s="86" t="n">
        <x:v>1</x:v>
      </x:c>
      <x:c r="K2160" s="87" t="n">
        <x:v>0</x:v>
      </x:c>
      <x:c r="L2160" s="84" t="str">
        <x:v>Completed</x:v>
      </x:c>
      <x:c r="M2160" s="84" t="str">
        <x:v>debit card</x:v>
      </x:c>
      <x:c r="N2160" s="84" t="str">
        <x:v>Maya Brooks</x:v>
      </x:c>
      <x:c r="O2160" s="85" t="n">
        <x:v>45976</x:v>
      </x:c>
      <x:c r="P2160" s="84" t="str">
        <x:v>WEB_2025_11</x:v>
      </x:c>
      <x:c r="Q2160" s="84" t="str">
        <x:v>Countertop Blender</x:v>
      </x:c>
      <x:c r="R2160" s="84" t="str">
        <x:v>Home &amp; Kitchen</x:v>
      </x:c>
    </x:row>
    <x:row r="2161">
      <x:c r="A2161" s="84" t="str">
        <x:v>ORD-2025-00248</x:v>
      </x:c>
      <x:c r="B2161" s="85" t="n">
        <x:v>45974</x:v>
      </x:c>
      <x:c r="C2161" s="84" t="str">
        <x:v>CUST-0256</x:v>
      </x:c>
      <x:c r="D2161" s="84" t="str">
        <x:v>Elena Foster</x:v>
      </x:c>
      <x:c r="E2161" s="84" t="str">
        <x:v>Consumer</x:v>
      </x:c>
      <x:c r="F2161" s="84" t="str">
        <x:v>Midwest</x:v>
      </x:c>
      <x:c r="G2161" s="84" t="str">
        <x:v> DETROIT </x:v>
      </x:c>
      <x:c r="H2161" s="84" t="str">
        <x:v>Retail Store </x:v>
      </x:c>
      <x:c r="I2161" s="84" t="str">
        <x:v>OFFC-003</x:v>
      </x:c>
      <x:c r="J2161" s="86" t="n">
        <x:v>1</x:v>
      </x:c>
      <x:c r="K2161" s="87" t="n">
        <x:v>0.05</x:v>
      </x:c>
      <x:c r="L2161" s="84" t="str">
        <x:v>Completed</x:v>
      </x:c>
      <x:c r="M2161" s="84" t="str">
        <x:v>Credit Card</x:v>
      </x:c>
      <x:c r="N2161" s="84" t="str">
        <x:v>Emma Hayes</x:v>
      </x:c>
      <x:c r="O2161" s="85" t="n">
        <x:v>45974</x:v>
      </x:c>
      <x:c r="P2161" s="84" t="str">
        <x:v>POS_2025_11</x:v>
      </x:c>
      <x:c r="Q2161" s="84" t="str">
        <x:v>LED Desk Lamp</x:v>
      </x:c>
      <x:c r="R2161" s="84" t="str">
        <x:v>Office</x:v>
      </x:c>
    </x:row>
    <x:row r="2162">
      <x:c r="A2162" s="84" t="str">
        <x:v>ORD-2025-00429</x:v>
      </x:c>
      <x:c r="B2162" s="85" t="n">
        <x:v>45974</x:v>
      </x:c>
      <x:c r="C2162" s="84" t="str">
        <x:v>CUST-0283</x:v>
      </x:c>
      <x:c r="D2162" s="84" t="str">
        <x:v>Priya Adams</x:v>
      </x:c>
      <x:c r="E2162" s="84" t="str">
        <x:v>consumer</x:v>
      </x:c>
      <x:c r="F2162" s="84" t="str">
        <x:v>West</x:v>
      </x:c>
      <x:c r="G2162" s="84" t="str">
        <x:v>Denver</x:v>
      </x:c>
      <x:c r="H2162" s="84" t="str">
        <x:v>online</x:v>
      </x:c>
      <x:c r="I2162" s="84" t="str">
        <x:v>ELEC-001</x:v>
      </x:c>
      <x:c r="J2162" s="86" t="n">
        <x:v>1</x:v>
      </x:c>
      <x:c r="K2162" s="87" t="n">
        <x:v>0.05</x:v>
      </x:c>
      <x:c r="L2162" s="84" t="str">
        <x:v>Completed</x:v>
      </x:c>
      <x:c r="M2162" s="84" t="str">
        <x:v>Credit Card</x:v>
      </x:c>
      <x:c r="N2162" s="84" t="str">
        <x:v>Leo Martinez</x:v>
      </x:c>
      <x:c r="O2162" s="85" t="n">
        <x:v>45977</x:v>
      </x:c>
      <x:c r="P2162" s="84" t="str">
        <x:v>WEB_2025_11</x:v>
      </x:c>
      <x:c r="Q2162" s="84" t="str">
        <x:v> WIRELESS EARBUDS </x:v>
      </x:c>
      <x:c r="R2162" s="84" t="str">
        <x:v>Electronics </x:v>
      </x:c>
    </x:row>
    <x:row r="2163">
      <x:c r="A2163" s="84" t="str">
        <x:v>ORD-2025-00445</x:v>
      </x:c>
      <x:c r="B2163" s="85" t="n">
        <x:v>45974</x:v>
      </x:c>
      <x:c r="C2163" s="84" t="str">
        <x:v>CUST-0511</x:v>
      </x:c>
      <x:c r="D2163" s="84" t="str">
        <x:v>Marcus Walker</x:v>
      </x:c>
      <x:c r="E2163" s="84" t="str">
        <x:v>Corporate</x:v>
      </x:c>
      <x:c r="F2163" s="84" t="str">
        <x:v>Northeast </x:v>
      </x:c>
      <x:c r="G2163" s="84" t="str">
        <x:v>Newark</x:v>
      </x:c>
      <x:c r="H2163" s="84" t="str">
        <x:v>Marketplace</x:v>
      </x:c>
      <x:c r="I2163" s="84" t="str">
        <x:v>OFFC-003</x:v>
      </x:c>
      <x:c r="J2163" s="86" t="n">
        <x:v>2</x:v>
      </x:c>
      <x:c r="K2163" s="87" t="n">
        <x:v>0.15</x:v>
      </x:c>
      <x:c r="L2163" s="84" t="str">
        <x:v>Completed</x:v>
      </x:c>
      <x:c r="M2163" s="84" t="str">
        <x:v>PayPal</x:v>
      </x:c>
      <x:c r="N2163" s="84" t="str">
        <x:v> SOFIA BENNETT </x:v>
      </x:c>
      <x:c r="O2163" s="85" t="n">
        <x:v>45980</x:v>
      </x:c>
      <x:c r="P2163" s="84" t="str">
        <x:v>MKT_2025_11</x:v>
      </x:c>
      <x:c r="Q2163" s="84" t="str">
        <x:v>LED Desk Lamp</x:v>
      </x:c>
      <x:c r="R2163" s="84" t="str">
        <x:v>Office</x:v>
      </x:c>
    </x:row>
    <x:row r="2164">
      <x:c r="A2164" s="84" t="str">
        <x:v>ORD-2025-00991</x:v>
      </x:c>
      <x:c r="B2164" s="85" t="n">
        <x:v>45974</x:v>
      </x:c>
      <x:c r="C2164" s="84" t="str">
        <x:v>CUST-0317</x:v>
      </x:c>
      <x:c r="D2164" s="84" t="str">
        <x:v>Owen Garcia</x:v>
      </x:c>
      <x:c r="E2164" s="84" t="str">
        <x:v>Consumer</x:v>
      </x:c>
      <x:c r="F2164" s="84" t="str">
        <x:v>West </x:v>
      </x:c>
      <x:c r="G2164" s="84" t="str">
        <x:v>Seattle</x:v>
      </x:c>
      <x:c r="H2164" s="84" t="str">
        <x:v>Marketplace</x:v>
      </x:c>
      <x:c r="I2164" s="84" t="str">
        <x:v>ACCS-002</x:v>
      </x:c>
      <x:c r="J2164" s="86" t="n">
        <x:v>1</x:v>
      </x:c>
      <x:c r="K2164" s="87" t="n">
        <x:v>0.1</x:v>
      </x:c>
      <x:c r="L2164" s="84" t="str">
        <x:v> COMPLETED </x:v>
      </x:c>
      <x:c r="M2164" s="84" t="str">
        <x:v>PayPal</x:v>
      </x:c>
      <x:c r="N2164" s="84" t="str">
        <x:v>Leo Martinez </x:v>
      </x:c>
      <x:c r="O2164" s="85" t="n">
        <x:v>45980</x:v>
      </x:c>
      <x:c r="P2164" s="84" t="str">
        <x:v>MKT_2025_11</x:v>
      </x:c>
      <x:c r="Q2164" s="84" t="str">
        <x:v>Travel Backpack</x:v>
      </x:c>
      <x:c r="R2164" s="84" t="str">
        <x:v>Accessories</x:v>
      </x:c>
    </x:row>
    <x:row r="2165">
      <x:c r="A2165" s="84" t="str">
        <x:v>ORD-2025-01636</x:v>
      </x:c>
      <x:c r="B2165" s="85" t="n">
        <x:v>45974</x:v>
      </x:c>
      <x:c r="C2165" s="84" t="str">
        <x:v>CUST-0237</x:v>
      </x:c>
      <x:c r="D2165" s="84" t="str">
        <x:v>Chloe Garcia </x:v>
      </x:c>
      <x:c r="E2165" s="84" t="str">
        <x:v>Small Business</x:v>
      </x:c>
      <x:c r="F2165" s="84" t="str">
        <x:v>midwest</x:v>
      </x:c>
      <x:c r="G2165" s="84" t="str">
        <x:v>Detroit</x:v>
      </x:c>
      <x:c r="H2165" s="84" t="str">
        <x:v>Marketplace</x:v>
      </x:c>
      <x:c r="I2165" s="84" t="str">
        <x:v>FITN-001</x:v>
      </x:c>
      <x:c r="J2165" s="86" t="n">
        <x:v>4</x:v>
      </x:c>
      <x:c r="K2165" s="87" t="n">
        <x:v>0.15</x:v>
      </x:c>
      <x:c r="L2165" s="84" t="str">
        <x:v>Returned</x:v>
      </x:c>
      <x:c r="M2165" s="84" t="str">
        <x:v>Credit Card </x:v>
      </x:c>
      <x:c r="N2165" s="84" t="str">
        <x:v>Lucas Grant</x:v>
      </x:c>
      <x:c r="O2165" s="85" t="n">
        <x:v>45978</x:v>
      </x:c>
      <x:c r="P2165" s="84" t="str">
        <x:v>MKT_2025_11</x:v>
      </x:c>
      <x:c r="Q2165" s="84" t="str">
        <x:v> YOGA MAT </x:v>
      </x:c>
      <x:c r="R2165" s="84" t="str">
        <x:v>Fitness</x:v>
      </x:c>
    </x:row>
    <x:row r="2166">
      <x:c r="A2166" s="84" t="str">
        <x:v>ORD-2025-01948</x:v>
      </x:c>
      <x:c r="B2166" s="85" t="n">
        <x:v>45974</x:v>
      </x:c>
      <x:c r="C2166" s="84" t="str">
        <x:v>CUST-0476</x:v>
      </x:c>
      <x:c r="D2166" s="84" t="str">
        <x:v>Victoria Irwin</x:v>
      </x:c>
      <x:c r="E2166" s="84" t="str">
        <x:v>Small Business</x:v>
      </x:c>
      <x:c r="F2166" s="84" t="str">
        <x:v>Southeast</x:v>
      </x:c>
      <x:c r="G2166" s="84" t="str">
        <x:v> CHARLOTTE </x:v>
      </x:c>
      <x:c r="H2166" s="84" t="str">
        <x:v>Online</x:v>
      </x:c>
      <x:c r="I2166" s="84" t="str">
        <x:v>ACCS-003</x:v>
      </x:c>
      <x:c r="J2166" s="86" t="n">
        <x:v>2</x:v>
      </x:c>
      <x:c r="K2166" s="87" t="n">
        <x:v>0.2</x:v>
      </x:c>
      <x:c r="L2166" s="84" t="str">
        <x:v>Completed</x:v>
      </x:c>
      <x:c r="M2166" s="84" t="str">
        <x:v>Debit Card</x:v>
      </x:c>
      <x:c r="N2166" s="84" t="str">
        <x:v>Liam Parker</x:v>
      </x:c>
      <x:c r="O2166" s="85" t="n">
        <x:v>45976</x:v>
      </x:c>
      <x:c r="P2166" s="84" t="str">
        <x:v>WEB_2025_11</x:v>
      </x:c>
      <x:c r="Q2166" s="84" t="str">
        <x:v>Polarized Sunglasses</x:v>
      </x:c>
      <x:c r="R2166" s="84" t="str">
        <x:v>Accessories </x:v>
      </x:c>
    </x:row>
    <x:row r="2167">
      <x:c r="A2167" s="84" t="str">
        <x:v>ORD-2025-02213</x:v>
      </x:c>
      <x:c r="B2167" s="85" t="n">
        <x:v>45974</x:v>
      </x:c>
      <x:c r="C2167" s="84" t="str">
        <x:v>CUST-0638</x:v>
      </x:c>
      <x:c r="D2167" s="84" t="str">
        <x:v>Zara Roberts</x:v>
      </x:c>
      <x:c r="E2167" s="84" t="str">
        <x:v>Consumer</x:v>
      </x:c>
      <x:c r="F2167" s="84" t="str">
        <x:v>Northeast</x:v>
      </x:c>
      <x:c r="G2167" s="84" t="str">
        <x:v>Philadelphia</x:v>
      </x:c>
      <x:c r="H2167" s="84" t="str">
        <x:v>Marketplace</x:v>
      </x:c>
      <x:c r="I2167" s="84" t="str">
        <x:v>ELEC-002</x:v>
      </x:c>
      <x:c r="J2167" s="86" t="n">
        <x:v>2</x:v>
      </x:c>
      <x:c r="K2167" s="87" t="n">
        <x:v>0</x:v>
      </x:c>
      <x:c r="L2167" s="84" t="str">
        <x:v>Completed</x:v>
      </x:c>
      <x:c r="M2167" s="84" t="str">
        <x:v>Mobile Wallet</x:v>
      </x:c>
      <x:c r="N2167" s="84" t="str">
        <x:v> SOFIA BENNETT </x:v>
      </x:c>
      <x:c r="O2167" s="85" t="n">
        <x:v>45977</x:v>
      </x:c>
      <x:c r="P2167" s="84" t="str">
        <x:v>MKT_2025_11</x:v>
      </x:c>
      <x:c r="Q2167" s="84" t="str">
        <x:v>Smartwatch </x:v>
      </x:c>
      <x:c r="R2167" s="84" t="str">
        <x:v>Electronics</x:v>
      </x:c>
    </x:row>
    <x:row r="2168">
      <x:c r="A2168" s="84" t="str">
        <x:v>ORD-2025-00849</x:v>
      </x:c>
      <x:c r="B2168" s="85" t="n">
        <x:v>45975</x:v>
      </x:c>
      <x:c r="C2168" s="84" t="str">
        <x:v>CUST-0033</x:v>
      </x:c>
      <x:c r="D2168" s="84" t="str">
        <x:v>Sara Khan</x:v>
      </x:c>
      <x:c r="E2168" s="84" t="str">
        <x:v>Consumer</x:v>
      </x:c>
      <x:c r="F2168" s="84" t="str">
        <x:v>Midwest</x:v>
      </x:c>
      <x:c r="G2168" s="84" t="str">
        <x:v>Minneapolis</x:v>
      </x:c>
      <x:c r="H2168" s="84" t="str">
        <x:v>Marketplace</x:v>
      </x:c>
      <x:c r="I2168" s="84" t="str">
        <x:v>FITN-006</x:v>
      </x:c>
      <x:c r="J2168" s="86" t="n">
        <x:v>2</x:v>
      </x:c>
      <x:c r="K2168" s="87" t="n">
        <x:v>0.1</x:v>
      </x:c>
      <x:c r="L2168" s="84" t="str">
        <x:v>Completed</x:v>
      </x:c>
      <x:c r="M2168" s="84" t="str">
        <x:v>Debit Card</x:v>
      </x:c>
      <x:c r="N2168" s="84" t="str">
        <x:v>lucas grant</x:v>
      </x:c>
      <x:c r="O2168" s="85" t="n">
        <x:v>45981</x:v>
      </x:c>
      <x:c r="P2168" s="84" t="str">
        <x:v>MKT_2025_11</x:v>
      </x:c>
      <x:c r="Q2168" s="84" t="str">
        <x:v>Foam Roller</x:v>
      </x:c>
      <x:c r="R2168" s="84" t="str">
        <x:v>Fitness </x:v>
      </x:c>
    </x:row>
    <x:row r="2169">
      <x:c r="A2169" s="84" t="str">
        <x:v>ORD-2025-00876</x:v>
      </x:c>
      <x:c r="B2169" s="85" t="n">
        <x:v>45975</x:v>
      </x:c>
      <x:c r="C2169" s="84" t="str">
        <x:v>CUST-0599</x:v>
      </x:c>
      <x:c r="D2169" s="84" t="str">
        <x:v>caleb adams</x:v>
      </x:c>
      <x:c r="E2169" s="84" t="str">
        <x:v>Consumer</x:v>
      </x:c>
      <x:c r="F2169" s="84" t="str">
        <x:v>West</x:v>
      </x:c>
      <x:c r="G2169" s="84" t="str">
        <x:v>Phoenix</x:v>
      </x:c>
      <x:c r="H2169" s="84" t="str">
        <x:v>Retail Store</x:v>
      </x:c>
      <x:c r="I2169" s="84" t="str">
        <x:v>ELEC-001</x:v>
      </x:c>
      <x:c r="J2169" s="86" t="n">
        <x:v>2</x:v>
      </x:c>
      <x:c r="K2169" s="87" t="n">
        <x:v>0.1</x:v>
      </x:c>
      <x:c r="L2169" s="84" t="str">
        <x:v>Completed</x:v>
      </x:c>
      <x:c r="M2169" s="84" t="str">
        <x:v>Debit Card</x:v>
      </x:c>
      <x:c r="N2169" s="84" t="str">
        <x:v>Leo Martinez</x:v>
      </x:c>
      <x:c r="O2169" s="85" t="n">
        <x:v>45976</x:v>
      </x:c>
      <x:c r="P2169" s="84" t="str">
        <x:v>POS_2025_11</x:v>
      </x:c>
      <x:c r="Q2169" s="84" t="str">
        <x:v>Wireless Earbuds </x:v>
      </x:c>
      <x:c r="R2169" s="84" t="str">
        <x:v>Electronics</x:v>
      </x:c>
    </x:row>
    <x:row r="2170">
      <x:c r="A2170" s="84" t="str">
        <x:v>ORD-2025-01309</x:v>
      </x:c>
      <x:c r="B2170" s="85" t="n">
        <x:v>45975</x:v>
      </x:c>
      <x:c r="C2170" s="84" t="str">
        <x:v>CUST-0088</x:v>
      </x:c>
      <x:c r="D2170" s="84" t="str">
        <x:v>Jasmine Khan</x:v>
      </x:c>
      <x:c r="E2170" s="84" t="str">
        <x:v> CONSUMER </x:v>
      </x:c>
      <x:c r="F2170" s="84" t="str">
        <x:v>Northeast</x:v>
      </x:c>
      <x:c r="G2170" s="84" t="str">
        <x:v>Boston </x:v>
      </x:c>
      <x:c r="H2170" s="84" t="str">
        <x:v>retail store</x:v>
      </x:c>
      <x:c r="I2170" s="84" t="str">
        <x:v>ELEC-003</x:v>
      </x:c>
      <x:c r="J2170" s="86" t="n">
        <x:v>1</x:v>
      </x:c>
      <x:c r="K2170" s="87" t="n">
        <x:v>0.15</x:v>
      </x:c>
      <x:c r="L2170" s="84" t="str">
        <x:v>Completed</x:v>
      </x:c>
      <x:c r="M2170" s="84" t="str">
        <x:v>Mobile Wallet</x:v>
      </x:c>
      <x:c r="N2170" s="84" t="str">
        <x:v>Maya Brooks</x:v>
      </x:c>
      <x:c r="O2170" s="85" t="n">
        <x:v>45975</x:v>
      </x:c>
      <x:c r="P2170" s="84" t="str">
        <x:v>POS_2025_11</x:v>
      </x:c>
      <x:c r="Q2170" s="84" t="str">
        <x:v>Bluetooth Speaker</x:v>
      </x:c>
      <x:c r="R2170" s="84" t="str">
        <x:v>Electronics</x:v>
      </x:c>
    </x:row>
    <x:row r="2171">
      <x:c r="A2171" s="84" t="str">
        <x:v>ORD-2025-01534</x:v>
      </x:c>
      <x:c r="B2171" s="85" t="n">
        <x:v>45975</x:v>
      </x:c>
      <x:c r="C2171" s="84" t="str">
        <x:v>CUST-0524</x:v>
      </x:c>
      <x:c r="D2171" s="84" t="str">
        <x:v>Elena Adams</x:v>
      </x:c>
      <x:c r="E2171" s="84" t="str">
        <x:v>Consumer</x:v>
      </x:c>
      <x:c r="F2171" s="84" t="str">
        <x:v>Midwest</x:v>
      </x:c>
      <x:c r="G2171" s="84" t="str">
        <x:v>Detroit</x:v>
      </x:c>
      <x:c r="H2171" s="84" t="str">
        <x:v>Online</x:v>
      </x:c>
      <x:c r="I2171" s="84" t="str">
        <x:v>ELEC-005</x:v>
      </x:c>
      <x:c r="J2171" s="86" t="n">
        <x:v>2</x:v>
      </x:c>
      <x:c r="K2171" s="87" t="n">
        <x:v>0.2</x:v>
      </x:c>
      <x:c r="L2171" s="84" t="str">
        <x:v>Completed</x:v>
      </x:c>
      <x:c r="M2171" s="84" t="str">
        <x:v>Credit Card</x:v>
      </x:c>
      <x:c r="N2171" s="84" t="str">
        <x:v>Zoe Turner</x:v>
      </x:c>
      <x:c r="O2171" s="85" t="n">
        <x:v>45980</x:v>
      </x:c>
      <x:c r="P2171" s="84" t="str">
        <x:v>WEB_2025_11</x:v>
      </x:c>
      <x:c r="Q2171" s="84" t="str">
        <x:v> HD WEBCAM </x:v>
      </x:c>
      <x:c r="R2171" s="84" t="str">
        <x:v>Electronics</x:v>
      </x:c>
    </x:row>
    <x:row r="2172">
      <x:c r="A2172" s="84" t="str">
        <x:v>ORD-2025-01540</x:v>
      </x:c>
      <x:c r="B2172" s="85" t="n">
        <x:v>45975</x:v>
      </x:c>
      <x:c r="C2172" s="84" t="str">
        <x:v>CUST-0175</x:v>
      </x:c>
      <x:c r="D2172" s="84" t="str">
        <x:v>Maya Johnson</x:v>
      </x:c>
      <x:c r="E2172" s="84" t="str">
        <x:v>small business</x:v>
      </x:c>
      <x:c r="F2172" s="84" t="str">
        <x:v>Northeast</x:v>
      </x:c>
      <x:c r="G2172" s="84" t="str">
        <x:v> NEW YORK </x:v>
      </x:c>
      <x:c r="H2172" s="84" t="str">
        <x:v>online</x:v>
      </x:c>
      <x:c r="I2172" s="84" t="str">
        <x:v>CARE-006</x:v>
      </x:c>
      <x:c r="J2172" s="86" t="n">
        <x:v>1</x:v>
      </x:c>
      <x:c r="K2172" s="87" t="n">
        <x:v>0.05</x:v>
      </x:c>
      <x:c r="L2172" s="84" t="str">
        <x:v>Completed</x:v>
      </x:c>
      <x:c r="M2172" s="84" t="str">
        <x:v>Credit Card</x:v>
      </x:c>
      <x:c r="N2172" s="84" t="str">
        <x:v>Maya Brooks</x:v>
      </x:c>
      <x:c r="O2172" s="85" t="n">
        <x:v>45981</x:v>
      </x:c>
      <x:c r="P2172" s="84" t="str">
        <x:v>WEB_2025_11</x:v>
      </x:c>
      <x:c r="Q2172" s="84" t="str">
        <x:v>Percussion Massage Gun</x:v>
      </x:c>
      <x:c r="R2172" s="84" t="str">
        <x:v>Personal Care</x:v>
      </x:c>
    </x:row>
    <x:row r="2173">
      <x:c r="A2173" s="84" t="str">
        <x:v>ORD-2025-01844</x:v>
      </x:c>
      <x:c r="B2173" s="85" t="n">
        <x:v>45975</x:v>
      </x:c>
      <x:c r="C2173" s="84" t="str">
        <x:v>CUST-0495</x:v>
      </x:c>
      <x:c r="D2173" s="84" t="str">
        <x:v>victoria walker</x:v>
      </x:c>
      <x:c r="E2173" s="84" t="str">
        <x:v>Consumer</x:v>
      </x:c>
      <x:c r="F2173" s="84" t="str">
        <x:v>West</x:v>
      </x:c>
      <x:c r="G2173" s="84" t="str">
        <x:v>Denver</x:v>
      </x:c>
      <x:c r="H2173" s="84" t="str">
        <x:v>Marketplace </x:v>
      </x:c>
      <x:c r="I2173" s="84" t="str">
        <x:v>ACCS-005</x:v>
      </x:c>
      <x:c r="J2173" s="86" t="n">
        <x:v>3</x:v>
      </x:c>
      <x:c r="K2173" s="87" t="n">
        <x:v>0.15</x:v>
      </x:c>
      <x:c r="L2173" s="84" t="str">
        <x:v>Completed</x:v>
      </x:c>
      <x:c r="M2173" s="84" t="str">
        <x:v>Credit Card</x:v>
      </x:c>
      <x:c r="N2173" s="84" t="str">
        <x:v>Leo Martinez</x:v>
      </x:c>
      <x:c r="O2173" s="85" t="n">
        <x:v>45980</x:v>
      </x:c>
      <x:c r="P2173" s="84" t="str">
        <x:v>MKT_2025_11</x:v>
      </x:c>
      <x:c r="Q2173" s="84" t="str">
        <x:v>Protective Phone Case</x:v>
      </x:c>
      <x:c r="R2173" s="84" t="str">
        <x:v>Accessories</x:v>
      </x:c>
    </x:row>
    <x:row r="2174">
      <x:c r="A2174" s="84" t="str">
        <x:v>ORD-2025-01943</x:v>
      </x:c>
      <x:c r="B2174" s="85" t="n">
        <x:v>45975</x:v>
      </x:c>
      <x:c r="C2174" s="84" t="str">
        <x:v>CUST-0189</x:v>
      </x:c>
      <x:c r="D2174" s="84" t="str">
        <x:v>marcus taylor</x:v>
      </x:c>
      <x:c r="E2174" s="84" t="str">
        <x:v>Consumer</x:v>
      </x:c>
      <x:c r="F2174" s="84" t="str">
        <x:v>Midwest </x:v>
      </x:c>
      <x:c r="G2174" s="84" t="str">
        <x:v>Chicago</x:v>
      </x:c>
      <x:c r="H2174" s="84" t="str">
        <x:v>Marketplace</x:v>
      </x:c>
      <x:c r="I2174" s="84" t="str">
        <x:v>ACCS-002</x:v>
      </x:c>
      <x:c r="J2174" s="86" t="n">
        <x:v>2</x:v>
      </x:c>
      <x:c r="K2174" s="87" t="n">
        <x:v>0.15</x:v>
      </x:c>
      <x:c r="L2174" s="84" t="str">
        <x:v> COMPLETED </x:v>
      </x:c>
      <x:c r="M2174" s="84" t="str">
        <x:v>Credit Card</x:v>
      </x:c>
      <x:c r="N2174" s="84" t="str">
        <x:v>Zoe Turner </x:v>
      </x:c>
      <x:c r="O2174" s="85" t="n">
        <x:v>45981</x:v>
      </x:c>
      <x:c r="P2174" s="84" t="str">
        <x:v>MKT_2025_11</x:v>
      </x:c>
      <x:c r="Q2174" s="84" t="str">
        <x:v>Travel Backpack</x:v>
      </x:c>
      <x:c r="R2174" s="84" t="str">
        <x:v>Accessories</x:v>
      </x:c>
    </x:row>
    <x:row r="2175">
      <x:c r="A2175" s="84" t="str">
        <x:v>ORD-2025-00017</x:v>
      </x:c>
      <x:c r="B2175" s="85" t="n">
        <x:v>45976</x:v>
      </x:c>
      <x:c r="C2175" s="84" t="str">
        <x:v>CUST-0325</x:v>
      </x:c>
      <x:c r="D2175" s="84" t="str">
        <x:v>Caleb Baker</x:v>
      </x:c>
      <x:c r="E2175" s="84" t="str">
        <x:v> SMALL BUSINESS </x:v>
      </x:c>
      <x:c r="F2175" s="84" t="str">
        <x:v>West</x:v>
      </x:c>
      <x:c r="G2175" s="84" t="str">
        <x:v>Phoenix</x:v>
      </x:c>
      <x:c r="H2175" s="84" t="str">
        <x:v>Retail Store </x:v>
      </x:c>
      <x:c r="I2175" s="84" t="str">
        <x:v>HOME-003</x:v>
      </x:c>
      <x:c r="J2175" s="86" t="n">
        <x:v>1</x:v>
      </x:c>
      <x:c r="K2175" s="87" t="n">
        <x:v>0.1</x:v>
      </x:c>
      <x:c r="L2175" s="84" t="str">
        <x:v>Completed</x:v>
      </x:c>
      <x:c r="M2175" s="84" t="str">
        <x:v>Cash</x:v>
      </x:c>
      <x:c r="N2175" s="84" t="str">
        <x:v>Leo Martinez</x:v>
      </x:c>
      <x:c r="O2175" s="85" t="n">
        <x:v>45976</x:v>
      </x:c>
      <x:c r="P2175" s="84" t="str">
        <x:v>POS_2025_11</x:v>
      </x:c>
      <x:c r="Q2175" s="84" t="str">
        <x:v>Countertop Blender</x:v>
      </x:c>
      <x:c r="R2175" s="84" t="str">
        <x:v>Home &amp; Kitchen</x:v>
      </x:c>
    </x:row>
    <x:row r="2176">
      <x:c r="A2176" s="84" t="str">
        <x:v>ORD-2025-00133</x:v>
      </x:c>
      <x:c r="B2176" s="85" t="n">
        <x:v>45976</x:v>
      </x:c>
      <x:c r="C2176" s="84" t="str">
        <x:v>CUST-0442</x:v>
      </x:c>
      <x:c r="D2176" s="84" t="str">
        <x:v> ELENA IRWIN </x:v>
      </x:c>
      <x:c r="E2176" s="84" t="str">
        <x:v>Consumer </x:v>
      </x:c>
      <x:c r="F2176" s="84" t="str">
        <x:v> NORTHEAST </x:v>
      </x:c>
      <x:c r="G2176" s="84" t="str">
        <x:v>Boston </x:v>
      </x:c>
      <x:c r="H2176" s="84" t="str">
        <x:v>Retail Store</x:v>
      </x:c>
      <x:c r="I2176" s="84" t="str">
        <x:v>CARE-004</x:v>
      </x:c>
      <x:c r="J2176" s="86" t="n">
        <x:v>1</x:v>
      </x:c>
      <x:c r="K2176" s="87" t="n">
        <x:v>0.05</x:v>
      </x:c>
      <x:c r="L2176" s="84" t="str">
        <x:v>Completed</x:v>
      </x:c>
      <x:c r="M2176" s="84" t="str">
        <x:v>Cash</x:v>
      </x:c>
      <x:c r="N2176" s="84" t="str">
        <x:v>Ethan Cole</x:v>
      </x:c>
      <x:c r="O2176" s="85" t="n">
        <x:v>45976</x:v>
      </x:c>
      <x:c r="P2176" s="84" t="str">
        <x:v>POS_2025_11</x:v>
      </x:c>
      <x:c r="Q2176" s="84" t="str">
        <x:v>Electric Toothbrush</x:v>
      </x:c>
      <x:c r="R2176" s="84" t="str">
        <x:v>Personal Care</x:v>
      </x:c>
    </x:row>
    <x:row r="2177">
      <x:c r="A2177" s="84" t="str">
        <x:v>ORD-2025-00195</x:v>
      </x:c>
      <x:c r="B2177" s="85" t="n">
        <x:v>45976</x:v>
      </x:c>
      <x:c r="C2177" s="84" t="str">
        <x:v>CUST-0322</x:v>
      </x:c>
      <x:c r="D2177" s="84" t="str">
        <x:v>Jasmine Khan</x:v>
      </x:c>
      <x:c r="E2177" s="84" t="str">
        <x:v>Corporate</x:v>
      </x:c>
      <x:c r="F2177" s="84" t="str">
        <x:v>southeast</x:v>
      </x:c>
      <x:c r="G2177" s="84" t="str">
        <x:v>Atlanta</x:v>
      </x:c>
      <x:c r="H2177" s="84" t="str">
        <x:v>Marketplace</x:v>
      </x:c>
      <x:c r="I2177" s="84" t="str">
        <x:v>CARE-004</x:v>
      </x:c>
      <x:c r="J2177" s="86" t="n">
        <x:v>4</x:v>
      </x:c>
      <x:c r="K2177" s="87" t="n">
        <x:v>0.1</x:v>
      </x:c>
      <x:c r="L2177" s="84" t="str">
        <x:v>Completed </x:v>
      </x:c>
      <x:c r="M2177" s="84" t="str">
        <x:v>Credit Card</x:v>
      </x:c>
      <x:c r="N2177" s="84" t="str">
        <x:v>Liam Parker</x:v>
      </x:c>
      <x:c r="O2177" s="85" t="n">
        <x:v>45980</x:v>
      </x:c>
      <x:c r="P2177" s="84" t="str">
        <x:v>MKT_2025_11</x:v>
      </x:c>
      <x:c r="Q2177" s="84" t="str">
        <x:v>Electric Toothbrush</x:v>
      </x:c>
      <x:c r="R2177" s="84" t="str">
        <x:v>Personal Care</x:v>
      </x:c>
    </x:row>
    <x:row r="2178">
      <x:c r="A2178" s="84" t="str">
        <x:v>ORD-2025-00407</x:v>
      </x:c>
      <x:c r="B2178" s="85" t="n">
        <x:v>45976</x:v>
      </x:c>
      <x:c r="C2178" s="84" t="str">
        <x:v>CUST-0517</x:v>
      </x:c>
      <x:c r="D2178" s="84" t="str">
        <x:v>Layla Irwin</x:v>
      </x:c>
      <x:c r="E2178" s="84" t="str">
        <x:v>corporate</x:v>
      </x:c>
      <x:c r="F2178" s="84" t="str">
        <x:v>Northeast</x:v>
      </x:c>
      <x:c r="G2178" s="84" t="str">
        <x:v>Newark</x:v>
      </x:c>
      <x:c r="H2178" s="84" t="str">
        <x:v>retail store</x:v>
      </x:c>
      <x:c r="I2178" s="84" t="str">
        <x:v>ACCS-003</x:v>
      </x:c>
      <x:c r="J2178" s="86" t="n">
        <x:v>2</x:v>
      </x:c>
      <x:c r="K2178" s="87" t="n">
        <x:v>0.05</x:v>
      </x:c>
      <x:c r="L2178" s="84" t="str">
        <x:v>Completed</x:v>
      </x:c>
      <x:c r="M2178" s="84" t="str">
        <x:v>Credit Card</x:v>
      </x:c>
      <x:c r="N2178" s="84" t="str">
        <x:v>Ethan Cole</x:v>
      </x:c>
      <x:c r="O2178" s="85" t="n">
        <x:v>45977</x:v>
      </x:c>
      <x:c r="P2178" s="84" t="str">
        <x:v>POS_2025_11</x:v>
      </x:c>
      <x:c r="Q2178" s="84" t="str">
        <x:v>Polarized Sunglasses </x:v>
      </x:c>
      <x:c r="R2178" s="84" t="str">
        <x:v>Accessories</x:v>
      </x:c>
    </x:row>
    <x:row r="2179">
      <x:c r="A2179" s="84" t="str">
        <x:v>ORD-2025-00433</x:v>
      </x:c>
      <x:c r="B2179" s="85" t="n">
        <x:v>45976</x:v>
      </x:c>
      <x:c r="C2179" s="84" t="str">
        <x:v>CUST-0556</x:v>
      </x:c>
      <x:c r="D2179" s="84" t="str">
        <x:v>Grace Khan</x:v>
      </x:c>
      <x:c r="E2179" s="84" t="str">
        <x:v>Corporate</x:v>
      </x:c>
      <x:c r="F2179" s="84" t="str">
        <x:v>West</x:v>
      </x:c>
      <x:c r="G2179" s="84" t="str">
        <x:v>los angeles</x:v>
      </x:c>
      <x:c r="H2179" s="84" t="str">
        <x:v>Online</x:v>
      </x:c>
      <x:c r="I2179" s="84" t="str">
        <x:v>ACCS-006</x:v>
      </x:c>
      <x:c r="J2179" s="86" t="n">
        <x:v>8</x:v>
      </x:c>
      <x:c r="K2179" s="87" t="n">
        <x:v>0.05</x:v>
      </x:c>
      <x:c r="L2179" s="84" t="str">
        <x:v>completed</x:v>
      </x:c>
      <x:c r="M2179" s="84" t="str">
        <x:v>Debit Card</x:v>
      </x:c>
      <x:c r="N2179" s="84" t="str">
        <x:v>Nora Kim</x:v>
      </x:c>
      <x:c r="O2179" s="85" t="n">
        <x:v>45980</x:v>
      </x:c>
      <x:c r="P2179" s="84" t="str">
        <x:v>WEB_2025_11</x:v>
      </x:c>
      <x:c r="Q2179" s="84" t="str">
        <x:v>Insulated Lunch Bag</x:v>
      </x:c>
      <x:c r="R2179" s="84" t="str">
        <x:v>Accessories</x:v>
      </x:c>
    </x:row>
    <x:row r="2180">
      <x:c r="A2180" s="84" t="str">
        <x:v>ORD-2025-00511</x:v>
      </x:c>
      <x:c r="B2180" s="85" t="n">
        <x:v>45976</x:v>
      </x:c>
      <x:c r="C2180" s="84" t="str">
        <x:v>CUST-0189</x:v>
      </x:c>
      <x:c r="D2180" s="84" t="str">
        <x:v>Marcus Taylor</x:v>
      </x:c>
      <x:c r="E2180" s="84" t="str">
        <x:v>Consumer </x:v>
      </x:c>
      <x:c r="F2180" s="84" t="str">
        <x:v>Midwest</x:v>
      </x:c>
      <x:c r="G2180" s="84" t="str">
        <x:v>Chicago </x:v>
      </x:c>
      <x:c r="H2180" s="84" t="str">
        <x:v>Online</x:v>
      </x:c>
      <x:c r="I2180" s="84" t="str">
        <x:v>FITN-006</x:v>
      </x:c>
      <x:c r="J2180" s="86" t="n">
        <x:v>4</x:v>
      </x:c>
      <x:c r="K2180" s="87" t="n">
        <x:v>0.05</x:v>
      </x:c>
      <x:c r="L2180" s="84" t="str">
        <x:v>Completed</x:v>
      </x:c>
      <x:c r="M2180" s="84" t="str">
        <x:v>Debit Card</x:v>
      </x:c>
      <x:c r="N2180" s="84" t="str">
        <x:v>Lucas Grant</x:v>
      </x:c>
      <x:c r="O2180" s="85" t="n">
        <x:v>45980</x:v>
      </x:c>
      <x:c r="P2180" s="84" t="str">
        <x:v>WEB_2025_11</x:v>
      </x:c>
      <x:c r="Q2180" s="84" t="str">
        <x:v>Foam Roller</x:v>
      </x:c>
      <x:c r="R2180" s="84" t="str">
        <x:v>Fitness</x:v>
      </x:c>
    </x:row>
    <x:row r="2181">
      <x:c r="A2181" s="84" t="str">
        <x:v>ORD-2025-00621</x:v>
      </x:c>
      <x:c r="B2181" s="85" t="n">
        <x:v>45976</x:v>
      </x:c>
      <x:c r="C2181" s="84" t="str">
        <x:v>CUST-0199</x:v>
      </x:c>
      <x:c r="D2181" s="84" t="str">
        <x:v>Theo Adams </x:v>
      </x:c>
      <x:c r="E2181" s="84" t="str">
        <x:v>Corporate</x:v>
      </x:c>
      <x:c r="F2181" s="84" t="str">
        <x:v>Northeast</x:v>
      </x:c>
      <x:c r="G2181" s="84" t="str">
        <x:v>Philadelphia</x:v>
      </x:c>
      <x:c r="H2181" s="84" t="str">
        <x:v>Retail Store</x:v>
      </x:c>
      <x:c r="I2181" s="84" t="str">
        <x:v>ACCS-004</x:v>
      </x:c>
      <x:c r="J2181" s="86" t="n">
        <x:v>4</x:v>
      </x:c>
      <x:c r="K2181" s="87" t="n">
        <x:v>0.1</x:v>
      </x:c>
      <x:c r="L2181" s="84" t="str">
        <x:v>Completed</x:v>
      </x:c>
      <x:c r="M2181" s="84" t="str">
        <x:v>Credit Card </x:v>
      </x:c>
      <x:c r="N2181" s="84" t="str">
        <x:v>Maya Brooks</x:v>
      </x:c>
      <x:c r="O2181" s="85" t="n">
        <x:v>45976</x:v>
      </x:c>
      <x:c r="P2181" s="84" t="str">
        <x:v>POS_2025_11</x:v>
      </x:c>
      <x:c r="Q2181" s="84" t="str">
        <x:v>Leather Wallet</x:v>
      </x:c>
      <x:c r="R2181" s="84" t="str">
        <x:v>Accessories</x:v>
      </x:c>
    </x:row>
    <x:row r="2182">
      <x:c r="A2182" s="84" t="str">
        <x:v>ORD-2025-01258</x:v>
      </x:c>
      <x:c r="B2182" s="85" t="n">
        <x:v>45976</x:v>
      </x:c>
      <x:c r="C2182" s="84" t="str">
        <x:v>CUST-0407</x:v>
      </x:c>
      <x:c r="D2182" s="84" t="str">
        <x:v>William Taylor </x:v>
      </x:c>
      <x:c r="E2182" s="84" t="str">
        <x:v> CORPORATE </x:v>
      </x:c>
      <x:c r="F2182" s="84" t="str">
        <x:v>West</x:v>
      </x:c>
      <x:c r="G2182" s="84" t="str">
        <x:v>phoenix</x:v>
      </x:c>
      <x:c r="H2182" s="84" t="str">
        <x:v>Retail Store</x:v>
      </x:c>
      <x:c r="I2182" s="84" t="str">
        <x:v>HOME-005</x:v>
      </x:c>
      <x:c r="J2182" s="86" t="n">
        <x:v>1</x:v>
      </x:c>
      <x:c r="K2182" s="87" t="n">
        <x:v>0.05</x:v>
      </x:c>
      <x:c r="L2182" s="84" t="str">
        <x:v>completed</x:v>
      </x:c>
      <x:c r="M2182" s="84" t="str">
        <x:v>Cash </x:v>
      </x:c>
      <x:c r="N2182" s="84" t="str">
        <x:v>Mia Chen</x:v>
      </x:c>
      <x:c r="O2182" s="85" t="n">
        <x:v>45976</x:v>
      </x:c>
      <x:c r="P2182" s="84" t="str">
        <x:v>POS_2025_11</x:v>
      </x:c>
      <x:c r="Q2182" s="84" t="str">
        <x:v>Cordless Vacuum</x:v>
      </x:c>
      <x:c r="R2182" s="84" t="str">
        <x:v>Home &amp; Kitchen</x:v>
      </x:c>
    </x:row>
    <x:row r="2183">
      <x:c r="A2183" s="84" t="str">
        <x:v>ORD-2025-01560</x:v>
      </x:c>
      <x:c r="B2183" s="85" t="n">
        <x:v>45976</x:v>
      </x:c>
      <x:c r="C2183" s="84" t="str">
        <x:v>CUST-0285</x:v>
      </x:c>
      <x:c r="D2183" s="84" t="str">
        <x:v>Caleb Evans</x:v>
      </x:c>
      <x:c r="E2183" s="84" t="str">
        <x:v>Consumer</x:v>
      </x:c>
      <x:c r="F2183" s="84" t="str">
        <x:v>Southeast</x:v>
      </x:c>
      <x:c r="G2183" s="84" t="str">
        <x:v>Charlotte</x:v>
      </x:c>
      <x:c r="H2183" s="84" t="str">
        <x:v>Online</x:v>
      </x:c>
      <x:c r="I2183" s="84" t="str">
        <x:v>HOME-005</x:v>
      </x:c>
      <x:c r="J2183" s="86" t="n">
        <x:v>2</x:v>
      </x:c>
      <x:c r="K2183" s="87" t="n">
        <x:v>0.15</x:v>
      </x:c>
      <x:c r="L2183" s="84" t="str">
        <x:v>Completed </x:v>
      </x:c>
      <x:c r="M2183" s="84" t="str">
        <x:v>Credit Card</x:v>
      </x:c>
      <x:c r="N2183" s="84" t="str">
        <x:v>Liam Parker</x:v>
      </x:c>
      <x:c r="O2183" s="85" t="n">
        <x:v>45982</x:v>
      </x:c>
      <x:c r="P2183" s="84" t="str">
        <x:v>WEB_2025_11</x:v>
      </x:c>
      <x:c r="Q2183" s="84" t="str">
        <x:v>cordless vacuum</x:v>
      </x:c>
      <x:c r="R2183" s="84" t="str">
        <x:v>Home &amp; Kitchen</x:v>
      </x:c>
    </x:row>
    <x:row r="2184">
      <x:c r="A2184" s="84" t="str">
        <x:v>ORD-2025-00006</x:v>
      </x:c>
      <x:c r="B2184" s="85" t="n">
        <x:v>45977</x:v>
      </x:c>
      <x:c r="C2184" s="84" t="str">
        <x:v>CUST-0415</x:v>
      </x:c>
      <x:c r="D2184" s="84" t="str">
        <x:v>Zara Foster</x:v>
      </x:c>
      <x:c r="E2184" s="84" t="str">
        <x:v>Corporate</x:v>
      </x:c>
      <x:c r="F2184" s="84" t="str">
        <x:v>Southeast</x:v>
      </x:c>
      <x:c r="G2184" s="84" t="str">
        <x:v>Charlotte</x:v>
      </x:c>
      <x:c r="H2184" s="84" t="str">
        <x:v> ONLINE </x:v>
      </x:c>
      <x:c r="I2184" s="84" t="str">
        <x:v>CARE-003</x:v>
      </x:c>
      <x:c r="J2184" s="86" t="n">
        <x:v>3</x:v>
      </x:c>
      <x:c r="K2184" s="87" t="n">
        <x:v>0.05</x:v>
      </x:c>
      <x:c r="L2184" s="84" t="str">
        <x:v>Returned </x:v>
      </x:c>
      <x:c r="M2184" s="84" t="str">
        <x:v>Mobile Wallet</x:v>
      </x:c>
      <x:c r="N2184" s="84" t="str">
        <x:v>Liam Parker</x:v>
      </x:c>
      <x:c r="O2184" s="85" t="n">
        <x:v>45981</x:v>
      </x:c>
      <x:c r="P2184" s="84" t="str">
        <x:v>WEB_2025_11</x:v>
      </x:c>
      <x:c r="Q2184" s="84" t="str">
        <x:v>Facial Cleanser</x:v>
      </x:c>
      <x:c r="R2184" s="84" t="str">
        <x:v>Personal Care</x:v>
      </x:c>
    </x:row>
    <x:row r="2185">
      <x:c r="A2185" s="84" t="str">
        <x:v>ORD-2025-00365</x:v>
      </x:c>
      <x:c r="B2185" s="85" t="n">
        <x:v>45977</x:v>
      </x:c>
      <x:c r="C2185" s="84" t="str">
        <x:v>CUST-0228</x:v>
      </x:c>
      <x:c r="D2185" s="84" t="str">
        <x:v>Victoria Irwin</x:v>
      </x:c>
      <x:c r="E2185" s="84" t="str">
        <x:v>Consumer</x:v>
      </x:c>
      <x:c r="F2185" s="84" t="str">
        <x:v>Midwest</x:v>
      </x:c>
      <x:c r="G2185" s="84" t="str">
        <x:v>Columbus</x:v>
      </x:c>
      <x:c r="H2185" s="84" t="str">
        <x:v>Marketplace</x:v>
      </x:c>
      <x:c r="I2185" s="84" t="str">
        <x:v>CARE-006</x:v>
      </x:c>
      <x:c r="J2185" s="86" t="n">
        <x:v>2</x:v>
      </x:c>
      <x:c r="K2185" s="87" t="n">
        <x:v>0.05</x:v>
      </x:c>
      <x:c r="L2185" s="84" t="str">
        <x:v>Completed</x:v>
      </x:c>
      <x:c r="M2185" s="84" t="str">
        <x:v>Credit Card</x:v>
      </x:c>
      <x:c r="N2185" s="84" t="str">
        <x:v>lucas grant</x:v>
      </x:c>
      <x:c r="O2185" s="85" t="n">
        <x:v>45982</x:v>
      </x:c>
      <x:c r="P2185" s="84" t="str">
        <x:v>MKT_2025_11</x:v>
      </x:c>
      <x:c r="Q2185" s="84" t="str">
        <x:v>Percussion Massage Gun </x:v>
      </x:c>
      <x:c r="R2185" s="84" t="str">
        <x:v>Personal Care</x:v>
      </x:c>
    </x:row>
    <x:row r="2186">
      <x:c r="A2186" s="84" t="str">
        <x:v>ORD-2025-02071</x:v>
      </x:c>
      <x:c r="B2186" s="85" t="n">
        <x:v>45977</x:v>
      </x:c>
      <x:c r="C2186" s="84" t="str">
        <x:v>CUST-0317</x:v>
      </x:c>
      <x:c r="D2186" s="84" t="str">
        <x:v> OWEN GARCIA </x:v>
      </x:c>
      <x:c r="E2186" s="84" t="str">
        <x:v>Consumer</x:v>
      </x:c>
      <x:c r="F2186" s="84" t="str">
        <x:v> WEST </x:v>
      </x:c>
      <x:c r="G2186" s="84" t="str">
        <x:v>Seattle</x:v>
      </x:c>
      <x:c r="H2186" s="84" t="str">
        <x:v>Retail Store</x:v>
      </x:c>
      <x:c r="I2186" s="84" t="str">
        <x:v>ELEC-005</x:v>
      </x:c>
      <x:c r="J2186" s="86" t="n">
        <x:v>2</x:v>
      </x:c>
      <x:c r="K2186" s="87" t="n">
        <x:v>0.2</x:v>
      </x:c>
      <x:c r="L2186" s="84" t="str">
        <x:v>Completed </x:v>
      </x:c>
      <x:c r="M2186" s="84" t="str">
        <x:v>Credit Card</x:v>
      </x:c>
      <x:c r="N2186" s="84" t="str">
        <x:v>Nora Kim</x:v>
      </x:c>
      <x:c r="O2186" s="85" t="n">
        <x:v>45977</x:v>
      </x:c>
      <x:c r="P2186" s="84" t="str">
        <x:v>POS_2025_11</x:v>
      </x:c>
      <x:c r="Q2186" s="84" t="str">
        <x:v>HD Webcam</x:v>
      </x:c>
      <x:c r="R2186" s="84" t="str">
        <x:v>electronics</x:v>
      </x:c>
    </x:row>
    <x:row r="2187">
      <x:c r="A2187" s="84" t="str">
        <x:v>ORD-2025-00417</x:v>
      </x:c>
      <x:c r="B2187" s="85" t="n">
        <x:v>45978</x:v>
      </x:c>
      <x:c r="C2187" s="84" t="str">
        <x:v>CUST-0409</x:v>
      </x:c>
      <x:c r="D2187" s="84" t="str">
        <x:v>Owen Ortiz</x:v>
      </x:c>
      <x:c r="E2187" s="84" t="str">
        <x:v>Consumer</x:v>
      </x:c>
      <x:c r="F2187" s="84" t="str">
        <x:v>West </x:v>
      </x:c>
      <x:c r="G2187" s="84" t="str">
        <x:v>Los Angeles</x:v>
      </x:c>
      <x:c r="H2187" s="84" t="str">
        <x:v>Marketplace</x:v>
      </x:c>
      <x:c r="I2187" s="84" t="str">
        <x:v>HOME-004</x:v>
      </x:c>
      <x:c r="J2187" s="86" t="n">
        <x:v>1</x:v>
      </x:c>
      <x:c r="K2187" s="87" t="n">
        <x:v>0.15</x:v>
      </x:c>
      <x:c r="L2187" s="84" t="str">
        <x:v>Completed</x:v>
      </x:c>
      <x:c r="M2187" s="84" t="str">
        <x:v>mobile wallet</x:v>
      </x:c>
      <x:c r="N2187" s="84" t="str">
        <x:v>Mia Chen </x:v>
      </x:c>
      <x:c r="O2187" s="85" t="n">
        <x:v>45981</x:v>
      </x:c>
      <x:c r="P2187" s="84" t="str">
        <x:v>MKT_2025_11</x:v>
      </x:c>
      <x:c r="Q2187" s="84" t="str">
        <x:v>Coffee Maker</x:v>
      </x:c>
      <x:c r="R2187" s="84" t="str">
        <x:v>Home &amp; Kitchen</x:v>
      </x:c>
    </x:row>
    <x:row r="2188">
      <x:c r="A2188" s="84" t="str">
        <x:v>ORD-2025-00467</x:v>
      </x:c>
      <x:c r="B2188" s="85" t="n">
        <x:v>45978</x:v>
      </x:c>
      <x:c r="C2188" s="84" t="str">
        <x:v>CUST-0374</x:v>
      </x:c>
      <x:c r="D2188" s="84" t="str">
        <x:v>Priya Lewis </x:v>
      </x:c>
      <x:c r="E2188" s="84" t="str">
        <x:v>Corporate</x:v>
      </x:c>
      <x:c r="F2188" s="84" t="str">
        <x:v>Southeast</x:v>
      </x:c>
      <x:c r="G2188" s="84" t="str">
        <x:v>Miami</x:v>
      </x:c>
      <x:c r="H2188" s="84" t="str">
        <x:v>Retail Store</x:v>
      </x:c>
      <x:c r="I2188" s="84" t="str">
        <x:v>HOME-001</x:v>
      </x:c>
      <x:c r="J2188" s="86" t="n">
        <x:v>3</x:v>
      </x:c>
      <x:c r="K2188" s="87" t="n">
        <x:v>0.2</x:v>
      </x:c>
      <x:c r="L2188" s="84" t="str">
        <x:v>Completed</x:v>
      </x:c>
      <x:c r="M2188" s="84" t="str">
        <x:v>Credit Card </x:v>
      </x:c>
      <x:c r="N2188" s="84" t="str">
        <x:v>Ava Mitchell</x:v>
      </x:c>
      <x:c r="O2188" s="85" t="n">
        <x:v>45978</x:v>
      </x:c>
      <x:c r="P2188" s="84" t="str">
        <x:v>POS_2025_11</x:v>
      </x:c>
      <x:c r="Q2188" s="84" t="str">
        <x:v>Air Fryer</x:v>
      </x:c>
      <x:c r="R2188" s="84" t="str">
        <x:v>Home &amp; Kitchen</x:v>
      </x:c>
    </x:row>
    <x:row r="2189">
      <x:c r="A2189" s="84" t="str">
        <x:v>ORD-2025-00856</x:v>
      </x:c>
      <x:c r="B2189" s="85" t="n">
        <x:v>45978</x:v>
      </x:c>
      <x:c r="C2189" s="84" t="str">
        <x:v>CUST-0535</x:v>
      </x:c>
      <x:c r="D2189" s="84" t="str">
        <x:v>Caleb Walker</x:v>
      </x:c>
      <x:c r="E2189" s="84" t="str">
        <x:v>Corporate</x:v>
      </x:c>
      <x:c r="F2189" s="84" t="str">
        <x:v>Southeast</x:v>
      </x:c>
      <x:c r="G2189" s="84" t="str">
        <x:v>Miami</x:v>
      </x:c>
      <x:c r="H2189" s="84" t="str">
        <x:v> MARKETPLACE </x:v>
      </x:c>
      <x:c r="I2189" s="84" t="str">
        <x:v>ELEC-002</x:v>
      </x:c>
      <x:c r="J2189" s="86" t="n">
        <x:v>2</x:v>
      </x:c>
      <x:c r="K2189" s="87" t="n">
        <x:v>0.1</x:v>
      </x:c>
      <x:c r="L2189" s="84" t="str">
        <x:v>Completed</x:v>
      </x:c>
      <x:c r="M2189" s="84" t="str">
        <x:v>Credit Card</x:v>
      </x:c>
      <x:c r="N2189" s="84" t="str">
        <x:v>Liam Parker</x:v>
      </x:c>
      <x:c r="O2189" s="85" t="n">
        <x:v>45984</x:v>
      </x:c>
      <x:c r="P2189" s="84" t="str">
        <x:v>MKT_2025_11</x:v>
      </x:c>
      <x:c r="Q2189" s="84" t="str">
        <x:v>smartwatch</x:v>
      </x:c>
      <x:c r="R2189" s="84" t="str">
        <x:v>Electronics </x:v>
      </x:c>
    </x:row>
    <x:row r="2190">
      <x:c r="A2190" s="84" t="str">
        <x:v>ORD-2025-01441</x:v>
      </x:c>
      <x:c r="B2190" s="85" t="n">
        <x:v>45978</x:v>
      </x:c>
      <x:c r="C2190" s="84" t="str">
        <x:v>CUST-0204</x:v>
      </x:c>
      <x:c r="D2190" s="84" t="str">
        <x:v>Jasmine Nelson</x:v>
      </x:c>
      <x:c r="E2190" s="84" t="str">
        <x:v>consumer</x:v>
      </x:c>
      <x:c r="F2190" s="84" t="str">
        <x:v>Midwest</x:v>
      </x:c>
      <x:c r="G2190" s="84" t="str">
        <x:v>Minneapolis</x:v>
      </x:c>
      <x:c r="H2190" s="84" t="str">
        <x:v>retail store</x:v>
      </x:c>
      <x:c r="I2190" s="84" t="str">
        <x:v>FITN-004</x:v>
      </x:c>
      <x:c r="J2190" s="86" t="n">
        <x:v>1</x:v>
      </x:c>
      <x:c r="K2190" s="87" t="n">
        <x:v>0</x:v>
      </x:c>
      <x:c r="L2190" s="84" t="str">
        <x:v>Completed </x:v>
      </x:c>
      <x:c r="M2190" s="84" t="str">
        <x:v>Mobile Wallet</x:v>
      </x:c>
      <x:c r="N2190" s="84" t="str">
        <x:v>Emma Hayes</x:v>
      </x:c>
      <x:c r="O2190" s="85" t="n">
        <x:v>45979</x:v>
      </x:c>
      <x:c r="P2190" s="84" t="str">
        <x:v>POS_2025_11</x:v>
      </x:c>
      <x:c r="Q2190" s="84" t="str">
        <x:v>Fitness Tracker</x:v>
      </x:c>
      <x:c r="R2190" s="84" t="str">
        <x:v>Fitness</x:v>
      </x:c>
    </x:row>
    <x:row r="2191">
      <x:c r="A2191" s="84" t="str">
        <x:v>ORD-2025-01488</x:v>
      </x:c>
      <x:c r="B2191" s="85" t="n">
        <x:v>45978</x:v>
      </x:c>
      <x:c r="C2191" s="84" t="str">
        <x:v>CUST-0022</x:v>
      </x:c>
      <x:c r="D2191" s="84" t="str">
        <x:v>Amelia Nelson</x:v>
      </x:c>
      <x:c r="E2191" s="84" t="str">
        <x:v>Corporate</x:v>
      </x:c>
      <x:c r="F2191" s="84" t="str">
        <x:v>Northeast </x:v>
      </x:c>
      <x:c r="G2191" s="84" t="str">
        <x:v>New York</x:v>
      </x:c>
      <x:c r="H2191" s="84" t="str">
        <x:v>Online</x:v>
      </x:c>
      <x:c r="I2191" s="84" t="str">
        <x:v>HOME-004</x:v>
      </x:c>
      <x:c r="J2191" s="86" t="n">
        <x:v>5</x:v>
      </x:c>
      <x:c r="K2191" s="87" t="n">
        <x:v>0</x:v>
      </x:c>
      <x:c r="L2191" s="84" t="str">
        <x:v>Completed</x:v>
      </x:c>
      <x:c r="M2191" s="84" t="str">
        <x:v>Debit Card</x:v>
      </x:c>
      <x:c r="N2191" s="84" t="str">
        <x:v>Ethan Cole </x:v>
      </x:c>
      <x:c r="O2191" s="85" t="n">
        <x:v>45983</x:v>
      </x:c>
      <x:c r="P2191" s="84" t="str">
        <x:v>WEB_2025_11</x:v>
      </x:c>
      <x:c r="Q2191" s="84" t="str">
        <x:v>Coffee Maker</x:v>
      </x:c>
      <x:c r="R2191" s="84" t="str">
        <x:v>home &amp; kitchen</x:v>
      </x:c>
    </x:row>
    <x:row r="2192">
      <x:c r="A2192" s="84" t="str">
        <x:v>ORD-2025-01913</x:v>
      </x:c>
      <x:c r="B2192" s="85" t="n">
        <x:v>45978</x:v>
      </x:c>
      <x:c r="C2192" s="84" t="str">
        <x:v>CUST-0621</x:v>
      </x:c>
      <x:c r="D2192" s="84" t="str">
        <x:v>Sara Hall</x:v>
      </x:c>
      <x:c r="E2192" s="84" t="str">
        <x:v>Consumer</x:v>
      </x:c>
      <x:c r="F2192" s="84" t="str">
        <x:v>Northeast</x:v>
      </x:c>
      <x:c r="G2192" s="84" t="str">
        <x:v>Philadelphia</x:v>
      </x:c>
      <x:c r="H2192" s="84" t="str">
        <x:v>Marketplace</x:v>
      </x:c>
      <x:c r="I2192" s="84" t="str">
        <x:v>ELEC-001</x:v>
      </x:c>
      <x:c r="J2192" s="86" t="n">
        <x:v>1</x:v>
      </x:c>
      <x:c r="K2192" s="87" t="n">
        <x:v>0.05</x:v>
      </x:c>
      <x:c r="L2192" s="84" t="str">
        <x:v>Completed</x:v>
      </x:c>
      <x:c r="M2192" s="84" t="str">
        <x:v>credit card</x:v>
      </x:c>
      <x:c r="N2192" s="84" t="str">
        <x:v>Sofia Bennett</x:v>
      </x:c>
      <x:c r="O2192" s="85" t="n">
        <x:v>45983</x:v>
      </x:c>
      <x:c r="P2192" s="84" t="str">
        <x:v>MKT_2025_11</x:v>
      </x:c>
      <x:c r="Q2192" s="84" t="str">
        <x:v>Wireless Earbuds</x:v>
      </x:c>
      <x:c r="R2192" s="84" t="str">
        <x:v>Electronics </x:v>
      </x:c>
    </x:row>
    <x:row r="2193">
      <x:c r="A2193" s="84" t="str">
        <x:v>ORD-2025-00212</x:v>
      </x:c>
      <x:c r="B2193" s="85" t="n">
        <x:v>45979</x:v>
      </x:c>
      <x:c r="C2193" s="84" t="str">
        <x:v>CUST-0631</x:v>
      </x:c>
      <x:c r="D2193" s="84" t="str">
        <x:v>Amelia Adams</x:v>
      </x:c>
      <x:c r="E2193" s="84" t="str">
        <x:v>Consumer</x:v>
      </x:c>
      <x:c r="F2193" s="84" t="str">
        <x:v>Midwest</x:v>
      </x:c>
      <x:c r="G2193" s="84" t="str">
        <x:v>Minneapolis</x:v>
      </x:c>
      <x:c r="H2193" s="84" t="str">
        <x:v>Online</x:v>
      </x:c>
      <x:c r="I2193" s="84" t="str">
        <x:v>ACCS-002</x:v>
      </x:c>
      <x:c r="J2193" s="86" t="n">
        <x:v>1</x:v>
      </x:c>
      <x:c r="K2193" s="87" t="n">
        <x:v>0.05</x:v>
      </x:c>
      <x:c r="L2193" s="84" t="str">
        <x:v>Completed</x:v>
      </x:c>
      <x:c r="M2193" s="84" t="str">
        <x:v>Credit Card</x:v>
      </x:c>
      <x:c r="N2193" s="84" t="str">
        <x:v>Emma Hayes</x:v>
      </x:c>
      <x:c r="O2193" s="85" t="n">
        <x:v>45983</x:v>
      </x:c>
      <x:c r="P2193" s="84" t="str">
        <x:v>WEB_2025_11</x:v>
      </x:c>
      <x:c r="Q2193" s="84" t="str">
        <x:v>Travel Backpack</x:v>
      </x:c>
      <x:c r="R2193" s="84" t="str">
        <x:v>accessories</x:v>
      </x:c>
    </x:row>
    <x:row r="2194">
      <x:c r="A2194" s="84" t="str">
        <x:v>ORD-2025-00319</x:v>
      </x:c>
      <x:c r="B2194" s="85" t="n">
        <x:v>45979</x:v>
      </x:c>
      <x:c r="C2194" s="84" t="str">
        <x:v>CUST-0091</x:v>
      </x:c>
      <x:c r="D2194" s="84" t="str">
        <x:v>Elena Garcia</x:v>
      </x:c>
      <x:c r="E2194" s="84" t="str">
        <x:v>corporate</x:v>
      </x:c>
      <x:c r="F2194" s="84" t="str">
        <x:v>West </x:v>
      </x:c>
      <x:c r="G2194" s="84" t="str">
        <x:v>Seattle</x:v>
      </x:c>
      <x:c r="H2194" s="84" t="str">
        <x:v>marketplace</x:v>
      </x:c>
      <x:c r="I2194" s="84" t="str">
        <x:v>HOME-003</x:v>
      </x:c>
      <x:c r="J2194" s="86" t="n">
        <x:v>8</x:v>
      </x:c>
      <x:c r="K2194" s="87" t="n">
        <x:v>0.1</x:v>
      </x:c>
      <x:c r="L2194" s="84" t="str">
        <x:v>Completed</x:v>
      </x:c>
      <x:c r="M2194" s="84" t="str">
        <x:v>Debit Card</x:v>
      </x:c>
      <x:c r="N2194" s="84" t="str">
        <x:v>Nora Kim </x:v>
      </x:c>
      <x:c r="O2194" s="85" t="n">
        <x:v>45983</x:v>
      </x:c>
      <x:c r="P2194" s="84" t="str">
        <x:v>MKT_2025_11</x:v>
      </x:c>
      <x:c r="Q2194" s="84" t="str">
        <x:v>Countertop Blender</x:v>
      </x:c>
      <x:c r="R2194" s="84" t="str">
        <x:v>Home &amp; Kitchen</x:v>
      </x:c>
    </x:row>
    <x:row r="2195">
      <x:c r="A2195" s="84" t="str">
        <x:v>ORD-2025-00550</x:v>
      </x:c>
      <x:c r="B2195" s="85" t="n">
        <x:v>45979</x:v>
      </x:c>
      <x:c r="C2195" s="84" t="str">
        <x:v>CUST-0312</x:v>
      </x:c>
      <x:c r="D2195" s="84" t="str">
        <x:v>Theo Carter</x:v>
      </x:c>
      <x:c r="E2195" s="84" t="str">
        <x:v>small business</x:v>
      </x:c>
      <x:c r="F2195" s="84" t="str">
        <x:v>Southeast </x:v>
      </x:c>
      <x:c r="G2195" s="84" t="str">
        <x:v>Atlanta</x:v>
      </x:c>
      <x:c r="H2195" s="84" t="str">
        <x:v> ONLINE </x:v>
      </x:c>
      <x:c r="I2195" s="84" t="str">
        <x:v>ELEC-006</x:v>
      </x:c>
      <x:c r="J2195" s="86" t="n">
        <x:v>2</x:v>
      </x:c>
      <x:c r="K2195" s="87" t="n">
        <x:v>0.05</x:v>
      </x:c>
      <x:c r="L2195" s="84" t="str">
        <x:v>Completed</x:v>
      </x:c>
      <x:c r="M2195" s="84" t="str">
        <x:v>Credit Card</x:v>
      </x:c>
      <x:c r="N2195" s="84" t="str">
        <x:v>Noah Reed </x:v>
      </x:c>
      <x:c r="O2195" s="85" t="n">
        <x:v>45984</x:v>
      </x:c>
      <x:c r="P2195" s="84" t="str">
        <x:v>WEB_2025_11</x:v>
      </x:c>
      <x:c r="Q2195" s="84" t="str">
        <x:v>Portable SSD</x:v>
      </x:c>
      <x:c r="R2195" s="84" t="str">
        <x:v>Electronics</x:v>
      </x:c>
    </x:row>
    <x:row r="2196">
      <x:c r="A2196" s="84" t="str">
        <x:v>ORD-2025-01010</x:v>
      </x:c>
      <x:c r="B2196" s="85" t="n">
        <x:v>45979</x:v>
      </x:c>
      <x:c r="C2196" s="84" t="str">
        <x:v>CUST-0254</x:v>
      </x:c>
      <x:c r="D2196" s="84" t="str">
        <x:v>Marcus Carter</x:v>
      </x:c>
      <x:c r="E2196" s="84" t="str">
        <x:v>Consumer</x:v>
      </x:c>
      <x:c r="F2196" s="84" t="str">
        <x:v>Northeast</x:v>
      </x:c>
      <x:c r="G2196" s="84" t="str">
        <x:v>Boston</x:v>
      </x:c>
      <x:c r="H2196" s="84" t="str">
        <x:v>Marketplace</x:v>
      </x:c>
      <x:c r="I2196" s="84" t="str">
        <x:v>HOME-006</x:v>
      </x:c>
      <x:c r="J2196" s="86" t="n">
        <x:v>2</x:v>
      </x:c>
      <x:c r="K2196" s="87" t="n">
        <x:v>0.1</x:v>
      </x:c>
      <x:c r="L2196" s="84" t="str">
        <x:v>Completed</x:v>
      </x:c>
      <x:c r="M2196" s="84" t="str">
        <x:v>PayPal</x:v>
      </x:c>
      <x:c r="N2196" s="84" t="str">
        <x:v>Ethan Cole</x:v>
      </x:c>
      <x:c r="O2196" s="85" t="n">
        <x:v>45984</x:v>
      </x:c>
      <x:c r="P2196" s="84" t="str">
        <x:v>MKT_2025_11</x:v>
      </x:c>
      <x:c r="Q2196" s="84" t="str">
        <x:v>food storage set</x:v>
      </x:c>
      <x:c r="R2196" s="84" t="str">
        <x:v>Home &amp; Kitchen </x:v>
      </x:c>
    </x:row>
    <x:row r="2197">
      <x:c r="A2197" s="84" t="str">
        <x:v>ORD-2025-01181</x:v>
      </x:c>
      <x:c r="B2197" s="85" t="n">
        <x:v>45979</x:v>
      </x:c>
      <x:c r="C2197" s="84" t="str">
        <x:v>CUST-0050</x:v>
      </x:c>
      <x:c r="D2197" s="84" t="str">
        <x:v>Isaac Davis </x:v>
      </x:c>
      <x:c r="E2197" s="84" t="str">
        <x:v>Consumer</x:v>
      </x:c>
      <x:c r="F2197" s="84" t="str">
        <x:v>Northeast</x:v>
      </x:c>
      <x:c r="G2197" s="84" t="str">
        <x:v>newark</x:v>
      </x:c>
      <x:c r="H2197" s="84" t="str">
        <x:v>Online</x:v>
      </x:c>
      <x:c r="I2197" s="84" t="str">
        <x:v>CARE-006</x:v>
      </x:c>
      <x:c r="J2197" s="86" t="n">
        <x:v>1</x:v>
      </x:c>
      <x:c r="K2197" s="87" t="n">
        <x:v>0</x:v>
      </x:c>
      <x:c r="L2197" s="84" t="str">
        <x:v>returned</x:v>
      </x:c>
      <x:c r="M2197" s="84" t="str">
        <x:v>Credit Card </x:v>
      </x:c>
      <x:c r="N2197" s="84" t="str">
        <x:v>Maya Brooks</x:v>
      </x:c>
      <x:c r="O2197" s="85" t="n">
        <x:v>45985</x:v>
      </x:c>
      <x:c r="P2197" s="84" t="str">
        <x:v>WEB_2025_11</x:v>
      </x:c>
      <x:c r="Q2197" s="84" t="str">
        <x:v>Percussion Massage Gun</x:v>
      </x:c>
      <x:c r="R2197" s="84" t="str">
        <x:v>Personal Care</x:v>
      </x:c>
    </x:row>
    <x:row r="2198">
      <x:c r="A2198" s="84" t="str">
        <x:v>ORD-2025-01335</x:v>
      </x:c>
      <x:c r="B2198" s="85" t="n">
        <x:v>45979</x:v>
      </x:c>
      <x:c r="C2198" s="84" t="str">
        <x:v>CUST-0142</x:v>
      </x:c>
      <x:c r="D2198" s="84" t="str">
        <x:v>Elena Adams </x:v>
      </x:c>
      <x:c r="E2198" s="84" t="str">
        <x:v>Consumer</x:v>
      </x:c>
      <x:c r="F2198" s="84" t="str">
        <x:v>Midwest</x:v>
      </x:c>
      <x:c r="G2198" s="84" t="str">
        <x:v>chicago</x:v>
      </x:c>
      <x:c r="H2198" s="84" t="str">
        <x:v>Online</x:v>
      </x:c>
      <x:c r="I2198" s="84" t="str">
        <x:v>ACCS-001</x:v>
      </x:c>
      <x:c r="J2198" s="86" t="n">
        <x:v>1</x:v>
      </x:c>
      <x:c r="K2198" s="87" t="n">
        <x:v>0</x:v>
      </x:c>
      <x:c r="L2198" s="84" t="str">
        <x:v>completed</x:v>
      </x:c>
      <x:c r="M2198" s="84" t="str">
        <x:v>Credit Card </x:v>
      </x:c>
      <x:c r="N2198" s="84" t="str">
        <x:v>Emma Hayes</x:v>
      </x:c>
      <x:c r="O2198" s="85" t="n">
        <x:v>45981</x:v>
      </x:c>
      <x:c r="P2198" s="84" t="str">
        <x:v>WEB_2025_11</x:v>
      </x:c>
      <x:c r="Q2198" s="84" t="str">
        <x:v>Canvas Tote Bag</x:v>
      </x:c>
      <x:c r="R2198" s="84" t="str">
        <x:v>Accessories</x:v>
      </x:c>
    </x:row>
    <x:row r="2199">
      <x:c r="A2199" s="84" t="str">
        <x:v>ORD-2025-01379</x:v>
      </x:c>
      <x:c r="B2199" s="85" t="n">
        <x:v>45979</x:v>
      </x:c>
      <x:c r="C2199" s="84" t="str">
        <x:v>CUST-0112</x:v>
      </x:c>
      <x:c r="D2199" s="84" t="str">
        <x:v>Victoria Patel</x:v>
      </x:c>
      <x:c r="E2199" s="84" t="str">
        <x:v>Consumer </x:v>
      </x:c>
      <x:c r="F2199" s="84" t="str">
        <x:v>Southeast</x:v>
      </x:c>
      <x:c r="G2199" s="84" t="str">
        <x:v>miami</x:v>
      </x:c>
      <x:c r="H2199" s="84" t="str">
        <x:v>Retail Store</x:v>
      </x:c>
      <x:c r="I2199" s="84" t="str">
        <x:v>HOME-002</x:v>
      </x:c>
      <x:c r="J2199" s="86" t="n">
        <x:v>1</x:v>
      </x:c>
      <x:c r="K2199" s="87" t="n">
        <x:v>0.1</x:v>
      </x:c>
      <x:c r="L2199" s="84" t="str">
        <x:v>completed</x:v>
      </x:c>
      <x:c r="M2199" s="84" t="str">
        <x:v>Mobile Wallet</x:v>
      </x:c>
      <x:c r="N2199" s="84" t="str">
        <x:v>Noah Reed</x:v>
      </x:c>
      <x:c r="O2199" s="85" t="n">
        <x:v>45979</x:v>
      </x:c>
      <x:c r="P2199" s="84" t="str">
        <x:v>POS_2025_11</x:v>
      </x:c>
      <x:c r="Q2199" s="84" t="str">
        <x:v>Electric Kettle</x:v>
      </x:c>
      <x:c r="R2199" s="84" t="str">
        <x:v>Home &amp; Kitchen</x:v>
      </x:c>
    </x:row>
    <x:row r="2200">
      <x:c r="A2200" s="84" t="str">
        <x:v>ORD-2025-01865</x:v>
      </x:c>
      <x:c r="B2200" s="85" t="n">
        <x:v>45979</x:v>
      </x:c>
      <x:c r="C2200" s="84" t="str">
        <x:v>CUST-0629</x:v>
      </x:c>
      <x:c r="D2200" s="84" t="str">
        <x:v>Nina Garcia</x:v>
      </x:c>
      <x:c r="E2200" s="84" t="str">
        <x:v>Consumer</x:v>
      </x:c>
      <x:c r="F2200" s="84" t="str">
        <x:v>Southeast</x:v>
      </x:c>
      <x:c r="G2200" s="84" t="str">
        <x:v>Charlotte</x:v>
      </x:c>
      <x:c r="H2200" s="84" t="str">
        <x:v>Retail Store </x:v>
      </x:c>
      <x:c r="I2200" s="84" t="str">
        <x:v>OFFC-004</x:v>
      </x:c>
      <x:c r="J2200" s="86" t="n">
        <x:v>1</x:v>
      </x:c>
      <x:c r="K2200" s="87" t="n">
        <x:v>0.1</x:v>
      </x:c>
      <x:c r="L2200" s="84" t="str">
        <x:v>Completed</x:v>
      </x:c>
      <x:c r="M2200" s="84" t="str">
        <x:v>Credit Card</x:v>
      </x:c>
      <x:c r="N2200" s="84" t="str">
        <x:v>Ava Mitchell</x:v>
      </x:c>
      <x:c r="O2200" s="85" t="n">
        <x:v>45979</x:v>
      </x:c>
      <x:c r="P2200" s="84" t="str">
        <x:v>POS_2025_11</x:v>
      </x:c>
      <x:c r="Q2200" s="84" t="str">
        <x:v>Premium Notebook Pack</x:v>
      </x:c>
      <x:c r="R2200" s="84" t="str">
        <x:v>Office</x:v>
      </x:c>
    </x:row>
    <x:row r="2201">
      <x:c r="A2201" s="84" t="str">
        <x:v>ORD-2025-02108</x:v>
      </x:c>
      <x:c r="B2201" s="85" t="n">
        <x:v>45979</x:v>
      </x:c>
      <x:c r="C2201" s="84" t="str">
        <x:v>CUST-0210</x:v>
      </x:c>
      <x:c r="D2201" s="84" t="str">
        <x:v>jonah walker</x:v>
      </x:c>
      <x:c r="E2201" s="84" t="str">
        <x:v> CONSUMER </x:v>
      </x:c>
      <x:c r="F2201" s="84" t="str">
        <x:v>West</x:v>
      </x:c>
      <x:c r="G2201" s="84" t="str">
        <x:v>Los Angeles</x:v>
      </x:c>
      <x:c r="H2201" s="84" t="str">
        <x:v>Online</x:v>
      </x:c>
      <x:c r="I2201" s="84" t="str">
        <x:v>ELEC-005</x:v>
      </x:c>
      <x:c r="J2201" s="86" t="n">
        <x:v>2</x:v>
      </x:c>
      <x:c r="K2201" s="87" t="n">
        <x:v>0.1</x:v>
      </x:c>
      <x:c r="L2201" s="84" t="str">
        <x:v>Completed</x:v>
      </x:c>
      <x:c r="M2201" s="84" t="str">
        <x:v>Debit Card</x:v>
      </x:c>
      <x:c r="N2201" s="84" t="str">
        <x:v>Nora Kim</x:v>
      </x:c>
      <x:c r="O2201" s="85" t="n">
        <x:v>45981</x:v>
      </x:c>
      <x:c r="P2201" s="84" t="str">
        <x:v>WEB_2025_11</x:v>
      </x:c>
      <x:c r="Q2201" s="84" t="str">
        <x:v>HD Webcam </x:v>
      </x:c>
      <x:c r="R2201" s="84" t="str">
        <x:v>Electronics</x:v>
      </x:c>
    </x:row>
    <x:row r="2202">
      <x:c r="A2202" s="84" t="str">
        <x:v>ORD-2025-00402</x:v>
      </x:c>
      <x:c r="B2202" s="85" t="n">
        <x:v>45980</x:v>
      </x:c>
      <x:c r="C2202" s="84" t="str">
        <x:v>CUST-0175</x:v>
      </x:c>
      <x:c r="D2202" s="84" t="str">
        <x:v>Maya Johnson</x:v>
      </x:c>
      <x:c r="E2202" s="84" t="str">
        <x:v>Small Business</x:v>
      </x:c>
      <x:c r="F2202" s="84" t="str">
        <x:v>Northeast</x:v>
      </x:c>
      <x:c r="G2202" s="84" t="str">
        <x:v>New York</x:v>
      </x:c>
      <x:c r="H2202" s="84" t="str">
        <x:v>Online </x:v>
      </x:c>
      <x:c r="I2202" s="84" t="str">
        <x:v>OFFC-004</x:v>
      </x:c>
      <x:c r="J2202" s="86" t="n">
        <x:v>2</x:v>
      </x:c>
      <x:c r="K2202" s="87" t="n">
        <x:v>0.1</x:v>
      </x:c>
      <x:c r="L2202" s="84" t="str">
        <x:v>Completed</x:v>
      </x:c>
      <x:c r="M2202" s="84" t="str">
        <x:v> MOBILE WALLET </x:v>
      </x:c>
      <x:c r="N2202" s="84" t="str">
        <x:v>Ethan Cole</x:v>
      </x:c>
      <x:c r="O2202" s="85" t="n">
        <x:v>45984</x:v>
      </x:c>
      <x:c r="P2202" s="84" t="str">
        <x:v>WEB_2025_11</x:v>
      </x:c>
      <x:c r="Q2202" s="84" t="str">
        <x:v>Premium Notebook Pack</x:v>
      </x:c>
      <x:c r="R2202" s="84" t="str">
        <x:v>Office</x:v>
      </x:c>
    </x:row>
    <x:row r="2203">
      <x:c r="A2203" s="84" t="str">
        <x:v>ORD-2025-01114</x:v>
      </x:c>
      <x:c r="B2203" s="85" t="n">
        <x:v>45980</x:v>
      </x:c>
      <x:c r="C2203" s="84" t="str">
        <x:v>CUST-0639</x:v>
      </x:c>
      <x:c r="D2203" s="84" t="str">
        <x:v>Isaac Evans</x:v>
      </x:c>
      <x:c r="E2203" s="84" t="str">
        <x:v>Consumer</x:v>
      </x:c>
      <x:c r="F2203" s="84" t="str">
        <x:v>Midwest</x:v>
      </x:c>
      <x:c r="G2203" s="84" t="str">
        <x:v>Columbus</x:v>
      </x:c>
      <x:c r="H2203" s="84" t="str">
        <x:v>Online</x:v>
      </x:c>
      <x:c r="I2203" s="84" t="str">
        <x:v>ELEC-005</x:v>
      </x:c>
      <x:c r="J2203" s="86" t="n">
        <x:v>1</x:v>
      </x:c>
      <x:c r="K2203" s="87" t="n">
        <x:v>0.1</x:v>
      </x:c>
      <x:c r="L2203" s="84" t="str">
        <x:v>Completed</x:v>
      </x:c>
      <x:c r="M2203" s="84" t="str">
        <x:v>Credit Card</x:v>
      </x:c>
      <x:c r="N2203" s="84" t="str">
        <x:v>Emma Hayes</x:v>
      </x:c>
      <x:c r="O2203" s="85" t="n">
        <x:v>45983</x:v>
      </x:c>
      <x:c r="P2203" s="84" t="str">
        <x:v>WEB_2025_11</x:v>
      </x:c>
      <x:c r="Q2203" s="84" t="str">
        <x:v>HD Webcam </x:v>
      </x:c>
      <x:c r="R2203" s="84" t="str">
        <x:v>electronics</x:v>
      </x:c>
    </x:row>
    <x:row r="2204">
      <x:c r="A2204" s="84" t="str">
        <x:v>ORD-2025-02259</x:v>
      </x:c>
      <x:c r="B2204" s="85" t="n">
        <x:v>45980</x:v>
      </x:c>
      <x:c r="C2204" s="84" t="str">
        <x:v>CUST-0271</x:v>
      </x:c>
      <x:c r="D2204" s="84" t="str">
        <x:v>Jonah Nelson </x:v>
      </x:c>
      <x:c r="E2204" s="84" t="str">
        <x:v>Consumer</x:v>
      </x:c>
      <x:c r="F2204" s="84" t="str">
        <x:v>Midwest</x:v>
      </x:c>
      <x:c r="G2204" s="84" t="str">
        <x:v>detroit</x:v>
      </x:c>
      <x:c r="H2204" s="84" t="str">
        <x:v>Retail Store</x:v>
      </x:c>
      <x:c r="I2204" s="84" t="str">
        <x:v>ELEC-005</x:v>
      </x:c>
      <x:c r="J2204" s="86" t="n">
        <x:v>1</x:v>
      </x:c>
      <x:c r="K2204" s="87" t="n">
        <x:v>0</x:v>
      </x:c>
      <x:c r="L2204" s="84" t="str">
        <x:v>completed</x:v>
      </x:c>
      <x:c r="M2204" s="84" t="str">
        <x:v>Credit Card </x:v>
      </x:c>
      <x:c r="N2204" s="84" t="str">
        <x:v>Lucas Grant</x:v>
      </x:c>
      <x:c r="O2204" s="85" t="n">
        <x:v>45980</x:v>
      </x:c>
      <x:c r="P2204" s="84" t="str">
        <x:v>POS_2025_11</x:v>
      </x:c>
      <x:c r="Q2204" s="84" t="str">
        <x:v>HD Webcam</x:v>
      </x:c>
      <x:c r="R2204" s="84" t="str">
        <x:v> ELECTRONICS </x:v>
      </x:c>
    </x:row>
    <x:row r="2205">
      <x:c r="A2205" s="84" t="str">
        <x:v>ORD-2025-02317</x:v>
      </x:c>
      <x:c r="B2205" s="85" t="n">
        <x:v>45980</x:v>
      </x:c>
      <x:c r="C2205" s="84" t="str">
        <x:v>CUST-0163</x:v>
      </x:c>
      <x:c r="D2205" s="84" t="str">
        <x:v>aiden davis</x:v>
      </x:c>
      <x:c r="E2205" s="84" t="str">
        <x:v>Consumer </x:v>
      </x:c>
      <x:c r="F2205" s="84" t="str">
        <x:v>Midwest</x:v>
      </x:c>
      <x:c r="G2205" s="84" t="str">
        <x:v>Chicago </x:v>
      </x:c>
      <x:c r="H2205" s="84" t="str">
        <x:v>Retail Store</x:v>
      </x:c>
      <x:c r="I2205" s="84" t="str">
        <x:v>ELEC-002</x:v>
      </x:c>
      <x:c r="J2205" s="86" t="n">
        <x:v>4</x:v>
      </x:c>
      <x:c r="K2205" s="87" t="n">
        <x:v>0</x:v>
      </x:c>
      <x:c r="L2205" s="84" t="str">
        <x:v> COMPLETED </x:v>
      </x:c>
      <x:c r="M2205" s="84" t="str">
        <x:v>Debit Card</x:v>
      </x:c>
      <x:c r="N2205" s="84" t="str">
        <x:v>Zoe Turner</x:v>
      </x:c>
      <x:c r="O2205" s="85" t="n">
        <x:v>45980</x:v>
      </x:c>
      <x:c r="P2205" s="84" t="str">
        <x:v>POS_2025_11</x:v>
      </x:c>
      <x:c r="Q2205" s="84" t="str">
        <x:v>Smartwatch</x:v>
      </x:c>
      <x:c r="R2205" s="84" t="str">
        <x:v>Electronics</x:v>
      </x:c>
    </x:row>
    <x:row r="2206">
      <x:c r="A2206" s="84" t="str">
        <x:v>ORD-2025-00043</x:v>
      </x:c>
      <x:c r="B2206" s="85" t="n">
        <x:v>45981</x:v>
      </x:c>
      <x:c r="C2206" s="84" t="str">
        <x:v>CUST-0232</x:v>
      </x:c>
      <x:c r="D2206" s="84" t="str">
        <x:v>Layla Smith</x:v>
      </x:c>
      <x:c r="E2206" s="84" t="str">
        <x:v>Consumer</x:v>
      </x:c>
      <x:c r="F2206" s="84" t="str">
        <x:v>Southeast</x:v>
      </x:c>
      <x:c r="G2206" s="84" t="str">
        <x:v>Atlanta</x:v>
      </x:c>
      <x:c r="H2206" s="84" t="str">
        <x:v>Online</x:v>
      </x:c>
      <x:c r="I2206" s="84" t="str">
        <x:v>ELEC-001</x:v>
      </x:c>
      <x:c r="J2206" s="86" t="n">
        <x:v>1</x:v>
      </x:c>
      <x:c r="K2206" s="87" t="n">
        <x:v>0</x:v>
      </x:c>
      <x:c r="L2206" s="84" t="str">
        <x:v>Completed</x:v>
      </x:c>
      <x:c r="M2206" s="84" t="str">
        <x:v>credit card</x:v>
      </x:c>
      <x:c r="N2206" s="84" t="str">
        <x:v>Noah Reed</x:v>
      </x:c>
      <x:c r="O2206" s="85" t="n">
        <x:v>45984</x:v>
      </x:c>
      <x:c r="P2206" s="84" t="str">
        <x:v>WEB_2025_11</x:v>
      </x:c>
      <x:c r="Q2206" s="84" t="str">
        <x:v>Wireless Earbuds </x:v>
      </x:c>
      <x:c r="R2206" s="84" t="str">
        <x:v>Electronics</x:v>
      </x:c>
    </x:row>
    <x:row r="2207">
      <x:c r="A2207" s="84" t="str">
        <x:v>ORD-2025-00910</x:v>
      </x:c>
      <x:c r="B2207" s="85" t="n">
        <x:v>45981</x:v>
      </x:c>
      <x:c r="C2207" s="84" t="str">
        <x:v>CUST-0138</x:v>
      </x:c>
      <x:c r="D2207" s="84" t="str">
        <x:v>Chloe Khan</x:v>
      </x:c>
      <x:c r="E2207" s="84" t="str">
        <x:v>Corporate </x:v>
      </x:c>
      <x:c r="F2207" s="84" t="str">
        <x:v>west</x:v>
      </x:c>
      <x:c r="G2207" s="84" t="str">
        <x:v>Denver </x:v>
      </x:c>
      <x:c r="H2207" s="84" t="str">
        <x:v>Retail Store</x:v>
      </x:c>
      <x:c r="I2207" s="84" t="str">
        <x:v>HOME-004</x:v>
      </x:c>
      <x:c r="J2207" s="86" t="n">
        <x:v>4</x:v>
      </x:c>
      <x:c r="K2207" s="87" t="n">
        <x:v>0.1</x:v>
      </x:c>
      <x:c r="L2207" s="84" t="str">
        <x:v>Completed</x:v>
      </x:c>
      <x:c r="M2207" s="84" t="str">
        <x:v>Debit Card</x:v>
      </x:c>
      <x:c r="N2207" s="84" t="str">
        <x:v>Leo Martinez</x:v>
      </x:c>
      <x:c r="O2207" s="85" t="n">
        <x:v>45982</x:v>
      </x:c>
      <x:c r="P2207" s="84" t="str">
        <x:v>POS_2025_11</x:v>
      </x:c>
      <x:c r="Q2207" s="84" t="str">
        <x:v>Coffee Maker</x:v>
      </x:c>
      <x:c r="R2207" s="84" t="str">
        <x:v>Home &amp; Kitchen</x:v>
      </x:c>
    </x:row>
    <x:row r="2208">
      <x:c r="A2208" s="84" t="str">
        <x:v>ORD-2025-01150</x:v>
      </x:c>
      <x:c r="B2208" s="85" t="n">
        <x:v>45981</x:v>
      </x:c>
      <x:c r="C2208" s="84" t="str">
        <x:v>CUST-0515</x:v>
      </x:c>
      <x:c r="D2208" s="84" t="str">
        <x:v>William Smith</x:v>
      </x:c>
      <x:c r="E2208" s="84" t="str">
        <x:v>Consumer</x:v>
      </x:c>
      <x:c r="F2208" s="84" t="str">
        <x:v>Midwest</x:v>
      </x:c>
      <x:c r="G2208" s="84" t="str">
        <x:v>Detroit</x:v>
      </x:c>
      <x:c r="H2208" s="84" t="str">
        <x:v>Marketplace</x:v>
      </x:c>
      <x:c r="I2208" s="84" t="str">
        <x:v>FITN-001</x:v>
      </x:c>
      <x:c r="J2208" s="86" t="n">
        <x:v>3</x:v>
      </x:c>
      <x:c r="K2208" s="87" t="n">
        <x:v>0.2</x:v>
      </x:c>
      <x:c r="L2208" s="84" t="str">
        <x:v>Completed</x:v>
      </x:c>
      <x:c r="M2208" s="84" t="str">
        <x:v> CREDIT CARD </x:v>
      </x:c>
      <x:c r="N2208" s="84" t="str">
        <x:v>Lucas Grant</x:v>
      </x:c>
      <x:c r="O2208" s="85" t="n">
        <x:v>45986</x:v>
      </x:c>
      <x:c r="P2208" s="84" t="str">
        <x:v>MKT_2025_11</x:v>
      </x:c>
      <x:c r="Q2208" s="84" t="str">
        <x:v>Yoga Mat</x:v>
      </x:c>
      <x:c r="R2208" s="84" t="str">
        <x:v>Fitness </x:v>
      </x:c>
    </x:row>
    <x:row r="2209">
      <x:c r="A2209" s="84" t="str">
        <x:v>ORD-2025-00089</x:v>
      </x:c>
      <x:c r="B2209" s="85" t="n">
        <x:v>45982</x:v>
      </x:c>
      <x:c r="C2209" s="84" t="str">
        <x:v>CUST-0350</x:v>
      </x:c>
      <x:c r="D2209" s="84" t="str">
        <x:v>Victoria Lewis </x:v>
      </x:c>
      <x:c r="E2209" s="84" t="str">
        <x:v>Consumer</x:v>
      </x:c>
      <x:c r="F2209" s="84" t="str">
        <x:v>Northeast</x:v>
      </x:c>
      <x:c r="G2209" s="84" t="str">
        <x:v>Philadelphia</x:v>
      </x:c>
      <x:c r="H2209" s="84" t="str">
        <x:v>Marketplace</x:v>
      </x:c>
      <x:c r="I2209" s="84" t="str">
        <x:v>ELEC-005</x:v>
      </x:c>
      <x:c r="J2209" s="86" t="n">
        <x:v>1</x:v>
      </x:c>
      <x:c r="K2209" s="87" t="n">
        <x:v>0.2</x:v>
      </x:c>
      <x:c r="L2209" s="84" t="str">
        <x:v>Completed</x:v>
      </x:c>
      <x:c r="M2209" s="84" t="str">
        <x:v>Debit Card </x:v>
      </x:c>
      <x:c r="N2209" s="84" t="str">
        <x:v>Sofia Bennett</x:v>
      </x:c>
      <x:c r="O2209" s="85" t="n">
        <x:v>45986</x:v>
      </x:c>
      <x:c r="P2209" s="84" t="str">
        <x:v>MKT_2025_11</x:v>
      </x:c>
      <x:c r="Q2209" s="84" t="str">
        <x:v> HD WEBCAM </x:v>
      </x:c>
      <x:c r="R2209" s="84" t="str">
        <x:v>Electronics</x:v>
      </x:c>
    </x:row>
    <x:row r="2210">
      <x:c r="A2210" s="84" t="str">
        <x:v>ORD-2025-00112</x:v>
      </x:c>
      <x:c r="B2210" s="85" t="n">
        <x:v>45982</x:v>
      </x:c>
      <x:c r="C2210" s="84" t="str">
        <x:v>CUST-0360</x:v>
      </x:c>
      <x:c r="D2210" s="84" t="str">
        <x:v>Elena Taylor</x:v>
      </x:c>
      <x:c r="E2210" s="84" t="str">
        <x:v>Corporate </x:v>
      </x:c>
      <x:c r="F2210" s="84" t="str">
        <x:v>Northeast</x:v>
      </x:c>
      <x:c r="G2210" s="84" t="str">
        <x:v> NEW YORK </x:v>
      </x:c>
      <x:c r="H2210" s="84" t="str">
        <x:v>Marketplace</x:v>
      </x:c>
      <x:c r="I2210" s="84" t="str">
        <x:v>HOME-002</x:v>
      </x:c>
      <x:c r="J2210" s="86" t="n">
        <x:v>2</x:v>
      </x:c>
      <x:c r="K2210" s="87" t="n">
        <x:v>0</x:v>
      </x:c>
      <x:c r="L2210" s="84" t="str">
        <x:v>Completed</x:v>
      </x:c>
      <x:c r="M2210" s="84" t="str">
        <x:v>Credit Card</x:v>
      </x:c>
      <x:c r="N2210" s="84" t="str">
        <x:v>sofia bennett</x:v>
      </x:c>
      <x:c r="O2210" s="85" t="n">
        <x:v>45988</x:v>
      </x:c>
      <x:c r="P2210" s="84" t="str">
        <x:v>MKT_2025_11</x:v>
      </x:c>
      <x:c r="Q2210" s="84" t="str">
        <x:v>Electric Kettle</x:v>
      </x:c>
      <x:c r="R2210" s="84" t="str">
        <x:v>Home &amp; Kitchen</x:v>
      </x:c>
    </x:row>
    <x:row r="2211">
      <x:c r="A2211" s="84" t="str">
        <x:v>ORD-2025-00820</x:v>
      </x:c>
      <x:c r="B2211" s="85" t="n">
        <x:v>45982</x:v>
      </x:c>
      <x:c r="C2211" s="84" t="str">
        <x:v>CUST-0110</x:v>
      </x:c>
      <x:c r="D2211" s="84" t="str">
        <x:v>Chloe Hall</x:v>
      </x:c>
      <x:c r="E2211" s="84" t="str">
        <x:v>Corporate</x:v>
      </x:c>
      <x:c r="F2211" s="84" t="str">
        <x:v>Southeast</x:v>
      </x:c>
      <x:c r="G2211" s="84" t="str">
        <x:v>Atlanta</x:v>
      </x:c>
      <x:c r="H2211" s="84" t="str">
        <x:v>Retail Store</x:v>
      </x:c>
      <x:c r="I2211" s="84" t="str">
        <x:v>HOME-002</x:v>
      </x:c>
      <x:c r="J2211" s="86" t="n">
        <x:v>2</x:v>
      </x:c>
      <x:c r="K2211" s="87" t="n">
        <x:v>0.15</x:v>
      </x:c>
      <x:c r="L2211" s="84" t="str">
        <x:v>Completed</x:v>
      </x:c>
      <x:c r="M2211" s="84" t="str">
        <x:v>Debit Card</x:v>
      </x:c>
      <x:c r="N2211" s="84" t="str">
        <x:v>Liam Parker</x:v>
      </x:c>
      <x:c r="O2211" s="85" t="n">
        <x:v>45982</x:v>
      </x:c>
      <x:c r="P2211" s="84" t="str">
        <x:v>POS_2025_11</x:v>
      </x:c>
      <x:c r="Q2211" s="84" t="str">
        <x:v> ELECTRIC KETTLE </x:v>
      </x:c>
      <x:c r="R2211" s="84" t="str">
        <x:v>Home &amp; Kitchen</x:v>
      </x:c>
    </x:row>
    <x:row r="2212">
      <x:c r="A2212" s="84" t="str">
        <x:v>ORD-2025-00956</x:v>
      </x:c>
      <x:c r="B2212" s="85" t="n">
        <x:v>45982</x:v>
      </x:c>
      <x:c r="C2212" s="84" t="str">
        <x:v>CUST-0102</x:v>
      </x:c>
      <x:c r="D2212" s="84" t="str">
        <x:v>Jonah Taylor</x:v>
      </x:c>
      <x:c r="E2212" s="84" t="str">
        <x:v>Corporate</x:v>
      </x:c>
      <x:c r="F2212" s="84" t="str">
        <x:v>Midwest </x:v>
      </x:c>
      <x:c r="G2212" s="84" t="str">
        <x:v>Columbus</x:v>
      </x:c>
      <x:c r="H2212" s="84" t="str">
        <x:v>Marketplace</x:v>
      </x:c>
      <x:c r="I2212" s="84" t="str">
        <x:v>ELEC-001</x:v>
      </x:c>
      <x:c r="J2212" s="86" t="n">
        <x:v>2</x:v>
      </x:c>
      <x:c r="K2212" s="87" t="n">
        <x:v>0.2</x:v>
      </x:c>
      <x:c r="L2212" s="84" t="str">
        <x:v>Completed</x:v>
      </x:c>
      <x:c r="M2212" s="84" t="str">
        <x:v>credit card</x:v>
      </x:c>
      <x:c r="N2212" s="84" t="str">
        <x:v>Lucas Grant </x:v>
      </x:c>
      <x:c r="O2212" s="85" t="n">
        <x:v>45985</x:v>
      </x:c>
      <x:c r="P2212" s="84" t="str">
        <x:v>MKT_2025_11</x:v>
      </x:c>
      <x:c r="Q2212" s="84" t="str">
        <x:v> WIRELESS EARBUDS </x:v>
      </x:c>
      <x:c r="R2212" s="84" t="str">
        <x:v>Electronics</x:v>
      </x:c>
    </x:row>
    <x:row r="2213">
      <x:c r="A2213" s="84" t="str">
        <x:v>ORD-2025-01196</x:v>
      </x:c>
      <x:c r="B2213" s="85" t="n">
        <x:v>45982</x:v>
      </x:c>
      <x:c r="C2213" s="84" t="str">
        <x:v>CUST-0178</x:v>
      </x:c>
      <x:c r="D2213" s="84" t="str">
        <x:v>Jasmine Baker</x:v>
      </x:c>
      <x:c r="E2213" s="84" t="str">
        <x:v>Corporate</x:v>
      </x:c>
      <x:c r="F2213" s="84" t="str">
        <x:v>northeast</x:v>
      </x:c>
      <x:c r="G2213" s="84" t="str">
        <x:v>New York</x:v>
      </x:c>
      <x:c r="H2213" s="84" t="str">
        <x:v> RETAIL STORE </x:v>
      </x:c>
      <x:c r="I2213" s="84" t="str">
        <x:v>OFFC-004</x:v>
      </x:c>
      <x:c r="J2213" s="86" t="n">
        <x:v>3</x:v>
      </x:c>
      <x:c r="K2213" s="87" t="n">
        <x:v>0</x:v>
      </x:c>
      <x:c r="L2213" s="84" t="str">
        <x:v>Completed </x:v>
      </x:c>
      <x:c r="M2213" s="84" t="str">
        <x:v>Debit Card</x:v>
      </x:c>
      <x:c r="N2213" s="84" t="str">
        <x:v>Maya Brooks</x:v>
      </x:c>
      <x:c r="O2213" s="85" t="n">
        <x:v>45982</x:v>
      </x:c>
      <x:c r="P2213" s="84" t="str">
        <x:v>POS_2025_11</x:v>
      </x:c>
      <x:c r="Q2213" s="84" t="str">
        <x:v>Premium Notebook Pack</x:v>
      </x:c>
      <x:c r="R2213" s="84" t="str">
        <x:v>Office</x:v>
      </x:c>
    </x:row>
    <x:row r="2214">
      <x:c r="A2214" s="84" t="str">
        <x:v>ORD-2025-01562</x:v>
      </x:c>
      <x:c r="B2214" s="85" t="n">
        <x:v>45982</x:v>
      </x:c>
      <x:c r="C2214" s="84" t="str">
        <x:v>CUST-0517</x:v>
      </x:c>
      <x:c r="D2214" s="84" t="str">
        <x:v>Layla Irwin</x:v>
      </x:c>
      <x:c r="E2214" s="84" t="str">
        <x:v>corporate</x:v>
      </x:c>
      <x:c r="F2214" s="84" t="str">
        <x:v>Northeast</x:v>
      </x:c>
      <x:c r="G2214" s="84" t="str">
        <x:v>Newark</x:v>
      </x:c>
      <x:c r="H2214" s="84" t="str">
        <x:v>marketplace</x:v>
      </x:c>
      <x:c r="I2214" s="84" t="str">
        <x:v>OFFC-001</x:v>
      </x:c>
      <x:c r="J2214" s="86" t="n">
        <x:v>8</x:v>
      </x:c>
      <x:c r="K2214" s="87" t="n">
        <x:v>0.15</x:v>
      </x:c>
      <x:c r="L2214" s="84" t="str">
        <x:v>Completed</x:v>
      </x:c>
      <x:c r="M2214" s="84" t="str">
        <x:v>Debit Card</x:v>
      </x:c>
      <x:c r="N2214" s="84" t="str">
        <x:v>Ethan Cole</x:v>
      </x:c>
      <x:c r="O2214" s="85" t="n">
        <x:v>45986</x:v>
      </x:c>
      <x:c r="P2214" s="84" t="str">
        <x:v>MKT_2025_11</x:v>
      </x:c>
      <x:c r="Q2214" s="84" t="str">
        <x:v>Ergonomic Chair </x:v>
      </x:c>
      <x:c r="R2214" s="84" t="str">
        <x:v> OFFICE </x:v>
      </x:c>
    </x:row>
    <x:row r="2215">
      <x:c r="A2215" s="84" t="str">
        <x:v>ORD-2025-01237</x:v>
      </x:c>
      <x:c r="B2215" s="85" t="n">
        <x:v>45983</x:v>
      </x:c>
      <x:c r="C2215" s="84" t="str">
        <x:v>CUST-0181</x:v>
      </x:c>
      <x:c r="D2215" s="84" t="str">
        <x:v>Chloe Baker </x:v>
      </x:c>
      <x:c r="E2215" s="84" t="str">
        <x:v>Corporate</x:v>
      </x:c>
      <x:c r="F2215" s="84" t="str">
        <x:v>Northeast</x:v>
      </x:c>
      <x:c r="G2215" s="84" t="str">
        <x:v>Boston</x:v>
      </x:c>
      <x:c r="H2215" s="84" t="str">
        <x:v>Retail Store</x:v>
      </x:c>
      <x:c r="I2215" s="84" t="str">
        <x:v>FITN-004</x:v>
      </x:c>
      <x:c r="J2215" s="86" t="n">
        <x:v>3</x:v>
      </x:c>
      <x:c r="K2215" s="87" t="n">
        <x:v>0.15</x:v>
      </x:c>
      <x:c r="L2215" s="84" t="str">
        <x:v>Completed</x:v>
      </x:c>
      <x:c r="M2215" s="84" t="str">
        <x:v>Debit Card </x:v>
      </x:c>
      <x:c r="N2215" s="84" t="str">
        <x:v>Sofia Bennett</x:v>
      </x:c>
      <x:c r="O2215" s="85" t="n">
        <x:v>45983</x:v>
      </x:c>
      <x:c r="P2215" s="84" t="str">
        <x:v>POS_2025_11</x:v>
      </x:c>
      <x:c r="Q2215" s="84" t="str">
        <x:v>Fitness Tracker</x:v>
      </x:c>
      <x:c r="R2215" s="84" t="str">
        <x:v>Fitness</x:v>
      </x:c>
    </x:row>
    <x:row r="2216">
      <x:c r="A2216" s="84" t="str">
        <x:v>ORD-2025-01237</x:v>
      </x:c>
      <x:c r="B2216" s="85" t="n">
        <x:v>45983</x:v>
      </x:c>
      <x:c r="C2216" s="84" t="str">
        <x:v>CUST-0181</x:v>
      </x:c>
      <x:c r="D2216" s="84" t="str">
        <x:v>Chloe Baker </x:v>
      </x:c>
      <x:c r="E2216" s="84" t="str">
        <x:v>Corporate</x:v>
      </x:c>
      <x:c r="F2216" s="84" t="str">
        <x:v>Northeast</x:v>
      </x:c>
      <x:c r="G2216" s="84" t="str">
        <x:v>Boston</x:v>
      </x:c>
      <x:c r="H2216" s="84" t="str">
        <x:v>Retail Store</x:v>
      </x:c>
      <x:c r="I2216" s="84" t="str">
        <x:v>FITN-004</x:v>
      </x:c>
      <x:c r="J2216" s="86" t="n">
        <x:v>3</x:v>
      </x:c>
      <x:c r="K2216" s="87" t="n">
        <x:v>0.15</x:v>
      </x:c>
      <x:c r="L2216" s="84" t="str">
        <x:v>Completed</x:v>
      </x:c>
      <x:c r="M2216" s="84" t="str">
        <x:v>Debit Card </x:v>
      </x:c>
      <x:c r="N2216" s="84" t="str">
        <x:v>Sofia Bennett</x:v>
      </x:c>
      <x:c r="O2216" s="85" t="n">
        <x:v>45983</x:v>
      </x:c>
      <x:c r="P2216" s="84" t="str">
        <x:v>RELOAD_POS_2025_11</x:v>
      </x:c>
      <x:c r="Q2216" s="84" t="str">
        <x:v>Fitness Tracker</x:v>
      </x:c>
      <x:c r="R2216" s="84" t="str">
        <x:v>Fitness</x:v>
      </x:c>
    </x:row>
    <x:row r="2217">
      <x:c r="A2217" s="84" t="str">
        <x:v>ORD-2025-01633</x:v>
      </x:c>
      <x:c r="B2217" s="85" t="n">
        <x:v>45983</x:v>
      </x:c>
      <x:c r="C2217" s="84" t="str">
        <x:v>CUST-0195</x:v>
      </x:c>
      <x:c r="D2217" s="84" t="str">
        <x:v>Aiden Carter</x:v>
      </x:c>
      <x:c r="E2217" s="84" t="str">
        <x:v>Corporate</x:v>
      </x:c>
      <x:c r="F2217" s="84" t="str">
        <x:v>Northeast</x:v>
      </x:c>
      <x:c r="G2217" s="84" t="str">
        <x:v>New York</x:v>
      </x:c>
      <x:c r="H2217" s="84" t="str">
        <x:v>Online</x:v>
      </x:c>
      <x:c r="I2217" s="84" t="str">
        <x:v>ACCS-004</x:v>
      </x:c>
      <x:c r="J2217" s="86" t="n">
        <x:v>2</x:v>
      </x:c>
      <x:c r="K2217" s="87" t="n">
        <x:v>0</x:v>
      </x:c>
      <x:c r="L2217" s="84" t="str">
        <x:v>Completed</x:v>
      </x:c>
      <x:c r="M2217" s="84" t="str">
        <x:v>Credit Card</x:v>
      </x:c>
      <x:c r="N2217" s="84" t="str">
        <x:v>Maya Brooks</x:v>
      </x:c>
      <x:c r="O2217" s="85" t="n">
        <x:v>45988</x:v>
      </x:c>
      <x:c r="P2217" s="84" t="str">
        <x:v>WEB_2025_11</x:v>
      </x:c>
      <x:c r="Q2217" s="84" t="str">
        <x:v>Leather Wallet</x:v>
      </x:c>
      <x:c r="R2217" s="84" t="str">
        <x:v>Accessories </x:v>
      </x:c>
    </x:row>
    <x:row r="2218">
      <x:c r="A2218" s="84" t="str">
        <x:v>ORD-2025-00735</x:v>
      </x:c>
      <x:c r="B2218" s="85" t="n">
        <x:v>45984</x:v>
      </x:c>
      <x:c r="C2218" s="84" t="str">
        <x:v>CUST-0318</x:v>
      </x:c>
      <x:c r="D2218" s="84" t="str">
        <x:v>Theo Baker</x:v>
      </x:c>
      <x:c r="E2218" s="84" t="str">
        <x:v>Consumer </x:v>
      </x:c>
      <x:c r="F2218" s="84" t="str">
        <x:v>Midwest</x:v>
      </x:c>
      <x:c r="G2218" s="84" t="str">
        <x:v>Detroit </x:v>
      </x:c>
      <x:c r="H2218" s="84" t="str">
        <x:v>Retail Store</x:v>
      </x:c>
      <x:c r="I2218" s="84" t="str">
        <x:v>ELEC-005</x:v>
      </x:c>
      <x:c r="J2218" s="86" t="n">
        <x:v>1</x:v>
      </x:c>
      <x:c r="K2218" s="87" t="n">
        <x:v>0</x:v>
      </x:c>
      <x:c r="L2218" s="84" t="str">
        <x:v>Completed</x:v>
      </x:c>
      <x:c r="M2218" s="84" t="str">
        <x:v>Credit Card</x:v>
      </x:c>
      <x:c r="N2218" s="84" t="str">
        <x:v>Zoe Turner</x:v>
      </x:c>
      <x:c r="O2218" s="85" t="n">
        <x:v>45984</x:v>
      </x:c>
      <x:c r="P2218" s="84" t="str">
        <x:v>POS_2025_11</x:v>
      </x:c>
      <x:c r="Q2218" s="84" t="str">
        <x:v> HD WEBCAM </x:v>
      </x:c>
      <x:c r="R2218" s="84" t="str">
        <x:v>Electronics</x:v>
      </x:c>
    </x:row>
    <x:row r="2219">
      <x:c r="A2219" s="84" t="str">
        <x:v>ORD-2025-00962</x:v>
      </x:c>
      <x:c r="B2219" s="85" t="n">
        <x:v>45984</x:v>
      </x:c>
      <x:c r="C2219" s="84" t="str">
        <x:v>CUST-0396</x:v>
      </x:c>
      <x:c r="D2219" s="84" t="str">
        <x:v>Victoria Carter</x:v>
      </x:c>
      <x:c r="E2219" s="84" t="str">
        <x:v>Consumer</x:v>
      </x:c>
      <x:c r="F2219" s="84" t="str">
        <x:v>Southeast</x:v>
      </x:c>
      <x:c r="G2219" s="84" t="str">
        <x:v> NASHVILLE </x:v>
      </x:c>
      <x:c r="H2219" s="84" t="str">
        <x:v>Retail Store </x:v>
      </x:c>
      <x:c r="I2219" s="84" t="str">
        <x:v>ELEC-003</x:v>
      </x:c>
      <x:c r="J2219" s="86" t="n">
        <x:v>1</x:v>
      </x:c>
      <x:c r="K2219" s="87" t="n">
        <x:v>0.05</x:v>
      </x:c>
      <x:c r="L2219" s="84" t="str">
        <x:v>Returned</x:v>
      </x:c>
      <x:c r="M2219" s="84" t="str">
        <x:v>Cash</x:v>
      </x:c>
      <x:c r="N2219" s="84" t="str">
        <x:v>Ava Mitchell</x:v>
      </x:c>
      <x:c r="O2219" s="85" t="n">
        <x:v>45984</x:v>
      </x:c>
      <x:c r="P2219" s="84" t="str">
        <x:v>POS_2025_11</x:v>
      </x:c>
      <x:c r="Q2219" s="84" t="str">
        <x:v>Bluetooth Speaker</x:v>
      </x:c>
      <x:c r="R2219" s="84" t="str">
        <x:v>Electronics</x:v>
      </x:c>
    </x:row>
    <x:row r="2220">
      <x:c r="A2220" s="84" t="str">
        <x:v>ORD-2025-01536</x:v>
      </x:c>
      <x:c r="B2220" s="85" t="n">
        <x:v>45984</x:v>
      </x:c>
      <x:c r="C2220" s="84" t="str">
        <x:v>CUST-0359</x:v>
      </x:c>
      <x:c r="D2220" s="84" t="str">
        <x:v>daniel hall</x:v>
      </x:c>
      <x:c r="E2220" s="84" t="str">
        <x:v>Small Business</x:v>
      </x:c>
      <x:c r="F2220" s="84" t="str">
        <x:v>West</x:v>
      </x:c>
      <x:c r="G2220" s="84" t="str">
        <x:v>Seattle</x:v>
      </x:c>
      <x:c r="H2220" s="84" t="str">
        <x:v> ONLINE </x:v>
      </x:c>
      <x:c r="I2220" s="84" t="str">
        <x:v>HOME-004</x:v>
      </x:c>
      <x:c r="J2220" s="86" t="n">
        <x:v>2</x:v>
      </x:c>
      <x:c r="K2220" s="87" t="n">
        <x:v>0.15</x:v>
      </x:c>
      <x:c r="L2220" s="84" t="str">
        <x:v>Completed</x:v>
      </x:c>
      <x:c r="M2220" s="84" t="str">
        <x:v>Debit Card</x:v>
      </x:c>
      <x:c r="N2220" s="84" t="str">
        <x:v>Nora Kim</x:v>
      </x:c>
      <x:c r="O2220" s="85" t="n">
        <x:v>45988</x:v>
      </x:c>
      <x:c r="P2220" s="84" t="str">
        <x:v>WEB_2025_11</x:v>
      </x:c>
      <x:c r="Q2220" s="84" t="str">
        <x:v>Coffee Maker</x:v>
      </x:c>
      <x:c r="R2220" s="84" t="str">
        <x:v>Home &amp; Kitchen</x:v>
      </x:c>
    </x:row>
    <x:row r="2221">
      <x:c r="A2221" s="84" t="str">
        <x:v>ORD-2025-01657</x:v>
      </x:c>
      <x:c r="B2221" s="85" t="n">
        <x:v>45984</x:v>
      </x:c>
      <x:c r="C2221" s="84" t="str">
        <x:v>CUST-0401</x:v>
      </x:c>
      <x:c r="D2221" s="84" t="str">
        <x:v>priya hall</x:v>
      </x:c>
      <x:c r="E2221" s="84" t="str">
        <x:v>Consumer</x:v>
      </x:c>
      <x:c r="F2221" s="84" t="str">
        <x:v>Northeast</x:v>
      </x:c>
      <x:c r="G2221" s="84" t="str">
        <x:v>Newark</x:v>
      </x:c>
      <x:c r="H2221" s="84" t="str">
        <x:v>Retail Store</x:v>
      </x:c>
      <x:c r="I2221" s="84" t="str">
        <x:v>ACCS-001</x:v>
      </x:c>
      <x:c r="J2221" s="86" t="n">
        <x:v>1</x:v>
      </x:c>
      <x:c r="K2221" s="87" t="n">
        <x:v>0.05</x:v>
      </x:c>
      <x:c r="L2221" s="84" t="str">
        <x:v>Completed</x:v>
      </x:c>
      <x:c r="M2221" s="84" t="str">
        <x:v>Credit Card </x:v>
      </x:c>
      <x:c r="N2221" s="84" t="str">
        <x:v>Sofia Bennett</x:v>
      </x:c>
      <x:c r="O2221" s="85" t="n">
        <x:v>45985</x:v>
      </x:c>
      <x:c r="P2221" s="84" t="str">
        <x:v>POS_2025_11</x:v>
      </x:c>
      <x:c r="Q2221" s="84" t="str">
        <x:v>Canvas Tote Bag</x:v>
      </x:c>
      <x:c r="R2221" s="84" t="str">
        <x:v>Accessories</x:v>
      </x:c>
    </x:row>
    <x:row r="2222">
      <x:c r="A2222" s="84" t="str">
        <x:v>ORD-2025-01915</x:v>
      </x:c>
      <x:c r="B2222" s="85" t="n">
        <x:v>45984</x:v>
      </x:c>
      <x:c r="C2222" s="84" t="str">
        <x:v>CUST-0161</x:v>
      </x:c>
      <x:c r="D2222" s="84" t="str">
        <x:v>Sara Patel</x:v>
      </x:c>
      <x:c r="E2222" s="84" t="str">
        <x:v>Consumer</x:v>
      </x:c>
      <x:c r="F2222" s="84" t="str">
        <x:v>Southeast </x:v>
      </x:c>
      <x:c r="G2222" s="84" t="str">
        <x:v>Atlanta</x:v>
      </x:c>
      <x:c r="H2222" s="84" t="str">
        <x:v>Online</x:v>
      </x:c>
      <x:c r="I2222" s="84" t="str">
        <x:v>HOME-003</x:v>
      </x:c>
      <x:c r="J2222" s="86" t="n">
        <x:v>2</x:v>
      </x:c>
      <x:c r="K2222" s="87" t="n">
        <x:v>0.1</x:v>
      </x:c>
      <x:c r="L2222" s="84" t="str">
        <x:v>Completed</x:v>
      </x:c>
      <x:c r="M2222" s="84" t="str">
        <x:v> CREDIT CARD </x:v>
      </x:c>
      <x:c r="N2222" s="84" t="str">
        <x:v>Liam Parker </x:v>
      </x:c>
      <x:c r="O2222" s="85" t="n">
        <x:v>45988</x:v>
      </x:c>
      <x:c r="P2222" s="84" t="str">
        <x:v>WEB_2025_11</x:v>
      </x:c>
      <x:c r="Q2222" s="84" t="str">
        <x:v>Countertop Blender</x:v>
      </x:c>
      <x:c r="R2222" s="84" t="str">
        <x:v>Home &amp; Kitchen</x:v>
      </x:c>
    </x:row>
    <x:row r="2223">
      <x:c r="A2223" s="84" t="str">
        <x:v>ORD-2025-01991</x:v>
      </x:c>
      <x:c r="B2223" s="85" t="n">
        <x:v>45984</x:v>
      </x:c>
      <x:c r="C2223" s="84" t="str">
        <x:v>CUST-0537</x:v>
      </x:c>
      <x:c r="D2223" s="84" t="str">
        <x:v>Grace Young</x:v>
      </x:c>
      <x:c r="E2223" s="84" t="str">
        <x:v>consumer</x:v>
      </x:c>
      <x:c r="F2223" s="84" t="str">
        <x:v>Northeast</x:v>
      </x:c>
      <x:c r="G2223" s="84" t="str">
        <x:v>Philadelphia</x:v>
      </x:c>
      <x:c r="H2223" s="84" t="str">
        <x:v>retail store</x:v>
      </x:c>
      <x:c r="I2223" s="84" t="str">
        <x:v>CARE-001</x:v>
      </x:c>
      <x:c r="J2223" s="86" t="n">
        <x:v>2</x:v>
      </x:c>
      <x:c r="K2223" s="87" t="n">
        <x:v>0.1</x:v>
      </x:c>
      <x:c r="L2223" s="84" t="str">
        <x:v>Completed</x:v>
      </x:c>
      <x:c r="M2223" s="84" t="str">
        <x:v>Mobile Wallet</x:v>
      </x:c>
      <x:c r="N2223" s="84" t="str">
        <x:v>Ethan Cole</x:v>
      </x:c>
      <x:c r="O2223" s="85" t="n">
        <x:v>45984</x:v>
      </x:c>
      <x:c r="P2223" s="84" t="str">
        <x:v>POS_2025_11</x:v>
      </x:c>
      <x:c r="Q2223" s="84" t="str">
        <x:v>Ionic Hair Dryer</x:v>
      </x:c>
      <x:c r="R2223" s="84" t="str">
        <x:v>Personal Care</x:v>
      </x:c>
    </x:row>
    <x:row r="2224">
      <x:c r="A2224" s="84" t="str">
        <x:v>ORD-2025-00332</x:v>
      </x:c>
      <x:c r="B2224" s="85" t="n">
        <x:v>45985</x:v>
      </x:c>
      <x:c r="C2224" s="84" t="str">
        <x:v>CUST-0169</x:v>
      </x:c>
      <x:c r="D2224" s="84" t="str">
        <x:v>Marcus Evans</x:v>
      </x:c>
      <x:c r="E2224" s="84" t="str">
        <x:v>Corporate</x:v>
      </x:c>
      <x:c r="F2224" s="84" t="str">
        <x:v>Northeast</x:v>
      </x:c>
      <x:c r="G2224" s="84" t="str">
        <x:v>New York</x:v>
      </x:c>
      <x:c r="H2224" s="84" t="str">
        <x:v>Retail Store </x:v>
      </x:c>
      <x:c r="I2224" s="84" t="str">
        <x:v>ELEC-005</x:v>
      </x:c>
      <x:c r="J2224" s="86" t="n">
        <x:v>6</x:v>
      </x:c>
      <x:c r="K2224" s="87" t="n">
        <x:v>0.1</x:v>
      </x:c>
      <x:c r="L2224" s="84" t="str">
        <x:v>Completed</x:v>
      </x:c>
      <x:c r="M2224" s="84" t="str">
        <x:v>Credit Card</x:v>
      </x:c>
      <x:c r="N2224" s="84" t="str">
        <x:v>ethan cole</x:v>
      </x:c>
      <x:c r="O2224" s="85" t="n">
        <x:v>45985</x:v>
      </x:c>
      <x:c r="P2224" s="84" t="str">
        <x:v>POS_2025_11</x:v>
      </x:c>
      <x:c r="Q2224" s="84" t="str">
        <x:v>HD Webcam</x:v>
      </x:c>
      <x:c r="R2224" s="84" t="str">
        <x:v>Electronics</x:v>
      </x:c>
    </x:row>
    <x:row r="2225">
      <x:c r="A2225" s="84" t="str">
        <x:v>ORD-2025-00556</x:v>
      </x:c>
      <x:c r="B2225" s="85" t="n">
        <x:v>45985</x:v>
      </x:c>
      <x:c r="C2225" s="84" t="str">
        <x:v>CUST-0029</x:v>
      </x:c>
      <x:c r="D2225" s="84" t="str">
        <x:v>Theo Ortiz</x:v>
      </x:c>
      <x:c r="E2225" s="84" t="str">
        <x:v>Corporate</x:v>
      </x:c>
      <x:c r="F2225" s="84" t="str">
        <x:v>Northeast</x:v>
      </x:c>
      <x:c r="G2225" s="84" t="str">
        <x:v>Philadelphia</x:v>
      </x:c>
      <x:c r="H2225" s="84" t="str">
        <x:v>Online </x:v>
      </x:c>
      <x:c r="I2225" s="84" t="str">
        <x:v>FITN-006</x:v>
      </x:c>
      <x:c r="J2225" s="86" t="n">
        <x:v>1</x:v>
      </x:c>
      <x:c r="K2225" s="87" t="n">
        <x:v>0.1</x:v>
      </x:c>
      <x:c r="L2225" s="84" t="str">
        <x:v>Completed</x:v>
      </x:c>
      <x:c r="M2225" s="84" t="str">
        <x:v>Credit Card</x:v>
      </x:c>
      <x:c r="N2225" s="84" t="str">
        <x:v>Ethan Cole</x:v>
      </x:c>
      <x:c r="O2225" s="85" t="n">
        <x:v>45987</x:v>
      </x:c>
      <x:c r="P2225" s="84" t="str">
        <x:v>WEB_2025_11</x:v>
      </x:c>
      <x:c r="Q2225" s="84" t="str">
        <x:v>Foam Roller</x:v>
      </x:c>
      <x:c r="R2225" s="84" t="str">
        <x:v>Fitness</x:v>
      </x:c>
    </x:row>
    <x:row r="2226">
      <x:c r="A2226" s="84" t="str">
        <x:v>ORD-2025-00825</x:v>
      </x:c>
      <x:c r="B2226" s="85" t="n">
        <x:v>45985</x:v>
      </x:c>
      <x:c r="C2226" s="84" t="str">
        <x:v>CUST-0270</x:v>
      </x:c>
      <x:c r="D2226" s="84" t="str">
        <x:v>Victoria Nelson</x:v>
      </x:c>
      <x:c r="E2226" s="84" t="str">
        <x:v>consumer</x:v>
      </x:c>
      <x:c r="F2226" s="84" t="str">
        <x:v>Northeast</x:v>
      </x:c>
      <x:c r="G2226" s="84" t="str">
        <x:v>Newark</x:v>
      </x:c>
      <x:c r="H2226" s="84" t="str">
        <x:v>online</x:v>
      </x:c>
      <x:c r="I2226" s="84" t="str">
        <x:v>ELEC-001</x:v>
      </x:c>
      <x:c r="J2226" s="86" t="n">
        <x:v>1</x:v>
      </x:c>
      <x:c r="K2226" s="87" t="n">
        <x:v>0.15</x:v>
      </x:c>
      <x:c r="L2226" s="84" t="str">
        <x:v>Completed </x:v>
      </x:c>
      <x:c r="M2226" s="84" t="str">
        <x:v>Credit Card</x:v>
      </x:c>
      <x:c r="N2226" s="84" t="str">
        <x:v>Maya Brooks</x:v>
      </x:c>
      <x:c r="O2226" s="85" t="n">
        <x:v>45987</x:v>
      </x:c>
      <x:c r="P2226" s="84" t="str">
        <x:v>WEB_2025_11</x:v>
      </x:c>
      <x:c r="Q2226" s="84" t="str">
        <x:v>Wireless Earbuds</x:v>
      </x:c>
      <x:c r="R2226" s="84" t="str">
        <x:v>Electronics</x:v>
      </x:c>
    </x:row>
    <x:row r="2227">
      <x:c r="A2227" s="84" t="str">
        <x:v>ORD-2025-00957</x:v>
      </x:c>
      <x:c r="B2227" s="85" t="n">
        <x:v>45985</x:v>
      </x:c>
      <x:c r="C2227" s="84" t="str">
        <x:v>CUST-0035</x:v>
      </x:c>
      <x:c r="D2227" s="84" t="str">
        <x:v>Nathan Ortiz </x:v>
      </x:c>
      <x:c r="E2227" s="84" t="str">
        <x:v>corporate</x:v>
      </x:c>
      <x:c r="F2227" s="84" t="str">
        <x:v>Southeast</x:v>
      </x:c>
      <x:c r="G2227" s="84" t="str">
        <x:v>Charlotte</x:v>
      </x:c>
      <x:c r="H2227" s="84" t="str">
        <x:v>marketplace</x:v>
      </x:c>
      <x:c r="I2227" s="84" t="str">
        <x:v>HOME-003</x:v>
      </x:c>
      <x:c r="J2227" s="86" t="n">
        <x:v>4</x:v>
      </x:c>
      <x:c r="K2227" s="87" t="n">
        <x:v>0.15</x:v>
      </x:c>
      <x:c r="L2227" s="84" t="str">
        <x:v> COMPLETED </x:v>
      </x:c>
      <x:c r="M2227" s="84" t="str">
        <x:v>Mobile Wallet </x:v>
      </x:c>
      <x:c r="N2227" s="84" t="str">
        <x:v>Liam Parker</x:v>
      </x:c>
      <x:c r="O2227" s="85" t="n">
        <x:v>45992</x:v>
      </x:c>
      <x:c r="P2227" s="84" t="str">
        <x:v>MKT_2025_11</x:v>
      </x:c>
      <x:c r="Q2227" s="84" t="str">
        <x:v>Countertop Blender</x:v>
      </x:c>
      <x:c r="R2227" s="84" t="str">
        <x:v>Home &amp; Kitchen</x:v>
      </x:c>
    </x:row>
    <x:row r="2228">
      <x:c r="A2228" s="84" t="str">
        <x:v>ORD-2025-01058</x:v>
      </x:c>
      <x:c r="B2228" s="85" t="n">
        <x:v>45985</x:v>
      </x:c>
      <x:c r="C2228" s="84" t="str">
        <x:v>CUST-0602</x:v>
      </x:c>
      <x:c r="D2228" s="84" t="str">
        <x:v>Daniel Carter</x:v>
      </x:c>
      <x:c r="E2228" s="84" t="str">
        <x:v>Consumer</x:v>
      </x:c>
      <x:c r="F2228" s="84" t="str">
        <x:v>Southeast</x:v>
      </x:c>
      <x:c r="G2228" s="84" t="str">
        <x:v>Nashville</x:v>
      </x:c>
      <x:c r="H2228" s="84" t="str">
        <x:v>Retail Store</x:v>
      </x:c>
      <x:c r="I2228" s="84" t="str">
        <x:v>ELEC-001</x:v>
      </x:c>
      <x:c r="J2228" s="86" t="n">
        <x:v>1</x:v>
      </x:c>
      <x:c r="K2228" s="87" t="n">
        <x:v>0</x:v>
      </x:c>
      <x:c r="L2228" s="84" t="str">
        <x:v>Completed</x:v>
      </x:c>
      <x:c r="M2228" s="84" t="str">
        <x:v>Credit Card</x:v>
      </x:c>
      <x:c r="N2228" s="84" t="str">
        <x:v>liam parker</x:v>
      </x:c>
      <x:c r="O2228" s="85" t="n">
        <x:v>45986</x:v>
      </x:c>
      <x:c r="P2228" s="84" t="str">
        <x:v>POS_2025_11</x:v>
      </x:c>
      <x:c r="Q2228" s="84" t="str">
        <x:v> WIRELESS EARBUDS </x:v>
      </x:c>
      <x:c r="R2228" s="84" t="str">
        <x:v>Electronics</x:v>
      </x:c>
    </x:row>
    <x:row r="2229">
      <x:c r="A2229" s="84" t="str">
        <x:v>ORD-2025-01638</x:v>
      </x:c>
      <x:c r="B2229" s="85" t="n">
        <x:v>45985</x:v>
      </x:c>
      <x:c r="C2229" s="84" t="str">
        <x:v>CUST-0576</x:v>
      </x:c>
      <x:c r="D2229" s="84" t="str">
        <x:v>Maya Walker</x:v>
      </x:c>
      <x:c r="E2229" s="84" t="str">
        <x:v>Corporate </x:v>
      </x:c>
      <x:c r="F2229" s="84" t="str">
        <x:v>Northeast</x:v>
      </x:c>
      <x:c r="G2229" s="84" t="str">
        <x:v>New York </x:v>
      </x:c>
      <x:c r="H2229" s="84" t="str">
        <x:v> MARKETPLACE </x:v>
      </x:c>
      <x:c r="I2229" s="84" t="str">
        <x:v>OFFC-001</x:v>
      </x:c>
      <x:c r="J2229" s="86" t="n">
        <x:v>4</x:v>
      </x:c>
      <x:c r="K2229" s="87" t="n">
        <x:v>0.05</x:v>
      </x:c>
      <x:c r="L2229" s="84" t="str">
        <x:v>Completed</x:v>
      </x:c>
      <x:c r="M2229" s="84" t="str">
        <x:v>credit card</x:v>
      </x:c>
      <x:c r="N2229" s="84" t="str">
        <x:v>Ethan Cole</x:v>
      </x:c>
      <x:c r="O2229" s="85" t="n">
        <x:v>45991</x:v>
      </x:c>
      <x:c r="P2229" s="84" t="str">
        <x:v>MKT_2025_11</x:v>
      </x:c>
      <x:c r="Q2229" s="84" t="str">
        <x:v>Ergonomic Chair</x:v>
      </x:c>
      <x:c r="R2229" s="84" t="str">
        <x:v>Office</x:v>
      </x:c>
    </x:row>
    <x:row r="2230">
      <x:c r="A2230" s="84" t="str">
        <x:v>ORD-2025-01815</x:v>
      </x:c>
      <x:c r="B2230" s="85" t="n">
        <x:v>45985</x:v>
      </x:c>
      <x:c r="C2230" s="84" t="str">
        <x:v>CUST-0468</x:v>
      </x:c>
      <x:c r="D2230" s="84" t="str">
        <x:v>Sara Garcia</x:v>
      </x:c>
      <x:c r="E2230" s="84" t="str">
        <x:v>corporate</x:v>
      </x:c>
      <x:c r="F2230" s="84" t="str">
        <x:v>Northeast</x:v>
      </x:c>
      <x:c r="G2230" s="84" t="str">
        <x:v>Boston</x:v>
      </x:c>
      <x:c r="H2230" s="84" t="str">
        <x:v>marketplace</x:v>
      </x:c>
      <x:c r="I2230" s="84" t="str">
        <x:v>ACCS-003</x:v>
      </x:c>
      <x:c r="J2230" s="86" t="n">
        <x:v>5</x:v>
      </x:c>
      <x:c r="K2230" s="87" t="n">
        <x:v>0.1</x:v>
      </x:c>
      <x:c r="L2230" s="84" t="str">
        <x:v>Completed</x:v>
      </x:c>
      <x:c r="M2230" s="84" t="str">
        <x:v>PayPal</x:v>
      </x:c>
      <x:c r="N2230" s="84" t="str">
        <x:v>Sofia Bennett</x:v>
      </x:c>
      <x:c r="O2230" s="85" t="n">
        <x:v>45989</x:v>
      </x:c>
      <x:c r="P2230" s="84" t="str">
        <x:v>MKT_2025_11</x:v>
      </x:c>
      <x:c r="Q2230" s="84" t="str">
        <x:v>Polarized Sunglasses</x:v>
      </x:c>
      <x:c r="R2230" s="84" t="str">
        <x:v>Accessories </x:v>
      </x:c>
    </x:row>
    <x:row r="2231">
      <x:c r="A2231" s="84" t="str">
        <x:v>ORD-2025-02277</x:v>
      </x:c>
      <x:c r="B2231" s="85" t="n">
        <x:v>45985</x:v>
      </x:c>
      <x:c r="C2231" s="84" t="str">
        <x:v>CUST-0417</x:v>
      </x:c>
      <x:c r="D2231" s="84" t="str">
        <x:v>Amelia Evans</x:v>
      </x:c>
      <x:c r="E2231" s="84" t="str">
        <x:v>consumer</x:v>
      </x:c>
      <x:c r="F2231" s="84" t="str">
        <x:v>Northeast</x:v>
      </x:c>
      <x:c r="G2231" s="84" t="str">
        <x:v>Boston</x:v>
      </x:c>
      <x:c r="H2231" s="84" t="str">
        <x:v>retail store</x:v>
      </x:c>
      <x:c r="I2231" s="84" t="str">
        <x:v>ELEC-005</x:v>
      </x:c>
      <x:c r="J2231" s="86" t="n">
        <x:v>1</x:v>
      </x:c>
      <x:c r="K2231" s="87" t="n">
        <x:v>0</x:v>
      </x:c>
      <x:c r="L2231" s="84" t="str">
        <x:v>Completed</x:v>
      </x:c>
      <x:c r="M2231" s="84" t="str">
        <x:v>Debit Card</x:v>
      </x:c>
      <x:c r="N2231" s="84" t="str">
        <x:v>Maya Brooks</x:v>
      </x:c>
      <x:c r="O2231" s="85" t="n">
        <x:v>45985</x:v>
      </x:c>
      <x:c r="P2231" s="84" t="str">
        <x:v>POS_2025_11</x:v>
      </x:c>
      <x:c r="Q2231" s="84" t="str">
        <x:v>HD Webcam</x:v>
      </x:c>
      <x:c r="R2231" s="84" t="str">
        <x:v>Electronics </x:v>
      </x:c>
    </x:row>
    <x:row r="2232">
      <x:c r="A2232" s="84" t="str">
        <x:v>ORD-2025-02314</x:v>
      </x:c>
      <x:c r="B2232" s="85" t="n">
        <x:v>45985</x:v>
      </x:c>
      <x:c r="C2232" s="84" t="str">
        <x:v>CUST-0427</x:v>
      </x:c>
      <x:c r="D2232" s="84" t="str">
        <x:v>Aiden Ortiz</x:v>
      </x:c>
      <x:c r="E2232" s="84" t="str">
        <x:v>Consumer</x:v>
      </x:c>
      <x:c r="F2232" s="84" t="str">
        <x:v>West </x:v>
      </x:c>
      <x:c r="G2232" s="84" t="str">
        <x:v>los angeles</x:v>
      </x:c>
      <x:c r="H2232" s="84" t="str">
        <x:v>Online</x:v>
      </x:c>
      <x:c r="I2232" s="84" t="str">
        <x:v>CARE-001</x:v>
      </x:c>
      <x:c r="J2232" s="86" t="n">
        <x:v>2</x:v>
      </x:c>
      <x:c r="K2232" s="87" t="n">
        <x:v>0.2</x:v>
      </x:c>
      <x:c r="L2232" s="84" t="str">
        <x:v>completed</x:v>
      </x:c>
      <x:c r="M2232" s="84" t="str">
        <x:v>Debit Card</x:v>
      </x:c>
      <x:c r="N2232" s="84" t="str">
        <x:v>Nora Kim </x:v>
      </x:c>
      <x:c r="O2232" s="85" t="n">
        <x:v>45988</x:v>
      </x:c>
      <x:c r="P2232" s="84" t="str">
        <x:v>WEB_2025_11</x:v>
      </x:c>
      <x:c r="Q2232" s="84" t="str">
        <x:v>Ionic Hair Dryer</x:v>
      </x:c>
      <x:c r="R2232" s="84" t="str">
        <x:v>Personal Care</x:v>
      </x:c>
    </x:row>
    <x:row r="2233">
      <x:c r="A2233" s="84" t="str">
        <x:v>ORD-2025-01285</x:v>
      </x:c>
      <x:c r="B2233" s="85" t="n">
        <x:v>45986</x:v>
      </x:c>
      <x:c r="C2233" s="84" t="str">
        <x:v>CUST-0612</x:v>
      </x:c>
      <x:c r="D2233" s="84" t="str">
        <x:v>Nina Patel</x:v>
      </x:c>
      <x:c r="E2233" s="84" t="str">
        <x:v>Consumer</x:v>
      </x:c>
      <x:c r="F2233" s="84" t="str">
        <x:v>Northeast </x:v>
      </x:c>
      <x:c r="G2233" s="84" t="str">
        <x:v> PHILADELPHIA </x:v>
      </x:c>
      <x:c r="H2233" s="84" t="str">
        <x:v>Retail Store</x:v>
      </x:c>
      <x:c r="I2233" s="84" t="str">
        <x:v>ELEC-003</x:v>
      </x:c>
      <x:c r="J2233" s="86" t="n">
        <x:v>1</x:v>
      </x:c>
      <x:c r="K2233" s="87" t="n">
        <x:v>0</x:v>
      </x:c>
      <x:c r="L2233" s="84" t="str">
        <x:v>Completed</x:v>
      </x:c>
      <x:c r="M2233" s="84" t="str">
        <x:v>Cash</x:v>
      </x:c>
      <x:c r="N2233" s="84" t="str">
        <x:v>Ethan Cole </x:v>
      </x:c>
      <x:c r="O2233" s="85" t="n">
        <x:v>45986</x:v>
      </x:c>
      <x:c r="P2233" s="84" t="str">
        <x:v>POS_2025_11</x:v>
      </x:c>
      <x:c r="Q2233" s="84" t="str">
        <x:v>bluetooth speaker</x:v>
      </x:c>
      <x:c r="R2233" s="84" t="str">
        <x:v>Electronics</x:v>
      </x:c>
    </x:row>
    <x:row r="2234">
      <x:c r="A2234" s="84" t="str">
        <x:v>ORD-2025-01667</x:v>
      </x:c>
      <x:c r="B2234" s="85" t="n">
        <x:v>45986</x:v>
      </x:c>
      <x:c r="C2234" s="84" t="str">
        <x:v>CUST-0253</x:v>
      </x:c>
      <x:c r="D2234" s="84" t="str">
        <x:v>Caleb Quinn</x:v>
      </x:c>
      <x:c r="E2234" s="84" t="str">
        <x:v>Corporate</x:v>
      </x:c>
      <x:c r="F2234" s="84" t="str">
        <x:v>Midwest</x:v>
      </x:c>
      <x:c r="G2234" s="84" t="str">
        <x:v>Chicago</x:v>
      </x:c>
      <x:c r="H2234" s="84" t="str">
        <x:v>Marketplace</x:v>
      </x:c>
      <x:c r="I2234" s="84" t="str">
        <x:v>CARE-001</x:v>
      </x:c>
      <x:c r="J2234" s="86" t="n">
        <x:v>3</x:v>
      </x:c>
      <x:c r="K2234" s="87" t="n">
        <x:v>0.15</x:v>
      </x:c>
      <x:c r="L2234" s="84" t="str">
        <x:v>Completed</x:v>
      </x:c>
      <x:c r="M2234" s="84" t="str">
        <x:v>Mobile Wallet</x:v>
      </x:c>
      <x:c r="N2234" s="84" t="str">
        <x:v>Zoe Turner</x:v>
      </x:c>
      <x:c r="O2234" s="85" t="n">
        <x:v>45992</x:v>
      </x:c>
      <x:c r="P2234" s="84" t="str">
        <x:v>MKT_2025_11</x:v>
      </x:c>
      <x:c r="Q2234" s="84" t="str">
        <x:v>Ionic Hair Dryer </x:v>
      </x:c>
      <x:c r="R2234" s="84" t="str">
        <x:v>Personal Care</x:v>
      </x:c>
    </x:row>
    <x:row r="2235">
      <x:c r="A2235" s="84" t="str">
        <x:v>ORD-2025-01770</x:v>
      </x:c>
      <x:c r="B2235" s="85" t="n">
        <x:v>45986</x:v>
      </x:c>
      <x:c r="C2235" s="84" t="str">
        <x:v>CUST-0615</x:v>
      </x:c>
      <x:c r="D2235" s="84" t="str">
        <x:v>Jonah Quinn</x:v>
      </x:c>
      <x:c r="E2235" s="84" t="str">
        <x:v>Consumer</x:v>
      </x:c>
      <x:c r="F2235" s="84" t="str">
        <x:v>Midwest</x:v>
      </x:c>
      <x:c r="G2235" s="84" t="str">
        <x:v>Minneapolis</x:v>
      </x:c>
      <x:c r="H2235" s="84" t="str">
        <x:v>Retail Store</x:v>
      </x:c>
      <x:c r="I2235" s="84" t="str">
        <x:v>ELEC-005</x:v>
      </x:c>
      <x:c r="J2235" s="86" t="n">
        <x:v>2</x:v>
      </x:c>
      <x:c r="K2235" s="87" t="n">
        <x:v>0</x:v>
      </x:c>
      <x:c r="L2235" s="84" t="str">
        <x:v>Completed </x:v>
      </x:c>
      <x:c r="M2235" s="84" t="str">
        <x:v>mobile wallet</x:v>
      </x:c>
      <x:c r="N2235" s="84" t="str">
        <x:v>Emma Hayes</x:v>
      </x:c>
      <x:c r="O2235" s="85" t="n">
        <x:v>45986</x:v>
      </x:c>
      <x:c r="P2235" s="84" t="str">
        <x:v>POS_2025_11</x:v>
      </x:c>
      <x:c r="Q2235" s="84" t="str">
        <x:v>HD Webcam</x:v>
      </x:c>
      <x:c r="R2235" s="84" t="str">
        <x:v>Electronics</x:v>
      </x:c>
    </x:row>
    <x:row r="2236">
      <x:c r="A2236" s="84" t="str">
        <x:v>ORD-2025-02126</x:v>
      </x:c>
      <x:c r="B2236" s="85" t="n">
        <x:v>45986</x:v>
      </x:c>
      <x:c r="C2236" s="84" t="str">
        <x:v>CUST-0011</x:v>
      </x:c>
      <x:c r="D2236" s="84" t="str">
        <x:v>Priya Hall </x:v>
      </x:c>
      <x:c r="E2236" s="84" t="str">
        <x:v>Consumer</x:v>
      </x:c>
      <x:c r="F2236" s="84" t="str">
        <x:v>Midwest</x:v>
      </x:c>
      <x:c r="G2236" s="84" t="str">
        <x:v>Minneapolis</x:v>
      </x:c>
      <x:c r="H2236" s="84" t="str">
        <x:v>Marketplace</x:v>
      </x:c>
      <x:c r="I2236" s="84" t="str">
        <x:v>HOME-006</x:v>
      </x:c>
      <x:c r="J2236" s="86" t="n">
        <x:v>1</x:v>
      </x:c>
      <x:c r="K2236" s="87" t="n">
        <x:v>0.2</x:v>
      </x:c>
      <x:c r="L2236" s="84" t="str">
        <x:v>Completed</x:v>
      </x:c>
      <x:c r="M2236" s="84" t="str">
        <x:v>Debit Card </x:v>
      </x:c>
      <x:c r="N2236" s="84" t="str">
        <x:v>Emma Hayes</x:v>
      </x:c>
      <x:c r="O2236" s="85" t="n">
        <x:v>45992</x:v>
      </x:c>
      <x:c r="P2236" s="84" t="str">
        <x:v>MKT_2025_11</x:v>
      </x:c>
      <x:c r="Q2236" s="84" t="str">
        <x:v>Food Storage Set</x:v>
      </x:c>
      <x:c r="R2236" s="84" t="str">
        <x:v>home &amp; kitchen</x:v>
      </x:c>
    </x:row>
    <x:row r="2237">
      <x:c r="A2237" s="84" t="str">
        <x:v>ORD-2025-02226</x:v>
      </x:c>
      <x:c r="B2237" s="85" t="n">
        <x:v>45986</x:v>
      </x:c>
      <x:c r="C2237" s="84" t="str">
        <x:v>CUST-0387</x:v>
      </x:c>
      <x:c r="D2237" s="84" t="str">
        <x:v>Samuel Evans</x:v>
      </x:c>
      <x:c r="E2237" s="84" t="str">
        <x:v>Small Business </x:v>
      </x:c>
      <x:c r="F2237" s="84" t="str">
        <x:v>West</x:v>
      </x:c>
      <x:c r="G2237" s="84" t="str">
        <x:v>denver</x:v>
      </x:c>
      <x:c r="H2237" s="84" t="str">
        <x:v>Retail Store</x:v>
      </x:c>
      <x:c r="I2237" s="84" t="str">
        <x:v>OFFC-002</x:v>
      </x:c>
      <x:c r="J2237" s="86" t="n">
        <x:v>1</x:v>
      </x:c>
      <x:c r="K2237" s="87" t="n">
        <x:v>0.1</x:v>
      </x:c>
      <x:c r="L2237" s="84" t="str">
        <x:v>completed</x:v>
      </x:c>
      <x:c r="M2237" s="84" t="str">
        <x:v>Cash</x:v>
      </x:c>
      <x:c r="N2237" s="84" t="str">
        <x:v>Leo Martinez</x:v>
      </x:c>
      <x:c r="O2237" s="85" t="n">
        <x:v>45986</x:v>
      </x:c>
      <x:c r="P2237" s="84" t="str">
        <x:v>POS_2025_11</x:v>
      </x:c>
      <x:c r="Q2237" s="84" t="str">
        <x:v>Standing Desk</x:v>
      </x:c>
      <x:c r="R2237" s="84" t="str">
        <x:v>Office</x:v>
      </x:c>
    </x:row>
    <x:row r="2238">
      <x:c r="A2238" s="84" t="str">
        <x:v>ORD-2025-00062</x:v>
      </x:c>
      <x:c r="B2238" s="85" t="n">
        <x:v>45987</x:v>
      </x:c>
      <x:c r="C2238" s="84" t="str">
        <x:v>CUST-0587</x:v>
      </x:c>
      <x:c r="D2238" s="84" t="str">
        <x:v>marcus young</x:v>
      </x:c>
      <x:c r="E2238" s="84" t="str">
        <x:v>Small Business</x:v>
      </x:c>
      <x:c r="F2238" s="84" t="str">
        <x:v>Northeast</x:v>
      </x:c>
      <x:c r="G2238" s="84" t="str">
        <x:v>Boston</x:v>
      </x:c>
      <x:c r="H2238" s="84" t="str">
        <x:v>Retail Store</x:v>
      </x:c>
      <x:c r="I2238" s="84" t="str">
        <x:v>CARE-004</x:v>
      </x:c>
      <x:c r="J2238" s="86" t="n">
        <x:v>2</x:v>
      </x:c>
      <x:c r="K2238" s="87" t="n">
        <x:v>0</x:v>
      </x:c>
      <x:c r="L2238" s="84" t="str">
        <x:v>Completed </x:v>
      </x:c>
      <x:c r="M2238" s="84" t="str">
        <x:v> CREDIT CARD </x:v>
      </x:c>
      <x:c r="N2238" s="84" t="str">
        <x:v>Sofia Bennett</x:v>
      </x:c>
      <x:c r="O2238" s="85" t="n">
        <x:v>45987</x:v>
      </x:c>
      <x:c r="P2238" s="84" t="str">
        <x:v>POS_2025_11</x:v>
      </x:c>
      <x:c r="Q2238" s="84" t="str">
        <x:v>Electric Toothbrush</x:v>
      </x:c>
      <x:c r="R2238" s="84" t="str">
        <x:v>Personal Care</x:v>
      </x:c>
    </x:row>
    <x:row r="2239">
      <x:c r="A2239" s="84" t="str">
        <x:v>ORD-2025-00437</x:v>
      </x:c>
      <x:c r="B2239" s="85" t="n">
        <x:v>45987</x:v>
      </x:c>
      <x:c r="C2239" s="84" t="str">
        <x:v>CUST-0168</x:v>
      </x:c>
      <x:c r="D2239" s="84" t="str">
        <x:v>Priya Foster</x:v>
      </x:c>
      <x:c r="E2239" s="84" t="str">
        <x:v>Small Business</x:v>
      </x:c>
      <x:c r="F2239" s="84" t="str">
        <x:v>northeast</x:v>
      </x:c>
      <x:c r="G2239" s="84" t="str">
        <x:v>Newark</x:v>
      </x:c>
      <x:c r="H2239" s="84" t="str">
        <x:v>Online </x:v>
      </x:c>
      <x:c r="I2239" s="84" t="str">
        <x:v>ACCS-001</x:v>
      </x:c>
      <x:c r="J2239" s="86" t="n">
        <x:v>1</x:v>
      </x:c>
      <x:c r="K2239" s="87" t="n">
        <x:v>0</x:v>
      </x:c>
      <x:c r="L2239" s="84" t="str">
        <x:v>Completed</x:v>
      </x:c>
      <x:c r="M2239" s="84" t="str">
        <x:v>PayPal</x:v>
      </x:c>
      <x:c r="N2239" s="84" t="str">
        <x:v>Sofia Bennett</x:v>
      </x:c>
      <x:c r="O2239" s="85" t="n">
        <x:v>45990</x:v>
      </x:c>
      <x:c r="P2239" s="84" t="str">
        <x:v>WEB_2025_11</x:v>
      </x:c>
      <x:c r="Q2239" s="84" t="str">
        <x:v>Canvas Tote Bag</x:v>
      </x:c>
      <x:c r="R2239" s="84" t="str">
        <x:v>Accessories</x:v>
      </x:c>
    </x:row>
    <x:row r="2240">
      <x:c r="A2240" s="84" t="str">
        <x:v>ORD-2025-00450</x:v>
      </x:c>
      <x:c r="B2240" s="85" t="n">
        <x:v>45987</x:v>
      </x:c>
      <x:c r="C2240" s="84" t="str">
        <x:v>CUST-0588</x:v>
      </x:c>
      <x:c r="D2240" s="84" t="str">
        <x:v>Nathan Johnson</x:v>
      </x:c>
      <x:c r="E2240" s="84" t="str">
        <x:v>Consumer</x:v>
      </x:c>
      <x:c r="F2240" s="84" t="str">
        <x:v>Midwest</x:v>
      </x:c>
      <x:c r="G2240" s="84" t="str">
        <x:v>Detroit</x:v>
      </x:c>
      <x:c r="H2240" s="84" t="str">
        <x:v>Retail Store</x:v>
      </x:c>
      <x:c r="I2240" s="84" t="str">
        <x:v>ACCS-006</x:v>
      </x:c>
      <x:c r="J2240" s="86" t="n">
        <x:v>1</x:v>
      </x:c>
      <x:c r="K2240" s="87" t="n">
        <x:v>0.2</x:v>
      </x:c>
      <x:c r="L2240" s="84" t="str">
        <x:v>Completed</x:v>
      </x:c>
      <x:c r="M2240" s="84" t="str">
        <x:v>credit card</x:v>
      </x:c>
      <x:c r="N2240" s="84" t="str">
        <x:v>Emma Hayes</x:v>
      </x:c>
      <x:c r="O2240" s="85" t="n">
        <x:v>45987</x:v>
      </x:c>
      <x:c r="P2240" s="84" t="str">
        <x:v>POS_2025_11</x:v>
      </x:c>
      <x:c r="Q2240" s="84" t="str">
        <x:v>Insulated Lunch Bag</x:v>
      </x:c>
      <x:c r="R2240" s="84" t="str">
        <x:v>Accessories </x:v>
      </x:c>
    </x:row>
    <x:row r="2241">
      <x:c r="A2241" s="84" t="str">
        <x:v>ORD-2025-00496</x:v>
      </x:c>
      <x:c r="B2241" s="85" t="n">
        <x:v>45987</x:v>
      </x:c>
      <x:c r="C2241" s="84" t="str">
        <x:v>CUST-0562</x:v>
      </x:c>
      <x:c r="D2241" s="84" t="str">
        <x:v>Jasmine Nelson</x:v>
      </x:c>
      <x:c r="E2241" s="84" t="str">
        <x:v>Consumer</x:v>
      </x:c>
      <x:c r="F2241" s="84" t="str">
        <x:v>Northeast</x:v>
      </x:c>
      <x:c r="G2241" s="84" t="str">
        <x:v>Newark</x:v>
      </x:c>
      <x:c r="H2241" s="84" t="str">
        <x:v>Online</x:v>
      </x:c>
      <x:c r="I2241" s="84" t="str">
        <x:v>CARE-003</x:v>
      </x:c>
      <x:c r="J2241" s="86" t="n">
        <x:v>2</x:v>
      </x:c>
      <x:c r="K2241" s="87" t="n">
        <x:v>0</x:v>
      </x:c>
      <x:c r="L2241" s="84" t="str">
        <x:v>Completed </x:v>
      </x:c>
      <x:c r="M2241" s="84" t="str">
        <x:v>Credit Card</x:v>
      </x:c>
      <x:c r="N2241" s="84" t="str">
        <x:v> ETHAN COLE </x:v>
      </x:c>
      <x:c r="O2241" s="85" t="n">
        <x:v>45992</x:v>
      </x:c>
      <x:c r="P2241" s="84" t="str">
        <x:v>WEB_2025_11</x:v>
      </x:c>
      <x:c r="Q2241" s="84" t="str">
        <x:v>Facial Cleanser</x:v>
      </x:c>
      <x:c r="R2241" s="84" t="str">
        <x:v>Personal Care</x:v>
      </x:c>
    </x:row>
    <x:row r="2242">
      <x:c r="A2242" s="84" t="str">
        <x:v>ORD-2025-01127</x:v>
      </x:c>
      <x:c r="B2242" s="85" t="n">
        <x:v>45987</x:v>
      </x:c>
      <x:c r="C2242" s="84" t="str">
        <x:v>CUST-0489</x:v>
      </x:c>
      <x:c r="D2242" s="84" t="str">
        <x:v>William Quinn</x:v>
      </x:c>
      <x:c r="E2242" s="84" t="str">
        <x:v>Consumer </x:v>
      </x:c>
      <x:c r="F2242" s="84" t="str">
        <x:v>West</x:v>
      </x:c>
      <x:c r="G2242" s="84" t="str">
        <x:v>Los Angeles </x:v>
      </x:c>
      <x:c r="H2242" s="84" t="str">
        <x:v>Online</x:v>
      </x:c>
      <x:c r="I2242" s="84" t="str">
        <x:v>ACCS-003</x:v>
      </x:c>
      <x:c r="J2242" s="86" t="n">
        <x:v>1</x:v>
      </x:c>
      <x:c r="K2242" s="87" t="n">
        <x:v>0.05</x:v>
      </x:c>
      <x:c r="L2242" s="84" t="str">
        <x:v> COMPLETED </x:v>
      </x:c>
      <x:c r="M2242" s="84" t="str">
        <x:v>Credit Card</x:v>
      </x:c>
      <x:c r="N2242" s="84" t="str">
        <x:v>Leo Martinez</x:v>
      </x:c>
      <x:c r="O2242" s="85" t="n">
        <x:v>45991</x:v>
      </x:c>
      <x:c r="P2242" s="84" t="str">
        <x:v>WEB_2025_11</x:v>
      </x:c>
      <x:c r="Q2242" s="84" t="str">
        <x:v>Polarized Sunglasses</x:v>
      </x:c>
      <x:c r="R2242" s="84" t="str">
        <x:v>Accessories</x:v>
      </x:c>
    </x:row>
    <x:row r="2243">
      <x:c r="A2243" s="84" t="str">
        <x:v>ORD-2025-02056</x:v>
      </x:c>
      <x:c r="B2243" s="85" t="n">
        <x:v>45987</x:v>
      </x:c>
      <x:c r="C2243" s="84" t="str">
        <x:v>CUST-0393</x:v>
      </x:c>
      <x:c r="D2243" s="84" t="str">
        <x:v>Owen Carter </x:v>
      </x:c>
      <x:c r="E2243" s="84" t="str">
        <x:v>Consumer</x:v>
      </x:c>
      <x:c r="F2243" s="84" t="str">
        <x:v>Midwest</x:v>
      </x:c>
      <x:c r="G2243" s="84" t="str">
        <x:v>Columbus</x:v>
      </x:c>
      <x:c r="H2243" s="84" t="str">
        <x:v>Online</x:v>
      </x:c>
      <x:c r="I2243" s="84" t="str">
        <x:v>HOME-004</x:v>
      </x:c>
      <x:c r="J2243" s="86" t="n">
        <x:v>1</x:v>
      </x:c>
      <x:c r="K2243" s="87" t="n">
        <x:v>0.1</x:v>
      </x:c>
      <x:c r="L2243" s="84" t="str">
        <x:v>Completed</x:v>
      </x:c>
      <x:c r="M2243" s="84" t="str">
        <x:v>debit card</x:v>
      </x:c>
      <x:c r="N2243" s="84" t="str">
        <x:v>Zoe Turner</x:v>
      </x:c>
      <x:c r="O2243" s="85" t="n">
        <x:v>45992</x:v>
      </x:c>
      <x:c r="P2243" s="84" t="str">
        <x:v>WEB_2025_11</x:v>
      </x:c>
      <x:c r="Q2243" s="84" t="str">
        <x:v>Coffee Maker</x:v>
      </x:c>
      <x:c r="R2243" s="84" t="str">
        <x:v>Home &amp; Kitchen</x:v>
      </x:c>
    </x:row>
    <x:row r="2244">
      <x:c r="A2244" s="84" t="str">
        <x:v>ORD-2025-00389</x:v>
      </x:c>
      <x:c r="B2244" s="85" t="n">
        <x:v>45988</x:v>
      </x:c>
      <x:c r="C2244" s="84" t="str">
        <x:v>CUST-0263</x:v>
      </x:c>
      <x:c r="D2244" s="84" t="str">
        <x:v>Theo Smith</x:v>
      </x:c>
      <x:c r="E2244" s="84" t="str">
        <x:v>Consumer</x:v>
      </x:c>
      <x:c r="F2244" s="84" t="str">
        <x:v>West </x:v>
      </x:c>
      <x:c r="G2244" s="84" t="str">
        <x:v>seattle</x:v>
      </x:c>
      <x:c r="H2244" s="84" t="str">
        <x:v>Online</x:v>
      </x:c>
      <x:c r="I2244" s="84" t="str">
        <x:v>HOME-004</x:v>
      </x:c>
      <x:c r="J2244" s="86" t="n">
        <x:v>1</x:v>
      </x:c>
      <x:c r="K2244" s="87" t="n">
        <x:v>0.2</x:v>
      </x:c>
      <x:c r="L2244" s="84" t="str">
        <x:v>completed</x:v>
      </x:c>
      <x:c r="M2244" s="84" t="str">
        <x:v>Debit Card</x:v>
      </x:c>
      <x:c r="N2244" s="84" t="str">
        <x:v>Leo Martinez </x:v>
      </x:c>
      <x:c r="O2244" s="85" t="n">
        <x:v>45986</x:v>
      </x:c>
      <x:c r="P2244" s="84" t="str">
        <x:v>WEB_2025_11</x:v>
      </x:c>
      <x:c r="Q2244" s="84" t="str">
        <x:v>Coffee Maker</x:v>
      </x:c>
      <x:c r="R2244" s="84" t="str">
        <x:v> HOME &amp; KITCHEN </x:v>
      </x:c>
    </x:row>
    <x:row r="2245">
      <x:c r="A2245" s="84" t="str">
        <x:v>ORD-2025-00406</x:v>
      </x:c>
      <x:c r="B2245" s="85" t="n">
        <x:v>45989</x:v>
      </x:c>
      <x:c r="C2245" s="84" t="str">
        <x:v>CUST-0620</x:v>
      </x:c>
      <x:c r="D2245" s="84" t="str">
        <x:v>Nina Adams</x:v>
      </x:c>
      <x:c r="E2245" s="84" t="str">
        <x:v>Corporate </x:v>
      </x:c>
      <x:c r="F2245" s="84" t="str">
        <x:v>Northeast</x:v>
      </x:c>
      <x:c r="G2245" s="84" t="str">
        <x:v>Boston </x:v>
      </x:c>
      <x:c r="H2245" s="84" t="str">
        <x:v>Marketplace</x:v>
      </x:c>
      <x:c r="I2245" s="84" t="str">
        <x:v>ELEC-002</x:v>
      </x:c>
      <x:c r="J2245" s="86" t="n">
        <x:v>5</x:v>
      </x:c>
      <x:c r="K2245" s="87" t="n">
        <x:v>0.2</x:v>
      </x:c>
      <x:c r="L2245" s="84" t="str">
        <x:v>Completed</x:v>
      </x:c>
      <x:c r="M2245" s="84" t="str">
        <x:v>debit card</x:v>
      </x:c>
      <x:c r="N2245" s="84" t="str">
        <x:v>Sofia Bennett</x:v>
      </x:c>
      <x:c r="O2245" s="85" t="n">
        <x:v>45994</x:v>
      </x:c>
      <x:c r="P2245" s="84" t="str">
        <x:v>MKT_2025_11</x:v>
      </x:c>
      <x:c r="Q2245" s="84" t="str">
        <x:v>Smartwatch</x:v>
      </x:c>
      <x:c r="R2245" s="84" t="str">
        <x:v> ELECTRONICS </x:v>
      </x:c>
    </x:row>
    <x:row r="2246">
      <x:c r="A2246" s="84" t="str">
        <x:v>ORD-2025-00424</x:v>
      </x:c>
      <x:c r="B2246" s="85" t="n">
        <x:v>45989</x:v>
      </x:c>
      <x:c r="C2246" s="84" t="str">
        <x:v>CUST-0345</x:v>
      </x:c>
      <x:c r="D2246" s="84" t="str">
        <x:v>Samuel Taylor</x:v>
      </x:c>
      <x:c r="E2246" s="84" t="str">
        <x:v>Consumer</x:v>
      </x:c>
      <x:c r="F2246" s="84" t="str">
        <x:v>Southeast </x:v>
      </x:c>
      <x:c r="G2246" s="84" t="str">
        <x:v>Charlotte</x:v>
      </x:c>
      <x:c r="H2246" s="84" t="str">
        <x:v>Marketplace</x:v>
      </x:c>
      <x:c r="I2246" s="84" t="str">
        <x:v>OFFC-003</x:v>
      </x:c>
      <x:c r="J2246" s="86" t="n">
        <x:v>1</x:v>
      </x:c>
      <x:c r="K2246" s="87" t="n">
        <x:v>0</x:v>
      </x:c>
      <x:c r="L2246" s="84" t="str">
        <x:v>Completed</x:v>
      </x:c>
      <x:c r="M2246" s="84" t="str">
        <x:v>Credit Card</x:v>
      </x:c>
      <x:c r="N2246" s="84" t="str">
        <x:v>Liam Parker </x:v>
      </x:c>
      <x:c r="O2246" s="85" t="n">
        <x:v>45995</x:v>
      </x:c>
      <x:c r="P2246" s="84" t="str">
        <x:v>MKT_2025_11</x:v>
      </x:c>
      <x:c r="Q2246" s="84" t="str">
        <x:v>LED Desk Lamp</x:v>
      </x:c>
      <x:c r="R2246" s="84" t="str">
        <x:v>Office</x:v>
      </x:c>
    </x:row>
    <x:row r="2247">
      <x:c r="A2247" s="84" t="str">
        <x:v>ORD-2025-01214</x:v>
      </x:c>
      <x:c r="B2247" s="85" t="n">
        <x:v>45989</x:v>
      </x:c>
      <x:c r="C2247" s="84" t="str">
        <x:v>CUST-0552</x:v>
      </x:c>
      <x:c r="D2247" s="84" t="str">
        <x:v>Victoria Foster</x:v>
      </x:c>
      <x:c r="E2247" s="84" t="str">
        <x:v>Corporate</x:v>
      </x:c>
      <x:c r="F2247" s="84" t="str">
        <x:v>Southeast</x:v>
      </x:c>
      <x:c r="G2247" s="84" t="str">
        <x:v>miami</x:v>
      </x:c>
      <x:c r="H2247" s="84" t="str">
        <x:v>Online </x:v>
      </x:c>
      <x:c r="I2247" s="84" t="str">
        <x:v>OFFC-001</x:v>
      </x:c>
      <x:c r="J2247" s="86" t="n">
        <x:v>4</x:v>
      </x:c>
      <x:c r="K2247" s="87" t="n">
        <x:v>0.15</x:v>
      </x:c>
      <x:c r="L2247" s="84" t="str">
        <x:v>completed</x:v>
      </x:c>
      <x:c r="M2247" s="84" t="str">
        <x:v>Credit Card</x:v>
      </x:c>
      <x:c r="N2247" s="84" t="str">
        <x:v>Liam Parker</x:v>
      </x:c>
      <x:c r="O2247" s="85" t="n">
        <x:v>45991</x:v>
      </x:c>
      <x:c r="P2247" s="84" t="str">
        <x:v>WEB_2025_11</x:v>
      </x:c>
      <x:c r="Q2247" s="84" t="str">
        <x:v>Ergonomic Chair</x:v>
      </x:c>
      <x:c r="R2247" s="84" t="str">
        <x:v>Office</x:v>
      </x:c>
    </x:row>
    <x:row r="2248">
      <x:c r="A2248" s="84" t="str">
        <x:v>ORD-2025-00984</x:v>
      </x:c>
      <x:c r="B2248" s="85" t="n">
        <x:v>45990</x:v>
      </x:c>
      <x:c r="C2248" s="84" t="str">
        <x:v>CUST-0517</x:v>
      </x:c>
      <x:c r="D2248" s="84" t="str">
        <x:v>Layla Irwin</x:v>
      </x:c>
      <x:c r="E2248" s="84" t="str">
        <x:v>Corporate</x:v>
      </x:c>
      <x:c r="F2248" s="84" t="str">
        <x:v>Northeast </x:v>
      </x:c>
      <x:c r="G2248" s="84" t="str">
        <x:v>Newark</x:v>
      </x:c>
      <x:c r="H2248" s="84" t="str">
        <x:v>Retail Store</x:v>
      </x:c>
      <x:c r="I2248" s="84" t="str">
        <x:v>OFFC-006</x:v>
      </x:c>
      <x:c r="J2248" s="86" t="n">
        <x:v>3</x:v>
      </x:c>
      <x:c r="K2248" s="87" t="n">
        <x:v>0.15</x:v>
      </x:c>
      <x:c r="L2248" s="84" t="str">
        <x:v>Completed</x:v>
      </x:c>
      <x:c r="M2248" s="84" t="str">
        <x:v>Debit Card</x:v>
      </x:c>
      <x:c r="N2248" s="84" t="str">
        <x:v>Ethan Cole </x:v>
      </x:c>
      <x:c r="O2248" s="85" t="n">
        <x:v>45990</x:v>
      </x:c>
      <x:c r="P2248" s="84" t="str">
        <x:v>POS_2025_11</x:v>
      </x:c>
      <x:c r="Q2248" s="84" t="str">
        <x:v>Monitor Stand</x:v>
      </x:c>
      <x:c r="R2248" s="84" t="str">
        <x:v> OFFICE </x:v>
      </x:c>
    </x:row>
    <x:row r="2249">
      <x:c r="A2249" s="84" t="str">
        <x:v>ORD-2025-01027</x:v>
      </x:c>
      <x:c r="B2249" s="85" t="n">
        <x:v>45990</x:v>
      </x:c>
      <x:c r="C2249" s="84" t="str">
        <x:v>CUST-0015</x:v>
      </x:c>
      <x:c r="D2249" s="84" t="str">
        <x:v>Elena Walker </x:v>
      </x:c>
      <x:c r="E2249" s="84" t="str">
        <x:v>Consumer</x:v>
      </x:c>
      <x:c r="F2249" s="84" t="str">
        <x:v>West</x:v>
      </x:c>
      <x:c r="G2249" s="84" t="str">
        <x:v>denver</x:v>
      </x:c>
      <x:c r="H2249" s="84" t="str">
        <x:v>Retail Store</x:v>
      </x:c>
      <x:c r="I2249" s="84" t="str">
        <x:v>ELEC-002</x:v>
      </x:c>
      <x:c r="J2249" s="86" t="n">
        <x:v>1</x:v>
      </x:c>
      <x:c r="K2249" s="87" t="n">
        <x:v>0</x:v>
      </x:c>
      <x:c r="L2249" s="84" t="str">
        <x:v>completed</x:v>
      </x:c>
      <x:c r="M2249" s="84" t="str">
        <x:v>Credit Card </x:v>
      </x:c>
      <x:c r="N2249" s="84" t="str">
        <x:v>Nora Kim</x:v>
      </x:c>
      <x:c r="O2249" s="85" t="n">
        <x:v>45991</x:v>
      </x:c>
      <x:c r="P2249" s="84" t="str">
        <x:v>POS_2025_11</x:v>
      </x:c>
      <x:c r="Q2249" s="84" t="str">
        <x:v>Smartwatch</x:v>
      </x:c>
      <x:c r="R2249" s="84" t="str">
        <x:v>Electronics</x:v>
      </x:c>
    </x:row>
    <x:row r="2250">
      <x:c r="A2250" s="84" t="str">
        <x:v>ORD-2025-01597</x:v>
      </x:c>
      <x:c r="B2250" s="85" t="n">
        <x:v>45990</x:v>
      </x:c>
      <x:c r="C2250" s="84" t="str">
        <x:v>CUST-0178</x:v>
      </x:c>
      <x:c r="D2250" s="84" t="str">
        <x:v>Jasmine Baker</x:v>
      </x:c>
      <x:c r="E2250" s="84" t="str">
        <x:v>Corporate</x:v>
      </x:c>
      <x:c r="F2250" s="84" t="str">
        <x:v>Northeast</x:v>
      </x:c>
      <x:c r="G2250" s="84" t="str">
        <x:v>New York</x:v>
      </x:c>
      <x:c r="H2250" s="84" t="str">
        <x:v>Retail Store</x:v>
      </x:c>
      <x:c r="I2250" s="84" t="str">
        <x:v>ACCS-005</x:v>
      </x:c>
      <x:c r="J2250" s="86" t="n">
        <x:v>6</x:v>
      </x:c>
      <x:c r="K2250" s="87" t="n">
        <x:v>0.05</x:v>
      </x:c>
      <x:c r="L2250" s="84" t="str">
        <x:v>Completed</x:v>
      </x:c>
      <x:c r="M2250" s="84" t="str">
        <x:v>Credit Card</x:v>
      </x:c>
      <x:c r="N2250" s="84" t="str">
        <x:v>sofia bennett</x:v>
      </x:c>
      <x:c r="O2250" s="85" t="n">
        <x:v>45990</x:v>
      </x:c>
      <x:c r="P2250" s="84" t="str">
        <x:v>POS_2025_11</x:v>
      </x:c>
      <x:c r="Q2250" s="84" t="str">
        <x:v>Protective Phone Case </x:v>
      </x:c>
      <x:c r="R2250" s="84" t="str">
        <x:v>Accessories</x:v>
      </x:c>
    </x:row>
    <x:row r="2251">
      <x:c r="A2251" s="84" t="str">
        <x:v>ORD-2025-02365</x:v>
      </x:c>
      <x:c r="B2251" s="85" t="n">
        <x:v>45990</x:v>
      </x:c>
      <x:c r="C2251" s="84" t="str">
        <x:v>CUST-0019</x:v>
      </x:c>
      <x:c r="D2251" s="84" t="str">
        <x:v>Daniel Khan</x:v>
      </x:c>
      <x:c r="E2251" s="84" t="str">
        <x:v>corporate</x:v>
      </x:c>
      <x:c r="F2251" s="84" t="str">
        <x:v>Midwest</x:v>
      </x:c>
      <x:c r="G2251" s="84" t="str">
        <x:v>Detroit</x:v>
      </x:c>
      <x:c r="H2251" s="84" t="str">
        <x:v>retail store</x:v>
      </x:c>
      <x:c r="I2251" s="84" t="str">
        <x:v>ACCS-006</x:v>
      </x:c>
      <x:c r="J2251" s="86" t="n">
        <x:v>1</x:v>
      </x:c>
      <x:c r="K2251" s="87" t="n">
        <x:v>0.05</x:v>
      </x:c>
      <x:c r="L2251" s="84" t="str">
        <x:v>Completed </x:v>
      </x:c>
      <x:c r="M2251" s="84" t="str">
        <x:v>Debit Card</x:v>
      </x:c>
      <x:c r="N2251" s="84" t="str">
        <x:v>Emma Hayes</x:v>
      </x:c>
      <x:c r="O2251" s="85" t="n">
        <x:v>45991</x:v>
      </x:c>
      <x:c r="P2251" s="84" t="str">
        <x:v>POS_2025_11</x:v>
      </x:c>
      <x:c r="Q2251" s="84" t="str">
        <x:v>Insulated Lunch Bag</x:v>
      </x:c>
      <x:c r="R2251" s="84" t="str">
        <x:v>Accessories</x:v>
      </x:c>
    </x:row>
    <x:row r="2252">
      <x:c r="A2252" s="84" t="str">
        <x:v>ORD-2025-00077</x:v>
      </x:c>
      <x:c r="B2252" s="85" t="n">
        <x:v>45991</x:v>
      </x:c>
      <x:c r="C2252" s="84" t="str">
        <x:v>CUST-0140</x:v>
      </x:c>
      <x:c r="D2252" s="84" t="str">
        <x:v>William Irwin</x:v>
      </x:c>
      <x:c r="E2252" s="84" t="str">
        <x:v>corporate</x:v>
      </x:c>
      <x:c r="F2252" s="84" t="str">
        <x:v>Midwest</x:v>
      </x:c>
      <x:c r="G2252" s="84" t="str">
        <x:v>Detroit </x:v>
      </x:c>
      <x:c r="H2252" s="84" t="str">
        <x:v>retail store</x:v>
      </x:c>
      <x:c r="I2252" s="84" t="str">
        <x:v>OFFC-003</x:v>
      </x:c>
      <x:c r="J2252" s="86" t="n">
        <x:v>6</x:v>
      </x:c>
      <x:c r="K2252" s="87" t="n">
        <x:v>0.1</x:v>
      </x:c>
      <x:c r="L2252" s="84" t="str">
        <x:v>Completed</x:v>
      </x:c>
      <x:c r="M2252" s="84" t="str">
        <x:v>Credit Card</x:v>
      </x:c>
      <x:c r="N2252" s="84" t="str">
        <x:v>Emma Hayes</x:v>
      </x:c>
      <x:c r="O2252" s="85" t="n">
        <x:v>45991</x:v>
      </x:c>
      <x:c r="P2252" s="84" t="str">
        <x:v>POS_2025_11</x:v>
      </x:c>
      <x:c r="Q2252" s="84" t="str">
        <x:v>LED Desk Lamp</x:v>
      </x:c>
      <x:c r="R2252" s="84" t="str">
        <x:v>Office</x:v>
      </x:c>
    </x:row>
    <x:row r="2253">
      <x:c r="A2253" s="84" t="str">
        <x:v>ORD-2025-01779</x:v>
      </x:c>
      <x:c r="B2253" s="85" t="n">
        <x:v>45991</x:v>
      </x:c>
      <x:c r="C2253" s="84" t="str">
        <x:v>CUST-0621</x:v>
      </x:c>
      <x:c r="D2253" s="84" t="str">
        <x:v>Sara Hall</x:v>
      </x:c>
      <x:c r="E2253" s="84" t="str">
        <x:v>Consumer</x:v>
      </x:c>
      <x:c r="F2253" s="84" t="str">
        <x:v>northeast</x:v>
      </x:c>
      <x:c r="G2253" s="84" t="str">
        <x:v>Philadelphia</x:v>
      </x:c>
      <x:c r="H2253" s="84" t="str">
        <x:v>Online</x:v>
      </x:c>
      <x:c r="I2253" s="84" t="str">
        <x:v>FITN-002</x:v>
      </x:c>
      <x:c r="J2253" s="86" t="n">
        <x:v>2</x:v>
      </x:c>
      <x:c r="K2253" s="87" t="n">
        <x:v>0.05</x:v>
      </x:c>
      <x:c r="L2253" s="84" t="str">
        <x:v>Completed</x:v>
      </x:c>
      <x:c r="M2253" s="84" t="str">
        <x:v> CREDIT CARD </x:v>
      </x:c>
      <x:c r="N2253" s="84" t="str">
        <x:v>Maya Brooks</x:v>
      </x:c>
      <x:c r="O2253" s="85" t="n">
        <x:v>45994</x:v>
      </x:c>
      <x:c r="P2253" s="84" t="str">
        <x:v>WEB_2025_11</x:v>
      </x:c>
      <x:c r="Q2253" s="84" t="str">
        <x:v>Adjustable Dumbbell Set </x:v>
      </x:c>
      <x:c r="R2253" s="84" t="str">
        <x:v>Fitness</x:v>
      </x:c>
    </x:row>
    <x:row r="2254">
      <x:c r="A2254" s="84" t="str">
        <x:v>ORD-2025-01834</x:v>
      </x:c>
      <x:c r="B2254" s="85" t="n">
        <x:v>45991</x:v>
      </x:c>
      <x:c r="C2254" s="84" t="str">
        <x:v>CUST-0161</x:v>
      </x:c>
      <x:c r="D2254" s="84" t="str">
        <x:v>Sara Patel</x:v>
      </x:c>
      <x:c r="E2254" s="84" t="str">
        <x:v>Consumer </x:v>
      </x:c>
      <x:c r="F2254" s="84" t="str">
        <x:v>southeast</x:v>
      </x:c>
      <x:c r="G2254" s="84" t="str">
        <x:v>Atlanta </x:v>
      </x:c>
      <x:c r="H2254" s="84" t="str">
        <x:v>Marketplace</x:v>
      </x:c>
      <x:c r="I2254" s="84" t="str">
        <x:v>ACCS-004</x:v>
      </x:c>
      <x:c r="J2254" s="86" t="n">
        <x:v>1</x:v>
      </x:c>
      <x:c r="K2254" s="87" t="n">
        <x:v>0.15</x:v>
      </x:c>
      <x:c r="L2254" s="84" t="str">
        <x:v>Completed</x:v>
      </x:c>
      <x:c r="M2254" s="84" t="str">
        <x:v>Debit Card</x:v>
      </x:c>
      <x:c r="N2254" s="84" t="str">
        <x:v>Noah Reed</x:v>
      </x:c>
      <x:c r="O2254" s="85" t="n">
        <x:v>45995</x:v>
      </x:c>
      <x:c r="P2254" s="84" t="str">
        <x:v>MKT_2025_11</x:v>
      </x:c>
      <x:c r="Q2254" s="84" t="str">
        <x:v>Leather Wallet</x:v>
      </x:c>
      <x:c r="R2254" s="84" t="str">
        <x:v> ACCESSORIES </x:v>
      </x:c>
    </x:row>
    <x:row r="2255">
      <x:c r="A2255" s="84" t="str">
        <x:v>ORD-2025-00326</x:v>
      </x:c>
      <x:c r="B2255" s="85" t="n">
        <x:v>45992</x:v>
      </x:c>
      <x:c r="C2255" s="84" t="str">
        <x:v>CUST-0009</x:v>
      </x:c>
      <x:c r="D2255" s="84" t="str">
        <x:v>samuel carter</x:v>
      </x:c>
      <x:c r="E2255" s="84" t="str">
        <x:v>Small Business</x:v>
      </x:c>
      <x:c r="F2255" s="84" t="str">
        <x:v>Southeast </x:v>
      </x:c>
      <x:c r="G2255" s="84" t="str">
        <x:v>Miami</x:v>
      </x:c>
      <x:c r="H2255" s="84" t="str">
        <x:v>Online</x:v>
      </x:c>
      <x:c r="I2255" s="84" t="str">
        <x:v>ACCS-002</x:v>
      </x:c>
      <x:c r="J2255" s="86" t="n">
        <x:v>1</x:v>
      </x:c>
      <x:c r="K2255" s="87" t="n">
        <x:v>0.1</x:v>
      </x:c>
      <x:c r="L2255" s="84" t="str">
        <x:v>Completed</x:v>
      </x:c>
      <x:c r="M2255" s="84" t="str">
        <x:v>PayPal</x:v>
      </x:c>
      <x:c r="N2255" s="84" t="str">
        <x:v> LIAM PARKER </x:v>
      </x:c>
      <x:c r="O2255" s="85" t="n">
        <x:v>45995</x:v>
      </x:c>
      <x:c r="P2255" s="84" t="str">
        <x:v>WEB_2025_12</x:v>
      </x:c>
      <x:c r="Q2255" s="84" t="str">
        <x:v>Travel Backpack</x:v>
      </x:c>
      <x:c r="R2255" s="84" t="str">
        <x:v>Accessories</x:v>
      </x:c>
    </x:row>
    <x:row r="2256">
      <x:c r="A2256" s="84" t="str">
        <x:v>ORD-2025-00911</x:v>
      </x:c>
      <x:c r="B2256" s="85" t="n">
        <x:v>45992</x:v>
      </x:c>
      <x:c r="C2256" s="84" t="str">
        <x:v>CUST-0563</x:v>
      </x:c>
      <x:c r="D2256" s="84" t="str">
        <x:v>Amelia Adams</x:v>
      </x:c>
      <x:c r="E2256" s="84" t="str">
        <x:v>Consumer</x:v>
      </x:c>
      <x:c r="F2256" s="84" t="str">
        <x:v>Southeast</x:v>
      </x:c>
      <x:c r="G2256" s="84" t="str">
        <x:v> CHARLOTTE </x:v>
      </x:c>
      <x:c r="H2256" s="84" t="str">
        <x:v>Online</x:v>
      </x:c>
      <x:c r="I2256" s="84" t="str">
        <x:v>FITN-003</x:v>
      </x:c>
      <x:c r="J2256" s="86" t="n">
        <x:v>3</x:v>
      </x:c>
      <x:c r="K2256" s="87" t="n">
        <x:v>0.1</x:v>
      </x:c>
      <x:c r="L2256" s="84" t="str">
        <x:v>Completed</x:v>
      </x:c>
      <x:c r="M2256" s="84" t="str">
        <x:v>PayPal</x:v>
      </x:c>
      <x:c r="N2256" s="84" t="str">
        <x:v>Liam Parker</x:v>
      </x:c>
      <x:c r="O2256" s="85" t="n">
        <x:v>45994</x:v>
      </x:c>
      <x:c r="P2256" s="84" t="str">
        <x:v>WEB_2025_12</x:v>
      </x:c>
      <x:c r="Q2256" s="84" t="str">
        <x:v>resistance band set</x:v>
      </x:c>
      <x:c r="R2256" s="84" t="str">
        <x:v>Fitness</x:v>
      </x:c>
    </x:row>
    <x:row r="2257">
      <x:c r="A2257" s="84" t="str">
        <x:v>ORD-2025-01152</x:v>
      </x:c>
      <x:c r="B2257" s="85" t="n">
        <x:v>45992</x:v>
      </x:c>
      <x:c r="C2257" s="84" t="str">
        <x:v>CUST-0537</x:v>
      </x:c>
      <x:c r="D2257" s="84" t="str">
        <x:v>Grace Young</x:v>
      </x:c>
      <x:c r="E2257" s="84" t="str">
        <x:v>Consumer</x:v>
      </x:c>
      <x:c r="F2257" s="84" t="str">
        <x:v>northeast</x:v>
      </x:c>
      <x:c r="G2257" s="84" t="str">
        <x:v>Philadelphia</x:v>
      </x:c>
      <x:c r="H2257" s="84" t="str">
        <x:v>Retail Store</x:v>
      </x:c>
      <x:c r="I2257" s="84" t="str">
        <x:v>OFFC-002</x:v>
      </x:c>
      <x:c r="J2257" s="86" t="n">
        <x:v>3</x:v>
      </x:c>
      <x:c r="K2257" s="87" t="n">
        <x:v>0.15</x:v>
      </x:c>
      <x:c r="L2257" s="84" t="str">
        <x:v>Returned</x:v>
      </x:c>
      <x:c r="M2257" s="84" t="str">
        <x:v>Debit Card</x:v>
      </x:c>
      <x:c r="N2257" s="84" t="str">
        <x:v>Maya Brooks </x:v>
      </x:c>
      <x:c r="O2257" s="85" t="n">
        <x:v>45992</x:v>
      </x:c>
      <x:c r="P2257" s="84" t="str">
        <x:v>POS_2025_12</x:v>
      </x:c>
      <x:c r="Q2257" s="84" t="str">
        <x:v>Standing Desk</x:v>
      </x:c>
      <x:c r="R2257" s="84" t="str">
        <x:v>Office</x:v>
      </x:c>
    </x:row>
    <x:row r="2258">
      <x:c r="A2258" s="84" t="str">
        <x:v>ORD-2025-01780</x:v>
      </x:c>
      <x:c r="B2258" s="85" t="n">
        <x:v>45992</x:v>
      </x:c>
      <x:c r="C2258" s="84" t="str">
        <x:v>CUST-0110</x:v>
      </x:c>
      <x:c r="D2258" s="84" t="str">
        <x:v>Chloe Hall</x:v>
      </x:c>
      <x:c r="E2258" s="84" t="str">
        <x:v>Corporate</x:v>
      </x:c>
      <x:c r="F2258" s="84" t="str">
        <x:v>Southeast</x:v>
      </x:c>
      <x:c r="G2258" s="84" t="str">
        <x:v>Atlanta</x:v>
      </x:c>
      <x:c r="H2258" s="84" t="str">
        <x:v>Online</x:v>
      </x:c>
      <x:c r="I2258" s="84" t="str">
        <x:v>ELEC-005</x:v>
      </x:c>
      <x:c r="J2258" s="86" t="n">
        <x:v>1</x:v>
      </x:c>
      <x:c r="K2258" s="87" t="n">
        <x:v>0.2</x:v>
      </x:c>
      <x:c r="L2258" s="84" t="str">
        <x:v>Completed</x:v>
      </x:c>
      <x:c r="M2258" s="84" t="str">
        <x:v>Credit Card</x:v>
      </x:c>
      <x:c r="N2258" s="84" t="str">
        <x:v>Ava Mitchell</x:v>
      </x:c>
      <x:c r="O2258" s="85" t="n">
        <x:v>45998</x:v>
      </x:c>
      <x:c r="P2258" s="84" t="str">
        <x:v>WEB_2025_12</x:v>
      </x:c>
      <x:c r="Q2258" s="84" t="str">
        <x:v>hd webcam</x:v>
      </x:c>
      <x:c r="R2258" s="84" t="str">
        <x:v>Electronics </x:v>
      </x:c>
    </x:row>
    <x:row r="2259">
      <x:c r="A2259" s="84" t="str">
        <x:v>ORD-2025-02151</x:v>
      </x:c>
      <x:c r="B2259" s="85" t="n">
        <x:v>45992</x:v>
      </x:c>
      <x:c r="C2259" s="84" t="str">
        <x:v>CUST-0289</x:v>
      </x:c>
      <x:c r="D2259" s="84" t="str">
        <x:v>Chloe Patel</x:v>
      </x:c>
      <x:c r="E2259" s="84" t="str">
        <x:v>Consumer</x:v>
      </x:c>
      <x:c r="F2259" s="84" t="str">
        <x:v>West</x:v>
      </x:c>
      <x:c r="G2259" s="84" t="str">
        <x:v>Denver</x:v>
      </x:c>
      <x:c r="H2259" s="84" t="str">
        <x:v>Marketplace</x:v>
      </x:c>
      <x:c r="I2259" s="84" t="str">
        <x:v>OFFC-006</x:v>
      </x:c>
      <x:c r="J2259" s="86" t="n">
        <x:v>3</x:v>
      </x:c>
      <x:c r="K2259" s="87" t="n">
        <x:v>0.15</x:v>
      </x:c>
      <x:c r="L2259" s="84" t="str">
        <x:v>Completed</x:v>
      </x:c>
      <x:c r="M2259" s="84" t="str">
        <x:v>Debit Card</x:v>
      </x:c>
      <x:c r="N2259" s="84" t="str">
        <x:v>Leo Martinez</x:v>
      </x:c>
      <x:c r="O2259" s="85" t="n">
        <x:v>46000</x:v>
      </x:c>
      <x:c r="P2259" s="84" t="str">
        <x:v>MKT_2025_12</x:v>
      </x:c>
      <x:c r="Q2259" s="84" t="str">
        <x:v>Monitor Stand</x:v>
      </x:c>
      <x:c r="R2259" s="84" t="str">
        <x:v>Office </x:v>
      </x:c>
    </x:row>
    <x:row r="2260">
      <x:c r="A2260" s="84" t="str">
        <x:v>ORD-2025-00229</x:v>
      </x:c>
      <x:c r="B2260" s="85" t="n">
        <x:v>45993</x:v>
      </x:c>
      <x:c r="C2260" s="84" t="str">
        <x:v>CUST-0479</x:v>
      </x:c>
      <x:c r="D2260" s="84" t="str">
        <x:v>Zara Taylor </x:v>
      </x:c>
      <x:c r="E2260" s="84" t="str">
        <x:v>Consumer</x:v>
      </x:c>
      <x:c r="F2260" s="84" t="str">
        <x:v>West</x:v>
      </x:c>
      <x:c r="G2260" s="84" t="str">
        <x:v>Phoenix</x:v>
      </x:c>
      <x:c r="H2260" s="84" t="str">
        <x:v>Online</x:v>
      </x:c>
      <x:c r="I2260" s="84" t="str">
        <x:v>ELEC-001</x:v>
      </x:c>
      <x:c r="J2260" s="86" t="n">
        <x:v>3</x:v>
      </x:c>
      <x:c r="K2260" s="87" t="n">
        <x:v>0.1</x:v>
      </x:c>
      <x:c r="L2260" s="84" t="str">
        <x:v>Completed</x:v>
      </x:c>
      <x:c r="M2260" s="84" t="str">
        <x:v>PayPal </x:v>
      </x:c>
      <x:c r="N2260" s="84" t="str">
        <x:v>Mia Chen</x:v>
      </x:c>
      <x:c r="O2260" s="85" t="n">
        <x:v>45995</x:v>
      </x:c>
      <x:c r="P2260" s="84" t="str">
        <x:v>WEB_2025_12</x:v>
      </x:c>
      <x:c r="Q2260" s="84" t="str">
        <x:v>wireless earbuds</x:v>
      </x:c>
      <x:c r="R2260" s="84" t="str">
        <x:v>Electronics</x:v>
      </x:c>
    </x:row>
    <x:row r="2261">
      <x:c r="A2261" s="84" t="str">
        <x:v>ORD-2025-00715</x:v>
      </x:c>
      <x:c r="B2261" s="85" t="n">
        <x:v>45993</x:v>
      </x:c>
      <x:c r="C2261" s="84" t="str">
        <x:v>CUST-0034</x:v>
      </x:c>
      <x:c r="D2261" s="84" t="str">
        <x:v>Priya Roberts</x:v>
      </x:c>
      <x:c r="E2261" s="84" t="str">
        <x:v>consumer</x:v>
      </x:c>
      <x:c r="F2261" s="84" t="str">
        <x:v>Southeast</x:v>
      </x:c>
      <x:c r="G2261" s="84" t="str">
        <x:v>Nashville</x:v>
      </x:c>
      <x:c r="H2261" s="84" t="str">
        <x:v>retail store</x:v>
      </x:c>
      <x:c r="I2261" s="84" t="str">
        <x:v>CARE-001</x:v>
      </x:c>
      <x:c r="J2261" s="86" t="n">
        <x:v>2</x:v>
      </x:c>
      <x:c r="K2261" s="87" t="n">
        <x:v>0.1</x:v>
      </x:c>
      <x:c r="L2261" s="84" t="str">
        <x:v>Completed</x:v>
      </x:c>
      <x:c r="M2261" s="84" t="str">
        <x:v>Cash</x:v>
      </x:c>
      <x:c r="N2261" s="84" t="str">
        <x:v>Noah Reed</x:v>
      </x:c>
      <x:c r="O2261" s="85" t="n">
        <x:v>45993</x:v>
      </x:c>
      <x:c r="P2261" s="84" t="str">
        <x:v>POS_2025_12</x:v>
      </x:c>
      <x:c r="Q2261" s="84" t="str">
        <x:v>Ionic Hair Dryer </x:v>
      </x:c>
      <x:c r="R2261" s="84" t="str">
        <x:v>Personal Care</x:v>
      </x:c>
    </x:row>
    <x:row r="2262">
      <x:c r="A2262" s="84" t="str">
        <x:v>ORD-2025-01136</x:v>
      </x:c>
      <x:c r="B2262" s="85" t="n">
        <x:v>45993</x:v>
      </x:c>
      <x:c r="C2262" s="84" t="str">
        <x:v>CUST-0458</x:v>
      </x:c>
      <x:c r="D2262" s="84" t="str">
        <x:v> SAMUEL CARTER </x:v>
      </x:c>
      <x:c r="E2262" s="84" t="str">
        <x:v>Consumer</x:v>
      </x:c>
      <x:c r="F2262" s="84" t="str">
        <x:v> SOUTHEAST </x:v>
      </x:c>
      <x:c r="G2262" s="84" t="str">
        <x:v>Atlanta</x:v>
      </x:c>
      <x:c r="H2262" s="84" t="str">
        <x:v>Online</x:v>
      </x:c>
      <x:c r="I2262" s="84" t="str">
        <x:v>HOME-004</x:v>
      </x:c>
      <x:c r="J2262" s="86" t="n">
        <x:v>2</x:v>
      </x:c>
      <x:c r="K2262" s="87" t="n">
        <x:v>0.1</x:v>
      </x:c>
      <x:c r="L2262" s="84" t="str">
        <x:v>Completed</x:v>
      </x:c>
      <x:c r="M2262" s="84" t="str">
        <x:v>PayPal</x:v>
      </x:c>
      <x:c r="N2262" s="84" t="str">
        <x:v>Noah Reed</x:v>
      </x:c>
      <x:c r="O2262" s="85" t="n">
        <x:v>45995</x:v>
      </x:c>
      <x:c r="P2262" s="84" t="str">
        <x:v>WEB_2025_12</x:v>
      </x:c>
      <x:c r="Q2262" s="84" t="str">
        <x:v>Coffee Maker</x:v>
      </x:c>
      <x:c r="R2262" s="84" t="str">
        <x:v>home &amp; kitchen</x:v>
      </x:c>
    </x:row>
    <x:row r="2263">
      <x:c r="A2263" s="84" t="str">
        <x:v>ORD-2025-01158</x:v>
      </x:c>
      <x:c r="B2263" s="85" t="n">
        <x:v>45993</x:v>
      </x:c>
      <x:c r="C2263" s="84" t="str">
        <x:v>CUST-0328</x:v>
      </x:c>
      <x:c r="D2263" s="84" t="str">
        <x:v>Elena Khan</x:v>
      </x:c>
      <x:c r="E2263" s="84" t="str">
        <x:v>Small Business</x:v>
      </x:c>
      <x:c r="F2263" s="84" t="str">
        <x:v>Southeast</x:v>
      </x:c>
      <x:c r="G2263" s="84" t="str">
        <x:v>Charlotte</x:v>
      </x:c>
      <x:c r="H2263" s="84" t="str">
        <x:v>Retail Store </x:v>
      </x:c>
      <x:c r="I2263" s="84" t="str">
        <x:v>CARE-006</x:v>
      </x:c>
      <x:c r="J2263" s="86" t="n">
        <x:v>1</x:v>
      </x:c>
      <x:c r="K2263" s="87" t="n">
        <x:v>0.1</x:v>
      </x:c>
      <x:c r="L2263" s="84" t="str">
        <x:v>Completed</x:v>
      </x:c>
      <x:c r="M2263" s="84" t="str">
        <x:v>Cash</x:v>
      </x:c>
      <x:c r="N2263" s="84" t="str">
        <x:v>Noah Reed</x:v>
      </x:c>
      <x:c r="O2263" s="85" t="n">
        <x:v>45994</x:v>
      </x:c>
      <x:c r="P2263" s="84" t="str">
        <x:v>POS_2025_12</x:v>
      </x:c>
      <x:c r="Q2263" s="84" t="str">
        <x:v>Percussion Massage Gun</x:v>
      </x:c>
      <x:c r="R2263" s="84" t="str">
        <x:v>personal care</x:v>
      </x:c>
    </x:row>
    <x:row r="2264">
      <x:c r="A2264" s="84" t="str">
        <x:v>ORD-2025-01313</x:v>
      </x:c>
      <x:c r="B2264" s="85" t="n">
        <x:v>45993</x:v>
      </x:c>
      <x:c r="C2264" s="84" t="str">
        <x:v>CUST-0485</x:v>
      </x:c>
      <x:c r="D2264" s="84" t="str">
        <x:v>Elias Ortiz</x:v>
      </x:c>
      <x:c r="E2264" s="84" t="str">
        <x:v>Consumer</x:v>
      </x:c>
      <x:c r="F2264" s="84" t="str">
        <x:v>Southeast </x:v>
      </x:c>
      <x:c r="G2264" s="84" t="str">
        <x:v>atlanta</x:v>
      </x:c>
      <x:c r="H2264" s="84" t="str">
        <x:v>Online</x:v>
      </x:c>
      <x:c r="I2264" s="84" t="str">
        <x:v>ELEC-002</x:v>
      </x:c>
      <x:c r="J2264" s="86" t="n">
        <x:v>3</x:v>
      </x:c>
      <x:c r="K2264" s="87" t="n">
        <x:v>0</x:v>
      </x:c>
      <x:c r="L2264" s="84" t="str">
        <x:v>completed</x:v>
      </x:c>
      <x:c r="M2264" s="84" t="str">
        <x:v>PayPal</x:v>
      </x:c>
      <x:c r="N2264" s="84" t="str">
        <x:v>Noah Reed </x:v>
      </x:c>
      <x:c r="O2264" s="85" t="n">
        <x:v>45997</x:v>
      </x:c>
      <x:c r="P2264" s="84" t="str">
        <x:v>WEB_2025_12</x:v>
      </x:c>
      <x:c r="Q2264" s="84" t="str">
        <x:v> SMARTWATCH </x:v>
      </x:c>
      <x:c r="R2264" s="84" t="str">
        <x:v>Electronics</x:v>
      </x:c>
    </x:row>
    <x:row r="2265">
      <x:c r="A2265" s="84" t="str">
        <x:v>ORD-2025-01832</x:v>
      </x:c>
      <x:c r="B2265" s="85" t="n">
        <x:v>45993</x:v>
      </x:c>
      <x:c r="C2265" s="84" t="str">
        <x:v>CUST-0368</x:v>
      </x:c>
      <x:c r="D2265" s="84" t="str">
        <x:v>Nathan Roberts </x:v>
      </x:c>
      <x:c r="E2265" s="84" t="str">
        <x:v>Consumer</x:v>
      </x:c>
      <x:c r="F2265" s="84" t="str">
        <x:v>West</x:v>
      </x:c>
      <x:c r="G2265" s="84" t="str">
        <x:v>Denver</x:v>
      </x:c>
      <x:c r="H2265" s="84" t="str">
        <x:v>Online</x:v>
      </x:c>
      <x:c r="I2265" s="84" t="str">
        <x:v>ELEC-002</x:v>
      </x:c>
      <x:c r="J2265" s="86" t="n">
        <x:v>2</x:v>
      </x:c>
      <x:c r="K2265" s="87" t="n">
        <x:v>0.15</x:v>
      </x:c>
      <x:c r="L2265" s="84" t="str">
        <x:v>Completed</x:v>
      </x:c>
      <x:c r="M2265" s="84" t="str">
        <x:v>Credit Card </x:v>
      </x:c>
      <x:c r="N2265" s="84" t="str">
        <x:v>Mia Chen</x:v>
      </x:c>
      <x:c r="O2265" s="85" t="n">
        <x:v>45996</x:v>
      </x:c>
      <x:c r="P2265" s="84" t="str">
        <x:v>WEB_2025_12</x:v>
      </x:c>
      <x:c r="Q2265" s="84" t="str">
        <x:v>Smartwatch</x:v>
      </x:c>
      <x:c r="R2265" s="84" t="str">
        <x:v>Electronics</x:v>
      </x:c>
    </x:row>
    <x:row r="2266">
      <x:c r="A2266" s="84" t="str">
        <x:v>ORD-2025-01905</x:v>
      </x:c>
      <x:c r="B2266" s="85" t="n">
        <x:v>45993</x:v>
      </x:c>
      <x:c r="C2266" s="84" t="str">
        <x:v>CUST-0074</x:v>
      </x:c>
      <x:c r="D2266" s="84" t="str">
        <x:v>Grace Taylor</x:v>
      </x:c>
      <x:c r="E2266" s="84" t="str">
        <x:v>Consumer</x:v>
      </x:c>
      <x:c r="F2266" s="84" t="str">
        <x:v>West</x:v>
      </x:c>
      <x:c r="G2266" s="84" t="str">
        <x:v>Seattle</x:v>
      </x:c>
      <x:c r="H2266" s="84" t="str">
        <x:v>Online</x:v>
      </x:c>
      <x:c r="I2266" s="84" t="str">
        <x:v>FITN-002</x:v>
      </x:c>
      <x:c r="J2266" s="86" t="n">
        <x:v>1</x:v>
      </x:c>
      <x:c r="K2266" s="87" t="n">
        <x:v>0.2</x:v>
      </x:c>
      <x:c r="L2266" s="84" t="str">
        <x:v>Completed</x:v>
      </x:c>
      <x:c r="M2266" s="84" t="str">
        <x:v>Mobile Wallet</x:v>
      </x:c>
      <x:c r="N2266" s="84" t="str">
        <x:v>mia chen</x:v>
      </x:c>
      <x:c r="O2266" s="85" t="n">
        <x:v>45997</x:v>
      </x:c>
      <x:c r="P2266" s="84" t="str">
        <x:v>WEB_2025_12</x:v>
      </x:c>
      <x:c r="Q2266" s="84" t="str">
        <x:v>Adjustable Dumbbell Set </x:v>
      </x:c>
      <x:c r="R2266" s="84" t="str">
        <x:v>Fitness</x:v>
      </x:c>
    </x:row>
    <x:row r="2267">
      <x:c r="A2267" s="84" t="str">
        <x:v>ORD-2025-02137</x:v>
      </x:c>
      <x:c r="B2267" s="85" t="n">
        <x:v>45993</x:v>
      </x:c>
      <x:c r="C2267" s="84" t="str">
        <x:v>CUST-0609</x:v>
      </x:c>
      <x:c r="D2267" s="84" t="str">
        <x:v>Sara Lewis</x:v>
      </x:c>
      <x:c r="E2267" s="84" t="str">
        <x:v>Consumer</x:v>
      </x:c>
      <x:c r="F2267" s="84" t="str">
        <x:v>Southeast</x:v>
      </x:c>
      <x:c r="G2267" s="84" t="str">
        <x:v>Miami</x:v>
      </x:c>
      <x:c r="H2267" s="84" t="str">
        <x:v>Online</x:v>
      </x:c>
      <x:c r="I2267" s="84" t="str">
        <x:v>ELEC-001</x:v>
      </x:c>
      <x:c r="J2267" s="86" t="n">
        <x:v>1</x:v>
      </x:c>
      <x:c r="K2267" s="87" t="n">
        <x:v>0.1</x:v>
      </x:c>
      <x:c r="L2267" s="84" t="str">
        <x:v>Completed</x:v>
      </x:c>
      <x:c r="M2267" s="84" t="str">
        <x:v>PayPal</x:v>
      </x:c>
      <x:c r="N2267" s="84" t="str">
        <x:v>Liam Parker</x:v>
      </x:c>
      <x:c r="O2267" s="85" t="n">
        <x:v>45999</x:v>
      </x:c>
      <x:c r="P2267" s="84" t="str">
        <x:v>WEB_2025_12</x:v>
      </x:c>
      <x:c r="Q2267" s="84" t="str">
        <x:v>Wireless Earbuds</x:v>
      </x:c>
      <x:c r="R2267" s="84" t="str">
        <x:v>electronics</x:v>
      </x:c>
    </x:row>
    <x:row r="2268">
      <x:c r="A2268" s="84" t="str">
        <x:v>ORD-2025-02325</x:v>
      </x:c>
      <x:c r="B2268" s="85" t="n">
        <x:v>45993</x:v>
      </x:c>
      <x:c r="C2268" s="84" t="str">
        <x:v>CUST-0488</x:v>
      </x:c>
      <x:c r="D2268" s="84" t="str">
        <x:v>Nathan Moore</x:v>
      </x:c>
      <x:c r="E2268" s="84" t="str">
        <x:v>Consumer</x:v>
      </x:c>
      <x:c r="F2268" s="84" t="str">
        <x:v>Northeast</x:v>
      </x:c>
      <x:c r="G2268" s="84" t="str">
        <x:v>new york</x:v>
      </x:c>
      <x:c r="H2268" s="84" t="str">
        <x:v>Marketplace</x:v>
      </x:c>
      <x:c r="I2268" s="84" t="str">
        <x:v>ELEC-005</x:v>
      </x:c>
      <x:c r="J2268" s="86" t="n">
        <x:v>1</x:v>
      </x:c>
      <x:c r="K2268" s="87" t="n">
        <x:v>0.05</x:v>
      </x:c>
      <x:c r="L2268" s="84" t="str">
        <x:v>returned</x:v>
      </x:c>
      <x:c r="M2268" s="84" t="str">
        <x:v>PayPal</x:v>
      </x:c>
      <x:c r="N2268" s="84" t="str">
        <x:v>Maya Brooks</x:v>
      </x:c>
      <x:c r="O2268" s="85" t="n">
        <x:v>45999</x:v>
      </x:c>
      <x:c r="P2268" s="84" t="str">
        <x:v>MKT_2025_12</x:v>
      </x:c>
      <x:c r="Q2268" s="84" t="str">
        <x:v>HD Webcam </x:v>
      </x:c>
      <x:c r="R2268" s="84" t="str">
        <x:v>Electronics</x:v>
      </x:c>
    </x:row>
    <x:row r="2269">
      <x:c r="A2269" s="84" t="str">
        <x:v>ORD-2025-00277</x:v>
      </x:c>
      <x:c r="B2269" s="85" t="n">
        <x:v>45994</x:v>
      </x:c>
      <x:c r="C2269" s="84" t="str">
        <x:v>CUST-0335</x:v>
      </x:c>
      <x:c r="D2269" s="84" t="str">
        <x:v>Elias Roberts</x:v>
      </x:c>
      <x:c r="E2269" s="84" t="str">
        <x:v>Consumer</x:v>
      </x:c>
      <x:c r="F2269" s="84" t="str">
        <x:v>West </x:v>
      </x:c>
      <x:c r="G2269" s="84" t="str">
        <x:v>Los Angeles</x:v>
      </x:c>
      <x:c r="H2269" s="84" t="str">
        <x:v>Retail Store</x:v>
      </x:c>
      <x:c r="I2269" s="84" t="str">
        <x:v>ELEC-001</x:v>
      </x:c>
      <x:c r="J2269" s="86" t="n">
        <x:v>1</x:v>
      </x:c>
      <x:c r="K2269" s="87" t="n">
        <x:v>0.15</x:v>
      </x:c>
      <x:c r="L2269" s="84" t="str">
        <x:v> COMPLETED </x:v>
      </x:c>
      <x:c r="M2269" s="84" t="str">
        <x:v>Debit Card</x:v>
      </x:c>
      <x:c r="N2269" s="84" t="str">
        <x:v>nora kim</x:v>
      </x:c>
      <x:c r="O2269" s="85" t="n">
        <x:v>45994</x:v>
      </x:c>
      <x:c r="P2269" s="84" t="str">
        <x:v>POS_2025_12</x:v>
      </x:c>
      <x:c r="Q2269" s="84" t="str">
        <x:v>Wireless Earbuds</x:v>
      </x:c>
      <x:c r="R2269" s="84" t="str">
        <x:v>Electronics</x:v>
      </x:c>
    </x:row>
    <x:row r="2270">
      <x:c r="A2270" s="84" t="str">
        <x:v>ORD-2025-00492</x:v>
      </x:c>
      <x:c r="B2270" s="85" t="n">
        <x:v>45994</x:v>
      </x:c>
      <x:c r="C2270" s="84" t="str">
        <x:v>CUST-0098</x:v>
      </x:c>
      <x:c r="D2270" s="84" t="str">
        <x:v>Sara Irwin</x:v>
      </x:c>
      <x:c r="E2270" s="84" t="str">
        <x:v>Small Business</x:v>
      </x:c>
      <x:c r="F2270" s="84" t="str">
        <x:v>southeast</x:v>
      </x:c>
      <x:c r="G2270" s="84" t="str">
        <x:v>Nashville</x:v>
      </x:c>
      <x:c r="H2270" s="84" t="str">
        <x:v>Retail Store</x:v>
      </x:c>
      <x:c r="I2270" s="84" t="str">
        <x:v>OFFC-003</x:v>
      </x:c>
      <x:c r="J2270" s="86" t="n">
        <x:v>1</x:v>
      </x:c>
      <x:c r="K2270" s="87" t="n">
        <x:v>0.15</x:v>
      </x:c>
      <x:c r="L2270" s="84" t="str">
        <x:v>Completed</x:v>
      </x:c>
      <x:c r="M2270" s="84" t="str">
        <x:v>Credit Card</x:v>
      </x:c>
      <x:c r="N2270" s="84" t="str">
        <x:v>Liam Parker</x:v>
      </x:c>
      <x:c r="O2270" s="85" t="n">
        <x:v>45994</x:v>
      </x:c>
      <x:c r="P2270" s="84" t="str">
        <x:v>POS_2025_12</x:v>
      </x:c>
      <x:c r="Q2270" s="84" t="str">
        <x:v>LED Desk Lamp</x:v>
      </x:c>
      <x:c r="R2270" s="84" t="str">
        <x:v>Office </x:v>
      </x:c>
    </x:row>
    <x:row r="2271">
      <x:c r="A2271" s="84" t="str">
        <x:v>ORD-2025-00495</x:v>
      </x:c>
      <x:c r="B2271" s="85" t="n">
        <x:v>45994</x:v>
      </x:c>
      <x:c r="C2271" s="84" t="str">
        <x:v>CUST-0511</x:v>
      </x:c>
      <x:c r="D2271" s="84" t="str">
        <x:v>Marcus Walker </x:v>
      </x:c>
      <x:c r="E2271" s="84" t="str">
        <x:v>corporate</x:v>
      </x:c>
      <x:c r="F2271" s="84" t="str">
        <x:v>Northeast</x:v>
      </x:c>
      <x:c r="G2271" s="84" t="str">
        <x:v>Newark</x:v>
      </x:c>
      <x:c r="H2271" s="84" t="str">
        <x:v>retail store</x:v>
      </x:c>
      <x:c r="I2271" s="84" t="str">
        <x:v>HOME-001</x:v>
      </x:c>
      <x:c r="J2271" s="86" t="n">
        <x:v>4</x:v>
      </x:c>
      <x:c r="K2271" s="87" t="n">
        <x:v>0.2</x:v>
      </x:c>
      <x:c r="L2271" s="84" t="str">
        <x:v>Completed</x:v>
      </x:c>
      <x:c r="M2271" s="84" t="str">
        <x:v>Debit Card </x:v>
      </x:c>
      <x:c r="N2271" s="84" t="str">
        <x:v>Maya Brooks</x:v>
      </x:c>
      <x:c r="O2271" s="85" t="n">
        <x:v>45994</x:v>
      </x:c>
      <x:c r="P2271" s="84" t="str">
        <x:v>POS_2025_12</x:v>
      </x:c>
      <x:c r="Q2271" s="84" t="str">
        <x:v>Air Fryer</x:v>
      </x:c>
      <x:c r="R2271" s="84" t="str">
        <x:v>Home &amp; Kitchen</x:v>
      </x:c>
    </x:row>
    <x:row r="2272">
      <x:c r="A2272" s="84" t="str">
        <x:v>ORD-2025-00739</x:v>
      </x:c>
      <x:c r="B2272" s="85" t="n">
        <x:v>45994</x:v>
      </x:c>
      <x:c r="C2272" s="84" t="str">
        <x:v>CUST-0205</x:v>
      </x:c>
      <x:c r="D2272" s="84" t="str">
        <x:v>Elena Young</x:v>
      </x:c>
      <x:c r="E2272" s="84" t="str">
        <x:v>Corporate</x:v>
      </x:c>
      <x:c r="F2272" s="84" t="str">
        <x:v>West </x:v>
      </x:c>
      <x:c r="G2272" s="84" t="str">
        <x:v>Denver</x:v>
      </x:c>
      <x:c r="H2272" s="84" t="str">
        <x:v>Marketplace</x:v>
      </x:c>
      <x:c r="I2272" s="84" t="str">
        <x:v>OFFC-006</x:v>
      </x:c>
      <x:c r="J2272" s="86" t="n">
        <x:v>3</x:v>
      </x:c>
      <x:c r="K2272" s="87" t="n">
        <x:v>0.2</x:v>
      </x:c>
      <x:c r="L2272" s="84" t="str">
        <x:v>Completed</x:v>
      </x:c>
      <x:c r="M2272" s="84" t="str">
        <x:v>PayPal</x:v>
      </x:c>
      <x:c r="N2272" s="84" t="str">
        <x:v>mia chen</x:v>
      </x:c>
      <x:c r="O2272" s="85" t="n">
        <x:v>45997</x:v>
      </x:c>
      <x:c r="P2272" s="84" t="str">
        <x:v>MKT_2025_12</x:v>
      </x:c>
      <x:c r="Q2272" s="84" t="str">
        <x:v>Monitor Stand</x:v>
      </x:c>
      <x:c r="R2272" s="84" t="str">
        <x:v>Office</x:v>
      </x:c>
    </x:row>
    <x:row r="2273">
      <x:c r="A2273" s="84" t="str">
        <x:v>ORD-2025-00879</x:v>
      </x:c>
      <x:c r="B2273" s="85" t="n">
        <x:v>45994</x:v>
      </x:c>
      <x:c r="C2273" s="84" t="str">
        <x:v>CUST-0125</x:v>
      </x:c>
      <x:c r="D2273" s="84" t="str">
        <x:v>Marcus Carter</x:v>
      </x:c>
      <x:c r="E2273" s="84" t="str">
        <x:v>Consumer</x:v>
      </x:c>
      <x:c r="F2273" s="84" t="str">
        <x:v>West </x:v>
      </x:c>
      <x:c r="G2273" s="84" t="str">
        <x:v>Phoenix</x:v>
      </x:c>
      <x:c r="H2273" s="84" t="str">
        <x:v>Retail Store</x:v>
      </x:c>
      <x:c r="I2273" s="84" t="str">
        <x:v>ELEC-003</x:v>
      </x:c>
      <x:c r="J2273" s="86" t="n">
        <x:v>1</x:v>
      </x:c>
      <x:c r="K2273" s="87" t="n">
        <x:v>0</x:v>
      </x:c>
      <x:c r="L2273" s="84" t="str">
        <x:v>Completed</x:v>
      </x:c>
      <x:c r="M2273" s="84" t="str">
        <x:v>credit card</x:v>
      </x:c>
      <x:c r="N2273" s="84" t="str">
        <x:v>Leo Martinez </x:v>
      </x:c>
      <x:c r="O2273" s="85" t="n">
        <x:v>45994</x:v>
      </x:c>
      <x:c r="P2273" s="84" t="str">
        <x:v>POS_2025_12</x:v>
      </x:c>
      <x:c r="Q2273" s="84" t="str">
        <x:v>Bluetooth Speaker</x:v>
      </x:c>
      <x:c r="R2273" s="84" t="str">
        <x:v>Electronics</x:v>
      </x:c>
    </x:row>
    <x:row r="2274">
      <x:c r="A2274" s="84" t="str">
        <x:v>ORD-2025-01275</x:v>
      </x:c>
      <x:c r="B2274" s="85" t="n">
        <x:v>45994</x:v>
      </x:c>
      <x:c r="C2274" s="84" t="str">
        <x:v>CUST-0587</x:v>
      </x:c>
      <x:c r="D2274" s="84" t="str">
        <x:v>Marcus Young</x:v>
      </x:c>
      <x:c r="E2274" s="84" t="str">
        <x:v> SMALL BUSINESS </x:v>
      </x:c>
      <x:c r="F2274" s="84" t="str">
        <x:v>Northeast</x:v>
      </x:c>
      <x:c r="G2274" s="84" t="str">
        <x:v>Boston</x:v>
      </x:c>
      <x:c r="H2274" s="84" t="str">
        <x:v>Retail Store</x:v>
      </x:c>
      <x:c r="I2274" s="84" t="str">
        <x:v>ACCS-002</x:v>
      </x:c>
      <x:c r="J2274" s="86" t="n">
        <x:v>2</x:v>
      </x:c>
      <x:c r="K2274" s="87" t="n">
        <x:v>0.1</x:v>
      </x:c>
      <x:c r="L2274" s="84" t="str">
        <x:v>Completed</x:v>
      </x:c>
      <x:c r="M2274" s="84" t="str">
        <x:v>debit card</x:v>
      </x:c>
      <x:c r="N2274" s="84" t="str">
        <x:v>Ethan Cole</x:v>
      </x:c>
      <x:c r="O2274" s="85" t="n">
        <x:v>45994</x:v>
      </x:c>
      <x:c r="P2274" s="84" t="str">
        <x:v>POS_2025_12</x:v>
      </x:c>
      <x:c r="Q2274" s="84" t="str">
        <x:v>Travel Backpack </x:v>
      </x:c>
      <x:c r="R2274" s="84" t="str">
        <x:v>Accessories</x:v>
      </x:c>
    </x:row>
    <x:row r="2275">
      <x:c r="A2275" s="84" t="str">
        <x:v>ORD-2025-01316</x:v>
      </x:c>
      <x:c r="B2275" s="85" t="n">
        <x:v>45994</x:v>
      </x:c>
      <x:c r="C2275" s="84" t="str">
        <x:v>CUST-0549</x:v>
      </x:c>
      <x:c r="D2275" s="84" t="str">
        <x:v>marcus patel</x:v>
      </x:c>
      <x:c r="E2275" s="84" t="str">
        <x:v>Small Business </x:v>
      </x:c>
      <x:c r="F2275" s="84" t="str">
        <x:v>Northeast</x:v>
      </x:c>
      <x:c r="G2275" s="84" t="str">
        <x:v>Boston </x:v>
      </x:c>
      <x:c r="H2275" s="84" t="str">
        <x:v>Retail Store</x:v>
      </x:c>
      <x:c r="I2275" s="84" t="str">
        <x:v>ELEC-005</x:v>
      </x:c>
      <x:c r="J2275" s="86" t="n">
        <x:v>2</x:v>
      </x:c>
      <x:c r="K2275" s="87" t="n">
        <x:v>0</x:v>
      </x:c>
      <x:c r="L2275" s="84" t="str">
        <x:v>Completed</x:v>
      </x:c>
      <x:c r="M2275" s="84" t="str">
        <x:v>Cash</x:v>
      </x:c>
      <x:c r="N2275" s="84" t="str">
        <x:v>Ethan Cole</x:v>
      </x:c>
      <x:c r="O2275" s="85" t="n">
        <x:v>45994</x:v>
      </x:c>
      <x:c r="P2275" s="84" t="str">
        <x:v>POS_2025_12</x:v>
      </x:c>
      <x:c r="Q2275" s="84" t="str">
        <x:v>HD Webcam</x:v>
      </x:c>
      <x:c r="R2275" s="84" t="str">
        <x:v>Electronics</x:v>
      </x:c>
    </x:row>
    <x:row r="2276">
      <x:c r="A2276" s="84" t="str">
        <x:v>ORD-2025-02180</x:v>
      </x:c>
      <x:c r="B2276" s="85" t="n">
        <x:v>45994</x:v>
      </x:c>
      <x:c r="C2276" s="84" t="str">
        <x:v>CUST-0125</x:v>
      </x:c>
      <x:c r="D2276" s="84" t="str">
        <x:v>Marcus Carter</x:v>
      </x:c>
      <x:c r="E2276" s="84" t="str">
        <x:v>Consumer</x:v>
      </x:c>
      <x:c r="F2276" s="84" t="str">
        <x:v>West</x:v>
      </x:c>
      <x:c r="G2276" s="84" t="str">
        <x:v>Phoenix</x:v>
      </x:c>
      <x:c r="H2276" s="84" t="str">
        <x:v>Retail Store </x:v>
      </x:c>
      <x:c r="I2276" s="84" t="str">
        <x:v>ACCS-005</x:v>
      </x:c>
      <x:c r="J2276" s="86" t="n">
        <x:v>3</x:v>
      </x:c>
      <x:c r="K2276" s="87" t="n">
        <x:v>0.05</x:v>
      </x:c>
      <x:c r="L2276" s="84" t="str">
        <x:v>Completed</x:v>
      </x:c>
      <x:c r="M2276" s="84" t="str">
        <x:v>Credit Card</x:v>
      </x:c>
      <x:c r="N2276" s="84" t="str">
        <x:v>nora kim</x:v>
      </x:c>
      <x:c r="O2276" s="85" t="n">
        <x:v>45995</x:v>
      </x:c>
      <x:c r="P2276" s="84" t="str">
        <x:v>POS_2025_12</x:v>
      </x:c>
      <x:c r="Q2276" s="84" t="str">
        <x:v> PROTECTIVE PHONE CASE </x:v>
      </x:c>
      <x:c r="R2276" s="84" t="str">
        <x:v>Accessories</x:v>
      </x:c>
    </x:row>
    <x:row r="2277">
      <x:c r="A2277" s="84" t="str">
        <x:v>ORD-2025-00869</x:v>
      </x:c>
      <x:c r="B2277" s="85" t="n">
        <x:v>45995</x:v>
      </x:c>
      <x:c r="C2277" s="84" t="str">
        <x:v>CUST-0320</x:v>
      </x:c>
      <x:c r="D2277" s="84" t="str">
        <x:v>Theo Foster</x:v>
      </x:c>
      <x:c r="E2277" s="84" t="str">
        <x:v>consumer</x:v>
      </x:c>
      <x:c r="F2277" s="84" t="str">
        <x:v>Midwest</x:v>
      </x:c>
      <x:c r="G2277" s="84" t="str">
        <x:v>Columbus</x:v>
      </x:c>
      <x:c r="H2277" s="84" t="str">
        <x:v>online</x:v>
      </x:c>
      <x:c r="I2277" s="84" t="str">
        <x:v>CARE-001</x:v>
      </x:c>
      <x:c r="J2277" s="86" t="n">
        <x:v>2</x:v>
      </x:c>
      <x:c r="K2277" s="87" t="n">
        <x:v>0.05</x:v>
      </x:c>
      <x:c r="L2277" s="84" t="str">
        <x:v>Completed</x:v>
      </x:c>
      <x:c r="M2277" s="84" t="str">
        <x:v>Credit Card</x:v>
      </x:c>
      <x:c r="N2277" s="84" t="str">
        <x:v>Zoe Turner</x:v>
      </x:c>
      <x:c r="O2277" s="85" t="n">
        <x:v>45998</x:v>
      </x:c>
      <x:c r="P2277" s="84" t="str">
        <x:v>WEB_2025_12</x:v>
      </x:c>
      <x:c r="Q2277" s="84" t="str">
        <x:v>Ionic Hair Dryer </x:v>
      </x:c>
      <x:c r="R2277" s="84" t="str">
        <x:v>Personal Care</x:v>
      </x:c>
    </x:row>
    <x:row r="2278">
      <x:c r="A2278" s="84" t="str">
        <x:v>ORD-2025-01408</x:v>
      </x:c>
      <x:c r="B2278" s="85" t="n">
        <x:v>45995</x:v>
      </x:c>
      <x:c r="C2278" s="84" t="str">
        <x:v>CUST-0072</x:v>
      </x:c>
      <x:c r="D2278" s="84" t="str">
        <x:v> NINA ROBERTS </x:v>
      </x:c>
      <x:c r="E2278" s="84" t="str">
        <x:v>corporate</x:v>
      </x:c>
      <x:c r="F2278" s="84" t="str">
        <x:v> NORTHEAST </x:v>
      </x:c>
      <x:c r="G2278" s="84" t="str">
        <x:v>New York</x:v>
      </x:c>
      <x:c r="H2278" s="84" t="str">
        <x:v>retail store</x:v>
      </x:c>
      <x:c r="I2278" s="84" t="str">
        <x:v>HOME-006</x:v>
      </x:c>
      <x:c r="J2278" s="86" t="n">
        <x:v>2</x:v>
      </x:c>
      <x:c r="K2278" s="87" t="n">
        <x:v>0</x:v>
      </x:c>
      <x:c r="L2278" s="84" t="str">
        <x:v>Completed</x:v>
      </x:c>
      <x:c r="M2278" s="84" t="str">
        <x:v>Credit Card</x:v>
      </x:c>
      <x:c r="N2278" s="84" t="str">
        <x:v>Sofia Bennett</x:v>
      </x:c>
      <x:c r="O2278" s="85" t="n">
        <x:v>45995</x:v>
      </x:c>
      <x:c r="P2278" s="84" t="str">
        <x:v>POS_2025_12</x:v>
      </x:c>
      <x:c r="Q2278" s="84" t="str">
        <x:v>Food Storage Set </x:v>
      </x:c>
      <x:c r="R2278" s="84" t="str">
        <x:v>Home &amp; Kitchen</x:v>
      </x:c>
    </x:row>
    <x:row r="2279">
      <x:c r="A2279" s="84" t="str">
        <x:v>ORD-2025-01823</x:v>
      </x:c>
      <x:c r="B2279" s="85" t="n">
        <x:v>45995</x:v>
      </x:c>
      <x:c r="C2279" s="84" t="str">
        <x:v>CUST-0176</x:v>
      </x:c>
      <x:c r="D2279" s="84" t="str">
        <x:v>Grace Smith</x:v>
      </x:c>
      <x:c r="E2279" s="84" t="str">
        <x:v>Corporate</x:v>
      </x:c>
      <x:c r="F2279" s="84" t="str">
        <x:v>northeast</x:v>
      </x:c>
      <x:c r="G2279" s="84" t="str">
        <x:v>New York</x:v>
      </x:c>
      <x:c r="H2279" s="84" t="str">
        <x:v>Marketplace </x:v>
      </x:c>
      <x:c r="I2279" s="84" t="str">
        <x:v>OFFC-005</x:v>
      </x:c>
      <x:c r="J2279" s="86" t="n">
        <x:v>3</x:v>
      </x:c>
      <x:c r="K2279" s="87" t="n">
        <x:v>0.2</x:v>
      </x:c>
      <x:c r="L2279" s="84" t="str">
        <x:v>Completed</x:v>
      </x:c>
      <x:c r="M2279" s="84" t="str">
        <x:v>Mobile Wallet</x:v>
      </x:c>
      <x:c r="N2279" s="84" t="str">
        <x:v>Maya Brooks</x:v>
      </x:c>
      <x:c r="O2279" s="85" t="n">
        <x:v>46000</x:v>
      </x:c>
      <x:c r="P2279" s="84" t="str">
        <x:v>MKT_2025_12</x:v>
      </x:c>
      <x:c r="Q2279" s="84" t="str">
        <x:v> WIRELESS KEYBOARD </x:v>
      </x:c>
      <x:c r="R2279" s="84" t="str">
        <x:v>Office</x:v>
      </x:c>
    </x:row>
    <x:row r="2280">
      <x:c r="A2280" s="84" t="str">
        <x:v>ORD-2025-02087</x:v>
      </x:c>
      <x:c r="B2280" s="85" t="n">
        <x:v>45995</x:v>
      </x:c>
      <x:c r="C2280" s="84" t="str">
        <x:v>CUST-0603</x:v>
      </x:c>
      <x:c r="D2280" s="84" t="str">
        <x:v>Elias Roberts</x:v>
      </x:c>
      <x:c r="E2280" s="84" t="str">
        <x:v>Consumer</x:v>
      </x:c>
      <x:c r="F2280" s="84" t="str">
        <x:v>northeast</x:v>
      </x:c>
      <x:c r="G2280" s="84" t="str">
        <x:v>Newark</x:v>
      </x:c>
      <x:c r="H2280" s="84" t="str">
        <x:v>Marketplace</x:v>
      </x:c>
      <x:c r="I2280" s="84" t="str">
        <x:v>FITN-002</x:v>
      </x:c>
      <x:c r="J2280" s="86" t="n">
        <x:v>3</x:v>
      </x:c>
      <x:c r="K2280" s="87" t="n">
        <x:v>0.1</x:v>
      </x:c>
      <x:c r="L2280" s="84" t="str">
        <x:v>Returned</x:v>
      </x:c>
      <x:c r="M2280" s="84" t="str">
        <x:v>Debit Card</x:v>
      </x:c>
      <x:c r="N2280" s="84" t="str">
        <x:v>Ethan Cole</x:v>
      </x:c>
      <x:c r="O2280" s="85" t="n">
        <x:v>45999</x:v>
      </x:c>
      <x:c r="P2280" s="84" t="str">
        <x:v>MKT_2025_12</x:v>
      </x:c>
      <x:c r="Q2280" s="84" t="str">
        <x:v>Adjustable Dumbbell Set </x:v>
      </x:c>
      <x:c r="R2280" s="84" t="str">
        <x:v>Fitness</x:v>
      </x:c>
    </x:row>
    <x:row r="2281">
      <x:c r="A2281" s="84" t="str">
        <x:v>ORD-2025-02231</x:v>
      </x:c>
      <x:c r="B2281" s="85" t="n">
        <x:v>45995</x:v>
      </x:c>
      <x:c r="C2281" s="84" t="str">
        <x:v>CUST-0477</x:v>
      </x:c>
      <x:c r="D2281" s="84" t="str">
        <x:v>William Adams </x:v>
      </x:c>
      <x:c r="E2281" s="84" t="str">
        <x:v>Small Business</x:v>
      </x:c>
      <x:c r="F2281" s="84" t="str">
        <x:v>Southeast</x:v>
      </x:c>
      <x:c r="G2281" s="84" t="str">
        <x:v>Nashville</x:v>
      </x:c>
      <x:c r="H2281" s="84" t="str">
        <x:v>Retail Store</x:v>
      </x:c>
      <x:c r="I2281" s="84" t="str">
        <x:v>ELEC-003</x:v>
      </x:c>
      <x:c r="J2281" s="86" t="n">
        <x:v>2</x:v>
      </x:c>
      <x:c r="K2281" s="87" t="n">
        <x:v>0</x:v>
      </x:c>
      <x:c r="L2281" s="84" t="str">
        <x:v>Completed</x:v>
      </x:c>
      <x:c r="M2281" s="84" t="str">
        <x:v>Mobile Wallet </x:v>
      </x:c>
      <x:c r="N2281" s="84" t="str">
        <x:v>Noah Reed</x:v>
      </x:c>
      <x:c r="O2281" s="85" t="n">
        <x:v>45995</x:v>
      </x:c>
      <x:c r="P2281" s="84" t="str">
        <x:v>POS_2025_12</x:v>
      </x:c>
      <x:c r="Q2281" s="84" t="str">
        <x:v> BLUETOOTH SPEAKER </x:v>
      </x:c>
      <x:c r="R2281" s="84" t="str">
        <x:v>Electronics</x:v>
      </x:c>
    </x:row>
    <x:row r="2282">
      <x:c r="A2282" s="84" t="str">
        <x:v>ORD-2025-00216</x:v>
      </x:c>
      <x:c r="B2282" s="85" t="n">
        <x:v>45996</x:v>
      </x:c>
      <x:c r="C2282" s="84" t="str">
        <x:v>CUST-0037</x:v>
      </x:c>
      <x:c r="D2282" s="84" t="str">
        <x:v>isaac garcia</x:v>
      </x:c>
      <x:c r="E2282" s="84" t="str">
        <x:v>Corporate</x:v>
      </x:c>
      <x:c r="F2282" s="84" t="str">
        <x:v>West</x:v>
      </x:c>
      <x:c r="G2282" s="84" t="str">
        <x:v>Los Angeles</x:v>
      </x:c>
      <x:c r="H2282" s="84" t="str">
        <x:v>Retail Store</x:v>
      </x:c>
      <x:c r="I2282" s="84" t="str">
        <x:v>ACCS-006</x:v>
      </x:c>
      <x:c r="J2282" s="86" t="n">
        <x:v>1</x:v>
      </x:c>
      <x:c r="K2282" s="87" t="n">
        <x:v>0.05</x:v>
      </x:c>
      <x:c r="L2282" s="84" t="str">
        <x:v>Completed </x:v>
      </x:c>
      <x:c r="M2282" s="84" t="str">
        <x:v>Credit Card</x:v>
      </x:c>
      <x:c r="N2282" s="84" t="str">
        <x:v>Mia Chen</x:v>
      </x:c>
      <x:c r="O2282" s="85" t="n">
        <x:v>45996</x:v>
      </x:c>
      <x:c r="P2282" s="84" t="str">
        <x:v>POS_2025_12</x:v>
      </x:c>
      <x:c r="Q2282" s="84" t="str">
        <x:v>Insulated Lunch Bag</x:v>
      </x:c>
      <x:c r="R2282" s="84" t="str">
        <x:v>Accessories</x:v>
      </x:c>
    </x:row>
    <x:row r="2283">
      <x:c r="A2283" s="84" t="str">
        <x:v>ORD-2025-01987</x:v>
      </x:c>
      <x:c r="B2283" s="85" t="n">
        <x:v>45996</x:v>
      </x:c>
      <x:c r="C2283" s="84" t="str">
        <x:v>CUST-0067</x:v>
      </x:c>
      <x:c r="D2283" s="84" t="str">
        <x:v>william garcia</x:v>
      </x:c>
      <x:c r="E2283" s="84" t="str">
        <x:v>Consumer</x:v>
      </x:c>
      <x:c r="F2283" s="84" t="str">
        <x:v>West</x:v>
      </x:c>
      <x:c r="G2283" s="84" t="str">
        <x:v>Phoenix</x:v>
      </x:c>
      <x:c r="H2283" s="84" t="str">
        <x:v>Marketplace</x:v>
      </x:c>
      <x:c r="I2283" s="84" t="str">
        <x:v>ELEC-005</x:v>
      </x:c>
      <x:c r="J2283" s="86" t="n">
        <x:v>2</x:v>
      </x:c>
      <x:c r="K2283" s="87" t="n">
        <x:v>0.15</x:v>
      </x:c>
      <x:c r="L2283" s="84" t="str">
        <x:v>Returned </x:v>
      </x:c>
      <x:c r="M2283" s="84" t="str">
        <x:v>Credit Card</x:v>
      </x:c>
      <x:c r="N2283" s="84" t="str">
        <x:v>Nora Kim</x:v>
      </x:c>
      <x:c r="O2283" s="85" t="n">
        <x:v>46002</x:v>
      </x:c>
      <x:c r="P2283" s="84" t="str">
        <x:v>MKT_2025_12</x:v>
      </x:c>
      <x:c r="Q2283" s="84" t="str">
        <x:v>HD Webcam</x:v>
      </x:c>
      <x:c r="R2283" s="84" t="str">
        <x:v> ELECTRONICS </x:v>
      </x:c>
    </x:row>
    <x:row r="2284">
      <x:c r="A2284" s="84" t="str">
        <x:v>ORD-2025-02095</x:v>
      </x:c>
      <x:c r="B2284" s="85" t="n">
        <x:v>45996</x:v>
      </x:c>
      <x:c r="C2284" s="84" t="str">
        <x:v>CUST-0316</x:v>
      </x:c>
      <x:c r="D2284" s="84" t="str">
        <x:v>Jonah Nelson</x:v>
      </x:c>
      <x:c r="E2284" s="84" t="str">
        <x:v>Small Business</x:v>
      </x:c>
      <x:c r="F2284" s="84" t="str">
        <x:v>Midwest</x:v>
      </x:c>
      <x:c r="G2284" s="84" t="str">
        <x:v>Detroit</x:v>
      </x:c>
      <x:c r="H2284" s="84" t="str">
        <x:v>Retail Store</x:v>
      </x:c>
      <x:c r="I2284" s="84" t="str">
        <x:v>ELEC-001</x:v>
      </x:c>
      <x:c r="J2284" s="86" t="n">
        <x:v>1</x:v>
      </x:c>
      <x:c r="K2284" s="87" t="n">
        <x:v>0.05</x:v>
      </x:c>
      <x:c r="L2284" s="84" t="str">
        <x:v>Completed</x:v>
      </x:c>
      <x:c r="M2284" s="84" t="str">
        <x:v>Mobile Wallet</x:v>
      </x:c>
      <x:c r="N2284" s="84" t="str">
        <x:v>Emma Hayes</x:v>
      </x:c>
      <x:c r="O2284" s="85" t="n">
        <x:v>45997</x:v>
      </x:c>
      <x:c r="P2284" s="84" t="str">
        <x:v>POS_2025_12</x:v>
      </x:c>
      <x:c r="Q2284" s="84" t="str">
        <x:v> WIRELESS EARBUDS </x:v>
      </x:c>
      <x:c r="R2284" s="84" t="str">
        <x:v>Electronics </x:v>
      </x:c>
    </x:row>
    <x:row r="2285">
      <x:c r="A2285" s="84" t="str">
        <x:v>ORD-2025-00122</x:v>
      </x:c>
      <x:c r="B2285" s="85" t="n">
        <x:v>45997</x:v>
      </x:c>
      <x:c r="C2285" s="84" t="str">
        <x:v>CUST-0310</x:v>
      </x:c>
      <x:c r="D2285" s="84" t="str">
        <x:v>Marcus Patel</x:v>
      </x:c>
      <x:c r="E2285" s="84" t="str"/>
      <x:c r="F2285" s="84" t="str">
        <x:v>Midwest</x:v>
      </x:c>
      <x:c r="G2285" s="84" t="str">
        <x:v>Columbus</x:v>
      </x:c>
      <x:c r="H2285" s="84" t="str">
        <x:v>Online </x:v>
      </x:c>
      <x:c r="I2285" s="84" t="str">
        <x:v>CARE-006</x:v>
      </x:c>
      <x:c r="J2285" s="86" t="n">
        <x:v>1</x:v>
      </x:c>
      <x:c r="K2285" s="87" t="n">
        <x:v>0.1</x:v>
      </x:c>
      <x:c r="L2285" s="84" t="str">
        <x:v>Completed</x:v>
      </x:c>
      <x:c r="M2285" s="84" t="str">
        <x:v>Credit Card</x:v>
      </x:c>
      <x:c r="N2285" s="84" t="str">
        <x:v> EMMA HAYES </x:v>
      </x:c>
      <x:c r="O2285" s="85" t="n">
        <x:v>45999</x:v>
      </x:c>
      <x:c r="P2285" s="84" t="str">
        <x:v>WEB_2025_12</x:v>
      </x:c>
      <x:c r="Q2285" s="84" t="str">
        <x:v>Percussion Massage Gun</x:v>
      </x:c>
      <x:c r="R2285" s="84" t="str">
        <x:v>Personal Care</x:v>
      </x:c>
    </x:row>
    <x:row r="2286">
      <x:c r="A2286" s="84" t="str">
        <x:v>ORD-2025-00528</x:v>
      </x:c>
      <x:c r="B2286" s="85" t="n">
        <x:v>45997</x:v>
      </x:c>
      <x:c r="C2286" s="84" t="str">
        <x:v>CUST-0350</x:v>
      </x:c>
      <x:c r="D2286" s="84" t="str">
        <x:v>Victoria Lewis</x:v>
      </x:c>
      <x:c r="E2286" s="84" t="str">
        <x:v>consumer</x:v>
      </x:c>
      <x:c r="F2286" s="84" t="str">
        <x:v>Northeast</x:v>
      </x:c>
      <x:c r="G2286" s="84" t="str">
        <x:v>Philadelphia</x:v>
      </x:c>
      <x:c r="H2286" s="84" t="str">
        <x:v>marketplace</x:v>
      </x:c>
      <x:c r="I2286" s="84" t="str">
        <x:v>HOME-003</x:v>
      </x:c>
      <x:c r="J2286" s="86" t="n">
        <x:v>2</x:v>
      </x:c>
      <x:c r="K2286" s="87" t="n">
        <x:v>0.1</x:v>
      </x:c>
      <x:c r="L2286" s="84" t="str">
        <x:v>Completed</x:v>
      </x:c>
      <x:c r="M2286" s="84" t="str">
        <x:v>PayPal</x:v>
      </x:c>
      <x:c r="N2286" s="84" t="str">
        <x:v>Sofia Bennett</x:v>
      </x:c>
      <x:c r="O2286" s="85" t="n">
        <x:v>46003</x:v>
      </x:c>
      <x:c r="P2286" s="84" t="str">
        <x:v>MKT_2025_12</x:v>
      </x:c>
      <x:c r="Q2286" s="84" t="str">
        <x:v>Countertop Blender</x:v>
      </x:c>
      <x:c r="R2286" s="84" t="str">
        <x:v>Home &amp; Kitchen</x:v>
      </x:c>
    </x:row>
    <x:row r="2287">
      <x:c r="A2287" s="84" t="str">
        <x:v>ORD-2025-00528</x:v>
      </x:c>
      <x:c r="B2287" s="85" t="n">
        <x:v>45997</x:v>
      </x:c>
      <x:c r="C2287" s="84" t="str">
        <x:v>CUST-0350</x:v>
      </x:c>
      <x:c r="D2287" s="84" t="str">
        <x:v>Victoria Lewis</x:v>
      </x:c>
      <x:c r="E2287" s="84" t="str">
        <x:v>consumer</x:v>
      </x:c>
      <x:c r="F2287" s="84" t="str">
        <x:v>Northeast</x:v>
      </x:c>
      <x:c r="G2287" s="84" t="str">
        <x:v>Philadelphia</x:v>
      </x:c>
      <x:c r="H2287" s="84" t="str">
        <x:v>marketplace</x:v>
      </x:c>
      <x:c r="I2287" s="84" t="str">
        <x:v>HOME-003</x:v>
      </x:c>
      <x:c r="J2287" s="86" t="n">
        <x:v>2</x:v>
      </x:c>
      <x:c r="K2287" s="87" t="n">
        <x:v>0.1</x:v>
      </x:c>
      <x:c r="L2287" s="84" t="str">
        <x:v>Completed</x:v>
      </x:c>
      <x:c r="M2287" s="84" t="str">
        <x:v>PayPal</x:v>
      </x:c>
      <x:c r="N2287" s="84" t="str">
        <x:v>Sofia Bennett</x:v>
      </x:c>
      <x:c r="O2287" s="85" t="n">
        <x:v>46003</x:v>
      </x:c>
      <x:c r="P2287" s="84" t="str">
        <x:v>RELOAD_MKT_2025_12</x:v>
      </x:c>
      <x:c r="Q2287" s="84" t="str">
        <x:v>Countertop Blender</x:v>
      </x:c>
      <x:c r="R2287" s="84" t="str">
        <x:v>Home &amp; Kitchen</x:v>
      </x:c>
    </x:row>
    <x:row r="2288">
      <x:c r="A2288" s="84" t="str">
        <x:v>ORD-2025-00835</x:v>
      </x:c>
      <x:c r="B2288" s="85" t="n">
        <x:v>45997</x:v>
      </x:c>
      <x:c r="C2288" s="84" t="str">
        <x:v>CUST-0450</x:v>
      </x:c>
      <x:c r="D2288" s="84" t="str">
        <x:v>Samuel Garcia</x:v>
      </x:c>
      <x:c r="E2288" s="84" t="str">
        <x:v>Small Business</x:v>
      </x:c>
      <x:c r="F2288" s="84" t="str">
        <x:v>West</x:v>
      </x:c>
      <x:c r="G2288" s="84" t="str">
        <x:v>Seattle</x:v>
      </x:c>
      <x:c r="H2288" s="84" t="str">
        <x:v>Online</x:v>
      </x:c>
      <x:c r="I2288" s="84" t="str">
        <x:v>FITN-002</x:v>
      </x:c>
      <x:c r="J2288" s="86" t="n">
        <x:v>1</x:v>
      </x:c>
      <x:c r="K2288" s="87" t="n">
        <x:v>0.15</x:v>
      </x:c>
      <x:c r="L2288" s="84" t="str">
        <x:v>Completed</x:v>
      </x:c>
      <x:c r="M2288" s="84" t="str">
        <x:v>debit card</x:v>
      </x:c>
      <x:c r="N2288" s="84" t="str">
        <x:v>Nora Kim</x:v>
      </x:c>
      <x:c r="O2288" s="85" t="n">
        <x:v>46001</x:v>
      </x:c>
      <x:c r="P2288" s="84" t="str">
        <x:v>WEB_2025_12</x:v>
      </x:c>
      <x:c r="Q2288" s="84" t="str">
        <x:v>Adjustable Dumbbell Set</x:v>
      </x:c>
      <x:c r="R2288" s="84" t="str">
        <x:v>Fitness </x:v>
      </x:c>
    </x:row>
    <x:row r="2289">
      <x:c r="A2289" s="84" t="str">
        <x:v>ORD-2025-00952</x:v>
      </x:c>
      <x:c r="B2289" s="85" t="n">
        <x:v>45997</x:v>
      </x:c>
      <x:c r="C2289" s="84" t="str">
        <x:v>CUST-0632</x:v>
      </x:c>
      <x:c r="D2289" s="84" t="str">
        <x:v>Caleb Adams</x:v>
      </x:c>
      <x:c r="E2289" s="84" t="str">
        <x:v> CONSUMER </x:v>
      </x:c>
      <x:c r="F2289" s="84" t="str">
        <x:v>West</x:v>
      </x:c>
      <x:c r="G2289" s="84" t="str">
        <x:v>Phoenix </x:v>
      </x:c>
      <x:c r="H2289" s="84" t="str">
        <x:v>Online</x:v>
      </x:c>
      <x:c r="I2289" s="84" t="str">
        <x:v>HOME-006</x:v>
      </x:c>
      <x:c r="J2289" s="86" t="n">
        <x:v>1</x:v>
      </x:c>
      <x:c r="K2289" s="87" t="n">
        <x:v>0.05</x:v>
      </x:c>
      <x:c r="L2289" s="84" t="str">
        <x:v>Completed</x:v>
      </x:c>
      <x:c r="M2289" s="84" t="str">
        <x:v>Debit Card</x:v>
      </x:c>
      <x:c r="N2289" s="84" t="str">
        <x:v>Mia Chen</x:v>
      </x:c>
      <x:c r="O2289" s="85" t="n">
        <x:v>46000</x:v>
      </x:c>
      <x:c r="P2289" s="84" t="str">
        <x:v>WEB_2025_12</x:v>
      </x:c>
      <x:c r="Q2289" s="84" t="str">
        <x:v>Food Storage Set</x:v>
      </x:c>
      <x:c r="R2289" s="84" t="str">
        <x:v>Home &amp; Kitchen</x:v>
      </x:c>
    </x:row>
    <x:row r="2290">
      <x:c r="A2290" s="84" t="str">
        <x:v>ORD-2025-00824</x:v>
      </x:c>
      <x:c r="B2290" s="85" t="n">
        <x:v>45998</x:v>
      </x:c>
      <x:c r="C2290" s="84" t="str">
        <x:v>CUST-0103</x:v>
      </x:c>
      <x:c r="D2290" s="84" t="str">
        <x:v>Layla Garcia </x:v>
      </x:c>
      <x:c r="E2290" s="84" t="str">
        <x:v>Consumer</x:v>
      </x:c>
      <x:c r="F2290" s="84" t="str">
        <x:v>Southeast</x:v>
      </x:c>
      <x:c r="G2290" s="84" t="str">
        <x:v>Atlanta</x:v>
      </x:c>
      <x:c r="H2290" s="84" t="str">
        <x:v>Retail Store</x:v>
      </x:c>
      <x:c r="I2290" s="84" t="str">
        <x:v>ELEC-006</x:v>
      </x:c>
      <x:c r="J2290" s="86" t="n">
        <x:v>1</x:v>
      </x:c>
      <x:c r="K2290" s="87" t="n">
        <x:v>0.05</x:v>
      </x:c>
      <x:c r="L2290" s="84" t="str">
        <x:v>Completed</x:v>
      </x:c>
      <x:c r="M2290" s="84" t="str">
        <x:v>credit card</x:v>
      </x:c>
      <x:c r="N2290" s="84" t="str">
        <x:v>Liam Parker</x:v>
      </x:c>
      <x:c r="O2290" s="85" t="n">
        <x:v>45998</x:v>
      </x:c>
      <x:c r="P2290" s="84" t="str">
        <x:v>POS_2025_12</x:v>
      </x:c>
      <x:c r="Q2290" s="84" t="str">
        <x:v>Portable SSD</x:v>
      </x:c>
      <x:c r="R2290" s="84" t="str">
        <x:v>Electronics</x:v>
      </x:c>
    </x:row>
    <x:row r="2291">
      <x:c r="A2291" s="84" t="str">
        <x:v>ORD-2025-00827</x:v>
      </x:c>
      <x:c r="B2291" s="85" t="n">
        <x:v>45998</x:v>
      </x:c>
      <x:c r="C2291" s="84" t="str">
        <x:v>CUST-0345</x:v>
      </x:c>
      <x:c r="D2291" s="84" t="str">
        <x:v>Samuel Taylor</x:v>
      </x:c>
      <x:c r="E2291" s="84" t="str">
        <x:v>Consumer</x:v>
      </x:c>
      <x:c r="F2291" s="84" t="str">
        <x:v>Southeast</x:v>
      </x:c>
      <x:c r="G2291" s="84" t="str">
        <x:v>Charlotte</x:v>
      </x:c>
      <x:c r="H2291" s="84" t="str">
        <x:v>Retail Store</x:v>
      </x:c>
      <x:c r="I2291" s="84" t="str">
        <x:v>ACCS-003</x:v>
      </x:c>
      <x:c r="J2291" s="86" t="n">
        <x:v>1</x:v>
      </x:c>
      <x:c r="K2291" s="87" t="n">
        <x:v>0.05</x:v>
      </x:c>
      <x:c r="L2291" s="84" t="str">
        <x:v>Completed</x:v>
      </x:c>
      <x:c r="M2291" s="84" t="str">
        <x:v> CASH </x:v>
      </x:c>
      <x:c r="N2291" s="84" t="str">
        <x:v>liam parker</x:v>
      </x:c>
      <x:c r="O2291" s="85" t="n">
        <x:v>45998</x:v>
      </x:c>
      <x:c r="P2291" s="84" t="str">
        <x:v>POS_2025_12</x:v>
      </x:c>
      <x:c r="Q2291" s="84" t="str">
        <x:v>Polarized Sunglasses </x:v>
      </x:c>
      <x:c r="R2291" s="84" t="str">
        <x:v>Accessories</x:v>
      </x:c>
    </x:row>
    <x:row r="2292">
      <x:c r="A2292" s="84" t="str">
        <x:v>ORD-2025-01405</x:v>
      </x:c>
      <x:c r="B2292" s="85" t="n">
        <x:v>45998</x:v>
      </x:c>
      <x:c r="C2292" s="84" t="str">
        <x:v>CUST-0004</x:v>
      </x:c>
      <x:c r="D2292" s="84" t="str">
        <x:v>Caleb Carter </x:v>
      </x:c>
      <x:c r="E2292" s="84" t="str">
        <x:v>Consumer</x:v>
      </x:c>
      <x:c r="F2292" s="84" t="str">
        <x:v>southeast</x:v>
      </x:c>
      <x:c r="G2292" s="84" t="str">
        <x:v>Atlanta</x:v>
      </x:c>
      <x:c r="H2292" s="84" t="str">
        <x:v>Retail Store</x:v>
      </x:c>
      <x:c r="I2292" s="84" t="str">
        <x:v>HOME-006</x:v>
      </x:c>
      <x:c r="J2292" s="86" t="n">
        <x:v>1</x:v>
      </x:c>
      <x:c r="K2292" s="87" t="n">
        <x:v>0.15</x:v>
      </x:c>
      <x:c r="L2292" s="84" t="str">
        <x:v>Completed</x:v>
      </x:c>
      <x:c r="M2292" s="84" t="str">
        <x:v> CASH </x:v>
      </x:c>
      <x:c r="N2292" s="84" t="str">
        <x:v>Liam Parker</x:v>
      </x:c>
      <x:c r="O2292" s="85" t="n">
        <x:v>45998</x:v>
      </x:c>
      <x:c r="P2292" s="84" t="str">
        <x:v>POS_2025_12</x:v>
      </x:c>
      <x:c r="Q2292" s="84" t="str">
        <x:v>Food Storage Set</x:v>
      </x:c>
      <x:c r="R2292" s="84" t="str">
        <x:v>Home &amp; Kitchen</x:v>
      </x:c>
    </x:row>
    <x:row r="2293">
      <x:c r="A2293" s="84" t="str">
        <x:v>ORD-2025-01921</x:v>
      </x:c>
      <x:c r="B2293" s="85" t="n">
        <x:v>45998</x:v>
      </x:c>
      <x:c r="C2293" s="84" t="str">
        <x:v>CUST-0271</x:v>
      </x:c>
      <x:c r="D2293" s="84" t="str">
        <x:v>jonah nelson</x:v>
      </x:c>
      <x:c r="E2293" s="84" t="str">
        <x:v> CONSUMER </x:v>
      </x:c>
      <x:c r="F2293" s="84" t="str">
        <x:v>Midwest</x:v>
      </x:c>
      <x:c r="G2293" s="84" t="str">
        <x:v>Detroit</x:v>
      </x:c>
      <x:c r="H2293" s="84" t="str">
        <x:v>Retail Store </x:v>
      </x:c>
      <x:c r="I2293" s="84" t="str">
        <x:v>ELEC-006</x:v>
      </x:c>
      <x:c r="J2293" s="86" t="n">
        <x:v>4</x:v>
      </x:c>
      <x:c r="K2293" s="87" t="n">
        <x:v>0.05</x:v>
      </x:c>
      <x:c r="L2293" s="84" t="str">
        <x:v>Completed</x:v>
      </x:c>
      <x:c r="M2293" s="84" t="str">
        <x:v>Cash</x:v>
      </x:c>
      <x:c r="N2293" s="84" t="str">
        <x:v>Lucas Grant</x:v>
      </x:c>
      <x:c r="O2293" s="85" t="n">
        <x:v>45999</x:v>
      </x:c>
      <x:c r="P2293" s="84" t="str">
        <x:v>POS_2025_12</x:v>
      </x:c>
      <x:c r="Q2293" s="84" t="str">
        <x:v>Portable SSD</x:v>
      </x:c>
      <x:c r="R2293" s="84" t="str">
        <x:v>Electronics</x:v>
      </x:c>
    </x:row>
    <x:row r="2294">
      <x:c r="A2294" s="84" t="str">
        <x:v>ORD-2025-02039</x:v>
      </x:c>
      <x:c r="B2294" s="85" t="n">
        <x:v>45998</x:v>
      </x:c>
      <x:c r="C2294" s="84" t="str">
        <x:v>CUST-0389</x:v>
      </x:c>
      <x:c r="D2294" s="84" t="str">
        <x:v>William Smith</x:v>
      </x:c>
      <x:c r="E2294" s="84" t="str">
        <x:v>Consumer</x:v>
      </x:c>
      <x:c r="F2294" s="84" t="str">
        <x:v>Southeast</x:v>
      </x:c>
      <x:c r="G2294" s="84" t="str">
        <x:v>miami</x:v>
      </x:c>
      <x:c r="H2294" s="84" t="str">
        <x:v>Retail Store</x:v>
      </x:c>
      <x:c r="I2294" s="84" t="str">
        <x:v>CARE-006</x:v>
      </x:c>
      <x:c r="J2294" s="86" t="n">
        <x:v>1</x:v>
      </x:c>
      <x:c r="K2294" s="87" t="n">
        <x:v>0.1</x:v>
      </x:c>
      <x:c r="L2294" s="84" t="str">
        <x:v>completed</x:v>
      </x:c>
      <x:c r="M2294" s="84" t="str">
        <x:v>Credit Card</x:v>
      </x:c>
      <x:c r="N2294" s="84" t="str">
        <x:v>Ava Mitchell</x:v>
      </x:c>
      <x:c r="O2294" s="85" t="n">
        <x:v>45999</x:v>
      </x:c>
      <x:c r="P2294" s="84" t="str">
        <x:v>POS_2025_12</x:v>
      </x:c>
      <x:c r="Q2294" s="84" t="str">
        <x:v>Percussion Massage Gun</x:v>
      </x:c>
      <x:c r="R2294" s="84" t="str">
        <x:v>Personal Care </x:v>
      </x:c>
    </x:row>
    <x:row r="2295">
      <x:c r="A2295" s="84" t="str">
        <x:v>ORD-2025-02275</x:v>
      </x:c>
      <x:c r="B2295" s="85" t="n">
        <x:v>45998</x:v>
      </x:c>
      <x:c r="C2295" s="84" t="str">
        <x:v>CUST-0392</x:v>
      </x:c>
      <x:c r="D2295" s="84" t="str">
        <x:v> ELIAS NELSON </x:v>
      </x:c>
      <x:c r="E2295" s="84" t="str">
        <x:v>Consumer </x:v>
      </x:c>
      <x:c r="F2295" s="84" t="str">
        <x:v> NORTHEAST </x:v>
      </x:c>
      <x:c r="G2295" s="84" t="str">
        <x:v>Newark </x:v>
      </x:c>
      <x:c r="H2295" s="84" t="str">
        <x:v>Marketplace</x:v>
      </x:c>
      <x:c r="I2295" s="84" t="str">
        <x:v>ACCS-001</x:v>
      </x:c>
      <x:c r="J2295" s="86" t="n">
        <x:v>1</x:v>
      </x:c>
      <x:c r="K2295" s="87" t="n">
        <x:v>0.05</x:v>
      </x:c>
      <x:c r="L2295" s="84" t="str">
        <x:v>Completed</x:v>
      </x:c>
      <x:c r="M2295" s="84" t="str">
        <x:v>PayPal</x:v>
      </x:c>
      <x:c r="N2295" s="84" t="str">
        <x:v>Sofia Bennett</x:v>
      </x:c>
      <x:c r="O2295" s="85" t="n">
        <x:v>46005</x:v>
      </x:c>
      <x:c r="P2295" s="84" t="str">
        <x:v>MKT_2025_12</x:v>
      </x:c>
      <x:c r="Q2295" s="84" t="str">
        <x:v>canvas tote bag</x:v>
      </x:c>
      <x:c r="R2295" s="84" t="str">
        <x:v>Accessories</x:v>
      </x:c>
    </x:row>
    <x:row r="2296">
      <x:c r="A2296" s="84" t="str">
        <x:v>ORD-2025-00837</x:v>
      </x:c>
      <x:c r="B2296" s="85" t="n">
        <x:v>45999</x:v>
      </x:c>
      <x:c r="C2296" s="84" t="str">
        <x:v>CUST-0438</x:v>
      </x:c>
      <x:c r="D2296" s="84" t="str">
        <x:v>Isaac Ortiz</x:v>
      </x:c>
      <x:c r="E2296" s="84" t="str">
        <x:v>Consumer</x:v>
      </x:c>
      <x:c r="F2296" s="84" t="str">
        <x:v>Midwest </x:v>
      </x:c>
      <x:c r="G2296" s="84" t="str">
        <x:v>Columbus</x:v>
      </x:c>
      <x:c r="H2296" s="84" t="str">
        <x:v>Online</x:v>
      </x:c>
      <x:c r="I2296" s="84" t="str">
        <x:v>ELEC-003</x:v>
      </x:c>
      <x:c r="J2296" s="86" t="n">
        <x:v>1</x:v>
      </x:c>
      <x:c r="K2296" s="87" t="n">
        <x:v>0.1</x:v>
      </x:c>
      <x:c r="L2296" s="84" t="str">
        <x:v>Completed</x:v>
      </x:c>
      <x:c r="M2296" s="84" t="str">
        <x:v>Credit Card</x:v>
      </x:c>
      <x:c r="N2296" s="84" t="str">
        <x:v>Zoe Turner </x:v>
      </x:c>
      <x:c r="O2296" s="85" t="n">
        <x:v>46004</x:v>
      </x:c>
      <x:c r="P2296" s="84" t="str">
        <x:v>WEB_2025_12</x:v>
      </x:c>
      <x:c r="Q2296" s="84" t="str">
        <x:v> BLUETOOTH SPEAKER </x:v>
      </x:c>
      <x:c r="R2296" s="84" t="str">
        <x:v>Electronics</x:v>
      </x:c>
    </x:row>
    <x:row r="2297">
      <x:c r="A2297" s="84" t="str">
        <x:v>ORD-2025-01077</x:v>
      </x:c>
      <x:c r="B2297" s="85" t="n">
        <x:v>45999</x:v>
      </x:c>
      <x:c r="C2297" s="84" t="str">
        <x:v>CUST-0147</x:v>
      </x:c>
      <x:c r="D2297" s="84" t="str">
        <x:v>Isaac Khan</x:v>
      </x:c>
      <x:c r="E2297" s="84" t="str">
        <x:v>Corporate</x:v>
      </x:c>
      <x:c r="F2297" s="84" t="str">
        <x:v>Northeast</x:v>
      </x:c>
      <x:c r="G2297" s="84" t="str">
        <x:v>Boston</x:v>
      </x:c>
      <x:c r="H2297" s="84" t="str">
        <x:v> RETAIL STORE </x:v>
      </x:c>
      <x:c r="I2297" s="84" t="str">
        <x:v>FITN-002</x:v>
      </x:c>
      <x:c r="J2297" s="86" t="n">
        <x:v>1</x:v>
      </x:c>
      <x:c r="K2297" s="87" t="n">
        <x:v>0.15</x:v>
      </x:c>
      <x:c r="L2297" s="84" t="str">
        <x:v>Completed </x:v>
      </x:c>
      <x:c r="M2297" s="84" t="str">
        <x:v>credit card</x:v>
      </x:c>
      <x:c r="N2297" s="84" t="str">
        <x:v>Maya Brooks</x:v>
      </x:c>
      <x:c r="O2297" s="85" t="n">
        <x:v>45999</x:v>
      </x:c>
      <x:c r="P2297" s="84" t="str">
        <x:v>POS_2025_12</x:v>
      </x:c>
      <x:c r="Q2297" s="84" t="str">
        <x:v>Adjustable Dumbbell Set</x:v>
      </x:c>
      <x:c r="R2297" s="84" t="str">
        <x:v>Fitness</x:v>
      </x:c>
    </x:row>
    <x:row r="2298">
      <x:c r="A2298" s="84" t="str">
        <x:v>ORD-2025-01530</x:v>
      </x:c>
      <x:c r="B2298" s="85" t="n">
        <x:v>45999</x:v>
      </x:c>
      <x:c r="C2298" s="84" t="str">
        <x:v>CUST-0145</x:v>
      </x:c>
      <x:c r="D2298" s="84" t="str">
        <x:v>Samuel Adams</x:v>
      </x:c>
      <x:c r="E2298" s="84" t="str">
        <x:v> CONSUMER </x:v>
      </x:c>
      <x:c r="F2298" s="84" t="str">
        <x:v>Southeast </x:v>
      </x:c>
      <x:c r="G2298" s="84" t="str">
        <x:v>Nashville</x:v>
      </x:c>
      <x:c r="H2298" s="84" t="str">
        <x:v>Marketplace</x:v>
      </x:c>
      <x:c r="I2298" s="84" t="str">
        <x:v>HOME-001</x:v>
      </x:c>
      <x:c r="J2298" s="86" t="n">
        <x:v>1</x:v>
      </x:c>
      <x:c r="K2298" s="87" t="n">
        <x:v>0.1</x:v>
      </x:c>
      <x:c r="L2298" s="84" t="str">
        <x:v>Completed</x:v>
      </x:c>
      <x:c r="M2298" s="84" t="str">
        <x:v>Credit Card</x:v>
      </x:c>
      <x:c r="N2298" s="84" t="str">
        <x:v>Noah Reed </x:v>
      </x:c>
      <x:c r="O2298" s="85" t="n">
        <x:v>46005</x:v>
      </x:c>
      <x:c r="P2298" s="84" t="str">
        <x:v>MKT_2025_12</x:v>
      </x:c>
      <x:c r="Q2298" s="84" t="str">
        <x:v>Air Fryer</x:v>
      </x:c>
      <x:c r="R2298" s="84" t="str">
        <x:v>Home &amp; Kitchen</x:v>
      </x:c>
    </x:row>
    <x:row r="2299">
      <x:c r="A2299" s="84" t="str">
        <x:v>ORD-2025-01586</x:v>
      </x:c>
      <x:c r="B2299" s="85" t="n">
        <x:v>45999</x:v>
      </x:c>
      <x:c r="C2299" s="84" t="str">
        <x:v>CUST-0394</x:v>
      </x:c>
      <x:c r="D2299" s="84" t="str">
        <x:v>Priya Nelson</x:v>
      </x:c>
      <x:c r="E2299" s="84" t="str"/>
      <x:c r="F2299" s="84" t="str">
        <x:v>West </x:v>
      </x:c>
      <x:c r="G2299" s="84" t="str">
        <x:v>Denver</x:v>
      </x:c>
      <x:c r="H2299" s="84" t="str">
        <x:v>Online</x:v>
      </x:c>
      <x:c r="I2299" s="84" t="str">
        <x:v>HOME-003</x:v>
      </x:c>
      <x:c r="J2299" s="86" t="n">
        <x:v>6</x:v>
      </x:c>
      <x:c r="K2299" s="87" t="n">
        <x:v>0.1</x:v>
      </x:c>
      <x:c r="L2299" s="84" t="str">
        <x:v> COMPLETED </x:v>
      </x:c>
      <x:c r="M2299" s="84" t="str">
        <x:v>PayPal</x:v>
      </x:c>
      <x:c r="N2299" s="84" t="str">
        <x:v>nora kim</x:v>
      </x:c>
      <x:c r="O2299" s="85" t="n">
        <x:v>46002</x:v>
      </x:c>
      <x:c r="P2299" s="84" t="str">
        <x:v>WEB_2025_12</x:v>
      </x:c>
      <x:c r="Q2299" s="84" t="str">
        <x:v>Countertop Blender</x:v>
      </x:c>
      <x:c r="R2299" s="84" t="str">
        <x:v>Home &amp; Kitchen</x:v>
      </x:c>
    </x:row>
    <x:row r="2300">
      <x:c r="A2300" s="84" t="str">
        <x:v>ORD-2025-01757</x:v>
      </x:c>
      <x:c r="B2300" s="85" t="n">
        <x:v>45999</x:v>
      </x:c>
      <x:c r="C2300" s="84" t="str">
        <x:v>CUST-0271</x:v>
      </x:c>
      <x:c r="D2300" s="84" t="str">
        <x:v>Jonah Nelson</x:v>
      </x:c>
      <x:c r="E2300" s="84" t="str">
        <x:v>Consumer </x:v>
      </x:c>
      <x:c r="F2300" s="84" t="str">
        <x:v>midwest</x:v>
      </x:c>
      <x:c r="G2300" s="84" t="str">
        <x:v>Detroit </x:v>
      </x:c>
      <x:c r="H2300" s="84" t="str">
        <x:v> MARKETPLACE </x:v>
      </x:c>
      <x:c r="I2300" s="84" t="str">
        <x:v>HOME-006</x:v>
      </x:c>
      <x:c r="J2300" s="86" t="n">
        <x:v>1</x:v>
      </x:c>
      <x:c r="K2300" s="87" t="n">
        <x:v>0.1</x:v>
      </x:c>
      <x:c r="L2300" s="84" t="str">
        <x:v>Completed</x:v>
      </x:c>
      <x:c r="M2300" s="84" t="str">
        <x:v>Debit Card</x:v>
      </x:c>
      <x:c r="N2300" s="84" t="str">
        <x:v>Lucas Grant</x:v>
      </x:c>
      <x:c r="O2300" s="85" t="n">
        <x:v>46004</x:v>
      </x:c>
      <x:c r="P2300" s="84" t="str">
        <x:v>MKT_2025_12</x:v>
      </x:c>
      <x:c r="Q2300" s="84" t="str">
        <x:v>Food Storage Set</x:v>
      </x:c>
      <x:c r="R2300" s="84" t="str">
        <x:v>Home &amp; Kitchen</x:v>
      </x:c>
    </x:row>
    <x:row r="2301">
      <x:c r="A2301" s="84" t="str">
        <x:v>ORD-2025-00183</x:v>
      </x:c>
      <x:c r="B2301" s="85" t="n">
        <x:v>46000</x:v>
      </x:c>
      <x:c r="C2301" s="84" t="str">
        <x:v>CUST-0356</x:v>
      </x:c>
      <x:c r="D2301" s="84" t="str">
        <x:v>grace davis</x:v>
      </x:c>
      <x:c r="E2301" s="84" t="str"/>
      <x:c r="F2301" s="84" t="str">
        <x:v>Northeast</x:v>
      </x:c>
      <x:c r="G2301" s="84" t="str">
        <x:v>Philadelphia</x:v>
      </x:c>
      <x:c r="H2301" s="84" t="str">
        <x:v>Online</x:v>
      </x:c>
      <x:c r="I2301" s="84" t="str">
        <x:v>ACCS-003</x:v>
      </x:c>
      <x:c r="J2301" s="86" t="n">
        <x:v>3</x:v>
      </x:c>
      <x:c r="K2301" s="87" t="n">
        <x:v>0.2</x:v>
      </x:c>
      <x:c r="L2301" s="84" t="str">
        <x:v>Completed</x:v>
      </x:c>
      <x:c r="M2301" s="84" t="str">
        <x:v>Debit Card</x:v>
      </x:c>
      <x:c r="N2301" s="84" t="str">
        <x:v>Sofia Bennett</x:v>
      </x:c>
      <x:c r="O2301" s="85" t="n">
        <x:v>46003</x:v>
      </x:c>
      <x:c r="P2301" s="84" t="str">
        <x:v>WEB_2025_12</x:v>
      </x:c>
      <x:c r="Q2301" s="84" t="str">
        <x:v>Polarized Sunglasses </x:v>
      </x:c>
      <x:c r="R2301" s="84" t="str">
        <x:v>Accessories</x:v>
      </x:c>
    </x:row>
    <x:row r="2302">
      <x:c r="A2302" s="84" t="str">
        <x:v>ORD-2025-00985</x:v>
      </x:c>
      <x:c r="B2302" s="85" t="n">
        <x:v>46000</x:v>
      </x:c>
      <x:c r="C2302" s="84" t="str">
        <x:v>CUST-0145</x:v>
      </x:c>
      <x:c r="D2302" s="84" t="str">
        <x:v>Samuel Adams </x:v>
      </x:c>
      <x:c r="E2302" s="84" t="str">
        <x:v>Consumer</x:v>
      </x:c>
      <x:c r="F2302" s="84" t="str">
        <x:v>Southeast</x:v>
      </x:c>
      <x:c r="G2302" s="84" t="str">
        <x:v>Nashville</x:v>
      </x:c>
      <x:c r="H2302" s="84" t="str">
        <x:v>Online</x:v>
      </x:c>
      <x:c r="I2302" s="84" t="str">
        <x:v>CARE-001</x:v>
      </x:c>
      <x:c r="J2302" s="86" t="n">
        <x:v>2</x:v>
      </x:c>
      <x:c r="K2302" s="87" t="n">
        <x:v>0.2</x:v>
      </x:c>
      <x:c r="L2302" s="84" t="str">
        <x:v>Completed</x:v>
      </x:c>
      <x:c r="M2302" s="84" t="str">
        <x:v>PayPal </x:v>
      </x:c>
      <x:c r="N2302" s="84" t="str">
        <x:v>Noah Reed</x:v>
      </x:c>
      <x:c r="O2302" s="85" t="n">
        <x:v>46004</x:v>
      </x:c>
      <x:c r="P2302" s="84" t="str">
        <x:v>WEB_2025_12</x:v>
      </x:c>
      <x:c r="Q2302" s="84" t="str">
        <x:v>Ionic Hair Dryer</x:v>
      </x:c>
      <x:c r="R2302" s="84" t="str">
        <x:v>Personal Care</x:v>
      </x:c>
    </x:row>
    <x:row r="2303">
      <x:c r="A2303" s="84" t="str">
        <x:v>ORD-2025-01458</x:v>
      </x:c>
      <x:c r="B2303" s="85" t="n">
        <x:v>46000</x:v>
      </x:c>
      <x:c r="C2303" s="84" t="str">
        <x:v>CUST-0069</x:v>
      </x:c>
      <x:c r="D2303" s="84" t="str">
        <x:v>Nina Ortiz</x:v>
      </x:c>
      <x:c r="E2303" s="84" t="str">
        <x:v>Corporate</x:v>
      </x:c>
      <x:c r="F2303" s="84" t="str">
        <x:v>Midwest</x:v>
      </x:c>
      <x:c r="G2303" s="84" t="str">
        <x:v>Minneapolis</x:v>
      </x:c>
      <x:c r="H2303" s="84" t="str">
        <x:v>Marketplace</x:v>
      </x:c>
      <x:c r="I2303" s="84" t="str">
        <x:v>ACCS-001</x:v>
      </x:c>
      <x:c r="J2303" s="86" t="n">
        <x:v>2</x:v>
      </x:c>
      <x:c r="K2303" s="87" t="n">
        <x:v>0.05</x:v>
      </x:c>
      <x:c r="L2303" s="84" t="str">
        <x:v>Completed</x:v>
      </x:c>
      <x:c r="M2303" s="84" t="str">
        <x:v>PayPal</x:v>
      </x:c>
      <x:c r="N2303" s="84" t="str">
        <x:v>Lucas Grant</x:v>
      </x:c>
      <x:c r="O2303" s="85" t="n">
        <x:v>46007</x:v>
      </x:c>
      <x:c r="P2303" s="84" t="str">
        <x:v>MKT_2025_12</x:v>
      </x:c>
      <x:c r="Q2303" s="84" t="str">
        <x:v>Canvas Tote Bag</x:v>
      </x:c>
      <x:c r="R2303" s="84" t="str">
        <x:v>Accessories </x:v>
      </x:c>
    </x:row>
    <x:row r="2304">
      <x:c r="A2304" s="84" t="str">
        <x:v>ORD-2025-01462</x:v>
      </x:c>
      <x:c r="B2304" s="85" t="n">
        <x:v>46000</x:v>
      </x:c>
      <x:c r="C2304" s="84" t="str">
        <x:v>CUST-0593</x:v>
      </x:c>
      <x:c r="D2304" s="84" t="str">
        <x:v>Nathan Johnson</x:v>
      </x:c>
      <x:c r="E2304" s="84" t="str">
        <x:v> CORPORATE </x:v>
      </x:c>
      <x:c r="F2304" s="84" t="str">
        <x:v>West</x:v>
      </x:c>
      <x:c r="G2304" s="84" t="str">
        <x:v>Denver</x:v>
      </x:c>
      <x:c r="H2304" s="84" t="str">
        <x:v>Online</x:v>
      </x:c>
      <x:c r="I2304" s="84" t="str">
        <x:v>CARE-004</x:v>
      </x:c>
      <x:c r="J2304" s="86" t="n">
        <x:v>6</x:v>
      </x:c>
      <x:c r="K2304" s="87" t="n">
        <x:v>0</x:v>
      </x:c>
      <x:c r="L2304" s="84" t="str">
        <x:v>Completed </x:v>
      </x:c>
      <x:c r="M2304" s="84" t="str">
        <x:v>mobile wallet</x:v>
      </x:c>
      <x:c r="N2304" s="84" t="str">
        <x:v>Mia Chen</x:v>
      </x:c>
      <x:c r="O2304" s="85" t="n">
        <x:v>46003</x:v>
      </x:c>
      <x:c r="P2304" s="84" t="str">
        <x:v>WEB_2025_12</x:v>
      </x:c>
      <x:c r="Q2304" s="84" t="str">
        <x:v>Electric Toothbrush</x:v>
      </x:c>
      <x:c r="R2304" s="84" t="str">
        <x:v>Personal Care</x:v>
      </x:c>
    </x:row>
    <x:row r="2305">
      <x:c r="A2305" s="84" t="str">
        <x:v>ORD-2025-02069</x:v>
      </x:c>
      <x:c r="B2305" s="85" t="n">
        <x:v>46000</x:v>
      </x:c>
      <x:c r="C2305" s="84" t="str">
        <x:v>CUST-0459</x:v>
      </x:c>
      <x:c r="D2305" s="84" t="str">
        <x:v>Theo Baker</x:v>
      </x:c>
      <x:c r="E2305" s="84" t="str">
        <x:v>Consumer</x:v>
      </x:c>
      <x:c r="F2305" s="84" t="str">
        <x:v>Southeast </x:v>
      </x:c>
      <x:c r="G2305" s="84" t="str">
        <x:v>Miami</x:v>
      </x:c>
      <x:c r="H2305" s="84" t="str">
        <x:v>Retail Store</x:v>
      </x:c>
      <x:c r="I2305" s="84" t="str">
        <x:v>ACCS-006</x:v>
      </x:c>
      <x:c r="J2305" s="86" t="n">
        <x:v>1</x:v>
      </x:c>
      <x:c r="K2305" s="87" t="n">
        <x:v>0</x:v>
      </x:c>
      <x:c r="L2305" s="84" t="str">
        <x:v>Completed</x:v>
      </x:c>
      <x:c r="M2305" s="84" t="str">
        <x:v>Credit Card</x:v>
      </x:c>
      <x:c r="N2305" s="84" t="str">
        <x:v>Liam Parker </x:v>
      </x:c>
      <x:c r="O2305" s="85" t="n">
        <x:v>46001</x:v>
      </x:c>
      <x:c r="P2305" s="84" t="str">
        <x:v>POS_2025_12</x:v>
      </x:c>
      <x:c r="Q2305" s="84" t="str">
        <x:v>Insulated Lunch Bag</x:v>
      </x:c>
      <x:c r="R2305" s="84" t="str">
        <x:v>Accessories</x:v>
      </x:c>
    </x:row>
    <x:row r="2306">
      <x:c r="A2306" s="84" t="str">
        <x:v>ORD-2025-02218</x:v>
      </x:c>
      <x:c r="B2306" s="85" t="n">
        <x:v>46000</x:v>
      </x:c>
      <x:c r="C2306" s="84" t="str">
        <x:v>CUST-0310</x:v>
      </x:c>
      <x:c r="D2306" s="84" t="str">
        <x:v>marcus patel</x:v>
      </x:c>
      <x:c r="E2306" s="84" t="str">
        <x:v>Consumer</x:v>
      </x:c>
      <x:c r="F2306" s="84" t="str">
        <x:v>Midwest</x:v>
      </x:c>
      <x:c r="G2306" s="84" t="str">
        <x:v>Columbus</x:v>
      </x:c>
      <x:c r="H2306" s="84" t="str">
        <x:v>Online</x:v>
      </x:c>
      <x:c r="I2306" s="84" t="str">
        <x:v>ELEC-003</x:v>
      </x:c>
      <x:c r="J2306" s="86" t="n">
        <x:v>1</x:v>
      </x:c>
      <x:c r="K2306" s="87" t="n">
        <x:v>0</x:v>
      </x:c>
      <x:c r="L2306" s="84" t="str">
        <x:v>Completed </x:v>
      </x:c>
      <x:c r="M2306" s="84" t="str">
        <x:v>Mobile Wallet</x:v>
      </x:c>
      <x:c r="N2306" s="84" t="str">
        <x:v>Zoe Turner</x:v>
      </x:c>
      <x:c r="O2306" s="85" t="n">
        <x:v>46005</x:v>
      </x:c>
      <x:c r="P2306" s="84" t="str">
        <x:v>WEB_2025_12</x:v>
      </x:c>
      <x:c r="Q2306" s="84" t="str">
        <x:v>Bluetooth Speaker</x:v>
      </x:c>
      <x:c r="R2306" s="84" t="str">
        <x:v>Electronics</x:v>
      </x:c>
    </x:row>
    <x:row r="2307">
      <x:c r="A2307" s="84" t="str">
        <x:v>ORD-2025-00155</x:v>
      </x:c>
      <x:c r="B2307" s="85" t="n">
        <x:v>46001</x:v>
      </x:c>
      <x:c r="C2307" s="84" t="str">
        <x:v>CUST-0362</x:v>
      </x:c>
      <x:c r="D2307" s="84" t="str">
        <x:v>Samuel Moore</x:v>
      </x:c>
      <x:c r="E2307" s="84" t="str">
        <x:v>Corporate</x:v>
      </x:c>
      <x:c r="F2307" s="84" t="str">
        <x:v>West</x:v>
      </x:c>
      <x:c r="G2307" s="84" t="str">
        <x:v>Los Angeles</x:v>
      </x:c>
      <x:c r="H2307" s="84" t="str">
        <x:v>Retail Store</x:v>
      </x:c>
      <x:c r="I2307" s="84" t="str">
        <x:v>ELEC-001</x:v>
      </x:c>
      <x:c r="J2307" s="86" t="n">
        <x:v>6</x:v>
      </x:c>
      <x:c r="K2307" s="87" t="n">
        <x:v>0</x:v>
      </x:c>
      <x:c r="L2307" s="84" t="str">
        <x:v>Completed</x:v>
      </x:c>
      <x:c r="M2307" s="84" t="str">
        <x:v>Mobile Wallet</x:v>
      </x:c>
      <x:c r="N2307" s="84" t="str">
        <x:v>Nora Kim</x:v>
      </x:c>
      <x:c r="O2307" s="85" t="n">
        <x:v>46001</x:v>
      </x:c>
      <x:c r="P2307" s="84" t="str">
        <x:v>POS_2025_12</x:v>
      </x:c>
      <x:c r="Q2307" s="84" t="str">
        <x:v>Wireless Earbuds </x:v>
      </x:c>
      <x:c r="R2307" s="84" t="str">
        <x:v>Electronics</x:v>
      </x:c>
    </x:row>
    <x:row r="2308">
      <x:c r="A2308" s="84" t="str">
        <x:v>ORD-2025-00558</x:v>
      </x:c>
      <x:c r="B2308" s="85" t="n">
        <x:v>46001</x:v>
      </x:c>
      <x:c r="C2308" s="84" t="str">
        <x:v>CUST-0234</x:v>
      </x:c>
      <x:c r="D2308" s="84" t="str">
        <x:v> WILLIAM QUINN </x:v>
      </x:c>
      <x:c r="E2308" s="84" t="str">
        <x:v>Consumer</x:v>
      </x:c>
      <x:c r="F2308" s="84" t="str">
        <x:v> WEST </x:v>
      </x:c>
      <x:c r="G2308" s="84" t="str">
        <x:v>Seattle</x:v>
      </x:c>
      <x:c r="H2308" s="84" t="str">
        <x:v>Online</x:v>
      </x:c>
      <x:c r="I2308" s="84" t="str">
        <x:v>HOME-006</x:v>
      </x:c>
      <x:c r="J2308" s="86" t="n">
        <x:v>1</x:v>
      </x:c>
      <x:c r="K2308" s="87" t="n">
        <x:v>0.15</x:v>
      </x:c>
      <x:c r="L2308" s="84" t="str">
        <x:v>Completed</x:v>
      </x:c>
      <x:c r="M2308" s="84" t="str">
        <x:v>Mobile Wallet </x:v>
      </x:c>
      <x:c r="N2308" s="84" t="str">
        <x:v>Mia Chen</x:v>
      </x:c>
      <x:c r="O2308" s="85" t="n">
        <x:v>46003</x:v>
      </x:c>
      <x:c r="P2308" s="84" t="str">
        <x:v>WEB_2025_12</x:v>
      </x:c>
      <x:c r="Q2308" s="84" t="str">
        <x:v>Food Storage Set</x:v>
      </x:c>
      <x:c r="R2308" s="84" t="str">
        <x:v>Home &amp; Kitchen</x:v>
      </x:c>
    </x:row>
    <x:row r="2309">
      <x:c r="A2309" s="84" t="str">
        <x:v>ORD-2025-00912</x:v>
      </x:c>
      <x:c r="B2309" s="85" t="n">
        <x:v>46001</x:v>
      </x:c>
      <x:c r="C2309" s="84" t="str">
        <x:v>CUST-0141</x:v>
      </x:c>
      <x:c r="D2309" s="84" t="str">
        <x:v>Victoria Taylor</x:v>
      </x:c>
      <x:c r="E2309" s="84" t="str">
        <x:v>Consumer</x:v>
      </x:c>
      <x:c r="F2309" s="84" t="str">
        <x:v>Midwest</x:v>
      </x:c>
      <x:c r="G2309" s="84" t="str">
        <x:v>Minneapolis</x:v>
      </x:c>
      <x:c r="H2309" s="84" t="str">
        <x:v>Marketplace</x:v>
      </x:c>
      <x:c r="I2309" s="84" t="str">
        <x:v>ELEC-002</x:v>
      </x:c>
      <x:c r="J2309" s="86" t="n">
        <x:v>2</x:v>
      </x:c>
      <x:c r="K2309" s="87" t="n">
        <x:v>0</x:v>
      </x:c>
      <x:c r="L2309" s="84" t="str">
        <x:v>Completed</x:v>
      </x:c>
      <x:c r="M2309" s="84" t="str">
        <x:v> DEBIT CARD </x:v>
      </x:c>
      <x:c r="N2309" s="84" t="str">
        <x:v>Lucas Grant</x:v>
      </x:c>
      <x:c r="O2309" s="85" t="n">
        <x:v>46009</x:v>
      </x:c>
      <x:c r="P2309" s="84" t="str">
        <x:v>MKT_2025_12</x:v>
      </x:c>
      <x:c r="Q2309" s="84" t="str">
        <x:v>Smartwatch</x:v>
      </x:c>
      <x:c r="R2309" s="84" t="str">
        <x:v>Electronics </x:v>
      </x:c>
    </x:row>
    <x:row r="2310">
      <x:c r="A2310" s="84" t="str">
        <x:v>ORD-2025-00993</x:v>
      </x:c>
      <x:c r="B2310" s="85" t="n">
        <x:v>46001</x:v>
      </x:c>
      <x:c r="C2310" s="84" t="str">
        <x:v>CUST-0221</x:v>
      </x:c>
      <x:c r="D2310" s="84" t="str">
        <x:v>Priya Irwin</x:v>
      </x:c>
      <x:c r="E2310" s="84" t="str">
        <x:v>Consumer</x:v>
      </x:c>
      <x:c r="F2310" s="84" t="str">
        <x:v>Southeast</x:v>
      </x:c>
      <x:c r="G2310" s="84" t="str">
        <x:v>Charlotte</x:v>
      </x:c>
      <x:c r="H2310" s="84" t="str">
        <x:v>Marketplace</x:v>
      </x:c>
      <x:c r="I2310" s="84" t="str">
        <x:v>FITN-003</x:v>
      </x:c>
      <x:c r="J2310" s="86" t="n">
        <x:v>1</x:v>
      </x:c>
      <x:c r="K2310" s="87" t="n">
        <x:v>0.05</x:v>
      </x:c>
      <x:c r="L2310" s="84" t="str">
        <x:v>Completed </x:v>
      </x:c>
      <x:c r="M2310" s="84" t="str">
        <x:v>Credit Card</x:v>
      </x:c>
      <x:c r="N2310" s="84" t="str">
        <x:v>Liam Parker</x:v>
      </x:c>
      <x:c r="O2310" s="85" t="n">
        <x:v>46005</x:v>
      </x:c>
      <x:c r="P2310" s="84" t="str">
        <x:v>MKT_2025_12</x:v>
      </x:c>
      <x:c r="Q2310" s="84" t="str">
        <x:v>Resistance Band Set</x:v>
      </x:c>
      <x:c r="R2310" s="84" t="str">
        <x:v>fitness</x:v>
      </x:c>
    </x:row>
    <x:row r="2311">
      <x:c r="A2311" s="84" t="str">
        <x:v>ORD-2025-01699</x:v>
      </x:c>
      <x:c r="B2311" s="85" t="n">
        <x:v>46001</x:v>
      </x:c>
      <x:c r="C2311" s="84" t="str">
        <x:v>CUST-0045</x:v>
      </x:c>
      <x:c r="D2311" s="84" t="str">
        <x:v>Nina Foster </x:v>
      </x:c>
      <x:c r="E2311" s="84" t="str">
        <x:v>Small Business</x:v>
      </x:c>
      <x:c r="F2311" s="84" t="str">
        <x:v>Northeast</x:v>
      </x:c>
      <x:c r="G2311" s="84" t="str">
        <x:v>Boston</x:v>
      </x:c>
      <x:c r="H2311" s="84" t="str">
        <x:v>Marketplace</x:v>
      </x:c>
      <x:c r="I2311" s="84" t="str">
        <x:v>HOME-002</x:v>
      </x:c>
      <x:c r="J2311" s="86" t="n">
        <x:v>1</x:v>
      </x:c>
      <x:c r="K2311" s="87" t="n">
        <x:v>0.2</x:v>
      </x:c>
      <x:c r="L2311" s="84" t="str">
        <x:v>Completed</x:v>
      </x:c>
      <x:c r="M2311" s="84" t="str">
        <x:v>PayPal </x:v>
      </x:c>
      <x:c r="N2311" s="84" t="str">
        <x:v>Maya Brooks</x:v>
      </x:c>
      <x:c r="O2311" s="85" t="n">
        <x:v>46007</x:v>
      </x:c>
      <x:c r="P2311" s="84" t="str">
        <x:v>MKT_2025_12</x:v>
      </x:c>
      <x:c r="Q2311" s="84" t="str">
        <x:v>Electric Kettle</x:v>
      </x:c>
      <x:c r="R2311" s="84" t="str">
        <x:v>Home &amp; Kitchen</x:v>
      </x:c>
    </x:row>
    <x:row r="2312">
      <x:c r="A2312" s="84" t="str">
        <x:v>ORD-2025-00224</x:v>
      </x:c>
      <x:c r="B2312" s="85" t="n">
        <x:v>46002</x:v>
      </x:c>
      <x:c r="C2312" s="84" t="str">
        <x:v>CUST-0360</x:v>
      </x:c>
      <x:c r="D2312" s="84" t="str">
        <x:v>Elena Taylor</x:v>
      </x:c>
      <x:c r="E2312" s="84" t="str">
        <x:v>Corporate </x:v>
      </x:c>
      <x:c r="F2312" s="84" t="str">
        <x:v>Northeast</x:v>
      </x:c>
      <x:c r="G2312" s="84" t="str">
        <x:v>new york</x:v>
      </x:c>
      <x:c r="H2312" s="84" t="str">
        <x:v>Marketplace</x:v>
      </x:c>
      <x:c r="I2312" s="84" t="str">
        <x:v>HOME-006</x:v>
      </x:c>
      <x:c r="J2312" s="86" t="n">
        <x:v>4</x:v>
      </x:c>
      <x:c r="K2312" s="87" t="n">
        <x:v>0.1</x:v>
      </x:c>
      <x:c r="L2312" s="84" t="str">
        <x:v>completed</x:v>
      </x:c>
      <x:c r="M2312" s="84" t="str">
        <x:v>Debit Card</x:v>
      </x:c>
      <x:c r="N2312" s="84" t="str">
        <x:v> ETHAN COLE </x:v>
      </x:c>
      <x:c r="O2312" s="85" t="n">
        <x:v>46007</x:v>
      </x:c>
      <x:c r="P2312" s="84" t="str">
        <x:v>MKT_2025_12</x:v>
      </x:c>
      <x:c r="Q2312" s="84" t="str">
        <x:v>Food Storage Set</x:v>
      </x:c>
      <x:c r="R2312" s="84" t="str">
        <x:v>Home &amp; Kitchen</x:v>
      </x:c>
    </x:row>
    <x:row r="2313">
      <x:c r="A2313" s="84" t="str">
        <x:v>ORD-2025-00288</x:v>
      </x:c>
      <x:c r="B2313" s="85" t="n">
        <x:v>46002</x:v>
      </x:c>
      <x:c r="C2313" s="84" t="str">
        <x:v>CUST-0479</x:v>
      </x:c>
      <x:c r="D2313" s="84" t="str">
        <x:v>Zara Taylor</x:v>
      </x:c>
      <x:c r="E2313" s="84" t="str">
        <x:v>Consumer</x:v>
      </x:c>
      <x:c r="F2313" s="84" t="str">
        <x:v>West</x:v>
      </x:c>
      <x:c r="G2313" s="84" t="str">
        <x:v>Phoenix</x:v>
      </x:c>
      <x:c r="H2313" s="84" t="str">
        <x:v>Retail Store</x:v>
      </x:c>
      <x:c r="I2313" s="84" t="str">
        <x:v>HOME-005</x:v>
      </x:c>
      <x:c r="J2313" s="86" t="n">
        <x:v>4</x:v>
      </x:c>
      <x:c r="K2313" s="87" t="n">
        <x:v>0</x:v>
      </x:c>
      <x:c r="L2313" s="84" t="str">
        <x:v>Completed</x:v>
      </x:c>
      <x:c r="M2313" s="84" t="str">
        <x:v>Credit Card</x:v>
      </x:c>
      <x:c r="N2313" s="84" t="str">
        <x:v>nora kim</x:v>
      </x:c>
      <x:c r="O2313" s="85" t="n">
        <x:v>46002</x:v>
      </x:c>
      <x:c r="P2313" s="84" t="str">
        <x:v>POS_2025_12</x:v>
      </x:c>
      <x:c r="Q2313" s="84" t="str">
        <x:v>Cordless Vacuum </x:v>
      </x:c>
      <x:c r="R2313" s="84" t="str">
        <x:v>Home &amp; Kitchen</x:v>
      </x:c>
    </x:row>
    <x:row r="2314">
      <x:c r="A2314" s="84" t="str">
        <x:v>ORD-2025-00330</x:v>
      </x:c>
      <x:c r="B2314" s="85" t="n">
        <x:v>46002</x:v>
      </x:c>
      <x:c r="C2314" s="84" t="str">
        <x:v>CUST-0240</x:v>
      </x:c>
      <x:c r="D2314" s="84" t="str">
        <x:v>Elena Garcia</x:v>
      </x:c>
      <x:c r="E2314" s="84" t="str">
        <x:v>consumer</x:v>
      </x:c>
      <x:c r="F2314" s="84" t="str">
        <x:v>Midwest</x:v>
      </x:c>
      <x:c r="G2314" s="84" t="str">
        <x:v>Detroit</x:v>
      </x:c>
      <x:c r="H2314" s="84" t="str">
        <x:v>online</x:v>
      </x:c>
      <x:c r="I2314" s="84" t="str">
        <x:v>ELEC-003</x:v>
      </x:c>
      <x:c r="J2314" s="86" t="n">
        <x:v>1</x:v>
      </x:c>
      <x:c r="K2314" s="87" t="n">
        <x:v>0.15</x:v>
      </x:c>
      <x:c r="L2314" s="84" t="str">
        <x:v>Completed</x:v>
      </x:c>
      <x:c r="M2314" s="84" t="str">
        <x:v>Credit Card</x:v>
      </x:c>
      <x:c r="N2314" s="84" t="str">
        <x:v>Lucas Grant</x:v>
      </x:c>
      <x:c r="O2314" s="85" t="n">
        <x:v>46005</x:v>
      </x:c>
      <x:c r="P2314" s="84" t="str">
        <x:v>WEB_2025_12</x:v>
      </x:c>
      <x:c r="Q2314" s="84" t="str">
        <x:v>Bluetooth Speaker </x:v>
      </x:c>
      <x:c r="R2314" s="84" t="str">
        <x:v>Electronics</x:v>
      </x:c>
    </x:row>
    <x:row r="2315">
      <x:c r="A2315" s="84" t="str">
        <x:v>ORD-2025-01063</x:v>
      </x:c>
      <x:c r="B2315" s="85" t="n">
        <x:v>46002</x:v>
      </x:c>
      <x:c r="C2315" s="84" t="str">
        <x:v>CUST-0311</x:v>
      </x:c>
      <x:c r="D2315" s="84" t="str">
        <x:v>amelia evans</x:v>
      </x:c>
      <x:c r="E2315" s="84" t="str">
        <x:v>Consumer</x:v>
      </x:c>
      <x:c r="F2315" s="84" t="str">
        <x:v>Midwest</x:v>
      </x:c>
      <x:c r="G2315" s="84" t="str">
        <x:v>Detroit</x:v>
      </x:c>
      <x:c r="H2315" s="84" t="str">
        <x:v>Online</x:v>
      </x:c>
      <x:c r="I2315" s="84" t="str">
        <x:v>OFFC-005</x:v>
      </x:c>
      <x:c r="J2315" s="86" t="n">
        <x:v>1</x:v>
      </x:c>
      <x:c r="K2315" s="87" t="n">
        <x:v>0.05</x:v>
      </x:c>
      <x:c r="L2315" s="84" t="str">
        <x:v>Completed </x:v>
      </x:c>
      <x:c r="M2315" s="84" t="str">
        <x:v>PayPal</x:v>
      </x:c>
      <x:c r="N2315" s="84" t="str">
        <x:v>Emma Hayes</x:v>
      </x:c>
      <x:c r="O2315" s="85" t="n">
        <x:v>46008</x:v>
      </x:c>
      <x:c r="P2315" s="84" t="str">
        <x:v>WEB_2025_12</x:v>
      </x:c>
      <x:c r="Q2315" s="84" t="str">
        <x:v>Wireless Keyboard</x:v>
      </x:c>
      <x:c r="R2315" s="84" t="str">
        <x:v>Office</x:v>
      </x:c>
    </x:row>
    <x:row r="2316">
      <x:c r="A2316" s="84" t="str">
        <x:v>ORD-2025-01087</x:v>
      </x:c>
      <x:c r="B2316" s="85" t="n">
        <x:v>46002</x:v>
      </x:c>
      <x:c r="C2316" s="84" t="str">
        <x:v>CUST-0021</x:v>
      </x:c>
      <x:c r="D2316" s="84" t="str">
        <x:v>Elena Adams</x:v>
      </x:c>
      <x:c r="E2316" s="84" t="str">
        <x:v>Consumer</x:v>
      </x:c>
      <x:c r="F2316" s="84" t="str">
        <x:v>West</x:v>
      </x:c>
      <x:c r="G2316" s="84" t="str">
        <x:v>Denver</x:v>
      </x:c>
      <x:c r="H2316" s="84" t="str">
        <x:v>Online</x:v>
      </x:c>
      <x:c r="I2316" s="84" t="str">
        <x:v>OFFC-003</x:v>
      </x:c>
      <x:c r="J2316" s="86" t="n">
        <x:v>1</x:v>
      </x:c>
      <x:c r="K2316" s="87" t="n">
        <x:v>0.2</x:v>
      </x:c>
      <x:c r="L2316" s="84" t="str">
        <x:v>Completed</x:v>
      </x:c>
      <x:c r="M2316" s="84" t="str">
        <x:v>Credit Card</x:v>
      </x:c>
      <x:c r="N2316" s="84" t="str">
        <x:v>Leo Martinez</x:v>
      </x:c>
      <x:c r="O2316" s="85" t="n">
        <x:v>46006</x:v>
      </x:c>
      <x:c r="P2316" s="84" t="str">
        <x:v>WEB_2025_12</x:v>
      </x:c>
      <x:c r="Q2316" s="84" t="str">
        <x:v>led desk lamp</x:v>
      </x:c>
      <x:c r="R2316" s="84" t="str">
        <x:v>Office </x:v>
      </x:c>
    </x:row>
    <x:row r="2317">
      <x:c r="A2317" s="84" t="str">
        <x:v>ORD-2025-01375</x:v>
      </x:c>
      <x:c r="B2317" s="85" t="n">
        <x:v>46002</x:v>
      </x:c>
      <x:c r="C2317" s="84" t="str">
        <x:v>CUST-0070</x:v>
      </x:c>
      <x:c r="D2317" s="84" t="str">
        <x:v>Elena Hall</x:v>
      </x:c>
      <x:c r="E2317" s="84" t="str">
        <x:v>small business</x:v>
      </x:c>
      <x:c r="F2317" s="84" t="str">
        <x:v>West</x:v>
      </x:c>
      <x:c r="G2317" s="84" t="str">
        <x:v>Seattle</x:v>
      </x:c>
      <x:c r="H2317" s="84" t="str">
        <x:v>marketplace</x:v>
      </x:c>
      <x:c r="I2317" s="84" t="str">
        <x:v>ACCS-005</x:v>
      </x:c>
      <x:c r="J2317" s="86" t="n">
        <x:v>3</x:v>
      </x:c>
      <x:c r="K2317" s="87" t="n">
        <x:v>0.1</x:v>
      </x:c>
      <x:c r="L2317" s="84" t="str">
        <x:v>Completed</x:v>
      </x:c>
      <x:c r="M2317" s="84" t="str">
        <x:v>PayPal</x:v>
      </x:c>
      <x:c r="N2317" s="84" t="str">
        <x:v>Leo Martinez</x:v>
      </x:c>
      <x:c r="O2317" s="85" t="n">
        <x:v>46005</x:v>
      </x:c>
      <x:c r="P2317" s="84" t="str">
        <x:v>MKT_2025_12</x:v>
      </x:c>
      <x:c r="Q2317" s="84" t="str">
        <x:v>Protective Phone Case</x:v>
      </x:c>
      <x:c r="R2317" s="84" t="str">
        <x:v> ACCESSORIES </x:v>
      </x:c>
    </x:row>
    <x:row r="2318">
      <x:c r="A2318" s="84" t="str">
        <x:v>ORD-2025-01851</x:v>
      </x:c>
      <x:c r="B2318" s="85" t="n">
        <x:v>46002</x:v>
      </x:c>
      <x:c r="C2318" s="84" t="str">
        <x:v>CUST-0566</x:v>
      </x:c>
      <x:c r="D2318" s="84" t="str">
        <x:v>Jonah Quinn</x:v>
      </x:c>
      <x:c r="E2318" s="84" t="str">
        <x:v>Small Business</x:v>
      </x:c>
      <x:c r="F2318" s="84" t="str">
        <x:v>Northeast</x:v>
      </x:c>
      <x:c r="G2318" s="84" t="str">
        <x:v>New York</x:v>
      </x:c>
      <x:c r="H2318" s="84" t="str">
        <x:v>Online </x:v>
      </x:c>
      <x:c r="I2318" s="84" t="str">
        <x:v>ACCS-004</x:v>
      </x:c>
      <x:c r="J2318" s="86" t="n">
        <x:v>4</x:v>
      </x:c>
      <x:c r="K2318" s="87" t="n">
        <x:v>0.1</x:v>
      </x:c>
      <x:c r="L2318" s="84" t="str">
        <x:v>Completed</x:v>
      </x:c>
      <x:c r="M2318" s="84" t="str">
        <x:v>PayPal</x:v>
      </x:c>
      <x:c r="N2318" s="84" t="str">
        <x:v>Maya Brooks</x:v>
      </x:c>
      <x:c r="O2318" s="85" t="n">
        <x:v>46006</x:v>
      </x:c>
      <x:c r="P2318" s="84" t="str">
        <x:v>WEB_2025_12</x:v>
      </x:c>
      <x:c r="Q2318" s="84" t="str">
        <x:v>Leather Wallet</x:v>
      </x:c>
      <x:c r="R2318" s="84" t="str">
        <x:v> ACCESSORIES </x:v>
      </x:c>
    </x:row>
    <x:row r="2319">
      <x:c r="A2319" s="84" t="str">
        <x:v>ORD-2025-01868</x:v>
      </x:c>
      <x:c r="B2319" s="85" t="n">
        <x:v>46002</x:v>
      </x:c>
      <x:c r="C2319" s="84" t="str">
        <x:v>CUST-0297</x:v>
      </x:c>
      <x:c r="D2319" s="84" t="str">
        <x:v>Nathan Davis</x:v>
      </x:c>
      <x:c r="E2319" s="84" t="str">
        <x:v>Consumer</x:v>
      </x:c>
      <x:c r="F2319" s="84" t="str">
        <x:v>Midwest</x:v>
      </x:c>
      <x:c r="G2319" s="84" t="str">
        <x:v>Minneapolis</x:v>
      </x:c>
      <x:c r="H2319" s="84" t="str">
        <x:v>Online</x:v>
      </x:c>
      <x:c r="I2319" s="84" t="str">
        <x:v>ACCS-005</x:v>
      </x:c>
      <x:c r="J2319" s="86" t="n">
        <x:v>1</x:v>
      </x:c>
      <x:c r="K2319" s="87" t="n">
        <x:v>0.1</x:v>
      </x:c>
      <x:c r="L2319" s="84" t="str">
        <x:v>Completed </x:v>
      </x:c>
      <x:c r="M2319" s="84" t="str">
        <x:v>Credit Card</x:v>
      </x:c>
      <x:c r="N2319" s="84" t="str">
        <x:v>Emma Hayes</x:v>
      </x:c>
      <x:c r="O2319" s="85" t="n">
        <x:v>46006</x:v>
      </x:c>
      <x:c r="P2319" s="84" t="str">
        <x:v>WEB_2025_12</x:v>
      </x:c>
      <x:c r="Q2319" s="84" t="str">
        <x:v>protective phone case</x:v>
      </x:c>
      <x:c r="R2319" s="84" t="str">
        <x:v> ACCESSORIES </x:v>
      </x:c>
    </x:row>
    <x:row r="2320">
      <x:c r="A2320" s="84" t="str">
        <x:v>ORD-2025-02161</x:v>
      </x:c>
      <x:c r="B2320" s="85" t="n">
        <x:v>46002</x:v>
      </x:c>
      <x:c r="C2320" s="84" t="str">
        <x:v>CUST-0154</x:v>
      </x:c>
      <x:c r="D2320" s="84" t="str">
        <x:v>Priya Moore </x:v>
      </x:c>
      <x:c r="E2320" s="84" t="str">
        <x:v>Consumer</x:v>
      </x:c>
      <x:c r="F2320" s="84" t="str">
        <x:v>West</x:v>
      </x:c>
      <x:c r="G2320" s="84" t="str">
        <x:v>Denver</x:v>
      </x:c>
      <x:c r="H2320" s="84" t="str">
        <x:v>Marketplace</x:v>
      </x:c>
      <x:c r="I2320" s="84" t="str">
        <x:v>ELEC-004</x:v>
      </x:c>
      <x:c r="J2320" s="86" t="n">
        <x:v>1</x:v>
      </x:c>
      <x:c r="K2320" s="87" t="n">
        <x:v>0.15</x:v>
      </x:c>
      <x:c r="L2320" s="84" t="str">
        <x:v>Completed</x:v>
      </x:c>
      <x:c r="M2320" s="84" t="str">
        <x:v>Mobile Wallet </x:v>
      </x:c>
      <x:c r="N2320" s="84" t="str">
        <x:v>Leo Martinez</x:v>
      </x:c>
      <x:c r="O2320" s="85" t="n">
        <x:v>46008</x:v>
      </x:c>
      <x:c r="P2320" s="84" t="str">
        <x:v>MKT_2025_12</x:v>
      </x:c>
      <x:c r="Q2320" s="84" t="str">
        <x:v>Power Bank</x:v>
      </x:c>
      <x:c r="R2320" s="84" t="str">
        <x:v>Electronics</x:v>
      </x:c>
    </x:row>
    <x:row r="2321">
      <x:c r="A2321" s="84" t="str">
        <x:v>ORD-2025-02264</x:v>
      </x:c>
      <x:c r="B2321" s="85" t="n">
        <x:v>46002</x:v>
      </x:c>
      <x:c r="C2321" s="84" t="str">
        <x:v>CUST-0366</x:v>
      </x:c>
      <x:c r="D2321" s="84" t="str">
        <x:v>Priya Foster</x:v>
      </x:c>
      <x:c r="E2321" s="84" t="str">
        <x:v>Corporate</x:v>
      </x:c>
      <x:c r="F2321" s="84" t="str">
        <x:v>Southeast</x:v>
      </x:c>
      <x:c r="G2321" s="84" t="str">
        <x:v>Charlotte</x:v>
      </x:c>
      <x:c r="H2321" s="84" t="str">
        <x:v>Retail Store </x:v>
      </x:c>
      <x:c r="I2321" s="84" t="str">
        <x:v>ACCS-006</x:v>
      </x:c>
      <x:c r="J2321" s="86" t="n">
        <x:v>3</x:v>
      </x:c>
      <x:c r="K2321" s="87" t="n">
        <x:v>0.15</x:v>
      </x:c>
      <x:c r="L2321" s="84" t="str">
        <x:v>Completed</x:v>
      </x:c>
      <x:c r="M2321" s="84" t="str">
        <x:v>Credit Card</x:v>
      </x:c>
      <x:c r="N2321" s="84" t="str">
        <x:v> NOAH REED </x:v>
      </x:c>
      <x:c r="O2321" s="85" t="n">
        <x:v>46002</x:v>
      </x:c>
      <x:c r="P2321" s="84" t="str">
        <x:v>POS_2025_12</x:v>
      </x:c>
      <x:c r="Q2321" s="84" t="str">
        <x:v>insulated lunch bag</x:v>
      </x:c>
      <x:c r="R2321" s="84" t="str">
        <x:v>Accessories</x:v>
      </x:c>
    </x:row>
    <x:row r="2322">
      <x:c r="A2322" s="84" t="str">
        <x:v>ORD-2025-00328</x:v>
      </x:c>
      <x:c r="B2322" s="85" t="n">
        <x:v>46003</x:v>
      </x:c>
      <x:c r="C2322" s="84" t="str">
        <x:v>CUST-0084</x:v>
      </x:c>
      <x:c r="D2322" s="84" t="str">
        <x:v>Marcus Davis</x:v>
      </x:c>
      <x:c r="E2322" s="84" t="str">
        <x:v>Corporate</x:v>
      </x:c>
      <x:c r="F2322" s="84" t="str">
        <x:v>Southeast</x:v>
      </x:c>
      <x:c r="G2322" s="84" t="str">
        <x:v>Miami</x:v>
      </x:c>
      <x:c r="H2322" s="84" t="str">
        <x:v>Marketplace</x:v>
      </x:c>
      <x:c r="I2322" s="84" t="str">
        <x:v>ELEC-006</x:v>
      </x:c>
      <x:c r="J2322" s="86" t="n">
        <x:v>4</x:v>
      </x:c>
      <x:c r="K2322" s="87" t="n">
        <x:v>0.15</x:v>
      </x:c>
      <x:c r="L2322" s="84" t="str">
        <x:v> COMPLETED </x:v>
      </x:c>
      <x:c r="M2322" s="84" t="str">
        <x:v>Credit Card</x:v>
      </x:c>
      <x:c r="N2322" s="84" t="str">
        <x:v>Ava Mitchell</x:v>
      </x:c>
      <x:c r="O2322" s="85" t="n">
        <x:v>46011</x:v>
      </x:c>
      <x:c r="P2322" s="84" t="str">
        <x:v>MKT_2025_12</x:v>
      </x:c>
      <x:c r="Q2322" s="84" t="str">
        <x:v>portable ssd</x:v>
      </x:c>
      <x:c r="R2322" s="84" t="str">
        <x:v>Electronics</x:v>
      </x:c>
    </x:row>
    <x:row r="2323">
      <x:c r="A2323" s="84" t="str">
        <x:v>ORD-2025-00431</x:v>
      </x:c>
      <x:c r="B2323" s="85" t="n">
        <x:v>46003</x:v>
      </x:c>
      <x:c r="C2323" s="84" t="str">
        <x:v>CUST-0328</x:v>
      </x:c>
      <x:c r="D2323" s="84" t="str">
        <x:v>Elena Khan</x:v>
      </x:c>
      <x:c r="E2323" s="84" t="str">
        <x:v>Small Business</x:v>
      </x:c>
      <x:c r="F2323" s="84" t="str">
        <x:v>Southeast </x:v>
      </x:c>
      <x:c r="G2323" s="84" t="str">
        <x:v>Charlotte</x:v>
      </x:c>
      <x:c r="H2323" s="84" t="str">
        <x:v> MARKETPLACE </x:v>
      </x:c>
      <x:c r="I2323" s="84" t="str">
        <x:v>ACCS-003</x:v>
      </x:c>
      <x:c r="J2323" s="86" t="n">
        <x:v>2</x:v>
      </x:c>
      <x:c r="K2323" s="87" t="n">
        <x:v>0.1</x:v>
      </x:c>
      <x:c r="L2323" s="84" t="str">
        <x:v>Completed</x:v>
      </x:c>
      <x:c r="M2323" s="84" t="str">
        <x:v>Mobile Wallet</x:v>
      </x:c>
      <x:c r="N2323" s="84" t="str">
        <x:v>liam parker</x:v>
      </x:c>
      <x:c r="O2323" s="85" t="n">
        <x:v>46007</x:v>
      </x:c>
      <x:c r="P2323" s="84" t="str">
        <x:v>MKT_2025_12</x:v>
      </x:c>
      <x:c r="Q2323" s="84" t="str">
        <x:v>Polarized Sunglasses</x:v>
      </x:c>
      <x:c r="R2323" s="84" t="str">
        <x:v>Accessories</x:v>
      </x:c>
    </x:row>
    <x:row r="2324">
      <x:c r="A2324" s="84" t="str">
        <x:v>ORD-2025-00494</x:v>
      </x:c>
      <x:c r="B2324" s="85" t="n">
        <x:v>46003</x:v>
      </x:c>
      <x:c r="C2324" s="84" t="str">
        <x:v>CUST-0577</x:v>
      </x:c>
      <x:c r="D2324" s="84" t="str">
        <x:v>Grace Young</x:v>
      </x:c>
      <x:c r="E2324" s="84" t="str">
        <x:v>Consumer</x:v>
      </x:c>
      <x:c r="F2324" s="84" t="str">
        <x:v>Southeast </x:v>
      </x:c>
      <x:c r="G2324" s="84" t="str">
        <x:v>Charlotte</x:v>
      </x:c>
      <x:c r="H2324" s="84" t="str">
        <x:v>Online</x:v>
      </x:c>
      <x:c r="I2324" s="84" t="str">
        <x:v>ELEC-005</x:v>
      </x:c>
      <x:c r="J2324" s="86" t="n">
        <x:v>2</x:v>
      </x:c>
      <x:c r="K2324" s="87" t="n">
        <x:v>0.15</x:v>
      </x:c>
      <x:c r="L2324" s="84" t="str">
        <x:v>Completed</x:v>
      </x:c>
      <x:c r="M2324" s="84" t="str">
        <x:v>debit card</x:v>
      </x:c>
      <x:c r="N2324" s="84" t="str">
        <x:v>Ava Mitchell </x:v>
      </x:c>
      <x:c r="O2324" s="85" t="n">
        <x:v>46009</x:v>
      </x:c>
      <x:c r="P2324" s="84" t="str">
        <x:v>WEB_2025_12</x:v>
      </x:c>
      <x:c r="Q2324" s="84" t="str">
        <x:v>HD Webcam</x:v>
      </x:c>
      <x:c r="R2324" s="84" t="str">
        <x:v>Electronics</x:v>
      </x:c>
    </x:row>
    <x:row r="2325">
      <x:c r="A2325" s="84" t="str">
        <x:v>ORD-2025-00537</x:v>
      </x:c>
      <x:c r="B2325" s="85" t="n">
        <x:v>46003</x:v>
      </x:c>
      <x:c r="C2325" s="84" t="str">
        <x:v>CUST-0005</x:v>
      </x:c>
      <x:c r="D2325" s="84" t="str">
        <x:v>Zara Hall </x:v>
      </x:c>
      <x:c r="E2325" s="84" t="str">
        <x:v>Consumer</x:v>
      </x:c>
      <x:c r="F2325" s="84" t="str">
        <x:v>Midwest</x:v>
      </x:c>
      <x:c r="G2325" s="84" t="str">
        <x:v> COLUMBUS </x:v>
      </x:c>
      <x:c r="H2325" s="84" t="str">
        <x:v>Marketplace</x:v>
      </x:c>
      <x:c r="I2325" s="84" t="str">
        <x:v>CARE-003</x:v>
      </x:c>
      <x:c r="J2325" s="86" t="n">
        <x:v>1</x:v>
      </x:c>
      <x:c r="K2325" s="87" t="n">
        <x:v>0.05</x:v>
      </x:c>
      <x:c r="L2325" s="84" t="str">
        <x:v>Completed</x:v>
      </x:c>
      <x:c r="M2325" s="84" t="str">
        <x:v>Credit Card </x:v>
      </x:c>
      <x:c r="N2325" s="84" t="str">
        <x:v>Zoe Turner</x:v>
      </x:c>
      <x:c r="O2325" s="85" t="n">
        <x:v>46010</x:v>
      </x:c>
      <x:c r="P2325" s="84" t="str">
        <x:v>MKT_2025_12</x:v>
      </x:c>
      <x:c r="Q2325" s="84" t="str">
        <x:v>facial cleanser</x:v>
      </x:c>
      <x:c r="R2325" s="84" t="str">
        <x:v>Personal Care</x:v>
      </x:c>
    </x:row>
    <x:row r="2326">
      <x:c r="A2326" s="84" t="str">
        <x:v>ORD-2025-00764</x:v>
      </x:c>
      <x:c r="B2326" s="85" t="n">
        <x:v>46003</x:v>
      </x:c>
      <x:c r="C2326" s="84" t="str">
        <x:v>CUST-0076</x:v>
      </x:c>
      <x:c r="D2326" s="84" t="str">
        <x:v>Jonah Patel</x:v>
      </x:c>
      <x:c r="E2326" s="84" t="str">
        <x:v>Small Business</x:v>
      </x:c>
      <x:c r="F2326" s="84" t="str">
        <x:v>Southeast</x:v>
      </x:c>
      <x:c r="G2326" s="84" t="str">
        <x:v>Charlotte</x:v>
      </x:c>
      <x:c r="H2326" s="84" t="str">
        <x:v>Online</x:v>
      </x:c>
      <x:c r="I2326" s="84" t="str">
        <x:v>ELEC-001</x:v>
      </x:c>
      <x:c r="J2326" s="86" t="n">
        <x:v>1</x:v>
      </x:c>
      <x:c r="K2326" s="87" t="n">
        <x:v>0.15</x:v>
      </x:c>
      <x:c r="L2326" s="84" t="str">
        <x:v>Completed</x:v>
      </x:c>
      <x:c r="M2326" s="84" t="str">
        <x:v>Mobile Wallet</x:v>
      </x:c>
      <x:c r="N2326" s="84" t="str">
        <x:v>Liam Parker</x:v>
      </x:c>
      <x:c r="O2326" s="85" t="n">
        <x:v>46005</x:v>
      </x:c>
      <x:c r="P2326" s="84" t="str">
        <x:v>WEB_2025_12</x:v>
      </x:c>
      <x:c r="Q2326" s="84" t="str">
        <x:v>Wireless Earbuds </x:v>
      </x:c>
      <x:c r="R2326" s="84" t="str">
        <x:v>Electronics</x:v>
      </x:c>
    </x:row>
    <x:row r="2327">
      <x:c r="A2327" s="84" t="str">
        <x:v>ORD-2025-00864</x:v>
      </x:c>
      <x:c r="B2327" s="85" t="n">
        <x:v>46003</x:v>
      </x:c>
      <x:c r="C2327" s="84" t="str">
        <x:v>CUST-0342</x:v>
      </x:c>
      <x:c r="D2327" s="84" t="str">
        <x:v> NATHAN CARTER </x:v>
      </x:c>
      <x:c r="E2327" s="84" t="str">
        <x:v>Small Business</x:v>
      </x:c>
      <x:c r="F2327" s="84" t="str">
        <x:v> NORTHEAST </x:v>
      </x:c>
      <x:c r="G2327" s="84" t="str">
        <x:v>New York</x:v>
      </x:c>
      <x:c r="H2327" s="84" t="str">
        <x:v>Retail Store </x:v>
      </x:c>
      <x:c r="I2327" s="84" t="str">
        <x:v>FITN-003</x:v>
      </x:c>
      <x:c r="J2327" s="86" t="n">
        <x:v>3</x:v>
      </x:c>
      <x:c r="K2327" s="87" t="n">
        <x:v>0.1</x:v>
      </x:c>
      <x:c r="L2327" s="84" t="str">
        <x:v>Completed</x:v>
      </x:c>
      <x:c r="M2327" s="84" t="str">
        <x:v>Debit Card</x:v>
      </x:c>
      <x:c r="N2327" s="84" t="str">
        <x:v>Sofia Bennett</x:v>
      </x:c>
      <x:c r="O2327" s="85" t="n">
        <x:v>46003</x:v>
      </x:c>
      <x:c r="P2327" s="84" t="str">
        <x:v>POS_2025_12</x:v>
      </x:c>
      <x:c r="Q2327" s="84" t="str">
        <x:v>Resistance Band Set</x:v>
      </x:c>
      <x:c r="R2327" s="84" t="str">
        <x:v>Fitness</x:v>
      </x:c>
    </x:row>
    <x:row r="2328">
      <x:c r="A2328" s="84" t="str">
        <x:v>ORD-2025-02059</x:v>
      </x:c>
      <x:c r="B2328" s="85" t="n">
        <x:v>46003</x:v>
      </x:c>
      <x:c r="C2328" s="84" t="str">
        <x:v>CUST-0622</x:v>
      </x:c>
      <x:c r="D2328" s="84" t="str">
        <x:v>Marcus Khan</x:v>
      </x:c>
      <x:c r="E2328" s="84" t="str">
        <x:v>Consumer</x:v>
      </x:c>
      <x:c r="F2328" s="84" t="str">
        <x:v>West</x:v>
      </x:c>
      <x:c r="G2328" s="84" t="str">
        <x:v>Denver</x:v>
      </x:c>
      <x:c r="H2328" s="84" t="str">
        <x:v>Online</x:v>
      </x:c>
      <x:c r="I2328" s="84" t="str">
        <x:v>ACCS-005</x:v>
      </x:c>
      <x:c r="J2328" s="86" t="n">
        <x:v>1</x:v>
      </x:c>
      <x:c r="K2328" s="87" t="n">
        <x:v>0.15</x:v>
      </x:c>
      <x:c r="L2328" s="84" t="str">
        <x:v>Completed</x:v>
      </x:c>
      <x:c r="M2328" s="84" t="str">
        <x:v>Credit Card</x:v>
      </x:c>
      <x:c r="N2328" s="84" t="str">
        <x:v>nora kim</x:v>
      </x:c>
      <x:c r="O2328" s="85" t="n">
        <x:v>46008</x:v>
      </x:c>
      <x:c r="P2328" s="84" t="str">
        <x:v>WEB_2025_12</x:v>
      </x:c>
      <x:c r="Q2328" s="84" t="str">
        <x:v>Protective Phone Case </x:v>
      </x:c>
      <x:c r="R2328" s="84" t="str">
        <x:v>Accessories</x:v>
      </x:c>
    </x:row>
    <x:row r="2329">
      <x:c r="A2329" s="84" t="str">
        <x:v>ORD-2025-02357</x:v>
      </x:c>
      <x:c r="B2329" s="85" t="n">
        <x:v>46003</x:v>
      </x:c>
      <x:c r="C2329" s="84" t="str">
        <x:v>CUST-0261</x:v>
      </x:c>
      <x:c r="D2329" s="84" t="str">
        <x:v>Elias Evans </x:v>
      </x:c>
      <x:c r="E2329" s="84" t="str">
        <x:v>Consumer</x:v>
      </x:c>
      <x:c r="F2329" s="84" t="str">
        <x:v>Northeast</x:v>
      </x:c>
      <x:c r="G2329" s="84" t="str">
        <x:v>Philadelphia</x:v>
      </x:c>
      <x:c r="H2329" s="84" t="str">
        <x:v>Online</x:v>
      </x:c>
      <x:c r="I2329" s="84" t="str">
        <x:v>ELEC-001</x:v>
      </x:c>
      <x:c r="J2329" s="86" t="n">
        <x:v>2</x:v>
      </x:c>
      <x:c r="K2329" s="87" t="n">
        <x:v>0.05</x:v>
      </x:c>
      <x:c r="L2329" s="84" t="str">
        <x:v>Completed</x:v>
      </x:c>
      <x:c r="M2329" s="84" t="str">
        <x:v> DEBIT CARD </x:v>
      </x:c>
      <x:c r="N2329" s="84" t="str">
        <x:v>Sofia Bennett</x:v>
      </x:c>
      <x:c r="O2329" s="85" t="n">
        <x:v>46008</x:v>
      </x:c>
      <x:c r="P2329" s="84" t="str">
        <x:v>WEB_2025_12</x:v>
      </x:c>
      <x:c r="Q2329" s="84" t="str">
        <x:v>Wireless Earbuds</x:v>
      </x:c>
      <x:c r="R2329" s="84" t="str">
        <x:v>electronics</x:v>
      </x:c>
    </x:row>
    <x:row r="2330">
      <x:c r="A2330" s="84" t="str">
        <x:v>ORD-2025-00107</x:v>
      </x:c>
      <x:c r="B2330" s="85" t="n">
        <x:v>46004</x:v>
      </x:c>
      <x:c r="C2330" s="84" t="str">
        <x:v>CUST-0154</x:v>
      </x:c>
      <x:c r="D2330" s="84" t="str">
        <x:v>Priya Moore</x:v>
      </x:c>
      <x:c r="E2330" s="84" t="str">
        <x:v>Consumer</x:v>
      </x:c>
      <x:c r="F2330" s="84" t="str">
        <x:v>west</x:v>
      </x:c>
      <x:c r="G2330" s="84" t="str">
        <x:v>Denver</x:v>
      </x:c>
      <x:c r="H2330" s="84" t="str">
        <x:v>Marketplace</x:v>
      </x:c>
      <x:c r="I2330" s="84" t="str">
        <x:v>CARE-005</x:v>
      </x:c>
      <x:c r="J2330" s="86" t="n">
        <x:v>1</x:v>
      </x:c>
      <x:c r="K2330" s="87" t="n">
        <x:v>0.05</x:v>
      </x:c>
      <x:c r="L2330" s="84" t="str">
        <x:v> COMPLETED </x:v>
      </x:c>
      <x:c r="M2330" s="84" t="str">
        <x:v>Credit Card</x:v>
      </x:c>
      <x:c r="N2330" s="84" t="str">
        <x:v>Nora Kim</x:v>
      </x:c>
      <x:c r="O2330" s="85" t="n">
        <x:v>46009</x:v>
      </x:c>
      <x:c r="P2330" s="84" t="str">
        <x:v>MKT_2025_12</x:v>
      </x:c>
      <x:c r="Q2330" s="84" t="str">
        <x:v>Skin Care Starter Kit</x:v>
      </x:c>
      <x:c r="R2330" s="84" t="str">
        <x:v>Personal Care </x:v>
      </x:c>
    </x:row>
    <x:row r="2331">
      <x:c r="A2331" s="84" t="str">
        <x:v>ORD-2025-00484</x:v>
      </x:c>
      <x:c r="B2331" s="85" t="n">
        <x:v>46004</x:v>
      </x:c>
      <x:c r="C2331" s="84" t="str">
        <x:v>CUST-0171</x:v>
      </x:c>
      <x:c r="D2331" s="84" t="str">
        <x:v>Jonah Nelson</x:v>
      </x:c>
      <x:c r="E2331" s="84" t="str">
        <x:v>small business</x:v>
      </x:c>
      <x:c r="F2331" s="84" t="str">
        <x:v>Southeast</x:v>
      </x:c>
      <x:c r="G2331" s="84" t="str">
        <x:v>Atlanta</x:v>
      </x:c>
      <x:c r="H2331" s="84" t="str">
        <x:v>retail store</x:v>
      </x:c>
      <x:c r="I2331" s="84" t="str">
        <x:v>OFFC-002</x:v>
      </x:c>
      <x:c r="J2331" s="86" t="n">
        <x:v>1</x:v>
      </x:c>
      <x:c r="K2331" s="87" t="n">
        <x:v>0.05</x:v>
      </x:c>
      <x:c r="L2331" s="84" t="str">
        <x:v>Completed</x:v>
      </x:c>
      <x:c r="M2331" s="84" t="str">
        <x:v>Credit Card</x:v>
      </x:c>
      <x:c r="N2331" s="84" t="str">
        <x:v>Ava Mitchell</x:v>
      </x:c>
      <x:c r="O2331" s="85" t="n">
        <x:v>46004</x:v>
      </x:c>
      <x:c r="P2331" s="84" t="str">
        <x:v>POS_2025_12</x:v>
      </x:c>
      <x:c r="Q2331" s="84" t="str">
        <x:v>Standing Desk </x:v>
      </x:c>
      <x:c r="R2331" s="84" t="str">
        <x:v>Office</x:v>
      </x:c>
    </x:row>
    <x:row r="2332">
      <x:c r="A2332" s="84" t="str">
        <x:v>ORD-2025-01320</x:v>
      </x:c>
      <x:c r="B2332" s="85" t="n">
        <x:v>46004</x:v>
      </x:c>
      <x:c r="C2332" s="84" t="str">
        <x:v>CUST-0417</x:v>
      </x:c>
      <x:c r="D2332" s="84" t="str">
        <x:v>Amelia Evans</x:v>
      </x:c>
      <x:c r="E2332" s="84" t="str">
        <x:v>consumer</x:v>
      </x:c>
      <x:c r="F2332" s="84" t="str">
        <x:v>Northeast </x:v>
      </x:c>
      <x:c r="G2332" s="84" t="str">
        <x:v>Boston</x:v>
      </x:c>
      <x:c r="H2332" s="84" t="str">
        <x:v>retail store</x:v>
      </x:c>
      <x:c r="I2332" s="84" t="str">
        <x:v>ELEC-001</x:v>
      </x:c>
      <x:c r="J2332" s="86" t="n">
        <x:v>1</x:v>
      </x:c>
      <x:c r="K2332" s="87" t="n">
        <x:v>0.1</x:v>
      </x:c>
      <x:c r="L2332" s="84" t="str">
        <x:v>Completed</x:v>
      </x:c>
      <x:c r="M2332" s="84" t="str">
        <x:v> CASH </x:v>
      </x:c>
      <x:c r="N2332" s="84" t="str">
        <x:v>Maya Brooks </x:v>
      </x:c>
      <x:c r="O2332" s="85" t="n">
        <x:v>46005</x:v>
      </x:c>
      <x:c r="P2332" s="84" t="str">
        <x:v>POS_2025_12</x:v>
      </x:c>
      <x:c r="Q2332" s="84" t="str">
        <x:v>Wireless Earbuds</x:v>
      </x:c>
      <x:c r="R2332" s="84" t="str">
        <x:v>Electronics</x:v>
      </x:c>
    </x:row>
    <x:row r="2333">
      <x:c r="A2333" s="84" t="str">
        <x:v>ORD-2025-02303</x:v>
      </x:c>
      <x:c r="B2333" s="85" t="n">
        <x:v>46004</x:v>
      </x:c>
      <x:c r="C2333" s="84" t="str">
        <x:v>CUST-0462</x:v>
      </x:c>
      <x:c r="D2333" s="84" t="str">
        <x:v>Grace Johnson</x:v>
      </x:c>
      <x:c r="E2333" s="84" t="str">
        <x:v>Consumer </x:v>
      </x:c>
      <x:c r="F2333" s="84" t="str">
        <x:v>Northeast</x:v>
      </x:c>
      <x:c r="G2333" s="84" t="str">
        <x:v>philadelphia</x:v>
      </x:c>
      <x:c r="H2333" s="84" t="str">
        <x:v>Online</x:v>
      </x:c>
      <x:c r="I2333" s="84" t="str">
        <x:v>ACCS-003</x:v>
      </x:c>
      <x:c r="J2333" s="86" t="n">
        <x:v>1</x:v>
      </x:c>
      <x:c r="K2333" s="87" t="n">
        <x:v>0</x:v>
      </x:c>
      <x:c r="L2333" s="84" t="str">
        <x:v>completed</x:v>
      </x:c>
      <x:c r="M2333" s="84" t="str">
        <x:v>Debit Card</x:v>
      </x:c>
      <x:c r="N2333" s="84" t="str">
        <x:v>Ethan Cole</x:v>
      </x:c>
      <x:c r="O2333" s="85" t="n">
        <x:v>46007</x:v>
      </x:c>
      <x:c r="P2333" s="84" t="str">
        <x:v>WEB_2025_12</x:v>
      </x:c>
      <x:c r="Q2333" s="84" t="str">
        <x:v>Polarized Sunglasses</x:v>
      </x:c>
      <x:c r="R2333" s="84" t="str">
        <x:v>Accessories</x:v>
      </x:c>
    </x:row>
    <x:row r="2334">
      <x:c r="A2334" s="84" t="str">
        <x:v>ORD-2025-00273</x:v>
      </x:c>
      <x:c r="B2334" s="85" t="n">
        <x:v>46005</x:v>
      </x:c>
      <x:c r="C2334" s="84" t="str">
        <x:v>CUST-0457</x:v>
      </x:c>
      <x:c r="D2334" s="84" t="str">
        <x:v>Amelia Carter</x:v>
      </x:c>
      <x:c r="E2334" s="84" t="str">
        <x:v>Small Business </x:v>
      </x:c>
      <x:c r="F2334" s="84" t="str">
        <x:v>Midwest</x:v>
      </x:c>
      <x:c r="G2334" s="84" t="str">
        <x:v>Columbus </x:v>
      </x:c>
      <x:c r="H2334" s="84" t="str">
        <x:v>Retail Store</x:v>
      </x:c>
      <x:c r="I2334" s="84" t="str">
        <x:v>ACCS-003</x:v>
      </x:c>
      <x:c r="J2334" s="86" t="n">
        <x:v>1</x:v>
      </x:c>
      <x:c r="K2334" s="87" t="n">
        <x:v>0</x:v>
      </x:c>
      <x:c r="L2334" s="84" t="str">
        <x:v>Completed</x:v>
      </x:c>
      <x:c r="M2334" s="84" t="str">
        <x:v>Credit Card</x:v>
      </x:c>
      <x:c r="N2334" s="84" t="str">
        <x:v>Emma Hayes</x:v>
      </x:c>
      <x:c r="O2334" s="85" t="n">
        <x:v>46006</x:v>
      </x:c>
      <x:c r="P2334" s="84" t="str">
        <x:v>POS_2025_12</x:v>
      </x:c>
      <x:c r="Q2334" s="84" t="str">
        <x:v>polarized sunglasses</x:v>
      </x:c>
      <x:c r="R2334" s="84" t="str">
        <x:v>Accessories</x:v>
      </x:c>
    </x:row>
    <x:row r="2335">
      <x:c r="A2335" s="84" t="str">
        <x:v>ORD-2025-00373</x:v>
      </x:c>
      <x:c r="B2335" s="85" t="n">
        <x:v>46005</x:v>
      </x:c>
      <x:c r="C2335" s="84" t="str">
        <x:v>CUST-0281</x:v>
      </x:c>
      <x:c r="D2335" s="84" t="str">
        <x:v>Jonah Foster</x:v>
      </x:c>
      <x:c r="E2335" s="84" t="str">
        <x:v>Consumer</x:v>
      </x:c>
      <x:c r="F2335" s="84" t="str">
        <x:v>Midwest</x:v>
      </x:c>
      <x:c r="G2335" s="84" t="str">
        <x:v>Detroit</x:v>
      </x:c>
      <x:c r="H2335" s="84" t="str">
        <x:v>Online</x:v>
      </x:c>
      <x:c r="I2335" s="84" t="str">
        <x:v>ELEC-001</x:v>
      </x:c>
      <x:c r="J2335" s="86" t="n">
        <x:v>1</x:v>
      </x:c>
      <x:c r="K2335" s="87" t="n">
        <x:v>0.2</x:v>
      </x:c>
      <x:c r="L2335" s="84" t="str">
        <x:v>Completed</x:v>
      </x:c>
      <x:c r="M2335" s="84" t="str">
        <x:v>mobile wallet</x:v>
      </x:c>
      <x:c r="N2335" s="84" t="str">
        <x:v>Lucas Grant</x:v>
      </x:c>
      <x:c r="O2335" s="85" t="n">
        <x:v>46009</x:v>
      </x:c>
      <x:c r="P2335" s="84" t="str">
        <x:v>WEB_2025_12</x:v>
      </x:c>
      <x:c r="Q2335" s="84" t="str">
        <x:v>Wireless Earbuds</x:v>
      </x:c>
      <x:c r="R2335" s="84" t="str">
        <x:v>Electronics </x:v>
      </x:c>
    </x:row>
    <x:row r="2336">
      <x:c r="A2336" s="84" t="str">
        <x:v>ORD-2025-00854</x:v>
      </x:c>
      <x:c r="B2336" s="85" t="n">
        <x:v>46005</x:v>
      </x:c>
      <x:c r="C2336" s="84" t="str">
        <x:v>CUST-0180</x:v>
      </x:c>
      <x:c r="D2336" s="84" t="str">
        <x:v>chloe irwin</x:v>
      </x:c>
      <x:c r="E2336" s="84" t="str"/>
      <x:c r="F2336" s="84" t="str">
        <x:v>Southeast</x:v>
      </x:c>
      <x:c r="G2336" s="84" t="str">
        <x:v>Miami </x:v>
      </x:c>
      <x:c r="H2336" s="84" t="str">
        <x:v>Online</x:v>
      </x:c>
      <x:c r="I2336" s="84" t="str">
        <x:v>FITN-005</x:v>
      </x:c>
      <x:c r="J2336" s="86" t="n">
        <x:v>3</x:v>
      </x:c>
      <x:c r="K2336" s="87" t="n">
        <x:v>0</x:v>
      </x:c>
      <x:c r="L2336" s="84" t="str">
        <x:v>Returned</x:v>
      </x:c>
      <x:c r="M2336" s="84" t="str">
        <x:v>Debit Card</x:v>
      </x:c>
      <x:c r="N2336" s="84" t="str">
        <x:v>Ava Mitchell</x:v>
      </x:c>
      <x:c r="O2336" s="85" t="n">
        <x:v>46008</x:v>
      </x:c>
      <x:c r="P2336" s="84" t="str">
        <x:v>WEB_2025_12</x:v>
      </x:c>
      <x:c r="Q2336" s="84" t="str">
        <x:v> SPORTS WATER BOTTLE </x:v>
      </x:c>
      <x:c r="R2336" s="84" t="str">
        <x:v>Fitness</x:v>
      </x:c>
    </x:row>
    <x:row r="2337">
      <x:c r="A2337" s="84" t="str">
        <x:v>ORD-2025-01109</x:v>
      </x:c>
      <x:c r="B2337" s="85" t="n">
        <x:v>46005</x:v>
      </x:c>
      <x:c r="C2337" s="84" t="str">
        <x:v>CUST-0571</x:v>
      </x:c>
      <x:c r="D2337" s="84" t="str">
        <x:v>Elias Smith</x:v>
      </x:c>
      <x:c r="E2337" s="84" t="str">
        <x:v>Consumer</x:v>
      </x:c>
      <x:c r="F2337" s="84" t="str">
        <x:v>Southeast</x:v>
      </x:c>
      <x:c r="G2337" s="84" t="str">
        <x:v>Miami</x:v>
      </x:c>
      <x:c r="H2337" s="84" t="str">
        <x:v>Marketplace </x:v>
      </x:c>
      <x:c r="I2337" s="84" t="str">
        <x:v>ELEC-006</x:v>
      </x:c>
      <x:c r="J2337" s="86" t="n">
        <x:v>1</x:v>
      </x:c>
      <x:c r="K2337" s="87" t="n">
        <x:v>0.2</x:v>
      </x:c>
      <x:c r="L2337" s="84" t="str">
        <x:v>Completed</x:v>
      </x:c>
      <x:c r="M2337" s="84" t="str">
        <x:v>PayPal</x:v>
      </x:c>
      <x:c r="N2337" s="84" t="str">
        <x:v>Noah Reed</x:v>
      </x:c>
      <x:c r="O2337" s="85" t="n">
        <x:v>46010</x:v>
      </x:c>
      <x:c r="P2337" s="84" t="str">
        <x:v>MKT_2025_12</x:v>
      </x:c>
      <x:c r="Q2337" s="84" t="str">
        <x:v> PORTABLE SSD </x:v>
      </x:c>
      <x:c r="R2337" s="84" t="str">
        <x:v>Electronics</x:v>
      </x:c>
    </x:row>
    <x:row r="2338">
      <x:c r="A2338" s="84" t="str">
        <x:v>ORD-2025-01147</x:v>
      </x:c>
      <x:c r="B2338" s="85" t="n">
        <x:v>46005</x:v>
      </x:c>
      <x:c r="C2338" s="84" t="str">
        <x:v>CUST-0048</x:v>
      </x:c>
      <x:c r="D2338" s="84" t="str">
        <x:v>Nathan Walker</x:v>
      </x:c>
      <x:c r="E2338" s="84" t="str">
        <x:v>Consumer</x:v>
      </x:c>
      <x:c r="F2338" s="84" t="str">
        <x:v>West</x:v>
      </x:c>
      <x:c r="G2338" s="84" t="str">
        <x:v>Denver</x:v>
      </x:c>
      <x:c r="H2338" s="84" t="str">
        <x:v>Marketplace</x:v>
      </x:c>
      <x:c r="I2338" s="84" t="str">
        <x:v>HOME-003</x:v>
      </x:c>
      <x:c r="J2338" s="86" t="n">
        <x:v>2</x:v>
      </x:c>
      <x:c r="K2338" s="87" t="n">
        <x:v>0.1</x:v>
      </x:c>
      <x:c r="L2338" s="84" t="str">
        <x:v>Completed </x:v>
      </x:c>
      <x:c r="M2338" s="84" t="str">
        <x:v>Debit Card</x:v>
      </x:c>
      <x:c r="N2338" s="84" t="str">
        <x:v>Leo Martinez</x:v>
      </x:c>
      <x:c r="O2338" s="85" t="n">
        <x:v>46012</x:v>
      </x:c>
      <x:c r="P2338" s="84" t="str">
        <x:v>MKT_2025_12</x:v>
      </x:c>
      <x:c r="Q2338" s="84" t="str">
        <x:v>Countertop Blender</x:v>
      </x:c>
      <x:c r="R2338" s="84" t="str">
        <x:v>home &amp; kitchen</x:v>
      </x:c>
    </x:row>
    <x:row r="2339">
      <x:c r="A2339" s="84" t="str">
        <x:v>ORD-2025-01192</x:v>
      </x:c>
      <x:c r="B2339" s="85" t="n">
        <x:v>46005</x:v>
      </x:c>
      <x:c r="C2339" s="84" t="str">
        <x:v>CUST-0183</x:v>
      </x:c>
      <x:c r="D2339" s="84" t="str">
        <x:v>Jasmine Taylor</x:v>
      </x:c>
      <x:c r="E2339" s="84" t="str">
        <x:v>Corporate</x:v>
      </x:c>
      <x:c r="F2339" s="84" t="str">
        <x:v>West</x:v>
      </x:c>
      <x:c r="G2339" s="84" t="str">
        <x:v>denver</x:v>
      </x:c>
      <x:c r="H2339" s="84" t="str">
        <x:v>Retail Store</x:v>
      </x:c>
      <x:c r="I2339" s="84" t="str">
        <x:v>HOME-001</x:v>
      </x:c>
      <x:c r="J2339" s="86" t="n">
        <x:v>2</x:v>
      </x:c>
      <x:c r="K2339" s="87" t="n">
        <x:v>0.05</x:v>
      </x:c>
      <x:c r="L2339" s="84" t="str">
        <x:v>completed</x:v>
      </x:c>
      <x:c r="M2339" s="84" t="str">
        <x:v>Debit Card</x:v>
      </x:c>
      <x:c r="N2339" s="84" t="str">
        <x:v>Nora Kim</x:v>
      </x:c>
      <x:c r="O2339" s="85" t="n">
        <x:v>46005</x:v>
      </x:c>
      <x:c r="P2339" s="84" t="str">
        <x:v>POS_2025_12</x:v>
      </x:c>
      <x:c r="Q2339" s="84" t="str">
        <x:v>Air Fryer</x:v>
      </x:c>
      <x:c r="R2339" s="84" t="str">
        <x:v>Home &amp; Kitchen </x:v>
      </x:c>
    </x:row>
    <x:row r="2340">
      <x:c r="A2340" s="84" t="str">
        <x:v>ORD-2025-01547</x:v>
      </x:c>
      <x:c r="B2340" s="85" t="n">
        <x:v>46005</x:v>
      </x:c>
      <x:c r="C2340" s="84" t="str">
        <x:v>CUST-0210</x:v>
      </x:c>
      <x:c r="D2340" s="84" t="str">
        <x:v>jonah walker</x:v>
      </x:c>
      <x:c r="E2340" s="84" t="str">
        <x:v> CONSUMER </x:v>
      </x:c>
      <x:c r="F2340" s="84" t="str">
        <x:v>West</x:v>
      </x:c>
      <x:c r="G2340" s="84" t="str">
        <x:v>Los Angeles </x:v>
      </x:c>
      <x:c r="H2340" s="84" t="str">
        <x:v>Online</x:v>
      </x:c>
      <x:c r="I2340" s="84" t="str">
        <x:v>ELEC-006</x:v>
      </x:c>
      <x:c r="J2340" s="86" t="n">
        <x:v>4</x:v>
      </x:c>
      <x:c r="K2340" s="87" t="n">
        <x:v>0.2</x:v>
      </x:c>
      <x:c r="L2340" s="84" t="str">
        <x:v>Completed</x:v>
      </x:c>
      <x:c r="M2340" s="84" t="str">
        <x:v>Debit Card</x:v>
      </x:c>
      <x:c r="N2340" s="84" t="str">
        <x:v>Mia Chen</x:v>
      </x:c>
      <x:c r="O2340" s="85" t="n">
        <x:v>46009</x:v>
      </x:c>
      <x:c r="P2340" s="84" t="str">
        <x:v>WEB_2025_12</x:v>
      </x:c>
      <x:c r="Q2340" s="84" t="str">
        <x:v>Portable SSD</x:v>
      </x:c>
      <x:c r="R2340" s="84" t="str">
        <x:v>Electronics</x:v>
      </x:c>
    </x:row>
    <x:row r="2341">
      <x:c r="A2341" s="84" t="str">
        <x:v>ORD-2025-00044</x:v>
      </x:c>
      <x:c r="B2341" s="85" t="n">
        <x:v>46006</x:v>
      </x:c>
      <x:c r="C2341" s="84" t="str">
        <x:v>CUST-0063</x:v>
      </x:c>
      <x:c r="D2341" s="84" t="str">
        <x:v>Jonah Irwin</x:v>
      </x:c>
      <x:c r="E2341" s="84" t="str">
        <x:v>small business</x:v>
      </x:c>
      <x:c r="F2341" s="84" t="str">
        <x:v>Midwest</x:v>
      </x:c>
      <x:c r="G2341" s="84" t="str">
        <x:v> DETROIT </x:v>
      </x:c>
      <x:c r="H2341" s="84" t="str">
        <x:v>marketplace</x:v>
      </x:c>
      <x:c r="I2341" s="84" t="str">
        <x:v>CARE-002</x:v>
      </x:c>
      <x:c r="J2341" s="86" t="n">
        <x:v>1</x:v>
      </x:c>
      <x:c r="K2341" s="87" t="n">
        <x:v>0.15</x:v>
      </x:c>
      <x:c r="L2341" s="84" t="str">
        <x:v>Completed</x:v>
      </x:c>
      <x:c r="M2341" s="84" t="str">
        <x:v>Credit Card</x:v>
      </x:c>
      <x:c r="N2341" s="84" t="str">
        <x:v>Zoe Turner</x:v>
      </x:c>
      <x:c r="O2341" s="85" t="n">
        <x:v>46012</x:v>
      </x:c>
      <x:c r="P2341" s="84" t="str">
        <x:v>MKT_2025_12</x:v>
      </x:c>
      <x:c r="Q2341" s="84" t="str">
        <x:v>Rechargeable Trimmer</x:v>
      </x:c>
      <x:c r="R2341" s="84" t="str">
        <x:v>Personal Care </x:v>
      </x:c>
    </x:row>
    <x:row r="2342">
      <x:c r="A2342" s="84" t="str">
        <x:v>ORD-2025-00618</x:v>
      </x:c>
      <x:c r="B2342" s="85" t="n">
        <x:v>46006</x:v>
      </x:c>
      <x:c r="C2342" s="84" t="str">
        <x:v>CUST-0611</x:v>
      </x:c>
      <x:c r="D2342" s="84" t="str">
        <x:v>Aiden Irwin</x:v>
      </x:c>
      <x:c r="E2342" s="84" t="str">
        <x:v>Corporate</x:v>
      </x:c>
      <x:c r="F2342" s="84" t="str">
        <x:v>Midwest</x:v>
      </x:c>
      <x:c r="G2342" s="84" t="str">
        <x:v>Chicago</x:v>
      </x:c>
      <x:c r="H2342" s="84" t="str">
        <x:v> MARKETPLACE </x:v>
      </x:c>
      <x:c r="I2342" s="84" t="str">
        <x:v>CARE-004</x:v>
      </x:c>
      <x:c r="J2342" s="86" t="n">
        <x:v>4</x:v>
      </x:c>
      <x:c r="K2342" s="87" t="n">
        <x:v>0.15</x:v>
      </x:c>
      <x:c r="L2342" s="84" t="str">
        <x:v>Completed</x:v>
      </x:c>
      <x:c r="M2342" s="84" t="str">
        <x:v>Debit Card</x:v>
      </x:c>
      <x:c r="N2342" s="84" t="str">
        <x:v>lucas grant</x:v>
      </x:c>
      <x:c r="O2342" s="85" t="n">
        <x:v>46011</x:v>
      </x:c>
      <x:c r="P2342" s="84" t="str">
        <x:v>MKT_2025_12</x:v>
      </x:c>
      <x:c r="Q2342" s="84" t="str">
        <x:v>Electric Toothbrush</x:v>
      </x:c>
      <x:c r="R2342" s="84" t="str">
        <x:v>Personal Care </x:v>
      </x:c>
    </x:row>
    <x:row r="2343">
      <x:c r="A2343" s="84" t="str">
        <x:v>ORD-2025-00712</x:v>
      </x:c>
      <x:c r="B2343" s="85" t="n">
        <x:v>46006</x:v>
      </x:c>
      <x:c r="C2343" s="84" t="str">
        <x:v>CUST-0189</x:v>
      </x:c>
      <x:c r="D2343" s="84" t="str">
        <x:v>Marcus Taylor </x:v>
      </x:c>
      <x:c r="E2343" s="84" t="str">
        <x:v>Consumer</x:v>
      </x:c>
      <x:c r="F2343" s="84" t="str">
        <x:v>midwest</x:v>
      </x:c>
      <x:c r="G2343" s="84" t="str">
        <x:v>Chicago</x:v>
      </x:c>
      <x:c r="H2343" s="84" t="str">
        <x:v>Online</x:v>
      </x:c>
      <x:c r="I2343" s="84" t="str">
        <x:v>ACCS-001</x:v>
      </x:c>
      <x:c r="J2343" s="86" t="n">
        <x:v>1</x:v>
      </x:c>
      <x:c r="K2343" s="87" t="n">
        <x:v>0.15</x:v>
      </x:c>
      <x:c r="L2343" s="84" t="str">
        <x:v>Completed</x:v>
      </x:c>
      <x:c r="M2343" s="84" t="str">
        <x:v>Debit Card </x:v>
      </x:c>
      <x:c r="N2343" s="84" t="str">
        <x:v>Zoe Turner</x:v>
      </x:c>
      <x:c r="O2343" s="85" t="n">
        <x:v>46011</x:v>
      </x:c>
      <x:c r="P2343" s="84" t="str">
        <x:v>WEB_2025_12</x:v>
      </x:c>
      <x:c r="Q2343" s="84" t="str">
        <x:v>Canvas Tote Bag</x:v>
      </x:c>
      <x:c r="R2343" s="84" t="str">
        <x:v> ACCESSORIES </x:v>
      </x:c>
    </x:row>
    <x:row r="2344">
      <x:c r="A2344" s="84" t="str">
        <x:v>ORD-2025-01702</x:v>
      </x:c>
      <x:c r="B2344" s="85" t="n">
        <x:v>46006</x:v>
      </x:c>
      <x:c r="C2344" s="84" t="str">
        <x:v>CUST-0356</x:v>
      </x:c>
      <x:c r="D2344" s="84" t="str">
        <x:v>Grace Davis</x:v>
      </x:c>
      <x:c r="E2344" s="84" t="str">
        <x:v>Consumer</x:v>
      </x:c>
      <x:c r="F2344" s="84" t="str">
        <x:v>northeast</x:v>
      </x:c>
      <x:c r="G2344" s="84" t="str">
        <x:v>Philadelphia</x:v>
      </x:c>
      <x:c r="H2344" s="84" t="str">
        <x:v>Online</x:v>
      </x:c>
      <x:c r="I2344" s="84" t="str">
        <x:v>ELEC-001</x:v>
      </x:c>
      <x:c r="J2344" s="86" t="n">
        <x:v>4</x:v>
      </x:c>
      <x:c r="K2344" s="87" t="n">
        <x:v>0.1</x:v>
      </x:c>
      <x:c r="L2344" s="84" t="str">
        <x:v>Completed</x:v>
      </x:c>
      <x:c r="M2344" s="84" t="str">
        <x:v>Mobile Wallet</x:v>
      </x:c>
      <x:c r="N2344" s="84" t="str">
        <x:v>Maya Brooks</x:v>
      </x:c>
      <x:c r="O2344" s="85" t="n">
        <x:v>46009</x:v>
      </x:c>
      <x:c r="P2344" s="84" t="str">
        <x:v>WEB_2025_12</x:v>
      </x:c>
      <x:c r="Q2344" s="84" t="str">
        <x:v>Wireless Earbuds </x:v>
      </x:c>
      <x:c r="R2344" s="84" t="str">
        <x:v>Electronics</x:v>
      </x:c>
    </x:row>
    <x:row r="2345">
      <x:c r="A2345" s="84" t="str">
        <x:v>ORD-2025-02308</x:v>
      </x:c>
      <x:c r="B2345" s="85" t="n">
        <x:v>46006</x:v>
      </x:c>
      <x:c r="C2345" s="84" t="str">
        <x:v>CUST-0354</x:v>
      </x:c>
      <x:c r="D2345" s="84" t="str">
        <x:v>Jasmine Quinn </x:v>
      </x:c>
      <x:c r="E2345" s="84" t="str">
        <x:v>Consumer</x:v>
      </x:c>
      <x:c r="F2345" s="84" t="str">
        <x:v>Northeast</x:v>
      </x:c>
      <x:c r="G2345" s="84" t="str">
        <x:v>Philadelphia</x:v>
      </x:c>
      <x:c r="H2345" s="84" t="str">
        <x:v>Online</x:v>
      </x:c>
      <x:c r="I2345" s="84" t="str">
        <x:v>ACCS-001</x:v>
      </x:c>
      <x:c r="J2345" s="86" t="n">
        <x:v>2</x:v>
      </x:c>
      <x:c r="K2345" s="87" t="n">
        <x:v>0</x:v>
      </x:c>
      <x:c r="L2345" s="84" t="str">
        <x:v>Completed</x:v>
      </x:c>
      <x:c r="M2345" s="84" t="str">
        <x:v>Credit Card </x:v>
      </x:c>
      <x:c r="N2345" s="84" t="str">
        <x:v>Ethan Cole</x:v>
      </x:c>
      <x:c r="O2345" s="85" t="n">
        <x:v>46008</x:v>
      </x:c>
      <x:c r="P2345" s="84" t="str">
        <x:v>WEB_2025_12</x:v>
      </x:c>
      <x:c r="Q2345" s="84" t="str">
        <x:v>canvas tote bag</x:v>
      </x:c>
      <x:c r="R2345" s="84" t="str">
        <x:v>Accessories</x:v>
      </x:c>
    </x:row>
    <x:row r="2346">
      <x:c r="A2346" s="84" t="str">
        <x:v>ORD-2025-00355</x:v>
      </x:c>
      <x:c r="B2346" s="85" t="n">
        <x:v>46007</x:v>
      </x:c>
      <x:c r="C2346" s="84" t="str">
        <x:v>CUST-0065</x:v>
      </x:c>
      <x:c r="D2346" s="84" t="str">
        <x:v>Marcus Young </x:v>
      </x:c>
      <x:c r="E2346" s="84" t="str">
        <x:v>Small Business</x:v>
      </x:c>
      <x:c r="F2346" s="84" t="str">
        <x:v>West</x:v>
      </x:c>
      <x:c r="G2346" s="84" t="str">
        <x:v>Seattle</x:v>
      </x:c>
      <x:c r="H2346" s="84" t="str">
        <x:v>Retail Store</x:v>
      </x:c>
      <x:c r="I2346" s="84" t="str">
        <x:v>ELEC-001</x:v>
      </x:c>
      <x:c r="J2346" s="86" t="n">
        <x:v>2</x:v>
      </x:c>
      <x:c r="K2346" s="87" t="n">
        <x:v>0.1</x:v>
      </x:c>
      <x:c r="L2346" s="84" t="str">
        <x:v>Completed</x:v>
      </x:c>
      <x:c r="M2346" s="84" t="str">
        <x:v>Mobile Wallet </x:v>
      </x:c>
      <x:c r="N2346" s="84" t="str">
        <x:v>Mia Chen</x:v>
      </x:c>
      <x:c r="O2346" s="85" t="n">
        <x:v>46007</x:v>
      </x:c>
      <x:c r="P2346" s="84" t="str">
        <x:v>POS_2025_12</x:v>
      </x:c>
      <x:c r="Q2346" s="84" t="str">
        <x:v>Wireless Earbuds</x:v>
      </x:c>
      <x:c r="R2346" s="84" t="str">
        <x:v> ELECTRONICS </x:v>
      </x:c>
    </x:row>
    <x:row r="2347">
      <x:c r="A2347" s="84" t="str">
        <x:v>ORD-2025-02040</x:v>
      </x:c>
      <x:c r="B2347" s="85" t="n">
        <x:v>46007</x:v>
      </x:c>
      <x:c r="C2347" s="84" t="str">
        <x:v>CUST-0555</x:v>
      </x:c>
      <x:c r="D2347" s="84" t="str">
        <x:v>Marcus Nelson</x:v>
      </x:c>
      <x:c r="E2347" s="84" t="str">
        <x:v> CORPORATE </x:v>
      </x:c>
      <x:c r="F2347" s="84" t="str">
        <x:v>West</x:v>
      </x:c>
      <x:c r="G2347" s="84" t="str">
        <x:v>Seattle</x:v>
      </x:c>
      <x:c r="H2347" s="84" t="str">
        <x:v>Online </x:v>
      </x:c>
      <x:c r="I2347" s="84" t="str">
        <x:v>OFFC-005</x:v>
      </x:c>
      <x:c r="J2347" s="86" t="n">
        <x:v>6</x:v>
      </x:c>
      <x:c r="K2347" s="87" t="n">
        <x:v>0.05</x:v>
      </x:c>
      <x:c r="L2347" s="84" t="str">
        <x:v>Completed</x:v>
      </x:c>
      <x:c r="M2347" s="84" t="str">
        <x:v>Debit Card</x:v>
      </x:c>
      <x:c r="N2347" s="84" t="str">
        <x:v>Mia Chen</x:v>
      </x:c>
      <x:c r="O2347" s="85" t="n">
        <x:v>46012</x:v>
      </x:c>
      <x:c r="P2347" s="84" t="str">
        <x:v>WEB_2025_12</x:v>
      </x:c>
      <x:c r="Q2347" s="84" t="str">
        <x:v>Wireless Keyboard</x:v>
      </x:c>
      <x:c r="R2347" s="84" t="str">
        <x:v>Office</x:v>
      </x:c>
    </x:row>
    <x:row r="2348">
      <x:c r="A2348" s="84" t="str">
        <x:v>ORD-2025-02149</x:v>
      </x:c>
      <x:c r="B2348" s="85" t="n">
        <x:v>46007</x:v>
      </x:c>
      <x:c r="C2348" s="84" t="str">
        <x:v>CUST-0013</x:v>
      </x:c>
      <x:c r="D2348" s="84" t="str">
        <x:v>Marcus Moore</x:v>
      </x:c>
      <x:c r="E2348" s="84" t="str">
        <x:v>Consumer </x:v>
      </x:c>
      <x:c r="F2348" s="84" t="str">
        <x:v>Midwest</x:v>
      </x:c>
      <x:c r="G2348" s="84" t="str">
        <x:v>columbus</x:v>
      </x:c>
      <x:c r="H2348" s="84" t="str">
        <x:v>Retail Store</x:v>
      </x:c>
      <x:c r="I2348" s="84" t="str">
        <x:v>ELEC-005</x:v>
      </x:c>
      <x:c r="J2348" s="86" t="n">
        <x:v>4</x:v>
      </x:c>
      <x:c r="K2348" s="87" t="n">
        <x:v>0.1</x:v>
      </x:c>
      <x:c r="L2348" s="84" t="str">
        <x:v>completed</x:v>
      </x:c>
      <x:c r="M2348" s="84" t="str">
        <x:v>Debit Card</x:v>
      </x:c>
      <x:c r="N2348" s="84" t="str">
        <x:v>Lucas Grant</x:v>
      </x:c>
      <x:c r="O2348" s="85" t="n">
        <x:v>46007</x:v>
      </x:c>
      <x:c r="P2348" s="84" t="str">
        <x:v>POS_2025_12</x:v>
      </x:c>
      <x:c r="Q2348" s="84" t="str">
        <x:v>HD Webcam</x:v>
      </x:c>
      <x:c r="R2348" s="84" t="str">
        <x:v>Electronics</x:v>
      </x:c>
    </x:row>
    <x:row r="2349">
      <x:c r="A2349" s="84" t="str">
        <x:v>ORD-2025-02199</x:v>
      </x:c>
      <x:c r="B2349" s="85" t="n">
        <x:v>46007</x:v>
      </x:c>
      <x:c r="C2349" s="84" t="str">
        <x:v>CUST-0300</x:v>
      </x:c>
      <x:c r="D2349" s="84" t="str">
        <x:v>Owen Baker</x:v>
      </x:c>
      <x:c r="E2349" s="84" t="str">
        <x:v>Corporate</x:v>
      </x:c>
      <x:c r="F2349" s="84" t="str">
        <x:v>Northeast</x:v>
      </x:c>
      <x:c r="G2349" s="84" t="str">
        <x:v>Boston</x:v>
      </x:c>
      <x:c r="H2349" s="84" t="str">
        <x:v> RETAIL STORE </x:v>
      </x:c>
      <x:c r="I2349" s="84" t="str">
        <x:v>HOME-005</x:v>
      </x:c>
      <x:c r="J2349" s="86" t="n">
        <x:v>4</x:v>
      </x:c>
      <x:c r="K2349" s="87" t="n">
        <x:v>0.05</x:v>
      </x:c>
      <x:c r="L2349" s="84" t="str">
        <x:v>Completed</x:v>
      </x:c>
      <x:c r="M2349" s="84" t="str">
        <x:v>credit card</x:v>
      </x:c>
      <x:c r="N2349" s="84" t="str">
        <x:v>Sofia Bennett</x:v>
      </x:c>
      <x:c r="O2349" s="85" t="n">
        <x:v>46008</x:v>
      </x:c>
      <x:c r="P2349" s="84" t="str">
        <x:v>POS_2025_12</x:v>
      </x:c>
      <x:c r="Q2349" s="84" t="str">
        <x:v>Cordless Vacuum </x:v>
      </x:c>
      <x:c r="R2349" s="84" t="str">
        <x:v>Home &amp; Kitchen</x:v>
      </x:c>
    </x:row>
    <x:row r="2350">
      <x:c r="A2350" s="84" t="str">
        <x:v>ORD-2025-01321</x:v>
      </x:c>
      <x:c r="B2350" s="85" t="n">
        <x:v>46008</x:v>
      </x:c>
      <x:c r="C2350" s="84" t="str">
        <x:v>CUST-0481</x:v>
      </x:c>
      <x:c r="D2350" s="84" t="str">
        <x:v>Marcus Hall </x:v>
      </x:c>
      <x:c r="E2350" s="84" t="str">
        <x:v>Small Business</x:v>
      </x:c>
      <x:c r="F2350" s="84" t="str">
        <x:v>Northeast</x:v>
      </x:c>
      <x:c r="G2350" s="84" t="str">
        <x:v>Newark</x:v>
      </x:c>
      <x:c r="H2350" s="84" t="str">
        <x:v>Retail Store</x:v>
      </x:c>
      <x:c r="I2350" s="84" t="str">
        <x:v>OFFC-006</x:v>
      </x:c>
      <x:c r="J2350" s="86" t="n">
        <x:v>1</x:v>
      </x:c>
      <x:c r="K2350" s="87" t="n">
        <x:v>0.1</x:v>
      </x:c>
      <x:c r="L2350" s="84" t="str">
        <x:v>Completed</x:v>
      </x:c>
      <x:c r="M2350" s="84" t="str">
        <x:v>Debit Card </x:v>
      </x:c>
      <x:c r="N2350" s="84" t="str">
        <x:v>Sofia Bennett</x:v>
      </x:c>
      <x:c r="O2350" s="85" t="n">
        <x:v>46008</x:v>
      </x:c>
      <x:c r="P2350" s="84" t="str">
        <x:v>POS_2025_12</x:v>
      </x:c>
      <x:c r="Q2350" s="84" t="str">
        <x:v>Monitor Stand</x:v>
      </x:c>
      <x:c r="R2350" s="84" t="str">
        <x:v>Office</x:v>
      </x:c>
    </x:row>
    <x:row r="2351">
      <x:c r="A2351" s="84" t="str">
        <x:v>ORD-2025-01781</x:v>
      </x:c>
      <x:c r="B2351" s="85" t="n">
        <x:v>46008</x:v>
      </x:c>
      <x:c r="C2351" s="84" t="str">
        <x:v>CUST-0124</x:v>
      </x:c>
      <x:c r="D2351" s="84" t="str">
        <x:v>Priya Lewis</x:v>
      </x:c>
      <x:c r="E2351" s="84" t="str">
        <x:v>Consumer</x:v>
      </x:c>
      <x:c r="F2351" s="84" t="str">
        <x:v>Midwest</x:v>
      </x:c>
      <x:c r="G2351" s="84" t="str">
        <x:v>Chicago</x:v>
      </x:c>
      <x:c r="H2351" s="84" t="str">
        <x:v>Online </x:v>
      </x:c>
      <x:c r="I2351" s="84" t="str">
        <x:v>HOME-001</x:v>
      </x:c>
      <x:c r="J2351" s="86" t="n">
        <x:v>3</x:v>
      </x:c>
      <x:c r="K2351" s="87" t="n">
        <x:v>0.1</x:v>
      </x:c>
      <x:c r="L2351" s="84" t="str">
        <x:v>Completed</x:v>
      </x:c>
      <x:c r="M2351" s="84" t="str">
        <x:v>credit card</x:v>
      </x:c>
      <x:c r="N2351" s="84" t="str">
        <x:v>Lucas Grant</x:v>
      </x:c>
      <x:c r="O2351" s="85" t="n">
        <x:v>46012</x:v>
      </x:c>
      <x:c r="P2351" s="84" t="str">
        <x:v>WEB_2025_12</x:v>
      </x:c>
      <x:c r="Q2351" s="84" t="str">
        <x:v>Air Fryer</x:v>
      </x:c>
      <x:c r="R2351" s="84" t="str">
        <x:v>Home &amp; Kitchen</x:v>
      </x:c>
    </x:row>
    <x:row r="2352">
      <x:c r="A2352" s="84" t="str">
        <x:v>ORD-2025-00100</x:v>
      </x:c>
      <x:c r="B2352" s="85" t="n">
        <x:v>46009</x:v>
      </x:c>
      <x:c r="C2352" s="84" t="str">
        <x:v>CUST-0320</x:v>
      </x:c>
      <x:c r="D2352" s="84" t="str">
        <x:v>Theo Foster</x:v>
      </x:c>
      <x:c r="E2352" s="84" t="str">
        <x:v>Consumer</x:v>
      </x:c>
      <x:c r="F2352" s="84" t="str">
        <x:v>Midwest</x:v>
      </x:c>
      <x:c r="G2352" s="84" t="str">
        <x:v>Columbus</x:v>
      </x:c>
      <x:c r="H2352" s="84" t="str">
        <x:v>Online</x:v>
      </x:c>
      <x:c r="I2352" s="84" t="str">
        <x:v>HOME-006</x:v>
      </x:c>
      <x:c r="J2352" s="86" t="n">
        <x:v>2</x:v>
      </x:c>
      <x:c r="K2352" s="87" t="n">
        <x:v>0.15</x:v>
      </x:c>
      <x:c r="L2352" s="84" t="str">
        <x:v>Completed</x:v>
      </x:c>
      <x:c r="M2352" s="84" t="str">
        <x:v>Debit Card</x:v>
      </x:c>
      <x:c r="N2352" s="84" t="str">
        <x:v>Zoe Turner</x:v>
      </x:c>
      <x:c r="O2352" s="85" t="n">
        <x:v>46015</x:v>
      </x:c>
      <x:c r="P2352" s="84" t="str">
        <x:v>WEB_2025_12</x:v>
      </x:c>
      <x:c r="Q2352" s="84" t="str">
        <x:v>Food Storage Set</x:v>
      </x:c>
      <x:c r="R2352" s="84" t="str">
        <x:v> HOME &amp; KITCHEN </x:v>
      </x:c>
    </x:row>
    <x:row r="2353">
      <x:c r="A2353" s="84" t="str">
        <x:v>ORD-2025-00151</x:v>
      </x:c>
      <x:c r="B2353" s="85" t="n">
        <x:v>46009</x:v>
      </x:c>
      <x:c r="C2353" s="84" t="str">
        <x:v>CUST-0018</x:v>
      </x:c>
      <x:c r="D2353" s="84" t="str">
        <x:v>Priya Nelson</x:v>
      </x:c>
      <x:c r="E2353" s="84" t="str">
        <x:v>Consumer</x:v>
      </x:c>
      <x:c r="F2353" s="84" t="str">
        <x:v>southeast</x:v>
      </x:c>
      <x:c r="G2353" s="84" t="str">
        <x:v>Miami</x:v>
      </x:c>
      <x:c r="H2353" s="84" t="str">
        <x:v>Online</x:v>
      </x:c>
      <x:c r="I2353" s="84" t="str">
        <x:v>CARE-006</x:v>
      </x:c>
      <x:c r="J2353" s="86" t="n">
        <x:v>1</x:v>
      </x:c>
      <x:c r="K2353" s="87" t="n">
        <x:v>0.2</x:v>
      </x:c>
      <x:c r="L2353" s="84" t="str">
        <x:v>Completed</x:v>
      </x:c>
      <x:c r="M2353" s="84" t="str">
        <x:v>Debit Card</x:v>
      </x:c>
      <x:c r="N2353" s="84" t="str">
        <x:v>Liam Parker </x:v>
      </x:c>
      <x:c r="O2353" s="85" t="n">
        <x:v>46011</x:v>
      </x:c>
      <x:c r="P2353" s="84" t="str">
        <x:v>WEB_2025_12</x:v>
      </x:c>
      <x:c r="Q2353" s="84" t="str">
        <x:v>Percussion Massage Gun</x:v>
      </x:c>
      <x:c r="R2353" s="84" t="str">
        <x:v> PERSONAL CARE </x:v>
      </x:c>
    </x:row>
    <x:row r="2354">
      <x:c r="A2354" s="84" t="str">
        <x:v>ORD-2025-01112</x:v>
      </x:c>
      <x:c r="B2354" s="85" t="n">
        <x:v>46009</x:v>
      </x:c>
      <x:c r="C2354" s="84" t="str">
        <x:v>CUST-0239</x:v>
      </x:c>
      <x:c r="D2354" s="84" t="str">
        <x:v>Nathan Roberts</x:v>
      </x:c>
      <x:c r="E2354" s="84" t="str">
        <x:v>Small Business</x:v>
      </x:c>
      <x:c r="F2354" s="84" t="str">
        <x:v>Midwest</x:v>
      </x:c>
      <x:c r="G2354" s="84" t="str">
        <x:v>Detroit</x:v>
      </x:c>
      <x:c r="H2354" s="84" t="str">
        <x:v>Marketplace</x:v>
      </x:c>
      <x:c r="I2354" s="84" t="str">
        <x:v>HOME-005</x:v>
      </x:c>
      <x:c r="J2354" s="86" t="n">
        <x:v>1</x:v>
      </x:c>
      <x:c r="K2354" s="87" t="n">
        <x:v>0</x:v>
      </x:c>
      <x:c r="L2354" s="84" t="str">
        <x:v>Completed </x:v>
      </x:c>
      <x:c r="M2354" s="84" t="str">
        <x:v>Debit Card</x:v>
      </x:c>
      <x:c r="N2354" s="84" t="str">
        <x:v>Emma Hayes</x:v>
      </x:c>
      <x:c r="O2354" s="85" t="n">
        <x:v>46012</x:v>
      </x:c>
      <x:c r="P2354" s="84" t="str">
        <x:v>MKT_2025_12</x:v>
      </x:c>
      <x:c r="Q2354" s="84" t="str">
        <x:v>Cordless Vacuum</x:v>
      </x:c>
      <x:c r="R2354" s="84" t="str">
        <x:v>Home &amp; Kitchen</x:v>
      </x:c>
    </x:row>
    <x:row r="2355">
      <x:c r="A2355" s="84" t="str">
        <x:v>ORD-2025-01296</x:v>
      </x:c>
      <x:c r="B2355" s="85" t="n">
        <x:v>46009</x:v>
      </x:c>
      <x:c r="C2355" s="84" t="str">
        <x:v>CUST-0558</x:v>
      </x:c>
      <x:c r="D2355" s="84" t="str">
        <x:v>Elias Irwin</x:v>
      </x:c>
      <x:c r="E2355" s="84" t="str">
        <x:v>Corporate</x:v>
      </x:c>
      <x:c r="F2355" s="84" t="str">
        <x:v>Northeast</x:v>
      </x:c>
      <x:c r="G2355" s="84" t="str">
        <x:v>Philadelphia</x:v>
      </x:c>
      <x:c r="H2355" s="84" t="str">
        <x:v>Retail Store</x:v>
      </x:c>
      <x:c r="I2355" s="84" t="str">
        <x:v>OFFC-005</x:v>
      </x:c>
      <x:c r="J2355" s="86" t="n">
        <x:v>3</x:v>
      </x:c>
      <x:c r="K2355" s="87" t="n">
        <x:v>0.1</x:v>
      </x:c>
      <x:c r="L2355" s="84" t="str">
        <x:v>Completed</x:v>
      </x:c>
      <x:c r="M2355" s="84" t="str">
        <x:v>Cash</x:v>
      </x:c>
      <x:c r="N2355" s="84" t="str">
        <x:v>Sofia Bennett</x:v>
      </x:c>
      <x:c r="O2355" s="85" t="n">
        <x:v>46010</x:v>
      </x:c>
      <x:c r="P2355" s="84" t="str">
        <x:v>POS_2025_12</x:v>
      </x:c>
      <x:c r="Q2355" s="84" t="str">
        <x:v> WIRELESS KEYBOARD </x:v>
      </x:c>
      <x:c r="R2355" s="84" t="str">
        <x:v>Office</x:v>
      </x:c>
    </x:row>
    <x:row r="2356">
      <x:c r="A2356" s="84" t="str">
        <x:v>ORD-2025-01449</x:v>
      </x:c>
      <x:c r="B2356" s="85" t="n">
        <x:v>46009</x:v>
      </x:c>
      <x:c r="C2356" s="84" t="str">
        <x:v>CUST-0211</x:v>
      </x:c>
      <x:c r="D2356" s="84" t="str">
        <x:v>Caleb Roberts</x:v>
      </x:c>
      <x:c r="E2356" s="84" t="str">
        <x:v>Consumer </x:v>
      </x:c>
      <x:c r="F2356" s="84" t="str">
        <x:v>northeast</x:v>
      </x:c>
      <x:c r="G2356" s="84" t="str">
        <x:v>New York </x:v>
      </x:c>
      <x:c r="H2356" s="84" t="str">
        <x:v>Online</x:v>
      </x:c>
      <x:c r="I2356" s="84" t="str">
        <x:v>HOME-004</x:v>
      </x:c>
      <x:c r="J2356" s="86" t="n">
        <x:v>1</x:v>
      </x:c>
      <x:c r="K2356" s="87" t="n">
        <x:v>0</x:v>
      </x:c>
      <x:c r="L2356" s="84" t="str">
        <x:v>Completed</x:v>
      </x:c>
      <x:c r="M2356" s="84" t="str">
        <x:v>Mobile Wallet</x:v>
      </x:c>
      <x:c r="N2356" s="84" t="str">
        <x:v>Ethan Cole</x:v>
      </x:c>
      <x:c r="O2356" s="85" t="n">
        <x:v>46014</x:v>
      </x:c>
      <x:c r="P2356" s="84" t="str">
        <x:v>WEB_2025_12</x:v>
      </x:c>
      <x:c r="Q2356" s="84" t="str">
        <x:v> COFFEE MAKER </x:v>
      </x:c>
      <x:c r="R2356" s="84" t="str">
        <x:v>Home &amp; Kitchen</x:v>
      </x:c>
    </x:row>
    <x:row r="2357">
      <x:c r="A2357" s="84" t="str">
        <x:v>ORD-2025-01685</x:v>
      </x:c>
      <x:c r="B2357" s="85" t="n">
        <x:v>46009</x:v>
      </x:c>
      <x:c r="C2357" s="84" t="str">
        <x:v>CUST-0326</x:v>
      </x:c>
      <x:c r="D2357" s="84" t="str">
        <x:v>Marcus Quinn </x:v>
      </x:c>
      <x:c r="E2357" s="84" t="str">
        <x:v>Corporate</x:v>
      </x:c>
      <x:c r="F2357" s="84" t="str">
        <x:v>Southeast</x:v>
      </x:c>
      <x:c r="G2357" s="84" t="str">
        <x:v>Nashville</x:v>
      </x:c>
      <x:c r="H2357" s="84" t="str">
        <x:v>Online</x:v>
      </x:c>
      <x:c r="I2357" s="84" t="str">
        <x:v>ELEC-002</x:v>
      </x:c>
      <x:c r="J2357" s="86" t="n">
        <x:v>4</x:v>
      </x:c>
      <x:c r="K2357" s="87" t="n">
        <x:v>0.15</x:v>
      </x:c>
      <x:c r="L2357" s="84" t="str">
        <x:v>Completed</x:v>
      </x:c>
      <x:c r="M2357" s="84" t="str">
        <x:v>Credit Card </x:v>
      </x:c>
      <x:c r="N2357" s="84" t="str">
        <x:v>liam parker</x:v>
      </x:c>
      <x:c r="O2357" s="85" t="n">
        <x:v>46012</x:v>
      </x:c>
      <x:c r="P2357" s="84" t="str">
        <x:v>WEB_2025_12</x:v>
      </x:c>
      <x:c r="Q2357" s="84" t="str">
        <x:v>Smartwatch</x:v>
      </x:c>
      <x:c r="R2357" s="84" t="str">
        <x:v>Electronics</x:v>
      </x:c>
    </x:row>
    <x:row r="2358">
      <x:c r="A2358" s="84" t="str">
        <x:v>ORD-2025-01710</x:v>
      </x:c>
      <x:c r="B2358" s="85" t="n">
        <x:v>46009</x:v>
      </x:c>
      <x:c r="C2358" s="84" t="str">
        <x:v>CUST-0128</x:v>
      </x:c>
      <x:c r="D2358" s="84" t="str">
        <x:v>Zara Patel</x:v>
      </x:c>
      <x:c r="E2358" s="84" t="str">
        <x:v>Consumer</x:v>
      </x:c>
      <x:c r="F2358" s="84" t="str">
        <x:v>Midwest</x:v>
      </x:c>
      <x:c r="G2358" s="84" t="str">
        <x:v> DETROIT </x:v>
      </x:c>
      <x:c r="H2358" s="84" t="str">
        <x:v>Marketplace</x:v>
      </x:c>
      <x:c r="I2358" s="84" t="str">
        <x:v>OFFC-002</x:v>
      </x:c>
      <x:c r="J2358" s="86" t="n">
        <x:v>2</x:v>
      </x:c>
      <x:c r="K2358" s="87" t="n">
        <x:v>0.1</x:v>
      </x:c>
      <x:c r="L2358" s="84" t="str">
        <x:v>Completed</x:v>
      </x:c>
      <x:c r="M2358" s="84" t="str">
        <x:v>PayPal</x:v>
      </x:c>
      <x:c r="N2358" s="84" t="str">
        <x:v>Emma Hayes</x:v>
      </x:c>
      <x:c r="O2358" s="85" t="n">
        <x:v>46014</x:v>
      </x:c>
      <x:c r="P2358" s="84" t="str">
        <x:v>MKT_2025_12</x:v>
      </x:c>
      <x:c r="Q2358" s="84" t="str">
        <x:v>Standing Desk</x:v>
      </x:c>
      <x:c r="R2358" s="84" t="str">
        <x:v>Office </x:v>
      </x:c>
    </x:row>
    <x:row r="2359">
      <x:c r="A2359" s="84" t="str">
        <x:v>ORD-2025-01920</x:v>
      </x:c>
      <x:c r="B2359" s="85" t="n">
        <x:v>46009</x:v>
      </x:c>
      <x:c r="C2359" s="84" t="str">
        <x:v>CUST-0003</x:v>
      </x:c>
      <x:c r="D2359" s="84" t="str">
        <x:v>Victoria Foster</x:v>
      </x:c>
      <x:c r="E2359" s="84" t="str">
        <x:v>Consumer</x:v>
      </x:c>
      <x:c r="F2359" s="84" t="str">
        <x:v>West</x:v>
      </x:c>
      <x:c r="G2359" s="84" t="str">
        <x:v>Seattle</x:v>
      </x:c>
      <x:c r="H2359" s="84" t="str">
        <x:v>Retail Store</x:v>
      </x:c>
      <x:c r="I2359" s="84" t="str">
        <x:v>ELEC-003</x:v>
      </x:c>
      <x:c r="J2359" s="86" t="n">
        <x:v>4</x:v>
      </x:c>
      <x:c r="K2359" s="87" t="n">
        <x:v>0.1</x:v>
      </x:c>
      <x:c r="L2359" s="84" t="str">
        <x:v>Completed</x:v>
      </x:c>
      <x:c r="M2359" s="84" t="str">
        <x:v>Credit Card</x:v>
      </x:c>
      <x:c r="N2359" s="84" t="str">
        <x:v>Nora Kim</x:v>
      </x:c>
      <x:c r="O2359" s="85" t="n">
        <x:v>46009</x:v>
      </x:c>
      <x:c r="P2359" s="84" t="str">
        <x:v>POS_2025_12</x:v>
      </x:c>
      <x:c r="Q2359" s="84" t="str">
        <x:v>Bluetooth Speaker</x:v>
      </x:c>
      <x:c r="R2359" s="84" t="str">
        <x:v>Electronics </x:v>
      </x:c>
    </x:row>
    <x:row r="2360">
      <x:c r="A2360" s="84" t="str">
        <x:v>ORD-2025-02121</x:v>
      </x:c>
      <x:c r="B2360" s="85" t="n">
        <x:v>46009</x:v>
      </x:c>
      <x:c r="C2360" s="84" t="str">
        <x:v>CUST-0129</x:v>
      </x:c>
      <x:c r="D2360" s="84" t="str">
        <x:v>Owen Walker</x:v>
      </x:c>
      <x:c r="E2360" s="84" t="str">
        <x:v>Corporate </x:v>
      </x:c>
      <x:c r="F2360" s="84" t="str">
        <x:v>Midwest</x:v>
      </x:c>
      <x:c r="G2360" s="84" t="str">
        <x:v>Chicago </x:v>
      </x:c>
      <x:c r="H2360" s="84" t="str">
        <x:v>Retail Store</x:v>
      </x:c>
      <x:c r="I2360" s="84" t="str">
        <x:v>HOME-002</x:v>
      </x:c>
      <x:c r="J2360" s="86" t="n">
        <x:v>1</x:v>
      </x:c>
      <x:c r="K2360" s="87" t="n">
        <x:v>0</x:v>
      </x:c>
      <x:c r="L2360" s="84" t="str">
        <x:v>Completed</x:v>
      </x:c>
      <x:c r="M2360" s="84" t="str">
        <x:v>Credit Card</x:v>
      </x:c>
      <x:c r="N2360" s="84" t="str">
        <x:v>Lucas Grant</x:v>
      </x:c>
      <x:c r="O2360" s="85" t="n">
        <x:v>46010</x:v>
      </x:c>
      <x:c r="P2360" s="84" t="str">
        <x:v>POS_2025_12</x:v>
      </x:c>
      <x:c r="Q2360" s="84" t="str">
        <x:v>electric kettle</x:v>
      </x:c>
      <x:c r="R2360" s="84" t="str">
        <x:v>Home &amp; Kitchen</x:v>
      </x:c>
    </x:row>
    <x:row r="2361">
      <x:c r="A2361" s="84" t="str">
        <x:v>ORD-2025-00150</x:v>
      </x:c>
      <x:c r="B2361" s="85" t="n">
        <x:v>46010</x:v>
      </x:c>
      <x:c r="C2361" s="84" t="str">
        <x:v>CUST-0252</x:v>
      </x:c>
      <x:c r="D2361" s="84" t="str">
        <x:v> THEO CARTER </x:v>
      </x:c>
      <x:c r="E2361" s="84" t="str">
        <x:v>Consumer</x:v>
      </x:c>
      <x:c r="F2361" s="84" t="str">
        <x:v> MIDWEST </x:v>
      </x:c>
      <x:c r="G2361" s="84" t="str">
        <x:v>Columbus</x:v>
      </x:c>
      <x:c r="H2361" s="84" t="str">
        <x:v>Retail Store </x:v>
      </x:c>
      <x:c r="I2361" s="84" t="str">
        <x:v>OFFC-006</x:v>
      </x:c>
      <x:c r="J2361" s="86" t="n">
        <x:v>2</x:v>
      </x:c>
      <x:c r="K2361" s="87" t="n">
        <x:v>0.05</x:v>
      </x:c>
      <x:c r="L2361" s="84" t="str">
        <x:v>Completed</x:v>
      </x:c>
      <x:c r="M2361" s="84" t="str">
        <x:v>Cash</x:v>
      </x:c>
      <x:c r="N2361" s="84" t="str">
        <x:v>Lucas Grant</x:v>
      </x:c>
      <x:c r="O2361" s="85" t="n">
        <x:v>46010</x:v>
      </x:c>
      <x:c r="P2361" s="84" t="str">
        <x:v>POS_2025_12</x:v>
      </x:c>
      <x:c r="Q2361" s="84" t="str">
        <x:v>Monitor Stand</x:v>
      </x:c>
      <x:c r="R2361" s="84" t="str">
        <x:v>Office</x:v>
      </x:c>
    </x:row>
    <x:row r="2362">
      <x:c r="A2362" s="84" t="str">
        <x:v>ORD-2025-00697</x:v>
      </x:c>
      <x:c r="B2362" s="85" t="n">
        <x:v>46010</x:v>
      </x:c>
      <x:c r="C2362" s="84" t="str">
        <x:v>CUST-0529</x:v>
      </x:c>
      <x:c r="D2362" s="84" t="str">
        <x:v>Grace Hall</x:v>
      </x:c>
      <x:c r="E2362" s="84" t="str">
        <x:v> CONSUMER </x:v>
      </x:c>
      <x:c r="F2362" s="84" t="str">
        <x:v>Northeast </x:v>
      </x:c>
      <x:c r="G2362" s="84" t="str">
        <x:v>newark</x:v>
      </x:c>
      <x:c r="H2362" s="84" t="str">
        <x:v>Marketplace</x:v>
      </x:c>
      <x:c r="I2362" s="84" t="str">
        <x:v>ELEC-003</x:v>
      </x:c>
      <x:c r="J2362" s="86" t="n">
        <x:v>1</x:v>
      </x:c>
      <x:c r="K2362" s="87" t="n">
        <x:v>0</x:v>
      </x:c>
      <x:c r="L2362" s="84" t="str">
        <x:v>completed</x:v>
      </x:c>
      <x:c r="M2362" s="84" t="str">
        <x:v>Credit Card</x:v>
      </x:c>
      <x:c r="N2362" s="84" t="str">
        <x:v>Sofia Bennett </x:v>
      </x:c>
      <x:c r="O2362" s="85" t="n">
        <x:v>46016</x:v>
      </x:c>
      <x:c r="P2362" s="84" t="str">
        <x:v>MKT_2025_12</x:v>
      </x:c>
      <x:c r="Q2362" s="84" t="str">
        <x:v>Bluetooth Speaker</x:v>
      </x:c>
      <x:c r="R2362" s="84" t="str">
        <x:v>Electronics</x:v>
      </x:c>
    </x:row>
    <x:row r="2363">
      <x:c r="A2363" s="84" t="str">
        <x:v>ORD-2025-01033</x:v>
      </x:c>
      <x:c r="B2363" s="85" t="n">
        <x:v>46010</x:v>
      </x:c>
      <x:c r="C2363" s="84" t="str">
        <x:v>CUST-0207</x:v>
      </x:c>
      <x:c r="D2363" s="84" t="str">
        <x:v>Marcus Khan</x:v>
      </x:c>
      <x:c r="E2363" s="84" t="str">
        <x:v>Consumer</x:v>
      </x:c>
      <x:c r="F2363" s="84" t="str">
        <x:v>Southeast </x:v>
      </x:c>
      <x:c r="G2363" s="84" t="str">
        <x:v>Atlanta</x:v>
      </x:c>
      <x:c r="H2363" s="84" t="str">
        <x:v>Marketplace</x:v>
      </x:c>
      <x:c r="I2363" s="84" t="str">
        <x:v>HOME-003</x:v>
      </x:c>
      <x:c r="J2363" s="86" t="n">
        <x:v>1</x:v>
      </x:c>
      <x:c r="K2363" s="87" t="n">
        <x:v>0.05</x:v>
      </x:c>
      <x:c r="L2363" s="84" t="str">
        <x:v>Completed</x:v>
      </x:c>
      <x:c r="M2363" s="84" t="str">
        <x:v>debit card</x:v>
      </x:c>
      <x:c r="N2363" s="84" t="str">
        <x:v>Noah Reed </x:v>
      </x:c>
      <x:c r="O2363" s="85" t="n">
        <x:v>46013</x:v>
      </x:c>
      <x:c r="P2363" s="84" t="str">
        <x:v>MKT_2025_12</x:v>
      </x:c>
      <x:c r="Q2363" s="84" t="str">
        <x:v>Countertop Blender</x:v>
      </x:c>
      <x:c r="R2363" s="84" t="str">
        <x:v>Home &amp; Kitchen</x:v>
      </x:c>
    </x:row>
    <x:row r="2364">
      <x:c r="A2364" s="84" t="str">
        <x:v>ORD-2025-01105</x:v>
      </x:c>
      <x:c r="B2364" s="85" t="n">
        <x:v>46010</x:v>
      </x:c>
      <x:c r="C2364" s="84" t="str">
        <x:v>CUST-0410</x:v>
      </x:c>
      <x:c r="D2364" s="84" t="str">
        <x:v>Jasmine Quinn</x:v>
      </x:c>
      <x:c r="E2364" s="84" t="str">
        <x:v> CONSUMER </x:v>
      </x:c>
      <x:c r="F2364" s="84" t="str">
        <x:v>Midwest</x:v>
      </x:c>
      <x:c r="G2364" s="84" t="str">
        <x:v>Chicago</x:v>
      </x:c>
      <x:c r="H2364" s="84" t="str">
        <x:v>Retail Store</x:v>
      </x:c>
      <x:c r="I2364" s="84" t="str">
        <x:v>ELEC-005</x:v>
      </x:c>
      <x:c r="J2364" s="86" t="n">
        <x:v>2</x:v>
      </x:c>
      <x:c r="K2364" s="87" t="n">
        <x:v>0.05</x:v>
      </x:c>
      <x:c r="L2364" s="84" t="str">
        <x:v>Completed </x:v>
      </x:c>
      <x:c r="M2364" s="84" t="str">
        <x:v>Mobile Wallet</x:v>
      </x:c>
      <x:c r="N2364" s="84" t="str">
        <x:v>Zoe Turner</x:v>
      </x:c>
      <x:c r="O2364" s="85" t="n">
        <x:v>46010</x:v>
      </x:c>
      <x:c r="P2364" s="84" t="str">
        <x:v>POS_2025_12</x:v>
      </x:c>
      <x:c r="Q2364" s="84" t="str">
        <x:v>HD Webcam</x:v>
      </x:c>
      <x:c r="R2364" s="84" t="str">
        <x:v>Electronics</x:v>
      </x:c>
    </x:row>
    <x:row r="2365">
      <x:c r="A2365" s="84" t="str">
        <x:v>ORD-2025-01371</x:v>
      </x:c>
      <x:c r="B2365" s="85" t="n">
        <x:v>46010</x:v>
      </x:c>
      <x:c r="C2365" s="84" t="str">
        <x:v>CUST-0621</x:v>
      </x:c>
      <x:c r="D2365" s="84" t="str">
        <x:v>sara hall</x:v>
      </x:c>
      <x:c r="E2365" s="84" t="str">
        <x:v>Consumer</x:v>
      </x:c>
      <x:c r="F2365" s="84" t="str">
        <x:v>Northeast</x:v>
      </x:c>
      <x:c r="G2365" s="84" t="str">
        <x:v>Philadelphia</x:v>
      </x:c>
      <x:c r="H2365" s="84" t="str">
        <x:v>Online</x:v>
      </x:c>
      <x:c r="I2365" s="84" t="str">
        <x:v>ACCS-006</x:v>
      </x:c>
      <x:c r="J2365" s="86" t="n">
        <x:v>2</x:v>
      </x:c>
      <x:c r="K2365" s="87" t="n">
        <x:v>0.1</x:v>
      </x:c>
      <x:c r="L2365" s="84" t="str">
        <x:v>Completed </x:v>
      </x:c>
      <x:c r="M2365" s="84" t="str">
        <x:v> PAYPAL </x:v>
      </x:c>
      <x:c r="N2365" s="84" t="str">
        <x:v>Maya Brooks</x:v>
      </x:c>
      <x:c r="O2365" s="85" t="n">
        <x:v>46012</x:v>
      </x:c>
      <x:c r="P2365" s="84" t="str">
        <x:v>WEB_2025_12</x:v>
      </x:c>
      <x:c r="Q2365" s="84" t="str">
        <x:v>Insulated Lunch Bag</x:v>
      </x:c>
      <x:c r="R2365" s="84" t="str">
        <x:v>Accessories</x:v>
      </x:c>
    </x:row>
    <x:row r="2366">
      <x:c r="A2366" s="84" t="str">
        <x:v>ORD-2025-01425</x:v>
      </x:c>
      <x:c r="B2366" s="85" t="n">
        <x:v>46010</x:v>
      </x:c>
      <x:c r="C2366" s="84" t="str">
        <x:v>CUST-0565</x:v>
      </x:c>
      <x:c r="D2366" s="84" t="str">
        <x:v> NATHAN TAYLOR </x:v>
      </x:c>
      <x:c r="E2366" s="84" t="str">
        <x:v>Consumer</x:v>
      </x:c>
      <x:c r="F2366" s="84" t="str">
        <x:v> WEST </x:v>
      </x:c>
      <x:c r="G2366" s="84" t="str">
        <x:v>Phoenix</x:v>
      </x:c>
      <x:c r="H2366" s="84" t="str">
        <x:v>Retail Store</x:v>
      </x:c>
      <x:c r="I2366" s="84" t="str">
        <x:v>ELEC-003</x:v>
      </x:c>
      <x:c r="J2366" s="86" t="n">
        <x:v>1</x:v>
      </x:c>
      <x:c r="K2366" s="87" t="n">
        <x:v>0.1</x:v>
      </x:c>
      <x:c r="L2366" s="84" t="str">
        <x:v>Completed</x:v>
      </x:c>
      <x:c r="M2366" s="84" t="str">
        <x:v>Credit Card</x:v>
      </x:c>
      <x:c r="N2366" s="84" t="str">
        <x:v>Leo Martinez </x:v>
      </x:c>
      <x:c r="O2366" s="85" t="n">
        <x:v>46010</x:v>
      </x:c>
      <x:c r="P2366" s="84" t="str">
        <x:v>POS_2025_12</x:v>
      </x:c>
      <x:c r="Q2366" s="84" t="str">
        <x:v>Bluetooth Speaker</x:v>
      </x:c>
      <x:c r="R2366" s="84" t="str">
        <x:v>Electronics</x:v>
      </x:c>
    </x:row>
    <x:row r="2367">
      <x:c r="A2367" s="84" t="str">
        <x:v>ORD-2025-01554</x:v>
      </x:c>
      <x:c r="B2367" s="85" t="n">
        <x:v>46010</x:v>
      </x:c>
      <x:c r="C2367" s="84" t="str">
        <x:v>CUST-0298</x:v>
      </x:c>
      <x:c r="D2367" s="84" t="str">
        <x:v>Jasmine Roberts</x:v>
      </x:c>
      <x:c r="E2367" s="84" t="str">
        <x:v>Consumer </x:v>
      </x:c>
      <x:c r="F2367" s="84" t="str">
        <x:v>West</x:v>
      </x:c>
      <x:c r="G2367" s="84" t="str">
        <x:v>Los Angeles </x:v>
      </x:c>
      <x:c r="H2367" s="84" t="str">
        <x:v>Online</x:v>
      </x:c>
      <x:c r="I2367" s="84" t="str">
        <x:v>ACCS-005</x:v>
      </x:c>
      <x:c r="J2367" s="86" t="n">
        <x:v>4</x:v>
      </x:c>
      <x:c r="K2367" s="87" t="n">
        <x:v>0</x:v>
      </x:c>
      <x:c r="L2367" s="84" t="str">
        <x:v>Completed</x:v>
      </x:c>
      <x:c r="M2367" s="84" t="str">
        <x:v>Debit Card</x:v>
      </x:c>
      <x:c r="N2367" s="84" t="str">
        <x:v>Nora Kim</x:v>
      </x:c>
      <x:c r="O2367" s="85" t="n">
        <x:v>46015</x:v>
      </x:c>
      <x:c r="P2367" s="84" t="str">
        <x:v>WEB_2025_12</x:v>
      </x:c>
      <x:c r="Q2367" s="84" t="str">
        <x:v>Protective Phone Case</x:v>
      </x:c>
      <x:c r="R2367" s="84" t="str">
        <x:v>accessories</x:v>
      </x:c>
    </x:row>
    <x:row r="2368">
      <x:c r="A2368" s="84" t="str">
        <x:v>ORD-2025-01786</x:v>
      </x:c>
      <x:c r="B2368" s="85" t="n">
        <x:v>46010</x:v>
      </x:c>
      <x:c r="C2368" s="84" t="str">
        <x:v>CUST-0068</x:v>
      </x:c>
      <x:c r="D2368" s="84" t="str">
        <x:v>Grace Ortiz</x:v>
      </x:c>
      <x:c r="E2368" s="84" t="str">
        <x:v>Consumer</x:v>
      </x:c>
      <x:c r="F2368" s="84" t="str">
        <x:v>West</x:v>
      </x:c>
      <x:c r="G2368" s="84" t="str">
        <x:v>los angeles</x:v>
      </x:c>
      <x:c r="H2368" s="84" t="str">
        <x:v>Retail Store</x:v>
      </x:c>
      <x:c r="I2368" s="84" t="str">
        <x:v>ELEC-004</x:v>
      </x:c>
      <x:c r="J2368" s="86" t="n">
        <x:v>3</x:v>
      </x:c>
      <x:c r="K2368" s="87" t="n">
        <x:v>0.05</x:v>
      </x:c>
      <x:c r="L2368" s="84" t="str">
        <x:v>completed</x:v>
      </x:c>
      <x:c r="M2368" s="84" t="str">
        <x:v>Debit Card</x:v>
      </x:c>
      <x:c r="N2368" s="84" t="str">
        <x:v>Mia Chen</x:v>
      </x:c>
      <x:c r="O2368" s="85" t="n">
        <x:v>46011</x:v>
      </x:c>
      <x:c r="P2368" s="84" t="str">
        <x:v>POS_2025_12</x:v>
      </x:c>
      <x:c r="Q2368" s="84" t="str">
        <x:v>Power Bank </x:v>
      </x:c>
      <x:c r="R2368" s="84" t="str">
        <x:v>Electronics</x:v>
      </x:c>
    </x:row>
    <x:row r="2369">
      <x:c r="A2369" s="84" t="str">
        <x:v>ORD-2025-00221</x:v>
      </x:c>
      <x:c r="B2369" s="85" t="n">
        <x:v>46011</x:v>
      </x:c>
      <x:c r="C2369" s="84" t="str">
        <x:v>CUST-0079</x:v>
      </x:c>
      <x:c r="D2369" s="84" t="str">
        <x:v>Isaac Foster</x:v>
      </x:c>
      <x:c r="E2369" s="84" t="str">
        <x:v> CONSUMER </x:v>
      </x:c>
      <x:c r="F2369" s="84" t="str">
        <x:v>Midwest </x:v>
      </x:c>
      <x:c r="G2369" s="84" t="str">
        <x:v>Minneapolis</x:v>
      </x:c>
      <x:c r="H2369" s="84" t="str">
        <x:v>Retail Store</x:v>
      </x:c>
      <x:c r="I2369" s="84" t="str">
        <x:v>OFFC-006</x:v>
      </x:c>
      <x:c r="J2369" s="86" t="n">
        <x:v>1</x:v>
      </x:c>
      <x:c r="K2369" s="87" t="n">
        <x:v>0.1</x:v>
      </x:c>
      <x:c r="L2369" s="84" t="str">
        <x:v>Completed</x:v>
      </x:c>
      <x:c r="M2369" s="84" t="str">
        <x:v>Debit Card</x:v>
      </x:c>
      <x:c r="N2369" s="84" t="str">
        <x:v>Zoe Turner </x:v>
      </x:c>
      <x:c r="O2369" s="85" t="n">
        <x:v>46011</x:v>
      </x:c>
      <x:c r="P2369" s="84" t="str">
        <x:v>POS_2025_12</x:v>
      </x:c>
      <x:c r="Q2369" s="84" t="str">
        <x:v>Monitor Stand</x:v>
      </x:c>
      <x:c r="R2369" s="84" t="str">
        <x:v>Office</x:v>
      </x:c>
    </x:row>
    <x:row r="2370">
      <x:c r="A2370" s="84" t="str">
        <x:v>ORD-2025-00611</x:v>
      </x:c>
      <x:c r="B2370" s="85" t="n">
        <x:v>46011</x:v>
      </x:c>
      <x:c r="C2370" s="84" t="str">
        <x:v>CUST-0060</x:v>
      </x:c>
      <x:c r="D2370" s="84" t="str">
        <x:v>Amelia Roberts</x:v>
      </x:c>
      <x:c r="E2370" s="84" t="str">
        <x:v>Corporate</x:v>
      </x:c>
      <x:c r="F2370" s="84" t="str">
        <x:v>Midwest</x:v>
      </x:c>
      <x:c r="G2370" s="84" t="str">
        <x:v>Chicago</x:v>
      </x:c>
      <x:c r="H2370" s="84" t="str">
        <x:v>Retail Store</x:v>
      </x:c>
      <x:c r="I2370" s="84" t="str">
        <x:v>OFFC-002</x:v>
      </x:c>
      <x:c r="J2370" s="86" t="n">
        <x:v>8</x:v>
      </x:c>
      <x:c r="K2370" s="87" t="n">
        <x:v>0.1</x:v>
      </x:c>
      <x:c r="L2370" s="84" t="str">
        <x:v>Completed</x:v>
      </x:c>
      <x:c r="M2370" s="84" t="str">
        <x:v>Debit Card</x:v>
      </x:c>
      <x:c r="N2370" s="84" t="str">
        <x:v>Emma Hayes</x:v>
      </x:c>
      <x:c r="O2370" s="85" t="n">
        <x:v>46011</x:v>
      </x:c>
      <x:c r="P2370" s="84" t="str">
        <x:v>POS_2025_12</x:v>
      </x:c>
      <x:c r="Q2370" s="84" t="str">
        <x:v>Standing Desk</x:v>
      </x:c>
      <x:c r="R2370" s="84" t="str">
        <x:v>Office </x:v>
      </x:c>
    </x:row>
    <x:row r="2371">
      <x:c r="A2371" s="84" t="str">
        <x:v>ORD-2025-00787</x:v>
      </x:c>
      <x:c r="B2371" s="85" t="n">
        <x:v>46011</x:v>
      </x:c>
      <x:c r="C2371" s="84" t="str">
        <x:v>CUST-0050</x:v>
      </x:c>
      <x:c r="D2371" s="84" t="str">
        <x:v>Isaac Davis</x:v>
      </x:c>
      <x:c r="E2371" s="84" t="str">
        <x:v>Consumer</x:v>
      </x:c>
      <x:c r="F2371" s="84" t="str">
        <x:v>Northeast</x:v>
      </x:c>
      <x:c r="G2371" s="84" t="str">
        <x:v>Newark</x:v>
      </x:c>
      <x:c r="H2371" s="84" t="str">
        <x:v>Online </x:v>
      </x:c>
      <x:c r="I2371" s="84" t="str">
        <x:v>CARE-003</x:v>
      </x:c>
      <x:c r="J2371" s="86" t="n">
        <x:v>1</x:v>
      </x:c>
      <x:c r="K2371" s="87" t="n">
        <x:v>0.05</x:v>
      </x:c>
      <x:c r="L2371" s="84" t="str">
        <x:v> COMPLETED </x:v>
      </x:c>
      <x:c r="M2371" s="84" t="str">
        <x:v>PayPal</x:v>
      </x:c>
      <x:c r="N2371" s="84" t="str">
        <x:v>Ethan Cole</x:v>
      </x:c>
      <x:c r="O2371" s="85" t="n">
        <x:v>46015</x:v>
      </x:c>
      <x:c r="P2371" s="84" t="str">
        <x:v>WEB_2025_12</x:v>
      </x:c>
      <x:c r="Q2371" s="84" t="str">
        <x:v>Facial Cleanser</x:v>
      </x:c>
      <x:c r="R2371" s="84" t="str">
        <x:v>Personal Care</x:v>
      </x:c>
    </x:row>
    <x:row r="2372">
      <x:c r="A2372" s="84" t="str">
        <x:v>ORD-2025-01838</x:v>
      </x:c>
      <x:c r="B2372" s="85" t="n">
        <x:v>46011</x:v>
      </x:c>
      <x:c r="C2372" s="84" t="str">
        <x:v>CUST-0220</x:v>
      </x:c>
      <x:c r="D2372" s="84" t="str">
        <x:v>Isaac Smith</x:v>
      </x:c>
      <x:c r="E2372" s="84" t="str">
        <x:v>Consumer</x:v>
      </x:c>
      <x:c r="F2372" s="84" t="str">
        <x:v>Midwest </x:v>
      </x:c>
      <x:c r="G2372" s="84" t="str">
        <x:v>Detroit</x:v>
      </x:c>
      <x:c r="H2372" s="84" t="str">
        <x:v>Online</x:v>
      </x:c>
      <x:c r="I2372" s="84" t="str">
        <x:v>FITN-001</x:v>
      </x:c>
      <x:c r="J2372" s="86" t="n">
        <x:v>1</x:v>
      </x:c>
      <x:c r="K2372" s="87" t="n">
        <x:v>0</x:v>
      </x:c>
      <x:c r="L2372" s="84" t="str">
        <x:v>Completed</x:v>
      </x:c>
      <x:c r="M2372" s="84" t="str">
        <x:v>Credit Card</x:v>
      </x:c>
      <x:c r="N2372" s="84" t="str">
        <x:v>Emma Hayes </x:v>
      </x:c>
      <x:c r="O2372" s="85" t="n">
        <x:v>46014</x:v>
      </x:c>
      <x:c r="P2372" s="84" t="str">
        <x:v>WEB_2025_12</x:v>
      </x:c>
      <x:c r="Q2372" s="84" t="str">
        <x:v>Yoga Mat</x:v>
      </x:c>
      <x:c r="R2372" s="84" t="str">
        <x:v>Fitness</x:v>
      </x:c>
    </x:row>
    <x:row r="2373">
      <x:c r="A2373" s="84" t="str">
        <x:v>ORD-2025-02079</x:v>
      </x:c>
      <x:c r="B2373" s="85" t="n">
        <x:v>46011</x:v>
      </x:c>
      <x:c r="C2373" s="84" t="str">
        <x:v>CUST-0458</x:v>
      </x:c>
      <x:c r="D2373" s="84" t="str">
        <x:v>Samuel Carter</x:v>
      </x:c>
      <x:c r="E2373" s="84" t="str">
        <x:v>consumer</x:v>
      </x:c>
      <x:c r="F2373" s="84" t="str">
        <x:v>Southeast</x:v>
      </x:c>
      <x:c r="G2373" s="84" t="str">
        <x:v>Atlanta </x:v>
      </x:c>
      <x:c r="H2373" s="84" t="str">
        <x:v>retail store</x:v>
      </x:c>
      <x:c r="I2373" s="84" t="str">
        <x:v>HOME-003</x:v>
      </x:c>
      <x:c r="J2373" s="86" t="n">
        <x:v>2</x:v>
      </x:c>
      <x:c r="K2373" s="87" t="n">
        <x:v>0.1</x:v>
      </x:c>
      <x:c r="L2373" s="84" t="str">
        <x:v> COMPLETED </x:v>
      </x:c>
      <x:c r="M2373" s="84" t="str">
        <x:v>Debit Card</x:v>
      </x:c>
      <x:c r="N2373" s="84" t="str">
        <x:v>Noah Reed</x:v>
      </x:c>
      <x:c r="O2373" s="85" t="n">
        <x:v>46011</x:v>
      </x:c>
      <x:c r="P2373" s="84" t="str">
        <x:v>POS_2025_12</x:v>
      </x:c>
      <x:c r="Q2373" s="84" t="str">
        <x:v>Countertop Blender</x:v>
      </x:c>
      <x:c r="R2373" s="84" t="str">
        <x:v>Home &amp; Kitchen</x:v>
      </x:c>
    </x:row>
    <x:row r="2374">
      <x:c r="A2374" s="84" t="str">
        <x:v>ORD-2025-02099</x:v>
      </x:c>
      <x:c r="B2374" s="85" t="n">
        <x:v>46011</x:v>
      </x:c>
      <x:c r="C2374" s="84" t="str">
        <x:v>CUST-0395</x:v>
      </x:c>
      <x:c r="D2374" s="84" t="str">
        <x:v>Sara Baker</x:v>
      </x:c>
      <x:c r="E2374" s="84" t="str">
        <x:v>Consumer</x:v>
      </x:c>
      <x:c r="F2374" s="84" t="str">
        <x:v>West</x:v>
      </x:c>
      <x:c r="G2374" s="84" t="str">
        <x:v>Denver</x:v>
      </x:c>
      <x:c r="H2374" s="84" t="str">
        <x:v>Online</x:v>
      </x:c>
      <x:c r="I2374" s="84" t="str">
        <x:v>OFFC-002</x:v>
      </x:c>
      <x:c r="J2374" s="86" t="n">
        <x:v>1</x:v>
      </x:c>
      <x:c r="K2374" s="87" t="n">
        <x:v>0.1</x:v>
      </x:c>
      <x:c r="L2374" s="84" t="str">
        <x:v>Completed </x:v>
      </x:c>
      <x:c r="M2374" s="84" t="str">
        <x:v>Credit Card</x:v>
      </x:c>
      <x:c r="N2374" s="84" t="str">
        <x:v>Nora Kim</x:v>
      </x:c>
      <x:c r="O2374" s="85" t="n">
        <x:v>46013</x:v>
      </x:c>
      <x:c r="P2374" s="84" t="str">
        <x:v>WEB_2025_12</x:v>
      </x:c>
      <x:c r="Q2374" s="84" t="str">
        <x:v>standing desk</x:v>
      </x:c>
      <x:c r="R2374" s="84" t="str">
        <x:v>Office</x:v>
      </x:c>
    </x:row>
    <x:row r="2375">
      <x:c r="A2375" s="84" t="str">
        <x:v>ORD-2025-01146</x:v>
      </x:c>
      <x:c r="B2375" s="85" t="n">
        <x:v>46012</x:v>
      </x:c>
      <x:c r="C2375" s="84" t="str">
        <x:v>CUST-0618</x:v>
      </x:c>
      <x:c r="D2375" s="84" t="str">
        <x:v>Layla Nelson </x:v>
      </x:c>
      <x:c r="E2375" s="84" t="str">
        <x:v>Consumer</x:v>
      </x:c>
      <x:c r="F2375" s="84" t="str">
        <x:v>Northeast</x:v>
      </x:c>
      <x:c r="G2375" s="84" t="str">
        <x:v>Philadelphia</x:v>
      </x:c>
      <x:c r="H2375" s="84" t="str">
        <x:v>Online</x:v>
      </x:c>
      <x:c r="I2375" s="84" t="str">
        <x:v>FITN-004</x:v>
      </x:c>
      <x:c r="J2375" s="86" t="n">
        <x:v>2</x:v>
      </x:c>
      <x:c r="K2375" s="87" t="n">
        <x:v>0</x:v>
      </x:c>
      <x:c r="L2375" s="84" t="str">
        <x:v>Completed</x:v>
      </x:c>
      <x:c r="M2375" s="84" t="str">
        <x:v>Credit Card </x:v>
      </x:c>
      <x:c r="N2375" s="84" t="str">
        <x:v>ethan cole</x:v>
      </x:c>
      <x:c r="O2375" s="85" t="n">
        <x:v>46015</x:v>
      </x:c>
      <x:c r="P2375" s="84" t="str">
        <x:v>WEB_2025_12</x:v>
      </x:c>
      <x:c r="Q2375" s="84" t="str">
        <x:v>Fitness Tracker</x:v>
      </x:c>
      <x:c r="R2375" s="84" t="str">
        <x:v>Fitness</x:v>
      </x:c>
    </x:row>
    <x:row r="2376">
      <x:c r="A2376" s="84" t="str">
        <x:v>ORD-2025-01182</x:v>
      </x:c>
      <x:c r="B2376" s="85" t="n">
        <x:v>46012</x:v>
      </x:c>
      <x:c r="C2376" s="84" t="str">
        <x:v>CUST-0075</x:v>
      </x:c>
      <x:c r="D2376" s="84" t="str">
        <x:v>Theo Walker</x:v>
      </x:c>
      <x:c r="E2376" s="84" t="str">
        <x:v>Consumer</x:v>
      </x:c>
      <x:c r="F2376" s="84" t="str">
        <x:v>Northeast</x:v>
      </x:c>
      <x:c r="G2376" s="84" t="str">
        <x:v>Philadelphia</x:v>
      </x:c>
      <x:c r="H2376" s="84" t="str">
        <x:v>Retail Store</x:v>
      </x:c>
      <x:c r="I2376" s="84" t="str">
        <x:v>HOME-005</x:v>
      </x:c>
      <x:c r="J2376" s="86" t="n">
        <x:v>2</x:v>
      </x:c>
      <x:c r="K2376" s="87" t="n">
        <x:v>0.1</x:v>
      </x:c>
      <x:c r="L2376" s="84" t="str">
        <x:v>Completed </x:v>
      </x:c>
      <x:c r="M2376" s="84" t="str">
        <x:v>Credit Card</x:v>
      </x:c>
      <x:c r="N2376" s="84" t="str">
        <x:v>Ethan Cole</x:v>
      </x:c>
      <x:c r="O2376" s="85" t="n">
        <x:v>46012</x:v>
      </x:c>
      <x:c r="P2376" s="84" t="str">
        <x:v>POS_2025_12</x:v>
      </x:c>
      <x:c r="Q2376" s="84" t="str">
        <x:v>Cordless Vacuum</x:v>
      </x:c>
      <x:c r="R2376" s="84" t="str">
        <x:v>Home &amp; Kitchen</x:v>
      </x:c>
    </x:row>
    <x:row r="2377">
      <x:c r="A2377" s="84" t="str">
        <x:v>ORD-2025-01356</x:v>
      </x:c>
      <x:c r="B2377" s="85" t="n">
        <x:v>46012</x:v>
      </x:c>
      <x:c r="C2377" s="84" t="str">
        <x:v>CUST-0585</x:v>
      </x:c>
      <x:c r="D2377" s="84" t="str">
        <x:v>Isaac Patel </x:v>
      </x:c>
      <x:c r="E2377" s="84" t="str">
        <x:v>Consumer</x:v>
      </x:c>
      <x:c r="F2377" s="84" t="str">
        <x:v>Northeast</x:v>
      </x:c>
      <x:c r="G2377" s="84" t="str">
        <x:v>New York</x:v>
      </x:c>
      <x:c r="H2377" s="84" t="str">
        <x:v>Online</x:v>
      </x:c>
      <x:c r="I2377" s="84" t="str">
        <x:v>ELEC-004</x:v>
      </x:c>
      <x:c r="J2377" s="86" t="n">
        <x:v>2</x:v>
      </x:c>
      <x:c r="K2377" s="87" t="n">
        <x:v>0.05</x:v>
      </x:c>
      <x:c r="L2377" s="84" t="str">
        <x:v>Completed</x:v>
      </x:c>
      <x:c r="M2377" s="84" t="str">
        <x:v>Credit Card </x:v>
      </x:c>
      <x:c r="N2377" s="84" t="str">
        <x:v>Maya Brooks</x:v>
      </x:c>
      <x:c r="O2377" s="85" t="n">
        <x:v>46015</x:v>
      </x:c>
      <x:c r="P2377" s="84" t="str">
        <x:v>WEB_2025_12</x:v>
      </x:c>
      <x:c r="Q2377" s="84" t="str">
        <x:v>Power Bank</x:v>
      </x:c>
      <x:c r="R2377" s="84" t="str">
        <x:v>electronics</x:v>
      </x:c>
    </x:row>
    <x:row r="2378">
      <x:c r="A2378" s="84" t="str">
        <x:v>ORD-2025-01731</x:v>
      </x:c>
      <x:c r="B2378" s="85" t="n">
        <x:v>46012</x:v>
      </x:c>
      <x:c r="C2378" s="84" t="str">
        <x:v>CUST-0062</x:v>
      </x:c>
      <x:c r="D2378" s="84" t="str">
        <x:v> CALEB DAVIS </x:v>
      </x:c>
      <x:c r="E2378" s="84" t="str">
        <x:v>Consumer</x:v>
      </x:c>
      <x:c r="F2378" s="84" t="str">
        <x:v> NORTHEAST </x:v>
      </x:c>
      <x:c r="G2378" s="84" t="str">
        <x:v>new york</x:v>
      </x:c>
      <x:c r="H2378" s="84" t="str">
        <x:v>Retail Store</x:v>
      </x:c>
      <x:c r="I2378" s="84" t="str">
        <x:v>HOME-001</x:v>
      </x:c>
      <x:c r="J2378" s="86" t="n">
        <x:v>1</x:v>
      </x:c>
      <x:c r="K2378" s="87" t="n">
        <x:v>0</x:v>
      </x:c>
      <x:c r="L2378" s="84" t="str">
        <x:v>completed</x:v>
      </x:c>
      <x:c r="M2378" s="84" t="str">
        <x:v>Credit Card</x:v>
      </x:c>
      <x:c r="N2378" s="84" t="str">
        <x:v>Sofia Bennett</x:v>
      </x:c>
      <x:c r="O2378" s="85" t="n">
        <x:v>46012</x:v>
      </x:c>
      <x:c r="P2378" s="84" t="str">
        <x:v>POS_2025_12</x:v>
      </x:c>
      <x:c r="Q2378" s="84" t="str">
        <x:v>Air Fryer</x:v>
      </x:c>
      <x:c r="R2378" s="84" t="str">
        <x:v>Home &amp; Kitchen </x:v>
      </x:c>
    </x:row>
    <x:row r="2379">
      <x:c r="A2379" s="84" t="str">
        <x:v>ORD-2025-02147</x:v>
      </x:c>
      <x:c r="B2379" s="85" t="n">
        <x:v>46012</x:v>
      </x:c>
      <x:c r="C2379" s="84" t="str">
        <x:v>CUST-0336</x:v>
      </x:c>
      <x:c r="D2379" s="84" t="str">
        <x:v>Jonah Garcia </x:v>
      </x:c>
      <x:c r="E2379" s="84" t="str">
        <x:v>Consumer</x:v>
      </x:c>
      <x:c r="F2379" s="84" t="str">
        <x:v>West</x:v>
      </x:c>
      <x:c r="G2379" s="84" t="str">
        <x:v>Phoenix</x:v>
      </x:c>
      <x:c r="H2379" s="84" t="str">
        <x:v>Online</x:v>
      </x:c>
      <x:c r="I2379" s="84" t="str">
        <x:v>ELEC-001</x:v>
      </x:c>
      <x:c r="J2379" s="86" t="n">
        <x:v>1</x:v>
      </x:c>
      <x:c r="K2379" s="87" t="n">
        <x:v>0.15</x:v>
      </x:c>
      <x:c r="L2379" s="84" t="str">
        <x:v> COMPLETED </x:v>
      </x:c>
      <x:c r="M2379" s="84" t="str">
        <x:v>Credit Card </x:v>
      </x:c>
      <x:c r="N2379" s="84" t="str">
        <x:v>nora kim</x:v>
      </x:c>
      <x:c r="O2379" s="85" t="n">
        <x:v>46015</x:v>
      </x:c>
      <x:c r="P2379" s="84" t="str">
        <x:v>WEB_2025_12</x:v>
      </x:c>
      <x:c r="Q2379" s="84" t="str">
        <x:v>Wireless Earbuds</x:v>
      </x:c>
      <x:c r="R2379" s="84" t="str">
        <x:v>Electronics</x:v>
      </x:c>
    </x:row>
    <x:row r="2380">
      <x:c r="A2380" s="84" t="str">
        <x:v>ORD-2025-00137</x:v>
      </x:c>
      <x:c r="B2380" s="85" t="n">
        <x:v>46013</x:v>
      </x:c>
      <x:c r="C2380" s="84" t="str">
        <x:v>CUST-0111</x:v>
      </x:c>
      <x:c r="D2380" s="84" t="str">
        <x:v>Elias Evans</x:v>
      </x:c>
      <x:c r="E2380" s="84" t="str">
        <x:v>Small Business</x:v>
      </x:c>
      <x:c r="F2380" s="84" t="str">
        <x:v>Northeast </x:v>
      </x:c>
      <x:c r="G2380" s="84" t="str">
        <x:v>New York</x:v>
      </x:c>
      <x:c r="H2380" s="84" t="str">
        <x:v>Marketplace</x:v>
      </x:c>
      <x:c r="I2380" s="84" t="str">
        <x:v>ELEC-003</x:v>
      </x:c>
      <x:c r="J2380" s="86" t="n">
        <x:v>1</x:v>
      </x:c>
      <x:c r="K2380" s="87" t="n">
        <x:v>0.1</x:v>
      </x:c>
      <x:c r="L2380" s="84" t="str">
        <x:v>Completed</x:v>
      </x:c>
      <x:c r="M2380" s="84" t="str">
        <x:v>PayPal</x:v>
      </x:c>
      <x:c r="N2380" s="84" t="str">
        <x:v>Maya Brooks </x:v>
      </x:c>
      <x:c r="O2380" s="85" t="n">
        <x:v>46017</x:v>
      </x:c>
      <x:c r="P2380" s="84" t="str">
        <x:v>MKT_2025_12</x:v>
      </x:c>
      <x:c r="Q2380" s="84" t="str">
        <x:v>Bluetooth Speaker</x:v>
      </x:c>
      <x:c r="R2380" s="84" t="str">
        <x:v>Electronics</x:v>
      </x:c>
    </x:row>
    <x:row r="2381">
      <x:c r="A2381" s="84" t="str">
        <x:v>ORD-2025-00441</x:v>
      </x:c>
      <x:c r="B2381" s="85" t="n">
        <x:v>46013</x:v>
      </x:c>
      <x:c r="C2381" s="84" t="str">
        <x:v>CUST-0548</x:v>
      </x:c>
      <x:c r="D2381" s="84" t="str">
        <x:v>Maya Foster</x:v>
      </x:c>
      <x:c r="E2381" s="84" t="str">
        <x:v>Consumer </x:v>
      </x:c>
      <x:c r="F2381" s="84" t="str">
        <x:v>Southeast</x:v>
      </x:c>
      <x:c r="G2381" s="84" t="str">
        <x:v>Miami </x:v>
      </x:c>
      <x:c r="H2381" s="84" t="str">
        <x:v>Marketplace</x:v>
      </x:c>
      <x:c r="I2381" s="84" t="str">
        <x:v>ACCS-001</x:v>
      </x:c>
      <x:c r="J2381" s="86" t="n">
        <x:v>3</x:v>
      </x:c>
      <x:c r="K2381" s="87" t="n">
        <x:v>0.1</x:v>
      </x:c>
      <x:c r="L2381" s="84" t="str">
        <x:v>Completed</x:v>
      </x:c>
      <x:c r="M2381" s="84" t="str">
        <x:v>Debit Card</x:v>
      </x:c>
      <x:c r="N2381" s="84" t="str">
        <x:v>Noah Reed</x:v>
      </x:c>
      <x:c r="O2381" s="85" t="n">
        <x:v>46020</x:v>
      </x:c>
      <x:c r="P2381" s="84" t="str">
        <x:v>MKT_2025_12</x:v>
      </x:c>
      <x:c r="Q2381" s="84" t="str">
        <x:v>Canvas Tote Bag</x:v>
      </x:c>
      <x:c r="R2381" s="84" t="str">
        <x:v>Accessories</x:v>
      </x:c>
    </x:row>
    <x:row r="2382">
      <x:c r="A2382" s="84" t="str">
        <x:v>ORD-2025-00896</x:v>
      </x:c>
      <x:c r="B2382" s="85" t="n">
        <x:v>46013</x:v>
      </x:c>
      <x:c r="C2382" s="84" t="str">
        <x:v>CUST-0079</x:v>
      </x:c>
      <x:c r="D2382" s="84" t="str">
        <x:v>Isaac Foster</x:v>
      </x:c>
      <x:c r="E2382" s="84" t="str">
        <x:v>Consumer </x:v>
      </x:c>
      <x:c r="F2382" s="84" t="str">
        <x:v>Midwest</x:v>
      </x:c>
      <x:c r="G2382" s="84" t="str">
        <x:v>Minneapolis </x:v>
      </x:c>
      <x:c r="H2382" s="84" t="str">
        <x:v>Retail Store</x:v>
      </x:c>
      <x:c r="I2382" s="84" t="str">
        <x:v>ACCS-003</x:v>
      </x:c>
      <x:c r="J2382" s="86" t="n">
        <x:v>2</x:v>
      </x:c>
      <x:c r="K2382" s="87" t="n">
        <x:v>0.05</x:v>
      </x:c>
      <x:c r="L2382" s="84" t="str">
        <x:v>Completed</x:v>
      </x:c>
      <x:c r="M2382" s="84" t="str">
        <x:v>Credit Card</x:v>
      </x:c>
      <x:c r="N2382" s="84" t="str">
        <x:v>Emma Hayes</x:v>
      </x:c>
      <x:c r="O2382" s="85" t="n">
        <x:v>46013</x:v>
      </x:c>
      <x:c r="P2382" s="84" t="str">
        <x:v>POS_2025_12</x:v>
      </x:c>
      <x:c r="Q2382" s="84" t="str">
        <x:v>Polarized Sunglasses</x:v>
      </x:c>
      <x:c r="R2382" s="84" t="str">
        <x:v>Accessories</x:v>
      </x:c>
    </x:row>
    <x:row r="2383">
      <x:c r="A2383" s="84" t="str">
        <x:v>ORD-2025-00901</x:v>
      </x:c>
      <x:c r="B2383" s="85" t="n">
        <x:v>46013</x:v>
      </x:c>
      <x:c r="C2383" s="84" t="str">
        <x:v>CUST-0339</x:v>
      </x:c>
      <x:c r="D2383" s="84" t="str">
        <x:v>Marcus Walker </x:v>
      </x:c>
      <x:c r="E2383" s="84" t="str">
        <x:v> CONSUMER </x:v>
      </x:c>
      <x:c r="F2383" s="84" t="str">
        <x:v>Midwest</x:v>
      </x:c>
      <x:c r="G2383" s="84" t="str">
        <x:v>Columbus</x:v>
      </x:c>
      <x:c r="H2383" s="84" t="str">
        <x:v>Online</x:v>
      </x:c>
      <x:c r="I2383" s="84" t="str">
        <x:v>CARE-006</x:v>
      </x:c>
      <x:c r="J2383" s="86" t="n">
        <x:v>1</x:v>
      </x:c>
      <x:c r="K2383" s="87" t="n">
        <x:v>0.05</x:v>
      </x:c>
      <x:c r="L2383" s="84" t="str">
        <x:v>Completed</x:v>
      </x:c>
      <x:c r="M2383" s="84" t="str">
        <x:v>debit card</x:v>
      </x:c>
      <x:c r="N2383" s="84" t="str">
        <x:v>Emma Hayes</x:v>
      </x:c>
      <x:c r="O2383" s="85" t="n">
        <x:v>46018</x:v>
      </x:c>
      <x:c r="P2383" s="84" t="str">
        <x:v>WEB_2025_12</x:v>
      </x:c>
      <x:c r="Q2383" s="84" t="str">
        <x:v>Percussion Massage Gun</x:v>
      </x:c>
      <x:c r="R2383" s="84" t="str">
        <x:v>Personal Care</x:v>
      </x:c>
    </x:row>
    <x:row r="2384">
      <x:c r="A2384" s="84" t="str">
        <x:v>ORD-2025-01407</x:v>
      </x:c>
      <x:c r="B2384" s="85" t="n">
        <x:v>46013</x:v>
      </x:c>
      <x:c r="C2384" s="84" t="str">
        <x:v>CUST-0109</x:v>
      </x:c>
      <x:c r="D2384" s="84" t="str">
        <x:v>Maya Evans</x:v>
      </x:c>
      <x:c r="E2384" s="84" t="str">
        <x:v>Consumer </x:v>
      </x:c>
      <x:c r="F2384" s="84" t="str">
        <x:v>West</x:v>
      </x:c>
      <x:c r="G2384" s="84" t="str">
        <x:v>Seattle </x:v>
      </x:c>
      <x:c r="H2384" s="84" t="str">
        <x:v>Online</x:v>
      </x:c>
      <x:c r="I2384" s="84" t="str">
        <x:v>HOME-004</x:v>
      </x:c>
      <x:c r="J2384" s="86" t="n">
        <x:v>1</x:v>
      </x:c>
      <x:c r="K2384" s="87" t="n">
        <x:v>0.05</x:v>
      </x:c>
      <x:c r="L2384" s="84" t="str">
        <x:v>Completed</x:v>
      </x:c>
      <x:c r="M2384" s="84" t="str">
        <x:v>debit card</x:v>
      </x:c>
      <x:c r="N2384" s="84" t="str">
        <x:v>Mia Chen</x:v>
      </x:c>
      <x:c r="O2384" s="85" t="n">
        <x:v>46018</x:v>
      </x:c>
      <x:c r="P2384" s="84" t="str">
        <x:v>WEB_2025_12</x:v>
      </x:c>
      <x:c r="Q2384" s="84" t="str">
        <x:v>Coffee Maker</x:v>
      </x:c>
      <x:c r="R2384" s="84" t="str">
        <x:v>Home &amp; Kitchen</x:v>
      </x:c>
    </x:row>
    <x:row r="2385">
      <x:c r="A2385" s="84" t="str">
        <x:v>ORD-2025-01884</x:v>
      </x:c>
      <x:c r="B2385" s="85" t="n">
        <x:v>46013</x:v>
      </x:c>
      <x:c r="C2385" s="84" t="str">
        <x:v>CUST-0029</x:v>
      </x:c>
      <x:c r="D2385" s="84" t="str">
        <x:v> THEO ORTIZ </x:v>
      </x:c>
      <x:c r="E2385" s="84" t="str">
        <x:v>Corporate</x:v>
      </x:c>
      <x:c r="F2385" s="84" t="str">
        <x:v> NORTHEAST </x:v>
      </x:c>
      <x:c r="G2385" s="84" t="str">
        <x:v>Philadelphia</x:v>
      </x:c>
      <x:c r="H2385" s="84" t="str">
        <x:v>Marketplace</x:v>
      </x:c>
      <x:c r="I2385" s="84" t="str">
        <x:v>ELEC-006</x:v>
      </x:c>
      <x:c r="J2385" s="86" t="n">
        <x:v>2</x:v>
      </x:c>
      <x:c r="K2385" s="87" t="n">
        <x:v>0.1</x:v>
      </x:c>
      <x:c r="L2385" s="84" t="str">
        <x:v>Completed</x:v>
      </x:c>
      <x:c r="M2385" s="84" t="str">
        <x:v>Debit Card</x:v>
      </x:c>
      <x:c r="N2385" s="84" t="str">
        <x:v>Sofia Bennett</x:v>
      </x:c>
      <x:c r="O2385" s="85" t="n">
        <x:v>46020</x:v>
      </x:c>
      <x:c r="P2385" s="84" t="str">
        <x:v>MKT_2025_12</x:v>
      </x:c>
      <x:c r="Q2385" s="84" t="str">
        <x:v>Portable SSD </x:v>
      </x:c>
      <x:c r="R2385" s="84" t="str">
        <x:v>electronics</x:v>
      </x:c>
    </x:row>
    <x:row r="2386">
      <x:c r="A2386" s="84" t="str">
        <x:v>ORD-2025-00657</x:v>
      </x:c>
      <x:c r="B2386" s="85" t="n">
        <x:v>46014</x:v>
      </x:c>
      <x:c r="C2386" s="84" t="str">
        <x:v>CUST-0613</x:v>
      </x:c>
      <x:c r="D2386" s="84" t="str">
        <x:v>Owen Hall</x:v>
      </x:c>
      <x:c r="E2386" s="84" t="str">
        <x:v>Consumer</x:v>
      </x:c>
      <x:c r="F2386" s="84" t="str">
        <x:v>southeast</x:v>
      </x:c>
      <x:c r="G2386" s="84" t="str">
        <x:v>Nashville</x:v>
      </x:c>
      <x:c r="H2386" s="84" t="str">
        <x:v>Online</x:v>
      </x:c>
      <x:c r="I2386" s="84" t="str">
        <x:v>OFFC-006</x:v>
      </x:c>
      <x:c r="J2386" s="86" t="n">
        <x:v>1</x:v>
      </x:c>
      <x:c r="K2386" s="87" t="n">
        <x:v>0.1</x:v>
      </x:c>
      <x:c r="L2386" s="84" t="str">
        <x:v>Completed </x:v>
      </x:c>
      <x:c r="M2386" s="84" t="str">
        <x:v> DEBIT CARD </x:v>
      </x:c>
      <x:c r="N2386" s="84" t="str">
        <x:v>Liam Parker</x:v>
      </x:c>
      <x:c r="O2386" s="85" t="n">
        <x:v>46018</x:v>
      </x:c>
      <x:c r="P2386" s="84" t="str">
        <x:v>WEB_2025_12</x:v>
      </x:c>
      <x:c r="Q2386" s="84" t="str">
        <x:v>Monitor Stand</x:v>
      </x:c>
      <x:c r="R2386" s="84" t="str">
        <x:v>Office</x:v>
      </x:c>
    </x:row>
    <x:row r="2387">
      <x:c r="A2387" s="84" t="str">
        <x:v>ORD-2025-00921</x:v>
      </x:c>
      <x:c r="B2387" s="85" t="n">
        <x:v>46014</x:v>
      </x:c>
      <x:c r="C2387" s="84" t="str">
        <x:v>CUST-0160</x:v>
      </x:c>
      <x:c r="D2387" s="84" t="str">
        <x:v>Amelia Adams</x:v>
      </x:c>
      <x:c r="E2387" s="84" t="str">
        <x:v>Consumer</x:v>
      </x:c>
      <x:c r="F2387" s="84" t="str">
        <x:v>southeast</x:v>
      </x:c>
      <x:c r="G2387" s="84" t="str">
        <x:v>Atlanta</x:v>
      </x:c>
      <x:c r="H2387" s="84" t="str">
        <x:v>Marketplace</x:v>
      </x:c>
      <x:c r="I2387" s="84" t="str">
        <x:v>ELEC-001</x:v>
      </x:c>
      <x:c r="J2387" s="86" t="n">
        <x:v>3</x:v>
      </x:c>
      <x:c r="K2387" s="87" t="n">
        <x:v>0</x:v>
      </x:c>
      <x:c r="L2387" s="84" t="str">
        <x:v>Completed</x:v>
      </x:c>
      <x:c r="M2387" s="84" t="str">
        <x:v>Mobile Wallet</x:v>
      </x:c>
      <x:c r="N2387" s="84" t="str">
        <x:v> AVA MITCHELL </x:v>
      </x:c>
      <x:c r="O2387" s="85" t="n">
        <x:v>46019</x:v>
      </x:c>
      <x:c r="P2387" s="84" t="str">
        <x:v>MKT_2025_12</x:v>
      </x:c>
      <x:c r="Q2387" s="84" t="str">
        <x:v>Wireless Earbuds</x:v>
      </x:c>
      <x:c r="R2387" s="84" t="str">
        <x:v>Electronics</x:v>
      </x:c>
    </x:row>
    <x:row r="2388">
      <x:c r="A2388" s="84" t="str">
        <x:v>ORD-2025-01365</x:v>
      </x:c>
      <x:c r="B2388" s="85" t="n">
        <x:v>46014</x:v>
      </x:c>
      <x:c r="C2388" s="84" t="str">
        <x:v>CUST-0367</x:v>
      </x:c>
      <x:c r="D2388" s="84" t="str">
        <x:v>Zara Young</x:v>
      </x:c>
      <x:c r="E2388" s="84" t="str">
        <x:v>Consumer </x:v>
      </x:c>
      <x:c r="F2388" s="84" t="str">
        <x:v>Northeast</x:v>
      </x:c>
      <x:c r="G2388" s="84" t="str">
        <x:v>New York </x:v>
      </x:c>
      <x:c r="H2388" s="84" t="str">
        <x:v>Retail Store</x:v>
      </x:c>
      <x:c r="I2388" s="84" t="str">
        <x:v>CARE-002</x:v>
      </x:c>
      <x:c r="J2388" s="86" t="n">
        <x:v>1</x:v>
      </x:c>
      <x:c r="K2388" s="87" t="n">
        <x:v>0.1</x:v>
      </x:c>
      <x:c r="L2388" s="84" t="str">
        <x:v> COMPLETED </x:v>
      </x:c>
      <x:c r="M2388" s="84" t="str">
        <x:v>Cash</x:v>
      </x:c>
      <x:c r="N2388" s="84" t="str">
        <x:v>Sofia Bennett</x:v>
      </x:c>
      <x:c r="O2388" s="85" t="n">
        <x:v>46014</x:v>
      </x:c>
      <x:c r="P2388" s="84" t="str">
        <x:v>POS_2025_12</x:v>
      </x:c>
      <x:c r="Q2388" s="84" t="str">
        <x:v>Rechargeable Trimmer</x:v>
      </x:c>
      <x:c r="R2388" s="84" t="str">
        <x:v>Personal Care</x:v>
      </x:c>
    </x:row>
    <x:row r="2389">
      <x:c r="A2389" s="84" t="str">
        <x:v>ORD-2025-00072</x:v>
      </x:c>
      <x:c r="B2389" s="85" t="n">
        <x:v>46015</x:v>
      </x:c>
      <x:c r="C2389" s="84" t="str">
        <x:v>CUST-0561</x:v>
      </x:c>
      <x:c r="D2389" s="84" t="str">
        <x:v>Marcus Johnson</x:v>
      </x:c>
      <x:c r="E2389" s="84" t="str">
        <x:v>Consumer</x:v>
      </x:c>
      <x:c r="F2389" s="84" t="str">
        <x:v>Southeast</x:v>
      </x:c>
      <x:c r="G2389" s="84" t="str">
        <x:v>Nashville</x:v>
      </x:c>
      <x:c r="H2389" s="84" t="str">
        <x:v>Marketplace</x:v>
      </x:c>
      <x:c r="I2389" s="84" t="str">
        <x:v>ELEC-002</x:v>
      </x:c>
      <x:c r="J2389" s="86" t="n">
        <x:v>1</x:v>
      </x:c>
      <x:c r="K2389" s="87" t="n">
        <x:v>0.05</x:v>
      </x:c>
      <x:c r="L2389" s="84" t="str">
        <x:v>Returned</x:v>
      </x:c>
      <x:c r="M2389" s="84" t="str">
        <x:v>Mobile Wallet</x:v>
      </x:c>
      <x:c r="N2389" s="84" t="str">
        <x:v>Noah Reed</x:v>
      </x:c>
      <x:c r="O2389" s="85" t="n">
        <x:v>46021</x:v>
      </x:c>
      <x:c r="P2389" s="84" t="str">
        <x:v>MKT_2025_12</x:v>
      </x:c>
      <x:c r="Q2389" s="84" t="str">
        <x:v> SMARTWATCH </x:v>
      </x:c>
      <x:c r="R2389" s="84" t="str">
        <x:v>Electronics </x:v>
      </x:c>
    </x:row>
    <x:row r="2390">
      <x:c r="A2390" s="84" t="str">
        <x:v>ORD-2025-00375</x:v>
      </x:c>
      <x:c r="B2390" s="85" t="n">
        <x:v>46015</x:v>
      </x:c>
      <x:c r="C2390" s="84" t="str">
        <x:v>CUST-0459</x:v>
      </x:c>
      <x:c r="D2390" s="84" t="str">
        <x:v>Theo Baker</x:v>
      </x:c>
      <x:c r="E2390" s="84" t="str">
        <x:v>Consumer</x:v>
      </x:c>
      <x:c r="F2390" s="84" t="str">
        <x:v>Southeast </x:v>
      </x:c>
      <x:c r="G2390" s="84" t="str">
        <x:v>Miami</x:v>
      </x:c>
      <x:c r="H2390" s="84" t="str">
        <x:v>Marketplace</x:v>
      </x:c>
      <x:c r="I2390" s="84" t="str">
        <x:v>ELEC-001</x:v>
      </x:c>
      <x:c r="J2390" s="86" t="n">
        <x:v>1</x:v>
      </x:c>
      <x:c r="K2390" s="87" t="n">
        <x:v>0.2</x:v>
      </x:c>
      <x:c r="L2390" s="84" t="str">
        <x:v>Returned</x:v>
      </x:c>
      <x:c r="M2390" s="84" t="str">
        <x:v>Mobile Wallet</x:v>
      </x:c>
      <x:c r="N2390" s="84" t="str">
        <x:v>Liam Parker </x:v>
      </x:c>
      <x:c r="O2390" s="85" t="n">
        <x:v>46023</x:v>
      </x:c>
      <x:c r="P2390" s="84" t="str">
        <x:v>MKT_2025_12</x:v>
      </x:c>
      <x:c r="Q2390" s="84" t="str">
        <x:v>Wireless Earbuds</x:v>
      </x:c>
      <x:c r="R2390" s="84" t="str">
        <x:v>Electronics</x:v>
      </x:c>
    </x:row>
    <x:row r="2391">
      <x:c r="A2391" s="84" t="str">
        <x:v>ORD-2025-00425</x:v>
      </x:c>
      <x:c r="B2391" s="85" t="n">
        <x:v>46015</x:v>
      </x:c>
      <x:c r="C2391" s="84" t="str">
        <x:v>CUST-0214</x:v>
      </x:c>
      <x:c r="D2391" s="84" t="str">
        <x:v>priya taylor</x:v>
      </x:c>
      <x:c r="E2391" s="84" t="str">
        <x:v> CONSUMER </x:v>
      </x:c>
      <x:c r="F2391" s="84" t="str">
        <x:v>Southeast</x:v>
      </x:c>
      <x:c r="G2391" s="84" t="str">
        <x:v>Nashville</x:v>
      </x:c>
      <x:c r="H2391" s="84" t="str">
        <x:v>Retail Store</x:v>
      </x:c>
      <x:c r="I2391" s="84" t="str">
        <x:v>ACCS-003</x:v>
      </x:c>
      <x:c r="J2391" s="86" t="n">
        <x:v>2</x:v>
      </x:c>
      <x:c r="K2391" s="87" t="n">
        <x:v>0</x:v>
      </x:c>
      <x:c r="L2391" s="84" t="str">
        <x:v>Completed</x:v>
      </x:c>
      <x:c r="M2391" s="84" t="str">
        <x:v>Mobile Wallet </x:v>
      </x:c>
      <x:c r="N2391" s="84" t="str">
        <x:v>Liam Parker</x:v>
      </x:c>
      <x:c r="O2391" s="85" t="n">
        <x:v>46015</x:v>
      </x:c>
      <x:c r="P2391" s="84" t="str">
        <x:v>POS_2025_12</x:v>
      </x:c>
      <x:c r="Q2391" s="84" t="str">
        <x:v>Polarized Sunglasses</x:v>
      </x:c>
      <x:c r="R2391" s="84" t="str">
        <x:v>Accessories</x:v>
      </x:c>
    </x:row>
    <x:row r="2392">
      <x:c r="A2392" s="84" t="str">
        <x:v>ORD-2025-00676</x:v>
      </x:c>
      <x:c r="B2392" s="85" t="n">
        <x:v>46015</x:v>
      </x:c>
      <x:c r="C2392" s="84" t="str">
        <x:v>CUST-0040</x:v>
      </x:c>
      <x:c r="D2392" s="84" t="str">
        <x:v>Elias Irwin</x:v>
      </x:c>
      <x:c r="E2392" s="84" t="str">
        <x:v>Small Business</x:v>
      </x:c>
      <x:c r="F2392" s="84" t="str">
        <x:v>Southeast </x:v>
      </x:c>
      <x:c r="G2392" s="84" t="str">
        <x:v>Charlotte</x:v>
      </x:c>
      <x:c r="H2392" s="84" t="str">
        <x:v>Retail Store</x:v>
      </x:c>
      <x:c r="I2392" s="84" t="str">
        <x:v>OFFC-005</x:v>
      </x:c>
      <x:c r="J2392" s="86" t="n">
        <x:v>2</x:v>
      </x:c>
      <x:c r="K2392" s="87" t="n">
        <x:v>0.15</x:v>
      </x:c>
      <x:c r="L2392" s="84" t="str">
        <x:v>Completed</x:v>
      </x:c>
      <x:c r="M2392" s="84" t="str">
        <x:v>Credit Card</x:v>
      </x:c>
      <x:c r="N2392" s="84" t="str">
        <x:v>Ava Mitchell </x:v>
      </x:c>
      <x:c r="O2392" s="85" t="n">
        <x:v>46015</x:v>
      </x:c>
      <x:c r="P2392" s="84" t="str">
        <x:v>POS_2025_12</x:v>
      </x:c>
      <x:c r="Q2392" s="84" t="str">
        <x:v>Wireless Keyboard</x:v>
      </x:c>
      <x:c r="R2392" s="84" t="str">
        <x:v>Office</x:v>
      </x:c>
    </x:row>
    <x:row r="2393">
      <x:c r="A2393" s="84" t="str">
        <x:v>ORD-2025-01341</x:v>
      </x:c>
      <x:c r="B2393" s="85" t="n">
        <x:v>46015</x:v>
      </x:c>
      <x:c r="C2393" s="84" t="str">
        <x:v>CUST-0561</x:v>
      </x:c>
      <x:c r="D2393" s="84" t="str">
        <x:v>Marcus Johnson</x:v>
      </x:c>
      <x:c r="E2393" s="84" t="str">
        <x:v>Consumer</x:v>
      </x:c>
      <x:c r="F2393" s="84" t="str">
        <x:v>Southeast </x:v>
      </x:c>
      <x:c r="G2393" s="84" t="str">
        <x:v>Nashville</x:v>
      </x:c>
      <x:c r="H2393" s="84" t="str">
        <x:v>Online</x:v>
      </x:c>
      <x:c r="I2393" s="84" t="str">
        <x:v>ELEC-001</x:v>
      </x:c>
      <x:c r="J2393" s="86" t="n">
        <x:v>2</x:v>
      </x:c>
      <x:c r="K2393" s="87" t="n">
        <x:v>0.2</x:v>
      </x:c>
      <x:c r="L2393" s="84" t="str">
        <x:v>Completed</x:v>
      </x:c>
      <x:c r="M2393" s="84" t="str">
        <x:v>credit card</x:v>
      </x:c>
      <x:c r="N2393" s="84" t="str">
        <x:v>Ava Mitchell </x:v>
      </x:c>
      <x:c r="O2393" s="85" t="n">
        <x:v>46018</x:v>
      </x:c>
      <x:c r="P2393" s="84" t="str">
        <x:v>WEB_2025_12</x:v>
      </x:c>
      <x:c r="Q2393" s="84" t="str">
        <x:v>Wireless Earbuds</x:v>
      </x:c>
      <x:c r="R2393" s="84" t="str">
        <x:v> ELECTRONICS </x:v>
      </x:c>
    </x:row>
    <x:row r="2394">
      <x:c r="A2394" s="84" t="str">
        <x:v>ORD-2025-01527</x:v>
      </x:c>
      <x:c r="B2394" s="85" t="n">
        <x:v>46015</x:v>
      </x:c>
      <x:c r="C2394" s="84" t="str">
        <x:v>CUST-0628</x:v>
      </x:c>
      <x:c r="D2394" s="84" t="str">
        <x:v> ISAAC YOUNG </x:v>
      </x:c>
      <x:c r="E2394" s="84" t="str">
        <x:v>Small Business</x:v>
      </x:c>
      <x:c r="F2394" s="84" t="str">
        <x:v> WEST </x:v>
      </x:c>
      <x:c r="G2394" s="84" t="str">
        <x:v>Denver</x:v>
      </x:c>
      <x:c r="H2394" s="84" t="str">
        <x:v>Retail Store</x:v>
      </x:c>
      <x:c r="I2394" s="84" t="str">
        <x:v>ACCS-006</x:v>
      </x:c>
      <x:c r="J2394" s="86" t="n">
        <x:v>1</x:v>
      </x:c>
      <x:c r="K2394" s="87" t="n">
        <x:v>0.15</x:v>
      </x:c>
      <x:c r="L2394" s="84" t="str">
        <x:v>Completed</x:v>
      </x:c>
      <x:c r="M2394" s="84" t="str">
        <x:v>Credit Card</x:v>
      </x:c>
      <x:c r="N2394" s="84" t="str">
        <x:v>Leo Martinez</x:v>
      </x:c>
      <x:c r="O2394" s="85" t="n">
        <x:v>46016</x:v>
      </x:c>
      <x:c r="P2394" s="84" t="str">
        <x:v>POS_2025_12</x:v>
      </x:c>
      <x:c r="Q2394" s="84" t="str">
        <x:v>insulated lunch bag</x:v>
      </x:c>
      <x:c r="R2394" s="84" t="str">
        <x:v>Accessories</x:v>
      </x:c>
    </x:row>
    <x:row r="2395">
      <x:c r="A2395" s="84" t="str">
        <x:v>ORD-2025-01632</x:v>
      </x:c>
      <x:c r="B2395" s="85" t="n">
        <x:v>46015</x:v>
      </x:c>
      <x:c r="C2395" s="84" t="str">
        <x:v>CUST-0145</x:v>
      </x:c>
      <x:c r="D2395" s="84" t="str">
        <x:v>Samuel Adams</x:v>
      </x:c>
      <x:c r="E2395" s="84" t="str">
        <x:v> CONSUMER </x:v>
      </x:c>
      <x:c r="F2395" s="84" t="str">
        <x:v>Southeast</x:v>
      </x:c>
      <x:c r="G2395" s="84" t="str">
        <x:v>nashville</x:v>
      </x:c>
      <x:c r="H2395" s="84" t="str">
        <x:v>Retail Store</x:v>
      </x:c>
      <x:c r="I2395" s="84" t="str">
        <x:v>HOME-004</x:v>
      </x:c>
      <x:c r="J2395" s="86" t="n">
        <x:v>1</x:v>
      </x:c>
      <x:c r="K2395" s="87" t="n">
        <x:v>0.1</x:v>
      </x:c>
      <x:c r="L2395" s="84" t="str">
        <x:v>completed</x:v>
      </x:c>
      <x:c r="M2395" s="84" t="str">
        <x:v>Debit Card</x:v>
      </x:c>
      <x:c r="N2395" s="84" t="str">
        <x:v>Liam Parker</x:v>
      </x:c>
      <x:c r="O2395" s="85" t="n">
        <x:v>46016</x:v>
      </x:c>
      <x:c r="P2395" s="84" t="str">
        <x:v>POS_2025_12</x:v>
      </x:c>
      <x:c r="Q2395" s="84" t="str">
        <x:v>Coffee Maker </x:v>
      </x:c>
      <x:c r="R2395" s="84" t="str">
        <x:v>Home &amp; Kitchen</x:v>
      </x:c>
    </x:row>
    <x:row r="2396">
      <x:c r="A2396" s="84" t="str">
        <x:v>ORD-2025-02118</x:v>
      </x:c>
      <x:c r="B2396" s="85" t="n">
        <x:v>46015</x:v>
      </x:c>
      <x:c r="C2396" s="84" t="str">
        <x:v>CUST-0498</x:v>
      </x:c>
      <x:c r="D2396" s="84" t="str">
        <x:v>Marcus Hall</x:v>
      </x:c>
      <x:c r="E2396" s="84" t="str">
        <x:v>Consumer</x:v>
      </x:c>
      <x:c r="F2396" s="84" t="str">
        <x:v>Midwest </x:v>
      </x:c>
      <x:c r="G2396" s="84" t="str">
        <x:v> CHICAGO </x:v>
      </x:c>
      <x:c r="H2396" s="84" t="str">
        <x:v>Marketplace</x:v>
      </x:c>
      <x:c r="I2396" s="84" t="str">
        <x:v>OFFC-002</x:v>
      </x:c>
      <x:c r="J2396" s="86" t="n">
        <x:v>2</x:v>
      </x:c>
      <x:c r="K2396" s="87" t="n">
        <x:v>0.05</x:v>
      </x:c>
      <x:c r="L2396" s="84" t="str">
        <x:v>Completed</x:v>
      </x:c>
      <x:c r="M2396" s="84" t="str">
        <x:v>Debit Card</x:v>
      </x:c>
      <x:c r="N2396" s="84" t="str">
        <x:v>Zoe Turner </x:v>
      </x:c>
      <x:c r="O2396" s="85" t="n">
        <x:v>46020</x:v>
      </x:c>
      <x:c r="P2396" s="84" t="str">
        <x:v>MKT_2025_12</x:v>
      </x:c>
      <x:c r="Q2396" s="84" t="str">
        <x:v>Standing Desk</x:v>
      </x:c>
      <x:c r="R2396" s="84" t="str">
        <x:v>Office</x:v>
      </x:c>
    </x:row>
    <x:row r="2397">
      <x:c r="A2397" s="84" t="str">
        <x:v>ORD-2025-02169</x:v>
      </x:c>
      <x:c r="B2397" s="85" t="n">
        <x:v>46015</x:v>
      </x:c>
      <x:c r="C2397" s="84" t="str">
        <x:v>CUST-0624</x:v>
      </x:c>
      <x:c r="D2397" s="84" t="str">
        <x:v>Nina Irwin</x:v>
      </x:c>
      <x:c r="E2397" s="84" t="str">
        <x:v>Small Business</x:v>
      </x:c>
      <x:c r="F2397" s="84" t="str">
        <x:v>Northeast</x:v>
      </x:c>
      <x:c r="G2397" s="84" t="str">
        <x:v> PHILADELPHIA </x:v>
      </x:c>
      <x:c r="H2397" s="84" t="str">
        <x:v>Retail Store</x:v>
      </x:c>
      <x:c r="I2397" s="84" t="str">
        <x:v>CARE-006</x:v>
      </x:c>
      <x:c r="J2397" s="86" t="n">
        <x:v>1</x:v>
      </x:c>
      <x:c r="K2397" s="87" t="n">
        <x:v>0.15</x:v>
      </x:c>
      <x:c r="L2397" s="84" t="str">
        <x:v>Completed </x:v>
      </x:c>
      <x:c r="M2397" s="84" t="str">
        <x:v>Mobile Wallet</x:v>
      </x:c>
      <x:c r="N2397" s="84" t="str">
        <x:v>sofia bennett</x:v>
      </x:c>
      <x:c r="O2397" s="85" t="n">
        <x:v>46016</x:v>
      </x:c>
      <x:c r="P2397" s="84" t="str">
        <x:v>POS_2025_12</x:v>
      </x:c>
      <x:c r="Q2397" s="84" t="str">
        <x:v>Percussion Massage Gun</x:v>
      </x:c>
      <x:c r="R2397" s="84" t="str">
        <x:v>Personal Care</x:v>
      </x:c>
    </x:row>
    <x:row r="2398">
      <x:c r="A2398" s="84" t="str">
        <x:v>ORD-2025-02228</x:v>
      </x:c>
      <x:c r="B2398" s="85" t="n">
        <x:v>46015</x:v>
      </x:c>
      <x:c r="C2398" s="84" t="str">
        <x:v>CUST-0633</x:v>
      </x:c>
      <x:c r="D2398" s="84" t="str">
        <x:v>Jonah Taylor</x:v>
      </x:c>
      <x:c r="E2398" s="84" t="str">
        <x:v>Consumer</x:v>
      </x:c>
      <x:c r="F2398" s="84" t="str">
        <x:v>West</x:v>
      </x:c>
      <x:c r="G2398" s="84" t="str">
        <x:v>Phoenix</x:v>
      </x:c>
      <x:c r="H2398" s="84" t="str">
        <x:v>Retail Store</x:v>
      </x:c>
      <x:c r="I2398" s="84" t="str">
        <x:v>ACCS-004</x:v>
      </x:c>
      <x:c r="J2398" s="86" t="n">
        <x:v>2</x:v>
      </x:c>
      <x:c r="K2398" s="87" t="n">
        <x:v>0.1</x:v>
      </x:c>
      <x:c r="L2398" s="84" t="str">
        <x:v>Completed</x:v>
      </x:c>
      <x:c r="M2398" s="84" t="str">
        <x:v>Debit Card</x:v>
      </x:c>
      <x:c r="N2398" s="84" t="str">
        <x:v>Nora Kim</x:v>
      </x:c>
      <x:c r="O2398" s="85" t="n">
        <x:v>46015</x:v>
      </x:c>
      <x:c r="P2398" s="84" t="str">
        <x:v>POS_2025_12</x:v>
      </x:c>
      <x:c r="Q2398" s="84" t="str">
        <x:v>Leather Wallet</x:v>
      </x:c>
      <x:c r="R2398" s="84" t="str">
        <x:v>Accessories </x:v>
      </x:c>
    </x:row>
    <x:row r="2399">
      <x:c r="A2399" s="84" t="str">
        <x:v>ORD-2025-00189</x:v>
      </x:c>
      <x:c r="B2399" s="85" t="n">
        <x:v>46016</x:v>
      </x:c>
      <x:c r="C2399" s="84" t="str">
        <x:v>CUST-0469</x:v>
      </x:c>
      <x:c r="D2399" s="84" t="str">
        <x:v>Layla Evans</x:v>
      </x:c>
      <x:c r="E2399" s="84" t="str">
        <x:v>Corporate </x:v>
      </x:c>
      <x:c r="F2399" s="84" t="str">
        <x:v>Midwest</x:v>
      </x:c>
      <x:c r="G2399" s="84" t="str">
        <x:v>Minneapolis </x:v>
      </x:c>
      <x:c r="H2399" s="84" t="str">
        <x:v>Retail Store</x:v>
      </x:c>
      <x:c r="I2399" s="84" t="str">
        <x:v>ELEC-001</x:v>
      </x:c>
      <x:c r="J2399" s="86" t="n">
        <x:v>3</x:v>
      </x:c>
      <x:c r="K2399" s="87" t="n">
        <x:v>0.2</x:v>
      </x:c>
      <x:c r="L2399" s="84" t="str">
        <x:v>Completed</x:v>
      </x:c>
      <x:c r="M2399" s="84" t="str">
        <x:v>Mobile Wallet</x:v>
      </x:c>
      <x:c r="N2399" s="84" t="str">
        <x:v>zoe turner</x:v>
      </x:c>
      <x:c r="O2399" s="85" t="n">
        <x:v>46016</x:v>
      </x:c>
      <x:c r="P2399" s="84" t="str">
        <x:v>POS_2025_12</x:v>
      </x:c>
      <x:c r="Q2399" s="84" t="str">
        <x:v>Wireless Earbuds</x:v>
      </x:c>
      <x:c r="R2399" s="84" t="str">
        <x:v>Electronics</x:v>
      </x:c>
    </x:row>
    <x:row r="2400">
      <x:c r="A2400" s="84" t="str">
        <x:v>ORD-2025-00493</x:v>
      </x:c>
      <x:c r="B2400" s="85" t="n">
        <x:v>46016</x:v>
      </x:c>
      <x:c r="C2400" s="84" t="str">
        <x:v>CUST-0327</x:v>
      </x:c>
      <x:c r="D2400" s="84" t="str">
        <x:v>Samuel Hall</x:v>
      </x:c>
      <x:c r="E2400" s="84" t="str">
        <x:v> CONSUMER </x:v>
      </x:c>
      <x:c r="F2400" s="84" t="str">
        <x:v>West</x:v>
      </x:c>
      <x:c r="G2400" s="84" t="str">
        <x:v>Los Angeles</x:v>
      </x:c>
      <x:c r="H2400" s="84" t="str">
        <x:v>Retail Store </x:v>
      </x:c>
      <x:c r="I2400" s="84" t="str">
        <x:v>ACCS-002</x:v>
      </x:c>
      <x:c r="J2400" s="86" t="n">
        <x:v>3</x:v>
      </x:c>
      <x:c r="K2400" s="87" t="n">
        <x:v>0.15</x:v>
      </x:c>
      <x:c r="L2400" s="84" t="str">
        <x:v>Completed</x:v>
      </x:c>
      <x:c r="M2400" s="84" t="str">
        <x:v>Credit Card</x:v>
      </x:c>
      <x:c r="N2400" s="84" t="str">
        <x:v>Mia Chen</x:v>
      </x:c>
      <x:c r="O2400" s="85" t="n">
        <x:v>46016</x:v>
      </x:c>
      <x:c r="P2400" s="84" t="str">
        <x:v>POS_2025_12</x:v>
      </x:c>
      <x:c r="Q2400" s="84" t="str">
        <x:v>travel backpack</x:v>
      </x:c>
      <x:c r="R2400" s="84" t="str">
        <x:v>Accessories</x:v>
      </x:c>
    </x:row>
    <x:row r="2401">
      <x:c r="A2401" s="84" t="str">
        <x:v>ORD-2025-00871</x:v>
      </x:c>
      <x:c r="B2401" s="85" t="n">
        <x:v>46016</x:v>
      </x:c>
      <x:c r="C2401" s="84" t="str">
        <x:v>CUST-0335</x:v>
      </x:c>
      <x:c r="D2401" s="84" t="str">
        <x:v>Elias Roberts</x:v>
      </x:c>
      <x:c r="E2401" s="84" t="str">
        <x:v>Consumer</x:v>
      </x:c>
      <x:c r="F2401" s="84" t="str">
        <x:v>West</x:v>
      </x:c>
      <x:c r="G2401" s="84" t="str">
        <x:v>Los Angeles</x:v>
      </x:c>
      <x:c r="H2401" s="84" t="str">
        <x:v>Online </x:v>
      </x:c>
      <x:c r="I2401" s="84" t="str">
        <x:v>ACCS-003</x:v>
      </x:c>
      <x:c r="J2401" s="86" t="n">
        <x:v>1</x:v>
      </x:c>
      <x:c r="K2401" s="87" t="n">
        <x:v>0.15</x:v>
      </x:c>
      <x:c r="L2401" s="84" t="str">
        <x:v>Returned</x:v>
      </x:c>
      <x:c r="M2401" s="84" t="str">
        <x:v>PayPal</x:v>
      </x:c>
      <x:c r="N2401" s="84" t="str">
        <x:v>leo martinez</x:v>
      </x:c>
      <x:c r="O2401" s="85" t="n">
        <x:v>46018</x:v>
      </x:c>
      <x:c r="P2401" s="84" t="str">
        <x:v>WEB_2025_12</x:v>
      </x:c>
      <x:c r="Q2401" s="84" t="str">
        <x:v> POLARIZED SUNGLASSES </x:v>
      </x:c>
      <x:c r="R2401" s="84" t="str">
        <x:v>Accessories</x:v>
      </x:c>
    </x:row>
    <x:row r="2402">
      <x:c r="A2402" s="84" t="str">
        <x:v>ORD-2025-02064</x:v>
      </x:c>
      <x:c r="B2402" s="85" t="n">
        <x:v>46016</x:v>
      </x:c>
      <x:c r="C2402" s="84" t="str">
        <x:v>CUST-0006</x:v>
      </x:c>
      <x:c r="D2402" s="84" t="str">
        <x:v>chloe adams</x:v>
      </x:c>
      <x:c r="E2402" s="84" t="str">
        <x:v>Consumer</x:v>
      </x:c>
      <x:c r="F2402" s="84" t="str">
        <x:v>Midwest</x:v>
      </x:c>
      <x:c r="G2402" s="84" t="str">
        <x:v>Columbus</x:v>
      </x:c>
      <x:c r="H2402" s="84" t="str">
        <x:v>Online</x:v>
      </x:c>
      <x:c r="I2402" s="84" t="str">
        <x:v>ELEC-002</x:v>
      </x:c>
      <x:c r="J2402" s="86" t="n">
        <x:v>1</x:v>
      </x:c>
      <x:c r="K2402" s="87" t="n">
        <x:v>0.1</x:v>
      </x:c>
      <x:c r="L2402" s="84" t="str">
        <x:v>Completed </x:v>
      </x:c>
      <x:c r="M2402" s="84" t="str">
        <x:v>Credit Card</x:v>
      </x:c>
      <x:c r="N2402" s="84" t="str">
        <x:v>Emma Hayes</x:v>
      </x:c>
      <x:c r="O2402" s="85" t="n">
        <x:v>46020</x:v>
      </x:c>
      <x:c r="P2402" s="84" t="str">
        <x:v>WEB_2025_12</x:v>
      </x:c>
      <x:c r="Q2402" s="84" t="str">
        <x:v>Smartwatch</x:v>
      </x:c>
      <x:c r="R2402" s="84" t="str">
        <x:v>Electronics</x:v>
      </x:c>
    </x:row>
    <x:row r="2403">
      <x:c r="A2403" s="84" t="str">
        <x:v>ORD-2025-00111</x:v>
      </x:c>
      <x:c r="B2403" s="85" t="n">
        <x:v>46017</x:v>
      </x:c>
      <x:c r="C2403" s="84" t="str">
        <x:v>CUST-0205</x:v>
      </x:c>
      <x:c r="D2403" s="84" t="str">
        <x:v>Elena Young</x:v>
      </x:c>
      <x:c r="E2403" s="84" t="str">
        <x:v>Corporate</x:v>
      </x:c>
      <x:c r="F2403" s="84" t="str">
        <x:v>West</x:v>
      </x:c>
      <x:c r="G2403" s="84" t="str">
        <x:v>Denver</x:v>
      </x:c>
      <x:c r="H2403" s="84" t="str">
        <x:v>Online</x:v>
      </x:c>
      <x:c r="I2403" s="84" t="str">
        <x:v>OFFC-005</x:v>
      </x:c>
      <x:c r="J2403" s="86" t="n">
        <x:v>2</x:v>
      </x:c>
      <x:c r="K2403" s="87" t="n">
        <x:v>0.1</x:v>
      </x:c>
      <x:c r="L2403" s="84" t="str">
        <x:v>Completed </x:v>
      </x:c>
      <x:c r="M2403" s="84" t="str">
        <x:v>Debit Card</x:v>
      </x:c>
      <x:c r="N2403" s="84" t="str">
        <x:v>Mia Chen</x:v>
      </x:c>
      <x:c r="O2403" s="85" t="n">
        <x:v>46023</x:v>
      </x:c>
      <x:c r="P2403" s="84" t="str">
        <x:v>WEB_2025_12</x:v>
      </x:c>
      <x:c r="Q2403" s="84" t="str">
        <x:v>Wireless Keyboard</x:v>
      </x:c>
      <x:c r="R2403" s="84" t="str">
        <x:v>Office</x:v>
      </x:c>
    </x:row>
    <x:row r="2404">
      <x:c r="A2404" s="84" t="str">
        <x:v>ORD-2025-01432</x:v>
      </x:c>
      <x:c r="B2404" s="85" t="n">
        <x:v>46017</x:v>
      </x:c>
      <x:c r="C2404" s="84" t="str">
        <x:v>CUST-0624</x:v>
      </x:c>
      <x:c r="D2404" s="84" t="str">
        <x:v>Nina Irwin</x:v>
      </x:c>
      <x:c r="E2404" s="84" t="str">
        <x:v>Small Business</x:v>
      </x:c>
      <x:c r="F2404" s="84" t="str">
        <x:v>Northeast </x:v>
      </x:c>
      <x:c r="G2404" s="84" t="str">
        <x:v>Philadelphia</x:v>
      </x:c>
      <x:c r="H2404" s="84" t="str">
        <x:v>Online</x:v>
      </x:c>
      <x:c r="I2404" s="84" t="str">
        <x:v>ELEC-005</x:v>
      </x:c>
      <x:c r="J2404" s="86" t="n">
        <x:v>1</x:v>
      </x:c>
      <x:c r="K2404" s="87" t="n">
        <x:v>0.1</x:v>
      </x:c>
      <x:c r="L2404" s="84" t="str">
        <x:v>Completed</x:v>
      </x:c>
      <x:c r="M2404" s="84" t="str">
        <x:v>PayPal</x:v>
      </x:c>
      <x:c r="N2404" s="84" t="str">
        <x:v>ethan cole</x:v>
      </x:c>
      <x:c r="O2404" s="85" t="n">
        <x:v>46021</x:v>
      </x:c>
      <x:c r="P2404" s="84" t="str">
        <x:v>WEB_2025_12</x:v>
      </x:c>
      <x:c r="Q2404" s="84" t="str">
        <x:v> HD WEBCAM </x:v>
      </x:c>
      <x:c r="R2404" s="84" t="str">
        <x:v>Electronics</x:v>
      </x:c>
    </x:row>
    <x:row r="2405">
      <x:c r="A2405" s="84" t="str">
        <x:v>ORD-2025-01229</x:v>
      </x:c>
      <x:c r="B2405" s="85" t="n">
        <x:v>46018</x:v>
      </x:c>
      <x:c r="C2405" s="84" t="str">
        <x:v>CUST-0071</x:v>
      </x:c>
      <x:c r="D2405" s="84" t="str">
        <x:v>Owen Foster</x:v>
      </x:c>
      <x:c r="E2405" s="84" t="str">
        <x:v>Consumer</x:v>
      </x:c>
      <x:c r="F2405" s="84" t="str">
        <x:v>midwest</x:v>
      </x:c>
      <x:c r="G2405" s="84" t="str">
        <x:v>Detroit</x:v>
      </x:c>
      <x:c r="H2405" s="84" t="str">
        <x:v>Retail Store</x:v>
      </x:c>
      <x:c r="I2405" s="84" t="str">
        <x:v>FITN-004</x:v>
      </x:c>
      <x:c r="J2405" s="86" t="n">
        <x:v>1</x:v>
      </x:c>
      <x:c r="K2405" s="87" t="n">
        <x:v>0.15</x:v>
      </x:c>
      <x:c r="L2405" s="84" t="str">
        <x:v> COMPLETED </x:v>
      </x:c>
      <x:c r="M2405" s="84" t="str">
        <x:v>Credit Card</x:v>
      </x:c>
      <x:c r="N2405" s="84" t="str">
        <x:v>Zoe Turner </x:v>
      </x:c>
      <x:c r="O2405" s="85" t="n">
        <x:v>46019</x:v>
      </x:c>
      <x:c r="P2405" s="84" t="str">
        <x:v>POS_2025_12</x:v>
      </x:c>
      <x:c r="Q2405" s="84" t="str">
        <x:v>Fitness Tracker</x:v>
      </x:c>
      <x:c r="R2405" s="84" t="str">
        <x:v>Fitness</x:v>
      </x:c>
    </x:row>
    <x:row r="2406">
      <x:c r="A2406" s="84" t="str">
        <x:v>ORD-2025-00301</x:v>
      </x:c>
      <x:c r="B2406" s="85" t="n">
        <x:v>46019</x:v>
      </x:c>
      <x:c r="C2406" s="84" t="str">
        <x:v>CUST-0249</x:v>
      </x:c>
      <x:c r="D2406" s="84" t="str">
        <x:v>Zara Roberts</x:v>
      </x:c>
      <x:c r="E2406" s="84" t="str">
        <x:v>Corporate </x:v>
      </x:c>
      <x:c r="F2406" s="84" t="str">
        <x:v>Northeast</x:v>
      </x:c>
      <x:c r="G2406" s="84" t="str">
        <x:v>philadelphia</x:v>
      </x:c>
      <x:c r="H2406" s="84" t="str">
        <x:v>Retail Store</x:v>
      </x:c>
      <x:c r="I2406" s="84" t="str">
        <x:v>HOME-003</x:v>
      </x:c>
      <x:c r="J2406" s="86" t="n">
        <x:v>3</x:v>
      </x:c>
      <x:c r="K2406" s="87" t="n">
        <x:v>0.1</x:v>
      </x:c>
      <x:c r="L2406" s="84" t="str">
        <x:v>completed</x:v>
      </x:c>
      <x:c r="M2406" s="84" t="str">
        <x:v>Cash</x:v>
      </x:c>
      <x:c r="N2406" s="84" t="str">
        <x:v>Maya Brooks</x:v>
      </x:c>
      <x:c r="O2406" s="85" t="n">
        <x:v>46019</x:v>
      </x:c>
      <x:c r="P2406" s="84" t="str">
        <x:v>POS_2025_12</x:v>
      </x:c>
      <x:c r="Q2406" s="84" t="str">
        <x:v>Countertop Blender</x:v>
      </x:c>
      <x:c r="R2406" s="84" t="str">
        <x:v>Home &amp; Kitchen</x:v>
      </x:c>
    </x:row>
    <x:row r="2407">
      <x:c r="A2407" s="84" t="str">
        <x:v>ORD-2025-01454</x:v>
      </x:c>
      <x:c r="B2407" s="85" t="n">
        <x:v>46019</x:v>
      </x:c>
      <x:c r="C2407" s="84" t="str">
        <x:v>CUST-0111</x:v>
      </x:c>
      <x:c r="D2407" s="84" t="str">
        <x:v>Elias Evans </x:v>
      </x:c>
      <x:c r="E2407" s="84" t="str">
        <x:v>Small Business</x:v>
      </x:c>
      <x:c r="F2407" s="84" t="str">
        <x:v>Northeast</x:v>
      </x:c>
      <x:c r="G2407" s="84" t="str">
        <x:v>New York</x:v>
      </x:c>
      <x:c r="H2407" s="84" t="str">
        <x:v>Retail Store</x:v>
      </x:c>
      <x:c r="I2407" s="84" t="str">
        <x:v>ELEC-003</x:v>
      </x:c>
      <x:c r="J2407" s="86" t="n">
        <x:v>2</x:v>
      </x:c>
      <x:c r="K2407" s="87" t="n">
        <x:v>0</x:v>
      </x:c>
      <x:c r="L2407" s="84" t="str">
        <x:v>Returned</x:v>
      </x:c>
      <x:c r="M2407" s="84" t="str">
        <x:v>Debit Card </x:v>
      </x:c>
      <x:c r="N2407" s="84" t="str">
        <x:v>sofia bennett</x:v>
      </x:c>
      <x:c r="O2407" s="85" t="n">
        <x:v>46020</x:v>
      </x:c>
      <x:c r="P2407" s="84" t="str">
        <x:v>POS_2025_12</x:v>
      </x:c>
      <x:c r="Q2407" s="84" t="str">
        <x:v>Bluetooth Speaker</x:v>
      </x:c>
      <x:c r="R2407" s="84" t="str">
        <x:v>Electronics</x:v>
      </x:c>
    </x:row>
    <x:row r="2408">
      <x:c r="A2408" s="84" t="str">
        <x:v>ORD-2025-01725</x:v>
      </x:c>
      <x:c r="B2408" s="85" t="n">
        <x:v>46019</x:v>
      </x:c>
      <x:c r="C2408" s="84" t="str">
        <x:v>CUST-0501</x:v>
      </x:c>
      <x:c r="D2408" s="84" t="str">
        <x:v>Priya Garcia</x:v>
      </x:c>
      <x:c r="E2408" s="84" t="str">
        <x:v>Consumer</x:v>
      </x:c>
      <x:c r="F2408" s="84" t="str">
        <x:v>Northeast</x:v>
      </x:c>
      <x:c r="G2408" s="84" t="str">
        <x:v>Boston</x:v>
      </x:c>
      <x:c r="H2408" s="84" t="str">
        <x:v>Marketplace </x:v>
      </x:c>
      <x:c r="I2408" s="84" t="str">
        <x:v>ELEC-006</x:v>
      </x:c>
      <x:c r="J2408" s="86" t="n">
        <x:v>1</x:v>
      </x:c>
      <x:c r="K2408" s="87" t="n">
        <x:v>0.1</x:v>
      </x:c>
      <x:c r="L2408" s="84" t="str">
        <x:v>Completed</x:v>
      </x:c>
      <x:c r="M2408" s="84" t="str">
        <x:v>Credit Card</x:v>
      </x:c>
      <x:c r="N2408" s="84" t="str">
        <x:v>Maya Brooks</x:v>
      </x:c>
      <x:c r="O2408" s="85" t="n">
        <x:v>46025</x:v>
      </x:c>
      <x:c r="P2408" s="84" t="str">
        <x:v>MKT_2025_12</x:v>
      </x:c>
      <x:c r="Q2408" s="84" t="str">
        <x:v>portable ssd</x:v>
      </x:c>
      <x:c r="R2408" s="84" t="str">
        <x:v>Electronics</x:v>
      </x:c>
    </x:row>
    <x:row r="2409">
      <x:c r="A2409" s="84" t="str">
        <x:v>ORD-2025-01975</x:v>
      </x:c>
      <x:c r="B2409" s="85" t="n">
        <x:v>46019</x:v>
      </x:c>
      <x:c r="C2409" s="84" t="str">
        <x:v>CUST-0131</x:v>
      </x:c>
      <x:c r="D2409" s="84" t="str">
        <x:v>Theo Patel</x:v>
      </x:c>
      <x:c r="E2409" s="84" t="str">
        <x:v>Consumer</x:v>
      </x:c>
      <x:c r="F2409" s="84" t="str">
        <x:v>Southeast</x:v>
      </x:c>
      <x:c r="G2409" s="84" t="str">
        <x:v>Nashville</x:v>
      </x:c>
      <x:c r="H2409" s="84" t="str">
        <x:v>Retail Store</x:v>
      </x:c>
      <x:c r="I2409" s="84" t="str">
        <x:v>HOME-002</x:v>
      </x:c>
      <x:c r="J2409" s="86" t="n">
        <x:v>2</x:v>
      </x:c>
      <x:c r="K2409" s="87" t="n">
        <x:v>0.15</x:v>
      </x:c>
      <x:c r="L2409" s="84" t="str">
        <x:v>Completed</x:v>
      </x:c>
      <x:c r="M2409" s="84" t="str">
        <x:v>Mobile Wallet</x:v>
      </x:c>
      <x:c r="N2409" s="84" t="str">
        <x:v> AVA MITCHELL </x:v>
      </x:c>
      <x:c r="O2409" s="85" t="n">
        <x:v>46019</x:v>
      </x:c>
      <x:c r="P2409" s="84" t="str">
        <x:v>POS_2025_12</x:v>
      </x:c>
      <x:c r="Q2409" s="84" t="str">
        <x:v>Electric Kettle </x:v>
      </x:c>
      <x:c r="R2409" s="84" t="str">
        <x:v>Home &amp; Kitchen</x:v>
      </x:c>
    </x:row>
    <x:row r="2410">
      <x:c r="A2410" s="84" t="str">
        <x:v>ORD-2025-02050</x:v>
      </x:c>
      <x:c r="B2410" s="85" t="n">
        <x:v>46019</x:v>
      </x:c>
      <x:c r="C2410" s="84" t="str">
        <x:v>CUST-0142</x:v>
      </x:c>
      <x:c r="D2410" s="84" t="str">
        <x:v>Elena Adams</x:v>
      </x:c>
      <x:c r="E2410" s="84" t="str">
        <x:v>Consumer</x:v>
      </x:c>
      <x:c r="F2410" s="84" t="str">
        <x:v>Midwest</x:v>
      </x:c>
      <x:c r="G2410" s="84" t="str">
        <x:v> CHICAGO </x:v>
      </x:c>
      <x:c r="H2410" s="84" t="str">
        <x:v>Online</x:v>
      </x:c>
      <x:c r="I2410" s="84" t="str">
        <x:v>ELEC-002</x:v>
      </x:c>
      <x:c r="J2410" s="86" t="n">
        <x:v>3</x:v>
      </x:c>
      <x:c r="K2410" s="87" t="n">
        <x:v>0</x:v>
      </x:c>
      <x:c r="L2410" s="84" t="str">
        <x:v>completed</x:v>
      </x:c>
      <x:c r="M2410" s="84" t="str">
        <x:v>Debit Card</x:v>
      </x:c>
      <x:c r="N2410" s="84" t="str">
        <x:v>Emma Hayes</x:v>
      </x:c>
      <x:c r="O2410" s="85" t="n">
        <x:v>46024</x:v>
      </x:c>
      <x:c r="P2410" s="84" t="str">
        <x:v>WEB_2025_12</x:v>
      </x:c>
      <x:c r="Q2410" s="84" t="str">
        <x:v>Smartwatch</x:v>
      </x:c>
      <x:c r="R2410" s="84" t="str">
        <x:v>Electronics</x:v>
      </x:c>
    </x:row>
    <x:row r="2411">
      <x:c r="A2411" s="84" t="str">
        <x:v>ORD-2025-00694</x:v>
      </x:c>
      <x:c r="B2411" s="85" t="n">
        <x:v>46020</x:v>
      </x:c>
      <x:c r="C2411" s="84" t="str">
        <x:v>CUST-0138</x:v>
      </x:c>
      <x:c r="D2411" s="84" t="str">
        <x:v> CHLOE KHAN </x:v>
      </x:c>
      <x:c r="E2411" s="84" t="str">
        <x:v>Corporate</x:v>
      </x:c>
      <x:c r="F2411" s="84" t="str">
        <x:v> WEST </x:v>
      </x:c>
      <x:c r="G2411" s="84" t="str">
        <x:v>Denver</x:v>
      </x:c>
      <x:c r="H2411" s="84" t="str">
        <x:v>Retail Store</x:v>
      </x:c>
      <x:c r="I2411" s="84" t="str">
        <x:v>ACCS-001</x:v>
      </x:c>
      <x:c r="J2411" s="86" t="n">
        <x:v>2</x:v>
      </x:c>
      <x:c r="K2411" s="87" t="n">
        <x:v>0</x:v>
      </x:c>
      <x:c r="L2411" s="84" t="str">
        <x:v>Completed</x:v>
      </x:c>
      <x:c r="M2411" s="84" t="str">
        <x:v>Cash</x:v>
      </x:c>
      <x:c r="N2411" s="84" t="str">
        <x:v>Nora Kim</x:v>
      </x:c>
      <x:c r="O2411" s="85" t="n">
        <x:v>46020</x:v>
      </x:c>
      <x:c r="P2411" s="84" t="str">
        <x:v>POS_2025_12</x:v>
      </x:c>
      <x:c r="Q2411" s="84" t="str">
        <x:v>Canvas Tote Bag </x:v>
      </x:c>
      <x:c r="R2411" s="84" t="str">
        <x:v>Accessories</x:v>
      </x:c>
    </x:row>
    <x:row r="2412">
      <x:c r="A2412" s="84" t="str">
        <x:v>ORD-2025-00945</x:v>
      </x:c>
      <x:c r="B2412" s="85" t="n">
        <x:v>46020</x:v>
      </x:c>
      <x:c r="C2412" s="84" t="str">
        <x:v>CUST-0513</x:v>
      </x:c>
      <x:c r="D2412" s="84" t="str">
        <x:v>Zara Davis</x:v>
      </x:c>
      <x:c r="E2412" s="84" t="str">
        <x:v>Small Business </x:v>
      </x:c>
      <x:c r="F2412" s="84" t="str">
        <x:v>Midwest</x:v>
      </x:c>
      <x:c r="G2412" s="84" t="str">
        <x:v> CHICAGO </x:v>
      </x:c>
      <x:c r="H2412" s="84" t="str">
        <x:v>Retail Store</x:v>
      </x:c>
      <x:c r="I2412" s="84" t="str">
        <x:v>ELEC-005</x:v>
      </x:c>
      <x:c r="J2412" s="86" t="n">
        <x:v>3</x:v>
      </x:c>
      <x:c r="K2412" s="87" t="n">
        <x:v>0.05</x:v>
      </x:c>
      <x:c r="L2412" s="84" t="str">
        <x:v>Completed</x:v>
      </x:c>
      <x:c r="M2412" s="84" t="str">
        <x:v>mobile wallet</x:v>
      </x:c>
      <x:c r="N2412" s="84" t="str">
        <x:v>Zoe Turner</x:v>
      </x:c>
      <x:c r="O2412" s="85" t="n">
        <x:v>46020</x:v>
      </x:c>
      <x:c r="P2412" s="84" t="str">
        <x:v>POS_2025_12</x:v>
      </x:c>
      <x:c r="Q2412" s="84" t="str">
        <x:v>HD Webcam</x:v>
      </x:c>
      <x:c r="R2412" s="84" t="str">
        <x:v>Electronics</x:v>
      </x:c>
    </x:row>
    <x:row r="2413">
      <x:c r="A2413" s="84" t="str">
        <x:v>ORD-2025-01713</x:v>
      </x:c>
      <x:c r="B2413" s="85" t="n">
        <x:v>46020</x:v>
      </x:c>
      <x:c r="C2413" s="84" t="str">
        <x:v>CUST-0162</x:v>
      </x:c>
      <x:c r="D2413" s="84" t="str">
        <x:v>Amelia Young </x:v>
      </x:c>
      <x:c r="E2413" s="84" t="str">
        <x:v>Corporate</x:v>
      </x:c>
      <x:c r="F2413" s="84" t="str">
        <x:v>west</x:v>
      </x:c>
      <x:c r="G2413" s="84" t="str">
        <x:v>Seattle</x:v>
      </x:c>
      <x:c r="H2413" s="84" t="str">
        <x:v>Online</x:v>
      </x:c>
      <x:c r="I2413" s="84" t="str">
        <x:v>ACCS-001</x:v>
      </x:c>
      <x:c r="J2413" s="86" t="n">
        <x:v>4</x:v>
      </x:c>
      <x:c r="K2413" s="87" t="n">
        <x:v>0</x:v>
      </x:c>
      <x:c r="L2413" s="84" t="str">
        <x:v>Completed</x:v>
      </x:c>
      <x:c r="M2413" s="84" t="str">
        <x:v>Credit Card </x:v>
      </x:c>
      <x:c r="N2413" s="84" t="str">
        <x:v>Nora Kim</x:v>
      </x:c>
      <x:c r="O2413" s="85" t="n">
        <x:v>46023</x:v>
      </x:c>
      <x:c r="P2413" s="84" t="str">
        <x:v>WEB_2025_12</x:v>
      </x:c>
      <x:c r="Q2413" s="84" t="str">
        <x:v>Canvas Tote Bag</x:v>
      </x:c>
      <x:c r="R2413" s="84" t="str">
        <x:v>Accessories</x:v>
      </x:c>
    </x:row>
    <x:row r="2414">
      <x:c r="A2414" s="84" t="str">
        <x:v>ORD-2025-01841</x:v>
      </x:c>
      <x:c r="B2414" s="85" t="n">
        <x:v>46020</x:v>
      </x:c>
      <x:c r="C2414" s="84" t="str">
        <x:v>CUST-0631</x:v>
      </x:c>
      <x:c r="D2414" s="84" t="str">
        <x:v>Amelia Adams</x:v>
      </x:c>
      <x:c r="E2414" s="84" t="str">
        <x:v>Consumer </x:v>
      </x:c>
      <x:c r="F2414" s="84" t="str">
        <x:v>Midwest</x:v>
      </x:c>
      <x:c r="G2414" s="84" t="str">
        <x:v>minneapolis</x:v>
      </x:c>
      <x:c r="H2414" s="84" t="str">
        <x:v>Retail Store</x:v>
      </x:c>
      <x:c r="I2414" s="84" t="str">
        <x:v>FITN-005</x:v>
      </x:c>
      <x:c r="J2414" s="86" t="n">
        <x:v>1</x:v>
      </x:c>
      <x:c r="K2414" s="87" t="n">
        <x:v>0.2</x:v>
      </x:c>
      <x:c r="L2414" s="84" t="str">
        <x:v> COMPLETED </x:v>
      </x:c>
      <x:c r="M2414" s="84" t="str">
        <x:v>Cash</x:v>
      </x:c>
      <x:c r="N2414" s="84" t="str">
        <x:v>Zoe Turner</x:v>
      </x:c>
      <x:c r="O2414" s="85" t="n">
        <x:v>46020</x:v>
      </x:c>
      <x:c r="P2414" s="84" t="str">
        <x:v>POS_2025_12</x:v>
      </x:c>
      <x:c r="Q2414" s="84" t="str">
        <x:v>Sports Water Bottle</x:v>
      </x:c>
      <x:c r="R2414" s="84" t="str">
        <x:v>Fitness</x:v>
      </x:c>
    </x:row>
    <x:row r="2415">
      <x:c r="A2415" s="84" t="str">
        <x:v>ORD-2025-00025</x:v>
      </x:c>
      <x:c r="B2415" s="85" t="n">
        <x:v>46021</x:v>
      </x:c>
      <x:c r="C2415" s="84" t="str">
        <x:v>CUST-0446</x:v>
      </x:c>
      <x:c r="D2415" s="84" t="str">
        <x:v>Nathan Davis</x:v>
      </x:c>
      <x:c r="E2415" s="84" t="str">
        <x:v>Consumer</x:v>
      </x:c>
      <x:c r="F2415" s="84" t="str">
        <x:v>Southeast </x:v>
      </x:c>
      <x:c r="G2415" s="84" t="str">
        <x:v>Nashville</x:v>
      </x:c>
      <x:c r="H2415" s="84" t="str">
        <x:v>Online</x:v>
      </x:c>
      <x:c r="I2415" s="84" t="str">
        <x:v>ELEC-004</x:v>
      </x:c>
      <x:c r="J2415" s="86" t="n">
        <x:v>1</x:v>
      </x:c>
      <x:c r="K2415" s="87" t="n">
        <x:v>0</x:v>
      </x:c>
      <x:c r="L2415" s="84" t="str">
        <x:v>Completed</x:v>
      </x:c>
      <x:c r="M2415" s="84" t="str">
        <x:v>Credit Card</x:v>
      </x:c>
      <x:c r="N2415" s="84" t="str">
        <x:v>Ava Mitchell </x:v>
      </x:c>
      <x:c r="O2415" s="85" t="n">
        <x:v>46025</x:v>
      </x:c>
      <x:c r="P2415" s="84" t="str">
        <x:v>WEB_2025_12</x:v>
      </x:c>
      <x:c r="Q2415" s="84" t="str">
        <x:v>Power Bank</x:v>
      </x:c>
      <x:c r="R2415" s="84" t="str">
        <x:v>electronics</x:v>
      </x:c>
    </x:row>
    <x:row r="2416">
      <x:c r="A2416" s="84" t="str">
        <x:v>ORD-2025-00747</x:v>
      </x:c>
      <x:c r="B2416" s="85" t="n">
        <x:v>46021</x:v>
      </x:c>
      <x:c r="C2416" s="84" t="str">
        <x:v>CUST-0065</x:v>
      </x:c>
      <x:c r="D2416" s="84" t="str">
        <x:v>Marcus Young </x:v>
      </x:c>
      <x:c r="E2416" s="84" t="str">
        <x:v>Small Business</x:v>
      </x:c>
      <x:c r="F2416" s="84" t="str">
        <x:v>West</x:v>
      </x:c>
      <x:c r="G2416" s="84" t="str">
        <x:v>Seattle</x:v>
      </x:c>
      <x:c r="H2416" s="84" t="str">
        <x:v>Online</x:v>
      </x:c>
      <x:c r="I2416" s="84" t="str">
        <x:v>ACCS-002</x:v>
      </x:c>
      <x:c r="J2416" s="86" t="n">
        <x:v>1</x:v>
      </x:c>
      <x:c r="K2416" s="87" t="n">
        <x:v>0</x:v>
      </x:c>
      <x:c r="L2416" s="84" t="str">
        <x:v>Returned</x:v>
      </x:c>
      <x:c r="M2416" s="84" t="str">
        <x:v>paypal</x:v>
      </x:c>
      <x:c r="N2416" s="84" t="str">
        <x:v>Leo Martinez</x:v>
      </x:c>
      <x:c r="O2416" s="85" t="n">
        <x:v>46026</x:v>
      </x:c>
      <x:c r="P2416" s="84" t="str">
        <x:v>WEB_2025_12</x:v>
      </x:c>
      <x:c r="Q2416" s="84" t="str">
        <x:v>Travel Backpack</x:v>
      </x:c>
      <x:c r="R2416" s="84" t="str">
        <x:v>Accessories</x:v>
      </x:c>
    </x:row>
    <x:row r="2417">
      <x:c r="A2417" s="84" t="str">
        <x:v>ORD-2025-01110</x:v>
      </x:c>
      <x:c r="B2417" s="85" t="n">
        <x:v>46021</x:v>
      </x:c>
      <x:c r="C2417" s="84" t="str">
        <x:v>CUST-0420</x:v>
      </x:c>
      <x:c r="D2417" s="84" t="str">
        <x:v>William Evans</x:v>
      </x:c>
      <x:c r="E2417" s="84" t="str">
        <x:v>Small Business</x:v>
      </x:c>
      <x:c r="F2417" s="84" t="str">
        <x:v>Southeast </x:v>
      </x:c>
      <x:c r="G2417" s="84" t="str">
        <x:v>Atlanta</x:v>
      </x:c>
      <x:c r="H2417" s="84" t="str">
        <x:v>Retail Store</x:v>
      </x:c>
      <x:c r="I2417" s="84" t="str">
        <x:v>CARE-005</x:v>
      </x:c>
      <x:c r="J2417" s="86" t="n">
        <x:v>1</x:v>
      </x:c>
      <x:c r="K2417" s="87" t="n">
        <x:v>0.15</x:v>
      </x:c>
      <x:c r="L2417" s="84" t="str">
        <x:v> COMPLETED </x:v>
      </x:c>
      <x:c r="M2417" s="84" t="str">
        <x:v>debit card</x:v>
      </x:c>
      <x:c r="N2417" s="84" t="str">
        <x:v>Noah Reed </x:v>
      </x:c>
      <x:c r="O2417" s="85" t="n">
        <x:v>46021</x:v>
      </x:c>
      <x:c r="P2417" s="84" t="str">
        <x:v>POS_2025_12</x:v>
      </x:c>
      <x:c r="Q2417" s="84" t="str">
        <x:v>Skin Care Starter Kit</x:v>
      </x:c>
      <x:c r="R2417" s="84" t="str">
        <x:v>Personal Care</x:v>
      </x:c>
    </x:row>
    <x:row r="2418">
      <x:c r="A2418" s="84" t="str">
        <x:v>ORD-2025-01213</x:v>
      </x:c>
      <x:c r="B2418" s="85" t="n">
        <x:v>46021</x:v>
      </x:c>
      <x:c r="C2418" s="84" t="str">
        <x:v>CUST-0245</x:v>
      </x:c>
      <x:c r="D2418" s="84" t="str">
        <x:v>Victoria Carter</x:v>
      </x:c>
      <x:c r="E2418" s="84" t="str">
        <x:v>Consumer</x:v>
      </x:c>
      <x:c r="F2418" s="84" t="str">
        <x:v>West</x:v>
      </x:c>
      <x:c r="G2418" s="84" t="str">
        <x:v>Los Angeles</x:v>
      </x:c>
      <x:c r="H2418" s="84" t="str">
        <x:v> MARKETPLACE </x:v>
      </x:c>
      <x:c r="I2418" s="84" t="str">
        <x:v>ELEC-003</x:v>
      </x:c>
      <x:c r="J2418" s="86" t="n">
        <x:v>2</x:v>
      </x:c>
      <x:c r="K2418" s="87" t="n">
        <x:v>0.15</x:v>
      </x:c>
      <x:c r="L2418" s="84" t="str">
        <x:v>Completed</x:v>
      </x:c>
      <x:c r="M2418" s="84" t="str">
        <x:v>Debit Card</x:v>
      </x:c>
      <x:c r="N2418" s="84" t="str">
        <x:v>Mia Chen</x:v>
      </x:c>
      <x:c r="O2418" s="85" t="n">
        <x:v>46028</x:v>
      </x:c>
      <x:c r="P2418" s="84" t="str">
        <x:v>MKT_2025_12</x:v>
      </x:c>
      <x:c r="Q2418" s="84" t="str">
        <x:v>Bluetooth Speaker</x:v>
      </x:c>
      <x:c r="R2418" s="84" t="str">
        <x:v>electronics</x:v>
      </x:c>
    </x:row>
    <x:row r="2419">
      <x:c r="A2419" s="84" t="str">
        <x:v>ORD-2025-01467</x:v>
      </x:c>
      <x:c r="B2419" s="85" t="n">
        <x:v>46021</x:v>
      </x:c>
      <x:c r="C2419" s="84" t="str">
        <x:v>CUST-0083</x:v>
      </x:c>
      <x:c r="D2419" s="84" t="str">
        <x:v>Theo Davis</x:v>
      </x:c>
      <x:c r="E2419" s="84" t="str">
        <x:v>Consumer</x:v>
      </x:c>
      <x:c r="F2419" s="84" t="str">
        <x:v>West </x:v>
      </x:c>
      <x:c r="G2419" s="84" t="str">
        <x:v>phoenix</x:v>
      </x:c>
      <x:c r="H2419" s="84" t="str">
        <x:v>Online</x:v>
      </x:c>
      <x:c r="I2419" s="84" t="str">
        <x:v>HOME-005</x:v>
      </x:c>
      <x:c r="J2419" s="86" t="n">
        <x:v>1</x:v>
      </x:c>
      <x:c r="K2419" s="87" t="n">
        <x:v>0.1</x:v>
      </x:c>
      <x:c r="L2419" s="84" t="str">
        <x:v> COMPLETED </x:v>
      </x:c>
      <x:c r="M2419" s="84" t="str">
        <x:v>Debit Card</x:v>
      </x:c>
      <x:c r="N2419" s="84" t="str">
        <x:v>Nora Kim </x:v>
      </x:c>
      <x:c r="O2419" s="85" t="n">
        <x:v>46024</x:v>
      </x:c>
      <x:c r="P2419" s="84" t="str">
        <x:v>WEB_2025_12</x:v>
      </x:c>
      <x:c r="Q2419" s="84" t="str">
        <x:v>Cordless Vacuum</x:v>
      </x:c>
      <x:c r="R2419" s="84" t="str">
        <x:v>Home &amp; Kitchen</x:v>
      </x:c>
    </x:row>
    <x:row r="2420">
      <x:c r="A2420" s="84" t="str">
        <x:v>ORD-2025-01752</x:v>
      </x:c>
      <x:c r="B2420" s="85" t="n">
        <x:v>46021</x:v>
      </x:c>
      <x:c r="C2420" s="84" t="str">
        <x:v>CUST-0493</x:v>
      </x:c>
      <x:c r="D2420" s="84" t="str">
        <x:v>Nina Evans</x:v>
      </x:c>
      <x:c r="E2420" s="84" t="str">
        <x:v>Corporate</x:v>
      </x:c>
      <x:c r="F2420" s="84" t="str">
        <x:v>West</x:v>
      </x:c>
      <x:c r="G2420" s="84" t="str">
        <x:v>Denver</x:v>
      </x:c>
      <x:c r="H2420" s="84" t="str">
        <x:v>Retail Store</x:v>
      </x:c>
      <x:c r="I2420" s="84" t="str">
        <x:v>CARE-003</x:v>
      </x:c>
      <x:c r="J2420" s="86" t="n">
        <x:v>2</x:v>
      </x:c>
      <x:c r="K2420" s="87" t="n">
        <x:v>0</x:v>
      </x:c>
      <x:c r="L2420" s="84" t="str">
        <x:v>Completed</x:v>
      </x:c>
      <x:c r="M2420" s="84" t="str">
        <x:v>Credit Card</x:v>
      </x:c>
      <x:c r="N2420" s="84" t="str">
        <x:v>Leo Martinez</x:v>
      </x:c>
      <x:c r="O2420" s="85" t="n">
        <x:v>46021</x:v>
      </x:c>
      <x:c r="P2420" s="84" t="str">
        <x:v>POS_2025_12</x:v>
      </x:c>
      <x:c r="Q2420" s="84" t="str">
        <x:v>Facial Cleanser</x:v>
      </x:c>
      <x:c r="R2420" s="84" t="str">
        <x:v>personal care</x:v>
      </x:c>
    </x:row>
    <x:row r="2421">
      <x:c r="A2421" s="84" t="str">
        <x:v>ORD-2025-01935</x:v>
      </x:c>
      <x:c r="B2421" s="85" t="n">
        <x:v>46021</x:v>
      </x:c>
      <x:c r="C2421" s="84" t="str">
        <x:v>CUST-0441</x:v>
      </x:c>
      <x:c r="D2421" s="84" t="str">
        <x:v> MAYA ROBERTS </x:v>
      </x:c>
      <x:c r="E2421" s="84" t="str">
        <x:v>Consumer</x:v>
      </x:c>
      <x:c r="F2421" s="84" t="str">
        <x:v> SOUTHEAST </x:v>
      </x:c>
      <x:c r="G2421" s="84" t="str">
        <x:v>Atlanta</x:v>
      </x:c>
      <x:c r="H2421" s="84" t="str">
        <x:v>Retail Store </x:v>
      </x:c>
      <x:c r="I2421" s="84" t="str">
        <x:v>CARE-005</x:v>
      </x:c>
      <x:c r="J2421" s="86" t="n">
        <x:v>1</x:v>
      </x:c>
      <x:c r="K2421" s="87" t="n">
        <x:v>0</x:v>
      </x:c>
      <x:c r="L2421" s="84" t="str">
        <x:v>Completed</x:v>
      </x:c>
      <x:c r="M2421" s="84" t="str">
        <x:v>debit card</x:v>
      </x:c>
      <x:c r="N2421" s="84" t="str">
        <x:v>Liam Parker</x:v>
      </x:c>
      <x:c r="O2421" s="85" t="n">
        <x:v>46022</x:v>
      </x:c>
      <x:c r="P2421" s="84" t="str">
        <x:v>POS_2025_12</x:v>
      </x:c>
      <x:c r="Q2421" s="84" t="str">
        <x:v>Skin Care Starter Kit</x:v>
      </x:c>
      <x:c r="R2421" s="84" t="str">
        <x:v>Personal Care</x:v>
      </x:c>
    </x:row>
    <x:row r="2422">
      <x:c r="A2422" s="84" t="str">
        <x:v>ORD-2025-01951</x:v>
      </x:c>
      <x:c r="B2422" s="85" t="n">
        <x:v>46021</x:v>
      </x:c>
      <x:c r="C2422" s="84" t="str">
        <x:v>CUST-0263</x:v>
      </x:c>
      <x:c r="D2422" s="84" t="str">
        <x:v>Theo Smith </x:v>
      </x:c>
      <x:c r="E2422" s="84" t="str">
        <x:v>Consumer</x:v>
      </x:c>
      <x:c r="F2422" s="84" t="str">
        <x:v>West</x:v>
      </x:c>
      <x:c r="G2422" s="84" t="str">
        <x:v>seattle</x:v>
      </x:c>
      <x:c r="H2422" s="84" t="str">
        <x:v>Online</x:v>
      </x:c>
      <x:c r="I2422" s="84" t="str">
        <x:v>ELEC-004</x:v>
      </x:c>
      <x:c r="J2422" s="86" t="n">
        <x:v>4</x:v>
      </x:c>
      <x:c r="K2422" s="87" t="n">
        <x:v>0.15</x:v>
      </x:c>
      <x:c r="L2422" s="84" t="str">
        <x:v>completed</x:v>
      </x:c>
      <x:c r="M2422" s="84" t="str">
        <x:v>Credit Card </x:v>
      </x:c>
      <x:c r="N2422" s="84" t="str">
        <x:v>Nora Kim</x:v>
      </x:c>
      <x:c r="O2422" s="85" t="n">
        <x:v>46024</x:v>
      </x:c>
      <x:c r="P2422" s="84" t="str">
        <x:v>WEB_2025_12</x:v>
      </x:c>
      <x:c r="Q2422" s="84" t="str">
        <x:v>Power Bank</x:v>
      </x:c>
      <x:c r="R2422" s="84" t="str">
        <x:v>Electronics</x:v>
      </x:c>
    </x:row>
    <x:row r="2423">
      <x:c r="A2423" s="84" t="str">
        <x:v>ORD-2025-02318</x:v>
      </x:c>
      <x:c r="B2423" s="85" t="n">
        <x:v>46021</x:v>
      </x:c>
      <x:c r="C2423" s="84" t="str">
        <x:v>CUST-0467</x:v>
      </x:c>
      <x:c r="D2423" s="84" t="str">
        <x:v>Owen Khan</x:v>
      </x:c>
      <x:c r="E2423" s="84" t="str"/>
      <x:c r="F2423" s="84" t="str">
        <x:v>northeast</x:v>
      </x:c>
      <x:c r="G2423" s="84" t="str">
        <x:v>New York</x:v>
      </x:c>
      <x:c r="H2423" s="84" t="str">
        <x:v> ONLINE </x:v>
      </x:c>
      <x:c r="I2423" s="84" t="str">
        <x:v>ACCS-006</x:v>
      </x:c>
      <x:c r="J2423" s="86" t="n">
        <x:v>2</x:v>
      </x:c>
      <x:c r="K2423" s="87" t="n">
        <x:v>0</x:v>
      </x:c>
      <x:c r="L2423" s="84" t="str">
        <x:v>Completed</x:v>
      </x:c>
      <x:c r="M2423" s="84" t="str">
        <x:v>Mobile Wallet</x:v>
      </x:c>
      <x:c r="N2423" s="84" t="str">
        <x:v>Maya Brooks</x:v>
      </x:c>
      <x:c r="O2423" s="85" t="n">
        <x:v>46026</x:v>
      </x:c>
      <x:c r="P2423" s="84" t="str">
        <x:v>WEB_2025_12</x:v>
      </x:c>
      <x:c r="Q2423" s="84" t="str">
        <x:v>Insulated Lunch Bag </x:v>
      </x:c>
      <x:c r="R2423" s="84" t="str">
        <x:v>Accessories</x:v>
      </x:c>
    </x:row>
    <x:row r="2424">
      <x:c r="A2424" s="84" t="str">
        <x:v>ORD-2025-02377</x:v>
      </x:c>
      <x:c r="B2424" s="85" t="n">
        <x:v>46021</x:v>
      </x:c>
      <x:c r="C2424" s="84" t="str">
        <x:v>CUST-0078</x:v>
      </x:c>
      <x:c r="D2424" s="84" t="str">
        <x:v> GRACE CARTER </x:v>
      </x:c>
      <x:c r="E2424" s="84" t="str">
        <x:v>Small Business</x:v>
      </x:c>
      <x:c r="F2424" s="84" t="str">
        <x:v> SOUTHEAST </x:v>
      </x:c>
      <x:c r="G2424" s="84" t="str">
        <x:v>Atlanta</x:v>
      </x:c>
      <x:c r="H2424" s="84" t="str">
        <x:v>Online</x:v>
      </x:c>
      <x:c r="I2424" s="84" t="str">
        <x:v>ELEC-005</x:v>
      </x:c>
      <x:c r="J2424" s="86" t="n">
        <x:v>1</x:v>
      </x:c>
      <x:c r="K2424" s="87" t="n">
        <x:v>0.1</x:v>
      </x:c>
      <x:c r="L2424" s="84" t="str">
        <x:v>Completed</x:v>
      </x:c>
      <x:c r="M2424" s="84" t="str">
        <x:v>Credit Card</x:v>
      </x:c>
      <x:c r="N2424" s="84" t="str">
        <x:v>Ava Mitchell </x:v>
      </x:c>
      <x:c r="O2424" s="85" t="n">
        <x:v>46024</x:v>
      </x:c>
      <x:c r="P2424" s="84" t="str">
        <x:v>WEB_2025_12</x:v>
      </x:c>
      <x:c r="Q2424" s="84" t="str">
        <x:v>HD Webcam</x:v>
      </x:c>
      <x:c r="R2424" s="84" t="str">
        <x:v>Electronics</x:v>
      </x:c>
    </x:row>
    <x:row r="2425">
      <x:c r="A2425" s="84" t="str">
        <x:v>ORD-2025-00013</x:v>
      </x:c>
      <x:c r="B2425" s="85" t="n">
        <x:v>46022</x:v>
      </x:c>
      <x:c r="C2425" s="84" t="str">
        <x:v>CUST-0423</x:v>
      </x:c>
      <x:c r="D2425" s="84" t="str">
        <x:v>Marcus Smith</x:v>
      </x:c>
      <x:c r="E2425" s="84" t="str">
        <x:v>Small Business</x:v>
      </x:c>
      <x:c r="F2425" s="84" t="str">
        <x:v>Northeast</x:v>
      </x:c>
      <x:c r="G2425" s="84" t="str">
        <x:v>Philadelphia</x:v>
      </x:c>
      <x:c r="H2425" s="84" t="str">
        <x:v>Retail Store</x:v>
      </x:c>
      <x:c r="I2425" s="84" t="str">
        <x:v>FITN-001</x:v>
      </x:c>
      <x:c r="J2425" s="86" t="n">
        <x:v>1</x:v>
      </x:c>
      <x:c r="K2425" s="87" t="n">
        <x:v>0.2</x:v>
      </x:c>
      <x:c r="L2425" s="84" t="str">
        <x:v>Completed </x:v>
      </x:c>
      <x:c r="M2425" s="84" t="str">
        <x:v>Debit Card</x:v>
      </x:c>
      <x:c r="N2425" s="84" t="str">
        <x:v>ethan cole</x:v>
      </x:c>
      <x:c r="O2425" s="85" t="n">
        <x:v>46023</x:v>
      </x:c>
      <x:c r="P2425" s="84" t="str">
        <x:v>POS_2025_12</x:v>
      </x:c>
      <x:c r="Q2425" s="84" t="str">
        <x:v>Yoga Mat</x:v>
      </x:c>
      <x:c r="R2425" s="84" t="str">
        <x:v>Fitness</x:v>
      </x:c>
    </x:row>
    <x:row r="2426">
      <x:c r="A2426" s="84" t="str">
        <x:v>ORD-2025-00403</x:v>
      </x:c>
      <x:c r="B2426" s="85" t="n">
        <x:v>46022</x:v>
      </x:c>
      <x:c r="C2426" s="84" t="str">
        <x:v>CUST-0496</x:v>
      </x:c>
      <x:c r="D2426" s="84" t="str">
        <x:v>elias khan</x:v>
      </x:c>
      <x:c r="E2426" s="84" t="str">
        <x:v>Consumer</x:v>
      </x:c>
      <x:c r="F2426" s="84" t="str">
        <x:v>West </x:v>
      </x:c>
      <x:c r="G2426" s="84" t="str">
        <x:v>Phoenix</x:v>
      </x:c>
      <x:c r="H2426" s="84" t="str">
        <x:v>Online</x:v>
      </x:c>
      <x:c r="I2426" s="84" t="str">
        <x:v>HOME-003</x:v>
      </x:c>
      <x:c r="J2426" s="86" t="n">
        <x:v>2</x:v>
      </x:c>
      <x:c r="K2426" s="87" t="n">
        <x:v>0.05</x:v>
      </x:c>
      <x:c r="L2426" s="84" t="str">
        <x:v>Completed</x:v>
      </x:c>
      <x:c r="M2426" s="84" t="str">
        <x:v>PayPal</x:v>
      </x:c>
      <x:c r="N2426" s="84" t="str">
        <x:v>Nora Kim </x:v>
      </x:c>
      <x:c r="O2426" s="85" t="n">
        <x:v>46027</x:v>
      </x:c>
      <x:c r="P2426" s="84" t="str">
        <x:v>WEB_2025_12</x:v>
      </x:c>
      <x:c r="Q2426" s="84" t="str">
        <x:v>Countertop Blender</x:v>
      </x:c>
      <x:c r="R2426" s="84" t="str">
        <x:v>Home &amp; Kitchen</x:v>
      </x:c>
    </x:row>
    <x:row r="2427">
      <x:c r="A2427" s="84" t="str">
        <x:v>ORD-2025-00643</x:v>
      </x:c>
      <x:c r="B2427" s="85" t="n">
        <x:v>46022</x:v>
      </x:c>
      <x:c r="C2427" s="84" t="str">
        <x:v>CUST-0023</x:v>
      </x:c>
      <x:c r="D2427" s="84" t="str">
        <x:v> LAYLA NELSON </x:v>
      </x:c>
      <x:c r="E2427" s="84" t="str">
        <x:v>Consumer</x:v>
      </x:c>
      <x:c r="F2427" s="84" t="str">
        <x:v> NORTHEAST </x:v>
      </x:c>
      <x:c r="G2427" s="84" t="str">
        <x:v>New York</x:v>
      </x:c>
      <x:c r="H2427" s="84" t="str">
        <x:v>Online</x:v>
      </x:c>
      <x:c r="I2427" s="84" t="str">
        <x:v>ELEC-005</x:v>
      </x:c>
      <x:c r="J2427" s="86" t="n">
        <x:v>2</x:v>
      </x:c>
      <x:c r="K2427" s="87" t="n">
        <x:v>0.15</x:v>
      </x:c>
      <x:c r="L2427" s="84" t="str">
        <x:v>Completed </x:v>
      </x:c>
      <x:c r="M2427" s="84" t="str">
        <x:v>Credit Card</x:v>
      </x:c>
      <x:c r="N2427" s="84" t="str">
        <x:v>Sofia Bennett</x:v>
      </x:c>
      <x:c r="O2427" s="85" t="n">
        <x:v>46027</x:v>
      </x:c>
      <x:c r="P2427" s="84" t="str">
        <x:v>WEB_2025_12</x:v>
      </x:c>
      <x:c r="Q2427" s="84" t="str">
        <x:v>HD Webcam</x:v>
      </x:c>
      <x:c r="R2427" s="84" t="str">
        <x:v>Electronics</x:v>
      </x:c>
    </x:row>
    <x:row r="2428">
      <x:c r="A2428" s="84" t="str">
        <x:v>ORD-2025-01402</x:v>
      </x:c>
      <x:c r="B2428" s="85" t="n">
        <x:v>46022</x:v>
      </x:c>
      <x:c r="C2428" s="84" t="str">
        <x:v>CUST-0365</x:v>
      </x:c>
      <x:c r="D2428" s="84" t="str">
        <x:v>Grace Johnson</x:v>
      </x:c>
      <x:c r="E2428" s="84" t="str">
        <x:v>Consumer</x:v>
      </x:c>
      <x:c r="F2428" s="84" t="str">
        <x:v>West</x:v>
      </x:c>
      <x:c r="G2428" s="84" t="str">
        <x:v>Los Angeles</x:v>
      </x:c>
      <x:c r="H2428" s="84" t="str">
        <x:v>Marketplace</x:v>
      </x:c>
      <x:c r="I2428" s="84" t="str">
        <x:v>HOME-001</x:v>
      </x:c>
      <x:c r="J2428" s="86" t="n">
        <x:v>2</x:v>
      </x:c>
      <x:c r="K2428" s="87" t="n">
        <x:v>0.15</x:v>
      </x:c>
      <x:c r="L2428" s="84" t="str">
        <x:v>Completed</x:v>
      </x:c>
      <x:c r="M2428" s="84" t="str">
        <x:v>PayPal</x:v>
      </x:c>
      <x:c r="N2428" s="84" t="str">
        <x:v>Mia Chen</x:v>
      </x:c>
      <x:c r="O2428" s="85" t="n">
        <x:v>46029</x:v>
      </x:c>
      <x:c r="P2428" s="84" t="str">
        <x:v>MKT_2025_12</x:v>
      </x:c>
      <x:c r="Q2428" s="84" t="str">
        <x:v>Air Fryer</x:v>
      </x:c>
      <x:c r="R2428" s="84" t="str">
        <x:v>Home &amp; Kitchen 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240f8a6421584cf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4" hidden="0" customWidth="1"/>
    <x:col min="7" max="7" width="20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</x:cols>
  <x:sheetData>
    <x:row r="1" ht="32" customHeight="1">
      <x:c r="A1" s="4" t="str">
        <x:v>Clean Sales — Analysis-Ready Dataset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</x:row>
    <x:row r="2" ht="26" customHeight="1">
      <x:c r="A2" s="8" t="str">
        <x:v>All transformations and business calculations are formula-driven from Raw Sales and Reference Data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  <x:c r="AC2" s="8"/>
      <x:c r="AD2" s="8"/>
      <x:c r="AE2" s="8"/>
      <x:c r="AF2" s="8"/>
      <x:c r="AG2" s="8"/>
      <x:c r="AH2" s="8"/>
      <x:c r="AI2" s="8"/>
    </x:row>
    <x:row r="4" ht="30" customHeight="1">
      <x:c r="A4" s="69" t="str">
        <x:v>Order_ID</x:v>
      </x:c>
      <x:c r="B4" s="70" t="str">
        <x:v>Order_Date</x:v>
      </x:c>
      <x:c r="C4" s="70" t="str">
        <x:v>Year</x:v>
      </x:c>
      <x:c r="D4" s="70" t="str">
        <x:v>Month_Start</x:v>
      </x:c>
      <x:c r="E4" s="70" t="str">
        <x:v>Month</x:v>
      </x:c>
      <x:c r="F4" s="70" t="str">
        <x:v>Customer_ID</x:v>
      </x:c>
      <x:c r="G4" s="70" t="str">
        <x:v>Customer_Name</x:v>
      </x:c>
      <x:c r="H4" s="70" t="str">
        <x:v>Customer_Segment</x:v>
      </x:c>
      <x:c r="I4" s="70" t="str">
        <x:v>Region</x:v>
      </x:c>
      <x:c r="J4" s="70" t="str">
        <x:v>City</x:v>
      </x:c>
      <x:c r="K4" s="70" t="str">
        <x:v>Channel</x:v>
      </x:c>
      <x:c r="L4" s="70" t="str">
        <x:v>Product_ID</x:v>
      </x:c>
      <x:c r="M4" s="70" t="str">
        <x:v>Product_Name</x:v>
      </x:c>
      <x:c r="N4" s="70" t="str">
        <x:v>Category</x:v>
      </x:c>
      <x:c r="O4" s="70" t="str">
        <x:v>Subcategory</x:v>
      </x:c>
      <x:c r="P4" s="70" t="str">
        <x:v>Unit_Price</x:v>
      </x:c>
      <x:c r="Q4" s="70" t="str">
        <x:v>Unit_Cost</x:v>
      </x:c>
      <x:c r="R4" s="70" t="str">
        <x:v>Quantity</x:v>
      </x:c>
      <x:c r="S4" s="70" t="str">
        <x:v>Discount_Rate</x:v>
      </x:c>
      <x:c r="T4" s="70" t="str">
        <x:v>Gross_Sales</x:v>
      </x:c>
      <x:c r="U4" s="70" t="str">
        <x:v>Discount_Amount</x:v>
      </x:c>
      <x:c r="V4" s="70" t="str">
        <x:v>Return_Status</x:v>
      </x:c>
      <x:c r="W4" s="70" t="str">
        <x:v>Net_Revenue</x:v>
      </x:c>
      <x:c r="X4" s="70" t="str">
        <x:v>COGS</x:v>
      </x:c>
      <x:c r="Y4" s="70" t="str">
        <x:v>Profit</x:v>
      </x:c>
      <x:c r="Z4" s="70" t="str">
        <x:v>Profit_Margin</x:v>
      </x:c>
      <x:c r="AA4" s="70" t="str">
        <x:v>Payment_Method</x:v>
      </x:c>
      <x:c r="AB4" s="70" t="str">
        <x:v>Sales_Rep</x:v>
      </x:c>
      <x:c r="AC4" s="70" t="str">
        <x:v>Ship_Date</x:v>
      </x:c>
      <x:c r="AD4" s="70" t="str">
        <x:v>Fulfillment_Days</x:v>
      </x:c>
      <x:c r="AE4" s="70" t="str">
        <x:v>Duplicate_Flag</x:v>
      </x:c>
      <x:c r="AF4" s="70" t="str">
        <x:v>Quality_Flag</x:v>
      </x:c>
      <x:c r="AG4" s="70" t="str">
        <x:v>Analysis_Flag</x:v>
      </x:c>
      <x:c r="AH4" s="70" t="str">
        <x:v>Filter_Flag</x:v>
      </x:c>
      <x:c r="AI4" s="71" t="str">
        <x:v>Filter_No_Year</x:v>
      </x:c>
    </x:row>
    <x:row r="5">
      <x:c r="A5" s="84" t="str">
        <x:f>'Raw Sales'!A5</x:f>
        <x:v>ORD-2024-01224</x:v>
      </x:c>
      <x:c r="B5" s="85" t="n">
        <x:f>'Raw Sales'!B5</x:f>
        <x:v>45292</x:v>
      </x:c>
      <x:c r="C5" s="84" t="n">
        <x:f>YEAR(B5)</x:f>
        <x:v>2024</x:v>
      </x:c>
      <x:c r="D5" s="91" t="n">
        <x:f>DATE(YEAR(B5),MONTH(B5),1)</x:f>
        <x:v>45292</x:v>
      </x:c>
      <x:c r="E5" s="84" t="str">
        <x:f>TEXT(B5,"mmm")</x:f>
        <x:v>Jan</x:v>
      </x:c>
      <x:c r="F5" s="84" t="str">
        <x:f>'Raw Sales'!C5</x:f>
        <x:v>CUST-0625</x:v>
      </x:c>
      <x:c r="G5" s="84" t="str">
        <x:f>PROPER(TRIM('Raw Sales'!D5))</x:f>
        <x:v>Daniel Patel</x:v>
      </x:c>
      <x:c r="H5" s="84" t="str">
        <x:f>IF(TRIM('Raw Sales'!E5)="","Unknown",PROPER(TRIM('Raw Sales'!E5)))</x:f>
        <x:v>Small Business</x:v>
      </x:c>
      <x:c r="I5" s="84" t="str">
        <x:f>PROPER(TRIM('Raw Sales'!F5))</x:f>
        <x:v>West</x:v>
      </x:c>
      <x:c r="J5" s="84" t="str">
        <x:f>PROPER(TRIM('Raw Sales'!G5))</x:f>
        <x:v>Phoenix</x:v>
      </x:c>
      <x:c r="K5" s="84" t="str">
        <x:f>PROPER(TRIM('Raw Sales'!H5))</x:f>
        <x:v>Retail Store</x:v>
      </x:c>
      <x:c r="L5" s="84" t="str">
        <x:f>'Raw Sales'!I5</x:f>
        <x:v>FITN-004</x:v>
      </x:c>
      <x:c r="M5" s="84" t="str">
        <x:f>IFERROR(VLOOKUP(L5,'Reference Data'!$A$5:$F$40,2,FALSE),"Unknown Product")</x:f>
        <x:v>Fitness Tracker</x:v>
      </x:c>
      <x:c r="N5" s="84" t="str">
        <x:f>IFERROR(VLOOKUP(L5,'Reference Data'!$A$5:$F$40,3,FALSE),"Unknown")</x:f>
        <x:v>Fitness</x:v>
      </x:c>
      <x:c r="O5" s="84" t="str">
        <x:f>IFERROR(VLOOKUP(L5,'Reference Data'!$A$5:$F$40,4,FALSE),"Unknown")</x:f>
        <x:v>Wearables</x:v>
      </x:c>
      <x:c r="P5" s="92" t="n">
        <x:f>IFERROR(VLOOKUP(L5,'Reference Data'!$A$5:$F$40,5,FALSE),0)</x:f>
        <x:v>89</x:v>
      </x:c>
      <x:c r="Q5" s="92" t="n">
        <x:f>IFERROR(VLOOKUP(L5,'Reference Data'!$A$5:$F$40,6,FALSE),0)</x:f>
        <x:v>44</x:v>
      </x:c>
      <x:c r="R5" s="84" t="n">
        <x:f>'Raw Sales'!J5</x:f>
        <x:v>1</x:v>
      </x:c>
      <x:c r="S5" s="87" t="n">
        <x:f>'Raw Sales'!K5</x:f>
        <x:v>0.05</x:v>
      </x:c>
      <x:c r="T5" s="93" t="n">
        <x:f>P5*R5</x:f>
        <x:v>89</x:v>
      </x:c>
      <x:c r="U5" s="93" t="n">
        <x:f>T5*S5</x:f>
        <x:v>4.45</x:v>
      </x:c>
      <x:c r="V5" s="93" t="str">
        <x:f>PROPER(TRIM('Raw Sales'!L5))</x:f>
        <x:v>Completed</x:v>
      </x:c>
      <x:c r="W5" s="93" t="n">
        <x:f>IF(V5="Returned",0,T5-U5)</x:f>
        <x:v>84.55</x:v>
      </x:c>
      <x:c r="X5" s="93" t="n">
        <x:f>IF(V5="Returned",Q5*R5*10%,Q5*R5)</x:f>
        <x:v>44</x:v>
      </x:c>
      <x:c r="Y5" s="93" t="n">
        <x:f>W5-X5</x:f>
        <x:v>40.55</x:v>
      </x:c>
      <x:c r="Z5" s="94" t="n">
        <x:f>IFERROR(Y5/W5,0)</x:f>
        <x:v>0.47959787108219987</x:v>
      </x:c>
      <x:c r="AA5" s="84" t="str">
        <x:f>PROPER(TRIM('Raw Sales'!M5))</x:f>
        <x:v>Credit Card</x:v>
      </x:c>
      <x:c r="AB5" s="84" t="str">
        <x:f>PROPER(TRIM('Raw Sales'!N5))</x:f>
        <x:v>Nora Kim</x:v>
      </x:c>
      <x:c r="AC5" s="85" t="n">
        <x:f>'Raw Sales'!O5</x:f>
        <x:v>45292</x:v>
      </x:c>
      <x:c r="AD5" s="84" t="n">
        <x:f>AC5-B5</x:f>
        <x:v>0</x:v>
      </x:c>
      <x:c r="AE5" s="84" t="str">
        <x:f>IF(COUNTIF($A$5:A5,A5)&gt;1,"Duplicate","Keep")</x:f>
        <x:v>Keep</x:v>
      </x:c>
      <x:c r="AF5" s="84" t="str">
        <x:f>IF(OR(R5&lt;=0,AC5&lt;B5,H5="Unknown",M5="Unknown Product"),"Review","Valid")</x:f>
        <x:v>Valid</x:v>
      </x:c>
      <x:c r="AG5" s="84" t="n">
        <x:f>IF(AND(AE5="Keep",AF5="Valid"),1,0)</x:f>
        <x:v>1</x:v>
      </x:c>
      <x:c r="AH5" s="84" t="n">
        <x:f>IF(AND(AG5=1,OR('Dashboard'!$B$4="All",I5='Dashboard'!$B$4),OR('Dashboard'!$E$4="All",N5='Dashboard'!$E$4),OR('Dashboard'!$H$4="All",K5='Dashboard'!$H$4),OR('Dashboard'!$K$4="All",C5='Dashboard'!$K$4)),1,0)</x:f>
        <x:v>1</x:v>
      </x:c>
      <x:c r="AI5" s="84" t="n">
        <x:f>IF(AND(AG5=1,OR('Dashboard'!$B$4="All",I5='Dashboard'!$B$4),OR('Dashboard'!$E$4="All",N5='Dashboard'!$E$4),OR('Dashboard'!$H$4="All",K5='Dashboard'!$H$4)),1,0)</x:f>
        <x:v>1</x:v>
      </x:c>
    </x:row>
    <x:row r="6">
      <x:c r="A6" s="84" t="str">
        <x:f>'Raw Sales'!A6</x:f>
        <x:v>ORD-2024-01890</x:v>
      </x:c>
      <x:c r="B6" s="85" t="n">
        <x:f>'Raw Sales'!B6</x:f>
        <x:v>45292</x:v>
      </x:c>
      <x:c r="C6" s="84" t="n">
        <x:f>YEAR(B6)</x:f>
        <x:v>2024</x:v>
      </x:c>
      <x:c r="D6" s="91" t="n">
        <x:f>DATE(YEAR(B6),MONTH(B6),1)</x:f>
        <x:v>45292</x:v>
      </x:c>
      <x:c r="E6" s="84" t="str">
        <x:f>TEXT(B6,"mmm")</x:f>
        <x:v>Jan</x:v>
      </x:c>
      <x:c r="F6" s="84" t="str">
        <x:f>'Raw Sales'!C6</x:f>
        <x:v>CUST-0130</x:v>
      </x:c>
      <x:c r="G6" s="84" t="str">
        <x:f>PROPER(TRIM('Raw Sales'!D6))</x:f>
        <x:v>Maya Lewis</x:v>
      </x:c>
      <x:c r="H6" s="84" t="str">
        <x:f>IF(TRIM('Raw Sales'!E6)="","Unknown",PROPER(TRIM('Raw Sales'!E6)))</x:f>
        <x:v>Consumer</x:v>
      </x:c>
      <x:c r="I6" s="84" t="str">
        <x:f>PROPER(TRIM('Raw Sales'!F6))</x:f>
        <x:v>Southeast</x:v>
      </x:c>
      <x:c r="J6" s="84" t="str">
        <x:f>PROPER(TRIM('Raw Sales'!G6))</x:f>
        <x:v>Nashville</x:v>
      </x:c>
      <x:c r="K6" s="84" t="str">
        <x:f>PROPER(TRIM('Raw Sales'!H6))</x:f>
        <x:v>Retail Store</x:v>
      </x:c>
      <x:c r="L6" s="84" t="str">
        <x:f>'Raw Sales'!I6</x:f>
        <x:v>OFFC-006</x:v>
      </x:c>
      <x:c r="M6" s="84" t="str">
        <x:f>IFERROR(VLOOKUP(L6,'Reference Data'!$A$5:$F$40,2,FALSE),"Unknown Product")</x:f>
        <x:v>Monitor Stand</x:v>
      </x:c>
      <x:c r="N6" s="84" t="str">
        <x:f>IFERROR(VLOOKUP(L6,'Reference Data'!$A$5:$F$40,3,FALSE),"Unknown")</x:f>
        <x:v>Office</x:v>
      </x:c>
      <x:c r="O6" s="84" t="str">
        <x:f>IFERROR(VLOOKUP(L6,'Reference Data'!$A$5:$F$40,4,FALSE),"Unknown")</x:f>
        <x:v>Desk Accessories</x:v>
      </x:c>
      <x:c r="P6" s="92" t="n">
        <x:f>IFERROR(VLOOKUP(L6,'Reference Data'!$A$5:$F$40,5,FALSE),0)</x:f>
        <x:v>49</x:v>
      </x:c>
      <x:c r="Q6" s="92" t="n">
        <x:f>IFERROR(VLOOKUP(L6,'Reference Data'!$A$5:$F$40,6,FALSE),0)</x:f>
        <x:v>21</x:v>
      </x:c>
      <x:c r="R6" s="84" t="n">
        <x:f>'Raw Sales'!J6</x:f>
        <x:v>2</x:v>
      </x:c>
      <x:c r="S6" s="87" t="n">
        <x:f>'Raw Sales'!K6</x:f>
        <x:v>0</x:v>
      </x:c>
      <x:c r="T6" s="93" t="n">
        <x:f>P6*R6</x:f>
        <x:v>98</x:v>
      </x:c>
      <x:c r="U6" s="93" t="n">
        <x:f>T6*S6</x:f>
        <x:v>0</x:v>
      </x:c>
      <x:c r="V6" s="93" t="str">
        <x:f>PROPER(TRIM('Raw Sales'!L6))</x:f>
        <x:v>Completed</x:v>
      </x:c>
      <x:c r="W6" s="93" t="n">
        <x:f>IF(V6="Returned",0,T6-U6)</x:f>
        <x:v>98</x:v>
      </x:c>
      <x:c r="X6" s="93" t="n">
        <x:f>IF(V6="Returned",Q6*R6*10%,Q6*R6)</x:f>
        <x:v>42</x:v>
      </x:c>
      <x:c r="Y6" s="93" t="n">
        <x:f>W6-X6</x:f>
        <x:v>56</x:v>
      </x:c>
      <x:c r="Z6" s="94" t="n">
        <x:f>IFERROR(Y6/W6,0)</x:f>
        <x:v>0.5714285714285714</x:v>
      </x:c>
      <x:c r="AA6" s="84" t="str">
        <x:f>PROPER(TRIM('Raw Sales'!M6))</x:f>
        <x:v>Cash</x:v>
      </x:c>
      <x:c r="AB6" s="84" t="str">
        <x:f>PROPER(TRIM('Raw Sales'!N6))</x:f>
        <x:v>Liam Parker</x:v>
      </x:c>
      <x:c r="AC6" s="85" t="n">
        <x:f>'Raw Sales'!O6</x:f>
        <x:v>45292</x:v>
      </x:c>
      <x:c r="AD6" s="84" t="n">
        <x:f>AC6-B6</x:f>
        <x:v>0</x:v>
      </x:c>
      <x:c r="AE6" s="84" t="str">
        <x:f>IF(COUNTIF($A$5:A6,A6)&gt;1,"Duplicate","Keep")</x:f>
        <x:v>Keep</x:v>
      </x:c>
      <x:c r="AF6" s="84" t="str">
        <x:f>IF(OR(R6&lt;=0,AC6&lt;B6,H6="Unknown",M6="Unknown Product"),"Review","Valid")</x:f>
        <x:v>Valid</x:v>
      </x:c>
      <x:c r="AG6" s="84" t="n">
        <x:f>IF(AND(AE6="Keep",AF6="Valid"),1,0)</x:f>
        <x:v>1</x:v>
      </x:c>
      <x:c r="AH6" s="84" t="n">
        <x:f>IF(AND(AG6=1,OR('Dashboard'!$B$4="All",I6='Dashboard'!$B$4),OR('Dashboard'!$E$4="All",N6='Dashboard'!$E$4),OR('Dashboard'!$H$4="All",K6='Dashboard'!$H$4),OR('Dashboard'!$K$4="All",C6='Dashboard'!$K$4)),1,0)</x:f>
        <x:v>1</x:v>
      </x:c>
      <x:c r="AI6" s="84" t="n">
        <x:f>IF(AND(AG6=1,OR('Dashboard'!$B$4="All",I6='Dashboard'!$B$4),OR('Dashboard'!$E$4="All",N6='Dashboard'!$E$4),OR('Dashboard'!$H$4="All",K6='Dashboard'!$H$4)),1,0)</x:f>
        <x:v>1</x:v>
      </x:c>
    </x:row>
    <x:row r="7">
      <x:c r="A7" s="84" t="str">
        <x:f>'Raw Sales'!A7</x:f>
        <x:v>ORD-2024-02006</x:v>
      </x:c>
      <x:c r="B7" s="85" t="n">
        <x:f>'Raw Sales'!B7</x:f>
        <x:v>45292</x:v>
      </x:c>
      <x:c r="C7" s="84" t="n">
        <x:f>YEAR(B7)</x:f>
        <x:v>2024</x:v>
      </x:c>
      <x:c r="D7" s="91" t="n">
        <x:f>DATE(YEAR(B7),MONTH(B7),1)</x:f>
        <x:v>45292</x:v>
      </x:c>
      <x:c r="E7" s="84" t="str">
        <x:f>TEXT(B7,"mmm")</x:f>
        <x:v>Jan</x:v>
      </x:c>
      <x:c r="F7" s="84" t="str">
        <x:f>'Raw Sales'!C7</x:f>
        <x:v>CUST-0292</x:v>
      </x:c>
      <x:c r="G7" s="84" t="str">
        <x:f>PROPER(TRIM('Raw Sales'!D7))</x:f>
        <x:v>Caleb Nelson</x:v>
      </x:c>
      <x:c r="H7" s="84" t="str">
        <x:f>IF(TRIM('Raw Sales'!E7)="","Unknown",PROPER(TRIM('Raw Sales'!E7)))</x:f>
        <x:v>Small Business</x:v>
      </x:c>
      <x:c r="I7" s="84" t="str">
        <x:f>PROPER(TRIM('Raw Sales'!F7))</x:f>
        <x:v>Midwest</x:v>
      </x:c>
      <x:c r="J7" s="84" t="str">
        <x:f>PROPER(TRIM('Raw Sales'!G7))</x:f>
        <x:v>Columbus</x:v>
      </x:c>
      <x:c r="K7" s="84" t="str">
        <x:f>PROPER(TRIM('Raw Sales'!H7))</x:f>
        <x:v>Retail Store</x:v>
      </x:c>
      <x:c r="L7" s="84" t="str">
        <x:f>'Raw Sales'!I7</x:f>
        <x:v>FITN-002</x:v>
      </x:c>
      <x:c r="M7" s="84" t="str">
        <x:f>IFERROR(VLOOKUP(L7,'Reference Data'!$A$5:$F$40,2,FALSE),"Unknown Product")</x:f>
        <x:v>Adjustable Dumbbell Set</x:v>
      </x:c>
      <x:c r="N7" s="84" t="str">
        <x:f>IFERROR(VLOOKUP(L7,'Reference Data'!$A$5:$F$40,3,FALSE),"Unknown")</x:f>
        <x:v>Fitness</x:v>
      </x:c>
      <x:c r="O7" s="84" t="str">
        <x:f>IFERROR(VLOOKUP(L7,'Reference Data'!$A$5:$F$40,4,FALSE),"Unknown")</x:f>
        <x:v>Strength</x:v>
      </x:c>
      <x:c r="P7" s="92" t="n">
        <x:f>IFERROR(VLOOKUP(L7,'Reference Data'!$A$5:$F$40,5,FALSE),0)</x:f>
        <x:v>99</x:v>
      </x:c>
      <x:c r="Q7" s="92" t="n">
        <x:f>IFERROR(VLOOKUP(L7,'Reference Data'!$A$5:$F$40,6,FALSE),0)</x:f>
        <x:v>57</x:v>
      </x:c>
      <x:c r="R7" s="84" t="n">
        <x:f>'Raw Sales'!J7</x:f>
        <x:v>1</x:v>
      </x:c>
      <x:c r="S7" s="87" t="n">
        <x:f>'Raw Sales'!K7</x:f>
        <x:v>0</x:v>
      </x:c>
      <x:c r="T7" s="93" t="n">
        <x:f>P7*R7</x:f>
        <x:v>99</x:v>
      </x:c>
      <x:c r="U7" s="93" t="n">
        <x:f>T7*S7</x:f>
        <x:v>0</x:v>
      </x:c>
      <x:c r="V7" s="93" t="str">
        <x:f>PROPER(TRIM('Raw Sales'!L7))</x:f>
        <x:v>Completed</x:v>
      </x:c>
      <x:c r="W7" s="93" t="n">
        <x:f>IF(V7="Returned",0,T7-U7)</x:f>
        <x:v>99</x:v>
      </x:c>
      <x:c r="X7" s="93" t="n">
        <x:f>IF(V7="Returned",Q7*R7*10%,Q7*R7)</x:f>
        <x:v>57</x:v>
      </x:c>
      <x:c r="Y7" s="93" t="n">
        <x:f>W7-X7</x:f>
        <x:v>42</x:v>
      </x:c>
      <x:c r="Z7" s="94" t="n">
        <x:f>IFERROR(Y7/W7,0)</x:f>
        <x:v>0.42424242424242425</x:v>
      </x:c>
      <x:c r="AA7" s="84" t="str">
        <x:f>PROPER(TRIM('Raw Sales'!M7))</x:f>
        <x:v>Cash</x:v>
      </x:c>
      <x:c r="AB7" s="84" t="str">
        <x:f>PROPER(TRIM('Raw Sales'!N7))</x:f>
        <x:v>Zoe Turner</x:v>
      </x:c>
      <x:c r="AC7" s="85" t="n">
        <x:f>'Raw Sales'!O7</x:f>
        <x:v>45292</x:v>
      </x:c>
      <x:c r="AD7" s="84" t="n">
        <x:f>AC7-B7</x:f>
        <x:v>0</x:v>
      </x:c>
      <x:c r="AE7" s="84" t="str">
        <x:f>IF(COUNTIF($A$5:A7,A7)&gt;1,"Duplicate","Keep")</x:f>
        <x:v>Keep</x:v>
      </x:c>
      <x:c r="AF7" s="84" t="str">
        <x:f>IF(OR(R7&lt;=0,AC7&lt;B7,H7="Unknown",M7="Unknown Product"),"Review","Valid")</x:f>
        <x:v>Valid</x:v>
      </x:c>
      <x:c r="AG7" s="84" t="n">
        <x:f>IF(AND(AE7="Keep",AF7="Valid"),1,0)</x:f>
        <x:v>1</x:v>
      </x:c>
      <x:c r="AH7" s="84" t="n">
        <x:f>IF(AND(AG7=1,OR('Dashboard'!$B$4="All",I7='Dashboard'!$B$4),OR('Dashboard'!$E$4="All",N7='Dashboard'!$E$4),OR('Dashboard'!$H$4="All",K7='Dashboard'!$H$4),OR('Dashboard'!$K$4="All",C7='Dashboard'!$K$4)),1,0)</x:f>
        <x:v>1</x:v>
      </x:c>
      <x:c r="AI7" s="84" t="n">
        <x:f>IF(AND(AG7=1,OR('Dashboard'!$B$4="All",I7='Dashboard'!$B$4),OR('Dashboard'!$E$4="All",N7='Dashboard'!$E$4),OR('Dashboard'!$H$4="All",K7='Dashboard'!$H$4)),1,0)</x:f>
        <x:v>1</x:v>
      </x:c>
    </x:row>
    <x:row r="8">
      <x:c r="A8" s="84" t="str">
        <x:f>'Raw Sales'!A8</x:f>
        <x:v>ORD-2024-00575</x:v>
      </x:c>
      <x:c r="B8" s="85" t="n">
        <x:f>'Raw Sales'!B8</x:f>
        <x:v>45293</x:v>
      </x:c>
      <x:c r="C8" s="84" t="n">
        <x:f>YEAR(B8)</x:f>
        <x:v>2024</x:v>
      </x:c>
      <x:c r="D8" s="91" t="n">
        <x:f>DATE(YEAR(B8),MONTH(B8),1)</x:f>
        <x:v>45292</x:v>
      </x:c>
      <x:c r="E8" s="84" t="str">
        <x:f>TEXT(B8,"mmm")</x:f>
        <x:v>Jan</x:v>
      </x:c>
      <x:c r="F8" s="84" t="str">
        <x:f>'Raw Sales'!C8</x:f>
        <x:v>CUST-0338</x:v>
      </x:c>
      <x:c r="G8" s="84" t="str">
        <x:f>PROPER(TRIM('Raw Sales'!D8))</x:f>
        <x:v>Caleb Irwin</x:v>
      </x:c>
      <x:c r="H8" s="84" t="str">
        <x:f>IF(TRIM('Raw Sales'!E8)="","Unknown",PROPER(TRIM('Raw Sales'!E8)))</x:f>
        <x:v>Consumer</x:v>
      </x:c>
      <x:c r="I8" s="84" t="str">
        <x:f>PROPER(TRIM('Raw Sales'!F8))</x:f>
        <x:v>Southeast</x:v>
      </x:c>
      <x:c r="J8" s="84" t="str">
        <x:f>PROPER(TRIM('Raw Sales'!G8))</x:f>
        <x:v>Miami</x:v>
      </x:c>
      <x:c r="K8" s="84" t="str">
        <x:f>PROPER(TRIM('Raw Sales'!H8))</x:f>
        <x:v>Online</x:v>
      </x:c>
      <x:c r="L8" s="84" t="str">
        <x:f>'Raw Sales'!I8</x:f>
        <x:v>ELEC-001</x:v>
      </x:c>
      <x:c r="M8" s="84" t="str">
        <x:f>IFERROR(VLOOKUP(L8,'Reference Data'!$A$5:$F$40,2,FALSE),"Unknown Product")</x:f>
        <x:v>Wireless Earbuds</x:v>
      </x:c>
      <x:c r="N8" s="84" t="str">
        <x:f>IFERROR(VLOOKUP(L8,'Reference Data'!$A$5:$F$40,3,FALSE),"Unknown")</x:f>
        <x:v>Electronics</x:v>
      </x:c>
      <x:c r="O8" s="84" t="str">
        <x:f>IFERROR(VLOOKUP(L8,'Reference Data'!$A$5:$F$40,4,FALSE),"Unknown")</x:f>
        <x:v>Audio</x:v>
      </x:c>
      <x:c r="P8" s="92" t="n">
        <x:f>IFERROR(VLOOKUP(L8,'Reference Data'!$A$5:$F$40,5,FALSE),0)</x:f>
        <x:v>69</x:v>
      </x:c>
      <x:c r="Q8" s="92" t="n">
        <x:f>IFERROR(VLOOKUP(L8,'Reference Data'!$A$5:$F$40,6,FALSE),0)</x:f>
        <x:v>36</x:v>
      </x:c>
      <x:c r="R8" s="84" t="n">
        <x:f>'Raw Sales'!J8</x:f>
        <x:v>1</x:v>
      </x:c>
      <x:c r="S8" s="87" t="n">
        <x:f>'Raw Sales'!K8</x:f>
        <x:v>0</x:v>
      </x:c>
      <x:c r="T8" s="93" t="n">
        <x:f>P8*R8</x:f>
        <x:v>69</x:v>
      </x:c>
      <x:c r="U8" s="93" t="n">
        <x:f>T8*S8</x:f>
        <x:v>0</x:v>
      </x:c>
      <x:c r="V8" s="93" t="str">
        <x:f>PROPER(TRIM('Raw Sales'!L8))</x:f>
        <x:v>Completed</x:v>
      </x:c>
      <x:c r="W8" s="93" t="n">
        <x:f>IF(V8="Returned",0,T8-U8)</x:f>
        <x:v>69</x:v>
      </x:c>
      <x:c r="X8" s="93" t="n">
        <x:f>IF(V8="Returned",Q8*R8*10%,Q8*R8)</x:f>
        <x:v>36</x:v>
      </x:c>
      <x:c r="Y8" s="93" t="n">
        <x:f>W8-X8</x:f>
        <x:v>33</x:v>
      </x:c>
      <x:c r="Z8" s="94" t="n">
        <x:f>IFERROR(Y8/W8,0)</x:f>
        <x:v>0.4782608695652174</x:v>
      </x:c>
      <x:c r="AA8" s="84" t="str">
        <x:f>PROPER(TRIM('Raw Sales'!M8))</x:f>
        <x:v>Credit Card</x:v>
      </x:c>
      <x:c r="AB8" s="84" t="str">
        <x:f>PROPER(TRIM('Raw Sales'!N8))</x:f>
        <x:v>Noah Reed</x:v>
      </x:c>
      <x:c r="AC8" s="85" t="n">
        <x:f>'Raw Sales'!O8</x:f>
        <x:v>45297</x:v>
      </x:c>
      <x:c r="AD8" s="84" t="n">
        <x:f>AC8-B8</x:f>
        <x:v>4</x:v>
      </x:c>
      <x:c r="AE8" s="84" t="str">
        <x:f>IF(COUNTIF($A$5:A8,A8)&gt;1,"Duplicate","Keep")</x:f>
        <x:v>Keep</x:v>
      </x:c>
      <x:c r="AF8" s="84" t="str">
        <x:f>IF(OR(R8&lt;=0,AC8&lt;B8,H8="Unknown",M8="Unknown Product"),"Review","Valid")</x:f>
        <x:v>Valid</x:v>
      </x:c>
      <x:c r="AG8" s="84" t="n">
        <x:f>IF(AND(AE8="Keep",AF8="Valid"),1,0)</x:f>
        <x:v>1</x:v>
      </x:c>
      <x:c r="AH8" s="84" t="n">
        <x:f>IF(AND(AG8=1,OR('Dashboard'!$B$4="All",I8='Dashboard'!$B$4),OR('Dashboard'!$E$4="All",N8='Dashboard'!$E$4),OR('Dashboard'!$H$4="All",K8='Dashboard'!$H$4),OR('Dashboard'!$K$4="All",C8='Dashboard'!$K$4)),1,0)</x:f>
        <x:v>1</x:v>
      </x:c>
      <x:c r="AI8" s="84" t="n">
        <x:f>IF(AND(AG8=1,OR('Dashboard'!$B$4="All",I8='Dashboard'!$B$4),OR('Dashboard'!$E$4="All",N8='Dashboard'!$E$4),OR('Dashboard'!$H$4="All",K8='Dashboard'!$H$4)),1,0)</x:f>
        <x:v>1</x:v>
      </x:c>
    </x:row>
    <x:row r="9">
      <x:c r="A9" s="84" t="str">
        <x:f>'Raw Sales'!A9</x:f>
        <x:v>ORD-2024-00671</x:v>
      </x:c>
      <x:c r="B9" s="85" t="n">
        <x:f>'Raw Sales'!B9</x:f>
        <x:v>45293</x:v>
      </x:c>
      <x:c r="C9" s="84" t="n">
        <x:f>YEAR(B9)</x:f>
        <x:v>2024</x:v>
      </x:c>
      <x:c r="D9" s="91" t="n">
        <x:f>DATE(YEAR(B9),MONTH(B9),1)</x:f>
        <x:v>45292</x:v>
      </x:c>
      <x:c r="E9" s="84" t="str">
        <x:f>TEXT(B9,"mmm")</x:f>
        <x:v>Jan</x:v>
      </x:c>
      <x:c r="F9" s="84" t="str">
        <x:f>'Raw Sales'!C9</x:f>
        <x:v>CUST-0298</x:v>
      </x:c>
      <x:c r="G9" s="84" t="str">
        <x:f>PROPER(TRIM('Raw Sales'!D9))</x:f>
        <x:v>Jasmine Roberts</x:v>
      </x:c>
      <x:c r="H9" s="84" t="str">
        <x:f>IF(TRIM('Raw Sales'!E9)="","Unknown",PROPER(TRIM('Raw Sales'!E9)))</x:f>
        <x:v>Unknown</x:v>
      </x:c>
      <x:c r="I9" s="84" t="str">
        <x:f>PROPER(TRIM('Raw Sales'!F9))</x:f>
        <x:v>West</x:v>
      </x:c>
      <x:c r="J9" s="84" t="str">
        <x:f>PROPER(TRIM('Raw Sales'!G9))</x:f>
        <x:v>Los Angeles</x:v>
      </x:c>
      <x:c r="K9" s="84" t="str">
        <x:f>PROPER(TRIM('Raw Sales'!H9))</x:f>
        <x:v>Retail Store</x:v>
      </x:c>
      <x:c r="L9" s="84" t="str">
        <x:f>'Raw Sales'!I9</x:f>
        <x:v>ACCS-006</x:v>
      </x:c>
      <x:c r="M9" s="84" t="str">
        <x:f>IFERROR(VLOOKUP(L9,'Reference Data'!$A$5:$F$40,2,FALSE),"Unknown Product")</x:f>
        <x:v>Insulated Lunch Bag</x:v>
      </x:c>
      <x:c r="N9" s="84" t="str">
        <x:f>IFERROR(VLOOKUP(L9,'Reference Data'!$A$5:$F$40,3,FALSE),"Unknown")</x:f>
        <x:v>Accessories</x:v>
      </x:c>
      <x:c r="O9" s="84" t="str">
        <x:f>IFERROR(VLOOKUP(L9,'Reference Data'!$A$5:$F$40,4,FALSE),"Unknown")</x:f>
        <x:v>Bags</x:v>
      </x:c>
      <x:c r="P9" s="92" t="n">
        <x:f>IFERROR(VLOOKUP(L9,'Reference Data'!$A$5:$F$40,5,FALSE),0)</x:f>
        <x:v>29</x:v>
      </x:c>
      <x:c r="Q9" s="92" t="n">
        <x:f>IFERROR(VLOOKUP(L9,'Reference Data'!$A$5:$F$40,6,FALSE),0)</x:f>
        <x:v>10</x:v>
      </x:c>
      <x:c r="R9" s="84" t="n">
        <x:f>'Raw Sales'!J9</x:f>
        <x:v>1</x:v>
      </x:c>
      <x:c r="S9" s="87" t="n">
        <x:f>'Raw Sales'!K9</x:f>
        <x:v>0.05</x:v>
      </x:c>
      <x:c r="T9" s="93" t="n">
        <x:f>P9*R9</x:f>
        <x:v>29</x:v>
      </x:c>
      <x:c r="U9" s="93" t="n">
        <x:f>T9*S9</x:f>
        <x:v>1.4500000000000002</x:v>
      </x:c>
      <x:c r="V9" s="93" t="str">
        <x:f>PROPER(TRIM('Raw Sales'!L9))</x:f>
        <x:v>Completed</x:v>
      </x:c>
      <x:c r="W9" s="93" t="n">
        <x:f>IF(V9="Returned",0,T9-U9)</x:f>
        <x:v>27.55</x:v>
      </x:c>
      <x:c r="X9" s="93" t="n">
        <x:f>IF(V9="Returned",Q9*R9*10%,Q9*R9)</x:f>
        <x:v>10</x:v>
      </x:c>
      <x:c r="Y9" s="93" t="n">
        <x:f>W9-X9</x:f>
        <x:v>17.55</x:v>
      </x:c>
      <x:c r="Z9" s="94" t="n">
        <x:f>IFERROR(Y9/W9,0)</x:f>
        <x:v>0.6370235934664247</x:v>
      </x:c>
      <x:c r="AA9" s="84" t="str">
        <x:f>PROPER(TRIM('Raw Sales'!M9))</x:f>
        <x:v>Cash</x:v>
      </x:c>
      <x:c r="AB9" s="84" t="str">
        <x:f>PROPER(TRIM('Raw Sales'!N9))</x:f>
        <x:v>Mia Chen</x:v>
      </x:c>
      <x:c r="AC9" s="85" t="n">
        <x:f>'Raw Sales'!O9</x:f>
        <x:v>45293</x:v>
      </x:c>
      <x:c r="AD9" s="84" t="n">
        <x:f>AC9-B9</x:f>
        <x:v>0</x:v>
      </x:c>
      <x:c r="AE9" s="84" t="str">
        <x:f>IF(COUNTIF($A$5:A9,A9)&gt;1,"Duplicate","Keep")</x:f>
        <x:v>Keep</x:v>
      </x:c>
      <x:c r="AF9" s="84" t="str">
        <x:f>IF(OR(R9&lt;=0,AC9&lt;B9,H9="Unknown",M9="Unknown Product"),"Review","Valid")</x:f>
        <x:v>Review</x:v>
      </x:c>
      <x:c r="AG9" s="84" t="n">
        <x:f>IF(AND(AE9="Keep",AF9="Valid"),1,0)</x:f>
        <x:v>0</x:v>
      </x:c>
      <x:c r="AH9" s="84" t="n">
        <x:f>IF(AND(AG9=1,OR('Dashboard'!$B$4="All",I9='Dashboard'!$B$4),OR('Dashboard'!$E$4="All",N9='Dashboard'!$E$4),OR('Dashboard'!$H$4="All",K9='Dashboard'!$H$4),OR('Dashboard'!$K$4="All",C9='Dashboard'!$K$4)),1,0)</x:f>
        <x:v>0</x:v>
      </x:c>
      <x:c r="AI9" s="84" t="n">
        <x:f>IF(AND(AG9=1,OR('Dashboard'!$B$4="All",I9='Dashboard'!$B$4),OR('Dashboard'!$E$4="All",N9='Dashboard'!$E$4),OR('Dashboard'!$H$4="All",K9='Dashboard'!$H$4)),1,0)</x:f>
        <x:v>0</x:v>
      </x:c>
    </x:row>
    <x:row r="10">
      <x:c r="A10" s="84" t="str">
        <x:f>'Raw Sales'!A10</x:f>
        <x:v>ORD-2024-01680</x:v>
      </x:c>
      <x:c r="B10" s="85" t="n">
        <x:f>'Raw Sales'!B10</x:f>
        <x:v>45293</x:v>
      </x:c>
      <x:c r="C10" s="84" t="n">
        <x:f>YEAR(B10)</x:f>
        <x:v>2024</x:v>
      </x:c>
      <x:c r="D10" s="91" t="n">
        <x:f>DATE(YEAR(B10),MONTH(B10),1)</x:f>
        <x:v>45292</x:v>
      </x:c>
      <x:c r="E10" s="84" t="str">
        <x:f>TEXT(B10,"mmm")</x:f>
        <x:v>Jan</x:v>
      </x:c>
      <x:c r="F10" s="84" t="str">
        <x:f>'Raw Sales'!C10</x:f>
        <x:v>CUST-0345</x:v>
      </x:c>
      <x:c r="G10" s="84" t="str">
        <x:f>PROPER(TRIM('Raw Sales'!D10))</x:f>
        <x:v>Samuel Taylor</x:v>
      </x:c>
      <x:c r="H10" s="84" t="str">
        <x:f>IF(TRIM('Raw Sales'!E10)="","Unknown",PROPER(TRIM('Raw Sales'!E10)))</x:f>
        <x:v>Consumer</x:v>
      </x:c>
      <x:c r="I10" s="84" t="str">
        <x:f>PROPER(TRIM('Raw Sales'!F10))</x:f>
        <x:v>Southeast</x:v>
      </x:c>
      <x:c r="J10" s="84" t="str">
        <x:f>PROPER(TRIM('Raw Sales'!G10))</x:f>
        <x:v>Charlotte</x:v>
      </x:c>
      <x:c r="K10" s="84" t="str">
        <x:f>PROPER(TRIM('Raw Sales'!H10))</x:f>
        <x:v>Retail Store</x:v>
      </x:c>
      <x:c r="L10" s="84" t="str">
        <x:f>'Raw Sales'!I10</x:f>
        <x:v>ELEC-001</x:v>
      </x:c>
      <x:c r="M10" s="84" t="str">
        <x:f>IFERROR(VLOOKUP(L10,'Reference Data'!$A$5:$F$40,2,FALSE),"Unknown Product")</x:f>
        <x:v>Wireless Earbuds</x:v>
      </x:c>
      <x:c r="N10" s="84" t="str">
        <x:f>IFERROR(VLOOKUP(L10,'Reference Data'!$A$5:$F$40,3,FALSE),"Unknown")</x:f>
        <x:v>Electronics</x:v>
      </x:c>
      <x:c r="O10" s="84" t="str">
        <x:f>IFERROR(VLOOKUP(L10,'Reference Data'!$A$5:$F$40,4,FALSE),"Unknown")</x:f>
        <x:v>Audio</x:v>
      </x:c>
      <x:c r="P10" s="92" t="n">
        <x:f>IFERROR(VLOOKUP(L10,'Reference Data'!$A$5:$F$40,5,FALSE),0)</x:f>
        <x:v>69</x:v>
      </x:c>
      <x:c r="Q10" s="92" t="n">
        <x:f>IFERROR(VLOOKUP(L10,'Reference Data'!$A$5:$F$40,6,FALSE),0)</x:f>
        <x:v>36</x:v>
      </x:c>
      <x:c r="R10" s="84" t="n">
        <x:f>'Raw Sales'!J10</x:f>
        <x:v>3</x:v>
      </x:c>
      <x:c r="S10" s="87" t="n">
        <x:f>'Raw Sales'!K10</x:f>
        <x:v>0</x:v>
      </x:c>
      <x:c r="T10" s="93" t="n">
        <x:f>P10*R10</x:f>
        <x:v>207</x:v>
      </x:c>
      <x:c r="U10" s="93" t="n">
        <x:f>T10*S10</x:f>
        <x:v>0</x:v>
      </x:c>
      <x:c r="V10" s="93" t="str">
        <x:f>PROPER(TRIM('Raw Sales'!L10))</x:f>
        <x:v>Completed</x:v>
      </x:c>
      <x:c r="W10" s="93" t="n">
        <x:f>IF(V10="Returned",0,T10-U10)</x:f>
        <x:v>207</x:v>
      </x:c>
      <x:c r="X10" s="93" t="n">
        <x:f>IF(V10="Returned",Q10*R10*10%,Q10*R10)</x:f>
        <x:v>108</x:v>
      </x:c>
      <x:c r="Y10" s="93" t="n">
        <x:f>W10-X10</x:f>
        <x:v>99</x:v>
      </x:c>
      <x:c r="Z10" s="94" t="n">
        <x:f>IFERROR(Y10/W10,0)</x:f>
        <x:v>0.4782608695652174</x:v>
      </x:c>
      <x:c r="AA10" s="84" t="str">
        <x:f>PROPER(TRIM('Raw Sales'!M10))</x:f>
        <x:v>Debit Card</x:v>
      </x:c>
      <x:c r="AB10" s="84" t="str">
        <x:f>PROPER(TRIM('Raw Sales'!N10))</x:f>
        <x:v>Ava Mitchell</x:v>
      </x:c>
      <x:c r="AC10" s="85" t="n">
        <x:f>'Raw Sales'!O10</x:f>
        <x:v>45293</x:v>
      </x:c>
      <x:c r="AD10" s="84" t="n">
        <x:f>AC10-B10</x:f>
        <x:v>0</x:v>
      </x:c>
      <x:c r="AE10" s="84" t="str">
        <x:f>IF(COUNTIF($A$5:A10,A10)&gt;1,"Duplicate","Keep")</x:f>
        <x:v>Keep</x:v>
      </x:c>
      <x:c r="AF10" s="84" t="str">
        <x:f>IF(OR(R10&lt;=0,AC10&lt;B10,H10="Unknown",M10="Unknown Product"),"Review","Valid")</x:f>
        <x:v>Valid</x:v>
      </x:c>
      <x:c r="AG10" s="84" t="n">
        <x:f>IF(AND(AE10="Keep",AF10="Valid"),1,0)</x:f>
        <x:v>1</x:v>
      </x:c>
      <x:c r="AH10" s="84" t="n">
        <x:f>IF(AND(AG10=1,OR('Dashboard'!$B$4="All",I10='Dashboard'!$B$4),OR('Dashboard'!$E$4="All",N10='Dashboard'!$E$4),OR('Dashboard'!$H$4="All",K10='Dashboard'!$H$4),OR('Dashboard'!$K$4="All",C10='Dashboard'!$K$4)),1,0)</x:f>
        <x:v>1</x:v>
      </x:c>
      <x:c r="AI10" s="84" t="n">
        <x:f>IF(AND(AG10=1,OR('Dashboard'!$B$4="All",I10='Dashboard'!$B$4),OR('Dashboard'!$E$4="All",N10='Dashboard'!$E$4),OR('Dashboard'!$H$4="All",K10='Dashboard'!$H$4)),1,0)</x:f>
        <x:v>1</x:v>
      </x:c>
    </x:row>
    <x:row r="11">
      <x:c r="A11" s="84" t="str">
        <x:f>'Raw Sales'!A11</x:f>
        <x:v>ORD-2024-01443</x:v>
      </x:c>
      <x:c r="B11" s="85" t="n">
        <x:f>'Raw Sales'!B11</x:f>
        <x:v>45294</x:v>
      </x:c>
      <x:c r="C11" s="84" t="n">
        <x:f>YEAR(B11)</x:f>
        <x:v>2024</x:v>
      </x:c>
      <x:c r="D11" s="91" t="n">
        <x:f>DATE(YEAR(B11),MONTH(B11),1)</x:f>
        <x:v>45292</x:v>
      </x:c>
      <x:c r="E11" s="84" t="str">
        <x:f>TEXT(B11,"mmm")</x:f>
        <x:v>Jan</x:v>
      </x:c>
      <x:c r="F11" s="84" t="str">
        <x:f>'Raw Sales'!C11</x:f>
        <x:v>CUST-0616</x:v>
      </x:c>
      <x:c r="G11" s="84" t="str">
        <x:f>PROPER(TRIM('Raw Sales'!D11))</x:f>
        <x:v>Samuel Smith</x:v>
      </x:c>
      <x:c r="H11" s="84" t="str">
        <x:f>IF(TRIM('Raw Sales'!E11)="","Unknown",PROPER(TRIM('Raw Sales'!E11)))</x:f>
        <x:v>Small Business</x:v>
      </x:c>
      <x:c r="I11" s="84" t="str">
        <x:f>PROPER(TRIM('Raw Sales'!F11))</x:f>
        <x:v>Northeast</x:v>
      </x:c>
      <x:c r="J11" s="84" t="str">
        <x:f>PROPER(TRIM('Raw Sales'!G11))</x:f>
        <x:v>Philadelphia</x:v>
      </x:c>
      <x:c r="K11" s="84" t="str">
        <x:f>PROPER(TRIM('Raw Sales'!H11))</x:f>
        <x:v>Retail Store</x:v>
      </x:c>
      <x:c r="L11" s="84" t="str">
        <x:f>'Raw Sales'!I11</x:f>
        <x:v>CARE-001</x:v>
      </x:c>
      <x:c r="M11" s="84" t="str">
        <x:f>IFERROR(VLOOKUP(L11,'Reference Data'!$A$5:$F$40,2,FALSE),"Unknown Product")</x:f>
        <x:v>Ionic Hair Dryer</x:v>
      </x:c>
      <x:c r="N11" s="84" t="str">
        <x:f>IFERROR(VLOOKUP(L11,'Reference Data'!$A$5:$F$40,3,FALSE),"Unknown")</x:f>
        <x:v>Personal Care</x:v>
      </x:c>
      <x:c r="O11" s="84" t="str">
        <x:f>IFERROR(VLOOKUP(L11,'Reference Data'!$A$5:$F$40,4,FALSE),"Unknown")</x:f>
        <x:v>Hair Care</x:v>
      </x:c>
      <x:c r="P11" s="92" t="n">
        <x:f>IFERROR(VLOOKUP(L11,'Reference Data'!$A$5:$F$40,5,FALSE),0)</x:f>
        <x:v>54</x:v>
      </x:c>
      <x:c r="Q11" s="92" t="n">
        <x:f>IFERROR(VLOOKUP(L11,'Reference Data'!$A$5:$F$40,6,FALSE),0)</x:f>
        <x:v>25</x:v>
      </x:c>
      <x:c r="R11" s="84" t="n">
        <x:f>'Raw Sales'!J11</x:f>
        <x:v>2</x:v>
      </x:c>
      <x:c r="S11" s="87" t="n">
        <x:f>'Raw Sales'!K11</x:f>
        <x:v>0</x:v>
      </x:c>
      <x:c r="T11" s="93" t="n">
        <x:f>P11*R11</x:f>
        <x:v>108</x:v>
      </x:c>
      <x:c r="U11" s="93" t="n">
        <x:f>T11*S11</x:f>
        <x:v>0</x:v>
      </x:c>
      <x:c r="V11" s="93" t="str">
        <x:f>PROPER(TRIM('Raw Sales'!L11))</x:f>
        <x:v>Completed</x:v>
      </x:c>
      <x:c r="W11" s="93" t="n">
        <x:f>IF(V11="Returned",0,T11-U11)</x:f>
        <x:v>108</x:v>
      </x:c>
      <x:c r="X11" s="93" t="n">
        <x:f>IF(V11="Returned",Q11*R11*10%,Q11*R11)</x:f>
        <x:v>50</x:v>
      </x:c>
      <x:c r="Y11" s="93" t="n">
        <x:f>W11-X11</x:f>
        <x:v>58</x:v>
      </x:c>
      <x:c r="Z11" s="94" t="n">
        <x:f>IFERROR(Y11/W11,0)</x:f>
        <x:v>0.5370370370370371</x:v>
      </x:c>
      <x:c r="AA11" s="84" t="str">
        <x:f>PROPER(TRIM('Raw Sales'!M11))</x:f>
        <x:v>Cash</x:v>
      </x:c>
      <x:c r="AB11" s="84" t="str">
        <x:f>PROPER(TRIM('Raw Sales'!N11))</x:f>
        <x:v>Maya Brooks</x:v>
      </x:c>
      <x:c r="AC11" s="85" t="n">
        <x:f>'Raw Sales'!O11</x:f>
        <x:v>45295</x:v>
      </x:c>
      <x:c r="AD11" s="84" t="n">
        <x:f>AC11-B11</x:f>
        <x:v>1</x:v>
      </x:c>
      <x:c r="AE11" s="84" t="str">
        <x:f>IF(COUNTIF($A$5:A11,A11)&gt;1,"Duplicate","Keep")</x:f>
        <x:v>Keep</x:v>
      </x:c>
      <x:c r="AF11" s="84" t="str">
        <x:f>IF(OR(R11&lt;=0,AC11&lt;B11,H11="Unknown",M11="Unknown Product"),"Review","Valid")</x:f>
        <x:v>Valid</x:v>
      </x:c>
      <x:c r="AG11" s="84" t="n">
        <x:f>IF(AND(AE11="Keep",AF11="Valid"),1,0)</x:f>
        <x:v>1</x:v>
      </x:c>
      <x:c r="AH11" s="84" t="n">
        <x:f>IF(AND(AG11=1,OR('Dashboard'!$B$4="All",I11='Dashboard'!$B$4),OR('Dashboard'!$E$4="All",N11='Dashboard'!$E$4),OR('Dashboard'!$H$4="All",K11='Dashboard'!$H$4),OR('Dashboard'!$K$4="All",C11='Dashboard'!$K$4)),1,0)</x:f>
        <x:v>1</x:v>
      </x:c>
      <x:c r="AI11" s="84" t="n">
        <x:f>IF(AND(AG11=1,OR('Dashboard'!$B$4="All",I11='Dashboard'!$B$4),OR('Dashboard'!$E$4="All",N11='Dashboard'!$E$4),OR('Dashboard'!$H$4="All",K11='Dashboard'!$H$4)),1,0)</x:f>
        <x:v>1</x:v>
      </x:c>
    </x:row>
    <x:row r="12">
      <x:c r="A12" s="84" t="str">
        <x:f>'Raw Sales'!A12</x:f>
        <x:v>ORD-2024-00838</x:v>
      </x:c>
      <x:c r="B12" s="85" t="n">
        <x:f>'Raw Sales'!B12</x:f>
        <x:v>45295</x:v>
      </x:c>
      <x:c r="C12" s="84" t="n">
        <x:f>YEAR(B12)</x:f>
        <x:v>2024</x:v>
      </x:c>
      <x:c r="D12" s="91" t="n">
        <x:f>DATE(YEAR(B12),MONTH(B12),1)</x:f>
        <x:v>45292</x:v>
      </x:c>
      <x:c r="E12" s="84" t="str">
        <x:f>TEXT(B12,"mmm")</x:f>
        <x:v>Jan</x:v>
      </x:c>
      <x:c r="F12" s="84" t="str">
        <x:f>'Raw Sales'!C12</x:f>
        <x:v>CUST-0137</x:v>
      </x:c>
      <x:c r="G12" s="84" t="str">
        <x:f>PROPER(TRIM('Raw Sales'!D12))</x:f>
        <x:v>Owen Adams</x:v>
      </x:c>
      <x:c r="H12" s="84" t="str">
        <x:f>IF(TRIM('Raw Sales'!E12)="","Unknown",PROPER(TRIM('Raw Sales'!E12)))</x:f>
        <x:v>Corporate</x:v>
      </x:c>
      <x:c r="I12" s="84" t="str">
        <x:f>PROPER(TRIM('Raw Sales'!F12))</x:f>
        <x:v>Midwest</x:v>
      </x:c>
      <x:c r="J12" s="84" t="str">
        <x:f>PROPER(TRIM('Raw Sales'!G12))</x:f>
        <x:v>Chicago</x:v>
      </x:c>
      <x:c r="K12" s="84" t="str">
        <x:f>PROPER(TRIM('Raw Sales'!H12))</x:f>
        <x:v>Marketplace</x:v>
      </x:c>
      <x:c r="L12" s="84" t="str">
        <x:f>'Raw Sales'!I12</x:f>
        <x:v>HOME-003</x:v>
      </x:c>
      <x:c r="M12" s="84" t="str">
        <x:f>IFERROR(VLOOKUP(L12,'Reference Data'!$A$5:$F$40,2,FALSE),"Unknown Product")</x:f>
        <x:v>Countertop Blender</x:v>
      </x:c>
      <x:c r="N12" s="84" t="str">
        <x:f>IFERROR(VLOOKUP(L12,'Reference Data'!$A$5:$F$40,3,FALSE),"Unknown")</x:f>
        <x:v>Home &amp; Kitchen</x:v>
      </x:c>
      <x:c r="O12" s="84" t="str">
        <x:f>IFERROR(VLOOKUP(L12,'Reference Data'!$A$5:$F$40,4,FALSE),"Unknown")</x:f>
        <x:v>Small Appliances</x:v>
      </x:c>
      <x:c r="P12" s="92" t="n">
        <x:f>IFERROR(VLOOKUP(L12,'Reference Data'!$A$5:$F$40,5,FALSE),0)</x:f>
        <x:v>89</x:v>
      </x:c>
      <x:c r="Q12" s="92" t="n">
        <x:f>IFERROR(VLOOKUP(L12,'Reference Data'!$A$5:$F$40,6,FALSE),0)</x:f>
        <x:v>46</x:v>
      </x:c>
      <x:c r="R12" s="84" t="n">
        <x:f>'Raw Sales'!J12</x:f>
        <x:v>3</x:v>
      </x:c>
      <x:c r="S12" s="87" t="n">
        <x:f>'Raw Sales'!K12</x:f>
        <x:v>0.1</x:v>
      </x:c>
      <x:c r="T12" s="93" t="n">
        <x:f>P12*R12</x:f>
        <x:v>267</x:v>
      </x:c>
      <x:c r="U12" s="93" t="n">
        <x:f>T12*S12</x:f>
        <x:v>26.700000000000003</x:v>
      </x:c>
      <x:c r="V12" s="93" t="str">
        <x:f>PROPER(TRIM('Raw Sales'!L12))</x:f>
        <x:v>Completed</x:v>
      </x:c>
      <x:c r="W12" s="93" t="n">
        <x:f>IF(V12="Returned",0,T12-U12)</x:f>
        <x:v>240.3</x:v>
      </x:c>
      <x:c r="X12" s="93" t="n">
        <x:f>IF(V12="Returned",Q12*R12*10%,Q12*R12)</x:f>
        <x:v>138</x:v>
      </x:c>
      <x:c r="Y12" s="93" t="n">
        <x:f>W12-X12</x:f>
        <x:v>102.30000000000001</x:v>
      </x:c>
      <x:c r="Z12" s="94" t="n">
        <x:f>IFERROR(Y12/W12,0)</x:f>
        <x:v>0.42571785268414486</x:v>
      </x:c>
      <x:c r="AA12" s="84" t="str">
        <x:f>PROPER(TRIM('Raw Sales'!M12))</x:f>
        <x:v>Credit Card</x:v>
      </x:c>
      <x:c r="AB12" s="84" t="str">
        <x:f>PROPER(TRIM('Raw Sales'!N12))</x:f>
        <x:v>Emma Hayes</x:v>
      </x:c>
      <x:c r="AC12" s="85" t="n">
        <x:f>'Raw Sales'!O12</x:f>
        <x:v>45301</x:v>
      </x:c>
      <x:c r="AD12" s="84" t="n">
        <x:f>AC12-B12</x:f>
        <x:v>6</x:v>
      </x:c>
      <x:c r="AE12" s="84" t="str">
        <x:f>IF(COUNTIF($A$5:A12,A12)&gt;1,"Duplicate","Keep")</x:f>
        <x:v>Keep</x:v>
      </x:c>
      <x:c r="AF12" s="84" t="str">
        <x:f>IF(OR(R12&lt;=0,AC12&lt;B12,H12="Unknown",M12="Unknown Product"),"Review","Valid")</x:f>
        <x:v>Valid</x:v>
      </x:c>
      <x:c r="AG12" s="84" t="n">
        <x:f>IF(AND(AE12="Keep",AF12="Valid"),1,0)</x:f>
        <x:v>1</x:v>
      </x:c>
      <x:c r="AH12" s="84" t="n">
        <x:f>IF(AND(AG12=1,OR('Dashboard'!$B$4="All",I12='Dashboard'!$B$4),OR('Dashboard'!$E$4="All",N12='Dashboard'!$E$4),OR('Dashboard'!$H$4="All",K12='Dashboard'!$H$4),OR('Dashboard'!$K$4="All",C12='Dashboard'!$K$4)),1,0)</x:f>
        <x:v>1</x:v>
      </x:c>
      <x:c r="AI12" s="84" t="n">
        <x:f>IF(AND(AG12=1,OR('Dashboard'!$B$4="All",I12='Dashboard'!$B$4),OR('Dashboard'!$E$4="All",N12='Dashboard'!$E$4),OR('Dashboard'!$H$4="All",K12='Dashboard'!$H$4)),1,0)</x:f>
        <x:v>1</x:v>
      </x:c>
    </x:row>
    <x:row r="13">
      <x:c r="A13" s="84" t="str">
        <x:f>'Raw Sales'!A13</x:f>
        <x:v>ORD-2024-00343</x:v>
      </x:c>
      <x:c r="B13" s="85" t="n">
        <x:f>'Raw Sales'!B13</x:f>
        <x:v>45296</x:v>
      </x:c>
      <x:c r="C13" s="84" t="n">
        <x:f>YEAR(B13)</x:f>
        <x:v>2024</x:v>
      </x:c>
      <x:c r="D13" s="91" t="n">
        <x:f>DATE(YEAR(B13),MONTH(B13),1)</x:f>
        <x:v>45292</x:v>
      </x:c>
      <x:c r="E13" s="84" t="str">
        <x:f>TEXT(B13,"mmm")</x:f>
        <x:v>Jan</x:v>
      </x:c>
      <x:c r="F13" s="84" t="str">
        <x:f>'Raw Sales'!C13</x:f>
        <x:v>CUST-0421</x:v>
      </x:c>
      <x:c r="G13" s="84" t="str">
        <x:f>PROPER(TRIM('Raw Sales'!D13))</x:f>
        <x:v>Daniel Hall</x:v>
      </x:c>
      <x:c r="H13" s="84" t="str">
        <x:f>IF(TRIM('Raw Sales'!E13)="","Unknown",PROPER(TRIM('Raw Sales'!E13)))</x:f>
        <x:v>Consumer</x:v>
      </x:c>
      <x:c r="I13" s="84" t="str">
        <x:f>PROPER(TRIM('Raw Sales'!F13))</x:f>
        <x:v>Northeast</x:v>
      </x:c>
      <x:c r="J13" s="84" t="str">
        <x:f>PROPER(TRIM('Raw Sales'!G13))</x:f>
        <x:v>New York</x:v>
      </x:c>
      <x:c r="K13" s="84" t="str">
        <x:f>PROPER(TRIM('Raw Sales'!H13))</x:f>
        <x:v>Retail Store</x:v>
      </x:c>
      <x:c r="L13" s="84" t="str">
        <x:f>'Raw Sales'!I13</x:f>
        <x:v>ELEC-005</x:v>
      </x:c>
      <x:c r="M13" s="84" t="str">
        <x:f>IFERROR(VLOOKUP(L13,'Reference Data'!$A$5:$F$40,2,FALSE),"Unknown Product")</x:f>
        <x:v>HD Webcam</x:v>
      </x:c>
      <x:c r="N13" s="84" t="str">
        <x:f>IFERROR(VLOOKUP(L13,'Reference Data'!$A$5:$F$40,3,FALSE),"Unknown")</x:f>
        <x:v>Electronics</x:v>
      </x:c>
      <x:c r="O13" s="84" t="str">
        <x:f>IFERROR(VLOOKUP(L13,'Reference Data'!$A$5:$F$40,4,FALSE),"Unknown")</x:f>
        <x:v>Computer Accessories</x:v>
      </x:c>
      <x:c r="P13" s="92" t="n">
        <x:f>IFERROR(VLOOKUP(L13,'Reference Data'!$A$5:$F$40,5,FALSE),0)</x:f>
        <x:v>79</x:v>
      </x:c>
      <x:c r="Q13" s="92" t="n">
        <x:f>IFERROR(VLOOKUP(L13,'Reference Data'!$A$5:$F$40,6,FALSE),0)</x:f>
        <x:v>37</x:v>
      </x:c>
      <x:c r="R13" s="84" t="n">
        <x:f>'Raw Sales'!J13</x:f>
        <x:v>1</x:v>
      </x:c>
      <x:c r="S13" s="87" t="n">
        <x:f>'Raw Sales'!K13</x:f>
        <x:v>0</x:v>
      </x:c>
      <x:c r="T13" s="93" t="n">
        <x:f>P13*R13</x:f>
        <x:v>79</x:v>
      </x:c>
      <x:c r="U13" s="93" t="n">
        <x:f>T13*S13</x:f>
        <x:v>0</x:v>
      </x:c>
      <x:c r="V13" s="93" t="str">
        <x:f>PROPER(TRIM('Raw Sales'!L13))</x:f>
        <x:v>Completed</x:v>
      </x:c>
      <x:c r="W13" s="93" t="n">
        <x:f>IF(V13="Returned",0,T13-U13)</x:f>
        <x:v>79</x:v>
      </x:c>
      <x:c r="X13" s="93" t="n">
        <x:f>IF(V13="Returned",Q13*R13*10%,Q13*R13)</x:f>
        <x:v>37</x:v>
      </x:c>
      <x:c r="Y13" s="93" t="n">
        <x:f>W13-X13</x:f>
        <x:v>42</x:v>
      </x:c>
      <x:c r="Z13" s="94" t="n">
        <x:f>IFERROR(Y13/W13,0)</x:f>
        <x:v>0.5316455696202531</x:v>
      </x:c>
      <x:c r="AA13" s="84" t="str">
        <x:f>PROPER(TRIM('Raw Sales'!M13))</x:f>
        <x:v>Mobile Wallet</x:v>
      </x:c>
      <x:c r="AB13" s="84" t="str">
        <x:f>PROPER(TRIM('Raw Sales'!N13))</x:f>
        <x:v>Maya Brooks</x:v>
      </x:c>
      <x:c r="AC13" s="85" t="n">
        <x:f>'Raw Sales'!O13</x:f>
        <x:v>45296</x:v>
      </x:c>
      <x:c r="AD13" s="84" t="n">
        <x:f>AC13-B13</x:f>
        <x:v>0</x:v>
      </x:c>
      <x:c r="AE13" s="84" t="str">
        <x:f>IF(COUNTIF($A$5:A13,A13)&gt;1,"Duplicate","Keep")</x:f>
        <x:v>Keep</x:v>
      </x:c>
      <x:c r="AF13" s="84" t="str">
        <x:f>IF(OR(R13&lt;=0,AC13&lt;B13,H13="Unknown",M13="Unknown Product"),"Review","Valid")</x:f>
        <x:v>Valid</x:v>
      </x:c>
      <x:c r="AG13" s="84" t="n">
        <x:f>IF(AND(AE13="Keep",AF13="Valid"),1,0)</x:f>
        <x:v>1</x:v>
      </x:c>
      <x:c r="AH13" s="84" t="n">
        <x:f>IF(AND(AG13=1,OR('Dashboard'!$B$4="All",I13='Dashboard'!$B$4),OR('Dashboard'!$E$4="All",N13='Dashboard'!$E$4),OR('Dashboard'!$H$4="All",K13='Dashboard'!$H$4),OR('Dashboard'!$K$4="All",C13='Dashboard'!$K$4)),1,0)</x:f>
        <x:v>1</x:v>
      </x:c>
      <x:c r="AI13" s="84" t="n">
        <x:f>IF(AND(AG13=1,OR('Dashboard'!$B$4="All",I13='Dashboard'!$B$4),OR('Dashboard'!$E$4="All",N13='Dashboard'!$E$4),OR('Dashboard'!$H$4="All",K13='Dashboard'!$H$4)),1,0)</x:f>
        <x:v>1</x:v>
      </x:c>
    </x:row>
    <x:row r="14">
      <x:c r="A14" s="84" t="str">
        <x:f>'Raw Sales'!A14</x:f>
        <x:v>ORD-2024-00767</x:v>
      </x:c>
      <x:c r="B14" s="85" t="n">
        <x:f>'Raw Sales'!B14</x:f>
        <x:v>45296</x:v>
      </x:c>
      <x:c r="C14" s="84" t="n">
        <x:f>YEAR(B14)</x:f>
        <x:v>2024</x:v>
      </x:c>
      <x:c r="D14" s="91" t="n">
        <x:f>DATE(YEAR(B14),MONTH(B14),1)</x:f>
        <x:v>45292</x:v>
      </x:c>
      <x:c r="E14" s="84" t="str">
        <x:f>TEXT(B14,"mmm")</x:f>
        <x:v>Jan</x:v>
      </x:c>
      <x:c r="F14" s="84" t="str">
        <x:f>'Raw Sales'!C14</x:f>
        <x:v>CUST-0482</x:v>
      </x:c>
      <x:c r="G14" s="84" t="str">
        <x:f>PROPER(TRIM('Raw Sales'!D14))</x:f>
        <x:v>Nathan Young</x:v>
      </x:c>
      <x:c r="H14" s="84" t="str">
        <x:f>IF(TRIM('Raw Sales'!E14)="","Unknown",PROPER(TRIM('Raw Sales'!E14)))</x:f>
        <x:v>Small Business</x:v>
      </x:c>
      <x:c r="I14" s="84" t="str">
        <x:f>PROPER(TRIM('Raw Sales'!F14))</x:f>
        <x:v>Midwest</x:v>
      </x:c>
      <x:c r="J14" s="84" t="str">
        <x:f>PROPER(TRIM('Raw Sales'!G14))</x:f>
        <x:v>Chicago</x:v>
      </x:c>
      <x:c r="K14" s="84" t="str">
        <x:f>PROPER(TRIM('Raw Sales'!H14))</x:f>
        <x:v>Retail Store</x:v>
      </x:c>
      <x:c r="L14" s="84" t="str">
        <x:f>'Raw Sales'!I14</x:f>
        <x:v>HOME-001</x:v>
      </x:c>
      <x:c r="M14" s="84" t="str">
        <x:f>IFERROR(VLOOKUP(L14,'Reference Data'!$A$5:$F$40,2,FALSE),"Unknown Product")</x:f>
        <x:v>Air Fryer</x:v>
      </x:c>
      <x:c r="N14" s="84" t="str">
        <x:f>IFERROR(VLOOKUP(L14,'Reference Data'!$A$5:$F$40,3,FALSE),"Unknown")</x:f>
        <x:v>Home &amp; Kitchen</x:v>
      </x:c>
      <x:c r="O14" s="84" t="str">
        <x:f>IFERROR(VLOOKUP(L14,'Reference Data'!$A$5:$F$40,4,FALSE),"Unknown")</x:f>
        <x:v>Small Appliances</x:v>
      </x:c>
      <x:c r="P14" s="92" t="n">
        <x:f>IFERROR(VLOOKUP(L14,'Reference Data'!$A$5:$F$40,5,FALSE),0)</x:f>
        <x:v>119</x:v>
      </x:c>
      <x:c r="Q14" s="92" t="n">
        <x:f>IFERROR(VLOOKUP(L14,'Reference Data'!$A$5:$F$40,6,FALSE),0)</x:f>
        <x:v>68</x:v>
      </x:c>
      <x:c r="R14" s="84" t="n">
        <x:f>'Raw Sales'!J14</x:f>
        <x:v>1</x:v>
      </x:c>
      <x:c r="S14" s="87" t="n">
        <x:f>'Raw Sales'!K14</x:f>
        <x:v>0.05</x:v>
      </x:c>
      <x:c r="T14" s="93" t="n">
        <x:f>P14*R14</x:f>
        <x:v>119</x:v>
      </x:c>
      <x:c r="U14" s="93" t="n">
        <x:f>T14*S14</x:f>
        <x:v>5.95</x:v>
      </x:c>
      <x:c r="V14" s="93" t="str">
        <x:f>PROPER(TRIM('Raw Sales'!L14))</x:f>
        <x:v>Completed</x:v>
      </x:c>
      <x:c r="W14" s="93" t="n">
        <x:f>IF(V14="Returned",0,T14-U14)</x:f>
        <x:v>113.05</x:v>
      </x:c>
      <x:c r="X14" s="93" t="n">
        <x:f>IF(V14="Returned",Q14*R14*10%,Q14*R14)</x:f>
        <x:v>68</x:v>
      </x:c>
      <x:c r="Y14" s="93" t="n">
        <x:f>W14-X14</x:f>
        <x:v>45.05</x:v>
      </x:c>
      <x:c r="Z14" s="94" t="n">
        <x:f>IFERROR(Y14/W14,0)</x:f>
        <x:v>0.39849624060150374</x:v>
      </x:c>
      <x:c r="AA14" s="84" t="str">
        <x:f>PROPER(TRIM('Raw Sales'!M14))</x:f>
        <x:v>Cash</x:v>
      </x:c>
      <x:c r="AB14" s="84" t="str">
        <x:f>PROPER(TRIM('Raw Sales'!N14))</x:f>
        <x:v>Emma Hayes</x:v>
      </x:c>
      <x:c r="AC14" s="85" t="n">
        <x:f>'Raw Sales'!O14</x:f>
        <x:v>45296</x:v>
      </x:c>
      <x:c r="AD14" s="84" t="n">
        <x:f>AC14-B14</x:f>
        <x:v>0</x:v>
      </x:c>
      <x:c r="AE14" s="84" t="str">
        <x:f>IF(COUNTIF($A$5:A14,A14)&gt;1,"Duplicate","Keep")</x:f>
        <x:v>Keep</x:v>
      </x:c>
      <x:c r="AF14" s="84" t="str">
        <x:f>IF(OR(R14&lt;=0,AC14&lt;B14,H14="Unknown",M14="Unknown Product"),"Review","Valid")</x:f>
        <x:v>Valid</x:v>
      </x:c>
      <x:c r="AG14" s="84" t="n">
        <x:f>IF(AND(AE14="Keep",AF14="Valid"),1,0)</x:f>
        <x:v>1</x:v>
      </x:c>
      <x:c r="AH14" s="84" t="n">
        <x:f>IF(AND(AG14=1,OR('Dashboard'!$B$4="All",I14='Dashboard'!$B$4),OR('Dashboard'!$E$4="All",N14='Dashboard'!$E$4),OR('Dashboard'!$H$4="All",K14='Dashboard'!$H$4),OR('Dashboard'!$K$4="All",C14='Dashboard'!$K$4)),1,0)</x:f>
        <x:v>1</x:v>
      </x:c>
      <x:c r="AI14" s="84" t="n">
        <x:f>IF(AND(AG14=1,OR('Dashboard'!$B$4="All",I14='Dashboard'!$B$4),OR('Dashboard'!$E$4="All",N14='Dashboard'!$E$4),OR('Dashboard'!$H$4="All",K14='Dashboard'!$H$4)),1,0)</x:f>
        <x:v>1</x:v>
      </x:c>
    </x:row>
    <x:row r="15">
      <x:c r="A15" s="84" t="str">
        <x:f>'Raw Sales'!A15</x:f>
        <x:v>ORD-2024-00656</x:v>
      </x:c>
      <x:c r="B15" s="85" t="n">
        <x:f>'Raw Sales'!B15</x:f>
        <x:v>45297</x:v>
      </x:c>
      <x:c r="C15" s="84" t="n">
        <x:f>YEAR(B15)</x:f>
        <x:v>2024</x:v>
      </x:c>
      <x:c r="D15" s="91" t="n">
        <x:f>DATE(YEAR(B15),MONTH(B15),1)</x:f>
        <x:v>45292</x:v>
      </x:c>
      <x:c r="E15" s="84" t="str">
        <x:f>TEXT(B15,"mmm")</x:f>
        <x:v>Jan</x:v>
      </x:c>
      <x:c r="F15" s="84" t="str">
        <x:f>'Raw Sales'!C15</x:f>
        <x:v>CUST-0458</x:v>
      </x:c>
      <x:c r="G15" s="84" t="str">
        <x:f>PROPER(TRIM('Raw Sales'!D15))</x:f>
        <x:v>Samuel Carter</x:v>
      </x:c>
      <x:c r="H15" s="84" t="str">
        <x:f>IF(TRIM('Raw Sales'!E15)="","Unknown",PROPER(TRIM('Raw Sales'!E15)))</x:f>
        <x:v>Consumer</x:v>
      </x:c>
      <x:c r="I15" s="84" t="str">
        <x:f>PROPER(TRIM('Raw Sales'!F15))</x:f>
        <x:v>Southeast</x:v>
      </x:c>
      <x:c r="J15" s="84" t="str">
        <x:f>PROPER(TRIM('Raw Sales'!G15))</x:f>
        <x:v>Atlanta</x:v>
      </x:c>
      <x:c r="K15" s="84" t="str">
        <x:f>PROPER(TRIM('Raw Sales'!H15))</x:f>
        <x:v>Online</x:v>
      </x:c>
      <x:c r="L15" s="84" t="str">
        <x:f>'Raw Sales'!I15</x:f>
        <x:v>FITN-001</x:v>
      </x:c>
      <x:c r="M15" s="84" t="str">
        <x:f>IFERROR(VLOOKUP(L15,'Reference Data'!$A$5:$F$40,2,FALSE),"Unknown Product")</x:f>
        <x:v>Yoga Mat</x:v>
      </x:c>
      <x:c r="N15" s="84" t="str">
        <x:f>IFERROR(VLOOKUP(L15,'Reference Data'!$A$5:$F$40,3,FALSE),"Unknown")</x:f>
        <x:v>Fitness</x:v>
      </x:c>
      <x:c r="O15" s="84" t="str">
        <x:f>IFERROR(VLOOKUP(L15,'Reference Data'!$A$5:$F$40,4,FALSE),"Unknown")</x:f>
        <x:v>Yoga</x:v>
      </x:c>
      <x:c r="P15" s="92" t="n">
        <x:f>IFERROR(VLOOKUP(L15,'Reference Data'!$A$5:$F$40,5,FALSE),0)</x:f>
        <x:v>35</x:v>
      </x:c>
      <x:c r="Q15" s="92" t="n">
        <x:f>IFERROR(VLOOKUP(L15,'Reference Data'!$A$5:$F$40,6,FALSE),0)</x:f>
        <x:v>13</x:v>
      </x:c>
      <x:c r="R15" s="84" t="n">
        <x:f>'Raw Sales'!J15</x:f>
        <x:v>1</x:v>
      </x:c>
      <x:c r="S15" s="87" t="n">
        <x:f>'Raw Sales'!K15</x:f>
        <x:v>0.1</x:v>
      </x:c>
      <x:c r="T15" s="93" t="n">
        <x:f>P15*R15</x:f>
        <x:v>35</x:v>
      </x:c>
      <x:c r="U15" s="93" t="n">
        <x:f>T15*S15</x:f>
        <x:v>3.5</x:v>
      </x:c>
      <x:c r="V15" s="93" t="str">
        <x:f>PROPER(TRIM('Raw Sales'!L15))</x:f>
        <x:v>Completed</x:v>
      </x:c>
      <x:c r="W15" s="93" t="n">
        <x:f>IF(V15="Returned",0,T15-U15)</x:f>
        <x:v>31.5</x:v>
      </x:c>
      <x:c r="X15" s="93" t="n">
        <x:f>IF(V15="Returned",Q15*R15*10%,Q15*R15)</x:f>
        <x:v>13</x:v>
      </x:c>
      <x:c r="Y15" s="93" t="n">
        <x:f>W15-X15</x:f>
        <x:v>18.5</x:v>
      </x:c>
      <x:c r="Z15" s="94" t="n">
        <x:f>IFERROR(Y15/W15,0)</x:f>
        <x:v>0.5873015873015873</x:v>
      </x:c>
      <x:c r="AA15" s="84" t="str">
        <x:f>PROPER(TRIM('Raw Sales'!M15))</x:f>
        <x:v>Debit Card</x:v>
      </x:c>
      <x:c r="AB15" s="84" t="str">
        <x:f>PROPER(TRIM('Raw Sales'!N15))</x:f>
        <x:v>Noah Reed</x:v>
      </x:c>
      <x:c r="AC15" s="85" t="n">
        <x:f>'Raw Sales'!O15</x:f>
        <x:v>45300</x:v>
      </x:c>
      <x:c r="AD15" s="84" t="n">
        <x:f>AC15-B15</x:f>
        <x:v>3</x:v>
      </x:c>
      <x:c r="AE15" s="84" t="str">
        <x:f>IF(COUNTIF($A$5:A15,A15)&gt;1,"Duplicate","Keep")</x:f>
        <x:v>Keep</x:v>
      </x:c>
      <x:c r="AF15" s="84" t="str">
        <x:f>IF(OR(R15&lt;=0,AC15&lt;B15,H15="Unknown",M15="Unknown Product"),"Review","Valid")</x:f>
        <x:v>Valid</x:v>
      </x:c>
      <x:c r="AG15" s="84" t="n">
        <x:f>IF(AND(AE15="Keep",AF15="Valid"),1,0)</x:f>
        <x:v>1</x:v>
      </x:c>
      <x:c r="AH15" s="84" t="n">
        <x:f>IF(AND(AG15=1,OR('Dashboard'!$B$4="All",I15='Dashboard'!$B$4),OR('Dashboard'!$E$4="All",N15='Dashboard'!$E$4),OR('Dashboard'!$H$4="All",K15='Dashboard'!$H$4),OR('Dashboard'!$K$4="All",C15='Dashboard'!$K$4)),1,0)</x:f>
        <x:v>1</x:v>
      </x:c>
      <x:c r="AI15" s="84" t="n">
        <x:f>IF(AND(AG15=1,OR('Dashboard'!$B$4="All",I15='Dashboard'!$B$4),OR('Dashboard'!$E$4="All",N15='Dashboard'!$E$4),OR('Dashboard'!$H$4="All",K15='Dashboard'!$H$4)),1,0)</x:f>
        <x:v>1</x:v>
      </x:c>
    </x:row>
    <x:row r="16">
      <x:c r="A16" s="84" t="str">
        <x:f>'Raw Sales'!A16</x:f>
        <x:v>ORD-2024-01373</x:v>
      </x:c>
      <x:c r="B16" s="85" t="n">
        <x:f>'Raw Sales'!B16</x:f>
        <x:v>45297</x:v>
      </x:c>
      <x:c r="C16" s="84" t="n">
        <x:f>YEAR(B16)</x:f>
        <x:v>2024</x:v>
      </x:c>
      <x:c r="D16" s="91" t="n">
        <x:f>DATE(YEAR(B16),MONTH(B16),1)</x:f>
        <x:v>45292</x:v>
      </x:c>
      <x:c r="E16" s="84" t="str">
        <x:f>TEXT(B16,"mmm")</x:f>
        <x:v>Jan</x:v>
      </x:c>
      <x:c r="F16" s="84" t="str">
        <x:f>'Raw Sales'!C16</x:f>
        <x:v>CUST-0501</x:v>
      </x:c>
      <x:c r="G16" s="84" t="str">
        <x:f>PROPER(TRIM('Raw Sales'!D16))</x:f>
        <x:v>Priya Garcia</x:v>
      </x:c>
      <x:c r="H16" s="84" t="str">
        <x:f>IF(TRIM('Raw Sales'!E16)="","Unknown",PROPER(TRIM('Raw Sales'!E16)))</x:f>
        <x:v>Consumer</x:v>
      </x:c>
      <x:c r="I16" s="84" t="str">
        <x:f>PROPER(TRIM('Raw Sales'!F16))</x:f>
        <x:v>Northeast</x:v>
      </x:c>
      <x:c r="J16" s="84" t="str">
        <x:f>PROPER(TRIM('Raw Sales'!G16))</x:f>
        <x:v>Boston</x:v>
      </x:c>
      <x:c r="K16" s="84" t="str">
        <x:f>PROPER(TRIM('Raw Sales'!H16))</x:f>
        <x:v>Online</x:v>
      </x:c>
      <x:c r="L16" s="84" t="str">
        <x:f>'Raw Sales'!I16</x:f>
        <x:v>ACCS-003</x:v>
      </x:c>
      <x:c r="M16" s="84" t="str">
        <x:f>IFERROR(VLOOKUP(L16,'Reference Data'!$A$5:$F$40,2,FALSE),"Unknown Product")</x:f>
        <x:v>Polarized Sunglasses</x:v>
      </x:c>
      <x:c r="N16" s="84" t="str">
        <x:f>IFERROR(VLOOKUP(L16,'Reference Data'!$A$5:$F$40,3,FALSE),"Unknown")</x:f>
        <x:v>Accessories</x:v>
      </x:c>
      <x:c r="O16" s="84" t="str">
        <x:f>IFERROR(VLOOKUP(L16,'Reference Data'!$A$5:$F$40,4,FALSE),"Unknown")</x:f>
        <x:v>Eyewear</x:v>
      </x:c>
      <x:c r="P16" s="92" t="n">
        <x:f>IFERROR(VLOOKUP(L16,'Reference Data'!$A$5:$F$40,5,FALSE),0)</x:f>
        <x:v>59</x:v>
      </x:c>
      <x:c r="Q16" s="92" t="n">
        <x:f>IFERROR(VLOOKUP(L16,'Reference Data'!$A$5:$F$40,6,FALSE),0)</x:f>
        <x:v>17</x:v>
      </x:c>
      <x:c r="R16" s="84" t="n">
        <x:f>'Raw Sales'!J16</x:f>
        <x:v>2</x:v>
      </x:c>
      <x:c r="S16" s="87" t="n">
        <x:f>'Raw Sales'!K16</x:f>
        <x:v>0.05</x:v>
      </x:c>
      <x:c r="T16" s="93" t="n">
        <x:f>P16*R16</x:f>
        <x:v>118</x:v>
      </x:c>
      <x:c r="U16" s="93" t="n">
        <x:f>T16*S16</x:f>
        <x:v>5.9</x:v>
      </x:c>
      <x:c r="V16" s="93" t="str">
        <x:f>PROPER(TRIM('Raw Sales'!L16))</x:f>
        <x:v>Completed</x:v>
      </x:c>
      <x:c r="W16" s="93" t="n">
        <x:f>IF(V16="Returned",0,T16-U16)</x:f>
        <x:v>112.1</x:v>
      </x:c>
      <x:c r="X16" s="93" t="n">
        <x:f>IF(V16="Returned",Q16*R16*10%,Q16*R16)</x:f>
        <x:v>34</x:v>
      </x:c>
      <x:c r="Y16" s="93" t="n">
        <x:f>W16-X16</x:f>
        <x:v>78.1</x:v>
      </x:c>
      <x:c r="Z16" s="94" t="n">
        <x:f>IFERROR(Y16/W16,0)</x:f>
        <x:v>0.6966993755575379</x:v>
      </x:c>
      <x:c r="AA16" s="84" t="str">
        <x:f>PROPER(TRIM('Raw Sales'!M16))</x:f>
        <x:v>Debit Card</x:v>
      </x:c>
      <x:c r="AB16" s="84" t="str">
        <x:f>PROPER(TRIM('Raw Sales'!N16))</x:f>
        <x:v>Maya Brooks</x:v>
      </x:c>
      <x:c r="AC16" s="85" t="n">
        <x:f>'Raw Sales'!O16</x:f>
        <x:v>45303</x:v>
      </x:c>
      <x:c r="AD16" s="84" t="n">
        <x:f>AC16-B16</x:f>
        <x:v>6</x:v>
      </x:c>
      <x:c r="AE16" s="84" t="str">
        <x:f>IF(COUNTIF($A$5:A16,A16)&gt;1,"Duplicate","Keep")</x:f>
        <x:v>Keep</x:v>
      </x:c>
      <x:c r="AF16" s="84" t="str">
        <x:f>IF(OR(R16&lt;=0,AC16&lt;B16,H16="Unknown",M16="Unknown Product"),"Review","Valid")</x:f>
        <x:v>Valid</x:v>
      </x:c>
      <x:c r="AG16" s="84" t="n">
        <x:f>IF(AND(AE16="Keep",AF16="Valid"),1,0)</x:f>
        <x:v>1</x:v>
      </x:c>
      <x:c r="AH16" s="84" t="n">
        <x:f>IF(AND(AG16=1,OR('Dashboard'!$B$4="All",I16='Dashboard'!$B$4),OR('Dashboard'!$E$4="All",N16='Dashboard'!$E$4),OR('Dashboard'!$H$4="All",K16='Dashboard'!$H$4),OR('Dashboard'!$K$4="All",C16='Dashboard'!$K$4)),1,0)</x:f>
        <x:v>1</x:v>
      </x:c>
      <x:c r="AI16" s="84" t="n">
        <x:f>IF(AND(AG16=1,OR('Dashboard'!$B$4="All",I16='Dashboard'!$B$4),OR('Dashboard'!$E$4="All",N16='Dashboard'!$E$4),OR('Dashboard'!$H$4="All",K16='Dashboard'!$H$4)),1,0)</x:f>
        <x:v>1</x:v>
      </x:c>
    </x:row>
    <x:row r="17">
      <x:c r="A17" s="84" t="str">
        <x:f>'Raw Sales'!A17</x:f>
        <x:v>ORD-2024-02042</x:v>
      </x:c>
      <x:c r="B17" s="85" t="n">
        <x:f>'Raw Sales'!B17</x:f>
        <x:v>45297</x:v>
      </x:c>
      <x:c r="C17" s="84" t="n">
        <x:f>YEAR(B17)</x:f>
        <x:v>2024</x:v>
      </x:c>
      <x:c r="D17" s="91" t="n">
        <x:f>DATE(YEAR(B17),MONTH(B17),1)</x:f>
        <x:v>45292</x:v>
      </x:c>
      <x:c r="E17" s="84" t="str">
        <x:f>TEXT(B17,"mmm")</x:f>
        <x:v>Jan</x:v>
      </x:c>
      <x:c r="F17" s="84" t="str">
        <x:f>'Raw Sales'!C17</x:f>
        <x:v>CUST-0427</x:v>
      </x:c>
      <x:c r="G17" s="84" t="str">
        <x:f>PROPER(TRIM('Raw Sales'!D17))</x:f>
        <x:v>Aiden Ortiz</x:v>
      </x:c>
      <x:c r="H17" s="84" t="str">
        <x:f>IF(TRIM('Raw Sales'!E17)="","Unknown",PROPER(TRIM('Raw Sales'!E17)))</x:f>
        <x:v>Consumer</x:v>
      </x:c>
      <x:c r="I17" s="84" t="str">
        <x:f>PROPER(TRIM('Raw Sales'!F17))</x:f>
        <x:v>West</x:v>
      </x:c>
      <x:c r="J17" s="84" t="str">
        <x:f>PROPER(TRIM('Raw Sales'!G17))</x:f>
        <x:v>Los Angeles</x:v>
      </x:c>
      <x:c r="K17" s="84" t="str">
        <x:f>PROPER(TRIM('Raw Sales'!H17))</x:f>
        <x:v>Online</x:v>
      </x:c>
      <x:c r="L17" s="84" t="str">
        <x:f>'Raw Sales'!I17</x:f>
        <x:v>FITN-002</x:v>
      </x:c>
      <x:c r="M17" s="84" t="str">
        <x:f>IFERROR(VLOOKUP(L17,'Reference Data'!$A$5:$F$40,2,FALSE),"Unknown Product")</x:f>
        <x:v>Adjustable Dumbbell Set</x:v>
      </x:c>
      <x:c r="N17" s="84" t="str">
        <x:f>IFERROR(VLOOKUP(L17,'Reference Data'!$A$5:$F$40,3,FALSE),"Unknown")</x:f>
        <x:v>Fitness</x:v>
      </x:c>
      <x:c r="O17" s="84" t="str">
        <x:f>IFERROR(VLOOKUP(L17,'Reference Data'!$A$5:$F$40,4,FALSE),"Unknown")</x:f>
        <x:v>Strength</x:v>
      </x:c>
      <x:c r="P17" s="92" t="n">
        <x:f>IFERROR(VLOOKUP(L17,'Reference Data'!$A$5:$F$40,5,FALSE),0)</x:f>
        <x:v>99</x:v>
      </x:c>
      <x:c r="Q17" s="92" t="n">
        <x:f>IFERROR(VLOOKUP(L17,'Reference Data'!$A$5:$F$40,6,FALSE),0)</x:f>
        <x:v>57</x:v>
      </x:c>
      <x:c r="R17" s="84" t="n">
        <x:f>'Raw Sales'!J17</x:f>
        <x:v>4</x:v>
      </x:c>
      <x:c r="S17" s="87" t="n">
        <x:f>'Raw Sales'!K17</x:f>
        <x:v>0.05</x:v>
      </x:c>
      <x:c r="T17" s="93" t="n">
        <x:f>P17*R17</x:f>
        <x:v>396</x:v>
      </x:c>
      <x:c r="U17" s="93" t="n">
        <x:f>T17*S17</x:f>
        <x:v>19.8</x:v>
      </x:c>
      <x:c r="V17" s="93" t="str">
        <x:f>PROPER(TRIM('Raw Sales'!L17))</x:f>
        <x:v>Completed</x:v>
      </x:c>
      <x:c r="W17" s="93" t="n">
        <x:f>IF(V17="Returned",0,T17-U17)</x:f>
        <x:v>376.2</x:v>
      </x:c>
      <x:c r="X17" s="93" t="n">
        <x:f>IF(V17="Returned",Q17*R17*10%,Q17*R17)</x:f>
        <x:v>228</x:v>
      </x:c>
      <x:c r="Y17" s="93" t="n">
        <x:f>W17-X17</x:f>
        <x:v>148.2</x:v>
      </x:c>
      <x:c r="Z17" s="94" t="n">
        <x:f>IFERROR(Y17/W17,0)</x:f>
        <x:v>0.3939393939393939</x:v>
      </x:c>
      <x:c r="AA17" s="84" t="str">
        <x:f>PROPER(TRIM('Raw Sales'!M17))</x:f>
        <x:v>Paypal</x:v>
      </x:c>
      <x:c r="AB17" s="84" t="str">
        <x:f>PROPER(TRIM('Raw Sales'!N17))</x:f>
        <x:v>Nora Kim</x:v>
      </x:c>
      <x:c r="AC17" s="85" t="n">
        <x:f>'Raw Sales'!O17</x:f>
        <x:v>45301</x:v>
      </x:c>
      <x:c r="AD17" s="84" t="n">
        <x:f>AC17-B17</x:f>
        <x:v>4</x:v>
      </x:c>
      <x:c r="AE17" s="84" t="str">
        <x:f>IF(COUNTIF($A$5:A17,A17)&gt;1,"Duplicate","Keep")</x:f>
        <x:v>Keep</x:v>
      </x:c>
      <x:c r="AF17" s="84" t="str">
        <x:f>IF(OR(R17&lt;=0,AC17&lt;B17,H17="Unknown",M17="Unknown Product"),"Review","Valid")</x:f>
        <x:v>Valid</x:v>
      </x:c>
      <x:c r="AG17" s="84" t="n">
        <x:f>IF(AND(AE17="Keep",AF17="Valid"),1,0)</x:f>
        <x:v>1</x:v>
      </x:c>
      <x:c r="AH17" s="84" t="n">
        <x:f>IF(AND(AG17=1,OR('Dashboard'!$B$4="All",I17='Dashboard'!$B$4),OR('Dashboard'!$E$4="All",N17='Dashboard'!$E$4),OR('Dashboard'!$H$4="All",K17='Dashboard'!$H$4),OR('Dashboard'!$K$4="All",C17='Dashboard'!$K$4)),1,0)</x:f>
        <x:v>1</x:v>
      </x:c>
      <x:c r="AI17" s="84" t="n">
        <x:f>IF(AND(AG17=1,OR('Dashboard'!$B$4="All",I17='Dashboard'!$B$4),OR('Dashboard'!$E$4="All",N17='Dashboard'!$E$4),OR('Dashboard'!$H$4="All",K17='Dashboard'!$H$4)),1,0)</x:f>
        <x:v>1</x:v>
      </x:c>
    </x:row>
    <x:row r="18">
      <x:c r="A18" s="84" t="str">
        <x:f>'Raw Sales'!A18</x:f>
        <x:v>ORD-2024-00053</x:v>
      </x:c>
      <x:c r="B18" s="85" t="n">
        <x:f>'Raw Sales'!B18</x:f>
        <x:v>45298</x:v>
      </x:c>
      <x:c r="C18" s="84" t="n">
        <x:f>YEAR(B18)</x:f>
        <x:v>2024</x:v>
      </x:c>
      <x:c r="D18" s="91" t="n">
        <x:f>DATE(YEAR(B18),MONTH(B18),1)</x:f>
        <x:v>45292</x:v>
      </x:c>
      <x:c r="E18" s="84" t="str">
        <x:f>TEXT(B18,"mmm")</x:f>
        <x:v>Jan</x:v>
      </x:c>
      <x:c r="F18" s="84" t="str">
        <x:f>'Raw Sales'!C18</x:f>
        <x:v>CUST-0249</x:v>
      </x:c>
      <x:c r="G18" s="84" t="str">
        <x:f>PROPER(TRIM('Raw Sales'!D18))</x:f>
        <x:v>Zara Roberts</x:v>
      </x:c>
      <x:c r="H18" s="84" t="str">
        <x:f>IF(TRIM('Raw Sales'!E18)="","Unknown",PROPER(TRIM('Raw Sales'!E18)))</x:f>
        <x:v>Corporate</x:v>
      </x:c>
      <x:c r="I18" s="84" t="str">
        <x:f>PROPER(TRIM('Raw Sales'!F18))</x:f>
        <x:v>Northeast</x:v>
      </x:c>
      <x:c r="J18" s="84" t="str">
        <x:f>PROPER(TRIM('Raw Sales'!G18))</x:f>
        <x:v>Philadelphia</x:v>
      </x:c>
      <x:c r="K18" s="84" t="str">
        <x:f>PROPER(TRIM('Raw Sales'!H18))</x:f>
        <x:v>Retail Store</x:v>
      </x:c>
      <x:c r="L18" s="84" t="str">
        <x:f>'Raw Sales'!I18</x:f>
        <x:v>FITN-003</x:v>
      </x:c>
      <x:c r="M18" s="84" t="str">
        <x:f>IFERROR(VLOOKUP(L18,'Reference Data'!$A$5:$F$40,2,FALSE),"Unknown Product")</x:f>
        <x:v>Resistance Band Set</x:v>
      </x:c>
      <x:c r="N18" s="84" t="str">
        <x:f>IFERROR(VLOOKUP(L18,'Reference Data'!$A$5:$F$40,3,FALSE),"Unknown")</x:f>
        <x:v>Fitness</x:v>
      </x:c>
      <x:c r="O18" s="84" t="str">
        <x:f>IFERROR(VLOOKUP(L18,'Reference Data'!$A$5:$F$40,4,FALSE),"Unknown")</x:f>
        <x:v>Strength</x:v>
      </x:c>
      <x:c r="P18" s="92" t="n">
        <x:f>IFERROR(VLOOKUP(L18,'Reference Data'!$A$5:$F$40,5,FALSE),0)</x:f>
        <x:v>24</x:v>
      </x:c>
      <x:c r="Q18" s="92" t="n">
        <x:f>IFERROR(VLOOKUP(L18,'Reference Data'!$A$5:$F$40,6,FALSE),0)</x:f>
        <x:v>8</x:v>
      </x:c>
      <x:c r="R18" s="84" t="n">
        <x:f>'Raw Sales'!J18</x:f>
        <x:v>3</x:v>
      </x:c>
      <x:c r="S18" s="87" t="n">
        <x:f>'Raw Sales'!K18</x:f>
        <x:v>0.15</x:v>
      </x:c>
      <x:c r="T18" s="93" t="n">
        <x:f>P18*R18</x:f>
        <x:v>72</x:v>
      </x:c>
      <x:c r="U18" s="93" t="n">
        <x:f>T18*S18</x:f>
        <x:v>10.799999999999999</x:v>
      </x:c>
      <x:c r="V18" s="93" t="str">
        <x:f>PROPER(TRIM('Raw Sales'!L18))</x:f>
        <x:v>Completed</x:v>
      </x:c>
      <x:c r="W18" s="93" t="n">
        <x:f>IF(V18="Returned",0,T18-U18)</x:f>
        <x:v>61.2</x:v>
      </x:c>
      <x:c r="X18" s="93" t="n">
        <x:f>IF(V18="Returned",Q18*R18*10%,Q18*R18)</x:f>
        <x:v>24</x:v>
      </x:c>
      <x:c r="Y18" s="93" t="n">
        <x:f>W18-X18</x:f>
        <x:v>37.2</x:v>
      </x:c>
      <x:c r="Z18" s="94" t="n">
        <x:f>IFERROR(Y18/W18,0)</x:f>
        <x:v>0.607843137254902</x:v>
      </x:c>
      <x:c r="AA18" s="84" t="str">
        <x:f>PROPER(TRIM('Raw Sales'!M18))</x:f>
        <x:v>Credit Card</x:v>
      </x:c>
      <x:c r="AB18" s="84" t="str">
        <x:f>PROPER(TRIM('Raw Sales'!N18))</x:f>
        <x:v>Sofia Bennett</x:v>
      </x:c>
      <x:c r="AC18" s="85" t="n">
        <x:f>'Raw Sales'!O18</x:f>
        <x:v>45298</x:v>
      </x:c>
      <x:c r="AD18" s="84" t="n">
        <x:f>AC18-B18</x:f>
        <x:v>0</x:v>
      </x:c>
      <x:c r="AE18" s="84" t="str">
        <x:f>IF(COUNTIF($A$5:A18,A18)&gt;1,"Duplicate","Keep")</x:f>
        <x:v>Keep</x:v>
      </x:c>
      <x:c r="AF18" s="84" t="str">
        <x:f>IF(OR(R18&lt;=0,AC18&lt;B18,H18="Unknown",M18="Unknown Product"),"Review","Valid")</x:f>
        <x:v>Valid</x:v>
      </x:c>
      <x:c r="AG18" s="84" t="n">
        <x:f>IF(AND(AE18="Keep",AF18="Valid"),1,0)</x:f>
        <x:v>1</x:v>
      </x:c>
      <x:c r="AH18" s="84" t="n">
        <x:f>IF(AND(AG18=1,OR('Dashboard'!$B$4="All",I18='Dashboard'!$B$4),OR('Dashboard'!$E$4="All",N18='Dashboard'!$E$4),OR('Dashboard'!$H$4="All",K18='Dashboard'!$H$4),OR('Dashboard'!$K$4="All",C18='Dashboard'!$K$4)),1,0)</x:f>
        <x:v>1</x:v>
      </x:c>
      <x:c r="AI18" s="84" t="n">
        <x:f>IF(AND(AG18=1,OR('Dashboard'!$B$4="All",I18='Dashboard'!$B$4),OR('Dashboard'!$E$4="All",N18='Dashboard'!$E$4),OR('Dashboard'!$H$4="All",K18='Dashboard'!$H$4)),1,0)</x:f>
        <x:v>1</x:v>
      </x:c>
    </x:row>
    <x:row r="19">
      <x:c r="A19" s="84" t="str">
        <x:f>'Raw Sales'!A19</x:f>
        <x:v>ORD-2024-01249</x:v>
      </x:c>
      <x:c r="B19" s="85" t="n">
        <x:f>'Raw Sales'!B19</x:f>
        <x:v>45298</x:v>
      </x:c>
      <x:c r="C19" s="84" t="n">
        <x:f>YEAR(B19)</x:f>
        <x:v>2024</x:v>
      </x:c>
      <x:c r="D19" s="91" t="n">
        <x:f>DATE(YEAR(B19),MONTH(B19),1)</x:f>
        <x:v>45292</x:v>
      </x:c>
      <x:c r="E19" s="84" t="str">
        <x:f>TEXT(B19,"mmm")</x:f>
        <x:v>Jan</x:v>
      </x:c>
      <x:c r="F19" s="84" t="str">
        <x:f>'Raw Sales'!C19</x:f>
        <x:v>CUST-0333</x:v>
      </x:c>
      <x:c r="G19" s="84" t="str">
        <x:f>PROPER(TRIM('Raw Sales'!D19))</x:f>
        <x:v>Priya Khan</x:v>
      </x:c>
      <x:c r="H19" s="84" t="str">
        <x:f>IF(TRIM('Raw Sales'!E19)="","Unknown",PROPER(TRIM('Raw Sales'!E19)))</x:f>
        <x:v>Consumer</x:v>
      </x:c>
      <x:c r="I19" s="84" t="str">
        <x:f>PROPER(TRIM('Raw Sales'!F19))</x:f>
        <x:v>Southeast</x:v>
      </x:c>
      <x:c r="J19" s="84" t="str">
        <x:f>PROPER(TRIM('Raw Sales'!G19))</x:f>
        <x:v>Charlotte</x:v>
      </x:c>
      <x:c r="K19" s="84" t="str">
        <x:f>PROPER(TRIM('Raw Sales'!H19))</x:f>
        <x:v>Retail Store</x:v>
      </x:c>
      <x:c r="L19" s="84" t="str">
        <x:f>'Raw Sales'!I19</x:f>
        <x:v>ELEC-001</x:v>
      </x:c>
      <x:c r="M19" s="84" t="str">
        <x:f>IFERROR(VLOOKUP(L19,'Reference Data'!$A$5:$F$40,2,FALSE),"Unknown Product")</x:f>
        <x:v>Wireless Earbuds</x:v>
      </x:c>
      <x:c r="N19" s="84" t="str">
        <x:f>IFERROR(VLOOKUP(L19,'Reference Data'!$A$5:$F$40,3,FALSE),"Unknown")</x:f>
        <x:v>Electronics</x:v>
      </x:c>
      <x:c r="O19" s="84" t="str">
        <x:f>IFERROR(VLOOKUP(L19,'Reference Data'!$A$5:$F$40,4,FALSE),"Unknown")</x:f>
        <x:v>Audio</x:v>
      </x:c>
      <x:c r="P19" s="92" t="n">
        <x:f>IFERROR(VLOOKUP(L19,'Reference Data'!$A$5:$F$40,5,FALSE),0)</x:f>
        <x:v>69</x:v>
      </x:c>
      <x:c r="Q19" s="92" t="n">
        <x:f>IFERROR(VLOOKUP(L19,'Reference Data'!$A$5:$F$40,6,FALSE),0)</x:f>
        <x:v>36</x:v>
      </x:c>
      <x:c r="R19" s="84" t="n">
        <x:f>'Raw Sales'!J19</x:f>
        <x:v>1</x:v>
      </x:c>
      <x:c r="S19" s="87" t="n">
        <x:f>'Raw Sales'!K19</x:f>
        <x:v>0</x:v>
      </x:c>
      <x:c r="T19" s="93" t="n">
        <x:f>P19*R19</x:f>
        <x:v>69</x:v>
      </x:c>
      <x:c r="U19" s="93" t="n">
        <x:f>T19*S19</x:f>
        <x:v>0</x:v>
      </x:c>
      <x:c r="V19" s="93" t="str">
        <x:f>PROPER(TRIM('Raw Sales'!L19))</x:f>
        <x:v>Completed</x:v>
      </x:c>
      <x:c r="W19" s="93" t="n">
        <x:f>IF(V19="Returned",0,T19-U19)</x:f>
        <x:v>69</x:v>
      </x:c>
      <x:c r="X19" s="93" t="n">
        <x:f>IF(V19="Returned",Q19*R19*10%,Q19*R19)</x:f>
        <x:v>36</x:v>
      </x:c>
      <x:c r="Y19" s="93" t="n">
        <x:f>W19-X19</x:f>
        <x:v>33</x:v>
      </x:c>
      <x:c r="Z19" s="94" t="n">
        <x:f>IFERROR(Y19/W19,0)</x:f>
        <x:v>0.4782608695652174</x:v>
      </x:c>
      <x:c r="AA19" s="84" t="str">
        <x:f>PROPER(TRIM('Raw Sales'!M19))</x:f>
        <x:v>Credit Card</x:v>
      </x:c>
      <x:c r="AB19" s="84" t="str">
        <x:f>PROPER(TRIM('Raw Sales'!N19))</x:f>
        <x:v>Noah Reed</x:v>
      </x:c>
      <x:c r="AC19" s="85" t="n">
        <x:f>'Raw Sales'!O19</x:f>
        <x:v>45298</x:v>
      </x:c>
      <x:c r="AD19" s="84" t="n">
        <x:f>AC19-B19</x:f>
        <x:v>0</x:v>
      </x:c>
      <x:c r="AE19" s="84" t="str">
        <x:f>IF(COUNTIF($A$5:A19,A19)&gt;1,"Duplicate","Keep")</x:f>
        <x:v>Keep</x:v>
      </x:c>
      <x:c r="AF19" s="84" t="str">
        <x:f>IF(OR(R19&lt;=0,AC19&lt;B19,H19="Unknown",M19="Unknown Product"),"Review","Valid")</x:f>
        <x:v>Valid</x:v>
      </x:c>
      <x:c r="AG19" s="84" t="n">
        <x:f>IF(AND(AE19="Keep",AF19="Valid"),1,0)</x:f>
        <x:v>1</x:v>
      </x:c>
      <x:c r="AH19" s="84" t="n">
        <x:f>IF(AND(AG19=1,OR('Dashboard'!$B$4="All",I19='Dashboard'!$B$4),OR('Dashboard'!$E$4="All",N19='Dashboard'!$E$4),OR('Dashboard'!$H$4="All",K19='Dashboard'!$H$4),OR('Dashboard'!$K$4="All",C19='Dashboard'!$K$4)),1,0)</x:f>
        <x:v>1</x:v>
      </x:c>
      <x:c r="AI19" s="84" t="n">
        <x:f>IF(AND(AG19=1,OR('Dashboard'!$B$4="All",I19='Dashboard'!$B$4),OR('Dashboard'!$E$4="All",N19='Dashboard'!$E$4),OR('Dashboard'!$H$4="All",K19='Dashboard'!$H$4)),1,0)</x:f>
        <x:v>1</x:v>
      </x:c>
    </x:row>
    <x:row r="20">
      <x:c r="A20" s="84" t="str">
        <x:f>'Raw Sales'!A20</x:f>
        <x:v>ORD-2024-00900</x:v>
      </x:c>
      <x:c r="B20" s="85" t="n">
        <x:f>'Raw Sales'!B20</x:f>
        <x:v>45299</x:v>
      </x:c>
      <x:c r="C20" s="84" t="n">
        <x:f>YEAR(B20)</x:f>
        <x:v>2024</x:v>
      </x:c>
      <x:c r="D20" s="91" t="n">
        <x:f>DATE(YEAR(B20),MONTH(B20),1)</x:f>
        <x:v>45292</x:v>
      </x:c>
      <x:c r="E20" s="84" t="str">
        <x:f>TEXT(B20,"mmm")</x:f>
        <x:v>Jan</x:v>
      </x:c>
      <x:c r="F20" s="84" t="str">
        <x:f>'Raw Sales'!C20</x:f>
        <x:v>CUST-0438</x:v>
      </x:c>
      <x:c r="G20" s="84" t="str">
        <x:f>PROPER(TRIM('Raw Sales'!D20))</x:f>
        <x:v>Isaac Ortiz</x:v>
      </x:c>
      <x:c r="H20" s="84" t="str">
        <x:f>IF(TRIM('Raw Sales'!E20)="","Unknown",PROPER(TRIM('Raw Sales'!E20)))</x:f>
        <x:v>Consumer</x:v>
      </x:c>
      <x:c r="I20" s="84" t="str">
        <x:f>PROPER(TRIM('Raw Sales'!F20))</x:f>
        <x:v>Midwest</x:v>
      </x:c>
      <x:c r="J20" s="84" t="str">
        <x:f>PROPER(TRIM('Raw Sales'!G20))</x:f>
        <x:v>Columbus</x:v>
      </x:c>
      <x:c r="K20" s="84" t="str">
        <x:f>PROPER(TRIM('Raw Sales'!H20))</x:f>
        <x:v>Retail Store</x:v>
      </x:c>
      <x:c r="L20" s="84" t="str">
        <x:f>'Raw Sales'!I20</x:f>
        <x:v>HOME-005</x:v>
      </x:c>
      <x:c r="M20" s="84" t="str">
        <x:f>IFERROR(VLOOKUP(L20,'Reference Data'!$A$5:$F$40,2,FALSE),"Unknown Product")</x:f>
        <x:v>Cordless Vacuum</x:v>
      </x:c>
      <x:c r="N20" s="84" t="str">
        <x:f>IFERROR(VLOOKUP(L20,'Reference Data'!$A$5:$F$40,3,FALSE),"Unknown")</x:f>
        <x:v>Home &amp; Kitchen</x:v>
      </x:c>
      <x:c r="O20" s="84" t="str">
        <x:f>IFERROR(VLOOKUP(L20,'Reference Data'!$A$5:$F$40,4,FALSE),"Unknown")</x:f>
        <x:v>Cleaning</x:v>
      </x:c>
      <x:c r="P20" s="92" t="n">
        <x:f>IFERROR(VLOOKUP(L20,'Reference Data'!$A$5:$F$40,5,FALSE),0)</x:f>
        <x:v>179</x:v>
      </x:c>
      <x:c r="Q20" s="92" t="n">
        <x:f>IFERROR(VLOOKUP(L20,'Reference Data'!$A$5:$F$40,6,FALSE),0)</x:f>
        <x:v>102</x:v>
      </x:c>
      <x:c r="R20" s="84" t="n">
        <x:f>'Raw Sales'!J20</x:f>
        <x:v>1</x:v>
      </x:c>
      <x:c r="S20" s="87" t="n">
        <x:f>'Raw Sales'!K20</x:f>
        <x:v>0</x:v>
      </x:c>
      <x:c r="T20" s="93" t="n">
        <x:f>P20*R20</x:f>
        <x:v>179</x:v>
      </x:c>
      <x:c r="U20" s="93" t="n">
        <x:f>T20*S20</x:f>
        <x:v>0</x:v>
      </x:c>
      <x:c r="V20" s="93" t="str">
        <x:f>PROPER(TRIM('Raw Sales'!L20))</x:f>
        <x:v>Completed</x:v>
      </x:c>
      <x:c r="W20" s="93" t="n">
        <x:f>IF(V20="Returned",0,T20-U20)</x:f>
        <x:v>179</x:v>
      </x:c>
      <x:c r="X20" s="93" t="n">
        <x:f>IF(V20="Returned",Q20*R20*10%,Q20*R20)</x:f>
        <x:v>102</x:v>
      </x:c>
      <x:c r="Y20" s="93" t="n">
        <x:f>W20-X20</x:f>
        <x:v>77</x:v>
      </x:c>
      <x:c r="Z20" s="94" t="n">
        <x:f>IFERROR(Y20/W20,0)</x:f>
        <x:v>0.4301675977653631</x:v>
      </x:c>
      <x:c r="AA20" s="84" t="str">
        <x:f>PROPER(TRIM('Raw Sales'!M20))</x:f>
        <x:v>Debit Card</x:v>
      </x:c>
      <x:c r="AB20" s="84" t="str">
        <x:f>PROPER(TRIM('Raw Sales'!N20))</x:f>
        <x:v>Lucas Grant</x:v>
      </x:c>
      <x:c r="AC20" s="85" t="n">
        <x:f>'Raw Sales'!O20</x:f>
        <x:v>45299</x:v>
      </x:c>
      <x:c r="AD20" s="84" t="n">
        <x:f>AC20-B20</x:f>
        <x:v>0</x:v>
      </x:c>
      <x:c r="AE20" s="84" t="str">
        <x:f>IF(COUNTIF($A$5:A20,A20)&gt;1,"Duplicate","Keep")</x:f>
        <x:v>Keep</x:v>
      </x:c>
      <x:c r="AF20" s="84" t="str">
        <x:f>IF(OR(R20&lt;=0,AC20&lt;B20,H20="Unknown",M20="Unknown Product"),"Review","Valid")</x:f>
        <x:v>Valid</x:v>
      </x:c>
      <x:c r="AG20" s="84" t="n">
        <x:f>IF(AND(AE20="Keep",AF20="Valid"),1,0)</x:f>
        <x:v>1</x:v>
      </x:c>
      <x:c r="AH20" s="84" t="n">
        <x:f>IF(AND(AG20=1,OR('Dashboard'!$B$4="All",I20='Dashboard'!$B$4),OR('Dashboard'!$E$4="All",N20='Dashboard'!$E$4),OR('Dashboard'!$H$4="All",K20='Dashboard'!$H$4),OR('Dashboard'!$K$4="All",C20='Dashboard'!$K$4)),1,0)</x:f>
        <x:v>1</x:v>
      </x:c>
      <x:c r="AI20" s="84" t="n">
        <x:f>IF(AND(AG20=1,OR('Dashboard'!$B$4="All",I20='Dashboard'!$B$4),OR('Dashboard'!$E$4="All",N20='Dashboard'!$E$4),OR('Dashboard'!$H$4="All",K20='Dashboard'!$H$4)),1,0)</x:f>
        <x:v>1</x:v>
      </x:c>
    </x:row>
    <x:row r="21">
      <x:c r="A21" s="84" t="str">
        <x:f>'Raw Sales'!A21</x:f>
        <x:v>ORD-2024-02089</x:v>
      </x:c>
      <x:c r="B21" s="85" t="n">
        <x:f>'Raw Sales'!B21</x:f>
        <x:v>45299</x:v>
      </x:c>
      <x:c r="C21" s="84" t="n">
        <x:f>YEAR(B21)</x:f>
        <x:v>2024</x:v>
      </x:c>
      <x:c r="D21" s="91" t="n">
        <x:f>DATE(YEAR(B21),MONTH(B21),1)</x:f>
        <x:v>45292</x:v>
      </x:c>
      <x:c r="E21" s="84" t="str">
        <x:f>TEXT(B21,"mmm")</x:f>
        <x:v>Jan</x:v>
      </x:c>
      <x:c r="F21" s="84" t="str">
        <x:f>'Raw Sales'!C21</x:f>
        <x:v>CUST-0607</x:v>
      </x:c>
      <x:c r="G21" s="84" t="str">
        <x:f>PROPER(TRIM('Raw Sales'!D21))</x:f>
        <x:v>Jasmine Roberts</x:v>
      </x:c>
      <x:c r="H21" s="84" t="str">
        <x:f>IF(TRIM('Raw Sales'!E21)="","Unknown",PROPER(TRIM('Raw Sales'!E21)))</x:f>
        <x:v>Consumer</x:v>
      </x:c>
      <x:c r="I21" s="84" t="str">
        <x:f>PROPER(TRIM('Raw Sales'!F21))</x:f>
        <x:v>West</x:v>
      </x:c>
      <x:c r="J21" s="84" t="str">
        <x:f>PROPER(TRIM('Raw Sales'!G21))</x:f>
        <x:v>Denver</x:v>
      </x:c>
      <x:c r="K21" s="84" t="str">
        <x:f>PROPER(TRIM('Raw Sales'!H21))</x:f>
        <x:v>Marketplace</x:v>
      </x:c>
      <x:c r="L21" s="84" t="str">
        <x:f>'Raw Sales'!I21</x:f>
        <x:v>OFFC-002</x:v>
      </x:c>
      <x:c r="M21" s="84" t="str">
        <x:f>IFERROR(VLOOKUP(L21,'Reference Data'!$A$5:$F$40,2,FALSE),"Unknown Product")</x:f>
        <x:v>Standing Desk</x:v>
      </x:c>
      <x:c r="N21" s="84" t="str">
        <x:f>IFERROR(VLOOKUP(L21,'Reference Data'!$A$5:$F$40,3,FALSE),"Unknown")</x:f>
        <x:v>Office</x:v>
      </x:c>
      <x:c r="O21" s="84" t="str">
        <x:f>IFERROR(VLOOKUP(L21,'Reference Data'!$A$5:$F$40,4,FALSE),"Unknown")</x:f>
        <x:v>Furniture</x:v>
      </x:c>
      <x:c r="P21" s="92" t="n">
        <x:f>IFERROR(VLOOKUP(L21,'Reference Data'!$A$5:$F$40,5,FALSE),0)</x:f>
        <x:v>399</x:v>
      </x:c>
      <x:c r="Q21" s="92" t="n">
        <x:f>IFERROR(VLOOKUP(L21,'Reference Data'!$A$5:$F$40,6,FALSE),0)</x:f>
        <x:v>235</x:v>
      </x:c>
      <x:c r="R21" s="84" t="n">
        <x:f>'Raw Sales'!J21</x:f>
        <x:v>2</x:v>
      </x:c>
      <x:c r="S21" s="87" t="n">
        <x:f>'Raw Sales'!K21</x:f>
        <x:v>0</x:v>
      </x:c>
      <x:c r="T21" s="93" t="n">
        <x:f>P21*R21</x:f>
        <x:v>798</x:v>
      </x:c>
      <x:c r="U21" s="93" t="n">
        <x:f>T21*S21</x:f>
        <x:v>0</x:v>
      </x:c>
      <x:c r="V21" s="93" t="str">
        <x:f>PROPER(TRIM('Raw Sales'!L21))</x:f>
        <x:v>Completed</x:v>
      </x:c>
      <x:c r="W21" s="93" t="n">
        <x:f>IF(V21="Returned",0,T21-U21)</x:f>
        <x:v>798</x:v>
      </x:c>
      <x:c r="X21" s="93" t="n">
        <x:f>IF(V21="Returned",Q21*R21*10%,Q21*R21)</x:f>
        <x:v>470</x:v>
      </x:c>
      <x:c r="Y21" s="93" t="n">
        <x:f>W21-X21</x:f>
        <x:v>328</x:v>
      </x:c>
      <x:c r="Z21" s="94" t="n">
        <x:f>IFERROR(Y21/W21,0)</x:f>
        <x:v>0.41102756892230574</x:v>
      </x:c>
      <x:c r="AA21" s="84" t="str">
        <x:f>PROPER(TRIM('Raw Sales'!M21))</x:f>
        <x:v>Credit Card</x:v>
      </x:c>
      <x:c r="AB21" s="84" t="str">
        <x:f>PROPER(TRIM('Raw Sales'!N21))</x:f>
        <x:v>Leo Martinez</x:v>
      </x:c>
      <x:c r="AC21" s="85" t="n">
        <x:f>'Raw Sales'!O21</x:f>
        <x:v>45306</x:v>
      </x:c>
      <x:c r="AD21" s="84" t="n">
        <x:f>AC21-B21</x:f>
        <x:v>7</x:v>
      </x:c>
      <x:c r="AE21" s="84" t="str">
        <x:f>IF(COUNTIF($A$5:A21,A21)&gt;1,"Duplicate","Keep")</x:f>
        <x:v>Keep</x:v>
      </x:c>
      <x:c r="AF21" s="84" t="str">
        <x:f>IF(OR(R21&lt;=0,AC21&lt;B21,H21="Unknown",M21="Unknown Product"),"Review","Valid")</x:f>
        <x:v>Valid</x:v>
      </x:c>
      <x:c r="AG21" s="84" t="n">
        <x:f>IF(AND(AE21="Keep",AF21="Valid"),1,0)</x:f>
        <x:v>1</x:v>
      </x:c>
      <x:c r="AH21" s="84" t="n">
        <x:f>IF(AND(AG21=1,OR('Dashboard'!$B$4="All",I21='Dashboard'!$B$4),OR('Dashboard'!$E$4="All",N21='Dashboard'!$E$4),OR('Dashboard'!$H$4="All",K21='Dashboard'!$H$4),OR('Dashboard'!$K$4="All",C21='Dashboard'!$K$4)),1,0)</x:f>
        <x:v>1</x:v>
      </x:c>
      <x:c r="AI21" s="84" t="n">
        <x:f>IF(AND(AG21=1,OR('Dashboard'!$B$4="All",I21='Dashboard'!$B$4),OR('Dashboard'!$E$4="All",N21='Dashboard'!$E$4),OR('Dashboard'!$H$4="All",K21='Dashboard'!$H$4)),1,0)</x:f>
        <x:v>1</x:v>
      </x:c>
    </x:row>
    <x:row r="22">
      <x:c r="A22" s="84" t="str">
        <x:f>'Raw Sales'!A22</x:f>
        <x:v>ORD-2024-00152</x:v>
      </x:c>
      <x:c r="B22" s="85" t="n">
        <x:f>'Raw Sales'!B22</x:f>
        <x:v>45300</x:v>
      </x:c>
      <x:c r="C22" s="84" t="n">
        <x:f>YEAR(B22)</x:f>
        <x:v>2024</x:v>
      </x:c>
      <x:c r="D22" s="91" t="n">
        <x:f>DATE(YEAR(B22),MONTH(B22),1)</x:f>
        <x:v>45292</x:v>
      </x:c>
      <x:c r="E22" s="84" t="str">
        <x:f>TEXT(B22,"mmm")</x:f>
        <x:v>Jan</x:v>
      </x:c>
      <x:c r="F22" s="84" t="str">
        <x:f>'Raw Sales'!C22</x:f>
        <x:v>CUST-0420</x:v>
      </x:c>
      <x:c r="G22" s="84" t="str">
        <x:f>PROPER(TRIM('Raw Sales'!D22))</x:f>
        <x:v>William Evans</x:v>
      </x:c>
      <x:c r="H22" s="84" t="str">
        <x:f>IF(TRIM('Raw Sales'!E22)="","Unknown",PROPER(TRIM('Raw Sales'!E22)))</x:f>
        <x:v>Small Business</x:v>
      </x:c>
      <x:c r="I22" s="84" t="str">
        <x:f>PROPER(TRIM('Raw Sales'!F22))</x:f>
        <x:v>Southeast</x:v>
      </x:c>
      <x:c r="J22" s="84" t="str">
        <x:f>PROPER(TRIM('Raw Sales'!G22))</x:f>
        <x:v>Atlanta</x:v>
      </x:c>
      <x:c r="K22" s="84" t="str">
        <x:f>PROPER(TRIM('Raw Sales'!H22))</x:f>
        <x:v>Retail Store</x:v>
      </x:c>
      <x:c r="L22" s="84" t="str">
        <x:f>'Raw Sales'!I22</x:f>
        <x:v>ELEC-001</x:v>
      </x:c>
      <x:c r="M22" s="84" t="str">
        <x:f>IFERROR(VLOOKUP(L22,'Reference Data'!$A$5:$F$40,2,FALSE),"Unknown Product")</x:f>
        <x:v>Wireless Earbuds</x:v>
      </x:c>
      <x:c r="N22" s="84" t="str">
        <x:f>IFERROR(VLOOKUP(L22,'Reference Data'!$A$5:$F$40,3,FALSE),"Unknown")</x:f>
        <x:v>Electronics</x:v>
      </x:c>
      <x:c r="O22" s="84" t="str">
        <x:f>IFERROR(VLOOKUP(L22,'Reference Data'!$A$5:$F$40,4,FALSE),"Unknown")</x:f>
        <x:v>Audio</x:v>
      </x:c>
      <x:c r="P22" s="92" t="n">
        <x:f>IFERROR(VLOOKUP(L22,'Reference Data'!$A$5:$F$40,5,FALSE),0)</x:f>
        <x:v>69</x:v>
      </x:c>
      <x:c r="Q22" s="92" t="n">
        <x:f>IFERROR(VLOOKUP(L22,'Reference Data'!$A$5:$F$40,6,FALSE),0)</x:f>
        <x:v>36</x:v>
      </x:c>
      <x:c r="R22" s="84" t="n">
        <x:f>'Raw Sales'!J22</x:f>
        <x:v>2</x:v>
      </x:c>
      <x:c r="S22" s="87" t="n">
        <x:f>'Raw Sales'!K22</x:f>
        <x:v>0.1</x:v>
      </x:c>
      <x:c r="T22" s="93" t="n">
        <x:f>P22*R22</x:f>
        <x:v>138</x:v>
      </x:c>
      <x:c r="U22" s="93" t="n">
        <x:f>T22*S22</x:f>
        <x:v>13.8</x:v>
      </x:c>
      <x:c r="V22" s="93" t="str">
        <x:f>PROPER(TRIM('Raw Sales'!L22))</x:f>
        <x:v>Completed</x:v>
      </x:c>
      <x:c r="W22" s="93" t="n">
        <x:f>IF(V22="Returned",0,T22-U22)</x:f>
        <x:v>124.2</x:v>
      </x:c>
      <x:c r="X22" s="93" t="n">
        <x:f>IF(V22="Returned",Q22*R22*10%,Q22*R22)</x:f>
        <x:v>72</x:v>
      </x:c>
      <x:c r="Y22" s="93" t="n">
        <x:f>W22-X22</x:f>
        <x:v>52.2</x:v>
      </x:c>
      <x:c r="Z22" s="94" t="n">
        <x:f>IFERROR(Y22/W22,0)</x:f>
        <x:v>0.4202898550724638</x:v>
      </x:c>
      <x:c r="AA22" s="84" t="str">
        <x:f>PROPER(TRIM('Raw Sales'!M22))</x:f>
        <x:v>Debit Card</x:v>
      </x:c>
      <x:c r="AB22" s="84" t="str">
        <x:f>PROPER(TRIM('Raw Sales'!N22))</x:f>
        <x:v>Noah Reed</x:v>
      </x:c>
      <x:c r="AC22" s="85" t="n">
        <x:f>'Raw Sales'!O22</x:f>
        <x:v>45300</x:v>
      </x:c>
      <x:c r="AD22" s="84" t="n">
        <x:f>AC22-B22</x:f>
        <x:v>0</x:v>
      </x:c>
      <x:c r="AE22" s="84" t="str">
        <x:f>IF(COUNTIF($A$5:A22,A22)&gt;1,"Duplicate","Keep")</x:f>
        <x:v>Keep</x:v>
      </x:c>
      <x:c r="AF22" s="84" t="str">
        <x:f>IF(OR(R22&lt;=0,AC22&lt;B22,H22="Unknown",M22="Unknown Product"),"Review","Valid")</x:f>
        <x:v>Valid</x:v>
      </x:c>
      <x:c r="AG22" s="84" t="n">
        <x:f>IF(AND(AE22="Keep",AF22="Valid"),1,0)</x:f>
        <x:v>1</x:v>
      </x:c>
      <x:c r="AH22" s="84" t="n">
        <x:f>IF(AND(AG22=1,OR('Dashboard'!$B$4="All",I22='Dashboard'!$B$4),OR('Dashboard'!$E$4="All",N22='Dashboard'!$E$4),OR('Dashboard'!$H$4="All",K22='Dashboard'!$H$4),OR('Dashboard'!$K$4="All",C22='Dashboard'!$K$4)),1,0)</x:f>
        <x:v>1</x:v>
      </x:c>
      <x:c r="AI22" s="84" t="n">
        <x:f>IF(AND(AG22=1,OR('Dashboard'!$B$4="All",I22='Dashboard'!$B$4),OR('Dashboard'!$E$4="All",N22='Dashboard'!$E$4),OR('Dashboard'!$H$4="All",K22='Dashboard'!$H$4)),1,0)</x:f>
        <x:v>1</x:v>
      </x:c>
    </x:row>
    <x:row r="23">
      <x:c r="A23" s="84" t="str">
        <x:f>'Raw Sales'!A23</x:f>
        <x:v>ORD-2024-00688</x:v>
      </x:c>
      <x:c r="B23" s="85" t="n">
        <x:f>'Raw Sales'!B23</x:f>
        <x:v>45300</x:v>
      </x:c>
      <x:c r="C23" s="84" t="n">
        <x:f>YEAR(B23)</x:f>
        <x:v>2024</x:v>
      </x:c>
      <x:c r="D23" s="91" t="n">
        <x:f>DATE(YEAR(B23),MONTH(B23),1)</x:f>
        <x:v>45292</x:v>
      </x:c>
      <x:c r="E23" s="84" t="str">
        <x:f>TEXT(B23,"mmm")</x:f>
        <x:v>Jan</x:v>
      </x:c>
      <x:c r="F23" s="84" t="str">
        <x:f>'Raw Sales'!C23</x:f>
        <x:v>CUST-0151</x:v>
      </x:c>
      <x:c r="G23" s="84" t="str">
        <x:f>PROPER(TRIM('Raw Sales'!D23))</x:f>
        <x:v>Theo Davis</x:v>
      </x:c>
      <x:c r="H23" s="84" t="str">
        <x:f>IF(TRIM('Raw Sales'!E23)="","Unknown",PROPER(TRIM('Raw Sales'!E23)))</x:f>
        <x:v>Small Business</x:v>
      </x:c>
      <x:c r="I23" s="84" t="str">
        <x:f>PROPER(TRIM('Raw Sales'!F23))</x:f>
        <x:v>Southeast</x:v>
      </x:c>
      <x:c r="J23" s="84" t="str">
        <x:f>PROPER(TRIM('Raw Sales'!G23))</x:f>
        <x:v>Nashville</x:v>
      </x:c>
      <x:c r="K23" s="84" t="str">
        <x:f>PROPER(TRIM('Raw Sales'!H23))</x:f>
        <x:v>Marketplace</x:v>
      </x:c>
      <x:c r="L23" s="84" t="str">
        <x:f>'Raw Sales'!I23</x:f>
        <x:v>CARE-001</x:v>
      </x:c>
      <x:c r="M23" s="84" t="str">
        <x:f>IFERROR(VLOOKUP(L23,'Reference Data'!$A$5:$F$40,2,FALSE),"Unknown Product")</x:f>
        <x:v>Ionic Hair Dryer</x:v>
      </x:c>
      <x:c r="N23" s="84" t="str">
        <x:f>IFERROR(VLOOKUP(L23,'Reference Data'!$A$5:$F$40,3,FALSE),"Unknown")</x:f>
        <x:v>Personal Care</x:v>
      </x:c>
      <x:c r="O23" s="84" t="str">
        <x:f>IFERROR(VLOOKUP(L23,'Reference Data'!$A$5:$F$40,4,FALSE),"Unknown")</x:f>
        <x:v>Hair Care</x:v>
      </x:c>
      <x:c r="P23" s="92" t="n">
        <x:f>IFERROR(VLOOKUP(L23,'Reference Data'!$A$5:$F$40,5,FALSE),0)</x:f>
        <x:v>54</x:v>
      </x:c>
      <x:c r="Q23" s="92" t="n">
        <x:f>IFERROR(VLOOKUP(L23,'Reference Data'!$A$5:$F$40,6,FALSE),0)</x:f>
        <x:v>25</x:v>
      </x:c>
      <x:c r="R23" s="84" t="n">
        <x:f>'Raw Sales'!J23</x:f>
        <x:v>1</x:v>
      </x:c>
      <x:c r="S23" s="87" t="n">
        <x:f>'Raw Sales'!K23</x:f>
        <x:v>0.05</x:v>
      </x:c>
      <x:c r="T23" s="93" t="n">
        <x:f>P23*R23</x:f>
        <x:v>54</x:v>
      </x:c>
      <x:c r="U23" s="93" t="n">
        <x:f>T23*S23</x:f>
        <x:v>2.7</x:v>
      </x:c>
      <x:c r="V23" s="93" t="str">
        <x:f>PROPER(TRIM('Raw Sales'!L23))</x:f>
        <x:v>Completed</x:v>
      </x:c>
      <x:c r="W23" s="93" t="n">
        <x:f>IF(V23="Returned",0,T23-U23)</x:f>
        <x:v>51.3</x:v>
      </x:c>
      <x:c r="X23" s="93" t="n">
        <x:f>IF(V23="Returned",Q23*R23*10%,Q23*R23)</x:f>
        <x:v>25</x:v>
      </x:c>
      <x:c r="Y23" s="93" t="n">
        <x:f>W23-X23</x:f>
        <x:v>26.299999999999997</x:v>
      </x:c>
      <x:c r="Z23" s="94" t="n">
        <x:f>IFERROR(Y23/W23,0)</x:f>
        <x:v>0.5126705653021443</x:v>
      </x:c>
      <x:c r="AA23" s="84" t="str">
        <x:f>PROPER(TRIM('Raw Sales'!M23))</x:f>
        <x:v>Credit Card</x:v>
      </x:c>
      <x:c r="AB23" s="84" t="str">
        <x:f>PROPER(TRIM('Raw Sales'!N23))</x:f>
        <x:v>Noah Reed</x:v>
      </x:c>
      <x:c r="AC23" s="85" t="n">
        <x:f>'Raw Sales'!O23</x:f>
        <x:v>45305</x:v>
      </x:c>
      <x:c r="AD23" s="84" t="n">
        <x:f>AC23-B23</x:f>
        <x:v>5</x:v>
      </x:c>
      <x:c r="AE23" s="84" t="str">
        <x:f>IF(COUNTIF($A$5:A23,A23)&gt;1,"Duplicate","Keep")</x:f>
        <x:v>Keep</x:v>
      </x:c>
      <x:c r="AF23" s="84" t="str">
        <x:f>IF(OR(R23&lt;=0,AC23&lt;B23,H23="Unknown",M23="Unknown Product"),"Review","Valid")</x:f>
        <x:v>Valid</x:v>
      </x:c>
      <x:c r="AG23" s="84" t="n">
        <x:f>IF(AND(AE23="Keep",AF23="Valid"),1,0)</x:f>
        <x:v>1</x:v>
      </x:c>
      <x:c r="AH23" s="84" t="n">
        <x:f>IF(AND(AG23=1,OR('Dashboard'!$B$4="All",I23='Dashboard'!$B$4),OR('Dashboard'!$E$4="All",N23='Dashboard'!$E$4),OR('Dashboard'!$H$4="All",K23='Dashboard'!$H$4),OR('Dashboard'!$K$4="All",C23='Dashboard'!$K$4)),1,0)</x:f>
        <x:v>1</x:v>
      </x:c>
      <x:c r="AI23" s="84" t="n">
        <x:f>IF(AND(AG23=1,OR('Dashboard'!$B$4="All",I23='Dashboard'!$B$4),OR('Dashboard'!$E$4="All",N23='Dashboard'!$E$4),OR('Dashboard'!$H$4="All",K23='Dashboard'!$H$4)),1,0)</x:f>
        <x:v>1</x:v>
      </x:c>
    </x:row>
    <x:row r="24">
      <x:c r="A24" s="84" t="str">
        <x:f>'Raw Sales'!A24</x:f>
        <x:v>ORD-2024-00066</x:v>
      </x:c>
      <x:c r="B24" s="85" t="n">
        <x:f>'Raw Sales'!B24</x:f>
        <x:v>45301</x:v>
      </x:c>
      <x:c r="C24" s="84" t="n">
        <x:f>YEAR(B24)</x:f>
        <x:v>2024</x:v>
      </x:c>
      <x:c r="D24" s="91" t="n">
        <x:f>DATE(YEAR(B24),MONTH(B24),1)</x:f>
        <x:v>45292</x:v>
      </x:c>
      <x:c r="E24" s="84" t="str">
        <x:f>TEXT(B24,"mmm")</x:f>
        <x:v>Jan</x:v>
      </x:c>
      <x:c r="F24" s="84" t="str">
        <x:f>'Raw Sales'!C24</x:f>
        <x:v>CUST-0105</x:v>
      </x:c>
      <x:c r="G24" s="84" t="str">
        <x:f>PROPER(TRIM('Raw Sales'!D24))</x:f>
        <x:v>Chloe Ortiz</x:v>
      </x:c>
      <x:c r="H24" s="84" t="str">
        <x:f>IF(TRIM('Raw Sales'!E24)="","Unknown",PROPER(TRIM('Raw Sales'!E24)))</x:f>
        <x:v>Corporate</x:v>
      </x:c>
      <x:c r="I24" s="84" t="str">
        <x:f>PROPER(TRIM('Raw Sales'!F24))</x:f>
        <x:v>West</x:v>
      </x:c>
      <x:c r="J24" s="84" t="str">
        <x:f>PROPER(TRIM('Raw Sales'!G24))</x:f>
        <x:v>Phoenix</x:v>
      </x:c>
      <x:c r="K24" s="84" t="str">
        <x:f>PROPER(TRIM('Raw Sales'!H24))</x:f>
        <x:v>Marketplace</x:v>
      </x:c>
      <x:c r="L24" s="84" t="str">
        <x:f>'Raw Sales'!I24</x:f>
        <x:v>ELEC-006</x:v>
      </x:c>
      <x:c r="M24" s="84" t="str">
        <x:f>IFERROR(VLOOKUP(L24,'Reference Data'!$A$5:$F$40,2,FALSE),"Unknown Product")</x:f>
        <x:v>Portable SSD</x:v>
      </x:c>
      <x:c r="N24" s="84" t="str">
        <x:f>IFERROR(VLOOKUP(L24,'Reference Data'!$A$5:$F$40,3,FALSE),"Unknown")</x:f>
        <x:v>Electronics</x:v>
      </x:c>
      <x:c r="O24" s="84" t="str">
        <x:f>IFERROR(VLOOKUP(L24,'Reference Data'!$A$5:$F$40,4,FALSE),"Unknown")</x:f>
        <x:v>Storage</x:v>
      </x:c>
      <x:c r="P24" s="92" t="n">
        <x:f>IFERROR(VLOOKUP(L24,'Reference Data'!$A$5:$F$40,5,FALSE),0)</x:f>
        <x:v>129</x:v>
      </x:c>
      <x:c r="Q24" s="92" t="n">
        <x:f>IFERROR(VLOOKUP(L24,'Reference Data'!$A$5:$F$40,6,FALSE),0)</x:f>
        <x:v>75</x:v>
      </x:c>
      <x:c r="R24" s="84" t="n">
        <x:f>'Raw Sales'!J24</x:f>
        <x:v>2</x:v>
      </x:c>
      <x:c r="S24" s="87" t="n">
        <x:f>'Raw Sales'!K24</x:f>
        <x:v>0.15</x:v>
      </x:c>
      <x:c r="T24" s="93" t="n">
        <x:f>P24*R24</x:f>
        <x:v>258</x:v>
      </x:c>
      <x:c r="U24" s="93" t="n">
        <x:f>T24*S24</x:f>
        <x:v>38.699999999999996</x:v>
      </x:c>
      <x:c r="V24" s="93" t="str">
        <x:f>PROPER(TRIM('Raw Sales'!L24))</x:f>
        <x:v>Completed</x:v>
      </x:c>
      <x:c r="W24" s="93" t="n">
        <x:f>IF(V24="Returned",0,T24-U24)</x:f>
        <x:v>219.3</x:v>
      </x:c>
      <x:c r="X24" s="93" t="n">
        <x:f>IF(V24="Returned",Q24*R24*10%,Q24*R24)</x:f>
        <x:v>150</x:v>
      </x:c>
      <x:c r="Y24" s="93" t="n">
        <x:f>W24-X24</x:f>
        <x:v>69.30000000000001</x:v>
      </x:c>
      <x:c r="Z24" s="94" t="n">
        <x:f>IFERROR(Y24/W24,0)</x:f>
        <x:v>0.31600547195622436</x:v>
      </x:c>
      <x:c r="AA24" s="84" t="str">
        <x:f>PROPER(TRIM('Raw Sales'!M24))</x:f>
        <x:v>Paypal</x:v>
      </x:c>
      <x:c r="AB24" s="84" t="str">
        <x:f>PROPER(TRIM('Raw Sales'!N24))</x:f>
        <x:v>Nora Kim</x:v>
      </x:c>
      <x:c r="AC24" s="85" t="n">
        <x:f>'Raw Sales'!O24</x:f>
        <x:v>45305</x:v>
      </x:c>
      <x:c r="AD24" s="84" t="n">
        <x:f>AC24-B24</x:f>
        <x:v>4</x:v>
      </x:c>
      <x:c r="AE24" s="84" t="str">
        <x:f>IF(COUNTIF($A$5:A24,A24)&gt;1,"Duplicate","Keep")</x:f>
        <x:v>Keep</x:v>
      </x:c>
      <x:c r="AF24" s="84" t="str">
        <x:f>IF(OR(R24&lt;=0,AC24&lt;B24,H24="Unknown",M24="Unknown Product"),"Review","Valid")</x:f>
        <x:v>Valid</x:v>
      </x:c>
      <x:c r="AG24" s="84" t="n">
        <x:f>IF(AND(AE24="Keep",AF24="Valid"),1,0)</x:f>
        <x:v>1</x:v>
      </x:c>
      <x:c r="AH24" s="84" t="n">
        <x:f>IF(AND(AG24=1,OR('Dashboard'!$B$4="All",I24='Dashboard'!$B$4),OR('Dashboard'!$E$4="All",N24='Dashboard'!$E$4),OR('Dashboard'!$H$4="All",K24='Dashboard'!$H$4),OR('Dashboard'!$K$4="All",C24='Dashboard'!$K$4)),1,0)</x:f>
        <x:v>1</x:v>
      </x:c>
      <x:c r="AI24" s="84" t="n">
        <x:f>IF(AND(AG24=1,OR('Dashboard'!$B$4="All",I24='Dashboard'!$B$4),OR('Dashboard'!$E$4="All",N24='Dashboard'!$E$4),OR('Dashboard'!$H$4="All",K24='Dashboard'!$H$4)),1,0)</x:f>
        <x:v>1</x:v>
      </x:c>
    </x:row>
    <x:row r="25">
      <x:c r="A25" s="84" t="str">
        <x:f>'Raw Sales'!A25</x:f>
        <x:v>ORD-2024-01678</x:v>
      </x:c>
      <x:c r="B25" s="85" t="n">
        <x:f>'Raw Sales'!B25</x:f>
        <x:v>45301</x:v>
      </x:c>
      <x:c r="C25" s="84" t="n">
        <x:f>YEAR(B25)</x:f>
        <x:v>2024</x:v>
      </x:c>
      <x:c r="D25" s="91" t="n">
        <x:f>DATE(YEAR(B25),MONTH(B25),1)</x:f>
        <x:v>45292</x:v>
      </x:c>
      <x:c r="E25" s="84" t="str">
        <x:f>TEXT(B25,"mmm")</x:f>
        <x:v>Jan</x:v>
      </x:c>
      <x:c r="F25" s="84" t="str">
        <x:f>'Raw Sales'!C25</x:f>
        <x:v>CUST-0603</x:v>
      </x:c>
      <x:c r="G25" s="84" t="str">
        <x:f>PROPER(TRIM('Raw Sales'!D25))</x:f>
        <x:v>Elias Roberts</x:v>
      </x:c>
      <x:c r="H25" s="84" t="str">
        <x:f>IF(TRIM('Raw Sales'!E25)="","Unknown",PROPER(TRIM('Raw Sales'!E25)))</x:f>
        <x:v>Consumer</x:v>
      </x:c>
      <x:c r="I25" s="84" t="str">
        <x:f>PROPER(TRIM('Raw Sales'!F25))</x:f>
        <x:v>Northeast</x:v>
      </x:c>
      <x:c r="J25" s="84" t="str">
        <x:f>PROPER(TRIM('Raw Sales'!G25))</x:f>
        <x:v>Newark</x:v>
      </x:c>
      <x:c r="K25" s="84" t="str">
        <x:f>PROPER(TRIM('Raw Sales'!H25))</x:f>
        <x:v>Online</x:v>
      </x:c>
      <x:c r="L25" s="84" t="str">
        <x:f>'Raw Sales'!I25</x:f>
        <x:v>ACCS-003</x:v>
      </x:c>
      <x:c r="M25" s="84" t="str">
        <x:f>IFERROR(VLOOKUP(L25,'Reference Data'!$A$5:$F$40,2,FALSE),"Unknown Product")</x:f>
        <x:v>Polarized Sunglasses</x:v>
      </x:c>
      <x:c r="N25" s="84" t="str">
        <x:f>IFERROR(VLOOKUP(L25,'Reference Data'!$A$5:$F$40,3,FALSE),"Unknown")</x:f>
        <x:v>Accessories</x:v>
      </x:c>
      <x:c r="O25" s="84" t="str">
        <x:f>IFERROR(VLOOKUP(L25,'Reference Data'!$A$5:$F$40,4,FALSE),"Unknown")</x:f>
        <x:v>Eyewear</x:v>
      </x:c>
      <x:c r="P25" s="92" t="n">
        <x:f>IFERROR(VLOOKUP(L25,'Reference Data'!$A$5:$F$40,5,FALSE),0)</x:f>
        <x:v>59</x:v>
      </x:c>
      <x:c r="Q25" s="92" t="n">
        <x:f>IFERROR(VLOOKUP(L25,'Reference Data'!$A$5:$F$40,6,FALSE),0)</x:f>
        <x:v>17</x:v>
      </x:c>
      <x:c r="R25" s="84" t="n">
        <x:f>'Raw Sales'!J25</x:f>
        <x:v>1</x:v>
      </x:c>
      <x:c r="S25" s="87" t="n">
        <x:f>'Raw Sales'!K25</x:f>
        <x:v>0.05</x:v>
      </x:c>
      <x:c r="T25" s="93" t="n">
        <x:f>P25*R25</x:f>
        <x:v>59</x:v>
      </x:c>
      <x:c r="U25" s="93" t="n">
        <x:f>T25*S25</x:f>
        <x:v>2.95</x:v>
      </x:c>
      <x:c r="V25" s="93" t="str">
        <x:f>PROPER(TRIM('Raw Sales'!L25))</x:f>
        <x:v>Completed</x:v>
      </x:c>
      <x:c r="W25" s="93" t="n">
        <x:f>IF(V25="Returned",0,T25-U25)</x:f>
        <x:v>56.05</x:v>
      </x:c>
      <x:c r="X25" s="93" t="n">
        <x:f>IF(V25="Returned",Q25*R25*10%,Q25*R25)</x:f>
        <x:v>17</x:v>
      </x:c>
      <x:c r="Y25" s="93" t="n">
        <x:f>W25-X25</x:f>
        <x:v>39.05</x:v>
      </x:c>
      <x:c r="Z25" s="94" t="n">
        <x:f>IFERROR(Y25/W25,0)</x:f>
        <x:v>0.6966993755575379</x:v>
      </x:c>
      <x:c r="AA25" s="84" t="str">
        <x:f>PROPER(TRIM('Raw Sales'!M25))</x:f>
        <x:v>Paypal</x:v>
      </x:c>
      <x:c r="AB25" s="84" t="str">
        <x:f>PROPER(TRIM('Raw Sales'!N25))</x:f>
        <x:v>Sofia Bennett</x:v>
      </x:c>
      <x:c r="AC25" s="85" t="n">
        <x:f>'Raw Sales'!O25</x:f>
        <x:v>45307</x:v>
      </x:c>
      <x:c r="AD25" s="84" t="n">
        <x:f>AC25-B25</x:f>
        <x:v>6</x:v>
      </x:c>
      <x:c r="AE25" s="84" t="str">
        <x:f>IF(COUNTIF($A$5:A25,A25)&gt;1,"Duplicate","Keep")</x:f>
        <x:v>Keep</x:v>
      </x:c>
      <x:c r="AF25" s="84" t="str">
        <x:f>IF(OR(R25&lt;=0,AC25&lt;B25,H25="Unknown",M25="Unknown Product"),"Review","Valid")</x:f>
        <x:v>Valid</x:v>
      </x:c>
      <x:c r="AG25" s="84" t="n">
        <x:f>IF(AND(AE25="Keep",AF25="Valid"),1,0)</x:f>
        <x:v>1</x:v>
      </x:c>
      <x:c r="AH25" s="84" t="n">
        <x:f>IF(AND(AG25=1,OR('Dashboard'!$B$4="All",I25='Dashboard'!$B$4),OR('Dashboard'!$E$4="All",N25='Dashboard'!$E$4),OR('Dashboard'!$H$4="All",K25='Dashboard'!$H$4),OR('Dashboard'!$K$4="All",C25='Dashboard'!$K$4)),1,0)</x:f>
        <x:v>1</x:v>
      </x:c>
      <x:c r="AI25" s="84" t="n">
        <x:f>IF(AND(AG25=1,OR('Dashboard'!$B$4="All",I25='Dashboard'!$B$4),OR('Dashboard'!$E$4="All",N25='Dashboard'!$E$4),OR('Dashboard'!$H$4="All",K25='Dashboard'!$H$4)),1,0)</x:f>
        <x:v>1</x:v>
      </x:c>
    </x:row>
    <x:row r="26">
      <x:c r="A26" s="84" t="str">
        <x:f>'Raw Sales'!A26</x:f>
        <x:v>ORD-2024-01117</x:v>
      </x:c>
      <x:c r="B26" s="85" t="n">
        <x:f>'Raw Sales'!B26</x:f>
        <x:v>45302</x:v>
      </x:c>
      <x:c r="C26" s="84" t="n">
        <x:f>YEAR(B26)</x:f>
        <x:v>2024</x:v>
      </x:c>
      <x:c r="D26" s="91" t="n">
        <x:f>DATE(YEAR(B26),MONTH(B26),1)</x:f>
        <x:v>45292</x:v>
      </x:c>
      <x:c r="E26" s="84" t="str">
        <x:f>TEXT(B26,"mmm")</x:f>
        <x:v>Jan</x:v>
      </x:c>
      <x:c r="F26" s="84" t="str">
        <x:f>'Raw Sales'!C26</x:f>
        <x:v>CUST-0143</x:v>
      </x:c>
      <x:c r="G26" s="84" t="str">
        <x:f>PROPER(TRIM('Raw Sales'!D26))</x:f>
        <x:v>Owen Foster</x:v>
      </x:c>
      <x:c r="H26" s="84" t="str">
        <x:f>IF(TRIM('Raw Sales'!E26)="","Unknown",PROPER(TRIM('Raw Sales'!E26)))</x:f>
        <x:v>Small Business</x:v>
      </x:c>
      <x:c r="I26" s="84" t="str">
        <x:f>PROPER(TRIM('Raw Sales'!F26))</x:f>
        <x:v>Southeast</x:v>
      </x:c>
      <x:c r="J26" s="84" t="str">
        <x:f>PROPER(TRIM('Raw Sales'!G26))</x:f>
        <x:v>Atlanta</x:v>
      </x:c>
      <x:c r="K26" s="84" t="str">
        <x:f>PROPER(TRIM('Raw Sales'!H26))</x:f>
        <x:v>Retail Store</x:v>
      </x:c>
      <x:c r="L26" s="84" t="str">
        <x:f>'Raw Sales'!I26</x:f>
        <x:v>ELEC-005</x:v>
      </x:c>
      <x:c r="M26" s="84" t="str">
        <x:f>IFERROR(VLOOKUP(L26,'Reference Data'!$A$5:$F$40,2,FALSE),"Unknown Product")</x:f>
        <x:v>HD Webcam</x:v>
      </x:c>
      <x:c r="N26" s="84" t="str">
        <x:f>IFERROR(VLOOKUP(L26,'Reference Data'!$A$5:$F$40,3,FALSE),"Unknown")</x:f>
        <x:v>Electronics</x:v>
      </x:c>
      <x:c r="O26" s="84" t="str">
        <x:f>IFERROR(VLOOKUP(L26,'Reference Data'!$A$5:$F$40,4,FALSE),"Unknown")</x:f>
        <x:v>Computer Accessories</x:v>
      </x:c>
      <x:c r="P26" s="92" t="n">
        <x:f>IFERROR(VLOOKUP(L26,'Reference Data'!$A$5:$F$40,5,FALSE),0)</x:f>
        <x:v>79</x:v>
      </x:c>
      <x:c r="Q26" s="92" t="n">
        <x:f>IFERROR(VLOOKUP(L26,'Reference Data'!$A$5:$F$40,6,FALSE),0)</x:f>
        <x:v>37</x:v>
      </x:c>
      <x:c r="R26" s="84" t="n">
        <x:f>'Raw Sales'!J26</x:f>
        <x:v>4</x:v>
      </x:c>
      <x:c r="S26" s="87" t="n">
        <x:f>'Raw Sales'!K26</x:f>
        <x:v>0</x:v>
      </x:c>
      <x:c r="T26" s="93" t="n">
        <x:f>P26*R26</x:f>
        <x:v>316</x:v>
      </x:c>
      <x:c r="U26" s="93" t="n">
        <x:f>T26*S26</x:f>
        <x:v>0</x:v>
      </x:c>
      <x:c r="V26" s="93" t="str">
        <x:f>PROPER(TRIM('Raw Sales'!L26))</x:f>
        <x:v>Completed</x:v>
      </x:c>
      <x:c r="W26" s="93" t="n">
        <x:f>IF(V26="Returned",0,T26-U26)</x:f>
        <x:v>316</x:v>
      </x:c>
      <x:c r="X26" s="93" t="n">
        <x:f>IF(V26="Returned",Q26*R26*10%,Q26*R26)</x:f>
        <x:v>148</x:v>
      </x:c>
      <x:c r="Y26" s="93" t="n">
        <x:f>W26-X26</x:f>
        <x:v>168</x:v>
      </x:c>
      <x:c r="Z26" s="94" t="n">
        <x:f>IFERROR(Y26/W26,0)</x:f>
        <x:v>0.5316455696202531</x:v>
      </x:c>
      <x:c r="AA26" s="84" t="str">
        <x:f>PROPER(TRIM('Raw Sales'!M26))</x:f>
        <x:v>Debit Card</x:v>
      </x:c>
      <x:c r="AB26" s="84" t="str">
        <x:f>PROPER(TRIM('Raw Sales'!N26))</x:f>
        <x:v>Noah Reed</x:v>
      </x:c>
      <x:c r="AC26" s="85" t="n">
        <x:f>'Raw Sales'!O26</x:f>
        <x:v>45302</x:v>
      </x:c>
      <x:c r="AD26" s="84" t="n">
        <x:f>AC26-B26</x:f>
        <x:v>0</x:v>
      </x:c>
      <x:c r="AE26" s="84" t="str">
        <x:f>IF(COUNTIF($A$5:A26,A26)&gt;1,"Duplicate","Keep")</x:f>
        <x:v>Keep</x:v>
      </x:c>
      <x:c r="AF26" s="84" t="str">
        <x:f>IF(OR(R26&lt;=0,AC26&lt;B26,H26="Unknown",M26="Unknown Product"),"Review","Valid")</x:f>
        <x:v>Valid</x:v>
      </x:c>
      <x:c r="AG26" s="84" t="n">
        <x:f>IF(AND(AE26="Keep",AF26="Valid"),1,0)</x:f>
        <x:v>1</x:v>
      </x:c>
      <x:c r="AH26" s="84" t="n">
        <x:f>IF(AND(AG26=1,OR('Dashboard'!$B$4="All",I26='Dashboard'!$B$4),OR('Dashboard'!$E$4="All",N26='Dashboard'!$E$4),OR('Dashboard'!$H$4="All",K26='Dashboard'!$H$4),OR('Dashboard'!$K$4="All",C26='Dashboard'!$K$4)),1,0)</x:f>
        <x:v>1</x:v>
      </x:c>
      <x:c r="AI26" s="84" t="n">
        <x:f>IF(AND(AG26=1,OR('Dashboard'!$B$4="All",I26='Dashboard'!$B$4),OR('Dashboard'!$E$4="All",N26='Dashboard'!$E$4),OR('Dashboard'!$H$4="All",K26='Dashboard'!$H$4)),1,0)</x:f>
        <x:v>1</x:v>
      </x:c>
    </x:row>
    <x:row r="27">
      <x:c r="A27" s="84" t="str">
        <x:f>'Raw Sales'!A27</x:f>
        <x:v>ORD-2024-02148</x:v>
      </x:c>
      <x:c r="B27" s="85" t="n">
        <x:f>'Raw Sales'!B27</x:f>
        <x:v>45302</x:v>
      </x:c>
      <x:c r="C27" s="84" t="n">
        <x:f>YEAR(B27)</x:f>
        <x:v>2024</x:v>
      </x:c>
      <x:c r="D27" s="91" t="n">
        <x:f>DATE(YEAR(B27),MONTH(B27),1)</x:f>
        <x:v>45292</x:v>
      </x:c>
      <x:c r="E27" s="84" t="str">
        <x:f>TEXT(B27,"mmm")</x:f>
        <x:v>Jan</x:v>
      </x:c>
      <x:c r="F27" s="84" t="str">
        <x:f>'Raw Sales'!C27</x:f>
        <x:v>CUST-0332</x:v>
      </x:c>
      <x:c r="G27" s="84" t="str">
        <x:f>PROPER(TRIM('Raw Sales'!D27))</x:f>
        <x:v>Grace Smith</x:v>
      </x:c>
      <x:c r="H27" s="84" t="str">
        <x:f>IF(TRIM('Raw Sales'!E27)="","Unknown",PROPER(TRIM('Raw Sales'!E27)))</x:f>
        <x:v>Small Business</x:v>
      </x:c>
      <x:c r="I27" s="84" t="str">
        <x:f>PROPER(TRIM('Raw Sales'!F27))</x:f>
        <x:v>Midwest</x:v>
      </x:c>
      <x:c r="J27" s="84" t="str">
        <x:f>PROPER(TRIM('Raw Sales'!G27))</x:f>
        <x:v>Chicago</x:v>
      </x:c>
      <x:c r="K27" s="84" t="str">
        <x:f>PROPER(TRIM('Raw Sales'!H27))</x:f>
        <x:v>Retail Store</x:v>
      </x:c>
      <x:c r="L27" s="84" t="str">
        <x:f>'Raw Sales'!I27</x:f>
        <x:v>ELEC-005</x:v>
      </x:c>
      <x:c r="M27" s="84" t="str">
        <x:f>IFERROR(VLOOKUP(L27,'Reference Data'!$A$5:$F$40,2,FALSE),"Unknown Product")</x:f>
        <x:v>HD Webcam</x:v>
      </x:c>
      <x:c r="N27" s="84" t="str">
        <x:f>IFERROR(VLOOKUP(L27,'Reference Data'!$A$5:$F$40,3,FALSE),"Unknown")</x:f>
        <x:v>Electronics</x:v>
      </x:c>
      <x:c r="O27" s="84" t="str">
        <x:f>IFERROR(VLOOKUP(L27,'Reference Data'!$A$5:$F$40,4,FALSE),"Unknown")</x:f>
        <x:v>Computer Accessories</x:v>
      </x:c>
      <x:c r="P27" s="92" t="n">
        <x:f>IFERROR(VLOOKUP(L27,'Reference Data'!$A$5:$F$40,5,FALSE),0)</x:f>
        <x:v>79</x:v>
      </x:c>
      <x:c r="Q27" s="92" t="n">
        <x:f>IFERROR(VLOOKUP(L27,'Reference Data'!$A$5:$F$40,6,FALSE),0)</x:f>
        <x:v>37</x:v>
      </x:c>
      <x:c r="R27" s="84" t="n">
        <x:f>'Raw Sales'!J27</x:f>
        <x:v>2</x:v>
      </x:c>
      <x:c r="S27" s="87" t="n">
        <x:f>'Raw Sales'!K27</x:f>
        <x:v>0.1</x:v>
      </x:c>
      <x:c r="T27" s="93" t="n">
        <x:f>P27*R27</x:f>
        <x:v>158</x:v>
      </x:c>
      <x:c r="U27" s="93" t="n">
        <x:f>T27*S27</x:f>
        <x:v>15.8</x:v>
      </x:c>
      <x:c r="V27" s="93" t="str">
        <x:f>PROPER(TRIM('Raw Sales'!L27))</x:f>
        <x:v>Completed</x:v>
      </x:c>
      <x:c r="W27" s="93" t="n">
        <x:f>IF(V27="Returned",0,T27-U27)</x:f>
        <x:v>142.2</x:v>
      </x:c>
      <x:c r="X27" s="93" t="n">
        <x:f>IF(V27="Returned",Q27*R27*10%,Q27*R27)</x:f>
        <x:v>74</x:v>
      </x:c>
      <x:c r="Y27" s="93" t="n">
        <x:f>W27-X27</x:f>
        <x:v>68.19999999999999</x:v>
      </x:c>
      <x:c r="Z27" s="94" t="n">
        <x:f>IFERROR(Y27/W27,0)</x:f>
        <x:v>0.4796061884669479</x:v>
      </x:c>
      <x:c r="AA27" s="84" t="str">
        <x:f>PROPER(TRIM('Raw Sales'!M27))</x:f>
        <x:v>Cash</x:v>
      </x:c>
      <x:c r="AB27" s="84" t="str">
        <x:f>PROPER(TRIM('Raw Sales'!N27))</x:f>
        <x:v>Emma Hayes</x:v>
      </x:c>
      <x:c r="AC27" s="85" t="n">
        <x:f>'Raw Sales'!O27</x:f>
        <x:v>45302</x:v>
      </x:c>
      <x:c r="AD27" s="84" t="n">
        <x:f>AC27-B27</x:f>
        <x:v>0</x:v>
      </x:c>
      <x:c r="AE27" s="84" t="str">
        <x:f>IF(COUNTIF($A$5:A27,A27)&gt;1,"Duplicate","Keep")</x:f>
        <x:v>Keep</x:v>
      </x:c>
      <x:c r="AF27" s="84" t="str">
        <x:f>IF(OR(R27&lt;=0,AC27&lt;B27,H27="Unknown",M27="Unknown Product"),"Review","Valid")</x:f>
        <x:v>Valid</x:v>
      </x:c>
      <x:c r="AG27" s="84" t="n">
        <x:f>IF(AND(AE27="Keep",AF27="Valid"),1,0)</x:f>
        <x:v>1</x:v>
      </x:c>
      <x:c r="AH27" s="84" t="n">
        <x:f>IF(AND(AG27=1,OR('Dashboard'!$B$4="All",I27='Dashboard'!$B$4),OR('Dashboard'!$E$4="All",N27='Dashboard'!$E$4),OR('Dashboard'!$H$4="All",K27='Dashboard'!$H$4),OR('Dashboard'!$K$4="All",C27='Dashboard'!$K$4)),1,0)</x:f>
        <x:v>1</x:v>
      </x:c>
      <x:c r="AI27" s="84" t="n">
        <x:f>IF(AND(AG27=1,OR('Dashboard'!$B$4="All",I27='Dashboard'!$B$4),OR('Dashboard'!$E$4="All",N27='Dashboard'!$E$4),OR('Dashboard'!$H$4="All",K27='Dashboard'!$H$4)),1,0)</x:f>
        <x:v>1</x:v>
      </x:c>
    </x:row>
    <x:row r="28">
      <x:c r="A28" s="84" t="str">
        <x:f>'Raw Sales'!A28</x:f>
        <x:v>ORD-2024-00709</x:v>
      </x:c>
      <x:c r="B28" s="85" t="n">
        <x:f>'Raw Sales'!B28</x:f>
        <x:v>45304</x:v>
      </x:c>
      <x:c r="C28" s="84" t="n">
        <x:f>YEAR(B28)</x:f>
        <x:v>2024</x:v>
      </x:c>
      <x:c r="D28" s="91" t="n">
        <x:f>DATE(YEAR(B28),MONTH(B28),1)</x:f>
        <x:v>45292</x:v>
      </x:c>
      <x:c r="E28" s="84" t="str">
        <x:f>TEXT(B28,"mmm")</x:f>
        <x:v>Jan</x:v>
      </x:c>
      <x:c r="F28" s="84" t="str">
        <x:f>'Raw Sales'!C28</x:f>
        <x:v>CUST-0079</x:v>
      </x:c>
      <x:c r="G28" s="84" t="str">
        <x:f>PROPER(TRIM('Raw Sales'!D28))</x:f>
        <x:v>Isaac Foster</x:v>
      </x:c>
      <x:c r="H28" s="84" t="str">
        <x:f>IF(TRIM('Raw Sales'!E28)="","Unknown",PROPER(TRIM('Raw Sales'!E28)))</x:f>
        <x:v>Consumer</x:v>
      </x:c>
      <x:c r="I28" s="84" t="str">
        <x:f>PROPER(TRIM('Raw Sales'!F28))</x:f>
        <x:v>Midwest</x:v>
      </x:c>
      <x:c r="J28" s="84" t="str">
        <x:f>PROPER(TRIM('Raw Sales'!G28))</x:f>
        <x:v>Minneapolis</x:v>
      </x:c>
      <x:c r="K28" s="84" t="str">
        <x:f>PROPER(TRIM('Raw Sales'!H28))</x:f>
        <x:v>Online</x:v>
      </x:c>
      <x:c r="L28" s="84" t="str">
        <x:f>'Raw Sales'!I28</x:f>
        <x:v>CARE-006</x:v>
      </x:c>
      <x:c r="M28" s="84" t="str">
        <x:f>IFERROR(VLOOKUP(L28,'Reference Data'!$A$5:$F$40,2,FALSE),"Unknown Product")</x:f>
        <x:v>Percussion Massage Gun</x:v>
      </x:c>
      <x:c r="N28" s="84" t="str">
        <x:f>IFERROR(VLOOKUP(L28,'Reference Data'!$A$5:$F$40,3,FALSE),"Unknown")</x:f>
        <x:v>Personal Care</x:v>
      </x:c>
      <x:c r="O28" s="84" t="str">
        <x:f>IFERROR(VLOOKUP(L28,'Reference Data'!$A$5:$F$40,4,FALSE),"Unknown")</x:f>
        <x:v>Wellness</x:v>
      </x:c>
      <x:c r="P28" s="92" t="n">
        <x:f>IFERROR(VLOOKUP(L28,'Reference Data'!$A$5:$F$40,5,FALSE),0)</x:f>
        <x:v>129</x:v>
      </x:c>
      <x:c r="Q28" s="92" t="n">
        <x:f>IFERROR(VLOOKUP(L28,'Reference Data'!$A$5:$F$40,6,FALSE),0)</x:f>
        <x:v>70</x:v>
      </x:c>
      <x:c r="R28" s="84" t="n">
        <x:f>'Raw Sales'!J28</x:f>
        <x:v>1</x:v>
      </x:c>
      <x:c r="S28" s="87" t="n">
        <x:f>'Raw Sales'!K28</x:f>
        <x:v>0</x:v>
      </x:c>
      <x:c r="T28" s="93" t="n">
        <x:f>P28*R28</x:f>
        <x:v>129</x:v>
      </x:c>
      <x:c r="U28" s="93" t="n">
        <x:f>T28*S28</x:f>
        <x:v>0</x:v>
      </x:c>
      <x:c r="V28" s="93" t="str">
        <x:f>PROPER(TRIM('Raw Sales'!L28))</x:f>
        <x:v>Completed</x:v>
      </x:c>
      <x:c r="W28" s="93" t="n">
        <x:f>IF(V28="Returned",0,T28-U28)</x:f>
        <x:v>129</x:v>
      </x:c>
      <x:c r="X28" s="93" t="n">
        <x:f>IF(V28="Returned",Q28*R28*10%,Q28*R28)</x:f>
        <x:v>70</x:v>
      </x:c>
      <x:c r="Y28" s="93" t="n">
        <x:f>W28-X28</x:f>
        <x:v>59</x:v>
      </x:c>
      <x:c r="Z28" s="94" t="n">
        <x:f>IFERROR(Y28/W28,0)</x:f>
        <x:v>0.4573643410852713</x:v>
      </x:c>
      <x:c r="AA28" s="84" t="str">
        <x:f>PROPER(TRIM('Raw Sales'!M28))</x:f>
        <x:v>Debit Card</x:v>
      </x:c>
      <x:c r="AB28" s="84" t="str">
        <x:f>PROPER(TRIM('Raw Sales'!N28))</x:f>
        <x:v>Lucas Grant</x:v>
      </x:c>
      <x:c r="AC28" s="85" t="n">
        <x:f>'Raw Sales'!O28</x:f>
        <x:v>45307</x:v>
      </x:c>
      <x:c r="AD28" s="84" t="n">
        <x:f>AC28-B28</x:f>
        <x:v>3</x:v>
      </x:c>
      <x:c r="AE28" s="84" t="str">
        <x:f>IF(COUNTIF($A$5:A28,A28)&gt;1,"Duplicate","Keep")</x:f>
        <x:v>Keep</x:v>
      </x:c>
      <x:c r="AF28" s="84" t="str">
        <x:f>IF(OR(R28&lt;=0,AC28&lt;B28,H28="Unknown",M28="Unknown Product"),"Review","Valid")</x:f>
        <x:v>Valid</x:v>
      </x:c>
      <x:c r="AG28" s="84" t="n">
        <x:f>IF(AND(AE28="Keep",AF28="Valid"),1,0)</x:f>
        <x:v>1</x:v>
      </x:c>
      <x:c r="AH28" s="84" t="n">
        <x:f>IF(AND(AG28=1,OR('Dashboard'!$B$4="All",I28='Dashboard'!$B$4),OR('Dashboard'!$E$4="All",N28='Dashboard'!$E$4),OR('Dashboard'!$H$4="All",K28='Dashboard'!$H$4),OR('Dashboard'!$K$4="All",C28='Dashboard'!$K$4)),1,0)</x:f>
        <x:v>1</x:v>
      </x:c>
      <x:c r="AI28" s="84" t="n">
        <x:f>IF(AND(AG28=1,OR('Dashboard'!$B$4="All",I28='Dashboard'!$B$4),OR('Dashboard'!$E$4="All",N28='Dashboard'!$E$4),OR('Dashboard'!$H$4="All",K28='Dashboard'!$H$4)),1,0)</x:f>
        <x:v>1</x:v>
      </x:c>
    </x:row>
    <x:row r="29">
      <x:c r="A29" s="84" t="str">
        <x:f>'Raw Sales'!A29</x:f>
        <x:v>ORD-2024-01858</x:v>
      </x:c>
      <x:c r="B29" s="85" t="n">
        <x:f>'Raw Sales'!B29</x:f>
        <x:v>45304</x:v>
      </x:c>
      <x:c r="C29" s="84" t="n">
        <x:f>YEAR(B29)</x:f>
        <x:v>2024</x:v>
      </x:c>
      <x:c r="D29" s="91" t="n">
        <x:f>DATE(YEAR(B29),MONTH(B29),1)</x:f>
        <x:v>45292</x:v>
      </x:c>
      <x:c r="E29" s="84" t="str">
        <x:f>TEXT(B29,"mmm")</x:f>
        <x:v>Jan</x:v>
      </x:c>
      <x:c r="F29" s="84" t="str">
        <x:f>'Raw Sales'!C29</x:f>
        <x:v>CUST-0487</x:v>
      </x:c>
      <x:c r="G29" s="84" t="str">
        <x:f>PROPER(TRIM('Raw Sales'!D29))</x:f>
        <x:v>Marcus Adams</x:v>
      </x:c>
      <x:c r="H29" s="84" t="str">
        <x:f>IF(TRIM('Raw Sales'!E29)="","Unknown",PROPER(TRIM('Raw Sales'!E29)))</x:f>
        <x:v>Consumer</x:v>
      </x:c>
      <x:c r="I29" s="84" t="str">
        <x:f>PROPER(TRIM('Raw Sales'!F29))</x:f>
        <x:v>Southeast</x:v>
      </x:c>
      <x:c r="J29" s="84" t="str">
        <x:f>PROPER(TRIM('Raw Sales'!G29))</x:f>
        <x:v>Atlanta</x:v>
      </x:c>
      <x:c r="K29" s="84" t="str">
        <x:f>PROPER(TRIM('Raw Sales'!H29))</x:f>
        <x:v>Marketplace</x:v>
      </x:c>
      <x:c r="L29" s="84" t="str">
        <x:f>'Raw Sales'!I29</x:f>
        <x:v>FITN-004</x:v>
      </x:c>
      <x:c r="M29" s="84" t="str">
        <x:f>IFERROR(VLOOKUP(L29,'Reference Data'!$A$5:$F$40,2,FALSE),"Unknown Product")</x:f>
        <x:v>Fitness Tracker</x:v>
      </x:c>
      <x:c r="N29" s="84" t="str">
        <x:f>IFERROR(VLOOKUP(L29,'Reference Data'!$A$5:$F$40,3,FALSE),"Unknown")</x:f>
        <x:v>Fitness</x:v>
      </x:c>
      <x:c r="O29" s="84" t="str">
        <x:f>IFERROR(VLOOKUP(L29,'Reference Data'!$A$5:$F$40,4,FALSE),"Unknown")</x:f>
        <x:v>Wearables</x:v>
      </x:c>
      <x:c r="P29" s="92" t="n">
        <x:f>IFERROR(VLOOKUP(L29,'Reference Data'!$A$5:$F$40,5,FALSE),0)</x:f>
        <x:v>89</x:v>
      </x:c>
      <x:c r="Q29" s="92" t="n">
        <x:f>IFERROR(VLOOKUP(L29,'Reference Data'!$A$5:$F$40,6,FALSE),0)</x:f>
        <x:v>44</x:v>
      </x:c>
      <x:c r="R29" s="84" t="n">
        <x:f>'Raw Sales'!J29</x:f>
        <x:v>1</x:v>
      </x:c>
      <x:c r="S29" s="87" t="n">
        <x:f>'Raw Sales'!K29</x:f>
        <x:v>0.05</x:v>
      </x:c>
      <x:c r="T29" s="93" t="n">
        <x:f>P29*R29</x:f>
        <x:v>89</x:v>
      </x:c>
      <x:c r="U29" s="93" t="n">
        <x:f>T29*S29</x:f>
        <x:v>4.45</x:v>
      </x:c>
      <x:c r="V29" s="93" t="str">
        <x:f>PROPER(TRIM('Raw Sales'!L29))</x:f>
        <x:v>Completed</x:v>
      </x:c>
      <x:c r="W29" s="93" t="n">
        <x:f>IF(V29="Returned",0,T29-U29)</x:f>
        <x:v>84.55</x:v>
      </x:c>
      <x:c r="X29" s="93" t="n">
        <x:f>IF(V29="Returned",Q29*R29*10%,Q29*R29)</x:f>
        <x:v>44</x:v>
      </x:c>
      <x:c r="Y29" s="93" t="n">
        <x:f>W29-X29</x:f>
        <x:v>40.55</x:v>
      </x:c>
      <x:c r="Z29" s="94" t="n">
        <x:f>IFERROR(Y29/W29,0)</x:f>
        <x:v>0.47959787108219987</x:v>
      </x:c>
      <x:c r="AA29" s="84" t="str">
        <x:f>PROPER(TRIM('Raw Sales'!M29))</x:f>
        <x:v>Paypal</x:v>
      </x:c>
      <x:c r="AB29" s="84" t="str">
        <x:f>PROPER(TRIM('Raw Sales'!N29))</x:f>
        <x:v>Ava Mitchell</x:v>
      </x:c>
      <x:c r="AC29" s="85" t="n">
        <x:f>'Raw Sales'!O29</x:f>
        <x:v>45308</x:v>
      </x:c>
      <x:c r="AD29" s="84" t="n">
        <x:f>AC29-B29</x:f>
        <x:v>4</x:v>
      </x:c>
      <x:c r="AE29" s="84" t="str">
        <x:f>IF(COUNTIF($A$5:A29,A29)&gt;1,"Duplicate","Keep")</x:f>
        <x:v>Keep</x:v>
      </x:c>
      <x:c r="AF29" s="84" t="str">
        <x:f>IF(OR(R29&lt;=0,AC29&lt;B29,H29="Unknown",M29="Unknown Product"),"Review","Valid")</x:f>
        <x:v>Valid</x:v>
      </x:c>
      <x:c r="AG29" s="84" t="n">
        <x:f>IF(AND(AE29="Keep",AF29="Valid"),1,0)</x:f>
        <x:v>1</x:v>
      </x:c>
      <x:c r="AH29" s="84" t="n">
        <x:f>IF(AND(AG29=1,OR('Dashboard'!$B$4="All",I29='Dashboard'!$B$4),OR('Dashboard'!$E$4="All",N29='Dashboard'!$E$4),OR('Dashboard'!$H$4="All",K29='Dashboard'!$H$4),OR('Dashboard'!$K$4="All",C29='Dashboard'!$K$4)),1,0)</x:f>
        <x:v>1</x:v>
      </x:c>
      <x:c r="AI29" s="84" t="n">
        <x:f>IF(AND(AG29=1,OR('Dashboard'!$B$4="All",I29='Dashboard'!$B$4),OR('Dashboard'!$E$4="All",N29='Dashboard'!$E$4),OR('Dashboard'!$H$4="All",K29='Dashboard'!$H$4)),1,0)</x:f>
        <x:v>1</x:v>
      </x:c>
    </x:row>
    <x:row r="30">
      <x:c r="A30" s="84" t="str">
        <x:f>'Raw Sales'!A30</x:f>
        <x:v>ORD-2024-01874</x:v>
      </x:c>
      <x:c r="B30" s="85" t="n">
        <x:f>'Raw Sales'!B30</x:f>
        <x:v>45304</x:v>
      </x:c>
      <x:c r="C30" s="84" t="n">
        <x:f>YEAR(B30)</x:f>
        <x:v>2024</x:v>
      </x:c>
      <x:c r="D30" s="91" t="n">
        <x:f>DATE(YEAR(B30),MONTH(B30),1)</x:f>
        <x:v>45292</x:v>
      </x:c>
      <x:c r="E30" s="84" t="str">
        <x:f>TEXT(B30,"mmm")</x:f>
        <x:v>Jan</x:v>
      </x:c>
      <x:c r="F30" s="84" t="str">
        <x:f>'Raw Sales'!C30</x:f>
        <x:v>CUST-0045</x:v>
      </x:c>
      <x:c r="G30" s="84" t="str">
        <x:f>PROPER(TRIM('Raw Sales'!D30))</x:f>
        <x:v>Nina Foster</x:v>
      </x:c>
      <x:c r="H30" s="84" t="str">
        <x:f>IF(TRIM('Raw Sales'!E30)="","Unknown",PROPER(TRIM('Raw Sales'!E30)))</x:f>
        <x:v>Small Business</x:v>
      </x:c>
      <x:c r="I30" s="84" t="str">
        <x:f>PROPER(TRIM('Raw Sales'!F30))</x:f>
        <x:v>Northeast</x:v>
      </x:c>
      <x:c r="J30" s="84" t="str">
        <x:f>PROPER(TRIM('Raw Sales'!G30))</x:f>
        <x:v>Boston</x:v>
      </x:c>
      <x:c r="K30" s="84" t="str">
        <x:f>PROPER(TRIM('Raw Sales'!H30))</x:f>
        <x:v>Retail Store</x:v>
      </x:c>
      <x:c r="L30" s="84" t="str">
        <x:f>'Raw Sales'!I30</x:f>
        <x:v>OFFC-002</x:v>
      </x:c>
      <x:c r="M30" s="84" t="str">
        <x:f>IFERROR(VLOOKUP(L30,'Reference Data'!$A$5:$F$40,2,FALSE),"Unknown Product")</x:f>
        <x:v>Standing Desk</x:v>
      </x:c>
      <x:c r="N30" s="84" t="str">
        <x:f>IFERROR(VLOOKUP(L30,'Reference Data'!$A$5:$F$40,3,FALSE),"Unknown")</x:f>
        <x:v>Office</x:v>
      </x:c>
      <x:c r="O30" s="84" t="str">
        <x:f>IFERROR(VLOOKUP(L30,'Reference Data'!$A$5:$F$40,4,FALSE),"Unknown")</x:f>
        <x:v>Furniture</x:v>
      </x:c>
      <x:c r="P30" s="92" t="n">
        <x:f>IFERROR(VLOOKUP(L30,'Reference Data'!$A$5:$F$40,5,FALSE),0)</x:f>
        <x:v>399</x:v>
      </x:c>
      <x:c r="Q30" s="92" t="n">
        <x:f>IFERROR(VLOOKUP(L30,'Reference Data'!$A$5:$F$40,6,FALSE),0)</x:f>
        <x:v>235</x:v>
      </x:c>
      <x:c r="R30" s="84" t="n">
        <x:f>'Raw Sales'!J30</x:f>
        <x:v>2</x:v>
      </x:c>
      <x:c r="S30" s="87" t="n">
        <x:f>'Raw Sales'!K30</x:f>
        <x:v>0.15</x:v>
      </x:c>
      <x:c r="T30" s="93" t="n">
        <x:f>P30*R30</x:f>
        <x:v>798</x:v>
      </x:c>
      <x:c r="U30" s="93" t="n">
        <x:f>T30*S30</x:f>
        <x:v>119.69999999999999</x:v>
      </x:c>
      <x:c r="V30" s="93" t="str">
        <x:f>PROPER(TRIM('Raw Sales'!L30))</x:f>
        <x:v>Completed</x:v>
      </x:c>
      <x:c r="W30" s="93" t="n">
        <x:f>IF(V30="Returned",0,T30-U30)</x:f>
        <x:v>678.3</x:v>
      </x:c>
      <x:c r="X30" s="93" t="n">
        <x:f>IF(V30="Returned",Q30*R30*10%,Q30*R30)</x:f>
        <x:v>470</x:v>
      </x:c>
      <x:c r="Y30" s="93" t="n">
        <x:f>W30-X30</x:f>
        <x:v>208.29999999999995</x:v>
      </x:c>
      <x:c r="Z30" s="94" t="n">
        <x:f>IFERROR(Y30/W30,0)</x:f>
        <x:v>0.3070912575556538</x:v>
      </x:c>
      <x:c r="AA30" s="84" t="str">
        <x:f>PROPER(TRIM('Raw Sales'!M30))</x:f>
        <x:v>Credit Card</x:v>
      </x:c>
      <x:c r="AB30" s="84" t="str">
        <x:f>PROPER(TRIM('Raw Sales'!N30))</x:f>
        <x:v>Maya Brooks</x:v>
      </x:c>
      <x:c r="AC30" s="85" t="n">
        <x:f>'Raw Sales'!O30</x:f>
        <x:v>45304</x:v>
      </x:c>
      <x:c r="AD30" s="84" t="n">
        <x:f>AC30-B30</x:f>
        <x:v>0</x:v>
      </x:c>
      <x:c r="AE30" s="84" t="str">
        <x:f>IF(COUNTIF($A$5:A30,A30)&gt;1,"Duplicate","Keep")</x:f>
        <x:v>Keep</x:v>
      </x:c>
      <x:c r="AF30" s="84" t="str">
        <x:f>IF(OR(R30&lt;=0,AC30&lt;B30,H30="Unknown",M30="Unknown Product"),"Review","Valid")</x:f>
        <x:v>Valid</x:v>
      </x:c>
      <x:c r="AG30" s="84" t="n">
        <x:f>IF(AND(AE30="Keep",AF30="Valid"),1,0)</x:f>
        <x:v>1</x:v>
      </x:c>
      <x:c r="AH30" s="84" t="n">
        <x:f>IF(AND(AG30=1,OR('Dashboard'!$B$4="All",I30='Dashboard'!$B$4),OR('Dashboard'!$E$4="All",N30='Dashboard'!$E$4),OR('Dashboard'!$H$4="All",K30='Dashboard'!$H$4),OR('Dashboard'!$K$4="All",C30='Dashboard'!$K$4)),1,0)</x:f>
        <x:v>1</x:v>
      </x:c>
      <x:c r="AI30" s="84" t="n">
        <x:f>IF(AND(AG30=1,OR('Dashboard'!$B$4="All",I30='Dashboard'!$B$4),OR('Dashboard'!$E$4="All",N30='Dashboard'!$E$4),OR('Dashboard'!$H$4="All",K30='Dashboard'!$H$4)),1,0)</x:f>
        <x:v>1</x:v>
      </x:c>
    </x:row>
    <x:row r="31">
      <x:c r="A31" s="84" t="str">
        <x:f>'Raw Sales'!A31</x:f>
        <x:v>ORD-2024-00033</x:v>
      </x:c>
      <x:c r="B31" s="85" t="n">
        <x:f>'Raw Sales'!B31</x:f>
        <x:v>45305</x:v>
      </x:c>
      <x:c r="C31" s="84" t="n">
        <x:f>YEAR(B31)</x:f>
        <x:v>2024</x:v>
      </x:c>
      <x:c r="D31" s="91" t="n">
        <x:f>DATE(YEAR(B31),MONTH(B31),1)</x:f>
        <x:v>45292</x:v>
      </x:c>
      <x:c r="E31" s="84" t="str">
        <x:f>TEXT(B31,"mmm")</x:f>
        <x:v>Jan</x:v>
      </x:c>
      <x:c r="F31" s="84" t="str">
        <x:f>'Raw Sales'!C31</x:f>
        <x:v>CUST-0404</x:v>
      </x:c>
      <x:c r="G31" s="84" t="str">
        <x:f>PROPER(TRIM('Raw Sales'!D31))</x:f>
        <x:v>Nina Baker</x:v>
      </x:c>
      <x:c r="H31" s="84" t="str">
        <x:f>IF(TRIM('Raw Sales'!E31)="","Unknown",PROPER(TRIM('Raw Sales'!E31)))</x:f>
        <x:v>Consumer</x:v>
      </x:c>
      <x:c r="I31" s="84" t="str">
        <x:f>PROPER(TRIM('Raw Sales'!F31))</x:f>
        <x:v>West</x:v>
      </x:c>
      <x:c r="J31" s="84" t="str">
        <x:f>PROPER(TRIM('Raw Sales'!G31))</x:f>
        <x:v>Los Angeles</x:v>
      </x:c>
      <x:c r="K31" s="84" t="str">
        <x:f>PROPER(TRIM('Raw Sales'!H31))</x:f>
        <x:v>Retail Store</x:v>
      </x:c>
      <x:c r="L31" s="84" t="str">
        <x:f>'Raw Sales'!I31</x:f>
        <x:v>CARE-002</x:v>
      </x:c>
      <x:c r="M31" s="84" t="str">
        <x:f>IFERROR(VLOOKUP(L31,'Reference Data'!$A$5:$F$40,2,FALSE),"Unknown Product")</x:f>
        <x:v>Rechargeable Trimmer</x:v>
      </x:c>
      <x:c r="N31" s="84" t="str">
        <x:f>IFERROR(VLOOKUP(L31,'Reference Data'!$A$5:$F$40,3,FALSE),"Unknown")</x:f>
        <x:v>Personal Care</x:v>
      </x:c>
      <x:c r="O31" s="84" t="str">
        <x:f>IFERROR(VLOOKUP(L31,'Reference Data'!$A$5:$F$40,4,FALSE),"Unknown")</x:f>
        <x:v>Grooming</x:v>
      </x:c>
      <x:c r="P31" s="92" t="n">
        <x:f>IFERROR(VLOOKUP(L31,'Reference Data'!$A$5:$F$40,5,FALSE),0)</x:f>
        <x:v>45</x:v>
      </x:c>
      <x:c r="Q31" s="92" t="n">
        <x:f>IFERROR(VLOOKUP(L31,'Reference Data'!$A$5:$F$40,6,FALSE),0)</x:f>
        <x:v>19</x:v>
      </x:c>
      <x:c r="R31" s="84" t="n">
        <x:f>'Raw Sales'!J31</x:f>
        <x:v>1</x:v>
      </x:c>
      <x:c r="S31" s="87" t="n">
        <x:f>'Raw Sales'!K31</x:f>
        <x:v>0.05</x:v>
      </x:c>
      <x:c r="T31" s="93" t="n">
        <x:f>P31*R31</x:f>
        <x:v>45</x:v>
      </x:c>
      <x:c r="U31" s="93" t="n">
        <x:f>T31*S31</x:f>
        <x:v>2.25</x:v>
      </x:c>
      <x:c r="V31" s="93" t="str">
        <x:f>PROPER(TRIM('Raw Sales'!L31))</x:f>
        <x:v>Completed</x:v>
      </x:c>
      <x:c r="W31" s="93" t="n">
        <x:f>IF(V31="Returned",0,T31-U31)</x:f>
        <x:v>42.75</x:v>
      </x:c>
      <x:c r="X31" s="93" t="n">
        <x:f>IF(V31="Returned",Q31*R31*10%,Q31*R31)</x:f>
        <x:v>19</x:v>
      </x:c>
      <x:c r="Y31" s="93" t="n">
        <x:f>W31-X31</x:f>
        <x:v>23.75</x:v>
      </x:c>
      <x:c r="Z31" s="94" t="n">
        <x:f>IFERROR(Y31/W31,0)</x:f>
        <x:v>0.5555555555555556</x:v>
      </x:c>
      <x:c r="AA31" s="84" t="str">
        <x:f>PROPER(TRIM('Raw Sales'!M31))</x:f>
        <x:v>Credit Card</x:v>
      </x:c>
      <x:c r="AB31" s="84" t="str">
        <x:f>PROPER(TRIM('Raw Sales'!N31))</x:f>
        <x:v>Mia Chen</x:v>
      </x:c>
      <x:c r="AC31" s="85" t="n">
        <x:f>'Raw Sales'!O31</x:f>
        <x:v>45305</x:v>
      </x:c>
      <x:c r="AD31" s="84" t="n">
        <x:f>AC31-B31</x:f>
        <x:v>0</x:v>
      </x:c>
      <x:c r="AE31" s="84" t="str">
        <x:f>IF(COUNTIF($A$5:A31,A31)&gt;1,"Duplicate","Keep")</x:f>
        <x:v>Keep</x:v>
      </x:c>
      <x:c r="AF31" s="84" t="str">
        <x:f>IF(OR(R31&lt;=0,AC31&lt;B31,H31="Unknown",M31="Unknown Product"),"Review","Valid")</x:f>
        <x:v>Valid</x:v>
      </x:c>
      <x:c r="AG31" s="84" t="n">
        <x:f>IF(AND(AE31="Keep",AF31="Valid"),1,0)</x:f>
        <x:v>1</x:v>
      </x:c>
      <x:c r="AH31" s="84" t="n">
        <x:f>IF(AND(AG31=1,OR('Dashboard'!$B$4="All",I31='Dashboard'!$B$4),OR('Dashboard'!$E$4="All",N31='Dashboard'!$E$4),OR('Dashboard'!$H$4="All",K31='Dashboard'!$H$4),OR('Dashboard'!$K$4="All",C31='Dashboard'!$K$4)),1,0)</x:f>
        <x:v>1</x:v>
      </x:c>
      <x:c r="AI31" s="84" t="n">
        <x:f>IF(AND(AG31=1,OR('Dashboard'!$B$4="All",I31='Dashboard'!$B$4),OR('Dashboard'!$E$4="All",N31='Dashboard'!$E$4),OR('Dashboard'!$H$4="All",K31='Dashboard'!$H$4)),1,0)</x:f>
        <x:v>1</x:v>
      </x:c>
    </x:row>
    <x:row r="32">
      <x:c r="A32" s="84" t="str">
        <x:f>'Raw Sales'!A32</x:f>
        <x:v>ORD-2024-00249</x:v>
      </x:c>
      <x:c r="B32" s="85" t="n">
        <x:f>'Raw Sales'!B32</x:f>
        <x:v>45305</x:v>
      </x:c>
      <x:c r="C32" s="84" t="n">
        <x:f>YEAR(B32)</x:f>
        <x:v>2024</x:v>
      </x:c>
      <x:c r="D32" s="91" t="n">
        <x:f>DATE(YEAR(B32),MONTH(B32),1)</x:f>
        <x:v>45292</x:v>
      </x:c>
      <x:c r="E32" s="84" t="str">
        <x:f>TEXT(B32,"mmm")</x:f>
        <x:v>Jan</x:v>
      </x:c>
      <x:c r="F32" s="84" t="str">
        <x:f>'Raw Sales'!C32</x:f>
        <x:v>CUST-0296</x:v>
      </x:c>
      <x:c r="G32" s="84" t="str">
        <x:f>PROPER(TRIM('Raw Sales'!D32))</x:f>
        <x:v>Sara Irwin</x:v>
      </x:c>
      <x:c r="H32" s="84" t="str">
        <x:f>IF(TRIM('Raw Sales'!E32)="","Unknown",PROPER(TRIM('Raw Sales'!E32)))</x:f>
        <x:v>Corporate</x:v>
      </x:c>
      <x:c r="I32" s="84" t="str">
        <x:f>PROPER(TRIM('Raw Sales'!F32))</x:f>
        <x:v>Midwest</x:v>
      </x:c>
      <x:c r="J32" s="84" t="str">
        <x:f>PROPER(TRIM('Raw Sales'!G32))</x:f>
        <x:v>Columbus</x:v>
      </x:c>
      <x:c r="K32" s="84" t="str">
        <x:f>PROPER(TRIM('Raw Sales'!H32))</x:f>
        <x:v>Retail Store</x:v>
      </x:c>
      <x:c r="L32" s="84" t="str">
        <x:f>'Raw Sales'!I32</x:f>
        <x:v>FITN-001</x:v>
      </x:c>
      <x:c r="M32" s="84" t="str">
        <x:f>IFERROR(VLOOKUP(L32,'Reference Data'!$A$5:$F$40,2,FALSE),"Unknown Product")</x:f>
        <x:v>Yoga Mat</x:v>
      </x:c>
      <x:c r="N32" s="84" t="str">
        <x:f>IFERROR(VLOOKUP(L32,'Reference Data'!$A$5:$F$40,3,FALSE),"Unknown")</x:f>
        <x:v>Fitness</x:v>
      </x:c>
      <x:c r="O32" s="84" t="str">
        <x:f>IFERROR(VLOOKUP(L32,'Reference Data'!$A$5:$F$40,4,FALSE),"Unknown")</x:f>
        <x:v>Yoga</x:v>
      </x:c>
      <x:c r="P32" s="92" t="n">
        <x:f>IFERROR(VLOOKUP(L32,'Reference Data'!$A$5:$F$40,5,FALSE),0)</x:f>
        <x:v>35</x:v>
      </x:c>
      <x:c r="Q32" s="92" t="n">
        <x:f>IFERROR(VLOOKUP(L32,'Reference Data'!$A$5:$F$40,6,FALSE),0)</x:f>
        <x:v>13</x:v>
      </x:c>
      <x:c r="R32" s="84" t="n">
        <x:f>'Raw Sales'!J32</x:f>
        <x:v>3</x:v>
      </x:c>
      <x:c r="S32" s="87" t="n">
        <x:f>'Raw Sales'!K32</x:f>
        <x:v>0.05</x:v>
      </x:c>
      <x:c r="T32" s="93" t="n">
        <x:f>P32*R32</x:f>
        <x:v>105</x:v>
      </x:c>
      <x:c r="U32" s="93" t="n">
        <x:f>T32*S32</x:f>
        <x:v>5.25</x:v>
      </x:c>
      <x:c r="V32" s="93" t="str">
        <x:f>PROPER(TRIM('Raw Sales'!L32))</x:f>
        <x:v>Completed</x:v>
      </x:c>
      <x:c r="W32" s="93" t="n">
        <x:f>IF(V32="Returned",0,T32-U32)</x:f>
        <x:v>99.75</x:v>
      </x:c>
      <x:c r="X32" s="93" t="n">
        <x:f>IF(V32="Returned",Q32*R32*10%,Q32*R32)</x:f>
        <x:v>39</x:v>
      </x:c>
      <x:c r="Y32" s="93" t="n">
        <x:f>W32-X32</x:f>
        <x:v>60.75</x:v>
      </x:c>
      <x:c r="Z32" s="94" t="n">
        <x:f>IFERROR(Y32/W32,0)</x:f>
        <x:v>0.6090225563909775</x:v>
      </x:c>
      <x:c r="AA32" s="84" t="str">
        <x:f>PROPER(TRIM('Raw Sales'!M32))</x:f>
        <x:v>Mobile Wallet</x:v>
      </x:c>
      <x:c r="AB32" s="84" t="str">
        <x:f>PROPER(TRIM('Raw Sales'!N32))</x:f>
        <x:v>Zoe Turner</x:v>
      </x:c>
      <x:c r="AC32" s="85" t="n">
        <x:f>'Raw Sales'!O32</x:f>
        <x:v>45306</x:v>
      </x:c>
      <x:c r="AD32" s="84" t="n">
        <x:f>AC32-B32</x:f>
        <x:v>1</x:v>
      </x:c>
      <x:c r="AE32" s="84" t="str">
        <x:f>IF(COUNTIF($A$5:A32,A32)&gt;1,"Duplicate","Keep")</x:f>
        <x:v>Keep</x:v>
      </x:c>
      <x:c r="AF32" s="84" t="str">
        <x:f>IF(OR(R32&lt;=0,AC32&lt;B32,H32="Unknown",M32="Unknown Product"),"Review","Valid")</x:f>
        <x:v>Valid</x:v>
      </x:c>
      <x:c r="AG32" s="84" t="n">
        <x:f>IF(AND(AE32="Keep",AF32="Valid"),1,0)</x:f>
        <x:v>1</x:v>
      </x:c>
      <x:c r="AH32" s="84" t="n">
        <x:f>IF(AND(AG32=1,OR('Dashboard'!$B$4="All",I32='Dashboard'!$B$4),OR('Dashboard'!$E$4="All",N32='Dashboard'!$E$4),OR('Dashboard'!$H$4="All",K32='Dashboard'!$H$4),OR('Dashboard'!$K$4="All",C32='Dashboard'!$K$4)),1,0)</x:f>
        <x:v>1</x:v>
      </x:c>
      <x:c r="AI32" s="84" t="n">
        <x:f>IF(AND(AG32=1,OR('Dashboard'!$B$4="All",I32='Dashboard'!$B$4),OR('Dashboard'!$E$4="All",N32='Dashboard'!$E$4),OR('Dashboard'!$H$4="All",K32='Dashboard'!$H$4)),1,0)</x:f>
        <x:v>1</x:v>
      </x:c>
    </x:row>
    <x:row r="33">
      <x:c r="A33" s="84" t="str">
        <x:f>'Raw Sales'!A33</x:f>
        <x:v>ORD-2024-01075</x:v>
      </x:c>
      <x:c r="B33" s="85" t="n">
        <x:f>'Raw Sales'!B33</x:f>
        <x:v>45305</x:v>
      </x:c>
      <x:c r="C33" s="84" t="n">
        <x:f>YEAR(B33)</x:f>
        <x:v>2024</x:v>
      </x:c>
      <x:c r="D33" s="91" t="n">
        <x:f>DATE(YEAR(B33),MONTH(B33),1)</x:f>
        <x:v>45292</x:v>
      </x:c>
      <x:c r="E33" s="84" t="str">
        <x:f>TEXT(B33,"mmm")</x:f>
        <x:v>Jan</x:v>
      </x:c>
      <x:c r="F33" s="84" t="str">
        <x:f>'Raw Sales'!C33</x:f>
        <x:v>CUST-0505</x:v>
      </x:c>
      <x:c r="G33" s="84" t="str">
        <x:f>PROPER(TRIM('Raw Sales'!D33))</x:f>
        <x:v>Daniel Taylor</x:v>
      </x:c>
      <x:c r="H33" s="84" t="str">
        <x:f>IF(TRIM('Raw Sales'!E33)="","Unknown",PROPER(TRIM('Raw Sales'!E33)))</x:f>
        <x:v>Small Business</x:v>
      </x:c>
      <x:c r="I33" s="84" t="str">
        <x:f>PROPER(TRIM('Raw Sales'!F33))</x:f>
        <x:v>Northeast</x:v>
      </x:c>
      <x:c r="J33" s="84" t="str">
        <x:f>PROPER(TRIM('Raw Sales'!G33))</x:f>
        <x:v>Boston</x:v>
      </x:c>
      <x:c r="K33" s="84" t="str">
        <x:f>PROPER(TRIM('Raw Sales'!H33))</x:f>
        <x:v>Retail Store</x:v>
      </x:c>
      <x:c r="L33" s="84" t="str">
        <x:f>'Raw Sales'!I33</x:f>
        <x:v>ELEC-004</x:v>
      </x:c>
      <x:c r="M33" s="84" t="str">
        <x:f>IFERROR(VLOOKUP(L33,'Reference Data'!$A$5:$F$40,2,FALSE),"Unknown Product")</x:f>
        <x:v>Power Bank</x:v>
      </x:c>
      <x:c r="N33" s="84" t="str">
        <x:f>IFERROR(VLOOKUP(L33,'Reference Data'!$A$5:$F$40,3,FALSE),"Unknown")</x:f>
        <x:v>Electronics</x:v>
      </x:c>
      <x:c r="O33" s="84" t="str">
        <x:f>IFERROR(VLOOKUP(L33,'Reference Data'!$A$5:$F$40,4,FALSE),"Unknown")</x:f>
        <x:v>Mobile Accessories</x:v>
      </x:c>
      <x:c r="P33" s="92" t="n">
        <x:f>IFERROR(VLOOKUP(L33,'Reference Data'!$A$5:$F$40,5,FALSE),0)</x:f>
        <x:v>39</x:v>
      </x:c>
      <x:c r="Q33" s="92" t="n">
        <x:f>IFERROR(VLOOKUP(L33,'Reference Data'!$A$5:$F$40,6,FALSE),0)</x:f>
        <x:v>18</x:v>
      </x:c>
      <x:c r="R33" s="84" t="n">
        <x:f>'Raw Sales'!J33</x:f>
        <x:v>3</x:v>
      </x:c>
      <x:c r="S33" s="87" t="n">
        <x:f>'Raw Sales'!K33</x:f>
        <x:v>0.05</x:v>
      </x:c>
      <x:c r="T33" s="93" t="n">
        <x:f>P33*R33</x:f>
        <x:v>117</x:v>
      </x:c>
      <x:c r="U33" s="93" t="n">
        <x:f>T33*S33</x:f>
        <x:v>5.8500000000000005</x:v>
      </x:c>
      <x:c r="V33" s="93" t="str">
        <x:f>PROPER(TRIM('Raw Sales'!L33))</x:f>
        <x:v>Completed</x:v>
      </x:c>
      <x:c r="W33" s="93" t="n">
        <x:f>IF(V33="Returned",0,T33-U33)</x:f>
        <x:v>111.15</x:v>
      </x:c>
      <x:c r="X33" s="93" t="n">
        <x:f>IF(V33="Returned",Q33*R33*10%,Q33*R33)</x:f>
        <x:v>54</x:v>
      </x:c>
      <x:c r="Y33" s="93" t="n">
        <x:f>W33-X33</x:f>
        <x:v>57.150000000000006</x:v>
      </x:c>
      <x:c r="Z33" s="94" t="n">
        <x:f>IFERROR(Y33/W33,0)</x:f>
        <x:v>0.51417004048583</x:v>
      </x:c>
      <x:c r="AA33" s="84" t="str">
        <x:f>PROPER(TRIM('Raw Sales'!M33))</x:f>
        <x:v>Debit Card</x:v>
      </x:c>
      <x:c r="AB33" s="84" t="str">
        <x:f>PROPER(TRIM('Raw Sales'!N33))</x:f>
        <x:v>Maya Brooks</x:v>
      </x:c>
      <x:c r="AC33" s="85" t="n">
        <x:f>'Raw Sales'!O33</x:f>
        <x:v>45305</x:v>
      </x:c>
      <x:c r="AD33" s="84" t="n">
        <x:f>AC33-B33</x:f>
        <x:v>0</x:v>
      </x:c>
      <x:c r="AE33" s="84" t="str">
        <x:f>IF(COUNTIF($A$5:A33,A33)&gt;1,"Duplicate","Keep")</x:f>
        <x:v>Keep</x:v>
      </x:c>
      <x:c r="AF33" s="84" t="str">
        <x:f>IF(OR(R33&lt;=0,AC33&lt;B33,H33="Unknown",M33="Unknown Product"),"Review","Valid")</x:f>
        <x:v>Valid</x:v>
      </x:c>
      <x:c r="AG33" s="84" t="n">
        <x:f>IF(AND(AE33="Keep",AF33="Valid"),1,0)</x:f>
        <x:v>1</x:v>
      </x:c>
      <x:c r="AH33" s="84" t="n">
        <x:f>IF(AND(AG33=1,OR('Dashboard'!$B$4="All",I33='Dashboard'!$B$4),OR('Dashboard'!$E$4="All",N33='Dashboard'!$E$4),OR('Dashboard'!$H$4="All",K33='Dashboard'!$H$4),OR('Dashboard'!$K$4="All",C33='Dashboard'!$K$4)),1,0)</x:f>
        <x:v>1</x:v>
      </x:c>
      <x:c r="AI33" s="84" t="n">
        <x:f>IF(AND(AG33=1,OR('Dashboard'!$B$4="All",I33='Dashboard'!$B$4),OR('Dashboard'!$E$4="All",N33='Dashboard'!$E$4),OR('Dashboard'!$H$4="All",K33='Dashboard'!$H$4)),1,0)</x:f>
        <x:v>1</x:v>
      </x:c>
    </x:row>
    <x:row r="34">
      <x:c r="A34" s="84" t="str">
        <x:f>'Raw Sales'!A34</x:f>
        <x:v>ORD-2024-02163</x:v>
      </x:c>
      <x:c r="B34" s="85" t="n">
        <x:f>'Raw Sales'!B34</x:f>
        <x:v>45306</x:v>
      </x:c>
      <x:c r="C34" s="84" t="n">
        <x:f>YEAR(B34)</x:f>
        <x:v>2024</x:v>
      </x:c>
      <x:c r="D34" s="91" t="n">
        <x:f>DATE(YEAR(B34),MONTH(B34),1)</x:f>
        <x:v>45292</x:v>
      </x:c>
      <x:c r="E34" s="84" t="str">
        <x:f>TEXT(B34,"mmm")</x:f>
        <x:v>Jan</x:v>
      </x:c>
      <x:c r="F34" s="84" t="str">
        <x:f>'Raw Sales'!C34</x:f>
        <x:v>CUST-0368</x:v>
      </x:c>
      <x:c r="G34" s="84" t="str">
        <x:f>PROPER(TRIM('Raw Sales'!D34))</x:f>
        <x:v>Nathan Roberts</x:v>
      </x:c>
      <x:c r="H34" s="84" t="str">
        <x:f>IF(TRIM('Raw Sales'!E34)="","Unknown",PROPER(TRIM('Raw Sales'!E34)))</x:f>
        <x:v>Consumer</x:v>
      </x:c>
      <x:c r="I34" s="84" t="str">
        <x:f>PROPER(TRIM('Raw Sales'!F34))</x:f>
        <x:v>West</x:v>
      </x:c>
      <x:c r="J34" s="84" t="str">
        <x:f>PROPER(TRIM('Raw Sales'!G34))</x:f>
        <x:v>Denver</x:v>
      </x:c>
      <x:c r="K34" s="84" t="str">
        <x:f>PROPER(TRIM('Raw Sales'!H34))</x:f>
        <x:v>Online</x:v>
      </x:c>
      <x:c r="L34" s="84" t="str">
        <x:f>'Raw Sales'!I34</x:f>
        <x:v>HOME-001</x:v>
      </x:c>
      <x:c r="M34" s="84" t="str">
        <x:f>IFERROR(VLOOKUP(L34,'Reference Data'!$A$5:$F$40,2,FALSE),"Unknown Product")</x:f>
        <x:v>Air Fryer</x:v>
      </x:c>
      <x:c r="N34" s="84" t="str">
        <x:f>IFERROR(VLOOKUP(L34,'Reference Data'!$A$5:$F$40,3,FALSE),"Unknown")</x:f>
        <x:v>Home &amp; Kitchen</x:v>
      </x:c>
      <x:c r="O34" s="84" t="str">
        <x:f>IFERROR(VLOOKUP(L34,'Reference Data'!$A$5:$F$40,4,FALSE),"Unknown")</x:f>
        <x:v>Small Appliances</x:v>
      </x:c>
      <x:c r="P34" s="92" t="n">
        <x:f>IFERROR(VLOOKUP(L34,'Reference Data'!$A$5:$F$40,5,FALSE),0)</x:f>
        <x:v>119</x:v>
      </x:c>
      <x:c r="Q34" s="92" t="n">
        <x:f>IFERROR(VLOOKUP(L34,'Reference Data'!$A$5:$F$40,6,FALSE),0)</x:f>
        <x:v>68</x:v>
      </x:c>
      <x:c r="R34" s="84" t="n">
        <x:f>'Raw Sales'!J34</x:f>
        <x:v>1</x:v>
      </x:c>
      <x:c r="S34" s="87" t="n">
        <x:f>'Raw Sales'!K34</x:f>
        <x:v>0.2</x:v>
      </x:c>
      <x:c r="T34" s="93" t="n">
        <x:f>P34*R34</x:f>
        <x:v>119</x:v>
      </x:c>
      <x:c r="U34" s="93" t="n">
        <x:f>T34*S34</x:f>
        <x:v>23.8</x:v>
      </x:c>
      <x:c r="V34" s="93" t="str">
        <x:f>PROPER(TRIM('Raw Sales'!L34))</x:f>
        <x:v>Returned</x:v>
      </x:c>
      <x:c r="W34" s="93" t="n">
        <x:f>IF(V34="Returned",0,T34-U34)</x:f>
        <x:v>0</x:v>
      </x:c>
      <x:c r="X34" s="93" t="n">
        <x:f>IF(V34="Returned",Q34*R34*10%,Q34*R34)</x:f>
        <x:v>6.800000000000001</x:v>
      </x:c>
      <x:c r="Y34" s="93" t="n">
        <x:f>W34-X34</x:f>
        <x:v>-6.800000000000001</x:v>
      </x:c>
      <x:c r="Z34" s="94" t="n">
        <x:f>IFERROR(Y34/W34,0)</x:f>
        <x:v>0</x:v>
      </x:c>
      <x:c r="AA34" s="84" t="str">
        <x:f>PROPER(TRIM('Raw Sales'!M34))</x:f>
        <x:v>Credit Card</x:v>
      </x:c>
      <x:c r="AB34" s="84" t="str">
        <x:f>PROPER(TRIM('Raw Sales'!N34))</x:f>
        <x:v>Leo Martinez</x:v>
      </x:c>
      <x:c r="AC34" s="85" t="n">
        <x:f>'Raw Sales'!O34</x:f>
        <x:v>45311</x:v>
      </x:c>
      <x:c r="AD34" s="84" t="n">
        <x:f>AC34-B34</x:f>
        <x:v>5</x:v>
      </x:c>
      <x:c r="AE34" s="84" t="str">
        <x:f>IF(COUNTIF($A$5:A34,A34)&gt;1,"Duplicate","Keep")</x:f>
        <x:v>Keep</x:v>
      </x:c>
      <x:c r="AF34" s="84" t="str">
        <x:f>IF(OR(R34&lt;=0,AC34&lt;B34,H34="Unknown",M34="Unknown Product"),"Review","Valid")</x:f>
        <x:v>Valid</x:v>
      </x:c>
      <x:c r="AG34" s="84" t="n">
        <x:f>IF(AND(AE34="Keep",AF34="Valid"),1,0)</x:f>
        <x:v>1</x:v>
      </x:c>
      <x:c r="AH34" s="84" t="n">
        <x:f>IF(AND(AG34=1,OR('Dashboard'!$B$4="All",I34='Dashboard'!$B$4),OR('Dashboard'!$E$4="All",N34='Dashboard'!$E$4),OR('Dashboard'!$H$4="All",K34='Dashboard'!$H$4),OR('Dashboard'!$K$4="All",C34='Dashboard'!$K$4)),1,0)</x:f>
        <x:v>1</x:v>
      </x:c>
      <x:c r="AI34" s="84" t="n">
        <x:f>IF(AND(AG34=1,OR('Dashboard'!$B$4="All",I34='Dashboard'!$B$4),OR('Dashboard'!$E$4="All",N34='Dashboard'!$E$4),OR('Dashboard'!$H$4="All",K34='Dashboard'!$H$4)),1,0)</x:f>
        <x:v>1</x:v>
      </x:c>
    </x:row>
    <x:row r="35">
      <x:c r="A35" s="84" t="str">
        <x:f>'Raw Sales'!A35</x:f>
        <x:v>ORD-2024-02362</x:v>
      </x:c>
      <x:c r="B35" s="85" t="n">
        <x:f>'Raw Sales'!B35</x:f>
        <x:v>45307</x:v>
      </x:c>
      <x:c r="C35" s="84" t="n">
        <x:f>YEAR(B35)</x:f>
        <x:v>2024</x:v>
      </x:c>
      <x:c r="D35" s="91" t="n">
        <x:f>DATE(YEAR(B35),MONTH(B35),1)</x:f>
        <x:v>45292</x:v>
      </x:c>
      <x:c r="E35" s="84" t="str">
        <x:f>TEXT(B35,"mmm")</x:f>
        <x:v>Jan</x:v>
      </x:c>
      <x:c r="F35" s="84" t="str">
        <x:f>'Raw Sales'!C35</x:f>
        <x:v>CUST-0271</x:v>
      </x:c>
      <x:c r="G35" s="84" t="str">
        <x:f>PROPER(TRIM('Raw Sales'!D35))</x:f>
        <x:v>Jonah Nelson</x:v>
      </x:c>
      <x:c r="H35" s="84" t="str">
        <x:f>IF(TRIM('Raw Sales'!E35)="","Unknown",PROPER(TRIM('Raw Sales'!E35)))</x:f>
        <x:v>Consumer</x:v>
      </x:c>
      <x:c r="I35" s="84" t="str">
        <x:f>PROPER(TRIM('Raw Sales'!F35))</x:f>
        <x:v>Midwest</x:v>
      </x:c>
      <x:c r="J35" s="84" t="str">
        <x:f>PROPER(TRIM('Raw Sales'!G35))</x:f>
        <x:v>Detroit</x:v>
      </x:c>
      <x:c r="K35" s="84" t="str">
        <x:f>PROPER(TRIM('Raw Sales'!H35))</x:f>
        <x:v>Retail Store</x:v>
      </x:c>
      <x:c r="L35" s="84" t="str">
        <x:f>'Raw Sales'!I35</x:f>
        <x:v>HOME-006</x:v>
      </x:c>
      <x:c r="M35" s="84" t="str">
        <x:f>IFERROR(VLOOKUP(L35,'Reference Data'!$A$5:$F$40,2,FALSE),"Unknown Product")</x:f>
        <x:v>Food Storage Set</x:v>
      </x:c>
      <x:c r="N35" s="84" t="str">
        <x:f>IFERROR(VLOOKUP(L35,'Reference Data'!$A$5:$F$40,3,FALSE),"Unknown")</x:f>
        <x:v>Home &amp; Kitchen</x:v>
      </x:c>
      <x:c r="O35" s="84" t="str">
        <x:f>IFERROR(VLOOKUP(L35,'Reference Data'!$A$5:$F$40,4,FALSE),"Unknown")</x:f>
        <x:v>Kitchenware</x:v>
      </x:c>
      <x:c r="P35" s="92" t="n">
        <x:f>IFERROR(VLOOKUP(L35,'Reference Data'!$A$5:$F$40,5,FALSE),0)</x:f>
        <x:v>34</x:v>
      </x:c>
      <x:c r="Q35" s="92" t="n">
        <x:f>IFERROR(VLOOKUP(L35,'Reference Data'!$A$5:$F$40,6,FALSE),0)</x:f>
        <x:v>15</x:v>
      </x:c>
      <x:c r="R35" s="84" t="n">
        <x:f>'Raw Sales'!J35</x:f>
        <x:v>1</x:v>
      </x:c>
      <x:c r="S35" s="87" t="n">
        <x:f>'Raw Sales'!K35</x:f>
        <x:v>0.1</x:v>
      </x:c>
      <x:c r="T35" s="93" t="n">
        <x:f>P35*R35</x:f>
        <x:v>34</x:v>
      </x:c>
      <x:c r="U35" s="93" t="n">
        <x:f>T35*S35</x:f>
        <x:v>3.4000000000000004</x:v>
      </x:c>
      <x:c r="V35" s="93" t="str">
        <x:f>PROPER(TRIM('Raw Sales'!L35))</x:f>
        <x:v>Completed</x:v>
      </x:c>
      <x:c r="W35" s="93" t="n">
        <x:f>IF(V35="Returned",0,T35-U35)</x:f>
        <x:v>30.6</x:v>
      </x:c>
      <x:c r="X35" s="93" t="n">
        <x:f>IF(V35="Returned",Q35*R35*10%,Q35*R35)</x:f>
        <x:v>15</x:v>
      </x:c>
      <x:c r="Y35" s="93" t="n">
        <x:f>W35-X35</x:f>
        <x:v>15.600000000000001</x:v>
      </x:c>
      <x:c r="Z35" s="94" t="n">
        <x:f>IFERROR(Y35/W35,0)</x:f>
        <x:v>0.5098039215686275</x:v>
      </x:c>
      <x:c r="AA35" s="84" t="str">
        <x:f>PROPER(TRIM('Raw Sales'!M35))</x:f>
        <x:v>Cash</x:v>
      </x:c>
      <x:c r="AB35" s="84" t="str">
        <x:f>PROPER(TRIM('Raw Sales'!N35))</x:f>
        <x:v>Zoe Turner</x:v>
      </x:c>
      <x:c r="AC35" s="85" t="n">
        <x:f>'Raw Sales'!O35</x:f>
        <x:v>45307</x:v>
      </x:c>
      <x:c r="AD35" s="84" t="n">
        <x:f>AC35-B35</x:f>
        <x:v>0</x:v>
      </x:c>
      <x:c r="AE35" s="84" t="str">
        <x:f>IF(COUNTIF($A$5:A35,A35)&gt;1,"Duplicate","Keep")</x:f>
        <x:v>Keep</x:v>
      </x:c>
      <x:c r="AF35" s="84" t="str">
        <x:f>IF(OR(R35&lt;=0,AC35&lt;B35,H35="Unknown",M35="Unknown Product"),"Review","Valid")</x:f>
        <x:v>Valid</x:v>
      </x:c>
      <x:c r="AG35" s="84" t="n">
        <x:f>IF(AND(AE35="Keep",AF35="Valid"),1,0)</x:f>
        <x:v>1</x:v>
      </x:c>
      <x:c r="AH35" s="84" t="n">
        <x:f>IF(AND(AG35=1,OR('Dashboard'!$B$4="All",I35='Dashboard'!$B$4),OR('Dashboard'!$E$4="All",N35='Dashboard'!$E$4),OR('Dashboard'!$H$4="All",K35='Dashboard'!$H$4),OR('Dashboard'!$K$4="All",C35='Dashboard'!$K$4)),1,0)</x:f>
        <x:v>1</x:v>
      </x:c>
      <x:c r="AI35" s="84" t="n">
        <x:f>IF(AND(AG35=1,OR('Dashboard'!$B$4="All",I35='Dashboard'!$B$4),OR('Dashboard'!$E$4="All",N35='Dashboard'!$E$4),OR('Dashboard'!$H$4="All",K35='Dashboard'!$H$4)),1,0)</x:f>
        <x:v>1</x:v>
      </x:c>
    </x:row>
    <x:row r="36">
      <x:c r="A36" s="84" t="str">
        <x:f>'Raw Sales'!A36</x:f>
        <x:v>ORD-2024-00340</x:v>
      </x:c>
      <x:c r="B36" s="85" t="n">
        <x:f>'Raw Sales'!B36</x:f>
        <x:v>45309</x:v>
      </x:c>
      <x:c r="C36" s="84" t="n">
        <x:f>YEAR(B36)</x:f>
        <x:v>2024</x:v>
      </x:c>
      <x:c r="D36" s="91" t="n">
        <x:f>DATE(YEAR(B36),MONTH(B36),1)</x:f>
        <x:v>45292</x:v>
      </x:c>
      <x:c r="E36" s="84" t="str">
        <x:f>TEXT(B36,"mmm")</x:f>
        <x:v>Jan</x:v>
      </x:c>
      <x:c r="F36" s="84" t="str">
        <x:f>'Raw Sales'!C36</x:f>
        <x:v>CUST-0128</x:v>
      </x:c>
      <x:c r="G36" s="84" t="str">
        <x:f>PROPER(TRIM('Raw Sales'!D36))</x:f>
        <x:v>Zara Patel</x:v>
      </x:c>
      <x:c r="H36" s="84" t="str">
        <x:f>IF(TRIM('Raw Sales'!E36)="","Unknown",PROPER(TRIM('Raw Sales'!E36)))</x:f>
        <x:v>Consumer</x:v>
      </x:c>
      <x:c r="I36" s="84" t="str">
        <x:f>PROPER(TRIM('Raw Sales'!F36))</x:f>
        <x:v>Midwest</x:v>
      </x:c>
      <x:c r="J36" s="84" t="str">
        <x:f>PROPER(TRIM('Raw Sales'!G36))</x:f>
        <x:v>Detroit</x:v>
      </x:c>
      <x:c r="K36" s="84" t="str">
        <x:f>PROPER(TRIM('Raw Sales'!H36))</x:f>
        <x:v>Online</x:v>
      </x:c>
      <x:c r="L36" s="84" t="str">
        <x:f>'Raw Sales'!I36</x:f>
        <x:v>FITN-006</x:v>
      </x:c>
      <x:c r="M36" s="84" t="str">
        <x:f>IFERROR(VLOOKUP(L36,'Reference Data'!$A$5:$F$40,2,FALSE),"Unknown Product")</x:f>
        <x:v>Foam Roller</x:v>
      </x:c>
      <x:c r="N36" s="84" t="str">
        <x:f>IFERROR(VLOOKUP(L36,'Reference Data'!$A$5:$F$40,3,FALSE),"Unknown")</x:f>
        <x:v>Fitness</x:v>
      </x:c>
      <x:c r="O36" s="84" t="str">
        <x:f>IFERROR(VLOOKUP(L36,'Reference Data'!$A$5:$F$40,4,FALSE),"Unknown")</x:f>
        <x:v>Recovery</x:v>
      </x:c>
      <x:c r="P36" s="92" t="n">
        <x:f>IFERROR(VLOOKUP(L36,'Reference Data'!$A$5:$F$40,5,FALSE),0)</x:f>
        <x:v>31</x:v>
      </x:c>
      <x:c r="Q36" s="92" t="n">
        <x:f>IFERROR(VLOOKUP(L36,'Reference Data'!$A$5:$F$40,6,FALSE),0)</x:f>
        <x:v>12</x:v>
      </x:c>
      <x:c r="R36" s="84" t="n">
        <x:f>'Raw Sales'!J36</x:f>
        <x:v>2</x:v>
      </x:c>
      <x:c r="S36" s="87" t="n">
        <x:f>'Raw Sales'!K36</x:f>
        <x:v>0.1</x:v>
      </x:c>
      <x:c r="T36" s="93" t="n">
        <x:f>P36*R36</x:f>
        <x:v>62</x:v>
      </x:c>
      <x:c r="U36" s="93" t="n">
        <x:f>T36*S36</x:f>
        <x:v>6.2</x:v>
      </x:c>
      <x:c r="V36" s="93" t="str">
        <x:f>PROPER(TRIM('Raw Sales'!L36))</x:f>
        <x:v>Completed</x:v>
      </x:c>
      <x:c r="W36" s="93" t="n">
        <x:f>IF(V36="Returned",0,T36-U36)</x:f>
        <x:v>55.8</x:v>
      </x:c>
      <x:c r="X36" s="93" t="n">
        <x:f>IF(V36="Returned",Q36*R36*10%,Q36*R36)</x:f>
        <x:v>24</x:v>
      </x:c>
      <x:c r="Y36" s="93" t="n">
        <x:f>W36-X36</x:f>
        <x:v>31.799999999999997</x:v>
      </x:c>
      <x:c r="Z36" s="94" t="n">
        <x:f>IFERROR(Y36/W36,0)</x:f>
        <x:v>0.5698924731182795</x:v>
      </x:c>
      <x:c r="AA36" s="84" t="str">
        <x:f>PROPER(TRIM('Raw Sales'!M36))</x:f>
        <x:v>Credit Card</x:v>
      </x:c>
      <x:c r="AB36" s="84" t="str">
        <x:f>PROPER(TRIM('Raw Sales'!N36))</x:f>
        <x:v>Emma Hayes</x:v>
      </x:c>
      <x:c r="AC36" s="85" t="n">
        <x:f>'Raw Sales'!O36</x:f>
        <x:v>45311</x:v>
      </x:c>
      <x:c r="AD36" s="84" t="n">
        <x:f>AC36-B36</x:f>
        <x:v>2</x:v>
      </x:c>
      <x:c r="AE36" s="84" t="str">
        <x:f>IF(COUNTIF($A$5:A36,A36)&gt;1,"Duplicate","Keep")</x:f>
        <x:v>Keep</x:v>
      </x:c>
      <x:c r="AF36" s="84" t="str">
        <x:f>IF(OR(R36&lt;=0,AC36&lt;B36,H36="Unknown",M36="Unknown Product"),"Review","Valid")</x:f>
        <x:v>Valid</x:v>
      </x:c>
      <x:c r="AG36" s="84" t="n">
        <x:f>IF(AND(AE36="Keep",AF36="Valid"),1,0)</x:f>
        <x:v>1</x:v>
      </x:c>
      <x:c r="AH36" s="84" t="n">
        <x:f>IF(AND(AG36=1,OR('Dashboard'!$B$4="All",I36='Dashboard'!$B$4),OR('Dashboard'!$E$4="All",N36='Dashboard'!$E$4),OR('Dashboard'!$H$4="All",K36='Dashboard'!$H$4),OR('Dashboard'!$K$4="All",C36='Dashboard'!$K$4)),1,0)</x:f>
        <x:v>1</x:v>
      </x:c>
      <x:c r="AI36" s="84" t="n">
        <x:f>IF(AND(AG36=1,OR('Dashboard'!$B$4="All",I36='Dashboard'!$B$4),OR('Dashboard'!$E$4="All",N36='Dashboard'!$E$4),OR('Dashboard'!$H$4="All",K36='Dashboard'!$H$4)),1,0)</x:f>
        <x:v>1</x:v>
      </x:c>
    </x:row>
    <x:row r="37">
      <x:c r="A37" s="84" t="str">
        <x:f>'Raw Sales'!A37</x:f>
        <x:v>ORD-2024-02193</x:v>
      </x:c>
      <x:c r="B37" s="85" t="n">
        <x:f>'Raw Sales'!B37</x:f>
        <x:v>45309</x:v>
      </x:c>
      <x:c r="C37" s="84" t="n">
        <x:f>YEAR(B37)</x:f>
        <x:v>2024</x:v>
      </x:c>
      <x:c r="D37" s="91" t="n">
        <x:f>DATE(YEAR(B37),MONTH(B37),1)</x:f>
        <x:v>45292</x:v>
      </x:c>
      <x:c r="E37" s="84" t="str">
        <x:f>TEXT(B37,"mmm")</x:f>
        <x:v>Jan</x:v>
      </x:c>
      <x:c r="F37" s="84" t="str">
        <x:f>'Raw Sales'!C37</x:f>
        <x:v>CUST-0305</x:v>
      </x:c>
      <x:c r="G37" s="84" t="str">
        <x:f>PROPER(TRIM('Raw Sales'!D37))</x:f>
        <x:v>Theo Young</x:v>
      </x:c>
      <x:c r="H37" s="84" t="str">
        <x:f>IF(TRIM('Raw Sales'!E37)="","Unknown",PROPER(TRIM('Raw Sales'!E37)))</x:f>
        <x:v>Consumer</x:v>
      </x:c>
      <x:c r="I37" s="84" t="str">
        <x:f>PROPER(TRIM('Raw Sales'!F37))</x:f>
        <x:v>Midwest</x:v>
      </x:c>
      <x:c r="J37" s="84" t="str">
        <x:f>PROPER(TRIM('Raw Sales'!G37))</x:f>
        <x:v>Minneapolis</x:v>
      </x:c>
      <x:c r="K37" s="84" t="str">
        <x:f>PROPER(TRIM('Raw Sales'!H37))</x:f>
        <x:v>Retail Store</x:v>
      </x:c>
      <x:c r="L37" s="84" t="str">
        <x:f>'Raw Sales'!I37</x:f>
        <x:v>ACCS-005</x:v>
      </x:c>
      <x:c r="M37" s="84" t="str">
        <x:f>IFERROR(VLOOKUP(L37,'Reference Data'!$A$5:$F$40,2,FALSE),"Unknown Product")</x:f>
        <x:v>Protective Phone Case</x:v>
      </x:c>
      <x:c r="N37" s="84" t="str">
        <x:f>IFERROR(VLOOKUP(L37,'Reference Data'!$A$5:$F$40,3,FALSE),"Unknown")</x:f>
        <x:v>Accessories</x:v>
      </x:c>
      <x:c r="O37" s="84" t="str">
        <x:f>IFERROR(VLOOKUP(L37,'Reference Data'!$A$5:$F$40,4,FALSE),"Unknown")</x:f>
        <x:v>Mobile Accessories</x:v>
      </x:c>
      <x:c r="P37" s="92" t="n">
        <x:f>IFERROR(VLOOKUP(L37,'Reference Data'!$A$5:$F$40,5,FALSE),0)</x:f>
        <x:v>24</x:v>
      </x:c>
      <x:c r="Q37" s="92" t="n">
        <x:f>IFERROR(VLOOKUP(L37,'Reference Data'!$A$5:$F$40,6,FALSE),0)</x:f>
        <x:v>5</x:v>
      </x:c>
      <x:c r="R37" s="84" t="n">
        <x:f>'Raw Sales'!J37</x:f>
        <x:v>2</x:v>
      </x:c>
      <x:c r="S37" s="87" t="n">
        <x:f>'Raw Sales'!K37</x:f>
        <x:v>0.05</x:v>
      </x:c>
      <x:c r="T37" s="93" t="n">
        <x:f>P37*R37</x:f>
        <x:v>48</x:v>
      </x:c>
      <x:c r="U37" s="93" t="n">
        <x:f>T37*S37</x:f>
        <x:v>2.4000000000000004</x:v>
      </x:c>
      <x:c r="V37" s="93" t="str">
        <x:f>PROPER(TRIM('Raw Sales'!L37))</x:f>
        <x:v>Completed</x:v>
      </x:c>
      <x:c r="W37" s="93" t="n">
        <x:f>IF(V37="Returned",0,T37-U37)</x:f>
        <x:v>45.6</x:v>
      </x:c>
      <x:c r="X37" s="93" t="n">
        <x:f>IF(V37="Returned",Q37*R37*10%,Q37*R37)</x:f>
        <x:v>10</x:v>
      </x:c>
      <x:c r="Y37" s="93" t="n">
        <x:f>W37-X37</x:f>
        <x:v>35.6</x:v>
      </x:c>
      <x:c r="Z37" s="94" t="n">
        <x:f>IFERROR(Y37/W37,0)</x:f>
        <x:v>0.7807017543859649</x:v>
      </x:c>
      <x:c r="AA37" s="84" t="str">
        <x:f>PROPER(TRIM('Raw Sales'!M37))</x:f>
        <x:v>Credit Card</x:v>
      </x:c>
      <x:c r="AB37" s="84" t="str">
        <x:f>PROPER(TRIM('Raw Sales'!N37))</x:f>
        <x:v>Emma Hayes</x:v>
      </x:c>
      <x:c r="AC37" s="85" t="n">
        <x:f>'Raw Sales'!O37</x:f>
        <x:v>45309</x:v>
      </x:c>
      <x:c r="AD37" s="84" t="n">
        <x:f>AC37-B37</x:f>
        <x:v>0</x:v>
      </x:c>
      <x:c r="AE37" s="84" t="str">
        <x:f>IF(COUNTIF($A$5:A37,A37)&gt;1,"Duplicate","Keep")</x:f>
        <x:v>Keep</x:v>
      </x:c>
      <x:c r="AF37" s="84" t="str">
        <x:f>IF(OR(R37&lt;=0,AC37&lt;B37,H37="Unknown",M37="Unknown Product"),"Review","Valid")</x:f>
        <x:v>Valid</x:v>
      </x:c>
      <x:c r="AG37" s="84" t="n">
        <x:f>IF(AND(AE37="Keep",AF37="Valid"),1,0)</x:f>
        <x:v>1</x:v>
      </x:c>
      <x:c r="AH37" s="84" t="n">
        <x:f>IF(AND(AG37=1,OR('Dashboard'!$B$4="All",I37='Dashboard'!$B$4),OR('Dashboard'!$E$4="All",N37='Dashboard'!$E$4),OR('Dashboard'!$H$4="All",K37='Dashboard'!$H$4),OR('Dashboard'!$K$4="All",C37='Dashboard'!$K$4)),1,0)</x:f>
        <x:v>1</x:v>
      </x:c>
      <x:c r="AI37" s="84" t="n">
        <x:f>IF(AND(AG37=1,OR('Dashboard'!$B$4="All",I37='Dashboard'!$B$4),OR('Dashboard'!$E$4="All",N37='Dashboard'!$E$4),OR('Dashboard'!$H$4="All",K37='Dashboard'!$H$4)),1,0)</x:f>
        <x:v>1</x:v>
      </x:c>
    </x:row>
    <x:row r="38">
      <x:c r="A38" s="84" t="str">
        <x:f>'Raw Sales'!A38</x:f>
        <x:v>ORD-2024-00262</x:v>
      </x:c>
      <x:c r="B38" s="85" t="n">
        <x:f>'Raw Sales'!B38</x:f>
        <x:v>45310</x:v>
      </x:c>
      <x:c r="C38" s="84" t="n">
        <x:f>YEAR(B38)</x:f>
        <x:v>2024</x:v>
      </x:c>
      <x:c r="D38" s="91" t="n">
        <x:f>DATE(YEAR(B38),MONTH(B38),1)</x:f>
        <x:v>45292</x:v>
      </x:c>
      <x:c r="E38" s="84" t="str">
        <x:f>TEXT(B38,"mmm")</x:f>
        <x:v>Jan</x:v>
      </x:c>
      <x:c r="F38" s="84" t="str">
        <x:f>'Raw Sales'!C38</x:f>
        <x:v>CUST-0066</x:v>
      </x:c>
      <x:c r="G38" s="84" t="str">
        <x:f>PROPER(TRIM('Raw Sales'!D38))</x:f>
        <x:v>Zara Smith</x:v>
      </x:c>
      <x:c r="H38" s="84" t="str">
        <x:f>IF(TRIM('Raw Sales'!E38)="","Unknown",PROPER(TRIM('Raw Sales'!E38)))</x:f>
        <x:v>Consumer</x:v>
      </x:c>
      <x:c r="I38" s="84" t="str">
        <x:f>PROPER(TRIM('Raw Sales'!F38))</x:f>
        <x:v>West</x:v>
      </x:c>
      <x:c r="J38" s="84" t="str">
        <x:f>PROPER(TRIM('Raw Sales'!G38))</x:f>
        <x:v>Phoenix</x:v>
      </x:c>
      <x:c r="K38" s="84" t="str">
        <x:f>PROPER(TRIM('Raw Sales'!H38))</x:f>
        <x:v>Online</x:v>
      </x:c>
      <x:c r="L38" s="84" t="str">
        <x:f>'Raw Sales'!I38</x:f>
        <x:v>ACCS-001</x:v>
      </x:c>
      <x:c r="M38" s="84" t="str">
        <x:f>IFERROR(VLOOKUP(L38,'Reference Data'!$A$5:$F$40,2,FALSE),"Unknown Product")</x:f>
        <x:v>Canvas Tote Bag</x:v>
      </x:c>
      <x:c r="N38" s="84" t="str">
        <x:f>IFERROR(VLOOKUP(L38,'Reference Data'!$A$5:$F$40,3,FALSE),"Unknown")</x:f>
        <x:v>Accessories</x:v>
      </x:c>
      <x:c r="O38" s="84" t="str">
        <x:f>IFERROR(VLOOKUP(L38,'Reference Data'!$A$5:$F$40,4,FALSE),"Unknown")</x:f>
        <x:v>Bags</x:v>
      </x:c>
      <x:c r="P38" s="92" t="n">
        <x:f>IFERROR(VLOOKUP(L38,'Reference Data'!$A$5:$F$40,5,FALSE),0)</x:f>
        <x:v>39</x:v>
      </x:c>
      <x:c r="Q38" s="92" t="n">
        <x:f>IFERROR(VLOOKUP(L38,'Reference Data'!$A$5:$F$40,6,FALSE),0)</x:f>
        <x:v>14</x:v>
      </x:c>
      <x:c r="R38" s="84" t="n">
        <x:f>'Raw Sales'!J38</x:f>
        <x:v>1</x:v>
      </x:c>
      <x:c r="S38" s="87" t="n">
        <x:f>'Raw Sales'!K38</x:f>
        <x:v>0.15</x:v>
      </x:c>
      <x:c r="T38" s="93" t="n">
        <x:f>P38*R38</x:f>
        <x:v>39</x:v>
      </x:c>
      <x:c r="U38" s="93" t="n">
        <x:f>T38*S38</x:f>
        <x:v>5.85</x:v>
      </x:c>
      <x:c r="V38" s="93" t="str">
        <x:f>PROPER(TRIM('Raw Sales'!L38))</x:f>
        <x:v>Completed</x:v>
      </x:c>
      <x:c r="W38" s="93" t="n">
        <x:f>IF(V38="Returned",0,T38-U38)</x:f>
        <x:v>33.15</x:v>
      </x:c>
      <x:c r="X38" s="93" t="n">
        <x:f>IF(V38="Returned",Q38*R38*10%,Q38*R38)</x:f>
        <x:v>14</x:v>
      </x:c>
      <x:c r="Y38" s="93" t="n">
        <x:f>W38-X38</x:f>
        <x:v>19.15</x:v>
      </x:c>
      <x:c r="Z38" s="94" t="n">
        <x:f>IFERROR(Y38/W38,0)</x:f>
        <x:v>0.5776772247360482</x:v>
      </x:c>
      <x:c r="AA38" s="84" t="str">
        <x:f>PROPER(TRIM('Raw Sales'!M38))</x:f>
        <x:v>Credit Card</x:v>
      </x:c>
      <x:c r="AB38" s="84" t="str">
        <x:f>PROPER(TRIM('Raw Sales'!N38))</x:f>
        <x:v>Nora Kim</x:v>
      </x:c>
      <x:c r="AC38" s="85" t="n">
        <x:f>'Raw Sales'!O38</x:f>
        <x:v>45314</x:v>
      </x:c>
      <x:c r="AD38" s="84" t="n">
        <x:f>AC38-B38</x:f>
        <x:v>4</x:v>
      </x:c>
      <x:c r="AE38" s="84" t="str">
        <x:f>IF(COUNTIF($A$5:A38,A38)&gt;1,"Duplicate","Keep")</x:f>
        <x:v>Keep</x:v>
      </x:c>
      <x:c r="AF38" s="84" t="str">
        <x:f>IF(OR(R38&lt;=0,AC38&lt;B38,H38="Unknown",M38="Unknown Product"),"Review","Valid")</x:f>
        <x:v>Valid</x:v>
      </x:c>
      <x:c r="AG38" s="84" t="n">
        <x:f>IF(AND(AE38="Keep",AF38="Valid"),1,0)</x:f>
        <x:v>1</x:v>
      </x:c>
      <x:c r="AH38" s="84" t="n">
        <x:f>IF(AND(AG38=1,OR('Dashboard'!$B$4="All",I38='Dashboard'!$B$4),OR('Dashboard'!$E$4="All",N38='Dashboard'!$E$4),OR('Dashboard'!$H$4="All",K38='Dashboard'!$H$4),OR('Dashboard'!$K$4="All",C38='Dashboard'!$K$4)),1,0)</x:f>
        <x:v>1</x:v>
      </x:c>
      <x:c r="AI38" s="84" t="n">
        <x:f>IF(AND(AG38=1,OR('Dashboard'!$B$4="All",I38='Dashboard'!$B$4),OR('Dashboard'!$E$4="All",N38='Dashboard'!$E$4),OR('Dashboard'!$H$4="All",K38='Dashboard'!$H$4)),1,0)</x:f>
        <x:v>1</x:v>
      </x:c>
    </x:row>
    <x:row r="39">
      <x:c r="A39" s="84" t="str">
        <x:f>'Raw Sales'!A39</x:f>
        <x:v>ORD-2024-00381</x:v>
      </x:c>
      <x:c r="B39" s="85" t="n">
        <x:f>'Raw Sales'!B39</x:f>
        <x:v>45310</x:v>
      </x:c>
      <x:c r="C39" s="84" t="n">
        <x:f>YEAR(B39)</x:f>
        <x:v>2024</x:v>
      </x:c>
      <x:c r="D39" s="91" t="n">
        <x:f>DATE(YEAR(B39),MONTH(B39),1)</x:f>
        <x:v>45292</x:v>
      </x:c>
      <x:c r="E39" s="84" t="str">
        <x:f>TEXT(B39,"mmm")</x:f>
        <x:v>Jan</x:v>
      </x:c>
      <x:c r="F39" s="84" t="str">
        <x:f>'Raw Sales'!C39</x:f>
        <x:v>CUST-0357</x:v>
      </x:c>
      <x:c r="G39" s="84" t="str">
        <x:f>PROPER(TRIM('Raw Sales'!D39))</x:f>
        <x:v>Priya Baker</x:v>
      </x:c>
      <x:c r="H39" s="84" t="str">
        <x:f>IF(TRIM('Raw Sales'!E39)="","Unknown",PROPER(TRIM('Raw Sales'!E39)))</x:f>
        <x:v>Consumer</x:v>
      </x:c>
      <x:c r="I39" s="84" t="str">
        <x:f>PROPER(TRIM('Raw Sales'!F39))</x:f>
        <x:v>Southeast</x:v>
      </x:c>
      <x:c r="J39" s="84" t="str">
        <x:f>PROPER(TRIM('Raw Sales'!G39))</x:f>
        <x:v>Atlanta</x:v>
      </x:c>
      <x:c r="K39" s="84" t="str">
        <x:f>PROPER(TRIM('Raw Sales'!H39))</x:f>
        <x:v>Online</x:v>
      </x:c>
      <x:c r="L39" s="84" t="str">
        <x:f>'Raw Sales'!I39</x:f>
        <x:v>OFFC-002</x:v>
      </x:c>
      <x:c r="M39" s="84" t="str">
        <x:f>IFERROR(VLOOKUP(L39,'Reference Data'!$A$5:$F$40,2,FALSE),"Unknown Product")</x:f>
        <x:v>Standing Desk</x:v>
      </x:c>
      <x:c r="N39" s="84" t="str">
        <x:f>IFERROR(VLOOKUP(L39,'Reference Data'!$A$5:$F$40,3,FALSE),"Unknown")</x:f>
        <x:v>Office</x:v>
      </x:c>
      <x:c r="O39" s="84" t="str">
        <x:f>IFERROR(VLOOKUP(L39,'Reference Data'!$A$5:$F$40,4,FALSE),"Unknown")</x:f>
        <x:v>Furniture</x:v>
      </x:c>
      <x:c r="P39" s="92" t="n">
        <x:f>IFERROR(VLOOKUP(L39,'Reference Data'!$A$5:$F$40,5,FALSE),0)</x:f>
        <x:v>399</x:v>
      </x:c>
      <x:c r="Q39" s="92" t="n">
        <x:f>IFERROR(VLOOKUP(L39,'Reference Data'!$A$5:$F$40,6,FALSE),0)</x:f>
        <x:v>235</x:v>
      </x:c>
      <x:c r="R39" s="84" t="n">
        <x:f>'Raw Sales'!J39</x:f>
        <x:v>1</x:v>
      </x:c>
      <x:c r="S39" s="87" t="n">
        <x:f>'Raw Sales'!K39</x:f>
        <x:v>0.15</x:v>
      </x:c>
      <x:c r="T39" s="93" t="n">
        <x:f>P39*R39</x:f>
        <x:v>399</x:v>
      </x:c>
      <x:c r="U39" s="93" t="n">
        <x:f>T39*S39</x:f>
        <x:v>59.849999999999994</x:v>
      </x:c>
      <x:c r="V39" s="93" t="str">
        <x:f>PROPER(TRIM('Raw Sales'!L39))</x:f>
        <x:v>Completed</x:v>
      </x:c>
      <x:c r="W39" s="93" t="n">
        <x:f>IF(V39="Returned",0,T39-U39)</x:f>
        <x:v>339.15</x:v>
      </x:c>
      <x:c r="X39" s="93" t="n">
        <x:f>IF(V39="Returned",Q39*R39*10%,Q39*R39)</x:f>
        <x:v>235</x:v>
      </x:c>
      <x:c r="Y39" s="93" t="n">
        <x:f>W39-X39</x:f>
        <x:v>104.14999999999998</x:v>
      </x:c>
      <x:c r="Z39" s="94" t="n">
        <x:f>IFERROR(Y39/W39,0)</x:f>
        <x:v>0.3070912575556538</x:v>
      </x:c>
      <x:c r="AA39" s="84" t="str">
        <x:f>PROPER(TRIM('Raw Sales'!M39))</x:f>
        <x:v>Credit Card</x:v>
      </x:c>
      <x:c r="AB39" s="84" t="str">
        <x:f>PROPER(TRIM('Raw Sales'!N39))</x:f>
        <x:v>Liam Parker</x:v>
      </x:c>
      <x:c r="AC39" s="85" t="n">
        <x:f>'Raw Sales'!O39</x:f>
        <x:v>45314</x:v>
      </x:c>
      <x:c r="AD39" s="84" t="n">
        <x:f>AC39-B39</x:f>
        <x:v>4</x:v>
      </x:c>
      <x:c r="AE39" s="84" t="str">
        <x:f>IF(COUNTIF($A$5:A39,A39)&gt;1,"Duplicate","Keep")</x:f>
        <x:v>Keep</x:v>
      </x:c>
      <x:c r="AF39" s="84" t="str">
        <x:f>IF(OR(R39&lt;=0,AC39&lt;B39,H39="Unknown",M39="Unknown Product"),"Review","Valid")</x:f>
        <x:v>Valid</x:v>
      </x:c>
      <x:c r="AG39" s="84" t="n">
        <x:f>IF(AND(AE39="Keep",AF39="Valid"),1,0)</x:f>
        <x:v>1</x:v>
      </x:c>
      <x:c r="AH39" s="84" t="n">
        <x:f>IF(AND(AG39=1,OR('Dashboard'!$B$4="All",I39='Dashboard'!$B$4),OR('Dashboard'!$E$4="All",N39='Dashboard'!$E$4),OR('Dashboard'!$H$4="All",K39='Dashboard'!$H$4),OR('Dashboard'!$K$4="All",C39='Dashboard'!$K$4)),1,0)</x:f>
        <x:v>1</x:v>
      </x:c>
      <x:c r="AI39" s="84" t="n">
        <x:f>IF(AND(AG39=1,OR('Dashboard'!$B$4="All",I39='Dashboard'!$B$4),OR('Dashboard'!$E$4="All",N39='Dashboard'!$E$4),OR('Dashboard'!$H$4="All",K39='Dashboard'!$H$4)),1,0)</x:f>
        <x:v>1</x:v>
      </x:c>
    </x:row>
    <x:row r="40">
      <x:c r="A40" s="84" t="str">
        <x:f>'Raw Sales'!A40</x:f>
        <x:v>ORD-2024-01169</x:v>
      </x:c>
      <x:c r="B40" s="85" t="n">
        <x:f>'Raw Sales'!B40</x:f>
        <x:v>45310</x:v>
      </x:c>
      <x:c r="C40" s="84" t="n">
        <x:f>YEAR(B40)</x:f>
        <x:v>2024</x:v>
      </x:c>
      <x:c r="D40" s="91" t="n">
        <x:f>DATE(YEAR(B40),MONTH(B40),1)</x:f>
        <x:v>45292</x:v>
      </x:c>
      <x:c r="E40" s="84" t="str">
        <x:f>TEXT(B40,"mmm")</x:f>
        <x:v>Jan</x:v>
      </x:c>
      <x:c r="F40" s="84" t="str">
        <x:f>'Raw Sales'!C40</x:f>
        <x:v>CUST-0321</x:v>
      </x:c>
      <x:c r="G40" s="84" t="str">
        <x:f>PROPER(TRIM('Raw Sales'!D40))</x:f>
        <x:v>Grace Smith</x:v>
      </x:c>
      <x:c r="H40" s="84" t="str">
        <x:f>IF(TRIM('Raw Sales'!E40)="","Unknown",PROPER(TRIM('Raw Sales'!E40)))</x:f>
        <x:v>Corporate</x:v>
      </x:c>
      <x:c r="I40" s="84" t="str">
        <x:f>PROPER(TRIM('Raw Sales'!F40))</x:f>
        <x:v>Southeast</x:v>
      </x:c>
      <x:c r="J40" s="84" t="str">
        <x:f>PROPER(TRIM('Raw Sales'!G40))</x:f>
        <x:v>Miami</x:v>
      </x:c>
      <x:c r="K40" s="84" t="str">
        <x:f>PROPER(TRIM('Raw Sales'!H40))</x:f>
        <x:v>Marketplace</x:v>
      </x:c>
      <x:c r="L40" s="84" t="str">
        <x:f>'Raw Sales'!I40</x:f>
        <x:v>OFFC-006</x:v>
      </x:c>
      <x:c r="M40" s="84" t="str">
        <x:f>IFERROR(VLOOKUP(L40,'Reference Data'!$A$5:$F$40,2,FALSE),"Unknown Product")</x:f>
        <x:v>Monitor Stand</x:v>
      </x:c>
      <x:c r="N40" s="84" t="str">
        <x:f>IFERROR(VLOOKUP(L40,'Reference Data'!$A$5:$F$40,3,FALSE),"Unknown")</x:f>
        <x:v>Office</x:v>
      </x:c>
      <x:c r="O40" s="84" t="str">
        <x:f>IFERROR(VLOOKUP(L40,'Reference Data'!$A$5:$F$40,4,FALSE),"Unknown")</x:f>
        <x:v>Desk Accessories</x:v>
      </x:c>
      <x:c r="P40" s="92" t="n">
        <x:f>IFERROR(VLOOKUP(L40,'Reference Data'!$A$5:$F$40,5,FALSE),0)</x:f>
        <x:v>49</x:v>
      </x:c>
      <x:c r="Q40" s="92" t="n">
        <x:f>IFERROR(VLOOKUP(L40,'Reference Data'!$A$5:$F$40,6,FALSE),0)</x:f>
        <x:v>21</x:v>
      </x:c>
      <x:c r="R40" s="84" t="n">
        <x:f>'Raw Sales'!J40</x:f>
        <x:v>2</x:v>
      </x:c>
      <x:c r="S40" s="87" t="n">
        <x:f>'Raw Sales'!K40</x:f>
        <x:v>0.1</x:v>
      </x:c>
      <x:c r="T40" s="93" t="n">
        <x:f>P40*R40</x:f>
        <x:v>98</x:v>
      </x:c>
      <x:c r="U40" s="93" t="n">
        <x:f>T40*S40</x:f>
        <x:v>9.8</x:v>
      </x:c>
      <x:c r="V40" s="93" t="str">
        <x:f>PROPER(TRIM('Raw Sales'!L40))</x:f>
        <x:v>Completed</x:v>
      </x:c>
      <x:c r="W40" s="93" t="n">
        <x:f>IF(V40="Returned",0,T40-U40)</x:f>
        <x:v>88.2</x:v>
      </x:c>
      <x:c r="X40" s="93" t="n">
        <x:f>IF(V40="Returned",Q40*R40*10%,Q40*R40)</x:f>
        <x:v>42</x:v>
      </x:c>
      <x:c r="Y40" s="93" t="n">
        <x:f>W40-X40</x:f>
        <x:v>46.2</x:v>
      </x:c>
      <x:c r="Z40" s="94" t="n">
        <x:f>IFERROR(Y40/W40,0)</x:f>
        <x:v>0.5238095238095238</x:v>
      </x:c>
      <x:c r="AA40" s="84" t="str">
        <x:f>PROPER(TRIM('Raw Sales'!M40))</x:f>
        <x:v>Debit Card</x:v>
      </x:c>
      <x:c r="AB40" s="84" t="str">
        <x:f>PROPER(TRIM('Raw Sales'!N40))</x:f>
        <x:v>Noah Reed</x:v>
      </x:c>
      <x:c r="AC40" s="85" t="n">
        <x:f>'Raw Sales'!O40</x:f>
        <x:v>45315</x:v>
      </x:c>
      <x:c r="AD40" s="84" t="n">
        <x:f>AC40-B40</x:f>
        <x:v>5</x:v>
      </x:c>
      <x:c r="AE40" s="84" t="str">
        <x:f>IF(COUNTIF($A$5:A40,A40)&gt;1,"Duplicate","Keep")</x:f>
        <x:v>Keep</x:v>
      </x:c>
      <x:c r="AF40" s="84" t="str">
        <x:f>IF(OR(R40&lt;=0,AC40&lt;B40,H40="Unknown",M40="Unknown Product"),"Review","Valid")</x:f>
        <x:v>Valid</x:v>
      </x:c>
      <x:c r="AG40" s="84" t="n">
        <x:f>IF(AND(AE40="Keep",AF40="Valid"),1,0)</x:f>
        <x:v>1</x:v>
      </x:c>
      <x:c r="AH40" s="84" t="n">
        <x:f>IF(AND(AG40=1,OR('Dashboard'!$B$4="All",I40='Dashboard'!$B$4),OR('Dashboard'!$E$4="All",N40='Dashboard'!$E$4),OR('Dashboard'!$H$4="All",K40='Dashboard'!$H$4),OR('Dashboard'!$K$4="All",C40='Dashboard'!$K$4)),1,0)</x:f>
        <x:v>1</x:v>
      </x:c>
      <x:c r="AI40" s="84" t="n">
        <x:f>IF(AND(AG40=1,OR('Dashboard'!$B$4="All",I40='Dashboard'!$B$4),OR('Dashboard'!$E$4="All",N40='Dashboard'!$E$4),OR('Dashboard'!$H$4="All",K40='Dashboard'!$H$4)),1,0)</x:f>
        <x:v>1</x:v>
      </x:c>
    </x:row>
    <x:row r="41">
      <x:c r="A41" s="84" t="str">
        <x:f>'Raw Sales'!A41</x:f>
        <x:v>ORD-2024-01816</x:v>
      </x:c>
      <x:c r="B41" s="85" t="n">
        <x:f>'Raw Sales'!B41</x:f>
        <x:v>45310</x:v>
      </x:c>
      <x:c r="C41" s="84" t="n">
        <x:f>YEAR(B41)</x:f>
        <x:v>2024</x:v>
      </x:c>
      <x:c r="D41" s="91" t="n">
        <x:f>DATE(YEAR(B41),MONTH(B41),1)</x:f>
        <x:v>45292</x:v>
      </x:c>
      <x:c r="E41" s="84" t="str">
        <x:f>TEXT(B41,"mmm")</x:f>
        <x:v>Jan</x:v>
      </x:c>
      <x:c r="F41" s="84" t="str">
        <x:f>'Raw Sales'!C41</x:f>
        <x:v>CUST-0188</x:v>
      </x:c>
      <x:c r="G41" s="84" t="str">
        <x:f>PROPER(TRIM('Raw Sales'!D41))</x:f>
        <x:v>Marcus Baker</x:v>
      </x:c>
      <x:c r="H41" s="84" t="str">
        <x:f>IF(TRIM('Raw Sales'!E41)="","Unknown",PROPER(TRIM('Raw Sales'!E41)))</x:f>
        <x:v>Corporate</x:v>
      </x:c>
      <x:c r="I41" s="84" t="str">
        <x:f>PROPER(TRIM('Raw Sales'!F41))</x:f>
        <x:v>Southeast</x:v>
      </x:c>
      <x:c r="J41" s="84" t="str">
        <x:f>PROPER(TRIM('Raw Sales'!G41))</x:f>
        <x:v>Atlanta</x:v>
      </x:c>
      <x:c r="K41" s="84" t="str">
        <x:f>PROPER(TRIM('Raw Sales'!H41))</x:f>
        <x:v>Online</x:v>
      </x:c>
      <x:c r="L41" s="84" t="str">
        <x:f>'Raw Sales'!I41</x:f>
        <x:v>OFFC-001</x:v>
      </x:c>
      <x:c r="M41" s="84" t="str">
        <x:f>IFERROR(VLOOKUP(L41,'Reference Data'!$A$5:$F$40,2,FALSE),"Unknown Product")</x:f>
        <x:v>Ergonomic Chair</x:v>
      </x:c>
      <x:c r="N41" s="84" t="str">
        <x:f>IFERROR(VLOOKUP(L41,'Reference Data'!$A$5:$F$40,3,FALSE),"Unknown")</x:f>
        <x:v>Office</x:v>
      </x:c>
      <x:c r="O41" s="84" t="str">
        <x:f>IFERROR(VLOOKUP(L41,'Reference Data'!$A$5:$F$40,4,FALSE),"Unknown")</x:f>
        <x:v>Furniture</x:v>
      </x:c>
      <x:c r="P41" s="92" t="n">
        <x:f>IFERROR(VLOOKUP(L41,'Reference Data'!$A$5:$F$40,5,FALSE),0)</x:f>
        <x:v>249</x:v>
      </x:c>
      <x:c r="Q41" s="92" t="n">
        <x:f>IFERROR(VLOOKUP(L41,'Reference Data'!$A$5:$F$40,6,FALSE),0)</x:f>
        <x:v>145</x:v>
      </x:c>
      <x:c r="R41" s="84" t="n">
        <x:f>'Raw Sales'!J41</x:f>
        <x:v>1</x:v>
      </x:c>
      <x:c r="S41" s="87" t="n">
        <x:f>'Raw Sales'!K41</x:f>
        <x:v>0.1</x:v>
      </x:c>
      <x:c r="T41" s="93" t="n">
        <x:f>P41*R41</x:f>
        <x:v>249</x:v>
      </x:c>
      <x:c r="U41" s="93" t="n">
        <x:f>T41*S41</x:f>
        <x:v>24.900000000000002</x:v>
      </x:c>
      <x:c r="V41" s="93" t="str">
        <x:f>PROPER(TRIM('Raw Sales'!L41))</x:f>
        <x:v>Completed</x:v>
      </x:c>
      <x:c r="W41" s="93" t="n">
        <x:f>IF(V41="Returned",0,T41-U41)</x:f>
        <x:v>224.1</x:v>
      </x:c>
      <x:c r="X41" s="93" t="n">
        <x:f>IF(V41="Returned",Q41*R41*10%,Q41*R41)</x:f>
        <x:v>145</x:v>
      </x:c>
      <x:c r="Y41" s="93" t="n">
        <x:f>W41-X41</x:f>
        <x:v>79.1</x:v>
      </x:c>
      <x:c r="Z41" s="94" t="n">
        <x:f>IFERROR(Y41/W41,0)</x:f>
        <x:v>0.35296742525658187</x:v>
      </x:c>
      <x:c r="AA41" s="84" t="str">
        <x:f>PROPER(TRIM('Raw Sales'!M41))</x:f>
        <x:v>Debit Card</x:v>
      </x:c>
      <x:c r="AB41" s="84" t="str">
        <x:f>PROPER(TRIM('Raw Sales'!N41))</x:f>
        <x:v>Noah Reed</x:v>
      </x:c>
      <x:c r="AC41" s="85" t="n">
        <x:f>'Raw Sales'!O41</x:f>
        <x:v>45313</x:v>
      </x:c>
      <x:c r="AD41" s="84" t="n">
        <x:f>AC41-B41</x:f>
        <x:v>3</x:v>
      </x:c>
      <x:c r="AE41" s="84" t="str">
        <x:f>IF(COUNTIF($A$5:A41,A41)&gt;1,"Duplicate","Keep")</x:f>
        <x:v>Keep</x:v>
      </x:c>
      <x:c r="AF41" s="84" t="str">
        <x:f>IF(OR(R41&lt;=0,AC41&lt;B41,H41="Unknown",M41="Unknown Product"),"Review","Valid")</x:f>
        <x:v>Valid</x:v>
      </x:c>
      <x:c r="AG41" s="84" t="n">
        <x:f>IF(AND(AE41="Keep",AF41="Valid"),1,0)</x:f>
        <x:v>1</x:v>
      </x:c>
      <x:c r="AH41" s="84" t="n">
        <x:f>IF(AND(AG41=1,OR('Dashboard'!$B$4="All",I41='Dashboard'!$B$4),OR('Dashboard'!$E$4="All",N41='Dashboard'!$E$4),OR('Dashboard'!$H$4="All",K41='Dashboard'!$H$4),OR('Dashboard'!$K$4="All",C41='Dashboard'!$K$4)),1,0)</x:f>
        <x:v>1</x:v>
      </x:c>
      <x:c r="AI41" s="84" t="n">
        <x:f>IF(AND(AG41=1,OR('Dashboard'!$B$4="All",I41='Dashboard'!$B$4),OR('Dashboard'!$E$4="All",N41='Dashboard'!$E$4),OR('Dashboard'!$H$4="All",K41='Dashboard'!$H$4)),1,0)</x:f>
        <x:v>1</x:v>
      </x:c>
    </x:row>
    <x:row r="42">
      <x:c r="A42" s="84" t="str">
        <x:f>'Raw Sales'!A42</x:f>
        <x:v>ORD-2024-00466</x:v>
      </x:c>
      <x:c r="B42" s="85" t="n">
        <x:f>'Raw Sales'!B42</x:f>
        <x:v>45311</x:v>
      </x:c>
      <x:c r="C42" s="84" t="n">
        <x:f>YEAR(B42)</x:f>
        <x:v>2024</x:v>
      </x:c>
      <x:c r="D42" s="91" t="n">
        <x:f>DATE(YEAR(B42),MONTH(B42),1)</x:f>
        <x:v>45292</x:v>
      </x:c>
      <x:c r="E42" s="84" t="str">
        <x:f>TEXT(B42,"mmm")</x:f>
        <x:v>Jan</x:v>
      </x:c>
      <x:c r="F42" s="84" t="str">
        <x:f>'Raw Sales'!C42</x:f>
        <x:v>CUST-0382</x:v>
      </x:c>
      <x:c r="G42" s="84" t="str">
        <x:f>PROPER(TRIM('Raw Sales'!D42))</x:f>
        <x:v>Samuel Adams</x:v>
      </x:c>
      <x:c r="H42" s="84" t="str">
        <x:f>IF(TRIM('Raw Sales'!E42)="","Unknown",PROPER(TRIM('Raw Sales'!E42)))</x:f>
        <x:v>Corporate</x:v>
      </x:c>
      <x:c r="I42" s="84" t="str">
        <x:f>PROPER(TRIM('Raw Sales'!F42))</x:f>
        <x:v>Northeast</x:v>
      </x:c>
      <x:c r="J42" s="84" t="str">
        <x:f>PROPER(TRIM('Raw Sales'!G42))</x:f>
        <x:v>Boston</x:v>
      </x:c>
      <x:c r="K42" s="84" t="str">
        <x:f>PROPER(TRIM('Raw Sales'!H42))</x:f>
        <x:v>Marketplace</x:v>
      </x:c>
      <x:c r="L42" s="84" t="str">
        <x:f>'Raw Sales'!I42</x:f>
        <x:v>CARE-001</x:v>
      </x:c>
      <x:c r="M42" s="84" t="str">
        <x:f>IFERROR(VLOOKUP(L42,'Reference Data'!$A$5:$F$40,2,FALSE),"Unknown Product")</x:f>
        <x:v>Ionic Hair Dryer</x:v>
      </x:c>
      <x:c r="N42" s="84" t="str">
        <x:f>IFERROR(VLOOKUP(L42,'Reference Data'!$A$5:$F$40,3,FALSE),"Unknown")</x:f>
        <x:v>Personal Care</x:v>
      </x:c>
      <x:c r="O42" s="84" t="str">
        <x:f>IFERROR(VLOOKUP(L42,'Reference Data'!$A$5:$F$40,4,FALSE),"Unknown")</x:f>
        <x:v>Hair Care</x:v>
      </x:c>
      <x:c r="P42" s="92" t="n">
        <x:f>IFERROR(VLOOKUP(L42,'Reference Data'!$A$5:$F$40,5,FALSE),0)</x:f>
        <x:v>54</x:v>
      </x:c>
      <x:c r="Q42" s="92" t="n">
        <x:f>IFERROR(VLOOKUP(L42,'Reference Data'!$A$5:$F$40,6,FALSE),0)</x:f>
        <x:v>25</x:v>
      </x:c>
      <x:c r="R42" s="84" t="n">
        <x:f>'Raw Sales'!J42</x:f>
        <x:v>8</x:v>
      </x:c>
      <x:c r="S42" s="87" t="n">
        <x:f>'Raw Sales'!K42</x:f>
        <x:v>0.2</x:v>
      </x:c>
      <x:c r="T42" s="93" t="n">
        <x:f>P42*R42</x:f>
        <x:v>432</x:v>
      </x:c>
      <x:c r="U42" s="93" t="n">
        <x:f>T42*S42</x:f>
        <x:v>86.4</x:v>
      </x:c>
      <x:c r="V42" s="93" t="str">
        <x:f>PROPER(TRIM('Raw Sales'!L42))</x:f>
        <x:v>Completed</x:v>
      </x:c>
      <x:c r="W42" s="93" t="n">
        <x:f>IF(V42="Returned",0,T42-U42)</x:f>
        <x:v>345.6</x:v>
      </x:c>
      <x:c r="X42" s="93" t="n">
        <x:f>IF(V42="Returned",Q42*R42*10%,Q42*R42)</x:f>
        <x:v>200</x:v>
      </x:c>
      <x:c r="Y42" s="93" t="n">
        <x:f>W42-X42</x:f>
        <x:v>145.60000000000002</x:v>
      </x:c>
      <x:c r="Z42" s="94" t="n">
        <x:f>IFERROR(Y42/W42,0)</x:f>
        <x:v>0.42129629629629634</x:v>
      </x:c>
      <x:c r="AA42" s="84" t="str">
        <x:f>PROPER(TRIM('Raw Sales'!M42))</x:f>
        <x:v>Debit Card</x:v>
      </x:c>
      <x:c r="AB42" s="84" t="str">
        <x:f>PROPER(TRIM('Raw Sales'!N42))</x:f>
        <x:v>Ethan Cole</x:v>
      </x:c>
      <x:c r="AC42" s="85" t="n">
        <x:f>'Raw Sales'!O42</x:f>
        <x:v>45316</x:v>
      </x:c>
      <x:c r="AD42" s="84" t="n">
        <x:f>AC42-B42</x:f>
        <x:v>5</x:v>
      </x:c>
      <x:c r="AE42" s="84" t="str">
        <x:f>IF(COUNTIF($A$5:A42,A42)&gt;1,"Duplicate","Keep")</x:f>
        <x:v>Keep</x:v>
      </x:c>
      <x:c r="AF42" s="84" t="str">
        <x:f>IF(OR(R42&lt;=0,AC42&lt;B42,H42="Unknown",M42="Unknown Product"),"Review","Valid")</x:f>
        <x:v>Valid</x:v>
      </x:c>
      <x:c r="AG42" s="84" t="n">
        <x:f>IF(AND(AE42="Keep",AF42="Valid"),1,0)</x:f>
        <x:v>1</x:v>
      </x:c>
      <x:c r="AH42" s="84" t="n">
        <x:f>IF(AND(AG42=1,OR('Dashboard'!$B$4="All",I42='Dashboard'!$B$4),OR('Dashboard'!$E$4="All",N42='Dashboard'!$E$4),OR('Dashboard'!$H$4="All",K42='Dashboard'!$H$4),OR('Dashboard'!$K$4="All",C42='Dashboard'!$K$4)),1,0)</x:f>
        <x:v>1</x:v>
      </x:c>
      <x:c r="AI42" s="84" t="n">
        <x:f>IF(AND(AG42=1,OR('Dashboard'!$B$4="All",I42='Dashboard'!$B$4),OR('Dashboard'!$E$4="All",N42='Dashboard'!$E$4),OR('Dashboard'!$H$4="All",K42='Dashboard'!$H$4)),1,0)</x:f>
        <x:v>1</x:v>
      </x:c>
    </x:row>
    <x:row r="43">
      <x:c r="A43" s="84" t="str">
        <x:f>'Raw Sales'!A43</x:f>
        <x:v>ORD-2024-01436</x:v>
      </x:c>
      <x:c r="B43" s="85" t="n">
        <x:f>'Raw Sales'!B43</x:f>
        <x:v>45311</x:v>
      </x:c>
      <x:c r="C43" s="84" t="n">
        <x:f>YEAR(B43)</x:f>
        <x:v>2024</x:v>
      </x:c>
      <x:c r="D43" s="91" t="n">
        <x:f>DATE(YEAR(B43),MONTH(B43),1)</x:f>
        <x:v>45292</x:v>
      </x:c>
      <x:c r="E43" s="84" t="str">
        <x:f>TEXT(B43,"mmm")</x:f>
        <x:v>Jan</x:v>
      </x:c>
      <x:c r="F43" s="84" t="str">
        <x:f>'Raw Sales'!C43</x:f>
        <x:v>CUST-0249</x:v>
      </x:c>
      <x:c r="G43" s="84" t="str">
        <x:f>PROPER(TRIM('Raw Sales'!D43))</x:f>
        <x:v>Zara Roberts</x:v>
      </x:c>
      <x:c r="H43" s="84" t="str">
        <x:f>IF(TRIM('Raw Sales'!E43)="","Unknown",PROPER(TRIM('Raw Sales'!E43)))</x:f>
        <x:v>Corporate</x:v>
      </x:c>
      <x:c r="I43" s="84" t="str">
        <x:f>PROPER(TRIM('Raw Sales'!F43))</x:f>
        <x:v>Northeast</x:v>
      </x:c>
      <x:c r="J43" s="84" t="str">
        <x:f>PROPER(TRIM('Raw Sales'!G43))</x:f>
        <x:v>Philadelphia</x:v>
      </x:c>
      <x:c r="K43" s="84" t="str">
        <x:f>PROPER(TRIM('Raw Sales'!H43))</x:f>
        <x:v>Online</x:v>
      </x:c>
      <x:c r="L43" s="84" t="str">
        <x:f>'Raw Sales'!I43</x:f>
        <x:v>ACCS-006</x:v>
      </x:c>
      <x:c r="M43" s="84" t="str">
        <x:f>IFERROR(VLOOKUP(L43,'Reference Data'!$A$5:$F$40,2,FALSE),"Unknown Product")</x:f>
        <x:v>Insulated Lunch Bag</x:v>
      </x:c>
      <x:c r="N43" s="84" t="str">
        <x:f>IFERROR(VLOOKUP(L43,'Reference Data'!$A$5:$F$40,3,FALSE),"Unknown")</x:f>
        <x:v>Accessories</x:v>
      </x:c>
      <x:c r="O43" s="84" t="str">
        <x:f>IFERROR(VLOOKUP(L43,'Reference Data'!$A$5:$F$40,4,FALSE),"Unknown")</x:f>
        <x:v>Bags</x:v>
      </x:c>
      <x:c r="P43" s="92" t="n">
        <x:f>IFERROR(VLOOKUP(L43,'Reference Data'!$A$5:$F$40,5,FALSE),0)</x:f>
        <x:v>29</x:v>
      </x:c>
      <x:c r="Q43" s="92" t="n">
        <x:f>IFERROR(VLOOKUP(L43,'Reference Data'!$A$5:$F$40,6,FALSE),0)</x:f>
        <x:v>10</x:v>
      </x:c>
      <x:c r="R43" s="84" t="n">
        <x:f>'Raw Sales'!J43</x:f>
        <x:v>4</x:v>
      </x:c>
      <x:c r="S43" s="87" t="n">
        <x:f>'Raw Sales'!K43</x:f>
        <x:v>0</x:v>
      </x:c>
      <x:c r="T43" s="93" t="n">
        <x:f>P43*R43</x:f>
        <x:v>116</x:v>
      </x:c>
      <x:c r="U43" s="93" t="n">
        <x:f>T43*S43</x:f>
        <x:v>0</x:v>
      </x:c>
      <x:c r="V43" s="93" t="str">
        <x:f>PROPER(TRIM('Raw Sales'!L43))</x:f>
        <x:v>Completed</x:v>
      </x:c>
      <x:c r="W43" s="93" t="n">
        <x:f>IF(V43="Returned",0,T43-U43)</x:f>
        <x:v>116</x:v>
      </x:c>
      <x:c r="X43" s="93" t="n">
        <x:f>IF(V43="Returned",Q43*R43*10%,Q43*R43)</x:f>
        <x:v>40</x:v>
      </x:c>
      <x:c r="Y43" s="93" t="n">
        <x:f>W43-X43</x:f>
        <x:v>76</x:v>
      </x:c>
      <x:c r="Z43" s="94" t="n">
        <x:f>IFERROR(Y43/W43,0)</x:f>
        <x:v>0.6551724137931034</x:v>
      </x:c>
      <x:c r="AA43" s="84" t="str">
        <x:f>PROPER(TRIM('Raw Sales'!M43))</x:f>
        <x:v>Mobile Wallet</x:v>
      </x:c>
      <x:c r="AB43" s="84" t="str">
        <x:f>PROPER(TRIM('Raw Sales'!N43))</x:f>
        <x:v>Sofia Bennett</x:v>
      </x:c>
      <x:c r="AC43" s="85" t="n">
        <x:f>'Raw Sales'!O43</x:f>
        <x:v>45316</x:v>
      </x:c>
      <x:c r="AD43" s="84" t="n">
        <x:f>AC43-B43</x:f>
        <x:v>5</x:v>
      </x:c>
      <x:c r="AE43" s="84" t="str">
        <x:f>IF(COUNTIF($A$5:A43,A43)&gt;1,"Duplicate","Keep")</x:f>
        <x:v>Keep</x:v>
      </x:c>
      <x:c r="AF43" s="84" t="str">
        <x:f>IF(OR(R43&lt;=0,AC43&lt;B43,H43="Unknown",M43="Unknown Product"),"Review","Valid")</x:f>
        <x:v>Valid</x:v>
      </x:c>
      <x:c r="AG43" s="84" t="n">
        <x:f>IF(AND(AE43="Keep",AF43="Valid"),1,0)</x:f>
        <x:v>1</x:v>
      </x:c>
      <x:c r="AH43" s="84" t="n">
        <x:f>IF(AND(AG43=1,OR('Dashboard'!$B$4="All",I43='Dashboard'!$B$4),OR('Dashboard'!$E$4="All",N43='Dashboard'!$E$4),OR('Dashboard'!$H$4="All",K43='Dashboard'!$H$4),OR('Dashboard'!$K$4="All",C43='Dashboard'!$K$4)),1,0)</x:f>
        <x:v>1</x:v>
      </x:c>
      <x:c r="AI43" s="84" t="n">
        <x:f>IF(AND(AG43=1,OR('Dashboard'!$B$4="All",I43='Dashboard'!$B$4),OR('Dashboard'!$E$4="All",N43='Dashboard'!$E$4),OR('Dashboard'!$H$4="All",K43='Dashboard'!$H$4)),1,0)</x:f>
        <x:v>1</x:v>
      </x:c>
    </x:row>
    <x:row r="44">
      <x:c r="A44" s="84" t="str">
        <x:f>'Raw Sales'!A44</x:f>
        <x:v>ORD-2024-01505</x:v>
      </x:c>
      <x:c r="B44" s="85" t="n">
        <x:f>'Raw Sales'!B44</x:f>
        <x:v>45312</x:v>
      </x:c>
      <x:c r="C44" s="84" t="n">
        <x:f>YEAR(B44)</x:f>
        <x:v>2024</x:v>
      </x:c>
      <x:c r="D44" s="91" t="n">
        <x:f>DATE(YEAR(B44),MONTH(B44),1)</x:f>
        <x:v>45292</x:v>
      </x:c>
      <x:c r="E44" s="84" t="str">
        <x:f>TEXT(B44,"mmm")</x:f>
        <x:v>Jan</x:v>
      </x:c>
      <x:c r="F44" s="84" t="str">
        <x:f>'Raw Sales'!C44</x:f>
        <x:v>CUST-0281</x:v>
      </x:c>
      <x:c r="G44" s="84" t="str">
        <x:f>PROPER(TRIM('Raw Sales'!D44))</x:f>
        <x:v>Jonah Foster</x:v>
      </x:c>
      <x:c r="H44" s="84" t="str">
        <x:f>IF(TRIM('Raw Sales'!E44)="","Unknown",PROPER(TRIM('Raw Sales'!E44)))</x:f>
        <x:v>Consumer</x:v>
      </x:c>
      <x:c r="I44" s="84" t="str">
        <x:f>PROPER(TRIM('Raw Sales'!F44))</x:f>
        <x:v>Midwest</x:v>
      </x:c>
      <x:c r="J44" s="84" t="str">
        <x:f>PROPER(TRIM('Raw Sales'!G44))</x:f>
        <x:v>Detroit</x:v>
      </x:c>
      <x:c r="K44" s="84" t="str">
        <x:f>PROPER(TRIM('Raw Sales'!H44))</x:f>
        <x:v>Marketplace</x:v>
      </x:c>
      <x:c r="L44" s="84" t="str">
        <x:f>'Raw Sales'!I44</x:f>
        <x:v>CARE-002</x:v>
      </x:c>
      <x:c r="M44" s="84" t="str">
        <x:f>IFERROR(VLOOKUP(L44,'Reference Data'!$A$5:$F$40,2,FALSE),"Unknown Product")</x:f>
        <x:v>Rechargeable Trimmer</x:v>
      </x:c>
      <x:c r="N44" s="84" t="str">
        <x:f>IFERROR(VLOOKUP(L44,'Reference Data'!$A$5:$F$40,3,FALSE),"Unknown")</x:f>
        <x:v>Personal Care</x:v>
      </x:c>
      <x:c r="O44" s="84" t="str">
        <x:f>IFERROR(VLOOKUP(L44,'Reference Data'!$A$5:$F$40,4,FALSE),"Unknown")</x:f>
        <x:v>Grooming</x:v>
      </x:c>
      <x:c r="P44" s="92" t="n">
        <x:f>IFERROR(VLOOKUP(L44,'Reference Data'!$A$5:$F$40,5,FALSE),0)</x:f>
        <x:v>45</x:v>
      </x:c>
      <x:c r="Q44" s="92" t="n">
        <x:f>IFERROR(VLOOKUP(L44,'Reference Data'!$A$5:$F$40,6,FALSE),0)</x:f>
        <x:v>19</x:v>
      </x:c>
      <x:c r="R44" s="84" t="n">
        <x:f>'Raw Sales'!J44</x:f>
        <x:v>2</x:v>
      </x:c>
      <x:c r="S44" s="87" t="n">
        <x:f>'Raw Sales'!K44</x:f>
        <x:v>0.05</x:v>
      </x:c>
      <x:c r="T44" s="93" t="n">
        <x:f>P44*R44</x:f>
        <x:v>90</x:v>
      </x:c>
      <x:c r="U44" s="93" t="n">
        <x:f>T44*S44</x:f>
        <x:v>4.5</x:v>
      </x:c>
      <x:c r="V44" s="93" t="str">
        <x:f>PROPER(TRIM('Raw Sales'!L44))</x:f>
        <x:v>Completed</x:v>
      </x:c>
      <x:c r="W44" s="93" t="n">
        <x:f>IF(V44="Returned",0,T44-U44)</x:f>
        <x:v>85.5</x:v>
      </x:c>
      <x:c r="X44" s="93" t="n">
        <x:f>IF(V44="Returned",Q44*R44*10%,Q44*R44)</x:f>
        <x:v>38</x:v>
      </x:c>
      <x:c r="Y44" s="93" t="n">
        <x:f>W44-X44</x:f>
        <x:v>47.5</x:v>
      </x:c>
      <x:c r="Z44" s="94" t="n">
        <x:f>IFERROR(Y44/W44,0)</x:f>
        <x:v>0.5555555555555556</x:v>
      </x:c>
      <x:c r="AA44" s="84" t="str">
        <x:f>PROPER(TRIM('Raw Sales'!M44))</x:f>
        <x:v>Mobile Wallet</x:v>
      </x:c>
      <x:c r="AB44" s="84" t="str">
        <x:f>PROPER(TRIM('Raw Sales'!N44))</x:f>
        <x:v>Zoe Turner</x:v>
      </x:c>
      <x:c r="AC44" s="85" t="n">
        <x:f>'Raw Sales'!O44</x:f>
        <x:v>45318</x:v>
      </x:c>
      <x:c r="AD44" s="84" t="n">
        <x:f>AC44-B44</x:f>
        <x:v>6</x:v>
      </x:c>
      <x:c r="AE44" s="84" t="str">
        <x:f>IF(COUNTIF($A$5:A44,A44)&gt;1,"Duplicate","Keep")</x:f>
        <x:v>Keep</x:v>
      </x:c>
      <x:c r="AF44" s="84" t="str">
        <x:f>IF(OR(R44&lt;=0,AC44&lt;B44,H44="Unknown",M44="Unknown Product"),"Review","Valid")</x:f>
        <x:v>Valid</x:v>
      </x:c>
      <x:c r="AG44" s="84" t="n">
        <x:f>IF(AND(AE44="Keep",AF44="Valid"),1,0)</x:f>
        <x:v>1</x:v>
      </x:c>
      <x:c r="AH44" s="84" t="n">
        <x:f>IF(AND(AG44=1,OR('Dashboard'!$B$4="All",I44='Dashboard'!$B$4),OR('Dashboard'!$E$4="All",N44='Dashboard'!$E$4),OR('Dashboard'!$H$4="All",K44='Dashboard'!$H$4),OR('Dashboard'!$K$4="All",C44='Dashboard'!$K$4)),1,0)</x:f>
        <x:v>1</x:v>
      </x:c>
      <x:c r="AI44" s="84" t="n">
        <x:f>IF(AND(AG44=1,OR('Dashboard'!$B$4="All",I44='Dashboard'!$B$4),OR('Dashboard'!$E$4="All",N44='Dashboard'!$E$4),OR('Dashboard'!$H$4="All",K44='Dashboard'!$H$4)),1,0)</x:f>
        <x:v>1</x:v>
      </x:c>
    </x:row>
    <x:row r="45">
      <x:c r="A45" s="84" t="str">
        <x:f>'Raw Sales'!A45</x:f>
        <x:v>ORD-2024-01622</x:v>
      </x:c>
      <x:c r="B45" s="85" t="n">
        <x:f>'Raw Sales'!B45</x:f>
        <x:v>45312</x:v>
      </x:c>
      <x:c r="C45" s="84" t="n">
        <x:f>YEAR(B45)</x:f>
        <x:v>2024</x:v>
      </x:c>
      <x:c r="D45" s="91" t="n">
        <x:f>DATE(YEAR(B45),MONTH(B45),1)</x:f>
        <x:v>45292</x:v>
      </x:c>
      <x:c r="E45" s="84" t="str">
        <x:f>TEXT(B45,"mmm")</x:f>
        <x:v>Jan</x:v>
      </x:c>
      <x:c r="F45" s="84" t="str">
        <x:f>'Raw Sales'!C45</x:f>
        <x:v>CUST-0346</x:v>
      </x:c>
      <x:c r="G45" s="84" t="str">
        <x:f>PROPER(TRIM('Raw Sales'!D45))</x:f>
        <x:v>Grace Foster</x:v>
      </x:c>
      <x:c r="H45" s="84" t="str">
        <x:f>IF(TRIM('Raw Sales'!E45)="","Unknown",PROPER(TRIM('Raw Sales'!E45)))</x:f>
        <x:v>Small Business</x:v>
      </x:c>
      <x:c r="I45" s="84" t="str">
        <x:f>PROPER(TRIM('Raw Sales'!F45))</x:f>
        <x:v>West</x:v>
      </x:c>
      <x:c r="J45" s="84" t="str">
        <x:f>PROPER(TRIM('Raw Sales'!G45))</x:f>
        <x:v>Seattle</x:v>
      </x:c>
      <x:c r="K45" s="84" t="str">
        <x:f>PROPER(TRIM('Raw Sales'!H45))</x:f>
        <x:v>Online</x:v>
      </x:c>
      <x:c r="L45" s="84" t="str">
        <x:f>'Raw Sales'!I45</x:f>
        <x:v>ELEC-001</x:v>
      </x:c>
      <x:c r="M45" s="84" t="str">
        <x:f>IFERROR(VLOOKUP(L45,'Reference Data'!$A$5:$F$40,2,FALSE),"Unknown Product")</x:f>
        <x:v>Wireless Earbuds</x:v>
      </x:c>
      <x:c r="N45" s="84" t="str">
        <x:f>IFERROR(VLOOKUP(L45,'Reference Data'!$A$5:$F$40,3,FALSE),"Unknown")</x:f>
        <x:v>Electronics</x:v>
      </x:c>
      <x:c r="O45" s="84" t="str">
        <x:f>IFERROR(VLOOKUP(L45,'Reference Data'!$A$5:$F$40,4,FALSE),"Unknown")</x:f>
        <x:v>Audio</x:v>
      </x:c>
      <x:c r="P45" s="92" t="n">
        <x:f>IFERROR(VLOOKUP(L45,'Reference Data'!$A$5:$F$40,5,FALSE),0)</x:f>
        <x:v>69</x:v>
      </x:c>
      <x:c r="Q45" s="92" t="n">
        <x:f>IFERROR(VLOOKUP(L45,'Reference Data'!$A$5:$F$40,6,FALSE),0)</x:f>
        <x:v>36</x:v>
      </x:c>
      <x:c r="R45" s="84" t="n">
        <x:f>'Raw Sales'!J45</x:f>
        <x:v>1</x:v>
      </x:c>
      <x:c r="S45" s="87" t="n">
        <x:f>'Raw Sales'!K45</x:f>
        <x:v>0</x:v>
      </x:c>
      <x:c r="T45" s="93" t="n">
        <x:f>P45*R45</x:f>
        <x:v>69</x:v>
      </x:c>
      <x:c r="U45" s="93" t="n">
        <x:f>T45*S45</x:f>
        <x:v>0</x:v>
      </x:c>
      <x:c r="V45" s="93" t="str">
        <x:f>PROPER(TRIM('Raw Sales'!L45))</x:f>
        <x:v>Completed</x:v>
      </x:c>
      <x:c r="W45" s="93" t="n">
        <x:f>IF(V45="Returned",0,T45-U45)</x:f>
        <x:v>69</x:v>
      </x:c>
      <x:c r="X45" s="93" t="n">
        <x:f>IF(V45="Returned",Q45*R45*10%,Q45*R45)</x:f>
        <x:v>36</x:v>
      </x:c>
      <x:c r="Y45" s="93" t="n">
        <x:f>W45-X45</x:f>
        <x:v>33</x:v>
      </x:c>
      <x:c r="Z45" s="94" t="n">
        <x:f>IFERROR(Y45/W45,0)</x:f>
        <x:v>0.4782608695652174</x:v>
      </x:c>
      <x:c r="AA45" s="84" t="str">
        <x:f>PROPER(TRIM('Raw Sales'!M45))</x:f>
        <x:v>Mobile Wallet</x:v>
      </x:c>
      <x:c r="AB45" s="84" t="str">
        <x:f>PROPER(TRIM('Raw Sales'!N45))</x:f>
        <x:v>Nora Kim</x:v>
      </x:c>
      <x:c r="AC45" s="85" t="n">
        <x:f>'Raw Sales'!O45</x:f>
        <x:v>45316</x:v>
      </x:c>
      <x:c r="AD45" s="84" t="n">
        <x:f>AC45-B45</x:f>
        <x:v>4</x:v>
      </x:c>
      <x:c r="AE45" s="84" t="str">
        <x:f>IF(COUNTIF($A$5:A45,A45)&gt;1,"Duplicate","Keep")</x:f>
        <x:v>Keep</x:v>
      </x:c>
      <x:c r="AF45" s="84" t="str">
        <x:f>IF(OR(R45&lt;=0,AC45&lt;B45,H45="Unknown",M45="Unknown Product"),"Review","Valid")</x:f>
        <x:v>Valid</x:v>
      </x:c>
      <x:c r="AG45" s="84" t="n">
        <x:f>IF(AND(AE45="Keep",AF45="Valid"),1,0)</x:f>
        <x:v>1</x:v>
      </x:c>
      <x:c r="AH45" s="84" t="n">
        <x:f>IF(AND(AG45=1,OR('Dashboard'!$B$4="All",I45='Dashboard'!$B$4),OR('Dashboard'!$E$4="All",N45='Dashboard'!$E$4),OR('Dashboard'!$H$4="All",K45='Dashboard'!$H$4),OR('Dashboard'!$K$4="All",C45='Dashboard'!$K$4)),1,0)</x:f>
        <x:v>1</x:v>
      </x:c>
      <x:c r="AI45" s="84" t="n">
        <x:f>IF(AND(AG45=1,OR('Dashboard'!$B$4="All",I45='Dashboard'!$B$4),OR('Dashboard'!$E$4="All",N45='Dashboard'!$E$4),OR('Dashboard'!$H$4="All",K45='Dashboard'!$H$4)),1,0)</x:f>
        <x:v>1</x:v>
      </x:c>
    </x:row>
    <x:row r="46">
      <x:c r="A46" s="84" t="str">
        <x:f>'Raw Sales'!A46</x:f>
        <x:v>ORD-2024-01380</x:v>
      </x:c>
      <x:c r="B46" s="85" t="n">
        <x:f>'Raw Sales'!B46</x:f>
        <x:v>45313</x:v>
      </x:c>
      <x:c r="C46" s="84" t="n">
        <x:f>YEAR(B46)</x:f>
        <x:v>2024</x:v>
      </x:c>
      <x:c r="D46" s="91" t="n">
        <x:f>DATE(YEAR(B46),MONTH(B46),1)</x:f>
        <x:v>45292</x:v>
      </x:c>
      <x:c r="E46" s="84" t="str">
        <x:f>TEXT(B46,"mmm")</x:f>
        <x:v>Jan</x:v>
      </x:c>
      <x:c r="F46" s="84" t="str">
        <x:f>'Raw Sales'!C46</x:f>
        <x:v>CUST-0286</x:v>
      </x:c>
      <x:c r="G46" s="84" t="str">
        <x:f>PROPER(TRIM('Raw Sales'!D46))</x:f>
        <x:v>Isaac Hall</x:v>
      </x:c>
      <x:c r="H46" s="84" t="str">
        <x:f>IF(TRIM('Raw Sales'!E46)="","Unknown",PROPER(TRIM('Raw Sales'!E46)))</x:f>
        <x:v>Consumer</x:v>
      </x:c>
      <x:c r="I46" s="84" t="str">
        <x:f>PROPER(TRIM('Raw Sales'!F46))</x:f>
        <x:v>Midwest</x:v>
      </x:c>
      <x:c r="J46" s="84" t="str">
        <x:f>PROPER(TRIM('Raw Sales'!G46))</x:f>
        <x:v>Chicago</x:v>
      </x:c>
      <x:c r="K46" s="84" t="str">
        <x:f>PROPER(TRIM('Raw Sales'!H46))</x:f>
        <x:v>Online</x:v>
      </x:c>
      <x:c r="L46" s="84" t="str">
        <x:f>'Raw Sales'!I46</x:f>
        <x:v>ELEC-003</x:v>
      </x:c>
      <x:c r="M46" s="84" t="str">
        <x:f>IFERROR(VLOOKUP(L46,'Reference Data'!$A$5:$F$40,2,FALSE),"Unknown Product")</x:f>
        <x:v>Bluetooth Speaker</x:v>
      </x:c>
      <x:c r="N46" s="84" t="str">
        <x:f>IFERROR(VLOOKUP(L46,'Reference Data'!$A$5:$F$40,3,FALSE),"Unknown")</x:f>
        <x:v>Electronics</x:v>
      </x:c>
      <x:c r="O46" s="84" t="str">
        <x:f>IFERROR(VLOOKUP(L46,'Reference Data'!$A$5:$F$40,4,FALSE),"Unknown")</x:f>
        <x:v>Audio</x:v>
      </x:c>
      <x:c r="P46" s="92" t="n">
        <x:f>IFERROR(VLOOKUP(L46,'Reference Data'!$A$5:$F$40,5,FALSE),0)</x:f>
        <x:v>89</x:v>
      </x:c>
      <x:c r="Q46" s="92" t="n">
        <x:f>IFERROR(VLOOKUP(L46,'Reference Data'!$A$5:$F$40,6,FALSE),0)</x:f>
        <x:v>44</x:v>
      </x:c>
      <x:c r="R46" s="84" t="n">
        <x:f>'Raw Sales'!J46</x:f>
        <x:v>1</x:v>
      </x:c>
      <x:c r="S46" s="87" t="n">
        <x:f>'Raw Sales'!K46</x:f>
        <x:v>0.15</x:v>
      </x:c>
      <x:c r="T46" s="93" t="n">
        <x:f>P46*R46</x:f>
        <x:v>89</x:v>
      </x:c>
      <x:c r="U46" s="93" t="n">
        <x:f>T46*S46</x:f>
        <x:v>13.35</x:v>
      </x:c>
      <x:c r="V46" s="93" t="str">
        <x:f>PROPER(TRIM('Raw Sales'!L46))</x:f>
        <x:v>Completed</x:v>
      </x:c>
      <x:c r="W46" s="93" t="n">
        <x:f>IF(V46="Returned",0,T46-U46)</x:f>
        <x:v>75.65</x:v>
      </x:c>
      <x:c r="X46" s="93" t="n">
        <x:f>IF(V46="Returned",Q46*R46*10%,Q46*R46)</x:f>
        <x:v>44</x:v>
      </x:c>
      <x:c r="Y46" s="93" t="n">
        <x:f>W46-X46</x:f>
        <x:v>31.650000000000006</x:v>
      </x:c>
      <x:c r="Z46" s="94" t="n">
        <x:f>IFERROR(Y46/W46,0)</x:f>
        <x:v>0.4183740912095176</x:v>
      </x:c>
      <x:c r="AA46" s="84" t="str">
        <x:f>PROPER(TRIM('Raw Sales'!M46))</x:f>
        <x:v>Paypal</x:v>
      </x:c>
      <x:c r="AB46" s="84" t="str">
        <x:f>PROPER(TRIM('Raw Sales'!N46))</x:f>
        <x:v>Zoe Turner</x:v>
      </x:c>
      <x:c r="AC46" s="85" t="n">
        <x:f>'Raw Sales'!O46</x:f>
        <x:v>45316</x:v>
      </x:c>
      <x:c r="AD46" s="84" t="n">
        <x:f>AC46-B46</x:f>
        <x:v>3</x:v>
      </x:c>
      <x:c r="AE46" s="84" t="str">
        <x:f>IF(COUNTIF($A$5:A46,A46)&gt;1,"Duplicate","Keep")</x:f>
        <x:v>Keep</x:v>
      </x:c>
      <x:c r="AF46" s="84" t="str">
        <x:f>IF(OR(R46&lt;=0,AC46&lt;B46,H46="Unknown",M46="Unknown Product"),"Review","Valid")</x:f>
        <x:v>Valid</x:v>
      </x:c>
      <x:c r="AG46" s="84" t="n">
        <x:f>IF(AND(AE46="Keep",AF46="Valid"),1,0)</x:f>
        <x:v>1</x:v>
      </x:c>
      <x:c r="AH46" s="84" t="n">
        <x:f>IF(AND(AG46=1,OR('Dashboard'!$B$4="All",I46='Dashboard'!$B$4),OR('Dashboard'!$E$4="All",N46='Dashboard'!$E$4),OR('Dashboard'!$H$4="All",K46='Dashboard'!$H$4),OR('Dashboard'!$K$4="All",C46='Dashboard'!$K$4)),1,0)</x:f>
        <x:v>1</x:v>
      </x:c>
      <x:c r="AI46" s="84" t="n">
        <x:f>IF(AND(AG46=1,OR('Dashboard'!$B$4="All",I46='Dashboard'!$B$4),OR('Dashboard'!$E$4="All",N46='Dashboard'!$E$4),OR('Dashboard'!$H$4="All",K46='Dashboard'!$H$4)),1,0)</x:f>
        <x:v>1</x:v>
      </x:c>
    </x:row>
    <x:row r="47">
      <x:c r="A47" s="84" t="str">
        <x:f>'Raw Sales'!A47</x:f>
        <x:v>ORD-2024-00805</x:v>
      </x:c>
      <x:c r="B47" s="85" t="n">
        <x:f>'Raw Sales'!B47</x:f>
        <x:v>45314</x:v>
      </x:c>
      <x:c r="C47" s="84" t="n">
        <x:f>YEAR(B47)</x:f>
        <x:v>2024</x:v>
      </x:c>
      <x:c r="D47" s="91" t="n">
        <x:f>DATE(YEAR(B47),MONTH(B47),1)</x:f>
        <x:v>45292</x:v>
      </x:c>
      <x:c r="E47" s="84" t="str">
        <x:f>TEXT(B47,"mmm")</x:f>
        <x:v>Jan</x:v>
      </x:c>
      <x:c r="F47" s="84" t="str">
        <x:f>'Raw Sales'!C47</x:f>
        <x:v>CUST-0278</x:v>
      </x:c>
      <x:c r="G47" s="84" t="str">
        <x:f>PROPER(TRIM('Raw Sales'!D47))</x:f>
        <x:v>Sara Ortiz</x:v>
      </x:c>
      <x:c r="H47" s="84" t="str">
        <x:f>IF(TRIM('Raw Sales'!E47)="","Unknown",PROPER(TRIM('Raw Sales'!E47)))</x:f>
        <x:v>Corporate</x:v>
      </x:c>
      <x:c r="I47" s="84" t="str">
        <x:f>PROPER(TRIM('Raw Sales'!F47))</x:f>
        <x:v>Southeast</x:v>
      </x:c>
      <x:c r="J47" s="84" t="str">
        <x:f>PROPER(TRIM('Raw Sales'!G47))</x:f>
        <x:v>Charlotte</x:v>
      </x:c>
      <x:c r="K47" s="84" t="str">
        <x:f>PROPER(TRIM('Raw Sales'!H47))</x:f>
        <x:v>Online</x:v>
      </x:c>
      <x:c r="L47" s="84" t="str">
        <x:f>'Raw Sales'!I47</x:f>
        <x:v>CARE-006</x:v>
      </x:c>
      <x:c r="M47" s="84" t="str">
        <x:f>IFERROR(VLOOKUP(L47,'Reference Data'!$A$5:$F$40,2,FALSE),"Unknown Product")</x:f>
        <x:v>Percussion Massage Gun</x:v>
      </x:c>
      <x:c r="N47" s="84" t="str">
        <x:f>IFERROR(VLOOKUP(L47,'Reference Data'!$A$5:$F$40,3,FALSE),"Unknown")</x:f>
        <x:v>Personal Care</x:v>
      </x:c>
      <x:c r="O47" s="84" t="str">
        <x:f>IFERROR(VLOOKUP(L47,'Reference Data'!$A$5:$F$40,4,FALSE),"Unknown")</x:f>
        <x:v>Wellness</x:v>
      </x:c>
      <x:c r="P47" s="92" t="n">
        <x:f>IFERROR(VLOOKUP(L47,'Reference Data'!$A$5:$F$40,5,FALSE),0)</x:f>
        <x:v>129</x:v>
      </x:c>
      <x:c r="Q47" s="92" t="n">
        <x:f>IFERROR(VLOOKUP(L47,'Reference Data'!$A$5:$F$40,6,FALSE),0)</x:f>
        <x:v>70</x:v>
      </x:c>
      <x:c r="R47" s="84" t="n">
        <x:f>'Raw Sales'!J47</x:f>
        <x:v>6</x:v>
      </x:c>
      <x:c r="S47" s="87" t="n">
        <x:f>'Raw Sales'!K47</x:f>
        <x:v>0</x:v>
      </x:c>
      <x:c r="T47" s="93" t="n">
        <x:f>P47*R47</x:f>
        <x:v>774</x:v>
      </x:c>
      <x:c r="U47" s="93" t="n">
        <x:f>T47*S47</x:f>
        <x:v>0</x:v>
      </x:c>
      <x:c r="V47" s="93" t="str">
        <x:f>PROPER(TRIM('Raw Sales'!L47))</x:f>
        <x:v>Completed</x:v>
      </x:c>
      <x:c r="W47" s="93" t="n">
        <x:f>IF(V47="Returned",0,T47-U47)</x:f>
        <x:v>774</x:v>
      </x:c>
      <x:c r="X47" s="93" t="n">
        <x:f>IF(V47="Returned",Q47*R47*10%,Q47*R47)</x:f>
        <x:v>420</x:v>
      </x:c>
      <x:c r="Y47" s="93" t="n">
        <x:f>W47-X47</x:f>
        <x:v>354</x:v>
      </x:c>
      <x:c r="Z47" s="94" t="n">
        <x:f>IFERROR(Y47/W47,0)</x:f>
        <x:v>0.4573643410852713</x:v>
      </x:c>
      <x:c r="AA47" s="84" t="str">
        <x:f>PROPER(TRIM('Raw Sales'!M47))</x:f>
        <x:v>Credit Card</x:v>
      </x:c>
      <x:c r="AB47" s="84" t="str">
        <x:f>PROPER(TRIM('Raw Sales'!N47))</x:f>
        <x:v>Ava Mitchell</x:v>
      </x:c>
      <x:c r="AC47" s="85" t="n">
        <x:f>'Raw Sales'!O47</x:f>
        <x:v>45317</x:v>
      </x:c>
      <x:c r="AD47" s="84" t="n">
        <x:f>AC47-B47</x:f>
        <x:v>3</x:v>
      </x:c>
      <x:c r="AE47" s="84" t="str">
        <x:f>IF(COUNTIF($A$5:A47,A47)&gt;1,"Duplicate","Keep")</x:f>
        <x:v>Keep</x:v>
      </x:c>
      <x:c r="AF47" s="84" t="str">
        <x:f>IF(OR(R47&lt;=0,AC47&lt;B47,H47="Unknown",M47="Unknown Product"),"Review","Valid")</x:f>
        <x:v>Valid</x:v>
      </x:c>
      <x:c r="AG47" s="84" t="n">
        <x:f>IF(AND(AE47="Keep",AF47="Valid"),1,0)</x:f>
        <x:v>1</x:v>
      </x:c>
      <x:c r="AH47" s="84" t="n">
        <x:f>IF(AND(AG47=1,OR('Dashboard'!$B$4="All",I47='Dashboard'!$B$4),OR('Dashboard'!$E$4="All",N47='Dashboard'!$E$4),OR('Dashboard'!$H$4="All",K47='Dashboard'!$H$4),OR('Dashboard'!$K$4="All",C47='Dashboard'!$K$4)),1,0)</x:f>
        <x:v>1</x:v>
      </x:c>
      <x:c r="AI47" s="84" t="n">
        <x:f>IF(AND(AG47=1,OR('Dashboard'!$B$4="All",I47='Dashboard'!$B$4),OR('Dashboard'!$E$4="All",N47='Dashboard'!$E$4),OR('Dashboard'!$H$4="All",K47='Dashboard'!$H$4)),1,0)</x:f>
        <x:v>1</x:v>
      </x:c>
    </x:row>
    <x:row r="48">
      <x:c r="A48" s="84" t="str">
        <x:f>'Raw Sales'!A48</x:f>
        <x:v>ORD-2024-00805</x:v>
      </x:c>
      <x:c r="B48" s="85" t="n">
        <x:f>'Raw Sales'!B48</x:f>
        <x:v>45314</x:v>
      </x:c>
      <x:c r="C48" s="84" t="n">
        <x:f>YEAR(B48)</x:f>
        <x:v>2024</x:v>
      </x:c>
      <x:c r="D48" s="91" t="n">
        <x:f>DATE(YEAR(B48),MONTH(B48),1)</x:f>
        <x:v>45292</x:v>
      </x:c>
      <x:c r="E48" s="84" t="str">
        <x:f>TEXT(B48,"mmm")</x:f>
        <x:v>Jan</x:v>
      </x:c>
      <x:c r="F48" s="84" t="str">
        <x:f>'Raw Sales'!C48</x:f>
        <x:v>CUST-0278</x:v>
      </x:c>
      <x:c r="G48" s="84" t="str">
        <x:f>PROPER(TRIM('Raw Sales'!D48))</x:f>
        <x:v>Sara Ortiz</x:v>
      </x:c>
      <x:c r="H48" s="84" t="str">
        <x:f>IF(TRIM('Raw Sales'!E48)="","Unknown",PROPER(TRIM('Raw Sales'!E48)))</x:f>
        <x:v>Corporate</x:v>
      </x:c>
      <x:c r="I48" s="84" t="str">
        <x:f>PROPER(TRIM('Raw Sales'!F48))</x:f>
        <x:v>Southeast</x:v>
      </x:c>
      <x:c r="J48" s="84" t="str">
        <x:f>PROPER(TRIM('Raw Sales'!G48))</x:f>
        <x:v>Charlotte</x:v>
      </x:c>
      <x:c r="K48" s="84" t="str">
        <x:f>PROPER(TRIM('Raw Sales'!H48))</x:f>
        <x:v>Online</x:v>
      </x:c>
      <x:c r="L48" s="84" t="str">
        <x:f>'Raw Sales'!I48</x:f>
        <x:v>CARE-006</x:v>
      </x:c>
      <x:c r="M48" s="84" t="str">
        <x:f>IFERROR(VLOOKUP(L48,'Reference Data'!$A$5:$F$40,2,FALSE),"Unknown Product")</x:f>
        <x:v>Percussion Massage Gun</x:v>
      </x:c>
      <x:c r="N48" s="84" t="str">
        <x:f>IFERROR(VLOOKUP(L48,'Reference Data'!$A$5:$F$40,3,FALSE),"Unknown")</x:f>
        <x:v>Personal Care</x:v>
      </x:c>
      <x:c r="O48" s="84" t="str">
        <x:f>IFERROR(VLOOKUP(L48,'Reference Data'!$A$5:$F$40,4,FALSE),"Unknown")</x:f>
        <x:v>Wellness</x:v>
      </x:c>
      <x:c r="P48" s="92" t="n">
        <x:f>IFERROR(VLOOKUP(L48,'Reference Data'!$A$5:$F$40,5,FALSE),0)</x:f>
        <x:v>129</x:v>
      </x:c>
      <x:c r="Q48" s="92" t="n">
        <x:f>IFERROR(VLOOKUP(L48,'Reference Data'!$A$5:$F$40,6,FALSE),0)</x:f>
        <x:v>70</x:v>
      </x:c>
      <x:c r="R48" s="84" t="n">
        <x:f>'Raw Sales'!J48</x:f>
        <x:v>6</x:v>
      </x:c>
      <x:c r="S48" s="87" t="n">
        <x:f>'Raw Sales'!K48</x:f>
        <x:v>0</x:v>
      </x:c>
      <x:c r="T48" s="93" t="n">
        <x:f>P48*R48</x:f>
        <x:v>774</x:v>
      </x:c>
      <x:c r="U48" s="93" t="n">
        <x:f>T48*S48</x:f>
        <x:v>0</x:v>
      </x:c>
      <x:c r="V48" s="93" t="str">
        <x:f>PROPER(TRIM('Raw Sales'!L48))</x:f>
        <x:v>Completed</x:v>
      </x:c>
      <x:c r="W48" s="93" t="n">
        <x:f>IF(V48="Returned",0,T48-U48)</x:f>
        <x:v>774</x:v>
      </x:c>
      <x:c r="X48" s="93" t="n">
        <x:f>IF(V48="Returned",Q48*R48*10%,Q48*R48)</x:f>
        <x:v>420</x:v>
      </x:c>
      <x:c r="Y48" s="93" t="n">
        <x:f>W48-X48</x:f>
        <x:v>354</x:v>
      </x:c>
      <x:c r="Z48" s="94" t="n">
        <x:f>IFERROR(Y48/W48,0)</x:f>
        <x:v>0.4573643410852713</x:v>
      </x:c>
      <x:c r="AA48" s="84" t="str">
        <x:f>PROPER(TRIM('Raw Sales'!M48))</x:f>
        <x:v>Credit Card</x:v>
      </x:c>
      <x:c r="AB48" s="84" t="str">
        <x:f>PROPER(TRIM('Raw Sales'!N48))</x:f>
        <x:v>Ava Mitchell</x:v>
      </x:c>
      <x:c r="AC48" s="85" t="n">
        <x:f>'Raw Sales'!O48</x:f>
        <x:v>45317</x:v>
      </x:c>
      <x:c r="AD48" s="84" t="n">
        <x:f>AC48-B48</x:f>
        <x:v>3</x:v>
      </x:c>
      <x:c r="AE48" s="84" t="str">
        <x:f>IF(COUNTIF($A$5:A48,A48)&gt;1,"Duplicate","Keep")</x:f>
        <x:v>Duplicate</x:v>
      </x:c>
      <x:c r="AF48" s="84" t="str">
        <x:f>IF(OR(R48&lt;=0,AC48&lt;B48,H48="Unknown",M48="Unknown Product"),"Review","Valid")</x:f>
        <x:v>Valid</x:v>
      </x:c>
      <x:c r="AG48" s="84" t="n">
        <x:f>IF(AND(AE48="Keep",AF48="Valid"),1,0)</x:f>
        <x:v>0</x:v>
      </x:c>
      <x:c r="AH48" s="84" t="n">
        <x:f>IF(AND(AG48=1,OR('Dashboard'!$B$4="All",I48='Dashboard'!$B$4),OR('Dashboard'!$E$4="All",N48='Dashboard'!$E$4),OR('Dashboard'!$H$4="All",K48='Dashboard'!$H$4),OR('Dashboard'!$K$4="All",C48='Dashboard'!$K$4)),1,0)</x:f>
        <x:v>0</x:v>
      </x:c>
      <x:c r="AI48" s="84" t="n">
        <x:f>IF(AND(AG48=1,OR('Dashboard'!$B$4="All",I48='Dashboard'!$B$4),OR('Dashboard'!$E$4="All",N48='Dashboard'!$E$4),OR('Dashboard'!$H$4="All",K48='Dashboard'!$H$4)),1,0)</x:f>
        <x:v>0</x:v>
      </x:c>
    </x:row>
    <x:row r="49">
      <x:c r="A49" s="84" t="str">
        <x:f>'Raw Sales'!A49</x:f>
        <x:v>ORD-2024-02003</x:v>
      </x:c>
      <x:c r="B49" s="85" t="n">
        <x:f>'Raw Sales'!B49</x:f>
        <x:v>45314</x:v>
      </x:c>
      <x:c r="C49" s="84" t="n">
        <x:f>YEAR(B49)</x:f>
        <x:v>2024</x:v>
      </x:c>
      <x:c r="D49" s="91" t="n">
        <x:f>DATE(YEAR(B49),MONTH(B49),1)</x:f>
        <x:v>45292</x:v>
      </x:c>
      <x:c r="E49" s="84" t="str">
        <x:f>TEXT(B49,"mmm")</x:f>
        <x:v>Jan</x:v>
      </x:c>
      <x:c r="F49" s="84" t="str">
        <x:f>'Raw Sales'!C49</x:f>
        <x:v>CUST-0521</x:v>
      </x:c>
      <x:c r="G49" s="84" t="str">
        <x:f>PROPER(TRIM('Raw Sales'!D49))</x:f>
        <x:v>Theo Garcia</x:v>
      </x:c>
      <x:c r="H49" s="84" t="str">
        <x:f>IF(TRIM('Raw Sales'!E49)="","Unknown",PROPER(TRIM('Raw Sales'!E49)))</x:f>
        <x:v>Consumer</x:v>
      </x:c>
      <x:c r="I49" s="84" t="str">
        <x:f>PROPER(TRIM('Raw Sales'!F49))</x:f>
        <x:v>West</x:v>
      </x:c>
      <x:c r="J49" s="84" t="str">
        <x:f>PROPER(TRIM('Raw Sales'!G49))</x:f>
        <x:v>Denver</x:v>
      </x:c>
      <x:c r="K49" s="84" t="str">
        <x:f>PROPER(TRIM('Raw Sales'!H49))</x:f>
        <x:v>Online</x:v>
      </x:c>
      <x:c r="L49" s="84" t="str">
        <x:f>'Raw Sales'!I49</x:f>
        <x:v>CARE-004</x:v>
      </x:c>
      <x:c r="M49" s="84" t="str">
        <x:f>IFERROR(VLOOKUP(L49,'Reference Data'!$A$5:$F$40,2,FALSE),"Unknown Product")</x:f>
        <x:v>Electric Toothbrush</x:v>
      </x:c>
      <x:c r="N49" s="84" t="str">
        <x:f>IFERROR(VLOOKUP(L49,'Reference Data'!$A$5:$F$40,3,FALSE),"Unknown")</x:f>
        <x:v>Personal Care</x:v>
      </x:c>
      <x:c r="O49" s="84" t="str">
        <x:f>IFERROR(VLOOKUP(L49,'Reference Data'!$A$5:$F$40,4,FALSE),"Unknown")</x:f>
        <x:v>Oral Care</x:v>
      </x:c>
      <x:c r="P49" s="92" t="n">
        <x:f>IFERROR(VLOOKUP(L49,'Reference Data'!$A$5:$F$40,5,FALSE),0)</x:f>
        <x:v>69</x:v>
      </x:c>
      <x:c r="Q49" s="92" t="n">
        <x:f>IFERROR(VLOOKUP(L49,'Reference Data'!$A$5:$F$40,6,FALSE),0)</x:f>
        <x:v>31</x:v>
      </x:c>
      <x:c r="R49" s="84" t="n">
        <x:f>'Raw Sales'!J49</x:f>
        <x:v>1</x:v>
      </x:c>
      <x:c r="S49" s="87" t="n">
        <x:f>'Raw Sales'!K49</x:f>
        <x:v>0</x:v>
      </x:c>
      <x:c r="T49" s="93" t="n">
        <x:f>P49*R49</x:f>
        <x:v>69</x:v>
      </x:c>
      <x:c r="U49" s="93" t="n">
        <x:f>T49*S49</x:f>
        <x:v>0</x:v>
      </x:c>
      <x:c r="V49" s="93" t="str">
        <x:f>PROPER(TRIM('Raw Sales'!L49))</x:f>
        <x:v>Completed</x:v>
      </x:c>
      <x:c r="W49" s="93" t="n">
        <x:f>IF(V49="Returned",0,T49-U49)</x:f>
        <x:v>69</x:v>
      </x:c>
      <x:c r="X49" s="93" t="n">
        <x:f>IF(V49="Returned",Q49*R49*10%,Q49*R49)</x:f>
        <x:v>31</x:v>
      </x:c>
      <x:c r="Y49" s="93" t="n">
        <x:f>W49-X49</x:f>
        <x:v>38</x:v>
      </x:c>
      <x:c r="Z49" s="94" t="n">
        <x:f>IFERROR(Y49/W49,0)</x:f>
        <x:v>0.5507246376811594</x:v>
      </x:c>
      <x:c r="AA49" s="84" t="str">
        <x:f>PROPER(TRIM('Raw Sales'!M49))</x:f>
        <x:v>Paypal</x:v>
      </x:c>
      <x:c r="AB49" s="84" t="str">
        <x:f>PROPER(TRIM('Raw Sales'!N49))</x:f>
        <x:v>Nora Kim</x:v>
      </x:c>
      <x:c r="AC49" s="85" t="n">
        <x:f>'Raw Sales'!O49</x:f>
        <x:v>45319</x:v>
      </x:c>
      <x:c r="AD49" s="84" t="n">
        <x:f>AC49-B49</x:f>
        <x:v>5</x:v>
      </x:c>
      <x:c r="AE49" s="84" t="str">
        <x:f>IF(COUNTIF($A$5:A49,A49)&gt;1,"Duplicate","Keep")</x:f>
        <x:v>Keep</x:v>
      </x:c>
      <x:c r="AF49" s="84" t="str">
        <x:f>IF(OR(R49&lt;=0,AC49&lt;B49,H49="Unknown",M49="Unknown Product"),"Review","Valid")</x:f>
        <x:v>Valid</x:v>
      </x:c>
      <x:c r="AG49" s="84" t="n">
        <x:f>IF(AND(AE49="Keep",AF49="Valid"),1,0)</x:f>
        <x:v>1</x:v>
      </x:c>
      <x:c r="AH49" s="84" t="n">
        <x:f>IF(AND(AG49=1,OR('Dashboard'!$B$4="All",I49='Dashboard'!$B$4),OR('Dashboard'!$E$4="All",N49='Dashboard'!$E$4),OR('Dashboard'!$H$4="All",K49='Dashboard'!$H$4),OR('Dashboard'!$K$4="All",C49='Dashboard'!$K$4)),1,0)</x:f>
        <x:v>1</x:v>
      </x:c>
      <x:c r="AI49" s="84" t="n">
        <x:f>IF(AND(AG49=1,OR('Dashboard'!$B$4="All",I49='Dashboard'!$B$4),OR('Dashboard'!$E$4="All",N49='Dashboard'!$E$4),OR('Dashboard'!$H$4="All",K49='Dashboard'!$H$4)),1,0)</x:f>
        <x:v>1</x:v>
      </x:c>
    </x:row>
    <x:row r="50">
      <x:c r="A50" s="84" t="str">
        <x:f>'Raw Sales'!A50</x:f>
        <x:v>ORD-2024-00756</x:v>
      </x:c>
      <x:c r="B50" s="85" t="n">
        <x:f>'Raw Sales'!B50</x:f>
        <x:v>45315</x:v>
      </x:c>
      <x:c r="C50" s="84" t="n">
        <x:f>YEAR(B50)</x:f>
        <x:v>2024</x:v>
      </x:c>
      <x:c r="D50" s="91" t="n">
        <x:f>DATE(YEAR(B50),MONTH(B50),1)</x:f>
        <x:v>45292</x:v>
      </x:c>
      <x:c r="E50" s="84" t="str">
        <x:f>TEXT(B50,"mmm")</x:f>
        <x:v>Jan</x:v>
      </x:c>
      <x:c r="F50" s="84" t="str">
        <x:f>'Raw Sales'!C50</x:f>
        <x:v>CUST-0578</x:v>
      </x:c>
      <x:c r="G50" s="84" t="str">
        <x:f>PROPER(TRIM('Raw Sales'!D50))</x:f>
        <x:v>Priya Smith</x:v>
      </x:c>
      <x:c r="H50" s="84" t="str">
        <x:f>IF(TRIM('Raw Sales'!E50)="","Unknown",PROPER(TRIM('Raw Sales'!E50)))</x:f>
        <x:v>Corporate</x:v>
      </x:c>
      <x:c r="I50" s="84" t="str">
        <x:f>PROPER(TRIM('Raw Sales'!F50))</x:f>
        <x:v>Northeast</x:v>
      </x:c>
      <x:c r="J50" s="84" t="str">
        <x:f>PROPER(TRIM('Raw Sales'!G50))</x:f>
        <x:v>Newark</x:v>
      </x:c>
      <x:c r="K50" s="84" t="str">
        <x:f>PROPER(TRIM('Raw Sales'!H50))</x:f>
        <x:v>Online</x:v>
      </x:c>
      <x:c r="L50" s="84" t="str">
        <x:f>'Raw Sales'!I50</x:f>
        <x:v>ELEC-006</x:v>
      </x:c>
      <x:c r="M50" s="84" t="str">
        <x:f>IFERROR(VLOOKUP(L50,'Reference Data'!$A$5:$F$40,2,FALSE),"Unknown Product")</x:f>
        <x:v>Portable SSD</x:v>
      </x:c>
      <x:c r="N50" s="84" t="str">
        <x:f>IFERROR(VLOOKUP(L50,'Reference Data'!$A$5:$F$40,3,FALSE),"Unknown")</x:f>
        <x:v>Electronics</x:v>
      </x:c>
      <x:c r="O50" s="84" t="str">
        <x:f>IFERROR(VLOOKUP(L50,'Reference Data'!$A$5:$F$40,4,FALSE),"Unknown")</x:f>
        <x:v>Storage</x:v>
      </x:c>
      <x:c r="P50" s="92" t="n">
        <x:f>IFERROR(VLOOKUP(L50,'Reference Data'!$A$5:$F$40,5,FALSE),0)</x:f>
        <x:v>129</x:v>
      </x:c>
      <x:c r="Q50" s="92" t="n">
        <x:f>IFERROR(VLOOKUP(L50,'Reference Data'!$A$5:$F$40,6,FALSE),0)</x:f>
        <x:v>75</x:v>
      </x:c>
      <x:c r="R50" s="84" t="n">
        <x:f>'Raw Sales'!J50</x:f>
        <x:v>4</x:v>
      </x:c>
      <x:c r="S50" s="87" t="n">
        <x:f>'Raw Sales'!K50</x:f>
        <x:v>0</x:v>
      </x:c>
      <x:c r="T50" s="93" t="n">
        <x:f>P50*R50</x:f>
        <x:v>516</x:v>
      </x:c>
      <x:c r="U50" s="93" t="n">
        <x:f>T50*S50</x:f>
        <x:v>0</x:v>
      </x:c>
      <x:c r="V50" s="93" t="str">
        <x:f>PROPER(TRIM('Raw Sales'!L50))</x:f>
        <x:v>Completed</x:v>
      </x:c>
      <x:c r="W50" s="93" t="n">
        <x:f>IF(V50="Returned",0,T50-U50)</x:f>
        <x:v>516</x:v>
      </x:c>
      <x:c r="X50" s="93" t="n">
        <x:f>IF(V50="Returned",Q50*R50*10%,Q50*R50)</x:f>
        <x:v>300</x:v>
      </x:c>
      <x:c r="Y50" s="93" t="n">
        <x:f>W50-X50</x:f>
        <x:v>216</x:v>
      </x:c>
      <x:c r="Z50" s="94" t="n">
        <x:f>IFERROR(Y50/W50,0)</x:f>
        <x:v>0.4186046511627907</x:v>
      </x:c>
      <x:c r="AA50" s="84" t="str">
        <x:f>PROPER(TRIM('Raw Sales'!M50))</x:f>
        <x:v>Credit Card</x:v>
      </x:c>
      <x:c r="AB50" s="84" t="str">
        <x:f>PROPER(TRIM('Raw Sales'!N50))</x:f>
        <x:v>Maya Brooks</x:v>
      </x:c>
      <x:c r="AC50" s="85" t="n">
        <x:f>'Raw Sales'!O50</x:f>
        <x:v>45319</x:v>
      </x:c>
      <x:c r="AD50" s="84" t="n">
        <x:f>AC50-B50</x:f>
        <x:v>4</x:v>
      </x:c>
      <x:c r="AE50" s="84" t="str">
        <x:f>IF(COUNTIF($A$5:A50,A50)&gt;1,"Duplicate","Keep")</x:f>
        <x:v>Keep</x:v>
      </x:c>
      <x:c r="AF50" s="84" t="str">
        <x:f>IF(OR(R50&lt;=0,AC50&lt;B50,H50="Unknown",M50="Unknown Product"),"Review","Valid")</x:f>
        <x:v>Valid</x:v>
      </x:c>
      <x:c r="AG50" s="84" t="n">
        <x:f>IF(AND(AE50="Keep",AF50="Valid"),1,0)</x:f>
        <x:v>1</x:v>
      </x:c>
      <x:c r="AH50" s="84" t="n">
        <x:f>IF(AND(AG50=1,OR('Dashboard'!$B$4="All",I50='Dashboard'!$B$4),OR('Dashboard'!$E$4="All",N50='Dashboard'!$E$4),OR('Dashboard'!$H$4="All",K50='Dashboard'!$H$4),OR('Dashboard'!$K$4="All",C50='Dashboard'!$K$4)),1,0)</x:f>
        <x:v>1</x:v>
      </x:c>
      <x:c r="AI50" s="84" t="n">
        <x:f>IF(AND(AG50=1,OR('Dashboard'!$B$4="All",I50='Dashboard'!$B$4),OR('Dashboard'!$E$4="All",N50='Dashboard'!$E$4),OR('Dashboard'!$H$4="All",K50='Dashboard'!$H$4)),1,0)</x:f>
        <x:v>1</x:v>
      </x:c>
    </x:row>
    <x:row r="51">
      <x:c r="A51" s="84" t="str">
        <x:f>'Raw Sales'!A51</x:f>
        <x:v>ORD-2024-01755</x:v>
      </x:c>
      <x:c r="B51" s="85" t="n">
        <x:f>'Raw Sales'!B51</x:f>
        <x:v>45315</x:v>
      </x:c>
      <x:c r="C51" s="84" t="n">
        <x:f>YEAR(B51)</x:f>
        <x:v>2024</x:v>
      </x:c>
      <x:c r="D51" s="91" t="n">
        <x:f>DATE(YEAR(B51),MONTH(B51),1)</x:f>
        <x:v>45292</x:v>
      </x:c>
      <x:c r="E51" s="84" t="str">
        <x:f>TEXT(B51,"mmm")</x:f>
        <x:v>Jan</x:v>
      </x:c>
      <x:c r="F51" s="84" t="str">
        <x:f>'Raw Sales'!C51</x:f>
        <x:v>CUST-0279</x:v>
      </x:c>
      <x:c r="G51" s="84" t="str">
        <x:f>PROPER(TRIM('Raw Sales'!D51))</x:f>
        <x:v>Priya Johnson</x:v>
      </x:c>
      <x:c r="H51" s="84" t="str">
        <x:f>IF(TRIM('Raw Sales'!E51)="","Unknown",PROPER(TRIM('Raw Sales'!E51)))</x:f>
        <x:v>Consumer</x:v>
      </x:c>
      <x:c r="I51" s="84" t="str">
        <x:f>PROPER(TRIM('Raw Sales'!F51))</x:f>
        <x:v>West</x:v>
      </x:c>
      <x:c r="J51" s="84" t="str">
        <x:f>PROPER(TRIM('Raw Sales'!G51))</x:f>
        <x:v>Seattle</x:v>
      </x:c>
      <x:c r="K51" s="84" t="str">
        <x:f>PROPER(TRIM('Raw Sales'!H51))</x:f>
        <x:v>Online</x:v>
      </x:c>
      <x:c r="L51" s="84" t="str">
        <x:f>'Raw Sales'!I51</x:f>
        <x:v>ELEC-002</x:v>
      </x:c>
      <x:c r="M51" s="84" t="str">
        <x:f>IFERROR(VLOOKUP(L51,'Reference Data'!$A$5:$F$40,2,FALSE),"Unknown Product")</x:f>
        <x:v>Smartwatch</x:v>
      </x:c>
      <x:c r="N51" s="84" t="str">
        <x:f>IFERROR(VLOOKUP(L51,'Reference Data'!$A$5:$F$40,3,FALSE),"Unknown")</x:f>
        <x:v>Electronics</x:v>
      </x:c>
      <x:c r="O51" s="84" t="str">
        <x:f>IFERROR(VLOOKUP(L51,'Reference Data'!$A$5:$F$40,4,FALSE),"Unknown")</x:f>
        <x:v>Wearables</x:v>
      </x:c>
      <x:c r="P51" s="92" t="n">
        <x:f>IFERROR(VLOOKUP(L51,'Reference Data'!$A$5:$F$40,5,FALSE),0)</x:f>
        <x:v>159</x:v>
      </x:c>
      <x:c r="Q51" s="92" t="n">
        <x:f>IFERROR(VLOOKUP(L51,'Reference Data'!$A$5:$F$40,6,FALSE),0)</x:f>
        <x:v>92</x:v>
      </x:c>
      <x:c r="R51" s="84" t="n">
        <x:f>'Raw Sales'!J51</x:f>
        <x:v>1</x:v>
      </x:c>
      <x:c r="S51" s="87" t="n">
        <x:f>'Raw Sales'!K51</x:f>
        <x:v>0.1</x:v>
      </x:c>
      <x:c r="T51" s="93" t="n">
        <x:f>P51*R51</x:f>
        <x:v>159</x:v>
      </x:c>
      <x:c r="U51" s="93" t="n">
        <x:f>T51*S51</x:f>
        <x:v>15.9</x:v>
      </x:c>
      <x:c r="V51" s="93" t="str">
        <x:f>PROPER(TRIM('Raw Sales'!L51))</x:f>
        <x:v>Completed</x:v>
      </x:c>
      <x:c r="W51" s="93" t="n">
        <x:f>IF(V51="Returned",0,T51-U51)</x:f>
        <x:v>143.1</x:v>
      </x:c>
      <x:c r="X51" s="93" t="n">
        <x:f>IF(V51="Returned",Q51*R51*10%,Q51*R51)</x:f>
        <x:v>92</x:v>
      </x:c>
      <x:c r="Y51" s="93" t="n">
        <x:f>W51-X51</x:f>
        <x:v>51.099999999999994</x:v>
      </x:c>
      <x:c r="Z51" s="94" t="n">
        <x:f>IFERROR(Y51/W51,0)</x:f>
        <x:v>0.35709294199860236</x:v>
      </x:c>
      <x:c r="AA51" s="84" t="str">
        <x:f>PROPER(TRIM('Raw Sales'!M51))</x:f>
        <x:v>Credit Card</x:v>
      </x:c>
      <x:c r="AB51" s="84" t="str">
        <x:f>PROPER(TRIM('Raw Sales'!N51))</x:f>
        <x:v>Nora Kim</x:v>
      </x:c>
      <x:c r="AC51" s="85" t="n">
        <x:f>'Raw Sales'!O51</x:f>
        <x:v>45318</x:v>
      </x:c>
      <x:c r="AD51" s="84" t="n">
        <x:f>AC51-B51</x:f>
        <x:v>3</x:v>
      </x:c>
      <x:c r="AE51" s="84" t="str">
        <x:f>IF(COUNTIF($A$5:A51,A51)&gt;1,"Duplicate","Keep")</x:f>
        <x:v>Keep</x:v>
      </x:c>
      <x:c r="AF51" s="84" t="str">
        <x:f>IF(OR(R51&lt;=0,AC51&lt;B51,H51="Unknown",M51="Unknown Product"),"Review","Valid")</x:f>
        <x:v>Valid</x:v>
      </x:c>
      <x:c r="AG51" s="84" t="n">
        <x:f>IF(AND(AE51="Keep",AF51="Valid"),1,0)</x:f>
        <x:v>1</x:v>
      </x:c>
      <x:c r="AH51" s="84" t="n">
        <x:f>IF(AND(AG51=1,OR('Dashboard'!$B$4="All",I51='Dashboard'!$B$4),OR('Dashboard'!$E$4="All",N51='Dashboard'!$E$4),OR('Dashboard'!$H$4="All",K51='Dashboard'!$H$4),OR('Dashboard'!$K$4="All",C51='Dashboard'!$K$4)),1,0)</x:f>
        <x:v>1</x:v>
      </x:c>
      <x:c r="AI51" s="84" t="n">
        <x:f>IF(AND(AG51=1,OR('Dashboard'!$B$4="All",I51='Dashboard'!$B$4),OR('Dashboard'!$E$4="All",N51='Dashboard'!$E$4),OR('Dashboard'!$H$4="All",K51='Dashboard'!$H$4)),1,0)</x:f>
        <x:v>1</x:v>
      </x:c>
    </x:row>
    <x:row r="52">
      <x:c r="A52" s="84" t="str">
        <x:f>'Raw Sales'!A52</x:f>
        <x:v>ORD-2024-00294</x:v>
      </x:c>
      <x:c r="B52" s="85" t="n">
        <x:f>'Raw Sales'!B52</x:f>
        <x:v>45316</x:v>
      </x:c>
      <x:c r="C52" s="84" t="n">
        <x:f>YEAR(B52)</x:f>
        <x:v>2024</x:v>
      </x:c>
      <x:c r="D52" s="91" t="n">
        <x:f>DATE(YEAR(B52),MONTH(B52),1)</x:f>
        <x:v>45292</x:v>
      </x:c>
      <x:c r="E52" s="84" t="str">
        <x:f>TEXT(B52,"mmm")</x:f>
        <x:v>Jan</x:v>
      </x:c>
      <x:c r="F52" s="84" t="str">
        <x:f>'Raw Sales'!C52</x:f>
        <x:v>CUST-0399</x:v>
      </x:c>
      <x:c r="G52" s="84" t="str">
        <x:f>PROPER(TRIM('Raw Sales'!D52))</x:f>
        <x:v>Aiden Foster</x:v>
      </x:c>
      <x:c r="H52" s="84" t="str">
        <x:f>IF(TRIM('Raw Sales'!E52)="","Unknown",PROPER(TRIM('Raw Sales'!E52)))</x:f>
        <x:v>Consumer</x:v>
      </x:c>
      <x:c r="I52" s="84" t="str">
        <x:f>PROPER(TRIM('Raw Sales'!F52))</x:f>
        <x:v>Midwest</x:v>
      </x:c>
      <x:c r="J52" s="84" t="str">
        <x:f>PROPER(TRIM('Raw Sales'!G52))</x:f>
        <x:v>Detroit</x:v>
      </x:c>
      <x:c r="K52" s="84" t="str">
        <x:f>PROPER(TRIM('Raw Sales'!H52))</x:f>
        <x:v>Retail Store</x:v>
      </x:c>
      <x:c r="L52" s="84" t="str">
        <x:f>'Raw Sales'!I52</x:f>
        <x:v>FITN-001</x:v>
      </x:c>
      <x:c r="M52" s="84" t="str">
        <x:f>IFERROR(VLOOKUP(L52,'Reference Data'!$A$5:$F$40,2,FALSE),"Unknown Product")</x:f>
        <x:v>Yoga Mat</x:v>
      </x:c>
      <x:c r="N52" s="84" t="str">
        <x:f>IFERROR(VLOOKUP(L52,'Reference Data'!$A$5:$F$40,3,FALSE),"Unknown")</x:f>
        <x:v>Fitness</x:v>
      </x:c>
      <x:c r="O52" s="84" t="str">
        <x:f>IFERROR(VLOOKUP(L52,'Reference Data'!$A$5:$F$40,4,FALSE),"Unknown")</x:f>
        <x:v>Yoga</x:v>
      </x:c>
      <x:c r="P52" s="92" t="n">
        <x:f>IFERROR(VLOOKUP(L52,'Reference Data'!$A$5:$F$40,5,FALSE),0)</x:f>
        <x:v>35</x:v>
      </x:c>
      <x:c r="Q52" s="92" t="n">
        <x:f>IFERROR(VLOOKUP(L52,'Reference Data'!$A$5:$F$40,6,FALSE),0)</x:f>
        <x:v>13</x:v>
      </x:c>
      <x:c r="R52" s="84" t="n">
        <x:f>'Raw Sales'!J52</x:f>
        <x:v>1</x:v>
      </x:c>
      <x:c r="S52" s="87" t="n">
        <x:f>'Raw Sales'!K52</x:f>
        <x:v>0.05</x:v>
      </x:c>
      <x:c r="T52" s="93" t="n">
        <x:f>P52*R52</x:f>
        <x:v>35</x:v>
      </x:c>
      <x:c r="U52" s="93" t="n">
        <x:f>T52*S52</x:f>
        <x:v>1.75</x:v>
      </x:c>
      <x:c r="V52" s="93" t="str">
        <x:f>PROPER(TRIM('Raw Sales'!L52))</x:f>
        <x:v>Completed</x:v>
      </x:c>
      <x:c r="W52" s="93" t="n">
        <x:f>IF(V52="Returned",0,T52-U52)</x:f>
        <x:v>33.25</x:v>
      </x:c>
      <x:c r="X52" s="93" t="n">
        <x:f>IF(V52="Returned",Q52*R52*10%,Q52*R52)</x:f>
        <x:v>13</x:v>
      </x:c>
      <x:c r="Y52" s="93" t="n">
        <x:f>W52-X52</x:f>
        <x:v>20.25</x:v>
      </x:c>
      <x:c r="Z52" s="94" t="n">
        <x:f>IFERROR(Y52/W52,0)</x:f>
        <x:v>0.6090225563909775</x:v>
      </x:c>
      <x:c r="AA52" s="84" t="str">
        <x:f>PROPER(TRIM('Raw Sales'!M52))</x:f>
        <x:v>Cash</x:v>
      </x:c>
      <x:c r="AB52" s="84" t="str">
        <x:f>PROPER(TRIM('Raw Sales'!N52))</x:f>
        <x:v>Emma Hayes</x:v>
      </x:c>
      <x:c r="AC52" s="85" t="n">
        <x:f>'Raw Sales'!O52</x:f>
        <x:v>45316</x:v>
      </x:c>
      <x:c r="AD52" s="84" t="n">
        <x:f>AC52-B52</x:f>
        <x:v>0</x:v>
      </x:c>
      <x:c r="AE52" s="84" t="str">
        <x:f>IF(COUNTIF($A$5:A52,A52)&gt;1,"Duplicate","Keep")</x:f>
        <x:v>Keep</x:v>
      </x:c>
      <x:c r="AF52" s="84" t="str">
        <x:f>IF(OR(R52&lt;=0,AC52&lt;B52,H52="Unknown",M52="Unknown Product"),"Review","Valid")</x:f>
        <x:v>Valid</x:v>
      </x:c>
      <x:c r="AG52" s="84" t="n">
        <x:f>IF(AND(AE52="Keep",AF52="Valid"),1,0)</x:f>
        <x:v>1</x:v>
      </x:c>
      <x:c r="AH52" s="84" t="n">
        <x:f>IF(AND(AG52=1,OR('Dashboard'!$B$4="All",I52='Dashboard'!$B$4),OR('Dashboard'!$E$4="All",N52='Dashboard'!$E$4),OR('Dashboard'!$H$4="All",K52='Dashboard'!$H$4),OR('Dashboard'!$K$4="All",C52='Dashboard'!$K$4)),1,0)</x:f>
        <x:v>1</x:v>
      </x:c>
      <x:c r="AI52" s="84" t="n">
        <x:f>IF(AND(AG52=1,OR('Dashboard'!$B$4="All",I52='Dashboard'!$B$4),OR('Dashboard'!$E$4="All",N52='Dashboard'!$E$4),OR('Dashboard'!$H$4="All",K52='Dashboard'!$H$4)),1,0)</x:f>
        <x:v>1</x:v>
      </x:c>
    </x:row>
    <x:row r="53">
      <x:c r="A53" s="84" t="str">
        <x:f>'Raw Sales'!A53</x:f>
        <x:v>ORD-2024-01081</x:v>
      </x:c>
      <x:c r="B53" s="85" t="n">
        <x:f>'Raw Sales'!B53</x:f>
        <x:v>45316</x:v>
      </x:c>
      <x:c r="C53" s="84" t="n">
        <x:f>YEAR(B53)</x:f>
        <x:v>2024</x:v>
      </x:c>
      <x:c r="D53" s="91" t="n">
        <x:f>DATE(YEAR(B53),MONTH(B53),1)</x:f>
        <x:v>45292</x:v>
      </x:c>
      <x:c r="E53" s="84" t="str">
        <x:f>TEXT(B53,"mmm")</x:f>
        <x:v>Jan</x:v>
      </x:c>
      <x:c r="F53" s="84" t="str">
        <x:f>'Raw Sales'!C53</x:f>
        <x:v>CUST-0224</x:v>
      </x:c>
      <x:c r="G53" s="84" t="str">
        <x:f>PROPER(TRIM('Raw Sales'!D53))</x:f>
        <x:v>Jonah Nelson</x:v>
      </x:c>
      <x:c r="H53" s="84" t="str">
        <x:f>IF(TRIM('Raw Sales'!E53)="","Unknown",PROPER(TRIM('Raw Sales'!E53)))</x:f>
        <x:v>Consumer</x:v>
      </x:c>
      <x:c r="I53" s="84" t="str">
        <x:f>PROPER(TRIM('Raw Sales'!F53))</x:f>
        <x:v>Southeast</x:v>
      </x:c>
      <x:c r="J53" s="84" t="str">
        <x:f>PROPER(TRIM('Raw Sales'!G53))</x:f>
        <x:v>Miami</x:v>
      </x:c>
      <x:c r="K53" s="84" t="str">
        <x:f>PROPER(TRIM('Raw Sales'!H53))</x:f>
        <x:v>Retail Store</x:v>
      </x:c>
      <x:c r="L53" s="84" t="str">
        <x:f>'Raw Sales'!I53</x:f>
        <x:v>CARE-001</x:v>
      </x:c>
      <x:c r="M53" s="84" t="str">
        <x:f>IFERROR(VLOOKUP(L53,'Reference Data'!$A$5:$F$40,2,FALSE),"Unknown Product")</x:f>
        <x:v>Ionic Hair Dryer</x:v>
      </x:c>
      <x:c r="N53" s="84" t="str">
        <x:f>IFERROR(VLOOKUP(L53,'Reference Data'!$A$5:$F$40,3,FALSE),"Unknown")</x:f>
        <x:v>Personal Care</x:v>
      </x:c>
      <x:c r="O53" s="84" t="str">
        <x:f>IFERROR(VLOOKUP(L53,'Reference Data'!$A$5:$F$40,4,FALSE),"Unknown")</x:f>
        <x:v>Hair Care</x:v>
      </x:c>
      <x:c r="P53" s="92" t="n">
        <x:f>IFERROR(VLOOKUP(L53,'Reference Data'!$A$5:$F$40,5,FALSE),0)</x:f>
        <x:v>54</x:v>
      </x:c>
      <x:c r="Q53" s="92" t="n">
        <x:f>IFERROR(VLOOKUP(L53,'Reference Data'!$A$5:$F$40,6,FALSE),0)</x:f>
        <x:v>25</x:v>
      </x:c>
      <x:c r="R53" s="84" t="n">
        <x:f>'Raw Sales'!J53</x:f>
        <x:v>1</x:v>
      </x:c>
      <x:c r="S53" s="87" t="n">
        <x:f>'Raw Sales'!K53</x:f>
        <x:v>0.1</x:v>
      </x:c>
      <x:c r="T53" s="93" t="n">
        <x:f>P53*R53</x:f>
        <x:v>54</x:v>
      </x:c>
      <x:c r="U53" s="93" t="n">
        <x:f>T53*S53</x:f>
        <x:v>5.4</x:v>
      </x:c>
      <x:c r="V53" s="93" t="str">
        <x:f>PROPER(TRIM('Raw Sales'!L53))</x:f>
        <x:v>Completed</x:v>
      </x:c>
      <x:c r="W53" s="93" t="n">
        <x:f>IF(V53="Returned",0,T53-U53)</x:f>
        <x:v>48.6</x:v>
      </x:c>
      <x:c r="X53" s="93" t="n">
        <x:f>IF(V53="Returned",Q53*R53*10%,Q53*R53)</x:f>
        <x:v>25</x:v>
      </x:c>
      <x:c r="Y53" s="93" t="n">
        <x:f>W53-X53</x:f>
        <x:v>23.6</x:v>
      </x:c>
      <x:c r="Z53" s="94" t="n">
        <x:f>IFERROR(Y53/W53,0)</x:f>
        <x:v>0.48559670781893005</x:v>
      </x:c>
      <x:c r="AA53" s="84" t="str">
        <x:f>PROPER(TRIM('Raw Sales'!M53))</x:f>
        <x:v>Cash</x:v>
      </x:c>
      <x:c r="AB53" s="84" t="str">
        <x:f>PROPER(TRIM('Raw Sales'!N53))</x:f>
        <x:v>Ava Mitchell</x:v>
      </x:c>
      <x:c r="AC53" s="85" t="n">
        <x:f>'Raw Sales'!O53</x:f>
        <x:v>45316</x:v>
      </x:c>
      <x:c r="AD53" s="84" t="n">
        <x:f>AC53-B53</x:f>
        <x:v>0</x:v>
      </x:c>
      <x:c r="AE53" s="84" t="str">
        <x:f>IF(COUNTIF($A$5:A53,A53)&gt;1,"Duplicate","Keep")</x:f>
        <x:v>Keep</x:v>
      </x:c>
      <x:c r="AF53" s="84" t="str">
        <x:f>IF(OR(R53&lt;=0,AC53&lt;B53,H53="Unknown",M53="Unknown Product"),"Review","Valid")</x:f>
        <x:v>Valid</x:v>
      </x:c>
      <x:c r="AG53" s="84" t="n">
        <x:f>IF(AND(AE53="Keep",AF53="Valid"),1,0)</x:f>
        <x:v>1</x:v>
      </x:c>
      <x:c r="AH53" s="84" t="n">
        <x:f>IF(AND(AG53=1,OR('Dashboard'!$B$4="All",I53='Dashboard'!$B$4),OR('Dashboard'!$E$4="All",N53='Dashboard'!$E$4),OR('Dashboard'!$H$4="All",K53='Dashboard'!$H$4),OR('Dashboard'!$K$4="All",C53='Dashboard'!$K$4)),1,0)</x:f>
        <x:v>1</x:v>
      </x:c>
      <x:c r="AI53" s="84" t="n">
        <x:f>IF(AND(AG53=1,OR('Dashboard'!$B$4="All",I53='Dashboard'!$B$4),OR('Dashboard'!$E$4="All",N53='Dashboard'!$E$4),OR('Dashboard'!$H$4="All",K53='Dashboard'!$H$4)),1,0)</x:f>
        <x:v>1</x:v>
      </x:c>
    </x:row>
    <x:row r="54">
      <x:c r="A54" s="84" t="str">
        <x:f>'Raw Sales'!A54</x:f>
        <x:v>ORD-2024-00175</x:v>
      </x:c>
      <x:c r="B54" s="85" t="n">
        <x:f>'Raw Sales'!B54</x:f>
        <x:v>45317</x:v>
      </x:c>
      <x:c r="C54" s="84" t="n">
        <x:f>YEAR(B54)</x:f>
        <x:v>2024</x:v>
      </x:c>
      <x:c r="D54" s="91" t="n">
        <x:f>DATE(YEAR(B54),MONTH(B54),1)</x:f>
        <x:v>45292</x:v>
      </x:c>
      <x:c r="E54" s="84" t="str">
        <x:f>TEXT(B54,"mmm")</x:f>
        <x:v>Jan</x:v>
      </x:c>
      <x:c r="F54" s="84" t="str">
        <x:f>'Raw Sales'!C54</x:f>
        <x:v>CUST-0514</x:v>
      </x:c>
      <x:c r="G54" s="84" t="str">
        <x:f>PROPER(TRIM('Raw Sales'!D54))</x:f>
        <x:v>Caleb Young</x:v>
      </x:c>
      <x:c r="H54" s="84" t="str">
        <x:f>IF(TRIM('Raw Sales'!E54)="","Unknown",PROPER(TRIM('Raw Sales'!E54)))</x:f>
        <x:v>Consumer</x:v>
      </x:c>
      <x:c r="I54" s="84" t="str">
        <x:f>PROPER(TRIM('Raw Sales'!F54))</x:f>
        <x:v>Northeast</x:v>
      </x:c>
      <x:c r="J54" s="84" t="str">
        <x:f>PROPER(TRIM('Raw Sales'!G54))</x:f>
        <x:v>Boston</x:v>
      </x:c>
      <x:c r="K54" s="84" t="str">
        <x:f>PROPER(TRIM('Raw Sales'!H54))</x:f>
        <x:v>Online</x:v>
      </x:c>
      <x:c r="L54" s="84" t="str">
        <x:f>'Raw Sales'!I54</x:f>
        <x:v>ELEC-002</x:v>
      </x:c>
      <x:c r="M54" s="84" t="str">
        <x:f>IFERROR(VLOOKUP(L54,'Reference Data'!$A$5:$F$40,2,FALSE),"Unknown Product")</x:f>
        <x:v>Smartwatch</x:v>
      </x:c>
      <x:c r="N54" s="84" t="str">
        <x:f>IFERROR(VLOOKUP(L54,'Reference Data'!$A$5:$F$40,3,FALSE),"Unknown")</x:f>
        <x:v>Electronics</x:v>
      </x:c>
      <x:c r="O54" s="84" t="str">
        <x:f>IFERROR(VLOOKUP(L54,'Reference Data'!$A$5:$F$40,4,FALSE),"Unknown")</x:f>
        <x:v>Wearables</x:v>
      </x:c>
      <x:c r="P54" s="92" t="n">
        <x:f>IFERROR(VLOOKUP(L54,'Reference Data'!$A$5:$F$40,5,FALSE),0)</x:f>
        <x:v>159</x:v>
      </x:c>
      <x:c r="Q54" s="92" t="n">
        <x:f>IFERROR(VLOOKUP(L54,'Reference Data'!$A$5:$F$40,6,FALSE),0)</x:f>
        <x:v>92</x:v>
      </x:c>
      <x:c r="R54" s="84" t="n">
        <x:f>'Raw Sales'!J54</x:f>
        <x:v>1</x:v>
      </x:c>
      <x:c r="S54" s="87" t="n">
        <x:f>'Raw Sales'!K54</x:f>
        <x:v>0.05</x:v>
      </x:c>
      <x:c r="T54" s="93" t="n">
        <x:f>P54*R54</x:f>
        <x:v>159</x:v>
      </x:c>
      <x:c r="U54" s="93" t="n">
        <x:f>T54*S54</x:f>
        <x:v>7.95</x:v>
      </x:c>
      <x:c r="V54" s="93" t="str">
        <x:f>PROPER(TRIM('Raw Sales'!L54))</x:f>
        <x:v>Completed</x:v>
      </x:c>
      <x:c r="W54" s="93" t="n">
        <x:f>IF(V54="Returned",0,T54-U54)</x:f>
        <x:v>151.05</x:v>
      </x:c>
      <x:c r="X54" s="93" t="n">
        <x:f>IF(V54="Returned",Q54*R54*10%,Q54*R54)</x:f>
        <x:v>92</x:v>
      </x:c>
      <x:c r="Y54" s="93" t="n">
        <x:f>W54-X54</x:f>
        <x:v>59.05000000000001</x:v>
      </x:c>
      <x:c r="Z54" s="94" t="n">
        <x:f>IFERROR(Y54/W54,0)</x:f>
        <x:v>0.39093015557762334</x:v>
      </x:c>
      <x:c r="AA54" s="84" t="str">
        <x:f>PROPER(TRIM('Raw Sales'!M54))</x:f>
        <x:v>Debit Card</x:v>
      </x:c>
      <x:c r="AB54" s="84" t="str">
        <x:f>PROPER(TRIM('Raw Sales'!N54))</x:f>
        <x:v>Maya Brooks</x:v>
      </x:c>
      <x:c r="AC54" s="85" t="n">
        <x:f>'Raw Sales'!O54</x:f>
        <x:v>45320</x:v>
      </x:c>
      <x:c r="AD54" s="84" t="n">
        <x:f>AC54-B54</x:f>
        <x:v>3</x:v>
      </x:c>
      <x:c r="AE54" s="84" t="str">
        <x:f>IF(COUNTIF($A$5:A54,A54)&gt;1,"Duplicate","Keep")</x:f>
        <x:v>Keep</x:v>
      </x:c>
      <x:c r="AF54" s="84" t="str">
        <x:f>IF(OR(R54&lt;=0,AC54&lt;B54,H54="Unknown",M54="Unknown Product"),"Review","Valid")</x:f>
        <x:v>Valid</x:v>
      </x:c>
      <x:c r="AG54" s="84" t="n">
        <x:f>IF(AND(AE54="Keep",AF54="Valid"),1,0)</x:f>
        <x:v>1</x:v>
      </x:c>
      <x:c r="AH54" s="84" t="n">
        <x:f>IF(AND(AG54=1,OR('Dashboard'!$B$4="All",I54='Dashboard'!$B$4),OR('Dashboard'!$E$4="All",N54='Dashboard'!$E$4),OR('Dashboard'!$H$4="All",K54='Dashboard'!$H$4),OR('Dashboard'!$K$4="All",C54='Dashboard'!$K$4)),1,0)</x:f>
        <x:v>1</x:v>
      </x:c>
      <x:c r="AI54" s="84" t="n">
        <x:f>IF(AND(AG54=1,OR('Dashboard'!$B$4="All",I54='Dashboard'!$B$4),OR('Dashboard'!$E$4="All",N54='Dashboard'!$E$4),OR('Dashboard'!$H$4="All",K54='Dashboard'!$H$4)),1,0)</x:f>
        <x:v>1</x:v>
      </x:c>
    </x:row>
    <x:row r="55">
      <x:c r="A55" s="84" t="str">
        <x:f>'Raw Sales'!A55</x:f>
        <x:v>ORD-2024-00752</x:v>
      </x:c>
      <x:c r="B55" s="85" t="n">
        <x:f>'Raw Sales'!B55</x:f>
        <x:v>45317</x:v>
      </x:c>
      <x:c r="C55" s="84" t="n">
        <x:f>YEAR(B55)</x:f>
        <x:v>2024</x:v>
      </x:c>
      <x:c r="D55" s="91" t="n">
        <x:f>DATE(YEAR(B55),MONTH(B55),1)</x:f>
        <x:v>45292</x:v>
      </x:c>
      <x:c r="E55" s="84" t="str">
        <x:f>TEXT(B55,"mmm")</x:f>
        <x:v>Jan</x:v>
      </x:c>
      <x:c r="F55" s="84" t="str">
        <x:f>'Raw Sales'!C55</x:f>
        <x:v>CUST-0002</x:v>
      </x:c>
      <x:c r="G55" s="84" t="str">
        <x:f>PROPER(TRIM('Raw Sales'!D55))</x:f>
        <x:v>Isaac Ortiz</x:v>
      </x:c>
      <x:c r="H55" s="84" t="str">
        <x:f>IF(TRIM('Raw Sales'!E55)="","Unknown",PROPER(TRIM('Raw Sales'!E55)))</x:f>
        <x:v>Corporate</x:v>
      </x:c>
      <x:c r="I55" s="84" t="str">
        <x:f>PROPER(TRIM('Raw Sales'!F55))</x:f>
        <x:v>Northeast</x:v>
      </x:c>
      <x:c r="J55" s="84" t="str">
        <x:f>PROPER(TRIM('Raw Sales'!G55))</x:f>
        <x:v>New York</x:v>
      </x:c>
      <x:c r="K55" s="84" t="str">
        <x:f>PROPER(TRIM('Raw Sales'!H55))</x:f>
        <x:v>Online</x:v>
      </x:c>
      <x:c r="L55" s="84" t="str">
        <x:f>'Raw Sales'!I55</x:f>
        <x:v>ELEC-002</x:v>
      </x:c>
      <x:c r="M55" s="84" t="str">
        <x:f>IFERROR(VLOOKUP(L55,'Reference Data'!$A$5:$F$40,2,FALSE),"Unknown Product")</x:f>
        <x:v>Smartwatch</x:v>
      </x:c>
      <x:c r="N55" s="84" t="str">
        <x:f>IFERROR(VLOOKUP(L55,'Reference Data'!$A$5:$F$40,3,FALSE),"Unknown")</x:f>
        <x:v>Electronics</x:v>
      </x:c>
      <x:c r="O55" s="84" t="str">
        <x:f>IFERROR(VLOOKUP(L55,'Reference Data'!$A$5:$F$40,4,FALSE),"Unknown")</x:f>
        <x:v>Wearables</x:v>
      </x:c>
      <x:c r="P55" s="92" t="n">
        <x:f>IFERROR(VLOOKUP(L55,'Reference Data'!$A$5:$F$40,5,FALSE),0)</x:f>
        <x:v>159</x:v>
      </x:c>
      <x:c r="Q55" s="92" t="n">
        <x:f>IFERROR(VLOOKUP(L55,'Reference Data'!$A$5:$F$40,6,FALSE),0)</x:f>
        <x:v>92</x:v>
      </x:c>
      <x:c r="R55" s="84" t="n">
        <x:f>'Raw Sales'!J55</x:f>
        <x:v>1</x:v>
      </x:c>
      <x:c r="S55" s="87" t="n">
        <x:f>'Raw Sales'!K55</x:f>
        <x:v>0</x:v>
      </x:c>
      <x:c r="T55" s="93" t="n">
        <x:f>P55*R55</x:f>
        <x:v>159</x:v>
      </x:c>
      <x:c r="U55" s="93" t="n">
        <x:f>T55*S55</x:f>
        <x:v>0</x:v>
      </x:c>
      <x:c r="V55" s="93" t="str">
        <x:f>PROPER(TRIM('Raw Sales'!L55))</x:f>
        <x:v>Completed</x:v>
      </x:c>
      <x:c r="W55" s="93" t="n">
        <x:f>IF(V55="Returned",0,T55-U55)</x:f>
        <x:v>159</x:v>
      </x:c>
      <x:c r="X55" s="93" t="n">
        <x:f>IF(V55="Returned",Q55*R55*10%,Q55*R55)</x:f>
        <x:v>92</x:v>
      </x:c>
      <x:c r="Y55" s="93" t="n">
        <x:f>W55-X55</x:f>
        <x:v>67</x:v>
      </x:c>
      <x:c r="Z55" s="94" t="n">
        <x:f>IFERROR(Y55/W55,0)</x:f>
        <x:v>0.42138364779874216</x:v>
      </x:c>
      <x:c r="AA55" s="84" t="str">
        <x:f>PROPER(TRIM('Raw Sales'!M55))</x:f>
        <x:v>Credit Card</x:v>
      </x:c>
      <x:c r="AB55" s="84" t="str">
        <x:f>PROPER(TRIM('Raw Sales'!N55))</x:f>
        <x:v>Sofia Bennett</x:v>
      </x:c>
      <x:c r="AC55" s="85" t="n">
        <x:f>'Raw Sales'!O55</x:f>
        <x:v>45321</x:v>
      </x:c>
      <x:c r="AD55" s="84" t="n">
        <x:f>AC55-B55</x:f>
        <x:v>4</x:v>
      </x:c>
      <x:c r="AE55" s="84" t="str">
        <x:f>IF(COUNTIF($A$5:A55,A55)&gt;1,"Duplicate","Keep")</x:f>
        <x:v>Keep</x:v>
      </x:c>
      <x:c r="AF55" s="84" t="str">
        <x:f>IF(OR(R55&lt;=0,AC55&lt;B55,H55="Unknown",M55="Unknown Product"),"Review","Valid")</x:f>
        <x:v>Valid</x:v>
      </x:c>
      <x:c r="AG55" s="84" t="n">
        <x:f>IF(AND(AE55="Keep",AF55="Valid"),1,0)</x:f>
        <x:v>1</x:v>
      </x:c>
      <x:c r="AH55" s="84" t="n">
        <x:f>IF(AND(AG55=1,OR('Dashboard'!$B$4="All",I55='Dashboard'!$B$4),OR('Dashboard'!$E$4="All",N55='Dashboard'!$E$4),OR('Dashboard'!$H$4="All",K55='Dashboard'!$H$4),OR('Dashboard'!$K$4="All",C55='Dashboard'!$K$4)),1,0)</x:f>
        <x:v>1</x:v>
      </x:c>
      <x:c r="AI55" s="84" t="n">
        <x:f>IF(AND(AG55=1,OR('Dashboard'!$B$4="All",I55='Dashboard'!$B$4),OR('Dashboard'!$E$4="All",N55='Dashboard'!$E$4),OR('Dashboard'!$H$4="All",K55='Dashboard'!$H$4)),1,0)</x:f>
        <x:v>1</x:v>
      </x:c>
    </x:row>
    <x:row r="56">
      <x:c r="A56" s="84" t="str">
        <x:f>'Raw Sales'!A56</x:f>
        <x:v>ORD-2024-00942</x:v>
      </x:c>
      <x:c r="B56" s="85" t="n">
        <x:f>'Raw Sales'!B56</x:f>
        <x:v>45317</x:v>
      </x:c>
      <x:c r="C56" s="84" t="n">
        <x:f>YEAR(B56)</x:f>
        <x:v>2024</x:v>
      </x:c>
      <x:c r="D56" s="91" t="n">
        <x:f>DATE(YEAR(B56),MONTH(B56),1)</x:f>
        <x:v>45292</x:v>
      </x:c>
      <x:c r="E56" s="84" t="str">
        <x:f>TEXT(B56,"mmm")</x:f>
        <x:v>Jan</x:v>
      </x:c>
      <x:c r="F56" s="84" t="str">
        <x:f>'Raw Sales'!C56</x:f>
        <x:v>CUST-0074</x:v>
      </x:c>
      <x:c r="G56" s="84" t="str">
        <x:f>PROPER(TRIM('Raw Sales'!D56))</x:f>
        <x:v>Grace Taylor</x:v>
      </x:c>
      <x:c r="H56" s="84" t="str">
        <x:f>IF(TRIM('Raw Sales'!E56)="","Unknown",PROPER(TRIM('Raw Sales'!E56)))</x:f>
        <x:v>Consumer</x:v>
      </x:c>
      <x:c r="I56" s="84" t="str">
        <x:f>PROPER(TRIM('Raw Sales'!F56))</x:f>
        <x:v>West</x:v>
      </x:c>
      <x:c r="J56" s="84" t="str">
        <x:f>PROPER(TRIM('Raw Sales'!G56))</x:f>
        <x:v>Seattle</x:v>
      </x:c>
      <x:c r="K56" s="84" t="str">
        <x:f>PROPER(TRIM('Raw Sales'!H56))</x:f>
        <x:v>Online</x:v>
      </x:c>
      <x:c r="L56" s="84" t="str">
        <x:f>'Raw Sales'!I56</x:f>
        <x:v>FITN-002</x:v>
      </x:c>
      <x:c r="M56" s="84" t="str">
        <x:f>IFERROR(VLOOKUP(L56,'Reference Data'!$A$5:$F$40,2,FALSE),"Unknown Product")</x:f>
        <x:v>Adjustable Dumbbell Set</x:v>
      </x:c>
      <x:c r="N56" s="84" t="str">
        <x:f>IFERROR(VLOOKUP(L56,'Reference Data'!$A$5:$F$40,3,FALSE),"Unknown")</x:f>
        <x:v>Fitness</x:v>
      </x:c>
      <x:c r="O56" s="84" t="str">
        <x:f>IFERROR(VLOOKUP(L56,'Reference Data'!$A$5:$F$40,4,FALSE),"Unknown")</x:f>
        <x:v>Strength</x:v>
      </x:c>
      <x:c r="P56" s="92" t="n">
        <x:f>IFERROR(VLOOKUP(L56,'Reference Data'!$A$5:$F$40,5,FALSE),0)</x:f>
        <x:v>99</x:v>
      </x:c>
      <x:c r="Q56" s="92" t="n">
        <x:f>IFERROR(VLOOKUP(L56,'Reference Data'!$A$5:$F$40,6,FALSE),0)</x:f>
        <x:v>57</x:v>
      </x:c>
      <x:c r="R56" s="84" t="n">
        <x:f>'Raw Sales'!J56</x:f>
        <x:v>3</x:v>
      </x:c>
      <x:c r="S56" s="87" t="n">
        <x:f>'Raw Sales'!K56</x:f>
        <x:v>0.05</x:v>
      </x:c>
      <x:c r="T56" s="93" t="n">
        <x:f>P56*R56</x:f>
        <x:v>297</x:v>
      </x:c>
      <x:c r="U56" s="93" t="n">
        <x:f>T56*S56</x:f>
        <x:v>14.850000000000001</x:v>
      </x:c>
      <x:c r="V56" s="93" t="str">
        <x:f>PROPER(TRIM('Raw Sales'!L56))</x:f>
        <x:v>Completed</x:v>
      </x:c>
      <x:c r="W56" s="93" t="n">
        <x:f>IF(V56="Returned",0,T56-U56)</x:f>
        <x:v>282.15</x:v>
      </x:c>
      <x:c r="X56" s="93" t="n">
        <x:f>IF(V56="Returned",Q56*R56*10%,Q56*R56)</x:f>
        <x:v>171</x:v>
      </x:c>
      <x:c r="Y56" s="93" t="n">
        <x:f>W56-X56</x:f>
        <x:v>111.14999999999998</x:v>
      </x:c>
      <x:c r="Z56" s="94" t="n">
        <x:f>IFERROR(Y56/W56,0)</x:f>
        <x:v>0.39393939393939387</x:v>
      </x:c>
      <x:c r="AA56" s="84" t="str">
        <x:f>PROPER(TRIM('Raw Sales'!M56))</x:f>
        <x:v>Mobile Wallet</x:v>
      </x:c>
      <x:c r="AB56" s="84" t="str">
        <x:f>PROPER(TRIM('Raw Sales'!N56))</x:f>
        <x:v>Nora Kim</x:v>
      </x:c>
      <x:c r="AC56" s="85" t="n">
        <x:f>'Raw Sales'!O56</x:f>
        <x:v>45322</x:v>
      </x:c>
      <x:c r="AD56" s="84" t="n">
        <x:f>AC56-B56</x:f>
        <x:v>5</x:v>
      </x:c>
      <x:c r="AE56" s="84" t="str">
        <x:f>IF(COUNTIF($A$5:A56,A56)&gt;1,"Duplicate","Keep")</x:f>
        <x:v>Keep</x:v>
      </x:c>
      <x:c r="AF56" s="84" t="str">
        <x:f>IF(OR(R56&lt;=0,AC56&lt;B56,H56="Unknown",M56="Unknown Product"),"Review","Valid")</x:f>
        <x:v>Valid</x:v>
      </x:c>
      <x:c r="AG56" s="84" t="n">
        <x:f>IF(AND(AE56="Keep",AF56="Valid"),1,0)</x:f>
        <x:v>1</x:v>
      </x:c>
      <x:c r="AH56" s="84" t="n">
        <x:f>IF(AND(AG56=1,OR('Dashboard'!$B$4="All",I56='Dashboard'!$B$4),OR('Dashboard'!$E$4="All",N56='Dashboard'!$E$4),OR('Dashboard'!$H$4="All",K56='Dashboard'!$H$4),OR('Dashboard'!$K$4="All",C56='Dashboard'!$K$4)),1,0)</x:f>
        <x:v>1</x:v>
      </x:c>
      <x:c r="AI56" s="84" t="n">
        <x:f>IF(AND(AG56=1,OR('Dashboard'!$B$4="All",I56='Dashboard'!$B$4),OR('Dashboard'!$E$4="All",N56='Dashboard'!$E$4),OR('Dashboard'!$H$4="All",K56='Dashboard'!$H$4)),1,0)</x:f>
        <x:v>1</x:v>
      </x:c>
    </x:row>
    <x:row r="57">
      <x:c r="A57" s="84" t="str">
        <x:f>'Raw Sales'!A57</x:f>
        <x:v>ORD-2024-02001</x:v>
      </x:c>
      <x:c r="B57" s="85" t="n">
        <x:f>'Raw Sales'!B57</x:f>
        <x:v>45317</x:v>
      </x:c>
      <x:c r="C57" s="84" t="n">
        <x:f>YEAR(B57)</x:f>
        <x:v>2024</x:v>
      </x:c>
      <x:c r="D57" s="91" t="n">
        <x:f>DATE(YEAR(B57),MONTH(B57),1)</x:f>
        <x:v>45292</x:v>
      </x:c>
      <x:c r="E57" s="84" t="str">
        <x:f>TEXT(B57,"mmm")</x:f>
        <x:v>Jan</x:v>
      </x:c>
      <x:c r="F57" s="84" t="str">
        <x:f>'Raw Sales'!C57</x:f>
        <x:v>CUST-0384</x:v>
      </x:c>
      <x:c r="G57" s="84" t="str">
        <x:f>PROPER(TRIM('Raw Sales'!D57))</x:f>
        <x:v>Priya Smith</x:v>
      </x:c>
      <x:c r="H57" s="84" t="str">
        <x:f>IF(TRIM('Raw Sales'!E57)="","Unknown",PROPER(TRIM('Raw Sales'!E57)))</x:f>
        <x:v>Corporate</x:v>
      </x:c>
      <x:c r="I57" s="84" t="str">
        <x:f>PROPER(TRIM('Raw Sales'!F57))</x:f>
        <x:v>Northeast</x:v>
      </x:c>
      <x:c r="J57" s="84" t="str">
        <x:f>PROPER(TRIM('Raw Sales'!G57))</x:f>
        <x:v>New York</x:v>
      </x:c>
      <x:c r="K57" s="84" t="str">
        <x:f>PROPER(TRIM('Raw Sales'!H57))</x:f>
        <x:v>Marketplace</x:v>
      </x:c>
      <x:c r="L57" s="84" t="str">
        <x:f>'Raw Sales'!I57</x:f>
        <x:v>OFFC-002</x:v>
      </x:c>
      <x:c r="M57" s="84" t="str">
        <x:f>IFERROR(VLOOKUP(L57,'Reference Data'!$A$5:$F$40,2,FALSE),"Unknown Product")</x:f>
        <x:v>Standing Desk</x:v>
      </x:c>
      <x:c r="N57" s="84" t="str">
        <x:f>IFERROR(VLOOKUP(L57,'Reference Data'!$A$5:$F$40,3,FALSE),"Unknown")</x:f>
        <x:v>Office</x:v>
      </x:c>
      <x:c r="O57" s="84" t="str">
        <x:f>IFERROR(VLOOKUP(L57,'Reference Data'!$A$5:$F$40,4,FALSE),"Unknown")</x:f>
        <x:v>Furniture</x:v>
      </x:c>
      <x:c r="P57" s="92" t="n">
        <x:f>IFERROR(VLOOKUP(L57,'Reference Data'!$A$5:$F$40,5,FALSE),0)</x:f>
        <x:v>399</x:v>
      </x:c>
      <x:c r="Q57" s="92" t="n">
        <x:f>IFERROR(VLOOKUP(L57,'Reference Data'!$A$5:$F$40,6,FALSE),0)</x:f>
        <x:v>235</x:v>
      </x:c>
      <x:c r="R57" s="84" t="n">
        <x:f>'Raw Sales'!J57</x:f>
        <x:v>3</x:v>
      </x:c>
      <x:c r="S57" s="87" t="n">
        <x:f>'Raw Sales'!K57</x:f>
        <x:v>0.15</x:v>
      </x:c>
      <x:c r="T57" s="93" t="n">
        <x:f>P57*R57</x:f>
        <x:v>1197</x:v>
      </x:c>
      <x:c r="U57" s="93" t="n">
        <x:f>T57*S57</x:f>
        <x:v>179.54999999999998</x:v>
      </x:c>
      <x:c r="V57" s="93" t="str">
        <x:f>PROPER(TRIM('Raw Sales'!L57))</x:f>
        <x:v>Completed</x:v>
      </x:c>
      <x:c r="W57" s="93" t="n">
        <x:f>IF(V57="Returned",0,T57-U57)</x:f>
        <x:v>1017.45</x:v>
      </x:c>
      <x:c r="X57" s="93" t="n">
        <x:f>IF(V57="Returned",Q57*R57*10%,Q57*R57)</x:f>
        <x:v>705</x:v>
      </x:c>
      <x:c r="Y57" s="93" t="n">
        <x:f>W57-X57</x:f>
        <x:v>312.45000000000005</x:v>
      </x:c>
      <x:c r="Z57" s="94" t="n">
        <x:f>IFERROR(Y57/W57,0)</x:f>
        <x:v>0.30709125755565386</x:v>
      </x:c>
      <x:c r="AA57" s="84" t="str">
        <x:f>PROPER(TRIM('Raw Sales'!M57))</x:f>
        <x:v>Paypal</x:v>
      </x:c>
      <x:c r="AB57" s="84" t="str">
        <x:f>PROPER(TRIM('Raw Sales'!N57))</x:f>
        <x:v>Maya Brooks</x:v>
      </x:c>
      <x:c r="AC57" s="85" t="n">
        <x:f>'Raw Sales'!O57</x:f>
        <x:v>45321</x:v>
      </x:c>
      <x:c r="AD57" s="84" t="n">
        <x:f>AC57-B57</x:f>
        <x:v>4</x:v>
      </x:c>
      <x:c r="AE57" s="84" t="str">
        <x:f>IF(COUNTIF($A$5:A57,A57)&gt;1,"Duplicate","Keep")</x:f>
        <x:v>Keep</x:v>
      </x:c>
      <x:c r="AF57" s="84" t="str">
        <x:f>IF(OR(R57&lt;=0,AC57&lt;B57,H57="Unknown",M57="Unknown Product"),"Review","Valid")</x:f>
        <x:v>Valid</x:v>
      </x:c>
      <x:c r="AG57" s="84" t="n">
        <x:f>IF(AND(AE57="Keep",AF57="Valid"),1,0)</x:f>
        <x:v>1</x:v>
      </x:c>
      <x:c r="AH57" s="84" t="n">
        <x:f>IF(AND(AG57=1,OR('Dashboard'!$B$4="All",I57='Dashboard'!$B$4),OR('Dashboard'!$E$4="All",N57='Dashboard'!$E$4),OR('Dashboard'!$H$4="All",K57='Dashboard'!$H$4),OR('Dashboard'!$K$4="All",C57='Dashboard'!$K$4)),1,0)</x:f>
        <x:v>1</x:v>
      </x:c>
      <x:c r="AI57" s="84" t="n">
        <x:f>IF(AND(AG57=1,OR('Dashboard'!$B$4="All",I57='Dashboard'!$B$4),OR('Dashboard'!$E$4="All",N57='Dashboard'!$E$4),OR('Dashboard'!$H$4="All",K57='Dashboard'!$H$4)),1,0)</x:f>
        <x:v>1</x:v>
      </x:c>
    </x:row>
    <x:row r="58">
      <x:c r="A58" s="84" t="str">
        <x:f>'Raw Sales'!A58</x:f>
        <x:v>ORD-2024-00036</x:v>
      </x:c>
      <x:c r="B58" s="85" t="n">
        <x:f>'Raw Sales'!B58</x:f>
        <x:v>45318</x:v>
      </x:c>
      <x:c r="C58" s="84" t="n">
        <x:f>YEAR(B58)</x:f>
        <x:v>2024</x:v>
      </x:c>
      <x:c r="D58" s="91" t="n">
        <x:f>DATE(YEAR(B58),MONTH(B58),1)</x:f>
        <x:v>45292</x:v>
      </x:c>
      <x:c r="E58" s="84" t="str">
        <x:f>TEXT(B58,"mmm")</x:f>
        <x:v>Jan</x:v>
      </x:c>
      <x:c r="F58" s="84" t="str">
        <x:f>'Raw Sales'!C58</x:f>
        <x:v>CUST-0516</x:v>
      </x:c>
      <x:c r="G58" s="84" t="str">
        <x:f>PROPER(TRIM('Raw Sales'!D58))</x:f>
        <x:v>Jasmine Ortiz</x:v>
      </x:c>
      <x:c r="H58" s="84" t="str">
        <x:f>IF(TRIM('Raw Sales'!E58)="","Unknown",PROPER(TRIM('Raw Sales'!E58)))</x:f>
        <x:v>Small Business</x:v>
      </x:c>
      <x:c r="I58" s="84" t="str">
        <x:f>PROPER(TRIM('Raw Sales'!F58))</x:f>
        <x:v>Southeast</x:v>
      </x:c>
      <x:c r="J58" s="84" t="str">
        <x:f>PROPER(TRIM('Raw Sales'!G58))</x:f>
        <x:v>Charlotte</x:v>
      </x:c>
      <x:c r="K58" s="84" t="str">
        <x:f>PROPER(TRIM('Raw Sales'!H58))</x:f>
        <x:v>Retail Store</x:v>
      </x:c>
      <x:c r="L58" s="84" t="str">
        <x:f>'Raw Sales'!I58</x:f>
        <x:v>ACCS-001</x:v>
      </x:c>
      <x:c r="M58" s="84" t="str">
        <x:f>IFERROR(VLOOKUP(L58,'Reference Data'!$A$5:$F$40,2,FALSE),"Unknown Product")</x:f>
        <x:v>Canvas Tote Bag</x:v>
      </x:c>
      <x:c r="N58" s="84" t="str">
        <x:f>IFERROR(VLOOKUP(L58,'Reference Data'!$A$5:$F$40,3,FALSE),"Unknown")</x:f>
        <x:v>Accessories</x:v>
      </x:c>
      <x:c r="O58" s="84" t="str">
        <x:f>IFERROR(VLOOKUP(L58,'Reference Data'!$A$5:$F$40,4,FALSE),"Unknown")</x:f>
        <x:v>Bags</x:v>
      </x:c>
      <x:c r="P58" s="92" t="n">
        <x:f>IFERROR(VLOOKUP(L58,'Reference Data'!$A$5:$F$40,5,FALSE),0)</x:f>
        <x:v>39</x:v>
      </x:c>
      <x:c r="Q58" s="92" t="n">
        <x:f>IFERROR(VLOOKUP(L58,'Reference Data'!$A$5:$F$40,6,FALSE),0)</x:f>
        <x:v>14</x:v>
      </x:c>
      <x:c r="R58" s="84" t="n">
        <x:f>'Raw Sales'!J58</x:f>
        <x:v>1</x:v>
      </x:c>
      <x:c r="S58" s="87" t="n">
        <x:f>'Raw Sales'!K58</x:f>
        <x:v>0.1</x:v>
      </x:c>
      <x:c r="T58" s="93" t="n">
        <x:f>P58*R58</x:f>
        <x:v>39</x:v>
      </x:c>
      <x:c r="U58" s="93" t="n">
        <x:f>T58*S58</x:f>
        <x:v>3.9000000000000004</x:v>
      </x:c>
      <x:c r="V58" s="93" t="str">
        <x:f>PROPER(TRIM('Raw Sales'!L58))</x:f>
        <x:v>Completed</x:v>
      </x:c>
      <x:c r="W58" s="93" t="n">
        <x:f>IF(V58="Returned",0,T58-U58)</x:f>
        <x:v>35.1</x:v>
      </x:c>
      <x:c r="X58" s="93" t="n">
        <x:f>IF(V58="Returned",Q58*R58*10%,Q58*R58)</x:f>
        <x:v>14</x:v>
      </x:c>
      <x:c r="Y58" s="93" t="n">
        <x:f>W58-X58</x:f>
        <x:v>21.1</x:v>
      </x:c>
      <x:c r="Z58" s="94" t="n">
        <x:f>IFERROR(Y58/W58,0)</x:f>
        <x:v>0.6011396011396012</x:v>
      </x:c>
      <x:c r="AA58" s="84" t="str">
        <x:f>PROPER(TRIM('Raw Sales'!M58))</x:f>
        <x:v>Cash</x:v>
      </x:c>
      <x:c r="AB58" s="84" t="str">
        <x:f>PROPER(TRIM('Raw Sales'!N58))</x:f>
        <x:v>Noah Reed</x:v>
      </x:c>
      <x:c r="AC58" s="85" t="n">
        <x:f>'Raw Sales'!O58</x:f>
        <x:v>45318</x:v>
      </x:c>
      <x:c r="AD58" s="84" t="n">
        <x:f>AC58-B58</x:f>
        <x:v>0</x:v>
      </x:c>
      <x:c r="AE58" s="84" t="str">
        <x:f>IF(COUNTIF($A$5:A58,A58)&gt;1,"Duplicate","Keep")</x:f>
        <x:v>Keep</x:v>
      </x:c>
      <x:c r="AF58" s="84" t="str">
        <x:f>IF(OR(R58&lt;=0,AC58&lt;B58,H58="Unknown",M58="Unknown Product"),"Review","Valid")</x:f>
        <x:v>Valid</x:v>
      </x:c>
      <x:c r="AG58" s="84" t="n">
        <x:f>IF(AND(AE58="Keep",AF58="Valid"),1,0)</x:f>
        <x:v>1</x:v>
      </x:c>
      <x:c r="AH58" s="84" t="n">
        <x:f>IF(AND(AG58=1,OR('Dashboard'!$B$4="All",I58='Dashboard'!$B$4),OR('Dashboard'!$E$4="All",N58='Dashboard'!$E$4),OR('Dashboard'!$H$4="All",K58='Dashboard'!$H$4),OR('Dashboard'!$K$4="All",C58='Dashboard'!$K$4)),1,0)</x:f>
        <x:v>1</x:v>
      </x:c>
      <x:c r="AI58" s="84" t="n">
        <x:f>IF(AND(AG58=1,OR('Dashboard'!$B$4="All",I58='Dashboard'!$B$4),OR('Dashboard'!$E$4="All",N58='Dashboard'!$E$4),OR('Dashboard'!$H$4="All",K58='Dashboard'!$H$4)),1,0)</x:f>
        <x:v>1</x:v>
      </x:c>
    </x:row>
    <x:row r="59">
      <x:c r="A59" s="84" t="str">
        <x:f>'Raw Sales'!A59</x:f>
        <x:v>ORD-2024-00218</x:v>
      </x:c>
      <x:c r="B59" s="85" t="n">
        <x:f>'Raw Sales'!B59</x:f>
        <x:v>45318</x:v>
      </x:c>
      <x:c r="C59" s="84" t="n">
        <x:f>YEAR(B59)</x:f>
        <x:v>2024</x:v>
      </x:c>
      <x:c r="D59" s="91" t="n">
        <x:f>DATE(YEAR(B59),MONTH(B59),1)</x:f>
        <x:v>45292</x:v>
      </x:c>
      <x:c r="E59" s="84" t="str">
        <x:f>TEXT(B59,"mmm")</x:f>
        <x:v>Jan</x:v>
      </x:c>
      <x:c r="F59" s="84" t="str">
        <x:f>'Raw Sales'!C59</x:f>
        <x:v>CUST-0636</x:v>
      </x:c>
      <x:c r="G59" s="84" t="str">
        <x:f>PROPER(TRIM('Raw Sales'!D59))</x:f>
        <x:v>Nina Baker</x:v>
      </x:c>
      <x:c r="H59" s="84" t="str">
        <x:f>IF(TRIM('Raw Sales'!E59)="","Unknown",PROPER(TRIM('Raw Sales'!E59)))</x:f>
        <x:v>Small Business</x:v>
      </x:c>
      <x:c r="I59" s="84" t="str">
        <x:f>PROPER(TRIM('Raw Sales'!F59))</x:f>
        <x:v>Midwest</x:v>
      </x:c>
      <x:c r="J59" s="84" t="str">
        <x:f>PROPER(TRIM('Raw Sales'!G59))</x:f>
        <x:v>Chicago</x:v>
      </x:c>
      <x:c r="K59" s="84" t="str">
        <x:f>PROPER(TRIM('Raw Sales'!H59))</x:f>
        <x:v>Retail Store</x:v>
      </x:c>
      <x:c r="L59" s="84" t="str">
        <x:f>'Raw Sales'!I59</x:f>
        <x:v>HOME-004</x:v>
      </x:c>
      <x:c r="M59" s="84" t="str">
        <x:f>IFERROR(VLOOKUP(L59,'Reference Data'!$A$5:$F$40,2,FALSE),"Unknown Product")</x:f>
        <x:v>Coffee Maker</x:v>
      </x:c>
      <x:c r="N59" s="84" t="str">
        <x:f>IFERROR(VLOOKUP(L59,'Reference Data'!$A$5:$F$40,3,FALSE),"Unknown")</x:f>
        <x:v>Home &amp; Kitchen</x:v>
      </x:c>
      <x:c r="O59" s="84" t="str">
        <x:f>IFERROR(VLOOKUP(L59,'Reference Data'!$A$5:$F$40,4,FALSE),"Unknown")</x:f>
        <x:v>Small Appliances</x:v>
      </x:c>
      <x:c r="P59" s="92" t="n">
        <x:f>IFERROR(VLOOKUP(L59,'Reference Data'!$A$5:$F$40,5,FALSE),0)</x:f>
        <x:v>99</x:v>
      </x:c>
      <x:c r="Q59" s="92" t="n">
        <x:f>IFERROR(VLOOKUP(L59,'Reference Data'!$A$5:$F$40,6,FALSE),0)</x:f>
        <x:v>51</x:v>
      </x:c>
      <x:c r="R59" s="84" t="n">
        <x:f>'Raw Sales'!J59</x:f>
        <x:v>1</x:v>
      </x:c>
      <x:c r="S59" s="87" t="n">
        <x:f>'Raw Sales'!K59</x:f>
        <x:v>0</x:v>
      </x:c>
      <x:c r="T59" s="93" t="n">
        <x:f>P59*R59</x:f>
        <x:v>99</x:v>
      </x:c>
      <x:c r="U59" s="93" t="n">
        <x:f>T59*S59</x:f>
        <x:v>0</x:v>
      </x:c>
      <x:c r="V59" s="93" t="str">
        <x:f>PROPER(TRIM('Raw Sales'!L59))</x:f>
        <x:v>Completed</x:v>
      </x:c>
      <x:c r="W59" s="93" t="n">
        <x:f>IF(V59="Returned",0,T59-U59)</x:f>
        <x:v>99</x:v>
      </x:c>
      <x:c r="X59" s="93" t="n">
        <x:f>IF(V59="Returned",Q59*R59*10%,Q59*R59)</x:f>
        <x:v>51</x:v>
      </x:c>
      <x:c r="Y59" s="93" t="n">
        <x:f>W59-X59</x:f>
        <x:v>48</x:v>
      </x:c>
      <x:c r="Z59" s="94" t="n">
        <x:f>IFERROR(Y59/W59,0)</x:f>
        <x:v>0.48484848484848486</x:v>
      </x:c>
      <x:c r="AA59" s="84" t="str">
        <x:f>PROPER(TRIM('Raw Sales'!M59))</x:f>
        <x:v>Debit Card</x:v>
      </x:c>
      <x:c r="AB59" s="84" t="str">
        <x:f>PROPER(TRIM('Raw Sales'!N59))</x:f>
        <x:v>Zoe Turner</x:v>
      </x:c>
      <x:c r="AC59" s="85" t="n">
        <x:f>'Raw Sales'!O59</x:f>
        <x:v>45318</x:v>
      </x:c>
      <x:c r="AD59" s="84" t="n">
        <x:f>AC59-B59</x:f>
        <x:v>0</x:v>
      </x:c>
      <x:c r="AE59" s="84" t="str">
        <x:f>IF(COUNTIF($A$5:A59,A59)&gt;1,"Duplicate","Keep")</x:f>
        <x:v>Keep</x:v>
      </x:c>
      <x:c r="AF59" s="84" t="str">
        <x:f>IF(OR(R59&lt;=0,AC59&lt;B59,H59="Unknown",M59="Unknown Product"),"Review","Valid")</x:f>
        <x:v>Valid</x:v>
      </x:c>
      <x:c r="AG59" s="84" t="n">
        <x:f>IF(AND(AE59="Keep",AF59="Valid"),1,0)</x:f>
        <x:v>1</x:v>
      </x:c>
      <x:c r="AH59" s="84" t="n">
        <x:f>IF(AND(AG59=1,OR('Dashboard'!$B$4="All",I59='Dashboard'!$B$4),OR('Dashboard'!$E$4="All",N59='Dashboard'!$E$4),OR('Dashboard'!$H$4="All",K59='Dashboard'!$H$4),OR('Dashboard'!$K$4="All",C59='Dashboard'!$K$4)),1,0)</x:f>
        <x:v>1</x:v>
      </x:c>
      <x:c r="AI59" s="84" t="n">
        <x:f>IF(AND(AG59=1,OR('Dashboard'!$B$4="All",I59='Dashboard'!$B$4),OR('Dashboard'!$E$4="All",N59='Dashboard'!$E$4),OR('Dashboard'!$H$4="All",K59='Dashboard'!$H$4)),1,0)</x:f>
        <x:v>1</x:v>
      </x:c>
    </x:row>
    <x:row r="60">
      <x:c r="A60" s="84" t="str">
        <x:f>'Raw Sales'!A60</x:f>
        <x:v>ORD-2024-01697</x:v>
      </x:c>
      <x:c r="B60" s="85" t="n">
        <x:f>'Raw Sales'!B60</x:f>
        <x:v>45318</x:v>
      </x:c>
      <x:c r="C60" s="84" t="n">
        <x:f>YEAR(B60)</x:f>
        <x:v>2024</x:v>
      </x:c>
      <x:c r="D60" s="91" t="n">
        <x:f>DATE(YEAR(B60),MONTH(B60),1)</x:f>
        <x:v>45292</x:v>
      </x:c>
      <x:c r="E60" s="84" t="str">
        <x:f>TEXT(B60,"mmm")</x:f>
        <x:v>Jan</x:v>
      </x:c>
      <x:c r="F60" s="84" t="str">
        <x:f>'Raw Sales'!C60</x:f>
        <x:v>CUST-0247</x:v>
      </x:c>
      <x:c r="G60" s="84" t="str">
        <x:f>PROPER(TRIM('Raw Sales'!D60))</x:f>
        <x:v>Maya Young</x:v>
      </x:c>
      <x:c r="H60" s="84" t="str">
        <x:f>IF(TRIM('Raw Sales'!E60)="","Unknown",PROPER(TRIM('Raw Sales'!E60)))</x:f>
        <x:v>Consumer</x:v>
      </x:c>
      <x:c r="I60" s="84" t="str">
        <x:f>PROPER(TRIM('Raw Sales'!F60))</x:f>
        <x:v>Southeast</x:v>
      </x:c>
      <x:c r="J60" s="84" t="str">
        <x:f>PROPER(TRIM('Raw Sales'!G60))</x:f>
        <x:v>Nashville</x:v>
      </x:c>
      <x:c r="K60" s="84" t="str">
        <x:f>PROPER(TRIM('Raw Sales'!H60))</x:f>
        <x:v>Retail Store</x:v>
      </x:c>
      <x:c r="L60" s="84" t="str">
        <x:f>'Raw Sales'!I60</x:f>
        <x:v>CARE-005</x:v>
      </x:c>
      <x:c r="M60" s="84" t="str">
        <x:f>IFERROR(VLOOKUP(L60,'Reference Data'!$A$5:$F$40,2,FALSE),"Unknown Product")</x:f>
        <x:v>Skin Care Starter Kit</x:v>
      </x:c>
      <x:c r="N60" s="84" t="str">
        <x:f>IFERROR(VLOOKUP(L60,'Reference Data'!$A$5:$F$40,3,FALSE),"Unknown")</x:f>
        <x:v>Personal Care</x:v>
      </x:c>
      <x:c r="O60" s="84" t="str">
        <x:f>IFERROR(VLOOKUP(L60,'Reference Data'!$A$5:$F$40,4,FALSE),"Unknown")</x:f>
        <x:v>Skin Care</x:v>
      </x:c>
      <x:c r="P60" s="92" t="n">
        <x:f>IFERROR(VLOOKUP(L60,'Reference Data'!$A$5:$F$40,5,FALSE),0)</x:f>
        <x:v>58</x:v>
      </x:c>
      <x:c r="Q60" s="92" t="n">
        <x:f>IFERROR(VLOOKUP(L60,'Reference Data'!$A$5:$F$40,6,FALSE),0)</x:f>
        <x:v>24</x:v>
      </x:c>
      <x:c r="R60" s="84" t="n">
        <x:f>'Raw Sales'!J60</x:f>
        <x:v>1</x:v>
      </x:c>
      <x:c r="S60" s="87" t="n">
        <x:f>'Raw Sales'!K60</x:f>
        <x:v>0.05</x:v>
      </x:c>
      <x:c r="T60" s="93" t="n">
        <x:f>P60*R60</x:f>
        <x:v>58</x:v>
      </x:c>
      <x:c r="U60" s="93" t="n">
        <x:f>T60*S60</x:f>
        <x:v>2.9000000000000004</x:v>
      </x:c>
      <x:c r="V60" s="93" t="str">
        <x:f>PROPER(TRIM('Raw Sales'!L60))</x:f>
        <x:v>Completed</x:v>
      </x:c>
      <x:c r="W60" s="93" t="n">
        <x:f>IF(V60="Returned",0,T60-U60)</x:f>
        <x:v>55.1</x:v>
      </x:c>
      <x:c r="X60" s="93" t="n">
        <x:f>IF(V60="Returned",Q60*R60*10%,Q60*R60)</x:f>
        <x:v>24</x:v>
      </x:c>
      <x:c r="Y60" s="93" t="n">
        <x:f>W60-X60</x:f>
        <x:v>31.1</x:v>
      </x:c>
      <x:c r="Z60" s="94" t="n">
        <x:f>IFERROR(Y60/W60,0)</x:f>
        <x:v>0.5644283121597097</x:v>
      </x:c>
      <x:c r="AA60" s="84" t="str">
        <x:f>PROPER(TRIM('Raw Sales'!M60))</x:f>
        <x:v>Debit Card</x:v>
      </x:c>
      <x:c r="AB60" s="84" t="str">
        <x:f>PROPER(TRIM('Raw Sales'!N60))</x:f>
        <x:v>Liam Parker</x:v>
      </x:c>
      <x:c r="AC60" s="85" t="n">
        <x:f>'Raw Sales'!O60</x:f>
        <x:v>45318</x:v>
      </x:c>
      <x:c r="AD60" s="84" t="n">
        <x:f>AC60-B60</x:f>
        <x:v>0</x:v>
      </x:c>
      <x:c r="AE60" s="84" t="str">
        <x:f>IF(COUNTIF($A$5:A60,A60)&gt;1,"Duplicate","Keep")</x:f>
        <x:v>Keep</x:v>
      </x:c>
      <x:c r="AF60" s="84" t="str">
        <x:f>IF(OR(R60&lt;=0,AC60&lt;B60,H60="Unknown",M60="Unknown Product"),"Review","Valid")</x:f>
        <x:v>Valid</x:v>
      </x:c>
      <x:c r="AG60" s="84" t="n">
        <x:f>IF(AND(AE60="Keep",AF60="Valid"),1,0)</x:f>
        <x:v>1</x:v>
      </x:c>
      <x:c r="AH60" s="84" t="n">
        <x:f>IF(AND(AG60=1,OR('Dashboard'!$B$4="All",I60='Dashboard'!$B$4),OR('Dashboard'!$E$4="All",N60='Dashboard'!$E$4),OR('Dashboard'!$H$4="All",K60='Dashboard'!$H$4),OR('Dashboard'!$K$4="All",C60='Dashboard'!$K$4)),1,0)</x:f>
        <x:v>1</x:v>
      </x:c>
      <x:c r="AI60" s="84" t="n">
        <x:f>IF(AND(AG60=1,OR('Dashboard'!$B$4="All",I60='Dashboard'!$B$4),OR('Dashboard'!$E$4="All",N60='Dashboard'!$E$4),OR('Dashboard'!$H$4="All",K60='Dashboard'!$H$4)),1,0)</x:f>
        <x:v>1</x:v>
      </x:c>
    </x:row>
    <x:row r="61">
      <x:c r="A61" s="84" t="str">
        <x:f>'Raw Sales'!A61</x:f>
        <x:v>ORD-2024-01809</x:v>
      </x:c>
      <x:c r="B61" s="85" t="n">
        <x:f>'Raw Sales'!B61</x:f>
        <x:v>45318</x:v>
      </x:c>
      <x:c r="C61" s="84" t="n">
        <x:f>YEAR(B61)</x:f>
        <x:v>2024</x:v>
      </x:c>
      <x:c r="D61" s="91" t="n">
        <x:f>DATE(YEAR(B61),MONTH(B61),1)</x:f>
        <x:v>45292</x:v>
      </x:c>
      <x:c r="E61" s="84" t="str">
        <x:f>TEXT(B61,"mmm")</x:f>
        <x:v>Jan</x:v>
      </x:c>
      <x:c r="F61" s="84" t="str">
        <x:f>'Raw Sales'!C61</x:f>
        <x:v>CUST-0502</x:v>
      </x:c>
      <x:c r="G61" s="84" t="str">
        <x:f>PROPER(TRIM('Raw Sales'!D61))</x:f>
        <x:v>Owen Lewis</x:v>
      </x:c>
      <x:c r="H61" s="84" t="str">
        <x:f>IF(TRIM('Raw Sales'!E61)="","Unknown",PROPER(TRIM('Raw Sales'!E61)))</x:f>
        <x:v>Consumer</x:v>
      </x:c>
      <x:c r="I61" s="84" t="str">
        <x:f>PROPER(TRIM('Raw Sales'!F61))</x:f>
        <x:v>Midwest</x:v>
      </x:c>
      <x:c r="J61" s="84" t="str">
        <x:f>PROPER(TRIM('Raw Sales'!G61))</x:f>
        <x:v>Detroit</x:v>
      </x:c>
      <x:c r="K61" s="84" t="str">
        <x:f>PROPER(TRIM('Raw Sales'!H61))</x:f>
        <x:v>Online</x:v>
      </x:c>
      <x:c r="L61" s="84" t="str">
        <x:f>'Raw Sales'!I61</x:f>
        <x:v>ELEC-003</x:v>
      </x:c>
      <x:c r="M61" s="84" t="str">
        <x:f>IFERROR(VLOOKUP(L61,'Reference Data'!$A$5:$F$40,2,FALSE),"Unknown Product")</x:f>
        <x:v>Bluetooth Speaker</x:v>
      </x:c>
      <x:c r="N61" s="84" t="str">
        <x:f>IFERROR(VLOOKUP(L61,'Reference Data'!$A$5:$F$40,3,FALSE),"Unknown")</x:f>
        <x:v>Electronics</x:v>
      </x:c>
      <x:c r="O61" s="84" t="str">
        <x:f>IFERROR(VLOOKUP(L61,'Reference Data'!$A$5:$F$40,4,FALSE),"Unknown")</x:f>
        <x:v>Audio</x:v>
      </x:c>
      <x:c r="P61" s="92" t="n">
        <x:f>IFERROR(VLOOKUP(L61,'Reference Data'!$A$5:$F$40,5,FALSE),0)</x:f>
        <x:v>89</x:v>
      </x:c>
      <x:c r="Q61" s="92" t="n">
        <x:f>IFERROR(VLOOKUP(L61,'Reference Data'!$A$5:$F$40,6,FALSE),0)</x:f>
        <x:v>44</x:v>
      </x:c>
      <x:c r="R61" s="84" t="n">
        <x:f>'Raw Sales'!J61</x:f>
        <x:v>1</x:v>
      </x:c>
      <x:c r="S61" s="87" t="n">
        <x:f>'Raw Sales'!K61</x:f>
        <x:v>0</x:v>
      </x:c>
      <x:c r="T61" s="93" t="n">
        <x:f>P61*R61</x:f>
        <x:v>89</x:v>
      </x:c>
      <x:c r="U61" s="93" t="n">
        <x:f>T61*S61</x:f>
        <x:v>0</x:v>
      </x:c>
      <x:c r="V61" s="93" t="str">
        <x:f>PROPER(TRIM('Raw Sales'!L61))</x:f>
        <x:v>Completed</x:v>
      </x:c>
      <x:c r="W61" s="93" t="n">
        <x:f>IF(V61="Returned",0,T61-U61)</x:f>
        <x:v>89</x:v>
      </x:c>
      <x:c r="X61" s="93" t="n">
        <x:f>IF(V61="Returned",Q61*R61*10%,Q61*R61)</x:f>
        <x:v>44</x:v>
      </x:c>
      <x:c r="Y61" s="93" t="n">
        <x:f>W61-X61</x:f>
        <x:v>45</x:v>
      </x:c>
      <x:c r="Z61" s="94" t="n">
        <x:f>IFERROR(Y61/W61,0)</x:f>
        <x:v>0.5056179775280899</x:v>
      </x:c>
      <x:c r="AA61" s="84" t="str">
        <x:f>PROPER(TRIM('Raw Sales'!M61))</x:f>
        <x:v>Credit Card</x:v>
      </x:c>
      <x:c r="AB61" s="84" t="str">
        <x:f>PROPER(TRIM('Raw Sales'!N61))</x:f>
        <x:v>Zoe Turner</x:v>
      </x:c>
      <x:c r="AC61" s="85" t="n">
        <x:f>'Raw Sales'!O61</x:f>
        <x:v>45321</x:v>
      </x:c>
      <x:c r="AD61" s="84" t="n">
        <x:f>AC61-B61</x:f>
        <x:v>3</x:v>
      </x:c>
      <x:c r="AE61" s="84" t="str">
        <x:f>IF(COUNTIF($A$5:A61,A61)&gt;1,"Duplicate","Keep")</x:f>
        <x:v>Keep</x:v>
      </x:c>
      <x:c r="AF61" s="84" t="str">
        <x:f>IF(OR(R61&lt;=0,AC61&lt;B61,H61="Unknown",M61="Unknown Product"),"Review","Valid")</x:f>
        <x:v>Valid</x:v>
      </x:c>
      <x:c r="AG61" s="84" t="n">
        <x:f>IF(AND(AE61="Keep",AF61="Valid"),1,0)</x:f>
        <x:v>1</x:v>
      </x:c>
      <x:c r="AH61" s="84" t="n">
        <x:f>IF(AND(AG61=1,OR('Dashboard'!$B$4="All",I61='Dashboard'!$B$4),OR('Dashboard'!$E$4="All",N61='Dashboard'!$E$4),OR('Dashboard'!$H$4="All",K61='Dashboard'!$H$4),OR('Dashboard'!$K$4="All",C61='Dashboard'!$K$4)),1,0)</x:f>
        <x:v>1</x:v>
      </x:c>
      <x:c r="AI61" s="84" t="n">
        <x:f>IF(AND(AG61=1,OR('Dashboard'!$B$4="All",I61='Dashboard'!$B$4),OR('Dashboard'!$E$4="All",N61='Dashboard'!$E$4),OR('Dashboard'!$H$4="All",K61='Dashboard'!$H$4)),1,0)</x:f>
        <x:v>1</x:v>
      </x:c>
    </x:row>
    <x:row r="62">
      <x:c r="A62" s="84" t="str">
        <x:f>'Raw Sales'!A62</x:f>
        <x:v>ORD-2024-01541</x:v>
      </x:c>
      <x:c r="B62" s="85" t="n">
        <x:f>'Raw Sales'!B62</x:f>
        <x:v>45319</x:v>
      </x:c>
      <x:c r="C62" s="84" t="n">
        <x:f>YEAR(B62)</x:f>
        <x:v>2024</x:v>
      </x:c>
      <x:c r="D62" s="91" t="n">
        <x:f>DATE(YEAR(B62),MONTH(B62),1)</x:f>
        <x:v>45292</x:v>
      </x:c>
      <x:c r="E62" s="84" t="str">
        <x:f>TEXT(B62,"mmm")</x:f>
        <x:v>Jan</x:v>
      </x:c>
      <x:c r="F62" s="84" t="str">
        <x:f>'Raw Sales'!C62</x:f>
        <x:v>CUST-0493</x:v>
      </x:c>
      <x:c r="G62" s="84" t="str">
        <x:f>PROPER(TRIM('Raw Sales'!D62))</x:f>
        <x:v>Nina Evans</x:v>
      </x:c>
      <x:c r="H62" s="84" t="str">
        <x:f>IF(TRIM('Raw Sales'!E62)="","Unknown",PROPER(TRIM('Raw Sales'!E62)))</x:f>
        <x:v>Corporate</x:v>
      </x:c>
      <x:c r="I62" s="84" t="str">
        <x:f>PROPER(TRIM('Raw Sales'!F62))</x:f>
        <x:v>West</x:v>
      </x:c>
      <x:c r="J62" s="84" t="str">
        <x:f>PROPER(TRIM('Raw Sales'!G62))</x:f>
        <x:v>Denver</x:v>
      </x:c>
      <x:c r="K62" s="84" t="str">
        <x:f>PROPER(TRIM('Raw Sales'!H62))</x:f>
        <x:v>Retail Store</x:v>
      </x:c>
      <x:c r="L62" s="84" t="str">
        <x:f>'Raw Sales'!I62</x:f>
        <x:v>FITN-003</x:v>
      </x:c>
      <x:c r="M62" s="84" t="str">
        <x:f>IFERROR(VLOOKUP(L62,'Reference Data'!$A$5:$F$40,2,FALSE),"Unknown Product")</x:f>
        <x:v>Resistance Band Set</x:v>
      </x:c>
      <x:c r="N62" s="84" t="str">
        <x:f>IFERROR(VLOOKUP(L62,'Reference Data'!$A$5:$F$40,3,FALSE),"Unknown")</x:f>
        <x:v>Fitness</x:v>
      </x:c>
      <x:c r="O62" s="84" t="str">
        <x:f>IFERROR(VLOOKUP(L62,'Reference Data'!$A$5:$F$40,4,FALSE),"Unknown")</x:f>
        <x:v>Strength</x:v>
      </x:c>
      <x:c r="P62" s="92" t="n">
        <x:f>IFERROR(VLOOKUP(L62,'Reference Data'!$A$5:$F$40,5,FALSE),0)</x:f>
        <x:v>24</x:v>
      </x:c>
      <x:c r="Q62" s="92" t="n">
        <x:f>IFERROR(VLOOKUP(L62,'Reference Data'!$A$5:$F$40,6,FALSE),0)</x:f>
        <x:v>8</x:v>
      </x:c>
      <x:c r="R62" s="84" t="n">
        <x:f>'Raw Sales'!J62</x:f>
        <x:v>3</x:v>
      </x:c>
      <x:c r="S62" s="87" t="n">
        <x:f>'Raw Sales'!K62</x:f>
        <x:v>0</x:v>
      </x:c>
      <x:c r="T62" s="93" t="n">
        <x:f>P62*R62</x:f>
        <x:v>72</x:v>
      </x:c>
      <x:c r="U62" s="93" t="n">
        <x:f>T62*S62</x:f>
        <x:v>0</x:v>
      </x:c>
      <x:c r="V62" s="93" t="str">
        <x:f>PROPER(TRIM('Raw Sales'!L62))</x:f>
        <x:v>Completed</x:v>
      </x:c>
      <x:c r="W62" s="93" t="n">
        <x:f>IF(V62="Returned",0,T62-U62)</x:f>
        <x:v>72</x:v>
      </x:c>
      <x:c r="X62" s="93" t="n">
        <x:f>IF(V62="Returned",Q62*R62*10%,Q62*R62)</x:f>
        <x:v>24</x:v>
      </x:c>
      <x:c r="Y62" s="93" t="n">
        <x:f>W62-X62</x:f>
        <x:v>48</x:v>
      </x:c>
      <x:c r="Z62" s="94" t="n">
        <x:f>IFERROR(Y62/W62,0)</x:f>
        <x:v>0.6666666666666666</x:v>
      </x:c>
      <x:c r="AA62" s="84" t="str">
        <x:f>PROPER(TRIM('Raw Sales'!M62))</x:f>
        <x:v>Cash</x:v>
      </x:c>
      <x:c r="AB62" s="84" t="str">
        <x:f>PROPER(TRIM('Raw Sales'!N62))</x:f>
        <x:v>Leo Martinez</x:v>
      </x:c>
      <x:c r="AC62" s="85" t="n">
        <x:f>'Raw Sales'!O62</x:f>
        <x:v>45319</x:v>
      </x:c>
      <x:c r="AD62" s="84" t="n">
        <x:f>AC62-B62</x:f>
        <x:v>0</x:v>
      </x:c>
      <x:c r="AE62" s="84" t="str">
        <x:f>IF(COUNTIF($A$5:A62,A62)&gt;1,"Duplicate","Keep")</x:f>
        <x:v>Keep</x:v>
      </x:c>
      <x:c r="AF62" s="84" t="str">
        <x:f>IF(OR(R62&lt;=0,AC62&lt;B62,H62="Unknown",M62="Unknown Product"),"Review","Valid")</x:f>
        <x:v>Valid</x:v>
      </x:c>
      <x:c r="AG62" s="84" t="n">
        <x:f>IF(AND(AE62="Keep",AF62="Valid"),1,0)</x:f>
        <x:v>1</x:v>
      </x:c>
      <x:c r="AH62" s="84" t="n">
        <x:f>IF(AND(AG62=1,OR('Dashboard'!$B$4="All",I62='Dashboard'!$B$4),OR('Dashboard'!$E$4="All",N62='Dashboard'!$E$4),OR('Dashboard'!$H$4="All",K62='Dashboard'!$H$4),OR('Dashboard'!$K$4="All",C62='Dashboard'!$K$4)),1,0)</x:f>
        <x:v>1</x:v>
      </x:c>
      <x:c r="AI62" s="84" t="n">
        <x:f>IF(AND(AG62=1,OR('Dashboard'!$B$4="All",I62='Dashboard'!$B$4),OR('Dashboard'!$E$4="All",N62='Dashboard'!$E$4),OR('Dashboard'!$H$4="All",K62='Dashboard'!$H$4)),1,0)</x:f>
        <x:v>1</x:v>
      </x:c>
    </x:row>
    <x:row r="63">
      <x:c r="A63" s="84" t="str">
        <x:f>'Raw Sales'!A63</x:f>
        <x:v>ORD-2024-01882</x:v>
      </x:c>
      <x:c r="B63" s="85" t="n">
        <x:f>'Raw Sales'!B63</x:f>
        <x:v>45319</x:v>
      </x:c>
      <x:c r="C63" s="84" t="n">
        <x:f>YEAR(B63)</x:f>
        <x:v>2024</x:v>
      </x:c>
      <x:c r="D63" s="91" t="n">
        <x:f>DATE(YEAR(B63),MONTH(B63),1)</x:f>
        <x:v>45292</x:v>
      </x:c>
      <x:c r="E63" s="84" t="str">
        <x:f>TEXT(B63,"mmm")</x:f>
        <x:v>Jan</x:v>
      </x:c>
      <x:c r="F63" s="84" t="str">
        <x:f>'Raw Sales'!C63</x:f>
        <x:v>CUST-0623</x:v>
      </x:c>
      <x:c r="G63" s="84" t="str">
        <x:f>PROPER(TRIM('Raw Sales'!D63))</x:f>
        <x:v>Theo Roberts</x:v>
      </x:c>
      <x:c r="H63" s="84" t="str">
        <x:f>IF(TRIM('Raw Sales'!E63)="","Unknown",PROPER(TRIM('Raw Sales'!E63)))</x:f>
        <x:v>Small Business</x:v>
      </x:c>
      <x:c r="I63" s="84" t="str">
        <x:f>PROPER(TRIM('Raw Sales'!F63))</x:f>
        <x:v>Midwest</x:v>
      </x:c>
      <x:c r="J63" s="84" t="str">
        <x:f>PROPER(TRIM('Raw Sales'!G63))</x:f>
        <x:v>Detroit</x:v>
      </x:c>
      <x:c r="K63" s="84" t="str">
        <x:f>PROPER(TRIM('Raw Sales'!H63))</x:f>
        <x:v>Retail Store</x:v>
      </x:c>
      <x:c r="L63" s="84" t="str">
        <x:f>'Raw Sales'!I63</x:f>
        <x:v>ACCS-001</x:v>
      </x:c>
      <x:c r="M63" s="84" t="str">
        <x:f>IFERROR(VLOOKUP(L63,'Reference Data'!$A$5:$F$40,2,FALSE),"Unknown Product")</x:f>
        <x:v>Canvas Tote Bag</x:v>
      </x:c>
      <x:c r="N63" s="84" t="str">
        <x:f>IFERROR(VLOOKUP(L63,'Reference Data'!$A$5:$F$40,3,FALSE),"Unknown")</x:f>
        <x:v>Accessories</x:v>
      </x:c>
      <x:c r="O63" s="84" t="str">
        <x:f>IFERROR(VLOOKUP(L63,'Reference Data'!$A$5:$F$40,4,FALSE),"Unknown")</x:f>
        <x:v>Bags</x:v>
      </x:c>
      <x:c r="P63" s="92" t="n">
        <x:f>IFERROR(VLOOKUP(L63,'Reference Data'!$A$5:$F$40,5,FALSE),0)</x:f>
        <x:v>39</x:v>
      </x:c>
      <x:c r="Q63" s="92" t="n">
        <x:f>IFERROR(VLOOKUP(L63,'Reference Data'!$A$5:$F$40,6,FALSE),0)</x:f>
        <x:v>14</x:v>
      </x:c>
      <x:c r="R63" s="84" t="n">
        <x:f>'Raw Sales'!J63</x:f>
        <x:v>1</x:v>
      </x:c>
      <x:c r="S63" s="87" t="n">
        <x:f>'Raw Sales'!K63</x:f>
        <x:v>0.1</x:v>
      </x:c>
      <x:c r="T63" s="93" t="n">
        <x:f>P63*R63</x:f>
        <x:v>39</x:v>
      </x:c>
      <x:c r="U63" s="93" t="n">
        <x:f>T63*S63</x:f>
        <x:v>3.9000000000000004</x:v>
      </x:c>
      <x:c r="V63" s="93" t="str">
        <x:f>PROPER(TRIM('Raw Sales'!L63))</x:f>
        <x:v>Completed</x:v>
      </x:c>
      <x:c r="W63" s="93" t="n">
        <x:f>IF(V63="Returned",0,T63-U63)</x:f>
        <x:v>35.1</x:v>
      </x:c>
      <x:c r="X63" s="93" t="n">
        <x:f>IF(V63="Returned",Q63*R63*10%,Q63*R63)</x:f>
        <x:v>14</x:v>
      </x:c>
      <x:c r="Y63" s="93" t="n">
        <x:f>W63-X63</x:f>
        <x:v>21.1</x:v>
      </x:c>
      <x:c r="Z63" s="94" t="n">
        <x:f>IFERROR(Y63/W63,0)</x:f>
        <x:v>0.6011396011396012</x:v>
      </x:c>
      <x:c r="AA63" s="84" t="str">
        <x:f>PROPER(TRIM('Raw Sales'!M63))</x:f>
        <x:v>Mobile Wallet</x:v>
      </x:c>
      <x:c r="AB63" s="84" t="str">
        <x:f>PROPER(TRIM('Raw Sales'!N63))</x:f>
        <x:v>Lucas Grant</x:v>
      </x:c>
      <x:c r="AC63" s="85" t="n">
        <x:f>'Raw Sales'!O63</x:f>
        <x:v>45319</x:v>
      </x:c>
      <x:c r="AD63" s="84" t="n">
        <x:f>AC63-B63</x:f>
        <x:v>0</x:v>
      </x:c>
      <x:c r="AE63" s="84" t="str">
        <x:f>IF(COUNTIF($A$5:A63,A63)&gt;1,"Duplicate","Keep")</x:f>
        <x:v>Keep</x:v>
      </x:c>
      <x:c r="AF63" s="84" t="str">
        <x:f>IF(OR(R63&lt;=0,AC63&lt;B63,H63="Unknown",M63="Unknown Product"),"Review","Valid")</x:f>
        <x:v>Valid</x:v>
      </x:c>
      <x:c r="AG63" s="84" t="n">
        <x:f>IF(AND(AE63="Keep",AF63="Valid"),1,0)</x:f>
        <x:v>1</x:v>
      </x:c>
      <x:c r="AH63" s="84" t="n">
        <x:f>IF(AND(AG63=1,OR('Dashboard'!$B$4="All",I63='Dashboard'!$B$4),OR('Dashboard'!$E$4="All",N63='Dashboard'!$E$4),OR('Dashboard'!$H$4="All",K63='Dashboard'!$H$4),OR('Dashboard'!$K$4="All",C63='Dashboard'!$K$4)),1,0)</x:f>
        <x:v>1</x:v>
      </x:c>
      <x:c r="AI63" s="84" t="n">
        <x:f>IF(AND(AG63=1,OR('Dashboard'!$B$4="All",I63='Dashboard'!$B$4),OR('Dashboard'!$E$4="All",N63='Dashboard'!$E$4),OR('Dashboard'!$H$4="All",K63='Dashboard'!$H$4)),1,0)</x:f>
        <x:v>1</x:v>
      </x:c>
    </x:row>
    <x:row r="64">
      <x:c r="A64" s="84" t="str">
        <x:f>'Raw Sales'!A64</x:f>
        <x:v>ORD-2024-02123</x:v>
      </x:c>
      <x:c r="B64" s="85" t="n">
        <x:f>'Raw Sales'!B64</x:f>
        <x:v>45319</x:v>
      </x:c>
      <x:c r="C64" s="84" t="n">
        <x:f>YEAR(B64)</x:f>
        <x:v>2024</x:v>
      </x:c>
      <x:c r="D64" s="91" t="n">
        <x:f>DATE(YEAR(B64),MONTH(B64),1)</x:f>
        <x:v>45292</x:v>
      </x:c>
      <x:c r="E64" s="84" t="str">
        <x:f>TEXT(B64,"mmm")</x:f>
        <x:v>Jan</x:v>
      </x:c>
      <x:c r="F64" s="84" t="str">
        <x:f>'Raw Sales'!C64</x:f>
        <x:v>CUST-0288</x:v>
      </x:c>
      <x:c r="G64" s="84" t="str">
        <x:f>PROPER(TRIM('Raw Sales'!D64))</x:f>
        <x:v>Owen Quinn</x:v>
      </x:c>
      <x:c r="H64" s="84" t="str">
        <x:f>IF(TRIM('Raw Sales'!E64)="","Unknown",PROPER(TRIM('Raw Sales'!E64)))</x:f>
        <x:v>Small Business</x:v>
      </x:c>
      <x:c r="I64" s="84" t="str">
        <x:f>PROPER(TRIM('Raw Sales'!F64))</x:f>
        <x:v>West</x:v>
      </x:c>
      <x:c r="J64" s="84" t="str">
        <x:f>PROPER(TRIM('Raw Sales'!G64))</x:f>
        <x:v>Seattle</x:v>
      </x:c>
      <x:c r="K64" s="84" t="str">
        <x:f>PROPER(TRIM('Raw Sales'!H64))</x:f>
        <x:v>Retail Store</x:v>
      </x:c>
      <x:c r="L64" s="84" t="str">
        <x:f>'Raw Sales'!I64</x:f>
        <x:v>FITN-001</x:v>
      </x:c>
      <x:c r="M64" s="84" t="str">
        <x:f>IFERROR(VLOOKUP(L64,'Reference Data'!$A$5:$F$40,2,FALSE),"Unknown Product")</x:f>
        <x:v>Yoga Mat</x:v>
      </x:c>
      <x:c r="N64" s="84" t="str">
        <x:f>IFERROR(VLOOKUP(L64,'Reference Data'!$A$5:$F$40,3,FALSE),"Unknown")</x:f>
        <x:v>Fitness</x:v>
      </x:c>
      <x:c r="O64" s="84" t="str">
        <x:f>IFERROR(VLOOKUP(L64,'Reference Data'!$A$5:$F$40,4,FALSE),"Unknown")</x:f>
        <x:v>Yoga</x:v>
      </x:c>
      <x:c r="P64" s="92" t="n">
        <x:f>IFERROR(VLOOKUP(L64,'Reference Data'!$A$5:$F$40,5,FALSE),0)</x:f>
        <x:v>35</x:v>
      </x:c>
      <x:c r="Q64" s="92" t="n">
        <x:f>IFERROR(VLOOKUP(L64,'Reference Data'!$A$5:$F$40,6,FALSE),0)</x:f>
        <x:v>13</x:v>
      </x:c>
      <x:c r="R64" s="84" t="n">
        <x:f>'Raw Sales'!J64</x:f>
        <x:v>1</x:v>
      </x:c>
      <x:c r="S64" s="87" t="n">
        <x:f>'Raw Sales'!K64</x:f>
        <x:v>0</x:v>
      </x:c>
      <x:c r="T64" s="93" t="n">
        <x:f>P64*R64</x:f>
        <x:v>35</x:v>
      </x:c>
      <x:c r="U64" s="93" t="n">
        <x:f>T64*S64</x:f>
        <x:v>0</x:v>
      </x:c>
      <x:c r="V64" s="93" t="str">
        <x:f>PROPER(TRIM('Raw Sales'!L64))</x:f>
        <x:v>Completed</x:v>
      </x:c>
      <x:c r="W64" s="93" t="n">
        <x:f>IF(V64="Returned",0,T64-U64)</x:f>
        <x:v>35</x:v>
      </x:c>
      <x:c r="X64" s="93" t="n">
        <x:f>IF(V64="Returned",Q64*R64*10%,Q64*R64)</x:f>
        <x:v>13</x:v>
      </x:c>
      <x:c r="Y64" s="93" t="n">
        <x:f>W64-X64</x:f>
        <x:v>22</x:v>
      </x:c>
      <x:c r="Z64" s="94" t="n">
        <x:f>IFERROR(Y64/W64,0)</x:f>
        <x:v>0.6285714285714286</x:v>
      </x:c>
      <x:c r="AA64" s="84" t="str">
        <x:f>PROPER(TRIM('Raw Sales'!M64))</x:f>
        <x:v>Debit Card</x:v>
      </x:c>
      <x:c r="AB64" s="84" t="str">
        <x:f>PROPER(TRIM('Raw Sales'!N64))</x:f>
        <x:v>Leo Martinez</x:v>
      </x:c>
      <x:c r="AC64" s="85" t="n">
        <x:f>'Raw Sales'!O64</x:f>
        <x:v>45319</x:v>
      </x:c>
      <x:c r="AD64" s="84" t="n">
        <x:f>AC64-B64</x:f>
        <x:v>0</x:v>
      </x:c>
      <x:c r="AE64" s="84" t="str">
        <x:f>IF(COUNTIF($A$5:A64,A64)&gt;1,"Duplicate","Keep")</x:f>
        <x:v>Keep</x:v>
      </x:c>
      <x:c r="AF64" s="84" t="str">
        <x:f>IF(OR(R64&lt;=0,AC64&lt;B64,H64="Unknown",M64="Unknown Product"),"Review","Valid")</x:f>
        <x:v>Valid</x:v>
      </x:c>
      <x:c r="AG64" s="84" t="n">
        <x:f>IF(AND(AE64="Keep",AF64="Valid"),1,0)</x:f>
        <x:v>1</x:v>
      </x:c>
      <x:c r="AH64" s="84" t="n">
        <x:f>IF(AND(AG64=1,OR('Dashboard'!$B$4="All",I64='Dashboard'!$B$4),OR('Dashboard'!$E$4="All",N64='Dashboard'!$E$4),OR('Dashboard'!$H$4="All",K64='Dashboard'!$H$4),OR('Dashboard'!$K$4="All",C64='Dashboard'!$K$4)),1,0)</x:f>
        <x:v>1</x:v>
      </x:c>
      <x:c r="AI64" s="84" t="n">
        <x:f>IF(AND(AG64=1,OR('Dashboard'!$B$4="All",I64='Dashboard'!$B$4),OR('Dashboard'!$E$4="All",N64='Dashboard'!$E$4),OR('Dashboard'!$H$4="All",K64='Dashboard'!$H$4)),1,0)</x:f>
        <x:v>1</x:v>
      </x:c>
    </x:row>
    <x:row r="65">
      <x:c r="A65" s="84" t="str">
        <x:f>'Raw Sales'!A65</x:f>
        <x:v>ORD-2024-02068</x:v>
      </x:c>
      <x:c r="B65" s="85" t="n">
        <x:f>'Raw Sales'!B65</x:f>
        <x:v>45320</x:v>
      </x:c>
      <x:c r="C65" s="84" t="n">
        <x:f>YEAR(B65)</x:f>
        <x:v>2024</x:v>
      </x:c>
      <x:c r="D65" s="91" t="n">
        <x:f>DATE(YEAR(B65),MONTH(B65),1)</x:f>
        <x:v>45292</x:v>
      </x:c>
      <x:c r="E65" s="84" t="str">
        <x:f>TEXT(B65,"mmm")</x:f>
        <x:v>Jan</x:v>
      </x:c>
      <x:c r="F65" s="84" t="str">
        <x:f>'Raw Sales'!C65</x:f>
        <x:v>CUST-0166</x:v>
      </x:c>
      <x:c r="G65" s="84" t="str">
        <x:f>PROPER(TRIM('Raw Sales'!D65))</x:f>
        <x:v>Marcus Young</x:v>
      </x:c>
      <x:c r="H65" s="84" t="str">
        <x:f>IF(TRIM('Raw Sales'!E65)="","Unknown",PROPER(TRIM('Raw Sales'!E65)))</x:f>
        <x:v>Consumer</x:v>
      </x:c>
      <x:c r="I65" s="84" t="str">
        <x:f>PROPER(TRIM('Raw Sales'!F65))</x:f>
        <x:v>West</x:v>
      </x:c>
      <x:c r="J65" s="84" t="str">
        <x:f>PROPER(TRIM('Raw Sales'!G65))</x:f>
        <x:v>Phoenix</x:v>
      </x:c>
      <x:c r="K65" s="84" t="str">
        <x:f>PROPER(TRIM('Raw Sales'!H65))</x:f>
        <x:v>Retail Store</x:v>
      </x:c>
      <x:c r="L65" s="84" t="str">
        <x:f>'Raw Sales'!I65</x:f>
        <x:v>ELEC-004</x:v>
      </x:c>
      <x:c r="M65" s="84" t="str">
        <x:f>IFERROR(VLOOKUP(L65,'Reference Data'!$A$5:$F$40,2,FALSE),"Unknown Product")</x:f>
        <x:v>Power Bank</x:v>
      </x:c>
      <x:c r="N65" s="84" t="str">
        <x:f>IFERROR(VLOOKUP(L65,'Reference Data'!$A$5:$F$40,3,FALSE),"Unknown")</x:f>
        <x:v>Electronics</x:v>
      </x:c>
      <x:c r="O65" s="84" t="str">
        <x:f>IFERROR(VLOOKUP(L65,'Reference Data'!$A$5:$F$40,4,FALSE),"Unknown")</x:f>
        <x:v>Mobile Accessories</x:v>
      </x:c>
      <x:c r="P65" s="92" t="n">
        <x:f>IFERROR(VLOOKUP(L65,'Reference Data'!$A$5:$F$40,5,FALSE),0)</x:f>
        <x:v>39</x:v>
      </x:c>
      <x:c r="Q65" s="92" t="n">
        <x:f>IFERROR(VLOOKUP(L65,'Reference Data'!$A$5:$F$40,6,FALSE),0)</x:f>
        <x:v>18</x:v>
      </x:c>
      <x:c r="R65" s="84" t="n">
        <x:f>'Raw Sales'!J65</x:f>
        <x:v>3</x:v>
      </x:c>
      <x:c r="S65" s="87" t="n">
        <x:f>'Raw Sales'!K65</x:f>
        <x:v>0.15</x:v>
      </x:c>
      <x:c r="T65" s="93" t="n">
        <x:f>P65*R65</x:f>
        <x:v>117</x:v>
      </x:c>
      <x:c r="U65" s="93" t="n">
        <x:f>T65*S65</x:f>
        <x:v>17.55</x:v>
      </x:c>
      <x:c r="V65" s="93" t="str">
        <x:f>PROPER(TRIM('Raw Sales'!L65))</x:f>
        <x:v>Completed</x:v>
      </x:c>
      <x:c r="W65" s="93" t="n">
        <x:f>IF(V65="Returned",0,T65-U65)</x:f>
        <x:v>99.45</x:v>
      </x:c>
      <x:c r="X65" s="93" t="n">
        <x:f>IF(V65="Returned",Q65*R65*10%,Q65*R65)</x:f>
        <x:v>54</x:v>
      </x:c>
      <x:c r="Y65" s="93" t="n">
        <x:f>W65-X65</x:f>
        <x:v>45.45</x:v>
      </x:c>
      <x:c r="Z65" s="94" t="n">
        <x:f>IFERROR(Y65/W65,0)</x:f>
        <x:v>0.4570135746606335</x:v>
      </x:c>
      <x:c r="AA65" s="84" t="str">
        <x:f>PROPER(TRIM('Raw Sales'!M65))</x:f>
        <x:v>Mobile Wallet</x:v>
      </x:c>
      <x:c r="AB65" s="84" t="str">
        <x:f>PROPER(TRIM('Raw Sales'!N65))</x:f>
        <x:v>Leo Martinez</x:v>
      </x:c>
      <x:c r="AC65" s="85" t="n">
        <x:f>'Raw Sales'!O65</x:f>
        <x:v>45320</x:v>
      </x:c>
      <x:c r="AD65" s="84" t="n">
        <x:f>AC65-B65</x:f>
        <x:v>0</x:v>
      </x:c>
      <x:c r="AE65" s="84" t="str">
        <x:f>IF(COUNTIF($A$5:A65,A65)&gt;1,"Duplicate","Keep")</x:f>
        <x:v>Keep</x:v>
      </x:c>
      <x:c r="AF65" s="84" t="str">
        <x:f>IF(OR(R65&lt;=0,AC65&lt;B65,H65="Unknown",M65="Unknown Product"),"Review","Valid")</x:f>
        <x:v>Valid</x:v>
      </x:c>
      <x:c r="AG65" s="84" t="n">
        <x:f>IF(AND(AE65="Keep",AF65="Valid"),1,0)</x:f>
        <x:v>1</x:v>
      </x:c>
      <x:c r="AH65" s="84" t="n">
        <x:f>IF(AND(AG65=1,OR('Dashboard'!$B$4="All",I65='Dashboard'!$B$4),OR('Dashboard'!$E$4="All",N65='Dashboard'!$E$4),OR('Dashboard'!$H$4="All",K65='Dashboard'!$H$4),OR('Dashboard'!$K$4="All",C65='Dashboard'!$K$4)),1,0)</x:f>
        <x:v>1</x:v>
      </x:c>
      <x:c r="AI65" s="84" t="n">
        <x:f>IF(AND(AG65=1,OR('Dashboard'!$B$4="All",I65='Dashboard'!$B$4),OR('Dashboard'!$E$4="All",N65='Dashboard'!$E$4),OR('Dashboard'!$H$4="All",K65='Dashboard'!$H$4)),1,0)</x:f>
        <x:v>1</x:v>
      </x:c>
    </x:row>
    <x:row r="66">
      <x:c r="A66" s="84" t="str">
        <x:f>'Raw Sales'!A66</x:f>
        <x:v>ORD-2024-00399</x:v>
      </x:c>
      <x:c r="B66" s="85" t="n">
        <x:f>'Raw Sales'!B66</x:f>
        <x:v>45323</x:v>
      </x:c>
      <x:c r="C66" s="84" t="n">
        <x:f>YEAR(B66)</x:f>
        <x:v>2024</x:v>
      </x:c>
      <x:c r="D66" s="91" t="n">
        <x:f>DATE(YEAR(B66),MONTH(B66),1)</x:f>
        <x:v>45323</x:v>
      </x:c>
      <x:c r="E66" s="84" t="str">
        <x:f>TEXT(B66,"mmm")</x:f>
        <x:v>Feb</x:v>
      </x:c>
      <x:c r="F66" s="84" t="str">
        <x:f>'Raw Sales'!C66</x:f>
        <x:v>CUST-0297</x:v>
      </x:c>
      <x:c r="G66" s="84" t="str">
        <x:f>PROPER(TRIM('Raw Sales'!D66))</x:f>
        <x:v>Nathan Davis</x:v>
      </x:c>
      <x:c r="H66" s="84" t="str">
        <x:f>IF(TRIM('Raw Sales'!E66)="","Unknown",PROPER(TRIM('Raw Sales'!E66)))</x:f>
        <x:v>Consumer</x:v>
      </x:c>
      <x:c r="I66" s="84" t="str">
        <x:f>PROPER(TRIM('Raw Sales'!F66))</x:f>
        <x:v>Midwest</x:v>
      </x:c>
      <x:c r="J66" s="84" t="str">
        <x:f>PROPER(TRIM('Raw Sales'!G66))</x:f>
        <x:v>Minneapolis</x:v>
      </x:c>
      <x:c r="K66" s="84" t="str">
        <x:f>PROPER(TRIM('Raw Sales'!H66))</x:f>
        <x:v>Online</x:v>
      </x:c>
      <x:c r="L66" s="84" t="str">
        <x:f>'Raw Sales'!I66</x:f>
        <x:v>ELEC-005</x:v>
      </x:c>
      <x:c r="M66" s="84" t="str">
        <x:f>IFERROR(VLOOKUP(L66,'Reference Data'!$A$5:$F$40,2,FALSE),"Unknown Product")</x:f>
        <x:v>HD Webcam</x:v>
      </x:c>
      <x:c r="N66" s="84" t="str">
        <x:f>IFERROR(VLOOKUP(L66,'Reference Data'!$A$5:$F$40,3,FALSE),"Unknown")</x:f>
        <x:v>Electronics</x:v>
      </x:c>
      <x:c r="O66" s="84" t="str">
        <x:f>IFERROR(VLOOKUP(L66,'Reference Data'!$A$5:$F$40,4,FALSE),"Unknown")</x:f>
        <x:v>Computer Accessories</x:v>
      </x:c>
      <x:c r="P66" s="92" t="n">
        <x:f>IFERROR(VLOOKUP(L66,'Reference Data'!$A$5:$F$40,5,FALSE),0)</x:f>
        <x:v>79</x:v>
      </x:c>
      <x:c r="Q66" s="92" t="n">
        <x:f>IFERROR(VLOOKUP(L66,'Reference Data'!$A$5:$F$40,6,FALSE),0)</x:f>
        <x:v>37</x:v>
      </x:c>
      <x:c r="R66" s="84" t="n">
        <x:f>'Raw Sales'!J66</x:f>
        <x:v>1</x:v>
      </x:c>
      <x:c r="S66" s="87" t="n">
        <x:f>'Raw Sales'!K66</x:f>
        <x:v>0.1</x:v>
      </x:c>
      <x:c r="T66" s="93" t="n">
        <x:f>P66*R66</x:f>
        <x:v>79</x:v>
      </x:c>
      <x:c r="U66" s="93" t="n">
        <x:f>T66*S66</x:f>
        <x:v>7.9</x:v>
      </x:c>
      <x:c r="V66" s="93" t="str">
        <x:f>PROPER(TRIM('Raw Sales'!L66))</x:f>
        <x:v>Completed</x:v>
      </x:c>
      <x:c r="W66" s="93" t="n">
        <x:f>IF(V66="Returned",0,T66-U66)</x:f>
        <x:v>71.1</x:v>
      </x:c>
      <x:c r="X66" s="93" t="n">
        <x:f>IF(V66="Returned",Q66*R66*10%,Q66*R66)</x:f>
        <x:v>37</x:v>
      </x:c>
      <x:c r="Y66" s="93" t="n">
        <x:f>W66-X66</x:f>
        <x:v>34.099999999999994</x:v>
      </x:c>
      <x:c r="Z66" s="94" t="n">
        <x:f>IFERROR(Y66/W66,0)</x:f>
        <x:v>0.4796061884669479</x:v>
      </x:c>
      <x:c r="AA66" s="84" t="str">
        <x:f>PROPER(TRIM('Raw Sales'!M66))</x:f>
        <x:v>Debit Card</x:v>
      </x:c>
      <x:c r="AB66" s="84" t="str">
        <x:f>PROPER(TRIM('Raw Sales'!N66))</x:f>
        <x:v>Lucas Grant</x:v>
      </x:c>
      <x:c r="AC66" s="85" t="n">
        <x:f>'Raw Sales'!O66</x:f>
        <x:v>45329</x:v>
      </x:c>
      <x:c r="AD66" s="84" t="n">
        <x:f>AC66-B66</x:f>
        <x:v>6</x:v>
      </x:c>
      <x:c r="AE66" s="84" t="str">
        <x:f>IF(COUNTIF($A$5:A66,A66)&gt;1,"Duplicate","Keep")</x:f>
        <x:v>Keep</x:v>
      </x:c>
      <x:c r="AF66" s="84" t="str">
        <x:f>IF(OR(R66&lt;=0,AC66&lt;B66,H66="Unknown",M66="Unknown Product"),"Review","Valid")</x:f>
        <x:v>Valid</x:v>
      </x:c>
      <x:c r="AG66" s="84" t="n">
        <x:f>IF(AND(AE66="Keep",AF66="Valid"),1,0)</x:f>
        <x:v>1</x:v>
      </x:c>
      <x:c r="AH66" s="84" t="n">
        <x:f>IF(AND(AG66=1,OR('Dashboard'!$B$4="All",I66='Dashboard'!$B$4),OR('Dashboard'!$E$4="All",N66='Dashboard'!$E$4),OR('Dashboard'!$H$4="All",K66='Dashboard'!$H$4),OR('Dashboard'!$K$4="All",C66='Dashboard'!$K$4)),1,0)</x:f>
        <x:v>1</x:v>
      </x:c>
      <x:c r="AI66" s="84" t="n">
        <x:f>IF(AND(AG66=1,OR('Dashboard'!$B$4="All",I66='Dashboard'!$B$4),OR('Dashboard'!$E$4="All",N66='Dashboard'!$E$4),OR('Dashboard'!$H$4="All",K66='Dashboard'!$H$4)),1,0)</x:f>
        <x:v>1</x:v>
      </x:c>
    </x:row>
    <x:row r="67">
      <x:c r="A67" s="84" t="str">
        <x:f>'Raw Sales'!A67</x:f>
        <x:v>ORD-2024-00817</x:v>
      </x:c>
      <x:c r="B67" s="85" t="n">
        <x:f>'Raw Sales'!B67</x:f>
        <x:v>45323</x:v>
      </x:c>
      <x:c r="C67" s="84" t="n">
        <x:f>YEAR(B67)</x:f>
        <x:v>2024</x:v>
      </x:c>
      <x:c r="D67" s="91" t="n">
        <x:f>DATE(YEAR(B67),MONTH(B67),1)</x:f>
        <x:v>45323</x:v>
      </x:c>
      <x:c r="E67" s="84" t="str">
        <x:f>TEXT(B67,"mmm")</x:f>
        <x:v>Feb</x:v>
      </x:c>
      <x:c r="F67" s="84" t="str">
        <x:f>'Raw Sales'!C67</x:f>
        <x:v>CUST-0405</x:v>
      </x:c>
      <x:c r="G67" s="84" t="str">
        <x:f>PROPER(TRIM('Raw Sales'!D67))</x:f>
        <x:v>Daniel Irwin</x:v>
      </x:c>
      <x:c r="H67" s="84" t="str">
        <x:f>IF(TRIM('Raw Sales'!E67)="","Unknown",PROPER(TRIM('Raw Sales'!E67)))</x:f>
        <x:v>Corporate</x:v>
      </x:c>
      <x:c r="I67" s="84" t="str">
        <x:f>PROPER(TRIM('Raw Sales'!F67))</x:f>
        <x:v>West</x:v>
      </x:c>
      <x:c r="J67" s="84" t="str">
        <x:f>PROPER(TRIM('Raw Sales'!G67))</x:f>
        <x:v>Seattle</x:v>
      </x:c>
      <x:c r="K67" s="84" t="str">
        <x:f>PROPER(TRIM('Raw Sales'!H67))</x:f>
        <x:v>Online</x:v>
      </x:c>
      <x:c r="L67" s="84" t="str">
        <x:f>'Raw Sales'!I67</x:f>
        <x:v>CARE-001</x:v>
      </x:c>
      <x:c r="M67" s="84" t="str">
        <x:f>IFERROR(VLOOKUP(L67,'Reference Data'!$A$5:$F$40,2,FALSE),"Unknown Product")</x:f>
        <x:v>Ionic Hair Dryer</x:v>
      </x:c>
      <x:c r="N67" s="84" t="str">
        <x:f>IFERROR(VLOOKUP(L67,'Reference Data'!$A$5:$F$40,3,FALSE),"Unknown")</x:f>
        <x:v>Personal Care</x:v>
      </x:c>
      <x:c r="O67" s="84" t="str">
        <x:f>IFERROR(VLOOKUP(L67,'Reference Data'!$A$5:$F$40,4,FALSE),"Unknown")</x:f>
        <x:v>Hair Care</x:v>
      </x:c>
      <x:c r="P67" s="92" t="n">
        <x:f>IFERROR(VLOOKUP(L67,'Reference Data'!$A$5:$F$40,5,FALSE),0)</x:f>
        <x:v>54</x:v>
      </x:c>
      <x:c r="Q67" s="92" t="n">
        <x:f>IFERROR(VLOOKUP(L67,'Reference Data'!$A$5:$F$40,6,FALSE),0)</x:f>
        <x:v>25</x:v>
      </x:c>
      <x:c r="R67" s="84" t="n">
        <x:f>'Raw Sales'!J67</x:f>
        <x:v>5</x:v>
      </x:c>
      <x:c r="S67" s="87" t="n">
        <x:f>'Raw Sales'!K67</x:f>
        <x:v>0.1</x:v>
      </x:c>
      <x:c r="T67" s="93" t="n">
        <x:f>P67*R67</x:f>
        <x:v>270</x:v>
      </x:c>
      <x:c r="U67" s="93" t="n">
        <x:f>T67*S67</x:f>
        <x:v>27</x:v>
      </x:c>
      <x:c r="V67" s="93" t="str">
        <x:f>PROPER(TRIM('Raw Sales'!L67))</x:f>
        <x:v>Completed</x:v>
      </x:c>
      <x:c r="W67" s="93" t="n">
        <x:f>IF(V67="Returned",0,T67-U67)</x:f>
        <x:v>243</x:v>
      </x:c>
      <x:c r="X67" s="93" t="n">
        <x:f>IF(V67="Returned",Q67*R67*10%,Q67*R67)</x:f>
        <x:v>125</x:v>
      </x:c>
      <x:c r="Y67" s="93" t="n">
        <x:f>W67-X67</x:f>
        <x:v>118</x:v>
      </x:c>
      <x:c r="Z67" s="94" t="n">
        <x:f>IFERROR(Y67/W67,0)</x:f>
        <x:v>0.48559670781893005</x:v>
      </x:c>
      <x:c r="AA67" s="84" t="str">
        <x:f>PROPER(TRIM('Raw Sales'!M67))</x:f>
        <x:v>Paypal</x:v>
      </x:c>
      <x:c r="AB67" s="84" t="str">
        <x:f>PROPER(TRIM('Raw Sales'!N67))</x:f>
        <x:v>Leo Martinez</x:v>
      </x:c>
      <x:c r="AC67" s="85" t="n">
        <x:f>'Raw Sales'!O67</x:f>
        <x:v>45326</x:v>
      </x:c>
      <x:c r="AD67" s="84" t="n">
        <x:f>AC67-B67</x:f>
        <x:v>3</x:v>
      </x:c>
      <x:c r="AE67" s="84" t="str">
        <x:f>IF(COUNTIF($A$5:A67,A67)&gt;1,"Duplicate","Keep")</x:f>
        <x:v>Keep</x:v>
      </x:c>
      <x:c r="AF67" s="84" t="str">
        <x:f>IF(OR(R67&lt;=0,AC67&lt;B67,H67="Unknown",M67="Unknown Product"),"Review","Valid")</x:f>
        <x:v>Valid</x:v>
      </x:c>
      <x:c r="AG67" s="84" t="n">
        <x:f>IF(AND(AE67="Keep",AF67="Valid"),1,0)</x:f>
        <x:v>1</x:v>
      </x:c>
      <x:c r="AH67" s="84" t="n">
        <x:f>IF(AND(AG67=1,OR('Dashboard'!$B$4="All",I67='Dashboard'!$B$4),OR('Dashboard'!$E$4="All",N67='Dashboard'!$E$4),OR('Dashboard'!$H$4="All",K67='Dashboard'!$H$4),OR('Dashboard'!$K$4="All",C67='Dashboard'!$K$4)),1,0)</x:f>
        <x:v>1</x:v>
      </x:c>
      <x:c r="AI67" s="84" t="n">
        <x:f>IF(AND(AG67=1,OR('Dashboard'!$B$4="All",I67='Dashboard'!$B$4),OR('Dashboard'!$E$4="All",N67='Dashboard'!$E$4),OR('Dashboard'!$H$4="All",K67='Dashboard'!$H$4)),1,0)</x:f>
        <x:v>1</x:v>
      </x:c>
    </x:row>
    <x:row r="68">
      <x:c r="A68" s="84" t="str">
        <x:f>'Raw Sales'!A68</x:f>
        <x:v>ORD-2024-01288</x:v>
      </x:c>
      <x:c r="B68" s="85" t="n">
        <x:f>'Raw Sales'!B68</x:f>
        <x:v>45323</x:v>
      </x:c>
      <x:c r="C68" s="84" t="n">
        <x:f>YEAR(B68)</x:f>
        <x:v>2024</x:v>
      </x:c>
      <x:c r="D68" s="91" t="n">
        <x:f>DATE(YEAR(B68),MONTH(B68),1)</x:f>
        <x:v>45323</x:v>
      </x:c>
      <x:c r="E68" s="84" t="str">
        <x:f>TEXT(B68,"mmm")</x:f>
        <x:v>Feb</x:v>
      </x:c>
      <x:c r="F68" s="84" t="str">
        <x:f>'Raw Sales'!C68</x:f>
        <x:v>CUST-0296</x:v>
      </x:c>
      <x:c r="G68" s="84" t="str">
        <x:f>PROPER(TRIM('Raw Sales'!D68))</x:f>
        <x:v>Sara Irwin</x:v>
      </x:c>
      <x:c r="H68" s="84" t="str">
        <x:f>IF(TRIM('Raw Sales'!E68)="","Unknown",PROPER(TRIM('Raw Sales'!E68)))</x:f>
        <x:v>Corporate</x:v>
      </x:c>
      <x:c r="I68" s="84" t="str">
        <x:f>PROPER(TRIM('Raw Sales'!F68))</x:f>
        <x:v>Midwest</x:v>
      </x:c>
      <x:c r="J68" s="84" t="str">
        <x:f>PROPER(TRIM('Raw Sales'!G68))</x:f>
        <x:v>Columbus</x:v>
      </x:c>
      <x:c r="K68" s="84" t="str">
        <x:f>PROPER(TRIM('Raw Sales'!H68))</x:f>
        <x:v>Online</x:v>
      </x:c>
      <x:c r="L68" s="84" t="str">
        <x:f>'Raw Sales'!I68</x:f>
        <x:v>CARE-006</x:v>
      </x:c>
      <x:c r="M68" s="84" t="str">
        <x:f>IFERROR(VLOOKUP(L68,'Reference Data'!$A$5:$F$40,2,FALSE),"Unknown Product")</x:f>
        <x:v>Percussion Massage Gun</x:v>
      </x:c>
      <x:c r="N68" s="84" t="str">
        <x:f>IFERROR(VLOOKUP(L68,'Reference Data'!$A$5:$F$40,3,FALSE),"Unknown")</x:f>
        <x:v>Personal Care</x:v>
      </x:c>
      <x:c r="O68" s="84" t="str">
        <x:f>IFERROR(VLOOKUP(L68,'Reference Data'!$A$5:$F$40,4,FALSE),"Unknown")</x:f>
        <x:v>Wellness</x:v>
      </x:c>
      <x:c r="P68" s="92" t="n">
        <x:f>IFERROR(VLOOKUP(L68,'Reference Data'!$A$5:$F$40,5,FALSE),0)</x:f>
        <x:v>129</x:v>
      </x:c>
      <x:c r="Q68" s="92" t="n">
        <x:f>IFERROR(VLOOKUP(L68,'Reference Data'!$A$5:$F$40,6,FALSE),0)</x:f>
        <x:v>70</x:v>
      </x:c>
      <x:c r="R68" s="84" t="n">
        <x:f>'Raw Sales'!J68</x:f>
        <x:v>2</x:v>
      </x:c>
      <x:c r="S68" s="87" t="n">
        <x:f>'Raw Sales'!K68</x:f>
        <x:v>0</x:v>
      </x:c>
      <x:c r="T68" s="93" t="n">
        <x:f>P68*R68</x:f>
        <x:v>258</x:v>
      </x:c>
      <x:c r="U68" s="93" t="n">
        <x:f>T68*S68</x:f>
        <x:v>0</x:v>
      </x:c>
      <x:c r="V68" s="93" t="str">
        <x:f>PROPER(TRIM('Raw Sales'!L68))</x:f>
        <x:v>Completed</x:v>
      </x:c>
      <x:c r="W68" s="93" t="n">
        <x:f>IF(V68="Returned",0,T68-U68)</x:f>
        <x:v>258</x:v>
      </x:c>
      <x:c r="X68" s="93" t="n">
        <x:f>IF(V68="Returned",Q68*R68*10%,Q68*R68)</x:f>
        <x:v>140</x:v>
      </x:c>
      <x:c r="Y68" s="93" t="n">
        <x:f>W68-X68</x:f>
        <x:v>118</x:v>
      </x:c>
      <x:c r="Z68" s="94" t="n">
        <x:f>IFERROR(Y68/W68,0)</x:f>
        <x:v>0.4573643410852713</x:v>
      </x:c>
      <x:c r="AA68" s="84" t="str">
        <x:f>PROPER(TRIM('Raw Sales'!M68))</x:f>
        <x:v>Paypal</x:v>
      </x:c>
      <x:c r="AB68" s="84" t="str">
        <x:f>PROPER(TRIM('Raw Sales'!N68))</x:f>
        <x:v>Zoe Turner</x:v>
      </x:c>
      <x:c r="AC68" s="85" t="n">
        <x:f>'Raw Sales'!O68</x:f>
        <x:v>45327</x:v>
      </x:c>
      <x:c r="AD68" s="84" t="n">
        <x:f>AC68-B68</x:f>
        <x:v>4</x:v>
      </x:c>
      <x:c r="AE68" s="84" t="str">
        <x:f>IF(COUNTIF($A$5:A68,A68)&gt;1,"Duplicate","Keep")</x:f>
        <x:v>Keep</x:v>
      </x:c>
      <x:c r="AF68" s="84" t="str">
        <x:f>IF(OR(R68&lt;=0,AC68&lt;B68,H68="Unknown",M68="Unknown Product"),"Review","Valid")</x:f>
        <x:v>Valid</x:v>
      </x:c>
      <x:c r="AG68" s="84" t="n">
        <x:f>IF(AND(AE68="Keep",AF68="Valid"),1,0)</x:f>
        <x:v>1</x:v>
      </x:c>
      <x:c r="AH68" s="84" t="n">
        <x:f>IF(AND(AG68=1,OR('Dashboard'!$B$4="All",I68='Dashboard'!$B$4),OR('Dashboard'!$E$4="All",N68='Dashboard'!$E$4),OR('Dashboard'!$H$4="All",K68='Dashboard'!$H$4),OR('Dashboard'!$K$4="All",C68='Dashboard'!$K$4)),1,0)</x:f>
        <x:v>1</x:v>
      </x:c>
      <x:c r="AI68" s="84" t="n">
        <x:f>IF(AND(AG68=1,OR('Dashboard'!$B$4="All",I68='Dashboard'!$B$4),OR('Dashboard'!$E$4="All",N68='Dashboard'!$E$4),OR('Dashboard'!$H$4="All",K68='Dashboard'!$H$4)),1,0)</x:f>
        <x:v>1</x:v>
      </x:c>
    </x:row>
    <x:row r="69">
      <x:c r="A69" s="84" t="str">
        <x:f>'Raw Sales'!A69</x:f>
        <x:v>ORD-2024-01783</x:v>
      </x:c>
      <x:c r="B69" s="85" t="n">
        <x:f>'Raw Sales'!B69</x:f>
        <x:v>45323</x:v>
      </x:c>
      <x:c r="C69" s="84" t="n">
        <x:f>YEAR(B69)</x:f>
        <x:v>2024</x:v>
      </x:c>
      <x:c r="D69" s="91" t="n">
        <x:f>DATE(YEAR(B69),MONTH(B69),1)</x:f>
        <x:v>45323</x:v>
      </x:c>
      <x:c r="E69" s="84" t="str">
        <x:f>TEXT(B69,"mmm")</x:f>
        <x:v>Feb</x:v>
      </x:c>
      <x:c r="F69" s="84" t="str">
        <x:f>'Raw Sales'!C69</x:f>
        <x:v>CUST-0322</x:v>
      </x:c>
      <x:c r="G69" s="84" t="str">
        <x:f>PROPER(TRIM('Raw Sales'!D69))</x:f>
        <x:v>Jasmine Khan</x:v>
      </x:c>
      <x:c r="H69" s="84" t="str">
        <x:f>IF(TRIM('Raw Sales'!E69)="","Unknown",PROPER(TRIM('Raw Sales'!E69)))</x:f>
        <x:v>Corporate</x:v>
      </x:c>
      <x:c r="I69" s="84" t="str">
        <x:f>PROPER(TRIM('Raw Sales'!F69))</x:f>
        <x:v>Southeast</x:v>
      </x:c>
      <x:c r="J69" s="84" t="str">
        <x:f>PROPER(TRIM('Raw Sales'!G69))</x:f>
        <x:v>Atlanta</x:v>
      </x:c>
      <x:c r="K69" s="84" t="str">
        <x:f>PROPER(TRIM('Raw Sales'!H69))</x:f>
        <x:v>Retail Store</x:v>
      </x:c>
      <x:c r="L69" s="84" t="str">
        <x:f>'Raw Sales'!I69</x:f>
        <x:v>ELEC-006</x:v>
      </x:c>
      <x:c r="M69" s="84" t="str">
        <x:f>IFERROR(VLOOKUP(L69,'Reference Data'!$A$5:$F$40,2,FALSE),"Unknown Product")</x:f>
        <x:v>Portable SSD</x:v>
      </x:c>
      <x:c r="N69" s="84" t="str">
        <x:f>IFERROR(VLOOKUP(L69,'Reference Data'!$A$5:$F$40,3,FALSE),"Unknown")</x:f>
        <x:v>Electronics</x:v>
      </x:c>
      <x:c r="O69" s="84" t="str">
        <x:f>IFERROR(VLOOKUP(L69,'Reference Data'!$A$5:$F$40,4,FALSE),"Unknown")</x:f>
        <x:v>Storage</x:v>
      </x:c>
      <x:c r="P69" s="92" t="n">
        <x:f>IFERROR(VLOOKUP(L69,'Reference Data'!$A$5:$F$40,5,FALSE),0)</x:f>
        <x:v>129</x:v>
      </x:c>
      <x:c r="Q69" s="92" t="n">
        <x:f>IFERROR(VLOOKUP(L69,'Reference Data'!$A$5:$F$40,6,FALSE),0)</x:f>
        <x:v>75</x:v>
      </x:c>
      <x:c r="R69" s="84" t="n">
        <x:f>'Raw Sales'!J69</x:f>
        <x:v>2</x:v>
      </x:c>
      <x:c r="S69" s="87" t="n">
        <x:f>'Raw Sales'!K69</x:f>
        <x:v>0</x:v>
      </x:c>
      <x:c r="T69" s="93" t="n">
        <x:f>P69*R69</x:f>
        <x:v>258</x:v>
      </x:c>
      <x:c r="U69" s="93" t="n">
        <x:f>T69*S69</x:f>
        <x:v>0</x:v>
      </x:c>
      <x:c r="V69" s="93" t="str">
        <x:f>PROPER(TRIM('Raw Sales'!L69))</x:f>
        <x:v>Returned</x:v>
      </x:c>
      <x:c r="W69" s="93" t="n">
        <x:f>IF(V69="Returned",0,T69-U69)</x:f>
        <x:v>0</x:v>
      </x:c>
      <x:c r="X69" s="93" t="n">
        <x:f>IF(V69="Returned",Q69*R69*10%,Q69*R69)</x:f>
        <x:v>15</x:v>
      </x:c>
      <x:c r="Y69" s="93" t="n">
        <x:f>W69-X69</x:f>
        <x:v>-15</x:v>
      </x:c>
      <x:c r="Z69" s="94" t="n">
        <x:f>IFERROR(Y69/W69,0)</x:f>
        <x:v>0</x:v>
      </x:c>
      <x:c r="AA69" s="84" t="str">
        <x:f>PROPER(TRIM('Raw Sales'!M69))</x:f>
        <x:v>Debit Card</x:v>
      </x:c>
      <x:c r="AB69" s="84" t="str">
        <x:f>PROPER(TRIM('Raw Sales'!N69))</x:f>
        <x:v>Ava Mitchell</x:v>
      </x:c>
      <x:c r="AC69" s="85" t="n">
        <x:f>'Raw Sales'!O69</x:f>
        <x:v>45323</x:v>
      </x:c>
      <x:c r="AD69" s="84" t="n">
        <x:f>AC69-B69</x:f>
        <x:v>0</x:v>
      </x:c>
      <x:c r="AE69" s="84" t="str">
        <x:f>IF(COUNTIF($A$5:A69,A69)&gt;1,"Duplicate","Keep")</x:f>
        <x:v>Keep</x:v>
      </x:c>
      <x:c r="AF69" s="84" t="str">
        <x:f>IF(OR(R69&lt;=0,AC69&lt;B69,H69="Unknown",M69="Unknown Product"),"Review","Valid")</x:f>
        <x:v>Valid</x:v>
      </x:c>
      <x:c r="AG69" s="84" t="n">
        <x:f>IF(AND(AE69="Keep",AF69="Valid"),1,0)</x:f>
        <x:v>1</x:v>
      </x:c>
      <x:c r="AH69" s="84" t="n">
        <x:f>IF(AND(AG69=1,OR('Dashboard'!$B$4="All",I69='Dashboard'!$B$4),OR('Dashboard'!$E$4="All",N69='Dashboard'!$E$4),OR('Dashboard'!$H$4="All",K69='Dashboard'!$H$4),OR('Dashboard'!$K$4="All",C69='Dashboard'!$K$4)),1,0)</x:f>
        <x:v>1</x:v>
      </x:c>
      <x:c r="AI69" s="84" t="n">
        <x:f>IF(AND(AG69=1,OR('Dashboard'!$B$4="All",I69='Dashboard'!$B$4),OR('Dashboard'!$E$4="All",N69='Dashboard'!$E$4),OR('Dashboard'!$H$4="All",K69='Dashboard'!$H$4)),1,0)</x:f>
        <x:v>1</x:v>
      </x:c>
    </x:row>
    <x:row r="70">
      <x:c r="A70" s="84" t="str">
        <x:f>'Raw Sales'!A70</x:f>
        <x:v>ORD-2024-00188</x:v>
      </x:c>
      <x:c r="B70" s="85" t="n">
        <x:f>'Raw Sales'!B70</x:f>
        <x:v>45324</x:v>
      </x:c>
      <x:c r="C70" s="84" t="n">
        <x:f>YEAR(B70)</x:f>
        <x:v>2024</x:v>
      </x:c>
      <x:c r="D70" s="91" t="n">
        <x:f>DATE(YEAR(B70),MONTH(B70),1)</x:f>
        <x:v>45323</x:v>
      </x:c>
      <x:c r="E70" s="84" t="str">
        <x:f>TEXT(B70,"mmm")</x:f>
        <x:v>Feb</x:v>
      </x:c>
      <x:c r="F70" s="84" t="str">
        <x:f>'Raw Sales'!C70</x:f>
        <x:v>CUST-0251</x:v>
      </x:c>
      <x:c r="G70" s="84" t="str">
        <x:f>PROPER(TRIM('Raw Sales'!D70))</x:f>
        <x:v>Isaac Patel</x:v>
      </x:c>
      <x:c r="H70" s="84" t="str">
        <x:f>IF(TRIM('Raw Sales'!E70)="","Unknown",PROPER(TRIM('Raw Sales'!E70)))</x:f>
        <x:v>Small Business</x:v>
      </x:c>
      <x:c r="I70" s="84" t="str">
        <x:f>PROPER(TRIM('Raw Sales'!F70))</x:f>
        <x:v>Southeast</x:v>
      </x:c>
      <x:c r="J70" s="84" t="str">
        <x:f>PROPER(TRIM('Raw Sales'!G70))</x:f>
        <x:v>Atlanta</x:v>
      </x:c>
      <x:c r="K70" s="84" t="str">
        <x:f>PROPER(TRIM('Raw Sales'!H70))</x:f>
        <x:v>Online</x:v>
      </x:c>
      <x:c r="L70" s="84" t="str">
        <x:f>'Raw Sales'!I70</x:f>
        <x:v>ACCS-002</x:v>
      </x:c>
      <x:c r="M70" s="84" t="str">
        <x:f>IFERROR(VLOOKUP(L70,'Reference Data'!$A$5:$F$40,2,FALSE),"Unknown Product")</x:f>
        <x:v>Travel Backpack</x:v>
      </x:c>
      <x:c r="N70" s="84" t="str">
        <x:f>IFERROR(VLOOKUP(L70,'Reference Data'!$A$5:$F$40,3,FALSE),"Unknown")</x:f>
        <x:v>Accessories</x:v>
      </x:c>
      <x:c r="O70" s="84" t="str">
        <x:f>IFERROR(VLOOKUP(L70,'Reference Data'!$A$5:$F$40,4,FALSE),"Unknown")</x:f>
        <x:v>Bags</x:v>
      </x:c>
      <x:c r="P70" s="92" t="n">
        <x:f>IFERROR(VLOOKUP(L70,'Reference Data'!$A$5:$F$40,5,FALSE),0)</x:f>
        <x:v>89</x:v>
      </x:c>
      <x:c r="Q70" s="92" t="n">
        <x:f>IFERROR(VLOOKUP(L70,'Reference Data'!$A$5:$F$40,6,FALSE),0)</x:f>
        <x:v>36</x:v>
      </x:c>
      <x:c r="R70" s="84" t="n">
        <x:f>'Raw Sales'!J70</x:f>
        <x:v>2</x:v>
      </x:c>
      <x:c r="S70" s="87" t="n">
        <x:f>'Raw Sales'!K70</x:f>
        <x:v>0.15</x:v>
      </x:c>
      <x:c r="T70" s="93" t="n">
        <x:f>P70*R70</x:f>
        <x:v>178</x:v>
      </x:c>
      <x:c r="U70" s="93" t="n">
        <x:f>T70*S70</x:f>
        <x:v>26.7</x:v>
      </x:c>
      <x:c r="V70" s="93" t="str">
        <x:f>PROPER(TRIM('Raw Sales'!L70))</x:f>
        <x:v>Completed</x:v>
      </x:c>
      <x:c r="W70" s="93" t="n">
        <x:f>IF(V70="Returned",0,T70-U70)</x:f>
        <x:v>151.3</x:v>
      </x:c>
      <x:c r="X70" s="93" t="n">
        <x:f>IF(V70="Returned",Q70*R70*10%,Q70*R70)</x:f>
        <x:v>72</x:v>
      </x:c>
      <x:c r="Y70" s="93" t="n">
        <x:f>W70-X70</x:f>
        <x:v>79.30000000000001</x:v>
      </x:c>
      <x:c r="Z70" s="94" t="n">
        <x:f>IFERROR(Y70/W70,0)</x:f>
        <x:v>0.5241242564441507</x:v>
      </x:c>
      <x:c r="AA70" s="84" t="str">
        <x:f>PROPER(TRIM('Raw Sales'!M70))</x:f>
        <x:v>Mobile Wallet</x:v>
      </x:c>
      <x:c r="AB70" s="84" t="str">
        <x:f>PROPER(TRIM('Raw Sales'!N70))</x:f>
        <x:v>Ava Mitchell</x:v>
      </x:c>
      <x:c r="AC70" s="85" t="n">
        <x:f>'Raw Sales'!O70</x:f>
        <x:v>45330</x:v>
      </x:c>
      <x:c r="AD70" s="84" t="n">
        <x:f>AC70-B70</x:f>
        <x:v>6</x:v>
      </x:c>
      <x:c r="AE70" s="84" t="str">
        <x:f>IF(COUNTIF($A$5:A70,A70)&gt;1,"Duplicate","Keep")</x:f>
        <x:v>Keep</x:v>
      </x:c>
      <x:c r="AF70" s="84" t="str">
        <x:f>IF(OR(R70&lt;=0,AC70&lt;B70,H70="Unknown",M70="Unknown Product"),"Review","Valid")</x:f>
        <x:v>Valid</x:v>
      </x:c>
      <x:c r="AG70" s="84" t="n">
        <x:f>IF(AND(AE70="Keep",AF70="Valid"),1,0)</x:f>
        <x:v>1</x:v>
      </x:c>
      <x:c r="AH70" s="84" t="n">
        <x:f>IF(AND(AG70=1,OR('Dashboard'!$B$4="All",I70='Dashboard'!$B$4),OR('Dashboard'!$E$4="All",N70='Dashboard'!$E$4),OR('Dashboard'!$H$4="All",K70='Dashboard'!$H$4),OR('Dashboard'!$K$4="All",C70='Dashboard'!$K$4)),1,0)</x:f>
        <x:v>1</x:v>
      </x:c>
      <x:c r="AI70" s="84" t="n">
        <x:f>IF(AND(AG70=1,OR('Dashboard'!$B$4="All",I70='Dashboard'!$B$4),OR('Dashboard'!$E$4="All",N70='Dashboard'!$E$4),OR('Dashboard'!$H$4="All",K70='Dashboard'!$H$4)),1,0)</x:f>
        <x:v>1</x:v>
      </x:c>
    </x:row>
    <x:row r="71">
      <x:c r="A71" s="84" t="str">
        <x:f>'Raw Sales'!A71</x:f>
        <x:v>ORD-2024-01537</x:v>
      </x:c>
      <x:c r="B71" s="85" t="n">
        <x:f>'Raw Sales'!B71</x:f>
        <x:v>45324</x:v>
      </x:c>
      <x:c r="C71" s="84" t="n">
        <x:f>YEAR(B71)</x:f>
        <x:v>2024</x:v>
      </x:c>
      <x:c r="D71" s="91" t="n">
        <x:f>DATE(YEAR(B71),MONTH(B71),1)</x:f>
        <x:v>45323</x:v>
      </x:c>
      <x:c r="E71" s="84" t="str">
        <x:f>TEXT(B71,"mmm")</x:f>
        <x:v>Feb</x:v>
      </x:c>
      <x:c r="F71" s="84" t="str">
        <x:f>'Raw Sales'!C71</x:f>
        <x:v>CUST-0411</x:v>
      </x:c>
      <x:c r="G71" s="84" t="str">
        <x:f>PROPER(TRIM('Raw Sales'!D71))</x:f>
        <x:v>Daniel Young</x:v>
      </x:c>
      <x:c r="H71" s="84" t="str">
        <x:f>IF(TRIM('Raw Sales'!E71)="","Unknown",PROPER(TRIM('Raw Sales'!E71)))</x:f>
        <x:v>Corporate</x:v>
      </x:c>
      <x:c r="I71" s="84" t="str">
        <x:f>PROPER(TRIM('Raw Sales'!F71))</x:f>
        <x:v>West</x:v>
      </x:c>
      <x:c r="J71" s="84" t="str">
        <x:f>PROPER(TRIM('Raw Sales'!G71))</x:f>
        <x:v>Denver</x:v>
      </x:c>
      <x:c r="K71" s="84" t="str">
        <x:f>PROPER(TRIM('Raw Sales'!H71))</x:f>
        <x:v>Retail Store</x:v>
      </x:c>
      <x:c r="L71" s="84" t="str">
        <x:f>'Raw Sales'!I71</x:f>
        <x:v>ELEC-003</x:v>
      </x:c>
      <x:c r="M71" s="84" t="str">
        <x:f>IFERROR(VLOOKUP(L71,'Reference Data'!$A$5:$F$40,2,FALSE),"Unknown Product")</x:f>
        <x:v>Bluetooth Speaker</x:v>
      </x:c>
      <x:c r="N71" s="84" t="str">
        <x:f>IFERROR(VLOOKUP(L71,'Reference Data'!$A$5:$F$40,3,FALSE),"Unknown")</x:f>
        <x:v>Electronics</x:v>
      </x:c>
      <x:c r="O71" s="84" t="str">
        <x:f>IFERROR(VLOOKUP(L71,'Reference Data'!$A$5:$F$40,4,FALSE),"Unknown")</x:f>
        <x:v>Audio</x:v>
      </x:c>
      <x:c r="P71" s="92" t="n">
        <x:f>IFERROR(VLOOKUP(L71,'Reference Data'!$A$5:$F$40,5,FALSE),0)</x:f>
        <x:v>89</x:v>
      </x:c>
      <x:c r="Q71" s="92" t="n">
        <x:f>IFERROR(VLOOKUP(L71,'Reference Data'!$A$5:$F$40,6,FALSE),0)</x:f>
        <x:v>44</x:v>
      </x:c>
      <x:c r="R71" s="84" t="n">
        <x:f>'Raw Sales'!J71</x:f>
        <x:v>1</x:v>
      </x:c>
      <x:c r="S71" s="87" t="n">
        <x:f>'Raw Sales'!K71</x:f>
        <x:v>0.1</x:v>
      </x:c>
      <x:c r="T71" s="93" t="n">
        <x:f>P71*R71</x:f>
        <x:v>89</x:v>
      </x:c>
      <x:c r="U71" s="93" t="n">
        <x:f>T71*S71</x:f>
        <x:v>8.9</x:v>
      </x:c>
      <x:c r="V71" s="93" t="str">
        <x:f>PROPER(TRIM('Raw Sales'!L71))</x:f>
        <x:v>Completed</x:v>
      </x:c>
      <x:c r="W71" s="93" t="n">
        <x:f>IF(V71="Returned",0,T71-U71)</x:f>
        <x:v>80.1</x:v>
      </x:c>
      <x:c r="X71" s="93" t="n">
        <x:f>IF(V71="Returned",Q71*R71*10%,Q71*R71)</x:f>
        <x:v>44</x:v>
      </x:c>
      <x:c r="Y71" s="93" t="n">
        <x:f>W71-X71</x:f>
        <x:v>36.099999999999994</x:v>
      </x:c>
      <x:c r="Z71" s="94" t="n">
        <x:f>IFERROR(Y71/W71,0)</x:f>
        <x:v>0.4506866416978776</x:v>
      </x:c>
      <x:c r="AA71" s="84" t="str">
        <x:f>PROPER(TRIM('Raw Sales'!M71))</x:f>
        <x:v>Mobile Wallet</x:v>
      </x:c>
      <x:c r="AB71" s="84" t="str">
        <x:f>PROPER(TRIM('Raw Sales'!N71))</x:f>
        <x:v>Leo Martinez</x:v>
      </x:c>
      <x:c r="AC71" s="85" t="n">
        <x:f>'Raw Sales'!O71</x:f>
        <x:v>45324</x:v>
      </x:c>
      <x:c r="AD71" s="84" t="n">
        <x:f>AC71-B71</x:f>
        <x:v>0</x:v>
      </x:c>
      <x:c r="AE71" s="84" t="str">
        <x:f>IF(COUNTIF($A$5:A71,A71)&gt;1,"Duplicate","Keep")</x:f>
        <x:v>Keep</x:v>
      </x:c>
      <x:c r="AF71" s="84" t="str">
        <x:f>IF(OR(R71&lt;=0,AC71&lt;B71,H71="Unknown",M71="Unknown Product"),"Review","Valid")</x:f>
        <x:v>Valid</x:v>
      </x:c>
      <x:c r="AG71" s="84" t="n">
        <x:f>IF(AND(AE71="Keep",AF71="Valid"),1,0)</x:f>
        <x:v>1</x:v>
      </x:c>
      <x:c r="AH71" s="84" t="n">
        <x:f>IF(AND(AG71=1,OR('Dashboard'!$B$4="All",I71='Dashboard'!$B$4),OR('Dashboard'!$E$4="All",N71='Dashboard'!$E$4),OR('Dashboard'!$H$4="All",K71='Dashboard'!$H$4),OR('Dashboard'!$K$4="All",C71='Dashboard'!$K$4)),1,0)</x:f>
        <x:v>1</x:v>
      </x:c>
      <x:c r="AI71" s="84" t="n">
        <x:f>IF(AND(AG71=1,OR('Dashboard'!$B$4="All",I71='Dashboard'!$B$4),OR('Dashboard'!$E$4="All",N71='Dashboard'!$E$4),OR('Dashboard'!$H$4="All",K71='Dashboard'!$H$4)),1,0)</x:f>
        <x:v>1</x:v>
      </x:c>
    </x:row>
    <x:row r="72">
      <x:c r="A72" s="84" t="str">
        <x:f>'Raw Sales'!A72</x:f>
        <x:v>ORD-2024-01876</x:v>
      </x:c>
      <x:c r="B72" s="85" t="n">
        <x:f>'Raw Sales'!B72</x:f>
        <x:v>45324</x:v>
      </x:c>
      <x:c r="C72" s="84" t="n">
        <x:f>YEAR(B72)</x:f>
        <x:v>2024</x:v>
      </x:c>
      <x:c r="D72" s="91" t="n">
        <x:f>DATE(YEAR(B72),MONTH(B72),1)</x:f>
        <x:v>45323</x:v>
      </x:c>
      <x:c r="E72" s="84" t="str">
        <x:f>TEXT(B72,"mmm")</x:f>
        <x:v>Feb</x:v>
      </x:c>
      <x:c r="F72" s="84" t="str">
        <x:f>'Raw Sales'!C72</x:f>
        <x:v>CUST-0511</x:v>
      </x:c>
      <x:c r="G72" s="84" t="str">
        <x:f>PROPER(TRIM('Raw Sales'!D72))</x:f>
        <x:v>Marcus Walker</x:v>
      </x:c>
      <x:c r="H72" s="84" t="str">
        <x:f>IF(TRIM('Raw Sales'!E72)="","Unknown",PROPER(TRIM('Raw Sales'!E72)))</x:f>
        <x:v>Corporate</x:v>
      </x:c>
      <x:c r="I72" s="84" t="str">
        <x:f>PROPER(TRIM('Raw Sales'!F72))</x:f>
        <x:v>Northeast</x:v>
      </x:c>
      <x:c r="J72" s="84" t="str">
        <x:f>PROPER(TRIM('Raw Sales'!G72))</x:f>
        <x:v>Newark</x:v>
      </x:c>
      <x:c r="K72" s="84" t="str">
        <x:f>PROPER(TRIM('Raw Sales'!H72))</x:f>
        <x:v>Retail Store</x:v>
      </x:c>
      <x:c r="L72" s="84" t="str">
        <x:f>'Raw Sales'!I72</x:f>
        <x:v>ELEC-005</x:v>
      </x:c>
      <x:c r="M72" s="84" t="str">
        <x:f>IFERROR(VLOOKUP(L72,'Reference Data'!$A$5:$F$40,2,FALSE),"Unknown Product")</x:f>
        <x:v>HD Webcam</x:v>
      </x:c>
      <x:c r="N72" s="84" t="str">
        <x:f>IFERROR(VLOOKUP(L72,'Reference Data'!$A$5:$F$40,3,FALSE),"Unknown")</x:f>
        <x:v>Electronics</x:v>
      </x:c>
      <x:c r="O72" s="84" t="str">
        <x:f>IFERROR(VLOOKUP(L72,'Reference Data'!$A$5:$F$40,4,FALSE),"Unknown")</x:f>
        <x:v>Computer Accessories</x:v>
      </x:c>
      <x:c r="P72" s="92" t="n">
        <x:f>IFERROR(VLOOKUP(L72,'Reference Data'!$A$5:$F$40,5,FALSE),0)</x:f>
        <x:v>79</x:v>
      </x:c>
      <x:c r="Q72" s="92" t="n">
        <x:f>IFERROR(VLOOKUP(L72,'Reference Data'!$A$5:$F$40,6,FALSE),0)</x:f>
        <x:v>37</x:v>
      </x:c>
      <x:c r="R72" s="84" t="n">
        <x:f>'Raw Sales'!J72</x:f>
        <x:v>4</x:v>
      </x:c>
      <x:c r="S72" s="87" t="n">
        <x:f>'Raw Sales'!K72</x:f>
        <x:v>0.1</x:v>
      </x:c>
      <x:c r="T72" s="93" t="n">
        <x:f>P72*R72</x:f>
        <x:v>316</x:v>
      </x:c>
      <x:c r="U72" s="93" t="n">
        <x:f>T72*S72</x:f>
        <x:v>31.6</x:v>
      </x:c>
      <x:c r="V72" s="93" t="str">
        <x:f>PROPER(TRIM('Raw Sales'!L72))</x:f>
        <x:v>Completed</x:v>
      </x:c>
      <x:c r="W72" s="93" t="n">
        <x:f>IF(V72="Returned",0,T72-U72)</x:f>
        <x:v>284.4</x:v>
      </x:c>
      <x:c r="X72" s="93" t="n">
        <x:f>IF(V72="Returned",Q72*R72*10%,Q72*R72)</x:f>
        <x:v>148</x:v>
      </x:c>
      <x:c r="Y72" s="93" t="n">
        <x:f>W72-X72</x:f>
        <x:v>136.39999999999998</x:v>
      </x:c>
      <x:c r="Z72" s="94" t="n">
        <x:f>IFERROR(Y72/W72,0)</x:f>
        <x:v>0.4796061884669479</x:v>
      </x:c>
      <x:c r="AA72" s="84" t="str">
        <x:f>PROPER(TRIM('Raw Sales'!M72))</x:f>
        <x:v>Debit Card</x:v>
      </x:c>
      <x:c r="AB72" s="84" t="str">
        <x:f>PROPER(TRIM('Raw Sales'!N72))</x:f>
        <x:v>Ethan Cole</x:v>
      </x:c>
      <x:c r="AC72" s="85" t="n">
        <x:f>'Raw Sales'!O72</x:f>
        <x:v>45324</x:v>
      </x:c>
      <x:c r="AD72" s="84" t="n">
        <x:f>AC72-B72</x:f>
        <x:v>0</x:v>
      </x:c>
      <x:c r="AE72" s="84" t="str">
        <x:f>IF(COUNTIF($A$5:A72,A72)&gt;1,"Duplicate","Keep")</x:f>
        <x:v>Keep</x:v>
      </x:c>
      <x:c r="AF72" s="84" t="str">
        <x:f>IF(OR(R72&lt;=0,AC72&lt;B72,H72="Unknown",M72="Unknown Product"),"Review","Valid")</x:f>
        <x:v>Valid</x:v>
      </x:c>
      <x:c r="AG72" s="84" t="n">
        <x:f>IF(AND(AE72="Keep",AF72="Valid"),1,0)</x:f>
        <x:v>1</x:v>
      </x:c>
      <x:c r="AH72" s="84" t="n">
        <x:f>IF(AND(AG72=1,OR('Dashboard'!$B$4="All",I72='Dashboard'!$B$4),OR('Dashboard'!$E$4="All",N72='Dashboard'!$E$4),OR('Dashboard'!$H$4="All",K72='Dashboard'!$H$4),OR('Dashboard'!$K$4="All",C72='Dashboard'!$K$4)),1,0)</x:f>
        <x:v>1</x:v>
      </x:c>
      <x:c r="AI72" s="84" t="n">
        <x:f>IF(AND(AG72=1,OR('Dashboard'!$B$4="All",I72='Dashboard'!$B$4),OR('Dashboard'!$E$4="All",N72='Dashboard'!$E$4),OR('Dashboard'!$H$4="All",K72='Dashboard'!$H$4)),1,0)</x:f>
        <x:v>1</x:v>
      </x:c>
    </x:row>
    <x:row r="73">
      <x:c r="A73" s="84" t="str">
        <x:f>'Raw Sales'!A73</x:f>
        <x:v>ORD-2024-02373</x:v>
      </x:c>
      <x:c r="B73" s="85" t="n">
        <x:f>'Raw Sales'!B73</x:f>
        <x:v>45324</x:v>
      </x:c>
      <x:c r="C73" s="84" t="n">
        <x:f>YEAR(B73)</x:f>
        <x:v>2024</x:v>
      </x:c>
      <x:c r="D73" s="91" t="n">
        <x:f>DATE(YEAR(B73),MONTH(B73),1)</x:f>
        <x:v>45323</x:v>
      </x:c>
      <x:c r="E73" s="84" t="str">
        <x:f>TEXT(B73,"mmm")</x:f>
        <x:v>Feb</x:v>
      </x:c>
      <x:c r="F73" s="84" t="str">
        <x:f>'Raw Sales'!C73</x:f>
        <x:v>CUST-0632</x:v>
      </x:c>
      <x:c r="G73" s="84" t="str">
        <x:f>PROPER(TRIM('Raw Sales'!D73))</x:f>
        <x:v>Caleb Adams</x:v>
      </x:c>
      <x:c r="H73" s="84" t="str">
        <x:f>IF(TRIM('Raw Sales'!E73)="","Unknown",PROPER(TRIM('Raw Sales'!E73)))</x:f>
        <x:v>Consumer</x:v>
      </x:c>
      <x:c r="I73" s="84" t="str">
        <x:f>PROPER(TRIM('Raw Sales'!F73))</x:f>
        <x:v>West</x:v>
      </x:c>
      <x:c r="J73" s="84" t="str">
        <x:f>PROPER(TRIM('Raw Sales'!G73))</x:f>
        <x:v>Phoenix</x:v>
      </x:c>
      <x:c r="K73" s="84" t="str">
        <x:f>PROPER(TRIM('Raw Sales'!H73))</x:f>
        <x:v>Retail Store</x:v>
      </x:c>
      <x:c r="L73" s="84" t="str">
        <x:f>'Raw Sales'!I73</x:f>
        <x:v>CARE-005</x:v>
      </x:c>
      <x:c r="M73" s="84" t="str">
        <x:f>IFERROR(VLOOKUP(L73,'Reference Data'!$A$5:$F$40,2,FALSE),"Unknown Product")</x:f>
        <x:v>Skin Care Starter Kit</x:v>
      </x:c>
      <x:c r="N73" s="84" t="str">
        <x:f>IFERROR(VLOOKUP(L73,'Reference Data'!$A$5:$F$40,3,FALSE),"Unknown")</x:f>
        <x:v>Personal Care</x:v>
      </x:c>
      <x:c r="O73" s="84" t="str">
        <x:f>IFERROR(VLOOKUP(L73,'Reference Data'!$A$5:$F$40,4,FALSE),"Unknown")</x:f>
        <x:v>Skin Care</x:v>
      </x:c>
      <x:c r="P73" s="92" t="n">
        <x:f>IFERROR(VLOOKUP(L73,'Reference Data'!$A$5:$F$40,5,FALSE),0)</x:f>
        <x:v>58</x:v>
      </x:c>
      <x:c r="Q73" s="92" t="n">
        <x:f>IFERROR(VLOOKUP(L73,'Reference Data'!$A$5:$F$40,6,FALSE),0)</x:f>
        <x:v>24</x:v>
      </x:c>
      <x:c r="R73" s="84" t="n">
        <x:f>'Raw Sales'!J73</x:f>
        <x:v>4</x:v>
      </x:c>
      <x:c r="S73" s="87" t="n">
        <x:f>'Raw Sales'!K73</x:f>
        <x:v>0</x:v>
      </x:c>
      <x:c r="T73" s="93" t="n">
        <x:f>P73*R73</x:f>
        <x:v>232</x:v>
      </x:c>
      <x:c r="U73" s="93" t="n">
        <x:f>T73*S73</x:f>
        <x:v>0</x:v>
      </x:c>
      <x:c r="V73" s="93" t="str">
        <x:f>PROPER(TRIM('Raw Sales'!L73))</x:f>
        <x:v>Completed</x:v>
      </x:c>
      <x:c r="W73" s="93" t="n">
        <x:f>IF(V73="Returned",0,T73-U73)</x:f>
        <x:v>232</x:v>
      </x:c>
      <x:c r="X73" s="93" t="n">
        <x:f>IF(V73="Returned",Q73*R73*10%,Q73*R73)</x:f>
        <x:v>96</x:v>
      </x:c>
      <x:c r="Y73" s="93" t="n">
        <x:f>W73-X73</x:f>
        <x:v>136</x:v>
      </x:c>
      <x:c r="Z73" s="94" t="n">
        <x:f>IFERROR(Y73/W73,0)</x:f>
        <x:v>0.5862068965517241</x:v>
      </x:c>
      <x:c r="AA73" s="84" t="str">
        <x:f>PROPER(TRIM('Raw Sales'!M73))</x:f>
        <x:v>Debit Card</x:v>
      </x:c>
      <x:c r="AB73" s="84" t="str">
        <x:f>PROPER(TRIM('Raw Sales'!N73))</x:f>
        <x:v>Mia Chen</x:v>
      </x:c>
      <x:c r="AC73" s="85" t="n">
        <x:f>'Raw Sales'!O73</x:f>
        <x:v>45324</x:v>
      </x:c>
      <x:c r="AD73" s="84" t="n">
        <x:f>AC73-B73</x:f>
        <x:v>0</x:v>
      </x:c>
      <x:c r="AE73" s="84" t="str">
        <x:f>IF(COUNTIF($A$5:A73,A73)&gt;1,"Duplicate","Keep")</x:f>
        <x:v>Keep</x:v>
      </x:c>
      <x:c r="AF73" s="84" t="str">
        <x:f>IF(OR(R73&lt;=0,AC73&lt;B73,H73="Unknown",M73="Unknown Product"),"Review","Valid")</x:f>
        <x:v>Valid</x:v>
      </x:c>
      <x:c r="AG73" s="84" t="n">
        <x:f>IF(AND(AE73="Keep",AF73="Valid"),1,0)</x:f>
        <x:v>1</x:v>
      </x:c>
      <x:c r="AH73" s="84" t="n">
        <x:f>IF(AND(AG73=1,OR('Dashboard'!$B$4="All",I73='Dashboard'!$B$4),OR('Dashboard'!$E$4="All",N73='Dashboard'!$E$4),OR('Dashboard'!$H$4="All",K73='Dashboard'!$H$4),OR('Dashboard'!$K$4="All",C73='Dashboard'!$K$4)),1,0)</x:f>
        <x:v>1</x:v>
      </x:c>
      <x:c r="AI73" s="84" t="n">
        <x:f>IF(AND(AG73=1,OR('Dashboard'!$B$4="All",I73='Dashboard'!$B$4),OR('Dashboard'!$E$4="All",N73='Dashboard'!$E$4),OR('Dashboard'!$H$4="All",K73='Dashboard'!$H$4)),1,0)</x:f>
        <x:v>1</x:v>
      </x:c>
    </x:row>
    <x:row r="74">
      <x:c r="A74" s="84" t="str">
        <x:f>'Raw Sales'!A74</x:f>
        <x:v>ORD-2024-01059</x:v>
      </x:c>
      <x:c r="B74" s="85" t="n">
        <x:f>'Raw Sales'!B74</x:f>
        <x:v>45325</x:v>
      </x:c>
      <x:c r="C74" s="84" t="n">
        <x:f>YEAR(B74)</x:f>
        <x:v>2024</x:v>
      </x:c>
      <x:c r="D74" s="91" t="n">
        <x:f>DATE(YEAR(B74),MONTH(B74),1)</x:f>
        <x:v>45323</x:v>
      </x:c>
      <x:c r="E74" s="84" t="str">
        <x:f>TEXT(B74,"mmm")</x:f>
        <x:v>Feb</x:v>
      </x:c>
      <x:c r="F74" s="84" t="str">
        <x:f>'Raw Sales'!C74</x:f>
        <x:v>CUST-0247</x:v>
      </x:c>
      <x:c r="G74" s="84" t="str">
        <x:f>PROPER(TRIM('Raw Sales'!D74))</x:f>
        <x:v>Maya Young</x:v>
      </x:c>
      <x:c r="H74" s="84" t="str">
        <x:f>IF(TRIM('Raw Sales'!E74)="","Unknown",PROPER(TRIM('Raw Sales'!E74)))</x:f>
        <x:v>Consumer</x:v>
      </x:c>
      <x:c r="I74" s="84" t="str">
        <x:f>PROPER(TRIM('Raw Sales'!F74))</x:f>
        <x:v>Southeast</x:v>
      </x:c>
      <x:c r="J74" s="84" t="str">
        <x:f>PROPER(TRIM('Raw Sales'!G74))</x:f>
        <x:v>Nashville</x:v>
      </x:c>
      <x:c r="K74" s="84" t="str">
        <x:f>PROPER(TRIM('Raw Sales'!H74))</x:f>
        <x:v>Online</x:v>
      </x:c>
      <x:c r="L74" s="84" t="str">
        <x:f>'Raw Sales'!I74</x:f>
        <x:v>ELEC-004</x:v>
      </x:c>
      <x:c r="M74" s="84" t="str">
        <x:f>IFERROR(VLOOKUP(L74,'Reference Data'!$A$5:$F$40,2,FALSE),"Unknown Product")</x:f>
        <x:v>Power Bank</x:v>
      </x:c>
      <x:c r="N74" s="84" t="str">
        <x:f>IFERROR(VLOOKUP(L74,'Reference Data'!$A$5:$F$40,3,FALSE),"Unknown")</x:f>
        <x:v>Electronics</x:v>
      </x:c>
      <x:c r="O74" s="84" t="str">
        <x:f>IFERROR(VLOOKUP(L74,'Reference Data'!$A$5:$F$40,4,FALSE),"Unknown")</x:f>
        <x:v>Mobile Accessories</x:v>
      </x:c>
      <x:c r="P74" s="92" t="n">
        <x:f>IFERROR(VLOOKUP(L74,'Reference Data'!$A$5:$F$40,5,FALSE),0)</x:f>
        <x:v>39</x:v>
      </x:c>
      <x:c r="Q74" s="92" t="n">
        <x:f>IFERROR(VLOOKUP(L74,'Reference Data'!$A$5:$F$40,6,FALSE),0)</x:f>
        <x:v>18</x:v>
      </x:c>
      <x:c r="R74" s="84" t="n">
        <x:f>'Raw Sales'!J74</x:f>
        <x:v>1</x:v>
      </x:c>
      <x:c r="S74" s="87" t="n">
        <x:f>'Raw Sales'!K74</x:f>
        <x:v>0</x:v>
      </x:c>
      <x:c r="T74" s="93" t="n">
        <x:f>P74*R74</x:f>
        <x:v>39</x:v>
      </x:c>
      <x:c r="U74" s="93" t="n">
        <x:f>T74*S74</x:f>
        <x:v>0</x:v>
      </x:c>
      <x:c r="V74" s="93" t="str">
        <x:f>PROPER(TRIM('Raw Sales'!L74))</x:f>
        <x:v>Completed</x:v>
      </x:c>
      <x:c r="W74" s="93" t="n">
        <x:f>IF(V74="Returned",0,T74-U74)</x:f>
        <x:v>39</x:v>
      </x:c>
      <x:c r="X74" s="93" t="n">
        <x:f>IF(V74="Returned",Q74*R74*10%,Q74*R74)</x:f>
        <x:v>18</x:v>
      </x:c>
      <x:c r="Y74" s="93" t="n">
        <x:f>W74-X74</x:f>
        <x:v>21</x:v>
      </x:c>
      <x:c r="Z74" s="94" t="n">
        <x:f>IFERROR(Y74/W74,0)</x:f>
        <x:v>0.5384615384615384</x:v>
      </x:c>
      <x:c r="AA74" s="84" t="str">
        <x:f>PROPER(TRIM('Raw Sales'!M74))</x:f>
        <x:v>Debit Card</x:v>
      </x:c>
      <x:c r="AB74" s="84" t="str">
        <x:f>PROPER(TRIM('Raw Sales'!N74))</x:f>
        <x:v>Ava Mitchell</x:v>
      </x:c>
      <x:c r="AC74" s="85" t="n">
        <x:f>'Raw Sales'!O74</x:f>
        <x:v>45328</x:v>
      </x:c>
      <x:c r="AD74" s="84" t="n">
        <x:f>AC74-B74</x:f>
        <x:v>3</x:v>
      </x:c>
      <x:c r="AE74" s="84" t="str">
        <x:f>IF(COUNTIF($A$5:A74,A74)&gt;1,"Duplicate","Keep")</x:f>
        <x:v>Keep</x:v>
      </x:c>
      <x:c r="AF74" s="84" t="str">
        <x:f>IF(OR(R74&lt;=0,AC74&lt;B74,H74="Unknown",M74="Unknown Product"),"Review","Valid")</x:f>
        <x:v>Valid</x:v>
      </x:c>
      <x:c r="AG74" s="84" t="n">
        <x:f>IF(AND(AE74="Keep",AF74="Valid"),1,0)</x:f>
        <x:v>1</x:v>
      </x:c>
      <x:c r="AH74" s="84" t="n">
        <x:f>IF(AND(AG74=1,OR('Dashboard'!$B$4="All",I74='Dashboard'!$B$4),OR('Dashboard'!$E$4="All",N74='Dashboard'!$E$4),OR('Dashboard'!$H$4="All",K74='Dashboard'!$H$4),OR('Dashboard'!$K$4="All",C74='Dashboard'!$K$4)),1,0)</x:f>
        <x:v>1</x:v>
      </x:c>
      <x:c r="AI74" s="84" t="n">
        <x:f>IF(AND(AG74=1,OR('Dashboard'!$B$4="All",I74='Dashboard'!$B$4),OR('Dashboard'!$E$4="All",N74='Dashboard'!$E$4),OR('Dashboard'!$H$4="All",K74='Dashboard'!$H$4)),1,0)</x:f>
        <x:v>1</x:v>
      </x:c>
    </x:row>
    <x:row r="75">
      <x:c r="A75" s="84" t="str">
        <x:f>'Raw Sales'!A75</x:f>
        <x:v>ORD-2024-01065</x:v>
      </x:c>
      <x:c r="B75" s="85" t="n">
        <x:f>'Raw Sales'!B75</x:f>
        <x:v>45325</x:v>
      </x:c>
      <x:c r="C75" s="84" t="n">
        <x:f>YEAR(B75)</x:f>
        <x:v>2024</x:v>
      </x:c>
      <x:c r="D75" s="91" t="n">
        <x:f>DATE(YEAR(B75),MONTH(B75),1)</x:f>
        <x:v>45323</x:v>
      </x:c>
      <x:c r="E75" s="84" t="str">
        <x:f>TEXT(B75,"mmm")</x:f>
        <x:v>Feb</x:v>
      </x:c>
      <x:c r="F75" s="84" t="str">
        <x:f>'Raw Sales'!C75</x:f>
        <x:v>CUST-0296</x:v>
      </x:c>
      <x:c r="G75" s="84" t="str">
        <x:f>PROPER(TRIM('Raw Sales'!D75))</x:f>
        <x:v>Sara Irwin</x:v>
      </x:c>
      <x:c r="H75" s="84" t="str">
        <x:f>IF(TRIM('Raw Sales'!E75)="","Unknown",PROPER(TRIM('Raw Sales'!E75)))</x:f>
        <x:v>Corporate</x:v>
      </x:c>
      <x:c r="I75" s="84" t="str">
        <x:f>PROPER(TRIM('Raw Sales'!F75))</x:f>
        <x:v>Midwest</x:v>
      </x:c>
      <x:c r="J75" s="84" t="str">
        <x:f>PROPER(TRIM('Raw Sales'!G75))</x:f>
        <x:v>Columbus</x:v>
      </x:c>
      <x:c r="K75" s="84" t="str">
        <x:f>PROPER(TRIM('Raw Sales'!H75))</x:f>
        <x:v>Retail Store</x:v>
      </x:c>
      <x:c r="L75" s="84" t="str">
        <x:f>'Raw Sales'!I75</x:f>
        <x:v>HOME-004</x:v>
      </x:c>
      <x:c r="M75" s="84" t="str">
        <x:f>IFERROR(VLOOKUP(L75,'Reference Data'!$A$5:$F$40,2,FALSE),"Unknown Product")</x:f>
        <x:v>Coffee Maker</x:v>
      </x:c>
      <x:c r="N75" s="84" t="str">
        <x:f>IFERROR(VLOOKUP(L75,'Reference Data'!$A$5:$F$40,3,FALSE),"Unknown")</x:f>
        <x:v>Home &amp; Kitchen</x:v>
      </x:c>
      <x:c r="O75" s="84" t="str">
        <x:f>IFERROR(VLOOKUP(L75,'Reference Data'!$A$5:$F$40,4,FALSE),"Unknown")</x:f>
        <x:v>Small Appliances</x:v>
      </x:c>
      <x:c r="P75" s="92" t="n">
        <x:f>IFERROR(VLOOKUP(L75,'Reference Data'!$A$5:$F$40,5,FALSE),0)</x:f>
        <x:v>99</x:v>
      </x:c>
      <x:c r="Q75" s="92" t="n">
        <x:f>IFERROR(VLOOKUP(L75,'Reference Data'!$A$5:$F$40,6,FALSE),0)</x:f>
        <x:v>51</x:v>
      </x:c>
      <x:c r="R75" s="84" t="n">
        <x:f>'Raw Sales'!J75</x:f>
        <x:v>6</x:v>
      </x:c>
      <x:c r="S75" s="87" t="n">
        <x:f>'Raw Sales'!K75</x:f>
        <x:v>0.1</x:v>
      </x:c>
      <x:c r="T75" s="93" t="n">
        <x:f>P75*R75</x:f>
        <x:v>594</x:v>
      </x:c>
      <x:c r="U75" s="93" t="n">
        <x:f>T75*S75</x:f>
        <x:v>59.400000000000006</x:v>
      </x:c>
      <x:c r="V75" s="93" t="str">
        <x:f>PROPER(TRIM('Raw Sales'!L75))</x:f>
        <x:v>Completed</x:v>
      </x:c>
      <x:c r="W75" s="93" t="n">
        <x:f>IF(V75="Returned",0,T75-U75)</x:f>
        <x:v>534.6</x:v>
      </x:c>
      <x:c r="X75" s="93" t="n">
        <x:f>IF(V75="Returned",Q75*R75*10%,Q75*R75)</x:f>
        <x:v>306</x:v>
      </x:c>
      <x:c r="Y75" s="93" t="n">
        <x:f>W75-X75</x:f>
        <x:v>228.60000000000002</x:v>
      </x:c>
      <x:c r="Z75" s="94" t="n">
        <x:f>IFERROR(Y75/W75,0)</x:f>
        <x:v>0.42760942760942766</x:v>
      </x:c>
      <x:c r="AA75" s="84" t="str">
        <x:f>PROPER(TRIM('Raw Sales'!M75))</x:f>
        <x:v>Debit Card</x:v>
      </x:c>
      <x:c r="AB75" s="84" t="str">
        <x:f>PROPER(TRIM('Raw Sales'!N75))</x:f>
        <x:v>Lucas Grant</x:v>
      </x:c>
      <x:c r="AC75" s="85" t="n">
        <x:f>'Raw Sales'!O75</x:f>
        <x:v>45325</x:v>
      </x:c>
      <x:c r="AD75" s="84" t="n">
        <x:f>AC75-B75</x:f>
        <x:v>0</x:v>
      </x:c>
      <x:c r="AE75" s="84" t="str">
        <x:f>IF(COUNTIF($A$5:A75,A75)&gt;1,"Duplicate","Keep")</x:f>
        <x:v>Keep</x:v>
      </x:c>
      <x:c r="AF75" s="84" t="str">
        <x:f>IF(OR(R75&lt;=0,AC75&lt;B75,H75="Unknown",M75="Unknown Product"),"Review","Valid")</x:f>
        <x:v>Valid</x:v>
      </x:c>
      <x:c r="AG75" s="84" t="n">
        <x:f>IF(AND(AE75="Keep",AF75="Valid"),1,0)</x:f>
        <x:v>1</x:v>
      </x:c>
      <x:c r="AH75" s="84" t="n">
        <x:f>IF(AND(AG75=1,OR('Dashboard'!$B$4="All",I75='Dashboard'!$B$4),OR('Dashboard'!$E$4="All",N75='Dashboard'!$E$4),OR('Dashboard'!$H$4="All",K75='Dashboard'!$H$4),OR('Dashboard'!$K$4="All",C75='Dashboard'!$K$4)),1,0)</x:f>
        <x:v>1</x:v>
      </x:c>
      <x:c r="AI75" s="84" t="n">
        <x:f>IF(AND(AG75=1,OR('Dashboard'!$B$4="All",I75='Dashboard'!$B$4),OR('Dashboard'!$E$4="All",N75='Dashboard'!$E$4),OR('Dashboard'!$H$4="All",K75='Dashboard'!$H$4)),1,0)</x:f>
        <x:v>1</x:v>
      </x:c>
    </x:row>
    <x:row r="76">
      <x:c r="A76" s="84" t="str">
        <x:f>'Raw Sales'!A76</x:f>
        <x:v>ORD-2024-01096</x:v>
      </x:c>
      <x:c r="B76" s="85" t="n">
        <x:f>'Raw Sales'!B76</x:f>
        <x:v>45325</x:v>
      </x:c>
      <x:c r="C76" s="84" t="n">
        <x:f>YEAR(B76)</x:f>
        <x:v>2024</x:v>
      </x:c>
      <x:c r="D76" s="91" t="n">
        <x:f>DATE(YEAR(B76),MONTH(B76),1)</x:f>
        <x:v>45323</x:v>
      </x:c>
      <x:c r="E76" s="84" t="str">
        <x:f>TEXT(B76,"mmm")</x:f>
        <x:v>Feb</x:v>
      </x:c>
      <x:c r="F76" s="84" t="str">
        <x:f>'Raw Sales'!C76</x:f>
        <x:v>CUST-0108</x:v>
      </x:c>
      <x:c r="G76" s="84" t="str">
        <x:f>PROPER(TRIM('Raw Sales'!D76))</x:f>
        <x:v>Nina Ortiz</x:v>
      </x:c>
      <x:c r="H76" s="84" t="str">
        <x:f>IF(TRIM('Raw Sales'!E76)="","Unknown",PROPER(TRIM('Raw Sales'!E76)))</x:f>
        <x:v>Small Business</x:v>
      </x:c>
      <x:c r="I76" s="84" t="str">
        <x:f>PROPER(TRIM('Raw Sales'!F76))</x:f>
        <x:v>West</x:v>
      </x:c>
      <x:c r="J76" s="84" t="str">
        <x:f>PROPER(TRIM('Raw Sales'!G76))</x:f>
        <x:v>Phoenix</x:v>
      </x:c>
      <x:c r="K76" s="84" t="str">
        <x:f>PROPER(TRIM('Raw Sales'!H76))</x:f>
        <x:v>Marketplace</x:v>
      </x:c>
      <x:c r="L76" s="84" t="str">
        <x:f>'Raw Sales'!I76</x:f>
        <x:v>HOME-004</x:v>
      </x:c>
      <x:c r="M76" s="84" t="str">
        <x:f>IFERROR(VLOOKUP(L76,'Reference Data'!$A$5:$F$40,2,FALSE),"Unknown Product")</x:f>
        <x:v>Coffee Maker</x:v>
      </x:c>
      <x:c r="N76" s="84" t="str">
        <x:f>IFERROR(VLOOKUP(L76,'Reference Data'!$A$5:$F$40,3,FALSE),"Unknown")</x:f>
        <x:v>Home &amp; Kitchen</x:v>
      </x:c>
      <x:c r="O76" s="84" t="str">
        <x:f>IFERROR(VLOOKUP(L76,'Reference Data'!$A$5:$F$40,4,FALSE),"Unknown")</x:f>
        <x:v>Small Appliances</x:v>
      </x:c>
      <x:c r="P76" s="92" t="n">
        <x:f>IFERROR(VLOOKUP(L76,'Reference Data'!$A$5:$F$40,5,FALSE),0)</x:f>
        <x:v>99</x:v>
      </x:c>
      <x:c r="Q76" s="92" t="n">
        <x:f>IFERROR(VLOOKUP(L76,'Reference Data'!$A$5:$F$40,6,FALSE),0)</x:f>
        <x:v>51</x:v>
      </x:c>
      <x:c r="R76" s="84" t="n">
        <x:f>'Raw Sales'!J76</x:f>
        <x:v>1</x:v>
      </x:c>
      <x:c r="S76" s="87" t="n">
        <x:f>'Raw Sales'!K76</x:f>
        <x:v>0.1</x:v>
      </x:c>
      <x:c r="T76" s="93" t="n">
        <x:f>P76*R76</x:f>
        <x:v>99</x:v>
      </x:c>
      <x:c r="U76" s="93" t="n">
        <x:f>T76*S76</x:f>
        <x:v>9.9</x:v>
      </x:c>
      <x:c r="V76" s="93" t="str">
        <x:f>PROPER(TRIM('Raw Sales'!L76))</x:f>
        <x:v>Returned</x:v>
      </x:c>
      <x:c r="W76" s="93" t="n">
        <x:f>IF(V76="Returned",0,T76-U76)</x:f>
        <x:v>0</x:v>
      </x:c>
      <x:c r="X76" s="93" t="n">
        <x:f>IF(V76="Returned",Q76*R76*10%,Q76*R76)</x:f>
        <x:v>5.1000000000000005</x:v>
      </x:c>
      <x:c r="Y76" s="93" t="n">
        <x:f>W76-X76</x:f>
        <x:v>-5.1000000000000005</x:v>
      </x:c>
      <x:c r="Z76" s="94" t="n">
        <x:f>IFERROR(Y76/W76,0)</x:f>
        <x:v>0</x:v>
      </x:c>
      <x:c r="AA76" s="84" t="str">
        <x:f>PROPER(TRIM('Raw Sales'!M76))</x:f>
        <x:v>Debit Card</x:v>
      </x:c>
      <x:c r="AB76" s="84" t="str">
        <x:f>PROPER(TRIM('Raw Sales'!N76))</x:f>
        <x:v>Nora Kim</x:v>
      </x:c>
      <x:c r="AC76" s="85" t="n">
        <x:f>'Raw Sales'!O76</x:f>
        <x:v>45330</x:v>
      </x:c>
      <x:c r="AD76" s="84" t="n">
        <x:f>AC76-B76</x:f>
        <x:v>5</x:v>
      </x:c>
      <x:c r="AE76" s="84" t="str">
        <x:f>IF(COUNTIF($A$5:A76,A76)&gt;1,"Duplicate","Keep")</x:f>
        <x:v>Keep</x:v>
      </x:c>
      <x:c r="AF76" s="84" t="str">
        <x:f>IF(OR(R76&lt;=0,AC76&lt;B76,H76="Unknown",M76="Unknown Product"),"Review","Valid")</x:f>
        <x:v>Valid</x:v>
      </x:c>
      <x:c r="AG76" s="84" t="n">
        <x:f>IF(AND(AE76="Keep",AF76="Valid"),1,0)</x:f>
        <x:v>1</x:v>
      </x:c>
      <x:c r="AH76" s="84" t="n">
        <x:f>IF(AND(AG76=1,OR('Dashboard'!$B$4="All",I76='Dashboard'!$B$4),OR('Dashboard'!$E$4="All",N76='Dashboard'!$E$4),OR('Dashboard'!$H$4="All",K76='Dashboard'!$H$4),OR('Dashboard'!$K$4="All",C76='Dashboard'!$K$4)),1,0)</x:f>
        <x:v>1</x:v>
      </x:c>
      <x:c r="AI76" s="84" t="n">
        <x:f>IF(AND(AG76=1,OR('Dashboard'!$B$4="All",I76='Dashboard'!$B$4),OR('Dashboard'!$E$4="All",N76='Dashboard'!$E$4),OR('Dashboard'!$H$4="All",K76='Dashboard'!$H$4)),1,0)</x:f>
        <x:v>1</x:v>
      </x:c>
    </x:row>
    <x:row r="77">
      <x:c r="A77" s="84" t="str">
        <x:f>'Raw Sales'!A77</x:f>
        <x:v>ORD-2024-01532</x:v>
      </x:c>
      <x:c r="B77" s="85" t="n">
        <x:f>'Raw Sales'!B77</x:f>
        <x:v>45325</x:v>
      </x:c>
      <x:c r="C77" s="84" t="n">
        <x:f>YEAR(B77)</x:f>
        <x:v>2024</x:v>
      </x:c>
      <x:c r="D77" s="91" t="n">
        <x:f>DATE(YEAR(B77),MONTH(B77),1)</x:f>
        <x:v>45323</x:v>
      </x:c>
      <x:c r="E77" s="84" t="str">
        <x:f>TEXT(B77,"mmm")</x:f>
        <x:v>Feb</x:v>
      </x:c>
      <x:c r="F77" s="84" t="str">
        <x:f>'Raw Sales'!C77</x:f>
        <x:v>CUST-0323</x:v>
      </x:c>
      <x:c r="G77" s="84" t="str">
        <x:f>PROPER(TRIM('Raw Sales'!D77))</x:f>
        <x:v>Zara Evans</x:v>
      </x:c>
      <x:c r="H77" s="84" t="str">
        <x:f>IF(TRIM('Raw Sales'!E77)="","Unknown",PROPER(TRIM('Raw Sales'!E77)))</x:f>
        <x:v>Small Business</x:v>
      </x:c>
      <x:c r="I77" s="84" t="str">
        <x:f>PROPER(TRIM('Raw Sales'!F77))</x:f>
        <x:v>Midwest</x:v>
      </x:c>
      <x:c r="J77" s="84" t="str">
        <x:f>PROPER(TRIM('Raw Sales'!G77))</x:f>
        <x:v>Minneapolis</x:v>
      </x:c>
      <x:c r="K77" s="84" t="str">
        <x:f>PROPER(TRIM('Raw Sales'!H77))</x:f>
        <x:v>Online</x:v>
      </x:c>
      <x:c r="L77" s="84" t="str">
        <x:f>'Raw Sales'!I77</x:f>
        <x:v>CARE-001</x:v>
      </x:c>
      <x:c r="M77" s="84" t="str">
        <x:f>IFERROR(VLOOKUP(L77,'Reference Data'!$A$5:$F$40,2,FALSE),"Unknown Product")</x:f>
        <x:v>Ionic Hair Dryer</x:v>
      </x:c>
      <x:c r="N77" s="84" t="str">
        <x:f>IFERROR(VLOOKUP(L77,'Reference Data'!$A$5:$F$40,3,FALSE),"Unknown")</x:f>
        <x:v>Personal Care</x:v>
      </x:c>
      <x:c r="O77" s="84" t="str">
        <x:f>IFERROR(VLOOKUP(L77,'Reference Data'!$A$5:$F$40,4,FALSE),"Unknown")</x:f>
        <x:v>Hair Care</x:v>
      </x:c>
      <x:c r="P77" s="92" t="n">
        <x:f>IFERROR(VLOOKUP(L77,'Reference Data'!$A$5:$F$40,5,FALSE),0)</x:f>
        <x:v>54</x:v>
      </x:c>
      <x:c r="Q77" s="92" t="n">
        <x:f>IFERROR(VLOOKUP(L77,'Reference Data'!$A$5:$F$40,6,FALSE),0)</x:f>
        <x:v>25</x:v>
      </x:c>
      <x:c r="R77" s="84" t="n">
        <x:f>'Raw Sales'!J77</x:f>
        <x:v>2</x:v>
      </x:c>
      <x:c r="S77" s="87" t="n">
        <x:f>'Raw Sales'!K77</x:f>
        <x:v>0.15</x:v>
      </x:c>
      <x:c r="T77" s="93" t="n">
        <x:f>P77*R77</x:f>
        <x:v>108</x:v>
      </x:c>
      <x:c r="U77" s="93" t="n">
        <x:f>T77*S77</x:f>
        <x:v>16.2</x:v>
      </x:c>
      <x:c r="V77" s="93" t="str">
        <x:f>PROPER(TRIM('Raw Sales'!L77))</x:f>
        <x:v>Completed</x:v>
      </x:c>
      <x:c r="W77" s="93" t="n">
        <x:f>IF(V77="Returned",0,T77-U77)</x:f>
        <x:v>91.8</x:v>
      </x:c>
      <x:c r="X77" s="93" t="n">
        <x:f>IF(V77="Returned",Q77*R77*10%,Q77*R77)</x:f>
        <x:v>50</x:v>
      </x:c>
      <x:c r="Y77" s="93" t="n">
        <x:f>W77-X77</x:f>
        <x:v>41.8</x:v>
      </x:c>
      <x:c r="Z77" s="94" t="n">
        <x:f>IFERROR(Y77/W77,0)</x:f>
        <x:v>0.4553376906318083</x:v>
      </x:c>
      <x:c r="AA77" s="84" t="str">
        <x:f>PROPER(TRIM('Raw Sales'!M77))</x:f>
        <x:v>Debit Card</x:v>
      </x:c>
      <x:c r="AB77" s="84" t="str">
        <x:f>PROPER(TRIM('Raw Sales'!N77))</x:f>
        <x:v>Lucas Grant</x:v>
      </x:c>
      <x:c r="AC77" s="85" t="n">
        <x:f>'Raw Sales'!O77</x:f>
        <x:v>45327</x:v>
      </x:c>
      <x:c r="AD77" s="84" t="n">
        <x:f>AC77-B77</x:f>
        <x:v>2</x:v>
      </x:c>
      <x:c r="AE77" s="84" t="str">
        <x:f>IF(COUNTIF($A$5:A77,A77)&gt;1,"Duplicate","Keep")</x:f>
        <x:v>Keep</x:v>
      </x:c>
      <x:c r="AF77" s="84" t="str">
        <x:f>IF(OR(R77&lt;=0,AC77&lt;B77,H77="Unknown",M77="Unknown Product"),"Review","Valid")</x:f>
        <x:v>Valid</x:v>
      </x:c>
      <x:c r="AG77" s="84" t="n">
        <x:f>IF(AND(AE77="Keep",AF77="Valid"),1,0)</x:f>
        <x:v>1</x:v>
      </x:c>
      <x:c r="AH77" s="84" t="n">
        <x:f>IF(AND(AG77=1,OR('Dashboard'!$B$4="All",I77='Dashboard'!$B$4),OR('Dashboard'!$E$4="All",N77='Dashboard'!$E$4),OR('Dashboard'!$H$4="All",K77='Dashboard'!$H$4),OR('Dashboard'!$K$4="All",C77='Dashboard'!$K$4)),1,0)</x:f>
        <x:v>1</x:v>
      </x:c>
      <x:c r="AI77" s="84" t="n">
        <x:f>IF(AND(AG77=1,OR('Dashboard'!$B$4="All",I77='Dashboard'!$B$4),OR('Dashboard'!$E$4="All",N77='Dashboard'!$E$4),OR('Dashboard'!$H$4="All",K77='Dashboard'!$H$4)),1,0)</x:f>
        <x:v>1</x:v>
      </x:c>
    </x:row>
    <x:row r="78">
      <x:c r="A78" s="84" t="str">
        <x:f>'Raw Sales'!A78</x:f>
        <x:v>ORD-2024-01847</x:v>
      </x:c>
      <x:c r="B78" s="85" t="n">
        <x:f>'Raw Sales'!B78</x:f>
        <x:v>45325</x:v>
      </x:c>
      <x:c r="C78" s="84" t="n">
        <x:f>YEAR(B78)</x:f>
        <x:v>2024</x:v>
      </x:c>
      <x:c r="D78" s="91" t="n">
        <x:f>DATE(YEAR(B78),MONTH(B78),1)</x:f>
        <x:v>45323</x:v>
      </x:c>
      <x:c r="E78" s="84" t="str">
        <x:f>TEXT(B78,"mmm")</x:f>
        <x:v>Feb</x:v>
      </x:c>
      <x:c r="F78" s="84" t="str">
        <x:f>'Raw Sales'!C78</x:f>
        <x:v>CUST-0099</x:v>
      </x:c>
      <x:c r="G78" s="84" t="str">
        <x:f>PROPER(TRIM('Raw Sales'!D78))</x:f>
        <x:v>Maya Adams</x:v>
      </x:c>
      <x:c r="H78" s="84" t="str">
        <x:f>IF(TRIM('Raw Sales'!E78)="","Unknown",PROPER(TRIM('Raw Sales'!E78)))</x:f>
        <x:v>Consumer</x:v>
      </x:c>
      <x:c r="I78" s="84" t="str">
        <x:f>PROPER(TRIM('Raw Sales'!F78))</x:f>
        <x:v>Southeast</x:v>
      </x:c>
      <x:c r="J78" s="84" t="str">
        <x:f>PROPER(TRIM('Raw Sales'!G78))</x:f>
        <x:v>Miami</x:v>
      </x:c>
      <x:c r="K78" s="84" t="str">
        <x:f>PROPER(TRIM('Raw Sales'!H78))</x:f>
        <x:v>Online</x:v>
      </x:c>
      <x:c r="L78" s="84" t="str">
        <x:f>'Raw Sales'!I78</x:f>
        <x:v>HOME-001</x:v>
      </x:c>
      <x:c r="M78" s="84" t="str">
        <x:f>IFERROR(VLOOKUP(L78,'Reference Data'!$A$5:$F$40,2,FALSE),"Unknown Product")</x:f>
        <x:v>Air Fryer</x:v>
      </x:c>
      <x:c r="N78" s="84" t="str">
        <x:f>IFERROR(VLOOKUP(L78,'Reference Data'!$A$5:$F$40,3,FALSE),"Unknown")</x:f>
        <x:v>Home &amp; Kitchen</x:v>
      </x:c>
      <x:c r="O78" s="84" t="str">
        <x:f>IFERROR(VLOOKUP(L78,'Reference Data'!$A$5:$F$40,4,FALSE),"Unknown")</x:f>
        <x:v>Small Appliances</x:v>
      </x:c>
      <x:c r="P78" s="92" t="n">
        <x:f>IFERROR(VLOOKUP(L78,'Reference Data'!$A$5:$F$40,5,FALSE),0)</x:f>
        <x:v>119</x:v>
      </x:c>
      <x:c r="Q78" s="92" t="n">
        <x:f>IFERROR(VLOOKUP(L78,'Reference Data'!$A$5:$F$40,6,FALSE),0)</x:f>
        <x:v>68</x:v>
      </x:c>
      <x:c r="R78" s="84" t="n">
        <x:f>'Raw Sales'!J78</x:f>
        <x:v>2</x:v>
      </x:c>
      <x:c r="S78" s="87" t="n">
        <x:f>'Raw Sales'!K78</x:f>
        <x:v>0</x:v>
      </x:c>
      <x:c r="T78" s="93" t="n">
        <x:f>P78*R78</x:f>
        <x:v>238</x:v>
      </x:c>
      <x:c r="U78" s="93" t="n">
        <x:f>T78*S78</x:f>
        <x:v>0</x:v>
      </x:c>
      <x:c r="V78" s="93" t="str">
        <x:f>PROPER(TRIM('Raw Sales'!L78))</x:f>
        <x:v>Completed</x:v>
      </x:c>
      <x:c r="W78" s="93" t="n">
        <x:f>IF(V78="Returned",0,T78-U78)</x:f>
        <x:v>238</x:v>
      </x:c>
      <x:c r="X78" s="93" t="n">
        <x:f>IF(V78="Returned",Q78*R78*10%,Q78*R78)</x:f>
        <x:v>136</x:v>
      </x:c>
      <x:c r="Y78" s="93" t="n">
        <x:f>W78-X78</x:f>
        <x:v>102</x:v>
      </x:c>
      <x:c r="Z78" s="94" t="n">
        <x:f>IFERROR(Y78/W78,0)</x:f>
        <x:v>0.42857142857142855</x:v>
      </x:c>
      <x:c r="AA78" s="84" t="str">
        <x:f>PROPER(TRIM('Raw Sales'!M78))</x:f>
        <x:v>Credit Card</x:v>
      </x:c>
      <x:c r="AB78" s="84" t="str">
        <x:f>PROPER(TRIM('Raw Sales'!N78))</x:f>
        <x:v>Liam Parker</x:v>
      </x:c>
      <x:c r="AC78" s="85" t="n">
        <x:f>'Raw Sales'!O78</x:f>
        <x:v>45329</x:v>
      </x:c>
      <x:c r="AD78" s="84" t="n">
        <x:f>AC78-B78</x:f>
        <x:v>4</x:v>
      </x:c>
      <x:c r="AE78" s="84" t="str">
        <x:f>IF(COUNTIF($A$5:A78,A78)&gt;1,"Duplicate","Keep")</x:f>
        <x:v>Keep</x:v>
      </x:c>
      <x:c r="AF78" s="84" t="str">
        <x:f>IF(OR(R78&lt;=0,AC78&lt;B78,H78="Unknown",M78="Unknown Product"),"Review","Valid")</x:f>
        <x:v>Valid</x:v>
      </x:c>
      <x:c r="AG78" s="84" t="n">
        <x:f>IF(AND(AE78="Keep",AF78="Valid"),1,0)</x:f>
        <x:v>1</x:v>
      </x:c>
      <x:c r="AH78" s="84" t="n">
        <x:f>IF(AND(AG78=1,OR('Dashboard'!$B$4="All",I78='Dashboard'!$B$4),OR('Dashboard'!$E$4="All",N78='Dashboard'!$E$4),OR('Dashboard'!$H$4="All",K78='Dashboard'!$H$4),OR('Dashboard'!$K$4="All",C78='Dashboard'!$K$4)),1,0)</x:f>
        <x:v>1</x:v>
      </x:c>
      <x:c r="AI78" s="84" t="n">
        <x:f>IF(AND(AG78=1,OR('Dashboard'!$B$4="All",I78='Dashboard'!$B$4),OR('Dashboard'!$E$4="All",N78='Dashboard'!$E$4),OR('Dashboard'!$H$4="All",K78='Dashboard'!$H$4)),1,0)</x:f>
        <x:v>1</x:v>
      </x:c>
    </x:row>
    <x:row r="79">
      <x:c r="A79" s="84" t="str">
        <x:f>'Raw Sales'!A79</x:f>
        <x:v>ORD-2024-00771</x:v>
      </x:c>
      <x:c r="B79" s="85" t="n">
        <x:f>'Raw Sales'!B79</x:f>
        <x:v>45326</x:v>
      </x:c>
      <x:c r="C79" s="84" t="n">
        <x:f>YEAR(B79)</x:f>
        <x:v>2024</x:v>
      </x:c>
      <x:c r="D79" s="91" t="n">
        <x:f>DATE(YEAR(B79),MONTH(B79),1)</x:f>
        <x:v>45323</x:v>
      </x:c>
      <x:c r="E79" s="84" t="str">
        <x:f>TEXT(B79,"mmm")</x:f>
        <x:v>Feb</x:v>
      </x:c>
      <x:c r="F79" s="84" t="str">
        <x:f>'Raw Sales'!C79</x:f>
        <x:v>CUST-0305</x:v>
      </x:c>
      <x:c r="G79" s="84" t="str">
        <x:f>PROPER(TRIM('Raw Sales'!D79))</x:f>
        <x:v>Theo Young</x:v>
      </x:c>
      <x:c r="H79" s="84" t="str">
        <x:f>IF(TRIM('Raw Sales'!E79)="","Unknown",PROPER(TRIM('Raw Sales'!E79)))</x:f>
        <x:v>Consumer</x:v>
      </x:c>
      <x:c r="I79" s="84" t="str">
        <x:f>PROPER(TRIM('Raw Sales'!F79))</x:f>
        <x:v>Midwest</x:v>
      </x:c>
      <x:c r="J79" s="84" t="str">
        <x:f>PROPER(TRIM('Raw Sales'!G79))</x:f>
        <x:v>Minneapolis</x:v>
      </x:c>
      <x:c r="K79" s="84" t="str">
        <x:f>PROPER(TRIM('Raw Sales'!H79))</x:f>
        <x:v>Online</x:v>
      </x:c>
      <x:c r="L79" s="84" t="str">
        <x:f>'Raw Sales'!I79</x:f>
        <x:v>FITN-005</x:v>
      </x:c>
      <x:c r="M79" s="84" t="str">
        <x:f>IFERROR(VLOOKUP(L79,'Reference Data'!$A$5:$F$40,2,FALSE),"Unknown Product")</x:f>
        <x:v>Sports Water Bottle</x:v>
      </x:c>
      <x:c r="N79" s="84" t="str">
        <x:f>IFERROR(VLOOKUP(L79,'Reference Data'!$A$5:$F$40,3,FALSE),"Unknown")</x:f>
        <x:v>Fitness</x:v>
      </x:c>
      <x:c r="O79" s="84" t="str">
        <x:f>IFERROR(VLOOKUP(L79,'Reference Data'!$A$5:$F$40,4,FALSE),"Unknown")</x:f>
        <x:v>Accessories</x:v>
      </x:c>
      <x:c r="P79" s="92" t="n">
        <x:f>IFERROR(VLOOKUP(L79,'Reference Data'!$A$5:$F$40,5,FALSE),0)</x:f>
        <x:v>22</x:v>
      </x:c>
      <x:c r="Q79" s="92" t="n">
        <x:f>IFERROR(VLOOKUP(L79,'Reference Data'!$A$5:$F$40,6,FALSE),0)</x:f>
        <x:v>7</x:v>
      </x:c>
      <x:c r="R79" s="84" t="n">
        <x:f>'Raw Sales'!J79</x:f>
        <x:v>1</x:v>
      </x:c>
      <x:c r="S79" s="87" t="n">
        <x:f>'Raw Sales'!K79</x:f>
        <x:v>0.05</x:v>
      </x:c>
      <x:c r="T79" s="93" t="n">
        <x:f>P79*R79</x:f>
        <x:v>22</x:v>
      </x:c>
      <x:c r="U79" s="93" t="n">
        <x:f>T79*S79</x:f>
        <x:v>1.1</x:v>
      </x:c>
      <x:c r="V79" s="93" t="str">
        <x:f>PROPER(TRIM('Raw Sales'!L79))</x:f>
        <x:v>Completed</x:v>
      </x:c>
      <x:c r="W79" s="93" t="n">
        <x:f>IF(V79="Returned",0,T79-U79)</x:f>
        <x:v>20.9</x:v>
      </x:c>
      <x:c r="X79" s="93" t="n">
        <x:f>IF(V79="Returned",Q79*R79*10%,Q79*R79)</x:f>
        <x:v>7</x:v>
      </x:c>
      <x:c r="Y79" s="93" t="n">
        <x:f>W79-X79</x:f>
        <x:v>13.899999999999999</x:v>
      </x:c>
      <x:c r="Z79" s="94" t="n">
        <x:f>IFERROR(Y79/W79,0)</x:f>
        <x:v>0.6650717703349283</x:v>
      </x:c>
      <x:c r="AA79" s="84" t="str">
        <x:f>PROPER(TRIM('Raw Sales'!M79))</x:f>
        <x:v>Credit Card</x:v>
      </x:c>
      <x:c r="AB79" s="84" t="str">
        <x:f>PROPER(TRIM('Raw Sales'!N79))</x:f>
        <x:v>Zoe Turner</x:v>
      </x:c>
      <x:c r="AC79" s="85" t="n">
        <x:f>'Raw Sales'!O79</x:f>
        <x:v>45330</x:v>
      </x:c>
      <x:c r="AD79" s="84" t="n">
        <x:f>AC79-B79</x:f>
        <x:v>4</x:v>
      </x:c>
      <x:c r="AE79" s="84" t="str">
        <x:f>IF(COUNTIF($A$5:A79,A79)&gt;1,"Duplicate","Keep")</x:f>
        <x:v>Keep</x:v>
      </x:c>
      <x:c r="AF79" s="84" t="str">
        <x:f>IF(OR(R79&lt;=0,AC79&lt;B79,H79="Unknown",M79="Unknown Product"),"Review","Valid")</x:f>
        <x:v>Valid</x:v>
      </x:c>
      <x:c r="AG79" s="84" t="n">
        <x:f>IF(AND(AE79="Keep",AF79="Valid"),1,0)</x:f>
        <x:v>1</x:v>
      </x:c>
      <x:c r="AH79" s="84" t="n">
        <x:f>IF(AND(AG79=1,OR('Dashboard'!$B$4="All",I79='Dashboard'!$B$4),OR('Dashboard'!$E$4="All",N79='Dashboard'!$E$4),OR('Dashboard'!$H$4="All",K79='Dashboard'!$H$4),OR('Dashboard'!$K$4="All",C79='Dashboard'!$K$4)),1,0)</x:f>
        <x:v>1</x:v>
      </x:c>
      <x:c r="AI79" s="84" t="n">
        <x:f>IF(AND(AG79=1,OR('Dashboard'!$B$4="All",I79='Dashboard'!$B$4),OR('Dashboard'!$E$4="All",N79='Dashboard'!$E$4),OR('Dashboard'!$H$4="All",K79='Dashboard'!$H$4)),1,0)</x:f>
        <x:v>1</x:v>
      </x:c>
    </x:row>
    <x:row r="80">
      <x:c r="A80" s="84" t="str">
        <x:f>'Raw Sales'!A80</x:f>
        <x:v>ORD-2024-01323</x:v>
      </x:c>
      <x:c r="B80" s="85" t="n">
        <x:f>'Raw Sales'!B80</x:f>
        <x:v>45326</x:v>
      </x:c>
      <x:c r="C80" s="84" t="n">
        <x:f>YEAR(B80)</x:f>
        <x:v>2024</x:v>
      </x:c>
      <x:c r="D80" s="91" t="n">
        <x:f>DATE(YEAR(B80),MONTH(B80),1)</x:f>
        <x:v>45323</x:v>
      </x:c>
      <x:c r="E80" s="84" t="str">
        <x:f>TEXT(B80,"mmm")</x:f>
        <x:v>Feb</x:v>
      </x:c>
      <x:c r="F80" s="84" t="str">
        <x:f>'Raw Sales'!C80</x:f>
        <x:v>CUST-0632</x:v>
      </x:c>
      <x:c r="G80" s="84" t="str">
        <x:f>PROPER(TRIM('Raw Sales'!D80))</x:f>
        <x:v>Caleb Adams</x:v>
      </x:c>
      <x:c r="H80" s="84" t="str">
        <x:f>IF(TRIM('Raw Sales'!E80)="","Unknown",PROPER(TRIM('Raw Sales'!E80)))</x:f>
        <x:v>Consumer</x:v>
      </x:c>
      <x:c r="I80" s="84" t="str">
        <x:f>PROPER(TRIM('Raw Sales'!F80))</x:f>
        <x:v>West</x:v>
      </x:c>
      <x:c r="J80" s="84" t="str">
        <x:f>PROPER(TRIM('Raw Sales'!G80))</x:f>
        <x:v>Phoenix</x:v>
      </x:c>
      <x:c r="K80" s="84" t="str">
        <x:f>PROPER(TRIM('Raw Sales'!H80))</x:f>
        <x:v>Marketplace</x:v>
      </x:c>
      <x:c r="L80" s="84" t="str">
        <x:f>'Raw Sales'!I80</x:f>
        <x:v>ELEC-005</x:v>
      </x:c>
      <x:c r="M80" s="84" t="str">
        <x:f>IFERROR(VLOOKUP(L80,'Reference Data'!$A$5:$F$40,2,FALSE),"Unknown Product")</x:f>
        <x:v>HD Webcam</x:v>
      </x:c>
      <x:c r="N80" s="84" t="str">
        <x:f>IFERROR(VLOOKUP(L80,'Reference Data'!$A$5:$F$40,3,FALSE),"Unknown")</x:f>
        <x:v>Electronics</x:v>
      </x:c>
      <x:c r="O80" s="84" t="str">
        <x:f>IFERROR(VLOOKUP(L80,'Reference Data'!$A$5:$F$40,4,FALSE),"Unknown")</x:f>
        <x:v>Computer Accessories</x:v>
      </x:c>
      <x:c r="P80" s="92" t="n">
        <x:f>IFERROR(VLOOKUP(L80,'Reference Data'!$A$5:$F$40,5,FALSE),0)</x:f>
        <x:v>79</x:v>
      </x:c>
      <x:c r="Q80" s="92" t="n">
        <x:f>IFERROR(VLOOKUP(L80,'Reference Data'!$A$5:$F$40,6,FALSE),0)</x:f>
        <x:v>37</x:v>
      </x:c>
      <x:c r="R80" s="84" t="n">
        <x:f>'Raw Sales'!J80</x:f>
        <x:v>1</x:v>
      </x:c>
      <x:c r="S80" s="87" t="n">
        <x:f>'Raw Sales'!K80</x:f>
        <x:v>0.15</x:v>
      </x:c>
      <x:c r="T80" s="93" t="n">
        <x:f>P80*R80</x:f>
        <x:v>79</x:v>
      </x:c>
      <x:c r="U80" s="93" t="n">
        <x:f>T80*S80</x:f>
        <x:v>11.85</x:v>
      </x:c>
      <x:c r="V80" s="93" t="str">
        <x:f>PROPER(TRIM('Raw Sales'!L80))</x:f>
        <x:v>Completed</x:v>
      </x:c>
      <x:c r="W80" s="93" t="n">
        <x:f>IF(V80="Returned",0,T80-U80)</x:f>
        <x:v>67.15</x:v>
      </x:c>
      <x:c r="X80" s="93" t="n">
        <x:f>IF(V80="Returned",Q80*R80*10%,Q80*R80)</x:f>
        <x:v>37</x:v>
      </x:c>
      <x:c r="Y80" s="93" t="n">
        <x:f>W80-X80</x:f>
        <x:v>30.150000000000006</x:v>
      </x:c>
      <x:c r="Z80" s="94" t="n">
        <x:f>IFERROR(Y80/W80,0)</x:f>
        <x:v>0.4489947877885332</x:v>
      </x:c>
      <x:c r="AA80" s="84" t="str">
        <x:f>PROPER(TRIM('Raw Sales'!M80))</x:f>
        <x:v>Credit Card</x:v>
      </x:c>
      <x:c r="AB80" s="84" t="str">
        <x:f>PROPER(TRIM('Raw Sales'!N80))</x:f>
        <x:v>Nora Kim</x:v>
      </x:c>
      <x:c r="AC80" s="85" t="n">
        <x:f>'Raw Sales'!O80</x:f>
        <x:v>45331</x:v>
      </x:c>
      <x:c r="AD80" s="84" t="n">
        <x:f>AC80-B80</x:f>
        <x:v>5</x:v>
      </x:c>
      <x:c r="AE80" s="84" t="str">
        <x:f>IF(COUNTIF($A$5:A80,A80)&gt;1,"Duplicate","Keep")</x:f>
        <x:v>Keep</x:v>
      </x:c>
      <x:c r="AF80" s="84" t="str">
        <x:f>IF(OR(R80&lt;=0,AC80&lt;B80,H80="Unknown",M80="Unknown Product"),"Review","Valid")</x:f>
        <x:v>Valid</x:v>
      </x:c>
      <x:c r="AG80" s="84" t="n">
        <x:f>IF(AND(AE80="Keep",AF80="Valid"),1,0)</x:f>
        <x:v>1</x:v>
      </x:c>
      <x:c r="AH80" s="84" t="n">
        <x:f>IF(AND(AG80=1,OR('Dashboard'!$B$4="All",I80='Dashboard'!$B$4),OR('Dashboard'!$E$4="All",N80='Dashboard'!$E$4),OR('Dashboard'!$H$4="All",K80='Dashboard'!$H$4),OR('Dashboard'!$K$4="All",C80='Dashboard'!$K$4)),1,0)</x:f>
        <x:v>1</x:v>
      </x:c>
      <x:c r="AI80" s="84" t="n">
        <x:f>IF(AND(AG80=1,OR('Dashboard'!$B$4="All",I80='Dashboard'!$B$4),OR('Dashboard'!$E$4="All",N80='Dashboard'!$E$4),OR('Dashboard'!$H$4="All",K80='Dashboard'!$H$4)),1,0)</x:f>
        <x:v>1</x:v>
      </x:c>
    </x:row>
    <x:row r="81">
      <x:c r="A81" s="84" t="str">
        <x:f>'Raw Sales'!A81</x:f>
        <x:v>ORD-2024-01491</x:v>
      </x:c>
      <x:c r="B81" s="85" t="n">
        <x:f>'Raw Sales'!B81</x:f>
        <x:v>45326</x:v>
      </x:c>
      <x:c r="C81" s="84" t="n">
        <x:f>YEAR(B81)</x:f>
        <x:v>2024</x:v>
      </x:c>
      <x:c r="D81" s="91" t="n">
        <x:f>DATE(YEAR(B81),MONTH(B81),1)</x:f>
        <x:v>45323</x:v>
      </x:c>
      <x:c r="E81" s="84" t="str">
        <x:f>TEXT(B81,"mmm")</x:f>
        <x:v>Feb</x:v>
      </x:c>
      <x:c r="F81" s="84" t="str">
        <x:f>'Raw Sales'!C81</x:f>
        <x:v>CUST-0446</x:v>
      </x:c>
      <x:c r="G81" s="84" t="str">
        <x:f>PROPER(TRIM('Raw Sales'!D81))</x:f>
        <x:v>Nathan Davis</x:v>
      </x:c>
      <x:c r="H81" s="84" t="str">
        <x:f>IF(TRIM('Raw Sales'!E81)="","Unknown",PROPER(TRIM('Raw Sales'!E81)))</x:f>
        <x:v>Consumer</x:v>
      </x:c>
      <x:c r="I81" s="84" t="str">
        <x:f>PROPER(TRIM('Raw Sales'!F81))</x:f>
        <x:v>Southeast</x:v>
      </x:c>
      <x:c r="J81" s="84" t="str">
        <x:f>PROPER(TRIM('Raw Sales'!G81))</x:f>
        <x:v>Nashville</x:v>
      </x:c>
      <x:c r="K81" s="84" t="str">
        <x:f>PROPER(TRIM('Raw Sales'!H81))</x:f>
        <x:v>Marketplace</x:v>
      </x:c>
      <x:c r="L81" s="84" t="str">
        <x:f>'Raw Sales'!I81</x:f>
        <x:v>ELEC-003</x:v>
      </x:c>
      <x:c r="M81" s="84" t="str">
        <x:f>IFERROR(VLOOKUP(L81,'Reference Data'!$A$5:$F$40,2,FALSE),"Unknown Product")</x:f>
        <x:v>Bluetooth Speaker</x:v>
      </x:c>
      <x:c r="N81" s="84" t="str">
        <x:f>IFERROR(VLOOKUP(L81,'Reference Data'!$A$5:$F$40,3,FALSE),"Unknown")</x:f>
        <x:v>Electronics</x:v>
      </x:c>
      <x:c r="O81" s="84" t="str">
        <x:f>IFERROR(VLOOKUP(L81,'Reference Data'!$A$5:$F$40,4,FALSE),"Unknown")</x:f>
        <x:v>Audio</x:v>
      </x:c>
      <x:c r="P81" s="92" t="n">
        <x:f>IFERROR(VLOOKUP(L81,'Reference Data'!$A$5:$F$40,5,FALSE),0)</x:f>
        <x:v>89</x:v>
      </x:c>
      <x:c r="Q81" s="92" t="n">
        <x:f>IFERROR(VLOOKUP(L81,'Reference Data'!$A$5:$F$40,6,FALSE),0)</x:f>
        <x:v>44</x:v>
      </x:c>
      <x:c r="R81" s="84" t="n">
        <x:f>'Raw Sales'!J81</x:f>
        <x:v>2</x:v>
      </x:c>
      <x:c r="S81" s="87" t="n">
        <x:f>'Raw Sales'!K81</x:f>
        <x:v>0.05</x:v>
      </x:c>
      <x:c r="T81" s="93" t="n">
        <x:f>P81*R81</x:f>
        <x:v>178</x:v>
      </x:c>
      <x:c r="U81" s="93" t="n">
        <x:f>T81*S81</x:f>
        <x:v>8.9</x:v>
      </x:c>
      <x:c r="V81" s="93" t="str">
        <x:f>PROPER(TRIM('Raw Sales'!L81))</x:f>
        <x:v>Completed</x:v>
      </x:c>
      <x:c r="W81" s="93" t="n">
        <x:f>IF(V81="Returned",0,T81-U81)</x:f>
        <x:v>169.1</x:v>
      </x:c>
      <x:c r="X81" s="93" t="n">
        <x:f>IF(V81="Returned",Q81*R81*10%,Q81*R81)</x:f>
        <x:v>88</x:v>
      </x:c>
      <x:c r="Y81" s="93" t="n">
        <x:f>W81-X81</x:f>
        <x:v>81.1</x:v>
      </x:c>
      <x:c r="Z81" s="94" t="n">
        <x:f>IFERROR(Y81/W81,0)</x:f>
        <x:v>0.47959787108219987</x:v>
      </x:c>
      <x:c r="AA81" s="84" t="str">
        <x:f>PROPER(TRIM('Raw Sales'!M81))</x:f>
        <x:v>Mobile Wallet</x:v>
      </x:c>
      <x:c r="AB81" s="84" t="str">
        <x:f>PROPER(TRIM('Raw Sales'!N81))</x:f>
        <x:v>Ava Mitchell</x:v>
      </x:c>
      <x:c r="AC81" s="85" t="n">
        <x:f>'Raw Sales'!O81</x:f>
        <x:v>45332</x:v>
      </x:c>
      <x:c r="AD81" s="84" t="n">
        <x:f>AC81-B81</x:f>
        <x:v>6</x:v>
      </x:c>
      <x:c r="AE81" s="84" t="str">
        <x:f>IF(COUNTIF($A$5:A81,A81)&gt;1,"Duplicate","Keep")</x:f>
        <x:v>Keep</x:v>
      </x:c>
      <x:c r="AF81" s="84" t="str">
        <x:f>IF(OR(R81&lt;=0,AC81&lt;B81,H81="Unknown",M81="Unknown Product"),"Review","Valid")</x:f>
        <x:v>Valid</x:v>
      </x:c>
      <x:c r="AG81" s="84" t="n">
        <x:f>IF(AND(AE81="Keep",AF81="Valid"),1,0)</x:f>
        <x:v>1</x:v>
      </x:c>
      <x:c r="AH81" s="84" t="n">
        <x:f>IF(AND(AG81=1,OR('Dashboard'!$B$4="All",I81='Dashboard'!$B$4),OR('Dashboard'!$E$4="All",N81='Dashboard'!$E$4),OR('Dashboard'!$H$4="All",K81='Dashboard'!$H$4),OR('Dashboard'!$K$4="All",C81='Dashboard'!$K$4)),1,0)</x:f>
        <x:v>1</x:v>
      </x:c>
      <x:c r="AI81" s="84" t="n">
        <x:f>IF(AND(AG81=1,OR('Dashboard'!$B$4="All",I81='Dashboard'!$B$4),OR('Dashboard'!$E$4="All",N81='Dashboard'!$E$4),OR('Dashboard'!$H$4="All",K81='Dashboard'!$H$4)),1,0)</x:f>
        <x:v>1</x:v>
      </x:c>
    </x:row>
    <x:row r="82">
      <x:c r="A82" s="84" t="str">
        <x:f>'Raw Sales'!A82</x:f>
        <x:v>ORD-2024-01821</x:v>
      </x:c>
      <x:c r="B82" s="85" t="n">
        <x:f>'Raw Sales'!B82</x:f>
        <x:v>45326</x:v>
      </x:c>
      <x:c r="C82" s="84" t="n">
        <x:f>YEAR(B82)</x:f>
        <x:v>2024</x:v>
      </x:c>
      <x:c r="D82" s="91" t="n">
        <x:f>DATE(YEAR(B82),MONTH(B82),1)</x:f>
        <x:v>45323</x:v>
      </x:c>
      <x:c r="E82" s="84" t="str">
        <x:f>TEXT(B82,"mmm")</x:f>
        <x:v>Feb</x:v>
      </x:c>
      <x:c r="F82" s="84" t="str">
        <x:f>'Raw Sales'!C82</x:f>
        <x:v>CUST-0448</x:v>
      </x:c>
      <x:c r="G82" s="84" t="str">
        <x:f>PROPER(TRIM('Raw Sales'!D82))</x:f>
        <x:v>Priya Hall</x:v>
      </x:c>
      <x:c r="H82" s="84" t="str">
        <x:f>IF(TRIM('Raw Sales'!E82)="","Unknown",PROPER(TRIM('Raw Sales'!E82)))</x:f>
        <x:v>Corporate</x:v>
      </x:c>
      <x:c r="I82" s="84" t="str">
        <x:f>PROPER(TRIM('Raw Sales'!F82))</x:f>
        <x:v>Northeast</x:v>
      </x:c>
      <x:c r="J82" s="84" t="str">
        <x:f>PROPER(TRIM('Raw Sales'!G82))</x:f>
        <x:v>Philadelphia</x:v>
      </x:c>
      <x:c r="K82" s="84" t="str">
        <x:f>PROPER(TRIM('Raw Sales'!H82))</x:f>
        <x:v>Online</x:v>
      </x:c>
      <x:c r="L82" s="84" t="str">
        <x:f>'Raw Sales'!I82</x:f>
        <x:v>FITN-006</x:v>
      </x:c>
      <x:c r="M82" s="84" t="str">
        <x:f>IFERROR(VLOOKUP(L82,'Reference Data'!$A$5:$F$40,2,FALSE),"Unknown Product")</x:f>
        <x:v>Foam Roller</x:v>
      </x:c>
      <x:c r="N82" s="84" t="str">
        <x:f>IFERROR(VLOOKUP(L82,'Reference Data'!$A$5:$F$40,3,FALSE),"Unknown")</x:f>
        <x:v>Fitness</x:v>
      </x:c>
      <x:c r="O82" s="84" t="str">
        <x:f>IFERROR(VLOOKUP(L82,'Reference Data'!$A$5:$F$40,4,FALSE),"Unknown")</x:f>
        <x:v>Recovery</x:v>
      </x:c>
      <x:c r="P82" s="92" t="n">
        <x:f>IFERROR(VLOOKUP(L82,'Reference Data'!$A$5:$F$40,5,FALSE),0)</x:f>
        <x:v>31</x:v>
      </x:c>
      <x:c r="Q82" s="92" t="n">
        <x:f>IFERROR(VLOOKUP(L82,'Reference Data'!$A$5:$F$40,6,FALSE),0)</x:f>
        <x:v>12</x:v>
      </x:c>
      <x:c r="R82" s="84" t="n">
        <x:f>'Raw Sales'!J82</x:f>
        <x:v>5</x:v>
      </x:c>
      <x:c r="S82" s="87" t="n">
        <x:f>'Raw Sales'!K82</x:f>
        <x:v>0.1</x:v>
      </x:c>
      <x:c r="T82" s="93" t="n">
        <x:f>P82*R82</x:f>
        <x:v>155</x:v>
      </x:c>
      <x:c r="U82" s="93" t="n">
        <x:f>T82*S82</x:f>
        <x:v>15.5</x:v>
      </x:c>
      <x:c r="V82" s="93" t="str">
        <x:f>PROPER(TRIM('Raw Sales'!L82))</x:f>
        <x:v>Returned</x:v>
      </x:c>
      <x:c r="W82" s="93" t="n">
        <x:f>IF(V82="Returned",0,T82-U82)</x:f>
        <x:v>0</x:v>
      </x:c>
      <x:c r="X82" s="93" t="n">
        <x:f>IF(V82="Returned",Q82*R82*10%,Q82*R82)</x:f>
        <x:v>6</x:v>
      </x:c>
      <x:c r="Y82" s="93" t="n">
        <x:f>W82-X82</x:f>
        <x:v>-6</x:v>
      </x:c>
      <x:c r="Z82" s="94" t="n">
        <x:f>IFERROR(Y82/W82,0)</x:f>
        <x:v>0</x:v>
      </x:c>
      <x:c r="AA82" s="84" t="str">
        <x:f>PROPER(TRIM('Raw Sales'!M82))</x:f>
        <x:v>Paypal</x:v>
      </x:c>
      <x:c r="AB82" s="84" t="str">
        <x:f>PROPER(TRIM('Raw Sales'!N82))</x:f>
        <x:v>Sofia Bennett</x:v>
      </x:c>
      <x:c r="AC82" s="85" t="n">
        <x:f>'Raw Sales'!O82</x:f>
        <x:v>45329</x:v>
      </x:c>
      <x:c r="AD82" s="84" t="n">
        <x:f>AC82-B82</x:f>
        <x:v>3</x:v>
      </x:c>
      <x:c r="AE82" s="84" t="str">
        <x:f>IF(COUNTIF($A$5:A82,A82)&gt;1,"Duplicate","Keep")</x:f>
        <x:v>Keep</x:v>
      </x:c>
      <x:c r="AF82" s="84" t="str">
        <x:f>IF(OR(R82&lt;=0,AC82&lt;B82,H82="Unknown",M82="Unknown Product"),"Review","Valid")</x:f>
        <x:v>Valid</x:v>
      </x:c>
      <x:c r="AG82" s="84" t="n">
        <x:f>IF(AND(AE82="Keep",AF82="Valid"),1,0)</x:f>
        <x:v>1</x:v>
      </x:c>
      <x:c r="AH82" s="84" t="n">
        <x:f>IF(AND(AG82=1,OR('Dashboard'!$B$4="All",I82='Dashboard'!$B$4),OR('Dashboard'!$E$4="All",N82='Dashboard'!$E$4),OR('Dashboard'!$H$4="All",K82='Dashboard'!$H$4),OR('Dashboard'!$K$4="All",C82='Dashboard'!$K$4)),1,0)</x:f>
        <x:v>1</x:v>
      </x:c>
      <x:c r="AI82" s="84" t="n">
        <x:f>IF(AND(AG82=1,OR('Dashboard'!$B$4="All",I82='Dashboard'!$B$4),OR('Dashboard'!$E$4="All",N82='Dashboard'!$E$4),OR('Dashboard'!$H$4="All",K82='Dashboard'!$H$4)),1,0)</x:f>
        <x:v>1</x:v>
      </x:c>
    </x:row>
    <x:row r="83">
      <x:c r="A83" s="84" t="str">
        <x:f>'Raw Sales'!A83</x:f>
        <x:v>ORD-2024-01480</x:v>
      </x:c>
      <x:c r="B83" s="85" t="n">
        <x:f>'Raw Sales'!B83</x:f>
        <x:v>45327</x:v>
      </x:c>
      <x:c r="C83" s="84" t="n">
        <x:f>YEAR(B83)</x:f>
        <x:v>2024</x:v>
      </x:c>
      <x:c r="D83" s="91" t="n">
        <x:f>DATE(YEAR(B83),MONTH(B83),1)</x:f>
        <x:v>45323</x:v>
      </x:c>
      <x:c r="E83" s="84" t="str">
        <x:f>TEXT(B83,"mmm")</x:f>
        <x:v>Feb</x:v>
      </x:c>
      <x:c r="F83" s="84" t="str">
        <x:f>'Raw Sales'!C83</x:f>
        <x:v>CUST-0527</x:v>
      </x:c>
      <x:c r="G83" s="84" t="str">
        <x:f>PROPER(TRIM('Raw Sales'!D83))</x:f>
        <x:v>Theo Hall</x:v>
      </x:c>
      <x:c r="H83" s="84" t="str">
        <x:f>IF(TRIM('Raw Sales'!E83)="","Unknown",PROPER(TRIM('Raw Sales'!E83)))</x:f>
        <x:v>Consumer</x:v>
      </x:c>
      <x:c r="I83" s="84" t="str">
        <x:f>PROPER(TRIM('Raw Sales'!F83))</x:f>
        <x:v>Southeast</x:v>
      </x:c>
      <x:c r="J83" s="84" t="str">
        <x:f>PROPER(TRIM('Raw Sales'!G83))</x:f>
        <x:v>Nashville</x:v>
      </x:c>
      <x:c r="K83" s="84" t="str">
        <x:f>PROPER(TRIM('Raw Sales'!H83))</x:f>
        <x:v>Retail Store</x:v>
      </x:c>
      <x:c r="L83" s="84" t="str">
        <x:f>'Raw Sales'!I83</x:f>
        <x:v>ACCS-001</x:v>
      </x:c>
      <x:c r="M83" s="84" t="str">
        <x:f>IFERROR(VLOOKUP(L83,'Reference Data'!$A$5:$F$40,2,FALSE),"Unknown Product")</x:f>
        <x:v>Canvas Tote Bag</x:v>
      </x:c>
      <x:c r="N83" s="84" t="str">
        <x:f>IFERROR(VLOOKUP(L83,'Reference Data'!$A$5:$F$40,3,FALSE),"Unknown")</x:f>
        <x:v>Accessories</x:v>
      </x:c>
      <x:c r="O83" s="84" t="str">
        <x:f>IFERROR(VLOOKUP(L83,'Reference Data'!$A$5:$F$40,4,FALSE),"Unknown")</x:f>
        <x:v>Bags</x:v>
      </x:c>
      <x:c r="P83" s="92" t="n">
        <x:f>IFERROR(VLOOKUP(L83,'Reference Data'!$A$5:$F$40,5,FALSE),0)</x:f>
        <x:v>39</x:v>
      </x:c>
      <x:c r="Q83" s="92" t="n">
        <x:f>IFERROR(VLOOKUP(L83,'Reference Data'!$A$5:$F$40,6,FALSE),0)</x:f>
        <x:v>14</x:v>
      </x:c>
      <x:c r="R83" s="84" t="n">
        <x:f>'Raw Sales'!J83</x:f>
        <x:v>2</x:v>
      </x:c>
      <x:c r="S83" s="87" t="n">
        <x:f>'Raw Sales'!K83</x:f>
        <x:v>0.05</x:v>
      </x:c>
      <x:c r="T83" s="93" t="n">
        <x:f>P83*R83</x:f>
        <x:v>78</x:v>
      </x:c>
      <x:c r="U83" s="93" t="n">
        <x:f>T83*S83</x:f>
        <x:v>3.9000000000000004</x:v>
      </x:c>
      <x:c r="V83" s="93" t="str">
        <x:f>PROPER(TRIM('Raw Sales'!L83))</x:f>
        <x:v>Completed</x:v>
      </x:c>
      <x:c r="W83" s="93" t="n">
        <x:f>IF(V83="Returned",0,T83-U83)</x:f>
        <x:v>74.1</x:v>
      </x:c>
      <x:c r="X83" s="93" t="n">
        <x:f>IF(V83="Returned",Q83*R83*10%,Q83*R83)</x:f>
        <x:v>28</x:v>
      </x:c>
      <x:c r="Y83" s="93" t="n">
        <x:f>W83-X83</x:f>
        <x:v>46.099999999999994</x:v>
      </x:c>
      <x:c r="Z83" s="94" t="n">
        <x:f>IFERROR(Y83/W83,0)</x:f>
        <x:v>0.6221322537112011</x:v>
      </x:c>
      <x:c r="AA83" s="84" t="str">
        <x:f>PROPER(TRIM('Raw Sales'!M83))</x:f>
        <x:v>Credit Card</x:v>
      </x:c>
      <x:c r="AB83" s="84" t="str">
        <x:f>PROPER(TRIM('Raw Sales'!N83))</x:f>
        <x:v>Liam Parker</x:v>
      </x:c>
      <x:c r="AC83" s="85" t="n">
        <x:f>'Raw Sales'!O83</x:f>
        <x:v>45327</x:v>
      </x:c>
      <x:c r="AD83" s="84" t="n">
        <x:f>AC83-B83</x:f>
        <x:v>0</x:v>
      </x:c>
      <x:c r="AE83" s="84" t="str">
        <x:f>IF(COUNTIF($A$5:A83,A83)&gt;1,"Duplicate","Keep")</x:f>
        <x:v>Keep</x:v>
      </x:c>
      <x:c r="AF83" s="84" t="str">
        <x:f>IF(OR(R83&lt;=0,AC83&lt;B83,H83="Unknown",M83="Unknown Product"),"Review","Valid")</x:f>
        <x:v>Valid</x:v>
      </x:c>
      <x:c r="AG83" s="84" t="n">
        <x:f>IF(AND(AE83="Keep",AF83="Valid"),1,0)</x:f>
        <x:v>1</x:v>
      </x:c>
      <x:c r="AH83" s="84" t="n">
        <x:f>IF(AND(AG83=1,OR('Dashboard'!$B$4="All",I83='Dashboard'!$B$4),OR('Dashboard'!$E$4="All",N83='Dashboard'!$E$4),OR('Dashboard'!$H$4="All",K83='Dashboard'!$H$4),OR('Dashboard'!$K$4="All",C83='Dashboard'!$K$4)),1,0)</x:f>
        <x:v>1</x:v>
      </x:c>
      <x:c r="AI83" s="84" t="n">
        <x:f>IF(AND(AG83=1,OR('Dashboard'!$B$4="All",I83='Dashboard'!$B$4),OR('Dashboard'!$E$4="All",N83='Dashboard'!$E$4),OR('Dashboard'!$H$4="All",K83='Dashboard'!$H$4)),1,0)</x:f>
        <x:v>1</x:v>
      </x:c>
    </x:row>
    <x:row r="84">
      <x:c r="A84" s="84" t="str">
        <x:f>'Raw Sales'!A84</x:f>
        <x:v>ORD-2024-02106</x:v>
      </x:c>
      <x:c r="B84" s="85" t="n">
        <x:f>'Raw Sales'!B84</x:f>
        <x:v>45327</x:v>
      </x:c>
      <x:c r="C84" s="84" t="n">
        <x:f>YEAR(B84)</x:f>
        <x:v>2024</x:v>
      </x:c>
      <x:c r="D84" s="91" t="n">
        <x:f>DATE(YEAR(B84),MONTH(B84),1)</x:f>
        <x:v>45323</x:v>
      </x:c>
      <x:c r="E84" s="84" t="str">
        <x:f>TEXT(B84,"mmm")</x:f>
        <x:v>Feb</x:v>
      </x:c>
      <x:c r="F84" s="84" t="str">
        <x:f>'Raw Sales'!C84</x:f>
        <x:v>CUST-0171</x:v>
      </x:c>
      <x:c r="G84" s="84" t="str">
        <x:f>PROPER(TRIM('Raw Sales'!D84))</x:f>
        <x:v>Jonah Nelson</x:v>
      </x:c>
      <x:c r="H84" s="84" t="str">
        <x:f>IF(TRIM('Raw Sales'!E84)="","Unknown",PROPER(TRIM('Raw Sales'!E84)))</x:f>
        <x:v>Small Business</x:v>
      </x:c>
      <x:c r="I84" s="84" t="str">
        <x:f>PROPER(TRIM('Raw Sales'!F84))</x:f>
        <x:v>Southeast</x:v>
      </x:c>
      <x:c r="J84" s="84" t="str">
        <x:f>PROPER(TRIM('Raw Sales'!G84))</x:f>
        <x:v>Atlanta</x:v>
      </x:c>
      <x:c r="K84" s="84" t="str">
        <x:f>PROPER(TRIM('Raw Sales'!H84))</x:f>
        <x:v>Retail Store</x:v>
      </x:c>
      <x:c r="L84" s="84" t="str">
        <x:f>'Raw Sales'!I84</x:f>
        <x:v>ELEC-003</x:v>
      </x:c>
      <x:c r="M84" s="84" t="str">
        <x:f>IFERROR(VLOOKUP(L84,'Reference Data'!$A$5:$F$40,2,FALSE),"Unknown Product")</x:f>
        <x:v>Bluetooth Speaker</x:v>
      </x:c>
      <x:c r="N84" s="84" t="str">
        <x:f>IFERROR(VLOOKUP(L84,'Reference Data'!$A$5:$F$40,3,FALSE),"Unknown")</x:f>
        <x:v>Electronics</x:v>
      </x:c>
      <x:c r="O84" s="84" t="str">
        <x:f>IFERROR(VLOOKUP(L84,'Reference Data'!$A$5:$F$40,4,FALSE),"Unknown")</x:f>
        <x:v>Audio</x:v>
      </x:c>
      <x:c r="P84" s="92" t="n">
        <x:f>IFERROR(VLOOKUP(L84,'Reference Data'!$A$5:$F$40,5,FALSE),0)</x:f>
        <x:v>89</x:v>
      </x:c>
      <x:c r="Q84" s="92" t="n">
        <x:f>IFERROR(VLOOKUP(L84,'Reference Data'!$A$5:$F$40,6,FALSE),0)</x:f>
        <x:v>44</x:v>
      </x:c>
      <x:c r="R84" s="84" t="n">
        <x:f>'Raw Sales'!J84</x:f>
        <x:v>2</x:v>
      </x:c>
      <x:c r="S84" s="87" t="n">
        <x:f>'Raw Sales'!K84</x:f>
        <x:v>0.15</x:v>
      </x:c>
      <x:c r="T84" s="93" t="n">
        <x:f>P84*R84</x:f>
        <x:v>178</x:v>
      </x:c>
      <x:c r="U84" s="93" t="n">
        <x:f>T84*S84</x:f>
        <x:v>26.7</x:v>
      </x:c>
      <x:c r="V84" s="93" t="str">
        <x:f>PROPER(TRIM('Raw Sales'!L84))</x:f>
        <x:v>Returned</x:v>
      </x:c>
      <x:c r="W84" s="93" t="n">
        <x:f>IF(V84="Returned",0,T84-U84)</x:f>
        <x:v>0</x:v>
      </x:c>
      <x:c r="X84" s="93" t="n">
        <x:f>IF(V84="Returned",Q84*R84*10%,Q84*R84)</x:f>
        <x:v>8.8</x:v>
      </x:c>
      <x:c r="Y84" s="93" t="n">
        <x:f>W84-X84</x:f>
        <x:v>-8.8</x:v>
      </x:c>
      <x:c r="Z84" s="94" t="n">
        <x:f>IFERROR(Y84/W84,0)</x:f>
        <x:v>0</x:v>
      </x:c>
      <x:c r="AA84" s="84" t="str">
        <x:f>PROPER(TRIM('Raw Sales'!M84))</x:f>
        <x:v>Debit Card</x:v>
      </x:c>
      <x:c r="AB84" s="84" t="str">
        <x:f>PROPER(TRIM('Raw Sales'!N84))</x:f>
        <x:v>Liam Parker</x:v>
      </x:c>
      <x:c r="AC84" s="85" t="n">
        <x:f>'Raw Sales'!O84</x:f>
        <x:v>45327</x:v>
      </x:c>
      <x:c r="AD84" s="84" t="n">
        <x:f>AC84-B84</x:f>
        <x:v>0</x:v>
      </x:c>
      <x:c r="AE84" s="84" t="str">
        <x:f>IF(COUNTIF($A$5:A84,A84)&gt;1,"Duplicate","Keep")</x:f>
        <x:v>Keep</x:v>
      </x:c>
      <x:c r="AF84" s="84" t="str">
        <x:f>IF(OR(R84&lt;=0,AC84&lt;B84,H84="Unknown",M84="Unknown Product"),"Review","Valid")</x:f>
        <x:v>Valid</x:v>
      </x:c>
      <x:c r="AG84" s="84" t="n">
        <x:f>IF(AND(AE84="Keep",AF84="Valid"),1,0)</x:f>
        <x:v>1</x:v>
      </x:c>
      <x:c r="AH84" s="84" t="n">
        <x:f>IF(AND(AG84=1,OR('Dashboard'!$B$4="All",I84='Dashboard'!$B$4),OR('Dashboard'!$E$4="All",N84='Dashboard'!$E$4),OR('Dashboard'!$H$4="All",K84='Dashboard'!$H$4),OR('Dashboard'!$K$4="All",C84='Dashboard'!$K$4)),1,0)</x:f>
        <x:v>1</x:v>
      </x:c>
      <x:c r="AI84" s="84" t="n">
        <x:f>IF(AND(AG84=1,OR('Dashboard'!$B$4="All",I84='Dashboard'!$B$4),OR('Dashboard'!$E$4="All",N84='Dashboard'!$E$4),OR('Dashboard'!$H$4="All",K84='Dashboard'!$H$4)),1,0)</x:f>
        <x:v>1</x:v>
      </x:c>
    </x:row>
    <x:row r="85">
      <x:c r="A85" s="84" t="str">
        <x:f>'Raw Sales'!A85</x:f>
        <x:v>ORD-2024-02242</x:v>
      </x:c>
      <x:c r="B85" s="85" t="n">
        <x:f>'Raw Sales'!B85</x:f>
        <x:v>45327</x:v>
      </x:c>
      <x:c r="C85" s="84" t="n">
        <x:f>YEAR(B85)</x:f>
        <x:v>2024</x:v>
      </x:c>
      <x:c r="D85" s="91" t="n">
        <x:f>DATE(YEAR(B85),MONTH(B85),1)</x:f>
        <x:v>45323</x:v>
      </x:c>
      <x:c r="E85" s="84" t="str">
        <x:f>TEXT(B85,"mmm")</x:f>
        <x:v>Feb</x:v>
      </x:c>
      <x:c r="F85" s="84" t="str">
        <x:f>'Raw Sales'!C85</x:f>
        <x:v>CUST-0108</x:v>
      </x:c>
      <x:c r="G85" s="84" t="str">
        <x:f>PROPER(TRIM('Raw Sales'!D85))</x:f>
        <x:v>Nina Ortiz</x:v>
      </x:c>
      <x:c r="H85" s="84" t="str">
        <x:f>IF(TRIM('Raw Sales'!E85)="","Unknown",PROPER(TRIM('Raw Sales'!E85)))</x:f>
        <x:v>Small Business</x:v>
      </x:c>
      <x:c r="I85" s="84" t="str">
        <x:f>PROPER(TRIM('Raw Sales'!F85))</x:f>
        <x:v>West</x:v>
      </x:c>
      <x:c r="J85" s="84" t="str">
        <x:f>PROPER(TRIM('Raw Sales'!G85))</x:f>
        <x:v>Phoenix</x:v>
      </x:c>
      <x:c r="K85" s="84" t="str">
        <x:f>PROPER(TRIM('Raw Sales'!H85))</x:f>
        <x:v>Online</x:v>
      </x:c>
      <x:c r="L85" s="84" t="str">
        <x:f>'Raw Sales'!I85</x:f>
        <x:v>ACCS-001</x:v>
      </x:c>
      <x:c r="M85" s="84" t="str">
        <x:f>IFERROR(VLOOKUP(L85,'Reference Data'!$A$5:$F$40,2,FALSE),"Unknown Product")</x:f>
        <x:v>Canvas Tote Bag</x:v>
      </x:c>
      <x:c r="N85" s="84" t="str">
        <x:f>IFERROR(VLOOKUP(L85,'Reference Data'!$A$5:$F$40,3,FALSE),"Unknown")</x:f>
        <x:v>Accessories</x:v>
      </x:c>
      <x:c r="O85" s="84" t="str">
        <x:f>IFERROR(VLOOKUP(L85,'Reference Data'!$A$5:$F$40,4,FALSE),"Unknown")</x:f>
        <x:v>Bags</x:v>
      </x:c>
      <x:c r="P85" s="92" t="n">
        <x:f>IFERROR(VLOOKUP(L85,'Reference Data'!$A$5:$F$40,5,FALSE),0)</x:f>
        <x:v>39</x:v>
      </x:c>
      <x:c r="Q85" s="92" t="n">
        <x:f>IFERROR(VLOOKUP(L85,'Reference Data'!$A$5:$F$40,6,FALSE),0)</x:f>
        <x:v>14</x:v>
      </x:c>
      <x:c r="R85" s="84" t="n">
        <x:f>'Raw Sales'!J85</x:f>
        <x:v>1</x:v>
      </x:c>
      <x:c r="S85" s="87" t="n">
        <x:f>'Raw Sales'!K85</x:f>
        <x:v>0</x:v>
      </x:c>
      <x:c r="T85" s="93" t="n">
        <x:f>P85*R85</x:f>
        <x:v>39</x:v>
      </x:c>
      <x:c r="U85" s="93" t="n">
        <x:f>T85*S85</x:f>
        <x:v>0</x:v>
      </x:c>
      <x:c r="V85" s="93" t="str">
        <x:f>PROPER(TRIM('Raw Sales'!L85))</x:f>
        <x:v>Completed</x:v>
      </x:c>
      <x:c r="W85" s="93" t="n">
        <x:f>IF(V85="Returned",0,T85-U85)</x:f>
        <x:v>39</x:v>
      </x:c>
      <x:c r="X85" s="93" t="n">
        <x:f>IF(V85="Returned",Q85*R85*10%,Q85*R85)</x:f>
        <x:v>14</x:v>
      </x:c>
      <x:c r="Y85" s="93" t="n">
        <x:f>W85-X85</x:f>
        <x:v>25</x:v>
      </x:c>
      <x:c r="Z85" s="94" t="n">
        <x:f>IFERROR(Y85/W85,0)</x:f>
        <x:v>0.6410256410256411</x:v>
      </x:c>
      <x:c r="AA85" s="84" t="str">
        <x:f>PROPER(TRIM('Raw Sales'!M85))</x:f>
        <x:v>Paypal</x:v>
      </x:c>
      <x:c r="AB85" s="84" t="str">
        <x:f>PROPER(TRIM('Raw Sales'!N85))</x:f>
        <x:v>Mia Chen</x:v>
      </x:c>
      <x:c r="AC85" s="85" t="n">
        <x:f>'Raw Sales'!O85</x:f>
        <x:v>45332</x:v>
      </x:c>
      <x:c r="AD85" s="84" t="n">
        <x:f>AC85-B85</x:f>
        <x:v>5</x:v>
      </x:c>
      <x:c r="AE85" s="84" t="str">
        <x:f>IF(COUNTIF($A$5:A85,A85)&gt;1,"Duplicate","Keep")</x:f>
        <x:v>Keep</x:v>
      </x:c>
      <x:c r="AF85" s="84" t="str">
        <x:f>IF(OR(R85&lt;=0,AC85&lt;B85,H85="Unknown",M85="Unknown Product"),"Review","Valid")</x:f>
        <x:v>Valid</x:v>
      </x:c>
      <x:c r="AG85" s="84" t="n">
        <x:f>IF(AND(AE85="Keep",AF85="Valid"),1,0)</x:f>
        <x:v>1</x:v>
      </x:c>
      <x:c r="AH85" s="84" t="n">
        <x:f>IF(AND(AG85=1,OR('Dashboard'!$B$4="All",I85='Dashboard'!$B$4),OR('Dashboard'!$E$4="All",N85='Dashboard'!$E$4),OR('Dashboard'!$H$4="All",K85='Dashboard'!$H$4),OR('Dashboard'!$K$4="All",C85='Dashboard'!$K$4)),1,0)</x:f>
        <x:v>1</x:v>
      </x:c>
      <x:c r="AI85" s="84" t="n">
        <x:f>IF(AND(AG85=1,OR('Dashboard'!$B$4="All",I85='Dashboard'!$B$4),OR('Dashboard'!$E$4="All",N85='Dashboard'!$E$4),OR('Dashboard'!$H$4="All",K85='Dashboard'!$H$4)),1,0)</x:f>
        <x:v>1</x:v>
      </x:c>
    </x:row>
    <x:row r="86">
      <x:c r="A86" s="84" t="str">
        <x:f>'Raw Sales'!A86</x:f>
        <x:v>ORD-2024-02378</x:v>
      </x:c>
      <x:c r="B86" s="85" t="n">
        <x:f>'Raw Sales'!B86</x:f>
        <x:v>45327</x:v>
      </x:c>
      <x:c r="C86" s="84" t="n">
        <x:f>YEAR(B86)</x:f>
        <x:v>2024</x:v>
      </x:c>
      <x:c r="D86" s="91" t="n">
        <x:f>DATE(YEAR(B86),MONTH(B86),1)</x:f>
        <x:v>45323</x:v>
      </x:c>
      <x:c r="E86" s="84" t="str">
        <x:f>TEXT(B86,"mmm")</x:f>
        <x:v>Feb</x:v>
      </x:c>
      <x:c r="F86" s="84" t="str">
        <x:f>'Raw Sales'!C86</x:f>
        <x:v>CUST-0323</x:v>
      </x:c>
      <x:c r="G86" s="84" t="str">
        <x:f>PROPER(TRIM('Raw Sales'!D86))</x:f>
        <x:v>Zara Evans</x:v>
      </x:c>
      <x:c r="H86" s="84" t="str">
        <x:f>IF(TRIM('Raw Sales'!E86)="","Unknown",PROPER(TRIM('Raw Sales'!E86)))</x:f>
        <x:v>Small Business</x:v>
      </x:c>
      <x:c r="I86" s="84" t="str">
        <x:f>PROPER(TRIM('Raw Sales'!F86))</x:f>
        <x:v>Midwest</x:v>
      </x:c>
      <x:c r="J86" s="84" t="str">
        <x:f>PROPER(TRIM('Raw Sales'!G86))</x:f>
        <x:v>Minneapolis</x:v>
      </x:c>
      <x:c r="K86" s="84" t="str">
        <x:f>PROPER(TRIM('Raw Sales'!H86))</x:f>
        <x:v>Marketplace</x:v>
      </x:c>
      <x:c r="L86" s="84" t="str">
        <x:f>'Raw Sales'!I86</x:f>
        <x:v>ELEC-005</x:v>
      </x:c>
      <x:c r="M86" s="84" t="str">
        <x:f>IFERROR(VLOOKUP(L86,'Reference Data'!$A$5:$F$40,2,FALSE),"Unknown Product")</x:f>
        <x:v>HD Webcam</x:v>
      </x:c>
      <x:c r="N86" s="84" t="str">
        <x:f>IFERROR(VLOOKUP(L86,'Reference Data'!$A$5:$F$40,3,FALSE),"Unknown")</x:f>
        <x:v>Electronics</x:v>
      </x:c>
      <x:c r="O86" s="84" t="str">
        <x:f>IFERROR(VLOOKUP(L86,'Reference Data'!$A$5:$F$40,4,FALSE),"Unknown")</x:f>
        <x:v>Computer Accessories</x:v>
      </x:c>
      <x:c r="P86" s="92" t="n">
        <x:f>IFERROR(VLOOKUP(L86,'Reference Data'!$A$5:$F$40,5,FALSE),0)</x:f>
        <x:v>79</x:v>
      </x:c>
      <x:c r="Q86" s="92" t="n">
        <x:f>IFERROR(VLOOKUP(L86,'Reference Data'!$A$5:$F$40,6,FALSE),0)</x:f>
        <x:v>37</x:v>
      </x:c>
      <x:c r="R86" s="84" t="n">
        <x:f>'Raw Sales'!J86</x:f>
        <x:v>3</x:v>
      </x:c>
      <x:c r="S86" s="87" t="n">
        <x:f>'Raw Sales'!K86</x:f>
        <x:v>0</x:v>
      </x:c>
      <x:c r="T86" s="93" t="n">
        <x:f>P86*R86</x:f>
        <x:v>237</x:v>
      </x:c>
      <x:c r="U86" s="93" t="n">
        <x:f>T86*S86</x:f>
        <x:v>0</x:v>
      </x:c>
      <x:c r="V86" s="93" t="str">
        <x:f>PROPER(TRIM('Raw Sales'!L86))</x:f>
        <x:v>Completed</x:v>
      </x:c>
      <x:c r="W86" s="93" t="n">
        <x:f>IF(V86="Returned",0,T86-U86)</x:f>
        <x:v>237</x:v>
      </x:c>
      <x:c r="X86" s="93" t="n">
        <x:f>IF(V86="Returned",Q86*R86*10%,Q86*R86)</x:f>
        <x:v>111</x:v>
      </x:c>
      <x:c r="Y86" s="93" t="n">
        <x:f>W86-X86</x:f>
        <x:v>126</x:v>
      </x:c>
      <x:c r="Z86" s="94" t="n">
        <x:f>IFERROR(Y86/W86,0)</x:f>
        <x:v>0.5316455696202531</x:v>
      </x:c>
      <x:c r="AA86" s="84" t="str">
        <x:f>PROPER(TRIM('Raw Sales'!M86))</x:f>
        <x:v>Credit Card</x:v>
      </x:c>
      <x:c r="AB86" s="84" t="str">
        <x:f>PROPER(TRIM('Raw Sales'!N86))</x:f>
        <x:v>Emma Hayes</x:v>
      </x:c>
      <x:c r="AC86" s="85" t="n">
        <x:f>'Raw Sales'!O86</x:f>
        <x:v>45332</x:v>
      </x:c>
      <x:c r="AD86" s="84" t="n">
        <x:f>AC86-B86</x:f>
        <x:v>5</x:v>
      </x:c>
      <x:c r="AE86" s="84" t="str">
        <x:f>IF(COUNTIF($A$5:A86,A86)&gt;1,"Duplicate","Keep")</x:f>
        <x:v>Keep</x:v>
      </x:c>
      <x:c r="AF86" s="84" t="str">
        <x:f>IF(OR(R86&lt;=0,AC86&lt;B86,H86="Unknown",M86="Unknown Product"),"Review","Valid")</x:f>
        <x:v>Valid</x:v>
      </x:c>
      <x:c r="AG86" s="84" t="n">
        <x:f>IF(AND(AE86="Keep",AF86="Valid"),1,0)</x:f>
        <x:v>1</x:v>
      </x:c>
      <x:c r="AH86" s="84" t="n">
        <x:f>IF(AND(AG86=1,OR('Dashboard'!$B$4="All",I86='Dashboard'!$B$4),OR('Dashboard'!$E$4="All",N86='Dashboard'!$E$4),OR('Dashboard'!$H$4="All",K86='Dashboard'!$H$4),OR('Dashboard'!$K$4="All",C86='Dashboard'!$K$4)),1,0)</x:f>
        <x:v>1</x:v>
      </x:c>
      <x:c r="AI86" s="84" t="n">
        <x:f>IF(AND(AG86=1,OR('Dashboard'!$B$4="All",I86='Dashboard'!$B$4),OR('Dashboard'!$E$4="All",N86='Dashboard'!$E$4),OR('Dashboard'!$H$4="All",K86='Dashboard'!$H$4)),1,0)</x:f>
        <x:v>1</x:v>
      </x:c>
    </x:row>
    <x:row r="87">
      <x:c r="A87" s="84" t="str">
        <x:f>'Raw Sales'!A87</x:f>
        <x:v>ORD-2024-00300</x:v>
      </x:c>
      <x:c r="B87" s="85" t="n">
        <x:f>'Raw Sales'!B87</x:f>
        <x:v>45329</x:v>
      </x:c>
      <x:c r="C87" s="84" t="n">
        <x:f>YEAR(B87)</x:f>
        <x:v>2024</x:v>
      </x:c>
      <x:c r="D87" s="91" t="n">
        <x:f>DATE(YEAR(B87),MONTH(B87),1)</x:f>
        <x:v>45323</x:v>
      </x:c>
      <x:c r="E87" s="84" t="str">
        <x:f>TEXT(B87,"mmm")</x:f>
        <x:v>Feb</x:v>
      </x:c>
      <x:c r="F87" s="84" t="str">
        <x:f>'Raw Sales'!C87</x:f>
        <x:v>CUST-0532</x:v>
      </x:c>
      <x:c r="G87" s="84" t="str">
        <x:f>PROPER(TRIM('Raw Sales'!D87))</x:f>
        <x:v>Elena Hall</x:v>
      </x:c>
      <x:c r="H87" s="84" t="str">
        <x:f>IF(TRIM('Raw Sales'!E87)="","Unknown",PROPER(TRIM('Raw Sales'!E87)))</x:f>
        <x:v>Small Business</x:v>
      </x:c>
      <x:c r="I87" s="84" t="str">
        <x:f>PROPER(TRIM('Raw Sales'!F87))</x:f>
        <x:v>Southeast</x:v>
      </x:c>
      <x:c r="J87" s="84" t="str">
        <x:f>PROPER(TRIM('Raw Sales'!G87))</x:f>
        <x:v>Charlotte</x:v>
      </x:c>
      <x:c r="K87" s="84" t="str">
        <x:f>PROPER(TRIM('Raw Sales'!H87))</x:f>
        <x:v>Retail Store</x:v>
      </x:c>
      <x:c r="L87" s="84" t="str">
        <x:f>'Raw Sales'!I87</x:f>
        <x:v>ELEC-005</x:v>
      </x:c>
      <x:c r="M87" s="84" t="str">
        <x:f>IFERROR(VLOOKUP(L87,'Reference Data'!$A$5:$F$40,2,FALSE),"Unknown Product")</x:f>
        <x:v>HD Webcam</x:v>
      </x:c>
      <x:c r="N87" s="84" t="str">
        <x:f>IFERROR(VLOOKUP(L87,'Reference Data'!$A$5:$F$40,3,FALSE),"Unknown")</x:f>
        <x:v>Electronics</x:v>
      </x:c>
      <x:c r="O87" s="84" t="str">
        <x:f>IFERROR(VLOOKUP(L87,'Reference Data'!$A$5:$F$40,4,FALSE),"Unknown")</x:f>
        <x:v>Computer Accessories</x:v>
      </x:c>
      <x:c r="P87" s="92" t="n">
        <x:f>IFERROR(VLOOKUP(L87,'Reference Data'!$A$5:$F$40,5,FALSE),0)</x:f>
        <x:v>79</x:v>
      </x:c>
      <x:c r="Q87" s="92" t="n">
        <x:f>IFERROR(VLOOKUP(L87,'Reference Data'!$A$5:$F$40,6,FALSE),0)</x:f>
        <x:v>37</x:v>
      </x:c>
      <x:c r="R87" s="84" t="n">
        <x:f>'Raw Sales'!J87</x:f>
        <x:v>1</x:v>
      </x:c>
      <x:c r="S87" s="87" t="n">
        <x:f>'Raw Sales'!K87</x:f>
        <x:v>0.1</x:v>
      </x:c>
      <x:c r="T87" s="93" t="n">
        <x:f>P87*R87</x:f>
        <x:v>79</x:v>
      </x:c>
      <x:c r="U87" s="93" t="n">
        <x:f>T87*S87</x:f>
        <x:v>7.9</x:v>
      </x:c>
      <x:c r="V87" s="93" t="str">
        <x:f>PROPER(TRIM('Raw Sales'!L87))</x:f>
        <x:v>Completed</x:v>
      </x:c>
      <x:c r="W87" s="93" t="n">
        <x:f>IF(V87="Returned",0,T87-U87)</x:f>
        <x:v>71.1</x:v>
      </x:c>
      <x:c r="X87" s="93" t="n">
        <x:f>IF(V87="Returned",Q87*R87*10%,Q87*R87)</x:f>
        <x:v>37</x:v>
      </x:c>
      <x:c r="Y87" s="93" t="n">
        <x:f>W87-X87</x:f>
        <x:v>34.099999999999994</x:v>
      </x:c>
      <x:c r="Z87" s="94" t="n">
        <x:f>IFERROR(Y87/W87,0)</x:f>
        <x:v>0.4796061884669479</x:v>
      </x:c>
      <x:c r="AA87" s="84" t="str">
        <x:f>PROPER(TRIM('Raw Sales'!M87))</x:f>
        <x:v>Cash</x:v>
      </x:c>
      <x:c r="AB87" s="84" t="str">
        <x:f>PROPER(TRIM('Raw Sales'!N87))</x:f>
        <x:v>Liam Parker</x:v>
      </x:c>
      <x:c r="AC87" s="85" t="n">
        <x:f>'Raw Sales'!O87</x:f>
        <x:v>45330</x:v>
      </x:c>
      <x:c r="AD87" s="84" t="n">
        <x:f>AC87-B87</x:f>
        <x:v>1</x:v>
      </x:c>
      <x:c r="AE87" s="84" t="str">
        <x:f>IF(COUNTIF($A$5:A87,A87)&gt;1,"Duplicate","Keep")</x:f>
        <x:v>Keep</x:v>
      </x:c>
      <x:c r="AF87" s="84" t="str">
        <x:f>IF(OR(R87&lt;=0,AC87&lt;B87,H87="Unknown",M87="Unknown Product"),"Review","Valid")</x:f>
        <x:v>Valid</x:v>
      </x:c>
      <x:c r="AG87" s="84" t="n">
        <x:f>IF(AND(AE87="Keep",AF87="Valid"),1,0)</x:f>
        <x:v>1</x:v>
      </x:c>
      <x:c r="AH87" s="84" t="n">
        <x:f>IF(AND(AG87=1,OR('Dashboard'!$B$4="All",I87='Dashboard'!$B$4),OR('Dashboard'!$E$4="All",N87='Dashboard'!$E$4),OR('Dashboard'!$H$4="All",K87='Dashboard'!$H$4),OR('Dashboard'!$K$4="All",C87='Dashboard'!$K$4)),1,0)</x:f>
        <x:v>1</x:v>
      </x:c>
      <x:c r="AI87" s="84" t="n">
        <x:f>IF(AND(AG87=1,OR('Dashboard'!$B$4="All",I87='Dashboard'!$B$4),OR('Dashboard'!$E$4="All",N87='Dashboard'!$E$4),OR('Dashboard'!$H$4="All",K87='Dashboard'!$H$4)),1,0)</x:f>
        <x:v>1</x:v>
      </x:c>
    </x:row>
    <x:row r="88">
      <x:c r="A88" s="84" t="str">
        <x:f>'Raw Sales'!A88</x:f>
        <x:v>ORD-2024-00686</x:v>
      </x:c>
      <x:c r="B88" s="85" t="n">
        <x:f>'Raw Sales'!B88</x:f>
        <x:v>45329</x:v>
      </x:c>
      <x:c r="C88" s="84" t="n">
        <x:f>YEAR(B88)</x:f>
        <x:v>2024</x:v>
      </x:c>
      <x:c r="D88" s="91" t="n">
        <x:f>DATE(YEAR(B88),MONTH(B88),1)</x:f>
        <x:v>45323</x:v>
      </x:c>
      <x:c r="E88" s="84" t="str">
        <x:f>TEXT(B88,"mmm")</x:f>
        <x:v>Feb</x:v>
      </x:c>
      <x:c r="F88" s="84" t="str">
        <x:f>'Raw Sales'!C88</x:f>
        <x:v>CUST-0363</x:v>
      </x:c>
      <x:c r="G88" s="84" t="str">
        <x:f>PROPER(TRIM('Raw Sales'!D88))</x:f>
        <x:v>Jasmine Baker</x:v>
      </x:c>
      <x:c r="H88" s="84" t="str">
        <x:f>IF(TRIM('Raw Sales'!E88)="","Unknown",PROPER(TRIM('Raw Sales'!E88)))</x:f>
        <x:v>Corporate</x:v>
      </x:c>
      <x:c r="I88" s="84" t="str">
        <x:f>PROPER(TRIM('Raw Sales'!F88))</x:f>
        <x:v>Midwest</x:v>
      </x:c>
      <x:c r="J88" s="84" t="str">
        <x:f>PROPER(TRIM('Raw Sales'!G88))</x:f>
        <x:v>Minneapolis</x:v>
      </x:c>
      <x:c r="K88" s="84" t="str">
        <x:f>PROPER(TRIM('Raw Sales'!H88))</x:f>
        <x:v>Online</x:v>
      </x:c>
      <x:c r="L88" s="84" t="str">
        <x:f>'Raw Sales'!I88</x:f>
        <x:v>HOME-004</x:v>
      </x:c>
      <x:c r="M88" s="84" t="str">
        <x:f>IFERROR(VLOOKUP(L88,'Reference Data'!$A$5:$F$40,2,FALSE),"Unknown Product")</x:f>
        <x:v>Coffee Maker</x:v>
      </x:c>
      <x:c r="N88" s="84" t="str">
        <x:f>IFERROR(VLOOKUP(L88,'Reference Data'!$A$5:$F$40,3,FALSE),"Unknown")</x:f>
        <x:v>Home &amp; Kitchen</x:v>
      </x:c>
      <x:c r="O88" s="84" t="str">
        <x:f>IFERROR(VLOOKUP(L88,'Reference Data'!$A$5:$F$40,4,FALSE),"Unknown")</x:f>
        <x:v>Small Appliances</x:v>
      </x:c>
      <x:c r="P88" s="92" t="n">
        <x:f>IFERROR(VLOOKUP(L88,'Reference Data'!$A$5:$F$40,5,FALSE),0)</x:f>
        <x:v>99</x:v>
      </x:c>
      <x:c r="Q88" s="92" t="n">
        <x:f>IFERROR(VLOOKUP(L88,'Reference Data'!$A$5:$F$40,6,FALSE),0)</x:f>
        <x:v>51</x:v>
      </x:c>
      <x:c r="R88" s="84" t="n">
        <x:f>'Raw Sales'!J88</x:f>
        <x:v>4</x:v>
      </x:c>
      <x:c r="S88" s="87" t="n">
        <x:f>'Raw Sales'!K88</x:f>
        <x:v>0</x:v>
      </x:c>
      <x:c r="T88" s="93" t="n">
        <x:f>P88*R88</x:f>
        <x:v>396</x:v>
      </x:c>
      <x:c r="U88" s="93" t="n">
        <x:f>T88*S88</x:f>
        <x:v>0</x:v>
      </x:c>
      <x:c r="V88" s="93" t="str">
        <x:f>PROPER(TRIM('Raw Sales'!L88))</x:f>
        <x:v>Completed</x:v>
      </x:c>
      <x:c r="W88" s="93" t="n">
        <x:f>IF(V88="Returned",0,T88-U88)</x:f>
        <x:v>396</x:v>
      </x:c>
      <x:c r="X88" s="93" t="n">
        <x:f>IF(V88="Returned",Q88*R88*10%,Q88*R88)</x:f>
        <x:v>204</x:v>
      </x:c>
      <x:c r="Y88" s="93" t="n">
        <x:f>W88-X88</x:f>
        <x:v>192</x:v>
      </x:c>
      <x:c r="Z88" s="94" t="n">
        <x:f>IFERROR(Y88/W88,0)</x:f>
        <x:v>0.48484848484848486</x:v>
      </x:c>
      <x:c r="AA88" s="84" t="str">
        <x:f>PROPER(TRIM('Raw Sales'!M88))</x:f>
        <x:v>Credit Card</x:v>
      </x:c>
      <x:c r="AB88" s="84" t="str">
        <x:f>PROPER(TRIM('Raw Sales'!N88))</x:f>
        <x:v>Lucas Grant</x:v>
      </x:c>
      <x:c r="AC88" s="85" t="n">
        <x:f>'Raw Sales'!O88</x:f>
        <x:v>45334</x:v>
      </x:c>
      <x:c r="AD88" s="84" t="n">
        <x:f>AC88-B88</x:f>
        <x:v>5</x:v>
      </x:c>
      <x:c r="AE88" s="84" t="str">
        <x:f>IF(COUNTIF($A$5:A88,A88)&gt;1,"Duplicate","Keep")</x:f>
        <x:v>Keep</x:v>
      </x:c>
      <x:c r="AF88" s="84" t="str">
        <x:f>IF(OR(R88&lt;=0,AC88&lt;B88,H88="Unknown",M88="Unknown Product"),"Review","Valid")</x:f>
        <x:v>Valid</x:v>
      </x:c>
      <x:c r="AG88" s="84" t="n">
        <x:f>IF(AND(AE88="Keep",AF88="Valid"),1,0)</x:f>
        <x:v>1</x:v>
      </x:c>
      <x:c r="AH88" s="84" t="n">
        <x:f>IF(AND(AG88=1,OR('Dashboard'!$B$4="All",I88='Dashboard'!$B$4),OR('Dashboard'!$E$4="All",N88='Dashboard'!$E$4),OR('Dashboard'!$H$4="All",K88='Dashboard'!$H$4),OR('Dashboard'!$K$4="All",C88='Dashboard'!$K$4)),1,0)</x:f>
        <x:v>1</x:v>
      </x:c>
      <x:c r="AI88" s="84" t="n">
        <x:f>IF(AND(AG88=1,OR('Dashboard'!$B$4="All",I88='Dashboard'!$B$4),OR('Dashboard'!$E$4="All",N88='Dashboard'!$E$4),OR('Dashboard'!$H$4="All",K88='Dashboard'!$H$4)),1,0)</x:f>
        <x:v>1</x:v>
      </x:c>
    </x:row>
    <x:row r="89">
      <x:c r="A89" s="84" t="str">
        <x:f>'Raw Sales'!A89</x:f>
        <x:v>ORD-2024-00753</x:v>
      </x:c>
      <x:c r="B89" s="85" t="n">
        <x:f>'Raw Sales'!B89</x:f>
        <x:v>45329</x:v>
      </x:c>
      <x:c r="C89" s="84" t="n">
        <x:f>YEAR(B89)</x:f>
        <x:v>2024</x:v>
      </x:c>
      <x:c r="D89" s="91" t="n">
        <x:f>DATE(YEAR(B89),MONTH(B89),1)</x:f>
        <x:v>45323</x:v>
      </x:c>
      <x:c r="E89" s="84" t="str">
        <x:f>TEXT(B89,"mmm")</x:f>
        <x:v>Feb</x:v>
      </x:c>
      <x:c r="F89" s="84" t="str">
        <x:f>'Raw Sales'!C89</x:f>
        <x:v>CUST-0382</x:v>
      </x:c>
      <x:c r="G89" s="84" t="str">
        <x:f>PROPER(TRIM('Raw Sales'!D89))</x:f>
        <x:v>Samuel Adams</x:v>
      </x:c>
      <x:c r="H89" s="84" t="str">
        <x:f>IF(TRIM('Raw Sales'!E89)="","Unknown",PROPER(TRIM('Raw Sales'!E89)))</x:f>
        <x:v>Corporate</x:v>
      </x:c>
      <x:c r="I89" s="84" t="str">
        <x:f>PROPER(TRIM('Raw Sales'!F89))</x:f>
        <x:v>Northeast</x:v>
      </x:c>
      <x:c r="J89" s="84" t="str">
        <x:f>PROPER(TRIM('Raw Sales'!G89))</x:f>
        <x:v>Boston</x:v>
      </x:c>
      <x:c r="K89" s="84" t="str">
        <x:f>PROPER(TRIM('Raw Sales'!H89))</x:f>
        <x:v>Marketplace</x:v>
      </x:c>
      <x:c r="L89" s="84" t="str">
        <x:f>'Raw Sales'!I89</x:f>
        <x:v>FITN-006</x:v>
      </x:c>
      <x:c r="M89" s="84" t="str">
        <x:f>IFERROR(VLOOKUP(L89,'Reference Data'!$A$5:$F$40,2,FALSE),"Unknown Product")</x:f>
        <x:v>Foam Roller</x:v>
      </x:c>
      <x:c r="N89" s="84" t="str">
        <x:f>IFERROR(VLOOKUP(L89,'Reference Data'!$A$5:$F$40,3,FALSE),"Unknown")</x:f>
        <x:v>Fitness</x:v>
      </x:c>
      <x:c r="O89" s="84" t="str">
        <x:f>IFERROR(VLOOKUP(L89,'Reference Data'!$A$5:$F$40,4,FALSE),"Unknown")</x:f>
        <x:v>Recovery</x:v>
      </x:c>
      <x:c r="P89" s="92" t="n">
        <x:f>IFERROR(VLOOKUP(L89,'Reference Data'!$A$5:$F$40,5,FALSE),0)</x:f>
        <x:v>31</x:v>
      </x:c>
      <x:c r="Q89" s="92" t="n">
        <x:f>IFERROR(VLOOKUP(L89,'Reference Data'!$A$5:$F$40,6,FALSE),0)</x:f>
        <x:v>12</x:v>
      </x:c>
      <x:c r="R89" s="84" t="n">
        <x:f>'Raw Sales'!J89</x:f>
        <x:v>3</x:v>
      </x:c>
      <x:c r="S89" s="87" t="n">
        <x:f>'Raw Sales'!K89</x:f>
        <x:v>0</x:v>
      </x:c>
      <x:c r="T89" s="93" t="n">
        <x:f>P89*R89</x:f>
        <x:v>93</x:v>
      </x:c>
      <x:c r="U89" s="93" t="n">
        <x:f>T89*S89</x:f>
        <x:v>0</x:v>
      </x:c>
      <x:c r="V89" s="93" t="str">
        <x:f>PROPER(TRIM('Raw Sales'!L89))</x:f>
        <x:v>Completed</x:v>
      </x:c>
      <x:c r="W89" s="93" t="n">
        <x:f>IF(V89="Returned",0,T89-U89)</x:f>
        <x:v>93</x:v>
      </x:c>
      <x:c r="X89" s="93" t="n">
        <x:f>IF(V89="Returned",Q89*R89*10%,Q89*R89)</x:f>
        <x:v>36</x:v>
      </x:c>
      <x:c r="Y89" s="93" t="n">
        <x:f>W89-X89</x:f>
        <x:v>57</x:v>
      </x:c>
      <x:c r="Z89" s="94" t="n">
        <x:f>IFERROR(Y89/W89,0)</x:f>
        <x:v>0.6129032258064516</x:v>
      </x:c>
      <x:c r="AA89" s="84" t="str">
        <x:f>PROPER(TRIM('Raw Sales'!M89))</x:f>
        <x:v>Debit Card</x:v>
      </x:c>
      <x:c r="AB89" s="84" t="str">
        <x:f>PROPER(TRIM('Raw Sales'!N89))</x:f>
        <x:v>Sofia Bennett</x:v>
      </x:c>
      <x:c r="AC89" s="85" t="n">
        <x:f>'Raw Sales'!O89</x:f>
        <x:v>45337</x:v>
      </x:c>
      <x:c r="AD89" s="84" t="n">
        <x:f>AC89-B89</x:f>
        <x:v>8</x:v>
      </x:c>
      <x:c r="AE89" s="84" t="str">
        <x:f>IF(COUNTIF($A$5:A89,A89)&gt;1,"Duplicate","Keep")</x:f>
        <x:v>Keep</x:v>
      </x:c>
      <x:c r="AF89" s="84" t="str">
        <x:f>IF(OR(R89&lt;=0,AC89&lt;B89,H89="Unknown",M89="Unknown Product"),"Review","Valid")</x:f>
        <x:v>Valid</x:v>
      </x:c>
      <x:c r="AG89" s="84" t="n">
        <x:f>IF(AND(AE89="Keep",AF89="Valid"),1,0)</x:f>
        <x:v>1</x:v>
      </x:c>
      <x:c r="AH89" s="84" t="n">
        <x:f>IF(AND(AG89=1,OR('Dashboard'!$B$4="All",I89='Dashboard'!$B$4),OR('Dashboard'!$E$4="All",N89='Dashboard'!$E$4),OR('Dashboard'!$H$4="All",K89='Dashboard'!$H$4),OR('Dashboard'!$K$4="All",C89='Dashboard'!$K$4)),1,0)</x:f>
        <x:v>1</x:v>
      </x:c>
      <x:c r="AI89" s="84" t="n">
        <x:f>IF(AND(AG89=1,OR('Dashboard'!$B$4="All",I89='Dashboard'!$B$4),OR('Dashboard'!$E$4="All",N89='Dashboard'!$E$4),OR('Dashboard'!$H$4="All",K89='Dashboard'!$H$4)),1,0)</x:f>
        <x:v>1</x:v>
      </x:c>
    </x:row>
    <x:row r="90">
      <x:c r="A90" s="84" t="str">
        <x:f>'Raw Sales'!A90</x:f>
        <x:v>ORD-2024-01220</x:v>
      </x:c>
      <x:c r="B90" s="85" t="n">
        <x:f>'Raw Sales'!B90</x:f>
        <x:v>45329</x:v>
      </x:c>
      <x:c r="C90" s="84" t="n">
        <x:f>YEAR(B90)</x:f>
        <x:v>2024</x:v>
      </x:c>
      <x:c r="D90" s="91" t="n">
        <x:f>DATE(YEAR(B90),MONTH(B90),1)</x:f>
        <x:v>45323</x:v>
      </x:c>
      <x:c r="E90" s="84" t="str">
        <x:f>TEXT(B90,"mmm")</x:f>
        <x:v>Feb</x:v>
      </x:c>
      <x:c r="F90" s="84" t="str">
        <x:f>'Raw Sales'!C90</x:f>
        <x:v>CUST-0244</x:v>
      </x:c>
      <x:c r="G90" s="84" t="str">
        <x:f>PROPER(TRIM('Raw Sales'!D90))</x:f>
        <x:v>Caleb Nelson</x:v>
      </x:c>
      <x:c r="H90" s="84" t="str">
        <x:f>IF(TRIM('Raw Sales'!E90)="","Unknown",PROPER(TRIM('Raw Sales'!E90)))</x:f>
        <x:v>Unknown</x:v>
      </x:c>
      <x:c r="I90" s="84" t="str">
        <x:f>PROPER(TRIM('Raw Sales'!F90))</x:f>
        <x:v>Midwest</x:v>
      </x:c>
      <x:c r="J90" s="84" t="str">
        <x:f>PROPER(TRIM('Raw Sales'!G90))</x:f>
        <x:v>Detroit</x:v>
      </x:c>
      <x:c r="K90" s="84" t="str">
        <x:f>PROPER(TRIM('Raw Sales'!H90))</x:f>
        <x:v>Retail Store</x:v>
      </x:c>
      <x:c r="L90" s="84" t="str">
        <x:f>'Raw Sales'!I90</x:f>
        <x:v>HOME-001</x:v>
      </x:c>
      <x:c r="M90" s="84" t="str">
        <x:f>IFERROR(VLOOKUP(L90,'Reference Data'!$A$5:$F$40,2,FALSE),"Unknown Product")</x:f>
        <x:v>Air Fryer</x:v>
      </x:c>
      <x:c r="N90" s="84" t="str">
        <x:f>IFERROR(VLOOKUP(L90,'Reference Data'!$A$5:$F$40,3,FALSE),"Unknown")</x:f>
        <x:v>Home &amp; Kitchen</x:v>
      </x:c>
      <x:c r="O90" s="84" t="str">
        <x:f>IFERROR(VLOOKUP(L90,'Reference Data'!$A$5:$F$40,4,FALSE),"Unknown")</x:f>
        <x:v>Small Appliances</x:v>
      </x:c>
      <x:c r="P90" s="92" t="n">
        <x:f>IFERROR(VLOOKUP(L90,'Reference Data'!$A$5:$F$40,5,FALSE),0)</x:f>
        <x:v>119</x:v>
      </x:c>
      <x:c r="Q90" s="92" t="n">
        <x:f>IFERROR(VLOOKUP(L90,'Reference Data'!$A$5:$F$40,6,FALSE),0)</x:f>
        <x:v>68</x:v>
      </x:c>
      <x:c r="R90" s="84" t="n">
        <x:f>'Raw Sales'!J90</x:f>
        <x:v>1</x:v>
      </x:c>
      <x:c r="S90" s="87" t="n">
        <x:f>'Raw Sales'!K90</x:f>
        <x:v>0.05</x:v>
      </x:c>
      <x:c r="T90" s="93" t="n">
        <x:f>P90*R90</x:f>
        <x:v>119</x:v>
      </x:c>
      <x:c r="U90" s="93" t="n">
        <x:f>T90*S90</x:f>
        <x:v>5.95</x:v>
      </x:c>
      <x:c r="V90" s="93" t="str">
        <x:f>PROPER(TRIM('Raw Sales'!L90))</x:f>
        <x:v>Completed</x:v>
      </x:c>
      <x:c r="W90" s="93" t="n">
        <x:f>IF(V90="Returned",0,T90-U90)</x:f>
        <x:v>113.05</x:v>
      </x:c>
      <x:c r="X90" s="93" t="n">
        <x:f>IF(V90="Returned",Q90*R90*10%,Q90*R90)</x:f>
        <x:v>68</x:v>
      </x:c>
      <x:c r="Y90" s="93" t="n">
        <x:f>W90-X90</x:f>
        <x:v>45.05</x:v>
      </x:c>
      <x:c r="Z90" s="94" t="n">
        <x:f>IFERROR(Y90/W90,0)</x:f>
        <x:v>0.39849624060150374</x:v>
      </x:c>
      <x:c r="AA90" s="84" t="str">
        <x:f>PROPER(TRIM('Raw Sales'!M90))</x:f>
        <x:v>Cash</x:v>
      </x:c>
      <x:c r="AB90" s="84" t="str">
        <x:f>PROPER(TRIM('Raw Sales'!N90))</x:f>
        <x:v>Zoe Turner</x:v>
      </x:c>
      <x:c r="AC90" s="85" t="n">
        <x:f>'Raw Sales'!O90</x:f>
        <x:v>45329</x:v>
      </x:c>
      <x:c r="AD90" s="84" t="n">
        <x:f>AC90-B90</x:f>
        <x:v>0</x:v>
      </x:c>
      <x:c r="AE90" s="84" t="str">
        <x:f>IF(COUNTIF($A$5:A90,A90)&gt;1,"Duplicate","Keep")</x:f>
        <x:v>Keep</x:v>
      </x:c>
      <x:c r="AF90" s="84" t="str">
        <x:f>IF(OR(R90&lt;=0,AC90&lt;B90,H90="Unknown",M90="Unknown Product"),"Review","Valid")</x:f>
        <x:v>Review</x:v>
      </x:c>
      <x:c r="AG90" s="84" t="n">
        <x:f>IF(AND(AE90="Keep",AF90="Valid"),1,0)</x:f>
        <x:v>0</x:v>
      </x:c>
      <x:c r="AH90" s="84" t="n">
        <x:f>IF(AND(AG90=1,OR('Dashboard'!$B$4="All",I90='Dashboard'!$B$4),OR('Dashboard'!$E$4="All",N90='Dashboard'!$E$4),OR('Dashboard'!$H$4="All",K90='Dashboard'!$H$4),OR('Dashboard'!$K$4="All",C90='Dashboard'!$K$4)),1,0)</x:f>
        <x:v>0</x:v>
      </x:c>
      <x:c r="AI90" s="84" t="n">
        <x:f>IF(AND(AG90=1,OR('Dashboard'!$B$4="All",I90='Dashboard'!$B$4),OR('Dashboard'!$E$4="All",N90='Dashboard'!$E$4),OR('Dashboard'!$H$4="All",K90='Dashboard'!$H$4)),1,0)</x:f>
        <x:v>0</x:v>
      </x:c>
    </x:row>
    <x:row r="91">
      <x:c r="A91" s="84" t="str">
        <x:f>'Raw Sales'!A91</x:f>
        <x:v>ORD-2024-02146</x:v>
      </x:c>
      <x:c r="B91" s="85" t="n">
        <x:f>'Raw Sales'!B91</x:f>
        <x:v>45329</x:v>
      </x:c>
      <x:c r="C91" s="84" t="n">
        <x:f>YEAR(B91)</x:f>
        <x:v>2024</x:v>
      </x:c>
      <x:c r="D91" s="91" t="n">
        <x:f>DATE(YEAR(B91),MONTH(B91),1)</x:f>
        <x:v>45323</x:v>
      </x:c>
      <x:c r="E91" s="84" t="str">
        <x:f>TEXT(B91,"mmm")</x:f>
        <x:v>Feb</x:v>
      </x:c>
      <x:c r="F91" s="84" t="str">
        <x:f>'Raw Sales'!C91</x:f>
        <x:v>CUST-0114</x:v>
      </x:c>
      <x:c r="G91" s="84" t="str">
        <x:f>PROPER(TRIM('Raw Sales'!D91))</x:f>
        <x:v>Amelia Smith</x:v>
      </x:c>
      <x:c r="H91" s="84" t="str">
        <x:f>IF(TRIM('Raw Sales'!E91)="","Unknown",PROPER(TRIM('Raw Sales'!E91)))</x:f>
        <x:v>Corporate</x:v>
      </x:c>
      <x:c r="I91" s="84" t="str">
        <x:f>PROPER(TRIM('Raw Sales'!F91))</x:f>
        <x:v>Midwest</x:v>
      </x:c>
      <x:c r="J91" s="84" t="str">
        <x:f>PROPER(TRIM('Raw Sales'!G91))</x:f>
        <x:v>Minneapolis</x:v>
      </x:c>
      <x:c r="K91" s="84" t="str">
        <x:f>PROPER(TRIM('Raw Sales'!H91))</x:f>
        <x:v>Marketplace</x:v>
      </x:c>
      <x:c r="L91" s="84" t="str">
        <x:f>'Raw Sales'!I91</x:f>
        <x:v>OFFC-005</x:v>
      </x:c>
      <x:c r="M91" s="84" t="str">
        <x:f>IFERROR(VLOOKUP(L91,'Reference Data'!$A$5:$F$40,2,FALSE),"Unknown Product")</x:f>
        <x:v>Wireless Keyboard</x:v>
      </x:c>
      <x:c r="N91" s="84" t="str">
        <x:f>IFERROR(VLOOKUP(L91,'Reference Data'!$A$5:$F$40,3,FALSE),"Unknown")</x:f>
        <x:v>Office</x:v>
      </x:c>
      <x:c r="O91" s="84" t="str">
        <x:f>IFERROR(VLOOKUP(L91,'Reference Data'!$A$5:$F$40,4,FALSE),"Unknown")</x:f>
        <x:v>Computer Accessories</x:v>
      </x:c>
      <x:c r="P91" s="92" t="n">
        <x:f>IFERROR(VLOOKUP(L91,'Reference Data'!$A$5:$F$40,5,FALSE),0)</x:f>
        <x:v>59</x:v>
      </x:c>
      <x:c r="Q91" s="92" t="n">
        <x:f>IFERROR(VLOOKUP(L91,'Reference Data'!$A$5:$F$40,6,FALSE),0)</x:f>
        <x:v>28</x:v>
      </x:c>
      <x:c r="R91" s="84" t="n">
        <x:f>'Raw Sales'!J91</x:f>
        <x:v>3</x:v>
      </x:c>
      <x:c r="S91" s="87" t="n">
        <x:f>'Raw Sales'!K91</x:f>
        <x:v>0.05</x:v>
      </x:c>
      <x:c r="T91" s="93" t="n">
        <x:f>P91*R91</x:f>
        <x:v>177</x:v>
      </x:c>
      <x:c r="U91" s="93" t="n">
        <x:f>T91*S91</x:f>
        <x:v>8.85</x:v>
      </x:c>
      <x:c r="V91" s="93" t="str">
        <x:f>PROPER(TRIM('Raw Sales'!L91))</x:f>
        <x:v>Completed</x:v>
      </x:c>
      <x:c r="W91" s="93" t="n">
        <x:f>IF(V91="Returned",0,T91-U91)</x:f>
        <x:v>168.15</x:v>
      </x:c>
      <x:c r="X91" s="93" t="n">
        <x:f>IF(V91="Returned",Q91*R91*10%,Q91*R91)</x:f>
        <x:v>84</x:v>
      </x:c>
      <x:c r="Y91" s="93" t="n">
        <x:f>W91-X91</x:f>
        <x:v>84.15</x:v>
      </x:c>
      <x:c r="Z91" s="94" t="n">
        <x:f>IFERROR(Y91/W91,0)</x:f>
        <x:v>0.5004460303300624</x:v>
      </x:c>
      <x:c r="AA91" s="84" t="str">
        <x:f>PROPER(TRIM('Raw Sales'!M91))</x:f>
        <x:v>Credit Card</x:v>
      </x:c>
      <x:c r="AB91" s="84" t="str">
        <x:f>PROPER(TRIM('Raw Sales'!N91))</x:f>
        <x:v>Zoe Turner</x:v>
      </x:c>
      <x:c r="AC91" s="85" t="n">
        <x:f>'Raw Sales'!O91</x:f>
        <x:v>45335</x:v>
      </x:c>
      <x:c r="AD91" s="84" t="n">
        <x:f>AC91-B91</x:f>
        <x:v>6</x:v>
      </x:c>
      <x:c r="AE91" s="84" t="str">
        <x:f>IF(COUNTIF($A$5:A91,A91)&gt;1,"Duplicate","Keep")</x:f>
        <x:v>Keep</x:v>
      </x:c>
      <x:c r="AF91" s="84" t="str">
        <x:f>IF(OR(R91&lt;=0,AC91&lt;B91,H91="Unknown",M91="Unknown Product"),"Review","Valid")</x:f>
        <x:v>Valid</x:v>
      </x:c>
      <x:c r="AG91" s="84" t="n">
        <x:f>IF(AND(AE91="Keep",AF91="Valid"),1,0)</x:f>
        <x:v>1</x:v>
      </x:c>
      <x:c r="AH91" s="84" t="n">
        <x:f>IF(AND(AG91=1,OR('Dashboard'!$B$4="All",I91='Dashboard'!$B$4),OR('Dashboard'!$E$4="All",N91='Dashboard'!$E$4),OR('Dashboard'!$H$4="All",K91='Dashboard'!$H$4),OR('Dashboard'!$K$4="All",C91='Dashboard'!$K$4)),1,0)</x:f>
        <x:v>1</x:v>
      </x:c>
      <x:c r="AI91" s="84" t="n">
        <x:f>IF(AND(AG91=1,OR('Dashboard'!$B$4="All",I91='Dashboard'!$B$4),OR('Dashboard'!$E$4="All",N91='Dashboard'!$E$4),OR('Dashboard'!$H$4="All",K91='Dashboard'!$H$4)),1,0)</x:f>
        <x:v>1</x:v>
      </x:c>
    </x:row>
    <x:row r="92">
      <x:c r="A92" s="84" t="str">
        <x:f>'Raw Sales'!A92</x:f>
        <x:v>ORD-2024-00196</x:v>
      </x:c>
      <x:c r="B92" s="85" t="n">
        <x:f>'Raw Sales'!B92</x:f>
        <x:v>45330</x:v>
      </x:c>
      <x:c r="C92" s="84" t="n">
        <x:f>YEAR(B92)</x:f>
        <x:v>2024</x:v>
      </x:c>
      <x:c r="D92" s="91" t="n">
        <x:f>DATE(YEAR(B92),MONTH(B92),1)</x:f>
        <x:v>45323</x:v>
      </x:c>
      <x:c r="E92" s="84" t="str">
        <x:f>TEXT(B92,"mmm")</x:f>
        <x:v>Feb</x:v>
      </x:c>
      <x:c r="F92" s="84" t="str">
        <x:f>'Raw Sales'!C92</x:f>
        <x:v>CUST-0334</x:v>
      </x:c>
      <x:c r="G92" s="84" t="str">
        <x:f>PROPER(TRIM('Raw Sales'!D92))</x:f>
        <x:v>Maya Lewis</x:v>
      </x:c>
      <x:c r="H92" s="84" t="str">
        <x:f>IF(TRIM('Raw Sales'!E92)="","Unknown",PROPER(TRIM('Raw Sales'!E92)))</x:f>
        <x:v>Corporate</x:v>
      </x:c>
      <x:c r="I92" s="84" t="str">
        <x:f>PROPER(TRIM('Raw Sales'!F92))</x:f>
        <x:v>Southeast</x:v>
      </x:c>
      <x:c r="J92" s="84" t="str">
        <x:f>PROPER(TRIM('Raw Sales'!G92))</x:f>
        <x:v>Miami</x:v>
      </x:c>
      <x:c r="K92" s="84" t="str">
        <x:f>PROPER(TRIM('Raw Sales'!H92))</x:f>
        <x:v>Marketplace</x:v>
      </x:c>
      <x:c r="L92" s="84" t="str">
        <x:f>'Raw Sales'!I92</x:f>
        <x:v>HOME-001</x:v>
      </x:c>
      <x:c r="M92" s="84" t="str">
        <x:f>IFERROR(VLOOKUP(L92,'Reference Data'!$A$5:$F$40,2,FALSE),"Unknown Product")</x:f>
        <x:v>Air Fryer</x:v>
      </x:c>
      <x:c r="N92" s="84" t="str">
        <x:f>IFERROR(VLOOKUP(L92,'Reference Data'!$A$5:$F$40,3,FALSE),"Unknown")</x:f>
        <x:v>Home &amp; Kitchen</x:v>
      </x:c>
      <x:c r="O92" s="84" t="str">
        <x:f>IFERROR(VLOOKUP(L92,'Reference Data'!$A$5:$F$40,4,FALSE),"Unknown")</x:f>
        <x:v>Small Appliances</x:v>
      </x:c>
      <x:c r="P92" s="92" t="n">
        <x:f>IFERROR(VLOOKUP(L92,'Reference Data'!$A$5:$F$40,5,FALSE),0)</x:f>
        <x:v>119</x:v>
      </x:c>
      <x:c r="Q92" s="92" t="n">
        <x:f>IFERROR(VLOOKUP(L92,'Reference Data'!$A$5:$F$40,6,FALSE),0)</x:f>
        <x:v>68</x:v>
      </x:c>
      <x:c r="R92" s="84" t="n">
        <x:f>'Raw Sales'!J92</x:f>
        <x:v>3</x:v>
      </x:c>
      <x:c r="S92" s="87" t="n">
        <x:f>'Raw Sales'!K92</x:f>
        <x:v>0.2</x:v>
      </x:c>
      <x:c r="T92" s="93" t="n">
        <x:f>P92*R92</x:f>
        <x:v>357</x:v>
      </x:c>
      <x:c r="U92" s="93" t="n">
        <x:f>T92*S92</x:f>
        <x:v>71.4</x:v>
      </x:c>
      <x:c r="V92" s="93" t="str">
        <x:f>PROPER(TRIM('Raw Sales'!L92))</x:f>
        <x:v>Completed</x:v>
      </x:c>
      <x:c r="W92" s="93" t="n">
        <x:f>IF(V92="Returned",0,T92-U92)</x:f>
        <x:v>285.6</x:v>
      </x:c>
      <x:c r="X92" s="93" t="n">
        <x:f>IF(V92="Returned",Q92*R92*10%,Q92*R92)</x:f>
        <x:v>204</x:v>
      </x:c>
      <x:c r="Y92" s="93" t="n">
        <x:f>W92-X92</x:f>
        <x:v>81.60000000000002</x:v>
      </x:c>
      <x:c r="Z92" s="94" t="n">
        <x:f>IFERROR(Y92/W92,0)</x:f>
        <x:v>0.28571428571428575</x:v>
      </x:c>
      <x:c r="AA92" s="84" t="str">
        <x:f>PROPER(TRIM('Raw Sales'!M92))</x:f>
        <x:v>Mobile Wallet</x:v>
      </x:c>
      <x:c r="AB92" s="84" t="str">
        <x:f>PROPER(TRIM('Raw Sales'!N92))</x:f>
        <x:v>Noah Reed</x:v>
      </x:c>
      <x:c r="AC92" s="85" t="n">
        <x:f>'Raw Sales'!O92</x:f>
        <x:v>45334</x:v>
      </x:c>
      <x:c r="AD92" s="84" t="n">
        <x:f>AC92-B92</x:f>
        <x:v>4</x:v>
      </x:c>
      <x:c r="AE92" s="84" t="str">
        <x:f>IF(COUNTIF($A$5:A92,A92)&gt;1,"Duplicate","Keep")</x:f>
        <x:v>Keep</x:v>
      </x:c>
      <x:c r="AF92" s="84" t="str">
        <x:f>IF(OR(R92&lt;=0,AC92&lt;B92,H92="Unknown",M92="Unknown Product"),"Review","Valid")</x:f>
        <x:v>Valid</x:v>
      </x:c>
      <x:c r="AG92" s="84" t="n">
        <x:f>IF(AND(AE92="Keep",AF92="Valid"),1,0)</x:f>
        <x:v>1</x:v>
      </x:c>
      <x:c r="AH92" s="84" t="n">
        <x:f>IF(AND(AG92=1,OR('Dashboard'!$B$4="All",I92='Dashboard'!$B$4),OR('Dashboard'!$E$4="All",N92='Dashboard'!$E$4),OR('Dashboard'!$H$4="All",K92='Dashboard'!$H$4),OR('Dashboard'!$K$4="All",C92='Dashboard'!$K$4)),1,0)</x:f>
        <x:v>1</x:v>
      </x:c>
      <x:c r="AI92" s="84" t="n">
        <x:f>IF(AND(AG92=1,OR('Dashboard'!$B$4="All",I92='Dashboard'!$B$4),OR('Dashboard'!$E$4="All",N92='Dashboard'!$E$4),OR('Dashboard'!$H$4="All",K92='Dashboard'!$H$4)),1,0)</x:f>
        <x:v>1</x:v>
      </x:c>
    </x:row>
    <x:row r="93">
      <x:c r="A93" s="84" t="str">
        <x:f>'Raw Sales'!A93</x:f>
        <x:v>ORD-2024-00204</x:v>
      </x:c>
      <x:c r="B93" s="85" t="n">
        <x:f>'Raw Sales'!B93</x:f>
        <x:v>45330</x:v>
      </x:c>
      <x:c r="C93" s="84" t="n">
        <x:f>YEAR(B93)</x:f>
        <x:v>2024</x:v>
      </x:c>
      <x:c r="D93" s="91" t="n">
        <x:f>DATE(YEAR(B93),MONTH(B93),1)</x:f>
        <x:v>45323</x:v>
      </x:c>
      <x:c r="E93" s="84" t="str">
        <x:f>TEXT(B93,"mmm")</x:f>
        <x:v>Feb</x:v>
      </x:c>
      <x:c r="F93" s="84" t="str">
        <x:f>'Raw Sales'!C93</x:f>
        <x:v>CUST-0286</x:v>
      </x:c>
      <x:c r="G93" s="84" t="str">
        <x:f>PROPER(TRIM('Raw Sales'!D93))</x:f>
        <x:v>Isaac Hall</x:v>
      </x:c>
      <x:c r="H93" s="84" t="str">
        <x:f>IF(TRIM('Raw Sales'!E93)="","Unknown",PROPER(TRIM('Raw Sales'!E93)))</x:f>
        <x:v>Consumer</x:v>
      </x:c>
      <x:c r="I93" s="84" t="str">
        <x:f>PROPER(TRIM('Raw Sales'!F93))</x:f>
        <x:v>Midwest</x:v>
      </x:c>
      <x:c r="J93" s="84" t="str">
        <x:f>PROPER(TRIM('Raw Sales'!G93))</x:f>
        <x:v>Chicago</x:v>
      </x:c>
      <x:c r="K93" s="84" t="str">
        <x:f>PROPER(TRIM('Raw Sales'!H93))</x:f>
        <x:v>Retail Store</x:v>
      </x:c>
      <x:c r="L93" s="84" t="str">
        <x:f>'Raw Sales'!I93</x:f>
        <x:v>ELEC-001</x:v>
      </x:c>
      <x:c r="M93" s="84" t="str">
        <x:f>IFERROR(VLOOKUP(L93,'Reference Data'!$A$5:$F$40,2,FALSE),"Unknown Product")</x:f>
        <x:v>Wireless Earbuds</x:v>
      </x:c>
      <x:c r="N93" s="84" t="str">
        <x:f>IFERROR(VLOOKUP(L93,'Reference Data'!$A$5:$F$40,3,FALSE),"Unknown")</x:f>
        <x:v>Electronics</x:v>
      </x:c>
      <x:c r="O93" s="84" t="str">
        <x:f>IFERROR(VLOOKUP(L93,'Reference Data'!$A$5:$F$40,4,FALSE),"Unknown")</x:f>
        <x:v>Audio</x:v>
      </x:c>
      <x:c r="P93" s="92" t="n">
        <x:f>IFERROR(VLOOKUP(L93,'Reference Data'!$A$5:$F$40,5,FALSE),0)</x:f>
        <x:v>69</x:v>
      </x:c>
      <x:c r="Q93" s="92" t="n">
        <x:f>IFERROR(VLOOKUP(L93,'Reference Data'!$A$5:$F$40,6,FALSE),0)</x:f>
        <x:v>36</x:v>
      </x:c>
      <x:c r="R93" s="84" t="n">
        <x:f>'Raw Sales'!J93</x:f>
        <x:v>1</x:v>
      </x:c>
      <x:c r="S93" s="87" t="n">
        <x:f>'Raw Sales'!K93</x:f>
        <x:v>0.05</x:v>
      </x:c>
      <x:c r="T93" s="93" t="n">
        <x:f>P93*R93</x:f>
        <x:v>69</x:v>
      </x:c>
      <x:c r="U93" s="93" t="n">
        <x:f>T93*S93</x:f>
        <x:v>3.45</x:v>
      </x:c>
      <x:c r="V93" s="93" t="str">
        <x:f>PROPER(TRIM('Raw Sales'!L93))</x:f>
        <x:v>Completed</x:v>
      </x:c>
      <x:c r="W93" s="93" t="n">
        <x:f>IF(V93="Returned",0,T93-U93)</x:f>
        <x:v>65.55</x:v>
      </x:c>
      <x:c r="X93" s="93" t="n">
        <x:f>IF(V93="Returned",Q93*R93*10%,Q93*R93)</x:f>
        <x:v>36</x:v>
      </x:c>
      <x:c r="Y93" s="93" t="n">
        <x:f>W93-X93</x:f>
        <x:v>29.549999999999997</x:v>
      </x:c>
      <x:c r="Z93" s="94" t="n">
        <x:f>IFERROR(Y93/W93,0)</x:f>
        <x:v>0.45080091533180777</x:v>
      </x:c>
      <x:c r="AA93" s="84" t="str">
        <x:f>PROPER(TRIM('Raw Sales'!M93))</x:f>
        <x:v>Debit Card</x:v>
      </x:c>
      <x:c r="AB93" s="84" t="str">
        <x:f>PROPER(TRIM('Raw Sales'!N93))</x:f>
        <x:v>Lucas Grant</x:v>
      </x:c>
      <x:c r="AC93" s="85" t="n">
        <x:f>'Raw Sales'!O93</x:f>
        <x:v>45330</x:v>
      </x:c>
      <x:c r="AD93" s="84" t="n">
        <x:f>AC93-B93</x:f>
        <x:v>0</x:v>
      </x:c>
      <x:c r="AE93" s="84" t="str">
        <x:f>IF(COUNTIF($A$5:A93,A93)&gt;1,"Duplicate","Keep")</x:f>
        <x:v>Keep</x:v>
      </x:c>
      <x:c r="AF93" s="84" t="str">
        <x:f>IF(OR(R93&lt;=0,AC93&lt;B93,H93="Unknown",M93="Unknown Product"),"Review","Valid")</x:f>
        <x:v>Valid</x:v>
      </x:c>
      <x:c r="AG93" s="84" t="n">
        <x:f>IF(AND(AE93="Keep",AF93="Valid"),1,0)</x:f>
        <x:v>1</x:v>
      </x:c>
      <x:c r="AH93" s="84" t="n">
        <x:f>IF(AND(AG93=1,OR('Dashboard'!$B$4="All",I93='Dashboard'!$B$4),OR('Dashboard'!$E$4="All",N93='Dashboard'!$E$4),OR('Dashboard'!$H$4="All",K93='Dashboard'!$H$4),OR('Dashboard'!$K$4="All",C93='Dashboard'!$K$4)),1,0)</x:f>
        <x:v>1</x:v>
      </x:c>
      <x:c r="AI93" s="84" t="n">
        <x:f>IF(AND(AG93=1,OR('Dashboard'!$B$4="All",I93='Dashboard'!$B$4),OR('Dashboard'!$E$4="All",N93='Dashboard'!$E$4),OR('Dashboard'!$H$4="All",K93='Dashboard'!$H$4)),1,0)</x:f>
        <x:v>1</x:v>
      </x:c>
    </x:row>
    <x:row r="94">
      <x:c r="A94" s="84" t="str">
        <x:f>'Raw Sales'!A94</x:f>
        <x:v>ORD-2024-01940</x:v>
      </x:c>
      <x:c r="B94" s="85" t="n">
        <x:f>'Raw Sales'!B94</x:f>
        <x:v>45330</x:v>
      </x:c>
      <x:c r="C94" s="84" t="n">
        <x:f>YEAR(B94)</x:f>
        <x:v>2024</x:v>
      </x:c>
      <x:c r="D94" s="91" t="n">
        <x:f>DATE(YEAR(B94),MONTH(B94),1)</x:f>
        <x:v>45323</x:v>
      </x:c>
      <x:c r="E94" s="84" t="str">
        <x:f>TEXT(B94,"mmm")</x:f>
        <x:v>Feb</x:v>
      </x:c>
      <x:c r="F94" s="84" t="str">
        <x:f>'Raw Sales'!C94</x:f>
        <x:v>CUST-0479</x:v>
      </x:c>
      <x:c r="G94" s="84" t="str">
        <x:f>PROPER(TRIM('Raw Sales'!D94))</x:f>
        <x:v>Zara Taylor</x:v>
      </x:c>
      <x:c r="H94" s="84" t="str">
        <x:f>IF(TRIM('Raw Sales'!E94)="","Unknown",PROPER(TRIM('Raw Sales'!E94)))</x:f>
        <x:v>Consumer</x:v>
      </x:c>
      <x:c r="I94" s="84" t="str">
        <x:f>PROPER(TRIM('Raw Sales'!F94))</x:f>
        <x:v>West</x:v>
      </x:c>
      <x:c r="J94" s="84" t="str">
        <x:f>PROPER(TRIM('Raw Sales'!G94))</x:f>
        <x:v>Phoenix</x:v>
      </x:c>
      <x:c r="K94" s="84" t="str">
        <x:f>PROPER(TRIM('Raw Sales'!H94))</x:f>
        <x:v>Retail Store</x:v>
      </x:c>
      <x:c r="L94" s="84" t="str">
        <x:f>'Raw Sales'!I94</x:f>
        <x:v>HOME-002</x:v>
      </x:c>
      <x:c r="M94" s="84" t="str">
        <x:f>IFERROR(VLOOKUP(L94,'Reference Data'!$A$5:$F$40,2,FALSE),"Unknown Product")</x:f>
        <x:v>Electric Kettle</x:v>
      </x:c>
      <x:c r="N94" s="84" t="str">
        <x:f>IFERROR(VLOOKUP(L94,'Reference Data'!$A$5:$F$40,3,FALSE),"Unknown")</x:f>
        <x:v>Home &amp; Kitchen</x:v>
      </x:c>
      <x:c r="O94" s="84" t="str">
        <x:f>IFERROR(VLOOKUP(L94,'Reference Data'!$A$5:$F$40,4,FALSE),"Unknown")</x:f>
        <x:v>Small Appliances</x:v>
      </x:c>
      <x:c r="P94" s="92" t="n">
        <x:f>IFERROR(VLOOKUP(L94,'Reference Data'!$A$5:$F$40,5,FALSE),0)</x:f>
        <x:v>49</x:v>
      </x:c>
      <x:c r="Q94" s="92" t="n">
        <x:f>IFERROR(VLOOKUP(L94,'Reference Data'!$A$5:$F$40,6,FALSE),0)</x:f>
        <x:v>23</x:v>
      </x:c>
      <x:c r="R94" s="84" t="n">
        <x:f>'Raw Sales'!J94</x:f>
        <x:v>1</x:v>
      </x:c>
      <x:c r="S94" s="87" t="n">
        <x:f>'Raw Sales'!K94</x:f>
        <x:v>0</x:v>
      </x:c>
      <x:c r="T94" s="93" t="n">
        <x:f>P94*R94</x:f>
        <x:v>49</x:v>
      </x:c>
      <x:c r="U94" s="93" t="n">
        <x:f>T94*S94</x:f>
        <x:v>0</x:v>
      </x:c>
      <x:c r="V94" s="93" t="str">
        <x:f>PROPER(TRIM('Raw Sales'!L94))</x:f>
        <x:v>Completed</x:v>
      </x:c>
      <x:c r="W94" s="93" t="n">
        <x:f>IF(V94="Returned",0,T94-U94)</x:f>
        <x:v>49</x:v>
      </x:c>
      <x:c r="X94" s="93" t="n">
        <x:f>IF(V94="Returned",Q94*R94*10%,Q94*R94)</x:f>
        <x:v>23</x:v>
      </x:c>
      <x:c r="Y94" s="93" t="n">
        <x:f>W94-X94</x:f>
        <x:v>26</x:v>
      </x:c>
      <x:c r="Z94" s="94" t="n">
        <x:f>IFERROR(Y94/W94,0)</x:f>
        <x:v>0.5306122448979592</x:v>
      </x:c>
      <x:c r="AA94" s="84" t="str">
        <x:f>PROPER(TRIM('Raw Sales'!M94))</x:f>
        <x:v>Mobile Wallet</x:v>
      </x:c>
      <x:c r="AB94" s="84" t="str">
        <x:f>PROPER(TRIM('Raw Sales'!N94))</x:f>
        <x:v>Nora Kim</x:v>
      </x:c>
      <x:c r="AC94" s="85" t="n">
        <x:f>'Raw Sales'!O94</x:f>
        <x:v>45330</x:v>
      </x:c>
      <x:c r="AD94" s="84" t="n">
        <x:f>AC94-B94</x:f>
        <x:v>0</x:v>
      </x:c>
      <x:c r="AE94" s="84" t="str">
        <x:f>IF(COUNTIF($A$5:A94,A94)&gt;1,"Duplicate","Keep")</x:f>
        <x:v>Keep</x:v>
      </x:c>
      <x:c r="AF94" s="84" t="str">
        <x:f>IF(OR(R94&lt;=0,AC94&lt;B94,H94="Unknown",M94="Unknown Product"),"Review","Valid")</x:f>
        <x:v>Valid</x:v>
      </x:c>
      <x:c r="AG94" s="84" t="n">
        <x:f>IF(AND(AE94="Keep",AF94="Valid"),1,0)</x:f>
        <x:v>1</x:v>
      </x:c>
      <x:c r="AH94" s="84" t="n">
        <x:f>IF(AND(AG94=1,OR('Dashboard'!$B$4="All",I94='Dashboard'!$B$4),OR('Dashboard'!$E$4="All",N94='Dashboard'!$E$4),OR('Dashboard'!$H$4="All",K94='Dashboard'!$H$4),OR('Dashboard'!$K$4="All",C94='Dashboard'!$K$4)),1,0)</x:f>
        <x:v>1</x:v>
      </x:c>
      <x:c r="AI94" s="84" t="n">
        <x:f>IF(AND(AG94=1,OR('Dashboard'!$B$4="All",I94='Dashboard'!$B$4),OR('Dashboard'!$E$4="All",N94='Dashboard'!$E$4),OR('Dashboard'!$H$4="All",K94='Dashboard'!$H$4)),1,0)</x:f>
        <x:v>1</x:v>
      </x:c>
    </x:row>
    <x:row r="95">
      <x:c r="A95" s="84" t="str">
        <x:f>'Raw Sales'!A95</x:f>
        <x:v>ORD-2024-00680</x:v>
      </x:c>
      <x:c r="B95" s="85" t="n">
        <x:f>'Raw Sales'!B95</x:f>
        <x:v>45331</x:v>
      </x:c>
      <x:c r="C95" s="84" t="n">
        <x:f>YEAR(B95)</x:f>
        <x:v>2024</x:v>
      </x:c>
      <x:c r="D95" s="91" t="n">
        <x:f>DATE(YEAR(B95),MONTH(B95),1)</x:f>
        <x:v>45323</x:v>
      </x:c>
      <x:c r="E95" s="84" t="str">
        <x:f>TEXT(B95,"mmm")</x:f>
        <x:v>Feb</x:v>
      </x:c>
      <x:c r="F95" s="84" t="str">
        <x:f>'Raw Sales'!C95</x:f>
        <x:v>CUST-0109</x:v>
      </x:c>
      <x:c r="G95" s="84" t="str">
        <x:f>PROPER(TRIM('Raw Sales'!D95))</x:f>
        <x:v>Maya Evans</x:v>
      </x:c>
      <x:c r="H95" s="84" t="str">
        <x:f>IF(TRIM('Raw Sales'!E95)="","Unknown",PROPER(TRIM('Raw Sales'!E95)))</x:f>
        <x:v>Consumer</x:v>
      </x:c>
      <x:c r="I95" s="84" t="str">
        <x:f>PROPER(TRIM('Raw Sales'!F95))</x:f>
        <x:v>West</x:v>
      </x:c>
      <x:c r="J95" s="84" t="str">
        <x:f>PROPER(TRIM('Raw Sales'!G95))</x:f>
        <x:v>Seattle</x:v>
      </x:c>
      <x:c r="K95" s="84" t="str">
        <x:f>PROPER(TRIM('Raw Sales'!H95))</x:f>
        <x:v>Retail Store</x:v>
      </x:c>
      <x:c r="L95" s="84" t="str">
        <x:f>'Raw Sales'!I95</x:f>
        <x:v>ELEC-005</x:v>
      </x:c>
      <x:c r="M95" s="84" t="str">
        <x:f>IFERROR(VLOOKUP(L95,'Reference Data'!$A$5:$F$40,2,FALSE),"Unknown Product")</x:f>
        <x:v>HD Webcam</x:v>
      </x:c>
      <x:c r="N95" s="84" t="str">
        <x:f>IFERROR(VLOOKUP(L95,'Reference Data'!$A$5:$F$40,3,FALSE),"Unknown")</x:f>
        <x:v>Electronics</x:v>
      </x:c>
      <x:c r="O95" s="84" t="str">
        <x:f>IFERROR(VLOOKUP(L95,'Reference Data'!$A$5:$F$40,4,FALSE),"Unknown")</x:f>
        <x:v>Computer Accessories</x:v>
      </x:c>
      <x:c r="P95" s="92" t="n">
        <x:f>IFERROR(VLOOKUP(L95,'Reference Data'!$A$5:$F$40,5,FALSE),0)</x:f>
        <x:v>79</x:v>
      </x:c>
      <x:c r="Q95" s="92" t="n">
        <x:f>IFERROR(VLOOKUP(L95,'Reference Data'!$A$5:$F$40,6,FALSE),0)</x:f>
        <x:v>37</x:v>
      </x:c>
      <x:c r="R95" s="84" t="n">
        <x:f>'Raw Sales'!J95</x:f>
        <x:v>2</x:v>
      </x:c>
      <x:c r="S95" s="87" t="n">
        <x:f>'Raw Sales'!K95</x:f>
        <x:v>0.05</x:v>
      </x:c>
      <x:c r="T95" s="93" t="n">
        <x:f>P95*R95</x:f>
        <x:v>158</x:v>
      </x:c>
      <x:c r="U95" s="93" t="n">
        <x:f>T95*S95</x:f>
        <x:v>7.9</x:v>
      </x:c>
      <x:c r="V95" s="93" t="str">
        <x:f>PROPER(TRIM('Raw Sales'!L95))</x:f>
        <x:v>Completed</x:v>
      </x:c>
      <x:c r="W95" s="93" t="n">
        <x:f>IF(V95="Returned",0,T95-U95)</x:f>
        <x:v>150.1</x:v>
      </x:c>
      <x:c r="X95" s="93" t="n">
        <x:f>IF(V95="Returned",Q95*R95*10%,Q95*R95)</x:f>
        <x:v>74</x:v>
      </x:c>
      <x:c r="Y95" s="93" t="n">
        <x:f>W95-X95</x:f>
        <x:v>76.1</x:v>
      </x:c>
      <x:c r="Z95" s="94" t="n">
        <x:f>IFERROR(Y95/W95,0)</x:f>
        <x:v>0.5069953364423717</x:v>
      </x:c>
      <x:c r="AA95" s="84" t="str">
        <x:f>PROPER(TRIM('Raw Sales'!M95))</x:f>
        <x:v>Cash</x:v>
      </x:c>
      <x:c r="AB95" s="84" t="str">
        <x:f>PROPER(TRIM('Raw Sales'!N95))</x:f>
        <x:v>Nora Kim</x:v>
      </x:c>
      <x:c r="AC95" s="85" t="n">
        <x:f>'Raw Sales'!O95</x:f>
        <x:v>45331</x:v>
      </x:c>
      <x:c r="AD95" s="84" t="n">
        <x:f>AC95-B95</x:f>
        <x:v>0</x:v>
      </x:c>
      <x:c r="AE95" s="84" t="str">
        <x:f>IF(COUNTIF($A$5:A95,A95)&gt;1,"Duplicate","Keep")</x:f>
        <x:v>Keep</x:v>
      </x:c>
      <x:c r="AF95" s="84" t="str">
        <x:f>IF(OR(R95&lt;=0,AC95&lt;B95,H95="Unknown",M95="Unknown Product"),"Review","Valid")</x:f>
        <x:v>Valid</x:v>
      </x:c>
      <x:c r="AG95" s="84" t="n">
        <x:f>IF(AND(AE95="Keep",AF95="Valid"),1,0)</x:f>
        <x:v>1</x:v>
      </x:c>
      <x:c r="AH95" s="84" t="n">
        <x:f>IF(AND(AG95=1,OR('Dashboard'!$B$4="All",I95='Dashboard'!$B$4),OR('Dashboard'!$E$4="All",N95='Dashboard'!$E$4),OR('Dashboard'!$H$4="All",K95='Dashboard'!$H$4),OR('Dashboard'!$K$4="All",C95='Dashboard'!$K$4)),1,0)</x:f>
        <x:v>1</x:v>
      </x:c>
      <x:c r="AI95" s="84" t="n">
        <x:f>IF(AND(AG95=1,OR('Dashboard'!$B$4="All",I95='Dashboard'!$B$4),OR('Dashboard'!$E$4="All",N95='Dashboard'!$E$4),OR('Dashboard'!$H$4="All",K95='Dashboard'!$H$4)),1,0)</x:f>
        <x:v>1</x:v>
      </x:c>
    </x:row>
    <x:row r="96">
      <x:c r="A96" s="84" t="str">
        <x:f>'Raw Sales'!A96</x:f>
        <x:v>ORD-2024-00961</x:v>
      </x:c>
      <x:c r="B96" s="85" t="n">
        <x:f>'Raw Sales'!B96</x:f>
        <x:v>45331</x:v>
      </x:c>
      <x:c r="C96" s="84" t="n">
        <x:f>YEAR(B96)</x:f>
        <x:v>2024</x:v>
      </x:c>
      <x:c r="D96" s="91" t="n">
        <x:f>DATE(YEAR(B96),MONTH(B96),1)</x:f>
        <x:v>45323</x:v>
      </x:c>
      <x:c r="E96" s="84" t="str">
        <x:f>TEXT(B96,"mmm")</x:f>
        <x:v>Feb</x:v>
      </x:c>
      <x:c r="F96" s="84" t="str">
        <x:f>'Raw Sales'!C96</x:f>
        <x:v>CUST-0072</x:v>
      </x:c>
      <x:c r="G96" s="84" t="str">
        <x:f>PROPER(TRIM('Raw Sales'!D96))</x:f>
        <x:v>Nina Roberts</x:v>
      </x:c>
      <x:c r="H96" s="84" t="str">
        <x:f>IF(TRIM('Raw Sales'!E96)="","Unknown",PROPER(TRIM('Raw Sales'!E96)))</x:f>
        <x:v>Corporate</x:v>
      </x:c>
      <x:c r="I96" s="84" t="str">
        <x:f>PROPER(TRIM('Raw Sales'!F96))</x:f>
        <x:v>Northeast</x:v>
      </x:c>
      <x:c r="J96" s="84" t="str">
        <x:f>PROPER(TRIM('Raw Sales'!G96))</x:f>
        <x:v>New York</x:v>
      </x:c>
      <x:c r="K96" s="84" t="str">
        <x:f>PROPER(TRIM('Raw Sales'!H96))</x:f>
        <x:v>Online</x:v>
      </x:c>
      <x:c r="L96" s="84" t="str">
        <x:f>'Raw Sales'!I96</x:f>
        <x:v>ELEC-002</x:v>
      </x:c>
      <x:c r="M96" s="84" t="str">
        <x:f>IFERROR(VLOOKUP(L96,'Reference Data'!$A$5:$F$40,2,FALSE),"Unknown Product")</x:f>
        <x:v>Smartwatch</x:v>
      </x:c>
      <x:c r="N96" s="84" t="str">
        <x:f>IFERROR(VLOOKUP(L96,'Reference Data'!$A$5:$F$40,3,FALSE),"Unknown")</x:f>
        <x:v>Electronics</x:v>
      </x:c>
      <x:c r="O96" s="84" t="str">
        <x:f>IFERROR(VLOOKUP(L96,'Reference Data'!$A$5:$F$40,4,FALSE),"Unknown")</x:f>
        <x:v>Wearables</x:v>
      </x:c>
      <x:c r="P96" s="92" t="n">
        <x:f>IFERROR(VLOOKUP(L96,'Reference Data'!$A$5:$F$40,5,FALSE),0)</x:f>
        <x:v>159</x:v>
      </x:c>
      <x:c r="Q96" s="92" t="n">
        <x:f>IFERROR(VLOOKUP(L96,'Reference Data'!$A$5:$F$40,6,FALSE),0)</x:f>
        <x:v>92</x:v>
      </x:c>
      <x:c r="R96" s="84" t="n">
        <x:f>'Raw Sales'!J96</x:f>
        <x:v>1</x:v>
      </x:c>
      <x:c r="S96" s="87" t="n">
        <x:f>'Raw Sales'!K96</x:f>
        <x:v>0.05</x:v>
      </x:c>
      <x:c r="T96" s="93" t="n">
        <x:f>P96*R96</x:f>
        <x:v>159</x:v>
      </x:c>
      <x:c r="U96" s="93" t="n">
        <x:f>T96*S96</x:f>
        <x:v>7.95</x:v>
      </x:c>
      <x:c r="V96" s="93" t="str">
        <x:f>PROPER(TRIM('Raw Sales'!L96))</x:f>
        <x:v>Completed</x:v>
      </x:c>
      <x:c r="W96" s="93" t="n">
        <x:f>IF(V96="Returned",0,T96-U96)</x:f>
        <x:v>151.05</x:v>
      </x:c>
      <x:c r="X96" s="93" t="n">
        <x:f>IF(V96="Returned",Q96*R96*10%,Q96*R96)</x:f>
        <x:v>92</x:v>
      </x:c>
      <x:c r="Y96" s="93" t="n">
        <x:f>W96-X96</x:f>
        <x:v>59.05000000000001</x:v>
      </x:c>
      <x:c r="Z96" s="94" t="n">
        <x:f>IFERROR(Y96/W96,0)</x:f>
        <x:v>0.39093015557762334</x:v>
      </x:c>
      <x:c r="AA96" s="84" t="str">
        <x:f>PROPER(TRIM('Raw Sales'!M96))</x:f>
        <x:v>Credit Card</x:v>
      </x:c>
      <x:c r="AB96" s="84" t="str">
        <x:f>PROPER(TRIM('Raw Sales'!N96))</x:f>
        <x:v>Maya Brooks</x:v>
      </x:c>
      <x:c r="AC96" s="85" t="n">
        <x:f>'Raw Sales'!O96</x:f>
        <x:v>45337</x:v>
      </x:c>
      <x:c r="AD96" s="84" t="n">
        <x:f>AC96-B96</x:f>
        <x:v>6</x:v>
      </x:c>
      <x:c r="AE96" s="84" t="str">
        <x:f>IF(COUNTIF($A$5:A96,A96)&gt;1,"Duplicate","Keep")</x:f>
        <x:v>Keep</x:v>
      </x:c>
      <x:c r="AF96" s="84" t="str">
        <x:f>IF(OR(R96&lt;=0,AC96&lt;B96,H96="Unknown",M96="Unknown Product"),"Review","Valid")</x:f>
        <x:v>Valid</x:v>
      </x:c>
      <x:c r="AG96" s="84" t="n">
        <x:f>IF(AND(AE96="Keep",AF96="Valid"),1,0)</x:f>
        <x:v>1</x:v>
      </x:c>
      <x:c r="AH96" s="84" t="n">
        <x:f>IF(AND(AG96=1,OR('Dashboard'!$B$4="All",I96='Dashboard'!$B$4),OR('Dashboard'!$E$4="All",N96='Dashboard'!$E$4),OR('Dashboard'!$H$4="All",K96='Dashboard'!$H$4),OR('Dashboard'!$K$4="All",C96='Dashboard'!$K$4)),1,0)</x:f>
        <x:v>1</x:v>
      </x:c>
      <x:c r="AI96" s="84" t="n">
        <x:f>IF(AND(AG96=1,OR('Dashboard'!$B$4="All",I96='Dashboard'!$B$4),OR('Dashboard'!$E$4="All",N96='Dashboard'!$E$4),OR('Dashboard'!$H$4="All",K96='Dashboard'!$H$4)),1,0)</x:f>
        <x:v>1</x:v>
      </x:c>
    </x:row>
    <x:row r="97">
      <x:c r="A97" s="84" t="str">
        <x:f>'Raw Sales'!A97</x:f>
        <x:v>ORD-2024-02179</x:v>
      </x:c>
      <x:c r="B97" s="85" t="n">
        <x:f>'Raw Sales'!B97</x:f>
        <x:v>45331</x:v>
      </x:c>
      <x:c r="C97" s="84" t="n">
        <x:f>YEAR(B97)</x:f>
        <x:v>2024</x:v>
      </x:c>
      <x:c r="D97" s="91" t="n">
        <x:f>DATE(YEAR(B97),MONTH(B97),1)</x:f>
        <x:v>45323</x:v>
      </x:c>
      <x:c r="E97" s="84" t="str">
        <x:f>TEXT(B97,"mmm")</x:f>
        <x:v>Feb</x:v>
      </x:c>
      <x:c r="F97" s="84" t="str">
        <x:f>'Raw Sales'!C97</x:f>
        <x:v>CUST-0440</x:v>
      </x:c>
      <x:c r="G97" s="84" t="str">
        <x:f>PROPER(TRIM('Raw Sales'!D97))</x:f>
        <x:v>Chloe Roberts</x:v>
      </x:c>
      <x:c r="H97" s="84" t="str">
        <x:f>IF(TRIM('Raw Sales'!E97)="","Unknown",PROPER(TRIM('Raw Sales'!E97)))</x:f>
        <x:v>Consumer</x:v>
      </x:c>
      <x:c r="I97" s="84" t="str">
        <x:f>PROPER(TRIM('Raw Sales'!F97))</x:f>
        <x:v>Midwest</x:v>
      </x:c>
      <x:c r="J97" s="84" t="str">
        <x:f>PROPER(TRIM('Raw Sales'!G97))</x:f>
        <x:v>Minneapolis</x:v>
      </x:c>
      <x:c r="K97" s="84" t="str">
        <x:f>PROPER(TRIM('Raw Sales'!H97))</x:f>
        <x:v>Retail Store</x:v>
      </x:c>
      <x:c r="L97" s="84" t="str">
        <x:f>'Raw Sales'!I97</x:f>
        <x:v>ELEC-001</x:v>
      </x:c>
      <x:c r="M97" s="84" t="str">
        <x:f>IFERROR(VLOOKUP(L97,'Reference Data'!$A$5:$F$40,2,FALSE),"Unknown Product")</x:f>
        <x:v>Wireless Earbuds</x:v>
      </x:c>
      <x:c r="N97" s="84" t="str">
        <x:f>IFERROR(VLOOKUP(L97,'Reference Data'!$A$5:$F$40,3,FALSE),"Unknown")</x:f>
        <x:v>Electronics</x:v>
      </x:c>
      <x:c r="O97" s="84" t="str">
        <x:f>IFERROR(VLOOKUP(L97,'Reference Data'!$A$5:$F$40,4,FALSE),"Unknown")</x:f>
        <x:v>Audio</x:v>
      </x:c>
      <x:c r="P97" s="92" t="n">
        <x:f>IFERROR(VLOOKUP(L97,'Reference Data'!$A$5:$F$40,5,FALSE),0)</x:f>
        <x:v>69</x:v>
      </x:c>
      <x:c r="Q97" s="92" t="n">
        <x:f>IFERROR(VLOOKUP(L97,'Reference Data'!$A$5:$F$40,6,FALSE),0)</x:f>
        <x:v>36</x:v>
      </x:c>
      <x:c r="R97" s="84" t="n">
        <x:f>'Raw Sales'!J97</x:f>
        <x:v>1</x:v>
      </x:c>
      <x:c r="S97" s="87" t="n">
        <x:f>'Raw Sales'!K97</x:f>
        <x:v>0.05</x:v>
      </x:c>
      <x:c r="T97" s="93" t="n">
        <x:f>P97*R97</x:f>
        <x:v>69</x:v>
      </x:c>
      <x:c r="U97" s="93" t="n">
        <x:f>T97*S97</x:f>
        <x:v>3.45</x:v>
      </x:c>
      <x:c r="V97" s="93" t="str">
        <x:f>PROPER(TRIM('Raw Sales'!L97))</x:f>
        <x:v>Completed</x:v>
      </x:c>
      <x:c r="W97" s="93" t="n">
        <x:f>IF(V97="Returned",0,T97-U97)</x:f>
        <x:v>65.55</x:v>
      </x:c>
      <x:c r="X97" s="93" t="n">
        <x:f>IF(V97="Returned",Q97*R97*10%,Q97*R97)</x:f>
        <x:v>36</x:v>
      </x:c>
      <x:c r="Y97" s="93" t="n">
        <x:f>W97-X97</x:f>
        <x:v>29.549999999999997</x:v>
      </x:c>
      <x:c r="Z97" s="94" t="n">
        <x:f>IFERROR(Y97/W97,0)</x:f>
        <x:v>0.45080091533180777</x:v>
      </x:c>
      <x:c r="AA97" s="84" t="str">
        <x:f>PROPER(TRIM('Raw Sales'!M97))</x:f>
        <x:v>Cash</x:v>
      </x:c>
      <x:c r="AB97" s="84" t="str">
        <x:f>PROPER(TRIM('Raw Sales'!N97))</x:f>
        <x:v>Lucas Grant</x:v>
      </x:c>
      <x:c r="AC97" s="85" t="n">
        <x:f>'Raw Sales'!O97</x:f>
        <x:v>45331</x:v>
      </x:c>
      <x:c r="AD97" s="84" t="n">
        <x:f>AC97-B97</x:f>
        <x:v>0</x:v>
      </x:c>
      <x:c r="AE97" s="84" t="str">
        <x:f>IF(COUNTIF($A$5:A97,A97)&gt;1,"Duplicate","Keep")</x:f>
        <x:v>Keep</x:v>
      </x:c>
      <x:c r="AF97" s="84" t="str">
        <x:f>IF(OR(R97&lt;=0,AC97&lt;B97,H97="Unknown",M97="Unknown Product"),"Review","Valid")</x:f>
        <x:v>Valid</x:v>
      </x:c>
      <x:c r="AG97" s="84" t="n">
        <x:f>IF(AND(AE97="Keep",AF97="Valid"),1,0)</x:f>
        <x:v>1</x:v>
      </x:c>
      <x:c r="AH97" s="84" t="n">
        <x:f>IF(AND(AG97=1,OR('Dashboard'!$B$4="All",I97='Dashboard'!$B$4),OR('Dashboard'!$E$4="All",N97='Dashboard'!$E$4),OR('Dashboard'!$H$4="All",K97='Dashboard'!$H$4),OR('Dashboard'!$K$4="All",C97='Dashboard'!$K$4)),1,0)</x:f>
        <x:v>1</x:v>
      </x:c>
      <x:c r="AI97" s="84" t="n">
        <x:f>IF(AND(AG97=1,OR('Dashboard'!$B$4="All",I97='Dashboard'!$B$4),OR('Dashboard'!$E$4="All",N97='Dashboard'!$E$4),OR('Dashboard'!$H$4="All",K97='Dashboard'!$H$4)),1,0)</x:f>
        <x:v>1</x:v>
      </x:c>
    </x:row>
    <x:row r="98">
      <x:c r="A98" s="84" t="str">
        <x:f>'Raw Sales'!A98</x:f>
        <x:v>ORD-2024-01581</x:v>
      </x:c>
      <x:c r="B98" s="85" t="n">
        <x:f>'Raw Sales'!B98</x:f>
        <x:v>45332</x:v>
      </x:c>
      <x:c r="C98" s="84" t="n">
        <x:f>YEAR(B98)</x:f>
        <x:v>2024</x:v>
      </x:c>
      <x:c r="D98" s="91" t="n">
        <x:f>DATE(YEAR(B98),MONTH(B98),1)</x:f>
        <x:v>45323</x:v>
      </x:c>
      <x:c r="E98" s="84" t="str">
        <x:f>TEXT(B98,"mmm")</x:f>
        <x:v>Feb</x:v>
      </x:c>
      <x:c r="F98" s="84" t="str">
        <x:f>'Raw Sales'!C98</x:f>
        <x:v>CUST-0445</x:v>
      </x:c>
      <x:c r="G98" s="84" t="str">
        <x:f>PROPER(TRIM('Raw Sales'!D98))</x:f>
        <x:v>Owen Khan</x:v>
      </x:c>
      <x:c r="H98" s="84" t="str">
        <x:f>IF(TRIM('Raw Sales'!E98)="","Unknown",PROPER(TRIM('Raw Sales'!E98)))</x:f>
        <x:v>Corporate</x:v>
      </x:c>
      <x:c r="I98" s="84" t="str">
        <x:f>PROPER(TRIM('Raw Sales'!F98))</x:f>
        <x:v>Southeast</x:v>
      </x:c>
      <x:c r="J98" s="84" t="str">
        <x:f>PROPER(TRIM('Raw Sales'!G98))</x:f>
        <x:v>Atlanta</x:v>
      </x:c>
      <x:c r="K98" s="84" t="str">
        <x:f>PROPER(TRIM('Raw Sales'!H98))</x:f>
        <x:v>Retail Store</x:v>
      </x:c>
      <x:c r="L98" s="84" t="str">
        <x:f>'Raw Sales'!I98</x:f>
        <x:v>HOME-005</x:v>
      </x:c>
      <x:c r="M98" s="84" t="str">
        <x:f>IFERROR(VLOOKUP(L98,'Reference Data'!$A$5:$F$40,2,FALSE),"Unknown Product")</x:f>
        <x:v>Cordless Vacuum</x:v>
      </x:c>
      <x:c r="N98" s="84" t="str">
        <x:f>IFERROR(VLOOKUP(L98,'Reference Data'!$A$5:$F$40,3,FALSE),"Unknown")</x:f>
        <x:v>Home &amp; Kitchen</x:v>
      </x:c>
      <x:c r="O98" s="84" t="str">
        <x:f>IFERROR(VLOOKUP(L98,'Reference Data'!$A$5:$F$40,4,FALSE),"Unknown")</x:f>
        <x:v>Cleaning</x:v>
      </x:c>
      <x:c r="P98" s="92" t="n">
        <x:f>IFERROR(VLOOKUP(L98,'Reference Data'!$A$5:$F$40,5,FALSE),0)</x:f>
        <x:v>179</x:v>
      </x:c>
      <x:c r="Q98" s="92" t="n">
        <x:f>IFERROR(VLOOKUP(L98,'Reference Data'!$A$5:$F$40,6,FALSE),0)</x:f>
        <x:v>102</x:v>
      </x:c>
      <x:c r="R98" s="84" t="n">
        <x:f>'Raw Sales'!J98</x:f>
        <x:v>1</x:v>
      </x:c>
      <x:c r="S98" s="87" t="n">
        <x:f>'Raw Sales'!K98</x:f>
        <x:v>0.05</x:v>
      </x:c>
      <x:c r="T98" s="93" t="n">
        <x:f>P98*R98</x:f>
        <x:v>179</x:v>
      </x:c>
      <x:c r="U98" s="93" t="n">
        <x:f>T98*S98</x:f>
        <x:v>8.950000000000001</x:v>
      </x:c>
      <x:c r="V98" s="93" t="str">
        <x:f>PROPER(TRIM('Raw Sales'!L98))</x:f>
        <x:v>Completed</x:v>
      </x:c>
      <x:c r="W98" s="93" t="n">
        <x:f>IF(V98="Returned",0,T98-U98)</x:f>
        <x:v>170.05</x:v>
      </x:c>
      <x:c r="X98" s="93" t="n">
        <x:f>IF(V98="Returned",Q98*R98*10%,Q98*R98)</x:f>
        <x:v>102</x:v>
      </x:c>
      <x:c r="Y98" s="93" t="n">
        <x:f>W98-X98</x:f>
        <x:v>68.05000000000001</x:v>
      </x:c>
      <x:c r="Z98" s="94" t="n">
        <x:f>IFERROR(Y98/W98,0)</x:f>
        <x:v>0.4001764187003823</x:v>
      </x:c>
      <x:c r="AA98" s="84" t="str">
        <x:f>PROPER(TRIM('Raw Sales'!M98))</x:f>
        <x:v>Debit Card</x:v>
      </x:c>
      <x:c r="AB98" s="84" t="str">
        <x:f>PROPER(TRIM('Raw Sales'!N98))</x:f>
        <x:v>Liam Parker</x:v>
      </x:c>
      <x:c r="AC98" s="85" t="n">
        <x:f>'Raw Sales'!O98</x:f>
        <x:v>45332</x:v>
      </x:c>
      <x:c r="AD98" s="84" t="n">
        <x:f>AC98-B98</x:f>
        <x:v>0</x:v>
      </x:c>
      <x:c r="AE98" s="84" t="str">
        <x:f>IF(COUNTIF($A$5:A98,A98)&gt;1,"Duplicate","Keep")</x:f>
        <x:v>Keep</x:v>
      </x:c>
      <x:c r="AF98" s="84" t="str">
        <x:f>IF(OR(R98&lt;=0,AC98&lt;B98,H98="Unknown",M98="Unknown Product"),"Review","Valid")</x:f>
        <x:v>Valid</x:v>
      </x:c>
      <x:c r="AG98" s="84" t="n">
        <x:f>IF(AND(AE98="Keep",AF98="Valid"),1,0)</x:f>
        <x:v>1</x:v>
      </x:c>
      <x:c r="AH98" s="84" t="n">
        <x:f>IF(AND(AG98=1,OR('Dashboard'!$B$4="All",I98='Dashboard'!$B$4),OR('Dashboard'!$E$4="All",N98='Dashboard'!$E$4),OR('Dashboard'!$H$4="All",K98='Dashboard'!$H$4),OR('Dashboard'!$K$4="All",C98='Dashboard'!$K$4)),1,0)</x:f>
        <x:v>1</x:v>
      </x:c>
      <x:c r="AI98" s="84" t="n">
        <x:f>IF(AND(AG98=1,OR('Dashboard'!$B$4="All",I98='Dashboard'!$B$4),OR('Dashboard'!$E$4="All",N98='Dashboard'!$E$4),OR('Dashboard'!$H$4="All",K98='Dashboard'!$H$4)),1,0)</x:f>
        <x:v>1</x:v>
      </x:c>
    </x:row>
    <x:row r="99">
      <x:c r="A99" s="84" t="str">
        <x:f>'Raw Sales'!A99</x:f>
        <x:v>ORD-2024-01515</x:v>
      </x:c>
      <x:c r="B99" s="85" t="n">
        <x:f>'Raw Sales'!B99</x:f>
        <x:v>45333</x:v>
      </x:c>
      <x:c r="C99" s="84" t="n">
        <x:f>YEAR(B99)</x:f>
        <x:v>2024</x:v>
      </x:c>
      <x:c r="D99" s="91" t="n">
        <x:f>DATE(YEAR(B99),MONTH(B99),1)</x:f>
        <x:v>45323</x:v>
      </x:c>
      <x:c r="E99" s="84" t="str">
        <x:f>TEXT(B99,"mmm")</x:f>
        <x:v>Feb</x:v>
      </x:c>
      <x:c r="F99" s="84" t="str">
        <x:f>'Raw Sales'!C99</x:f>
        <x:v>CUST-0018</x:v>
      </x:c>
      <x:c r="G99" s="84" t="str">
        <x:f>PROPER(TRIM('Raw Sales'!D99))</x:f>
        <x:v>Priya Nelson</x:v>
      </x:c>
      <x:c r="H99" s="84" t="str">
        <x:f>IF(TRIM('Raw Sales'!E99)="","Unknown",PROPER(TRIM('Raw Sales'!E99)))</x:f>
        <x:v>Consumer</x:v>
      </x:c>
      <x:c r="I99" s="84" t="str">
        <x:f>PROPER(TRIM('Raw Sales'!F99))</x:f>
        <x:v>Southeast</x:v>
      </x:c>
      <x:c r="J99" s="84" t="str">
        <x:f>PROPER(TRIM('Raw Sales'!G99))</x:f>
        <x:v>Miami</x:v>
      </x:c>
      <x:c r="K99" s="84" t="str">
        <x:f>PROPER(TRIM('Raw Sales'!H99))</x:f>
        <x:v>Retail Store</x:v>
      </x:c>
      <x:c r="L99" s="84" t="str">
        <x:f>'Raw Sales'!I99</x:f>
        <x:v>HOME-001</x:v>
      </x:c>
      <x:c r="M99" s="84" t="str">
        <x:f>IFERROR(VLOOKUP(L99,'Reference Data'!$A$5:$F$40,2,FALSE),"Unknown Product")</x:f>
        <x:v>Air Fryer</x:v>
      </x:c>
      <x:c r="N99" s="84" t="str">
        <x:f>IFERROR(VLOOKUP(L99,'Reference Data'!$A$5:$F$40,3,FALSE),"Unknown")</x:f>
        <x:v>Home &amp; Kitchen</x:v>
      </x:c>
      <x:c r="O99" s="84" t="str">
        <x:f>IFERROR(VLOOKUP(L99,'Reference Data'!$A$5:$F$40,4,FALSE),"Unknown")</x:f>
        <x:v>Small Appliances</x:v>
      </x:c>
      <x:c r="P99" s="92" t="n">
        <x:f>IFERROR(VLOOKUP(L99,'Reference Data'!$A$5:$F$40,5,FALSE),0)</x:f>
        <x:v>119</x:v>
      </x:c>
      <x:c r="Q99" s="92" t="n">
        <x:f>IFERROR(VLOOKUP(L99,'Reference Data'!$A$5:$F$40,6,FALSE),0)</x:f>
        <x:v>68</x:v>
      </x:c>
      <x:c r="R99" s="84" t="n">
        <x:f>'Raw Sales'!J99</x:f>
        <x:v>1</x:v>
      </x:c>
      <x:c r="S99" s="87" t="n">
        <x:f>'Raw Sales'!K99</x:f>
        <x:v>0</x:v>
      </x:c>
      <x:c r="T99" s="93" t="n">
        <x:f>P99*R99</x:f>
        <x:v>119</x:v>
      </x:c>
      <x:c r="U99" s="93" t="n">
        <x:f>T99*S99</x:f>
        <x:v>0</x:v>
      </x:c>
      <x:c r="V99" s="93" t="str">
        <x:f>PROPER(TRIM('Raw Sales'!L99))</x:f>
        <x:v>Completed</x:v>
      </x:c>
      <x:c r="W99" s="93" t="n">
        <x:f>IF(V99="Returned",0,T99-U99)</x:f>
        <x:v>119</x:v>
      </x:c>
      <x:c r="X99" s="93" t="n">
        <x:f>IF(V99="Returned",Q99*R99*10%,Q99*R99)</x:f>
        <x:v>68</x:v>
      </x:c>
      <x:c r="Y99" s="93" t="n">
        <x:f>W99-X99</x:f>
        <x:v>51</x:v>
      </x:c>
      <x:c r="Z99" s="94" t="n">
        <x:f>IFERROR(Y99/W99,0)</x:f>
        <x:v>0.42857142857142855</x:v>
      </x:c>
      <x:c r="AA99" s="84" t="str">
        <x:f>PROPER(TRIM('Raw Sales'!M99))</x:f>
        <x:v>Debit Card</x:v>
      </x:c>
      <x:c r="AB99" s="84" t="str">
        <x:f>PROPER(TRIM('Raw Sales'!N99))</x:f>
        <x:v>Ava Mitchell</x:v>
      </x:c>
      <x:c r="AC99" s="85" t="n">
        <x:f>'Raw Sales'!O99</x:f>
        <x:v>45334</x:v>
      </x:c>
      <x:c r="AD99" s="84" t="n">
        <x:f>AC99-B99</x:f>
        <x:v>1</x:v>
      </x:c>
      <x:c r="AE99" s="84" t="str">
        <x:f>IF(COUNTIF($A$5:A99,A99)&gt;1,"Duplicate","Keep")</x:f>
        <x:v>Keep</x:v>
      </x:c>
      <x:c r="AF99" s="84" t="str">
        <x:f>IF(OR(R99&lt;=0,AC99&lt;B99,H99="Unknown",M99="Unknown Product"),"Review","Valid")</x:f>
        <x:v>Valid</x:v>
      </x:c>
      <x:c r="AG99" s="84" t="n">
        <x:f>IF(AND(AE99="Keep",AF99="Valid"),1,0)</x:f>
        <x:v>1</x:v>
      </x:c>
      <x:c r="AH99" s="84" t="n">
        <x:f>IF(AND(AG99=1,OR('Dashboard'!$B$4="All",I99='Dashboard'!$B$4),OR('Dashboard'!$E$4="All",N99='Dashboard'!$E$4),OR('Dashboard'!$H$4="All",K99='Dashboard'!$H$4),OR('Dashboard'!$K$4="All",C99='Dashboard'!$K$4)),1,0)</x:f>
        <x:v>1</x:v>
      </x:c>
      <x:c r="AI99" s="84" t="n">
        <x:f>IF(AND(AG99=1,OR('Dashboard'!$B$4="All",I99='Dashboard'!$B$4),OR('Dashboard'!$E$4="All",N99='Dashboard'!$E$4),OR('Dashboard'!$H$4="All",K99='Dashboard'!$H$4)),1,0)</x:f>
        <x:v>1</x:v>
      </x:c>
    </x:row>
    <x:row r="100">
      <x:c r="A100" s="84" t="str">
        <x:f>'Raw Sales'!A100</x:f>
        <x:v>ORD-2024-02288</x:v>
      </x:c>
      <x:c r="B100" s="85" t="n">
        <x:f>'Raw Sales'!B100</x:f>
        <x:v>45333</x:v>
      </x:c>
      <x:c r="C100" s="84" t="n">
        <x:f>YEAR(B100)</x:f>
        <x:v>2024</x:v>
      </x:c>
      <x:c r="D100" s="91" t="n">
        <x:f>DATE(YEAR(B100),MONTH(B100),1)</x:f>
        <x:v>45323</x:v>
      </x:c>
      <x:c r="E100" s="84" t="str">
        <x:f>TEXT(B100,"mmm")</x:f>
        <x:v>Feb</x:v>
      </x:c>
      <x:c r="F100" s="84" t="str">
        <x:f>'Raw Sales'!C100</x:f>
        <x:v>CUST-0615</x:v>
      </x:c>
      <x:c r="G100" s="84" t="str">
        <x:f>PROPER(TRIM('Raw Sales'!D100))</x:f>
        <x:v>Jonah Quinn</x:v>
      </x:c>
      <x:c r="H100" s="84" t="str">
        <x:f>IF(TRIM('Raw Sales'!E100)="","Unknown",PROPER(TRIM('Raw Sales'!E100)))</x:f>
        <x:v>Consumer</x:v>
      </x:c>
      <x:c r="I100" s="84" t="str">
        <x:f>PROPER(TRIM('Raw Sales'!F100))</x:f>
        <x:v>Midwest</x:v>
      </x:c>
      <x:c r="J100" s="84" t="str">
        <x:f>PROPER(TRIM('Raw Sales'!G100))</x:f>
        <x:v>Minneapolis</x:v>
      </x:c>
      <x:c r="K100" s="84" t="str">
        <x:f>PROPER(TRIM('Raw Sales'!H100))</x:f>
        <x:v>Retail Store</x:v>
      </x:c>
      <x:c r="L100" s="84" t="str">
        <x:f>'Raw Sales'!I100</x:f>
        <x:v>HOME-005</x:v>
      </x:c>
      <x:c r="M100" s="84" t="str">
        <x:f>IFERROR(VLOOKUP(L100,'Reference Data'!$A$5:$F$40,2,FALSE),"Unknown Product")</x:f>
        <x:v>Cordless Vacuum</x:v>
      </x:c>
      <x:c r="N100" s="84" t="str">
        <x:f>IFERROR(VLOOKUP(L100,'Reference Data'!$A$5:$F$40,3,FALSE),"Unknown")</x:f>
        <x:v>Home &amp; Kitchen</x:v>
      </x:c>
      <x:c r="O100" s="84" t="str">
        <x:f>IFERROR(VLOOKUP(L100,'Reference Data'!$A$5:$F$40,4,FALSE),"Unknown")</x:f>
        <x:v>Cleaning</x:v>
      </x:c>
      <x:c r="P100" s="92" t="n">
        <x:f>IFERROR(VLOOKUP(L100,'Reference Data'!$A$5:$F$40,5,FALSE),0)</x:f>
        <x:v>179</x:v>
      </x:c>
      <x:c r="Q100" s="92" t="n">
        <x:f>IFERROR(VLOOKUP(L100,'Reference Data'!$A$5:$F$40,6,FALSE),0)</x:f>
        <x:v>102</x:v>
      </x:c>
      <x:c r="R100" s="84" t="n">
        <x:f>'Raw Sales'!J100</x:f>
        <x:v>1</x:v>
      </x:c>
      <x:c r="S100" s="87" t="n">
        <x:f>'Raw Sales'!K100</x:f>
        <x:v>0</x:v>
      </x:c>
      <x:c r="T100" s="93" t="n">
        <x:f>P100*R100</x:f>
        <x:v>179</x:v>
      </x:c>
      <x:c r="U100" s="93" t="n">
        <x:f>T100*S100</x:f>
        <x:v>0</x:v>
      </x:c>
      <x:c r="V100" s="93" t="str">
        <x:f>PROPER(TRIM('Raw Sales'!L100))</x:f>
        <x:v>Completed</x:v>
      </x:c>
      <x:c r="W100" s="93" t="n">
        <x:f>IF(V100="Returned",0,T100-U100)</x:f>
        <x:v>179</x:v>
      </x:c>
      <x:c r="X100" s="93" t="n">
        <x:f>IF(V100="Returned",Q100*R100*10%,Q100*R100)</x:f>
        <x:v>102</x:v>
      </x:c>
      <x:c r="Y100" s="93" t="n">
        <x:f>W100-X100</x:f>
        <x:v>77</x:v>
      </x:c>
      <x:c r="Z100" s="94" t="n">
        <x:f>IFERROR(Y100/W100,0)</x:f>
        <x:v>0.4301675977653631</x:v>
      </x:c>
      <x:c r="AA100" s="84" t="str">
        <x:f>PROPER(TRIM('Raw Sales'!M100))</x:f>
        <x:v>Cash</x:v>
      </x:c>
      <x:c r="AB100" s="84" t="str">
        <x:f>PROPER(TRIM('Raw Sales'!N100))</x:f>
        <x:v>Zoe Turner</x:v>
      </x:c>
      <x:c r="AC100" s="85" t="n">
        <x:f>'Raw Sales'!O100</x:f>
        <x:v>45333</x:v>
      </x:c>
      <x:c r="AD100" s="84" t="n">
        <x:f>AC100-B100</x:f>
        <x:v>0</x:v>
      </x:c>
      <x:c r="AE100" s="84" t="str">
        <x:f>IF(COUNTIF($A$5:A100,A100)&gt;1,"Duplicate","Keep")</x:f>
        <x:v>Keep</x:v>
      </x:c>
      <x:c r="AF100" s="84" t="str">
        <x:f>IF(OR(R100&lt;=0,AC100&lt;B100,H100="Unknown",M100="Unknown Product"),"Review","Valid")</x:f>
        <x:v>Valid</x:v>
      </x:c>
      <x:c r="AG100" s="84" t="n">
        <x:f>IF(AND(AE100="Keep",AF100="Valid"),1,0)</x:f>
        <x:v>1</x:v>
      </x:c>
      <x:c r="AH100" s="84" t="n">
        <x:f>IF(AND(AG100=1,OR('Dashboard'!$B$4="All",I100='Dashboard'!$B$4),OR('Dashboard'!$E$4="All",N100='Dashboard'!$E$4),OR('Dashboard'!$H$4="All",K100='Dashboard'!$H$4),OR('Dashboard'!$K$4="All",C100='Dashboard'!$K$4)),1,0)</x:f>
        <x:v>1</x:v>
      </x:c>
      <x:c r="AI100" s="84" t="n">
        <x:f>IF(AND(AG100=1,OR('Dashboard'!$B$4="All",I100='Dashboard'!$B$4),OR('Dashboard'!$E$4="All",N100='Dashboard'!$E$4),OR('Dashboard'!$H$4="All",K100='Dashboard'!$H$4)),1,0)</x:f>
        <x:v>1</x:v>
      </x:c>
    </x:row>
    <x:row r="101">
      <x:c r="A101" s="84" t="str">
        <x:f>'Raw Sales'!A101</x:f>
        <x:v>ORD-2024-00085</x:v>
      </x:c>
      <x:c r="B101" s="85" t="n">
        <x:f>'Raw Sales'!B101</x:f>
        <x:v>45334</x:v>
      </x:c>
      <x:c r="C101" s="84" t="n">
        <x:f>YEAR(B101)</x:f>
        <x:v>2024</x:v>
      </x:c>
      <x:c r="D101" s="91" t="n">
        <x:f>DATE(YEAR(B101),MONTH(B101),1)</x:f>
        <x:v>45323</x:v>
      </x:c>
      <x:c r="E101" s="84" t="str">
        <x:f>TEXT(B101,"mmm")</x:f>
        <x:v>Feb</x:v>
      </x:c>
      <x:c r="F101" s="84" t="str">
        <x:f>'Raw Sales'!C101</x:f>
        <x:v>CUST-0549</x:v>
      </x:c>
      <x:c r="G101" s="84" t="str">
        <x:f>PROPER(TRIM('Raw Sales'!D101))</x:f>
        <x:v>Marcus Patel</x:v>
      </x:c>
      <x:c r="H101" s="84" t="str">
        <x:f>IF(TRIM('Raw Sales'!E101)="","Unknown",PROPER(TRIM('Raw Sales'!E101)))</x:f>
        <x:v>Small Business</x:v>
      </x:c>
      <x:c r="I101" s="84" t="str">
        <x:f>PROPER(TRIM('Raw Sales'!F101))</x:f>
        <x:v>Northeast</x:v>
      </x:c>
      <x:c r="J101" s="84" t="str">
        <x:f>PROPER(TRIM('Raw Sales'!G101))</x:f>
        <x:v>Boston</x:v>
      </x:c>
      <x:c r="K101" s="84" t="str">
        <x:f>PROPER(TRIM('Raw Sales'!H101))</x:f>
        <x:v>Marketplace</x:v>
      </x:c>
      <x:c r="L101" s="84" t="str">
        <x:f>'Raw Sales'!I101</x:f>
        <x:v>OFFC-004</x:v>
      </x:c>
      <x:c r="M101" s="84" t="str">
        <x:f>IFERROR(VLOOKUP(L101,'Reference Data'!$A$5:$F$40,2,FALSE),"Unknown Product")</x:f>
        <x:v>Premium Notebook Pack</x:v>
      </x:c>
      <x:c r="N101" s="84" t="str">
        <x:f>IFERROR(VLOOKUP(L101,'Reference Data'!$A$5:$F$40,3,FALSE),"Unknown")</x:f>
        <x:v>Office</x:v>
      </x:c>
      <x:c r="O101" s="84" t="str">
        <x:f>IFERROR(VLOOKUP(L101,'Reference Data'!$A$5:$F$40,4,FALSE),"Unknown")</x:f>
        <x:v>Stationery</x:v>
      </x:c>
      <x:c r="P101" s="92" t="n">
        <x:f>IFERROR(VLOOKUP(L101,'Reference Data'!$A$5:$F$40,5,FALSE),0)</x:f>
        <x:v>18</x:v>
      </x:c>
      <x:c r="Q101" s="92" t="n">
        <x:f>IFERROR(VLOOKUP(L101,'Reference Data'!$A$5:$F$40,6,FALSE),0)</x:f>
        <x:v>6.5</x:v>
      </x:c>
      <x:c r="R101" s="84" t="n">
        <x:f>'Raw Sales'!J101</x:f>
        <x:v>2</x:v>
      </x:c>
      <x:c r="S101" s="87" t="n">
        <x:f>'Raw Sales'!K101</x:f>
        <x:v>0.15</x:v>
      </x:c>
      <x:c r="T101" s="93" t="n">
        <x:f>P101*R101</x:f>
        <x:v>36</x:v>
      </x:c>
      <x:c r="U101" s="93" t="n">
        <x:f>T101*S101</x:f>
        <x:v>5.3999999999999995</x:v>
      </x:c>
      <x:c r="V101" s="93" t="str">
        <x:f>PROPER(TRIM('Raw Sales'!L101))</x:f>
        <x:v>Completed</x:v>
      </x:c>
      <x:c r="W101" s="93" t="n">
        <x:f>IF(V101="Returned",0,T101-U101)</x:f>
        <x:v>30.6</x:v>
      </x:c>
      <x:c r="X101" s="93" t="n">
        <x:f>IF(V101="Returned",Q101*R101*10%,Q101*R101)</x:f>
        <x:v>13</x:v>
      </x:c>
      <x:c r="Y101" s="93" t="n">
        <x:f>W101-X101</x:f>
        <x:v>17.6</x:v>
      </x:c>
      <x:c r="Z101" s="94" t="n">
        <x:f>IFERROR(Y101/W101,0)</x:f>
        <x:v>0.5751633986928105</x:v>
      </x:c>
      <x:c r="AA101" s="84" t="str">
        <x:f>PROPER(TRIM('Raw Sales'!M101))</x:f>
        <x:v>Debit Card</x:v>
      </x:c>
      <x:c r="AB101" s="84" t="str">
        <x:f>PROPER(TRIM('Raw Sales'!N101))</x:f>
        <x:v>Sofia Bennett</x:v>
      </x:c>
      <x:c r="AC101" s="85" t="n">
        <x:f>'Raw Sales'!O101</x:f>
        <x:v>45338</x:v>
      </x:c>
      <x:c r="AD101" s="84" t="n">
        <x:f>AC101-B101</x:f>
        <x:v>4</x:v>
      </x:c>
      <x:c r="AE101" s="84" t="str">
        <x:f>IF(COUNTIF($A$5:A101,A101)&gt;1,"Duplicate","Keep")</x:f>
        <x:v>Keep</x:v>
      </x:c>
      <x:c r="AF101" s="84" t="str">
        <x:f>IF(OR(R101&lt;=0,AC101&lt;B101,H101="Unknown",M101="Unknown Product"),"Review","Valid")</x:f>
        <x:v>Valid</x:v>
      </x:c>
      <x:c r="AG101" s="84" t="n">
        <x:f>IF(AND(AE101="Keep",AF101="Valid"),1,0)</x:f>
        <x:v>1</x:v>
      </x:c>
      <x:c r="AH101" s="84" t="n">
        <x:f>IF(AND(AG101=1,OR('Dashboard'!$B$4="All",I101='Dashboard'!$B$4),OR('Dashboard'!$E$4="All",N101='Dashboard'!$E$4),OR('Dashboard'!$H$4="All",K101='Dashboard'!$H$4),OR('Dashboard'!$K$4="All",C101='Dashboard'!$K$4)),1,0)</x:f>
        <x:v>1</x:v>
      </x:c>
      <x:c r="AI101" s="84" t="n">
        <x:f>IF(AND(AG101=1,OR('Dashboard'!$B$4="All",I101='Dashboard'!$B$4),OR('Dashboard'!$E$4="All",N101='Dashboard'!$E$4),OR('Dashboard'!$H$4="All",K101='Dashboard'!$H$4)),1,0)</x:f>
        <x:v>1</x:v>
      </x:c>
    </x:row>
    <x:row r="102">
      <x:c r="A102" s="84" t="str">
        <x:f>'Raw Sales'!A102</x:f>
        <x:v>ORD-2024-02043</x:v>
      </x:c>
      <x:c r="B102" s="85" t="n">
        <x:f>'Raw Sales'!B102</x:f>
        <x:v>45334</x:v>
      </x:c>
      <x:c r="C102" s="84" t="n">
        <x:f>YEAR(B102)</x:f>
        <x:v>2024</x:v>
      </x:c>
      <x:c r="D102" s="91" t="n">
        <x:f>DATE(YEAR(B102),MONTH(B102),1)</x:f>
        <x:v>45323</x:v>
      </x:c>
      <x:c r="E102" s="84" t="str">
        <x:f>TEXT(B102,"mmm")</x:f>
        <x:v>Feb</x:v>
      </x:c>
      <x:c r="F102" s="84" t="str">
        <x:f>'Raw Sales'!C102</x:f>
        <x:v>CUST-0188</x:v>
      </x:c>
      <x:c r="G102" s="84" t="str">
        <x:f>PROPER(TRIM('Raw Sales'!D102))</x:f>
        <x:v>Marcus Baker</x:v>
      </x:c>
      <x:c r="H102" s="84" t="str">
        <x:f>IF(TRIM('Raw Sales'!E102)="","Unknown",PROPER(TRIM('Raw Sales'!E102)))</x:f>
        <x:v>Corporate</x:v>
      </x:c>
      <x:c r="I102" s="84" t="str">
        <x:f>PROPER(TRIM('Raw Sales'!F102))</x:f>
        <x:v>Southeast</x:v>
      </x:c>
      <x:c r="J102" s="84" t="str">
        <x:f>PROPER(TRIM('Raw Sales'!G102))</x:f>
        <x:v>Atlanta</x:v>
      </x:c>
      <x:c r="K102" s="84" t="str">
        <x:f>PROPER(TRIM('Raw Sales'!H102))</x:f>
        <x:v>Retail Store</x:v>
      </x:c>
      <x:c r="L102" s="84" t="str">
        <x:f>'Raw Sales'!I102</x:f>
        <x:v>ELEC-005</x:v>
      </x:c>
      <x:c r="M102" s="84" t="str">
        <x:f>IFERROR(VLOOKUP(L102,'Reference Data'!$A$5:$F$40,2,FALSE),"Unknown Product")</x:f>
        <x:v>HD Webcam</x:v>
      </x:c>
      <x:c r="N102" s="84" t="str">
        <x:f>IFERROR(VLOOKUP(L102,'Reference Data'!$A$5:$F$40,3,FALSE),"Unknown")</x:f>
        <x:v>Electronics</x:v>
      </x:c>
      <x:c r="O102" s="84" t="str">
        <x:f>IFERROR(VLOOKUP(L102,'Reference Data'!$A$5:$F$40,4,FALSE),"Unknown")</x:f>
        <x:v>Computer Accessories</x:v>
      </x:c>
      <x:c r="P102" s="92" t="n">
        <x:f>IFERROR(VLOOKUP(L102,'Reference Data'!$A$5:$F$40,5,FALSE),0)</x:f>
        <x:v>79</x:v>
      </x:c>
      <x:c r="Q102" s="92" t="n">
        <x:f>IFERROR(VLOOKUP(L102,'Reference Data'!$A$5:$F$40,6,FALSE),0)</x:f>
        <x:v>37</x:v>
      </x:c>
      <x:c r="R102" s="84" t="n">
        <x:f>'Raw Sales'!J102</x:f>
        <x:v>3</x:v>
      </x:c>
      <x:c r="S102" s="87" t="n">
        <x:f>'Raw Sales'!K102</x:f>
        <x:v>0.05</x:v>
      </x:c>
      <x:c r="T102" s="93" t="n">
        <x:f>P102*R102</x:f>
        <x:v>237</x:v>
      </x:c>
      <x:c r="U102" s="93" t="n">
        <x:f>T102*S102</x:f>
        <x:v>11.850000000000001</x:v>
      </x:c>
      <x:c r="V102" s="93" t="str">
        <x:f>PROPER(TRIM('Raw Sales'!L102))</x:f>
        <x:v>Completed</x:v>
      </x:c>
      <x:c r="W102" s="93" t="n">
        <x:f>IF(V102="Returned",0,T102-U102)</x:f>
        <x:v>225.15</x:v>
      </x:c>
      <x:c r="X102" s="93" t="n">
        <x:f>IF(V102="Returned",Q102*R102*10%,Q102*R102)</x:f>
        <x:v>111</x:v>
      </x:c>
      <x:c r="Y102" s="93" t="n">
        <x:f>W102-X102</x:f>
        <x:v>114.15</x:v>
      </x:c>
      <x:c r="Z102" s="94" t="n">
        <x:f>IFERROR(Y102/W102,0)</x:f>
        <x:v>0.5069953364423717</x:v>
      </x:c>
      <x:c r="AA102" s="84" t="str">
        <x:f>PROPER(TRIM('Raw Sales'!M102))</x:f>
        <x:v>Credit Card</x:v>
      </x:c>
      <x:c r="AB102" s="84" t="str">
        <x:f>PROPER(TRIM('Raw Sales'!N102))</x:f>
        <x:v>Ava Mitchell</x:v>
      </x:c>
      <x:c r="AC102" s="85" t="n">
        <x:f>'Raw Sales'!O102</x:f>
        <x:v>45334</x:v>
      </x:c>
      <x:c r="AD102" s="84" t="n">
        <x:f>AC102-B102</x:f>
        <x:v>0</x:v>
      </x:c>
      <x:c r="AE102" s="84" t="str">
        <x:f>IF(COUNTIF($A$5:A102,A102)&gt;1,"Duplicate","Keep")</x:f>
        <x:v>Keep</x:v>
      </x:c>
      <x:c r="AF102" s="84" t="str">
        <x:f>IF(OR(R102&lt;=0,AC102&lt;B102,H102="Unknown",M102="Unknown Product"),"Review","Valid")</x:f>
        <x:v>Valid</x:v>
      </x:c>
      <x:c r="AG102" s="84" t="n">
        <x:f>IF(AND(AE102="Keep",AF102="Valid"),1,0)</x:f>
        <x:v>1</x:v>
      </x:c>
      <x:c r="AH102" s="84" t="n">
        <x:f>IF(AND(AG102=1,OR('Dashboard'!$B$4="All",I102='Dashboard'!$B$4),OR('Dashboard'!$E$4="All",N102='Dashboard'!$E$4),OR('Dashboard'!$H$4="All",K102='Dashboard'!$H$4),OR('Dashboard'!$K$4="All",C102='Dashboard'!$K$4)),1,0)</x:f>
        <x:v>1</x:v>
      </x:c>
      <x:c r="AI102" s="84" t="n">
        <x:f>IF(AND(AG102=1,OR('Dashboard'!$B$4="All",I102='Dashboard'!$B$4),OR('Dashboard'!$E$4="All",N102='Dashboard'!$E$4),OR('Dashboard'!$H$4="All",K102='Dashboard'!$H$4)),1,0)</x:f>
        <x:v>1</x:v>
      </x:c>
    </x:row>
    <x:row r="103">
      <x:c r="A103" s="84" t="str">
        <x:f>'Raw Sales'!A103</x:f>
        <x:v>ORD-2024-00798</x:v>
      </x:c>
      <x:c r="B103" s="85" t="n">
        <x:f>'Raw Sales'!B103</x:f>
        <x:v>45335</x:v>
      </x:c>
      <x:c r="C103" s="84" t="n">
        <x:f>YEAR(B103)</x:f>
        <x:v>2024</x:v>
      </x:c>
      <x:c r="D103" s="91" t="n">
        <x:f>DATE(YEAR(B103),MONTH(B103),1)</x:f>
        <x:v>45323</x:v>
      </x:c>
      <x:c r="E103" s="84" t="str">
        <x:f>TEXT(B103,"mmm")</x:f>
        <x:v>Feb</x:v>
      </x:c>
      <x:c r="F103" s="84" t="str">
        <x:f>'Raw Sales'!C103</x:f>
        <x:v>CUST-0230</x:v>
      </x:c>
      <x:c r="G103" s="84" t="str">
        <x:f>PROPER(TRIM('Raw Sales'!D103))</x:f>
        <x:v>Elias Evans</x:v>
      </x:c>
      <x:c r="H103" s="84" t="str">
        <x:f>IF(TRIM('Raw Sales'!E103)="","Unknown",PROPER(TRIM('Raw Sales'!E103)))</x:f>
        <x:v>Small Business</x:v>
      </x:c>
      <x:c r="I103" s="84" t="str">
        <x:f>PROPER(TRIM('Raw Sales'!F103))</x:f>
        <x:v>Southeast</x:v>
      </x:c>
      <x:c r="J103" s="84" t="str">
        <x:f>PROPER(TRIM('Raw Sales'!G103))</x:f>
        <x:v>Miami</x:v>
      </x:c>
      <x:c r="K103" s="84" t="str">
        <x:f>PROPER(TRIM('Raw Sales'!H103))</x:f>
        <x:v>Marketplace</x:v>
      </x:c>
      <x:c r="L103" s="84" t="str">
        <x:f>'Raw Sales'!I103</x:f>
        <x:v>OFFC-003</x:v>
      </x:c>
      <x:c r="M103" s="84" t="str">
        <x:f>IFERROR(VLOOKUP(L103,'Reference Data'!$A$5:$F$40,2,FALSE),"Unknown Product")</x:f>
        <x:v>LED Desk Lamp</x:v>
      </x:c>
      <x:c r="N103" s="84" t="str">
        <x:f>IFERROR(VLOOKUP(L103,'Reference Data'!$A$5:$F$40,3,FALSE),"Unknown")</x:f>
        <x:v>Office</x:v>
      </x:c>
      <x:c r="O103" s="84" t="str">
        <x:f>IFERROR(VLOOKUP(L103,'Reference Data'!$A$5:$F$40,4,FALSE),"Unknown")</x:f>
        <x:v>Desk Accessories</x:v>
      </x:c>
      <x:c r="P103" s="92" t="n">
        <x:f>IFERROR(VLOOKUP(L103,'Reference Data'!$A$5:$F$40,5,FALSE),0)</x:f>
        <x:v>45</x:v>
      </x:c>
      <x:c r="Q103" s="92" t="n">
        <x:f>IFERROR(VLOOKUP(L103,'Reference Data'!$A$5:$F$40,6,FALSE),0)</x:f>
        <x:v>20</x:v>
      </x:c>
      <x:c r="R103" s="84" t="n">
        <x:f>'Raw Sales'!J103</x:f>
        <x:v>1</x:v>
      </x:c>
      <x:c r="S103" s="87" t="n">
        <x:f>'Raw Sales'!K103</x:f>
        <x:v>0.05</x:v>
      </x:c>
      <x:c r="T103" s="93" t="n">
        <x:f>P103*R103</x:f>
        <x:v>45</x:v>
      </x:c>
      <x:c r="U103" s="93" t="n">
        <x:f>T103*S103</x:f>
        <x:v>2.25</x:v>
      </x:c>
      <x:c r="V103" s="93" t="str">
        <x:f>PROPER(TRIM('Raw Sales'!L103))</x:f>
        <x:v>Returned</x:v>
      </x:c>
      <x:c r="W103" s="93" t="n">
        <x:f>IF(V103="Returned",0,T103-U103)</x:f>
        <x:v>0</x:v>
      </x:c>
      <x:c r="X103" s="93" t="n">
        <x:f>IF(V103="Returned",Q103*R103*10%,Q103*R103)</x:f>
        <x:v>2</x:v>
      </x:c>
      <x:c r="Y103" s="93" t="n">
        <x:f>W103-X103</x:f>
        <x:v>-2</x:v>
      </x:c>
      <x:c r="Z103" s="94" t="n">
        <x:f>IFERROR(Y103/W103,0)</x:f>
        <x:v>0</x:v>
      </x:c>
      <x:c r="AA103" s="84" t="str">
        <x:f>PROPER(TRIM('Raw Sales'!M103))</x:f>
        <x:v>Mobile Wallet</x:v>
      </x:c>
      <x:c r="AB103" s="84" t="str">
        <x:f>PROPER(TRIM('Raw Sales'!N103))</x:f>
        <x:v>Noah Reed</x:v>
      </x:c>
      <x:c r="AC103" s="85" t="n">
        <x:f>'Raw Sales'!O103</x:f>
        <x:v>45341</x:v>
      </x:c>
      <x:c r="AD103" s="84" t="n">
        <x:f>AC103-B103</x:f>
        <x:v>6</x:v>
      </x:c>
      <x:c r="AE103" s="84" t="str">
        <x:f>IF(COUNTIF($A$5:A103,A103)&gt;1,"Duplicate","Keep")</x:f>
        <x:v>Keep</x:v>
      </x:c>
      <x:c r="AF103" s="84" t="str">
        <x:f>IF(OR(R103&lt;=0,AC103&lt;B103,H103="Unknown",M103="Unknown Product"),"Review","Valid")</x:f>
        <x:v>Valid</x:v>
      </x:c>
      <x:c r="AG103" s="84" t="n">
        <x:f>IF(AND(AE103="Keep",AF103="Valid"),1,0)</x:f>
        <x:v>1</x:v>
      </x:c>
      <x:c r="AH103" s="84" t="n">
        <x:f>IF(AND(AG103=1,OR('Dashboard'!$B$4="All",I103='Dashboard'!$B$4),OR('Dashboard'!$E$4="All",N103='Dashboard'!$E$4),OR('Dashboard'!$H$4="All",K103='Dashboard'!$H$4),OR('Dashboard'!$K$4="All",C103='Dashboard'!$K$4)),1,0)</x:f>
        <x:v>1</x:v>
      </x:c>
      <x:c r="AI103" s="84" t="n">
        <x:f>IF(AND(AG103=1,OR('Dashboard'!$B$4="All",I103='Dashboard'!$B$4),OR('Dashboard'!$E$4="All",N103='Dashboard'!$E$4),OR('Dashboard'!$H$4="All",K103='Dashboard'!$H$4)),1,0)</x:f>
        <x:v>1</x:v>
      </x:c>
    </x:row>
    <x:row r="104">
      <x:c r="A104" s="84" t="str">
        <x:f>'Raw Sales'!A104</x:f>
        <x:v>ORD-2024-00904</x:v>
      </x:c>
      <x:c r="B104" s="85" t="n">
        <x:f>'Raw Sales'!B104</x:f>
        <x:v>45336</x:v>
      </x:c>
      <x:c r="C104" s="84" t="n">
        <x:f>YEAR(B104)</x:f>
        <x:v>2024</x:v>
      </x:c>
      <x:c r="D104" s="91" t="n">
        <x:f>DATE(YEAR(B104),MONTH(B104),1)</x:f>
        <x:v>45323</x:v>
      </x:c>
      <x:c r="E104" s="84" t="str">
        <x:f>TEXT(B104,"mmm")</x:f>
        <x:v>Feb</x:v>
      </x:c>
      <x:c r="F104" s="84" t="str">
        <x:f>'Raw Sales'!C104</x:f>
        <x:v>CUST-0218</x:v>
      </x:c>
      <x:c r="G104" s="84" t="str">
        <x:f>PROPER(TRIM('Raw Sales'!D104))</x:f>
        <x:v>Grace Walker</x:v>
      </x:c>
      <x:c r="H104" s="84" t="str">
        <x:f>IF(TRIM('Raw Sales'!E104)="","Unknown",PROPER(TRIM('Raw Sales'!E104)))</x:f>
        <x:v>Consumer</x:v>
      </x:c>
      <x:c r="I104" s="84" t="str">
        <x:f>PROPER(TRIM('Raw Sales'!F104))</x:f>
        <x:v>Northeast</x:v>
      </x:c>
      <x:c r="J104" s="84" t="str">
        <x:f>PROPER(TRIM('Raw Sales'!G104))</x:f>
        <x:v>Philadelphia</x:v>
      </x:c>
      <x:c r="K104" s="84" t="str">
        <x:f>PROPER(TRIM('Raw Sales'!H104))</x:f>
        <x:v>Marketplace</x:v>
      </x:c>
      <x:c r="L104" s="84" t="str">
        <x:f>'Raw Sales'!I104</x:f>
        <x:v>HOME-002</x:v>
      </x:c>
      <x:c r="M104" s="84" t="str">
        <x:f>IFERROR(VLOOKUP(L104,'Reference Data'!$A$5:$F$40,2,FALSE),"Unknown Product")</x:f>
        <x:v>Electric Kettle</x:v>
      </x:c>
      <x:c r="N104" s="84" t="str">
        <x:f>IFERROR(VLOOKUP(L104,'Reference Data'!$A$5:$F$40,3,FALSE),"Unknown")</x:f>
        <x:v>Home &amp; Kitchen</x:v>
      </x:c>
      <x:c r="O104" s="84" t="str">
        <x:f>IFERROR(VLOOKUP(L104,'Reference Data'!$A$5:$F$40,4,FALSE),"Unknown")</x:f>
        <x:v>Small Appliances</x:v>
      </x:c>
      <x:c r="P104" s="92" t="n">
        <x:f>IFERROR(VLOOKUP(L104,'Reference Data'!$A$5:$F$40,5,FALSE),0)</x:f>
        <x:v>49</x:v>
      </x:c>
      <x:c r="Q104" s="92" t="n">
        <x:f>IFERROR(VLOOKUP(L104,'Reference Data'!$A$5:$F$40,6,FALSE),0)</x:f>
        <x:v>23</x:v>
      </x:c>
      <x:c r="R104" s="84" t="n">
        <x:f>'Raw Sales'!J104</x:f>
        <x:v>1</x:v>
      </x:c>
      <x:c r="S104" s="87" t="n">
        <x:f>'Raw Sales'!K104</x:f>
        <x:v>0.15</x:v>
      </x:c>
      <x:c r="T104" s="93" t="n">
        <x:f>P104*R104</x:f>
        <x:v>49</x:v>
      </x:c>
      <x:c r="U104" s="93" t="n">
        <x:f>T104*S104</x:f>
        <x:v>7.35</x:v>
      </x:c>
      <x:c r="V104" s="93" t="str">
        <x:f>PROPER(TRIM('Raw Sales'!L104))</x:f>
        <x:v>Completed</x:v>
      </x:c>
      <x:c r="W104" s="93" t="n">
        <x:f>IF(V104="Returned",0,T104-U104)</x:f>
        <x:v>41.65</x:v>
      </x:c>
      <x:c r="X104" s="93" t="n">
        <x:f>IF(V104="Returned",Q104*R104*10%,Q104*R104)</x:f>
        <x:v>23</x:v>
      </x:c>
      <x:c r="Y104" s="93" t="n">
        <x:f>W104-X104</x:f>
        <x:v>18.65</x:v>
      </x:c>
      <x:c r="Z104" s="94" t="n">
        <x:f>IFERROR(Y104/W104,0)</x:f>
        <x:v>0.44777911164465783</x:v>
      </x:c>
      <x:c r="AA104" s="84" t="str">
        <x:f>PROPER(TRIM('Raw Sales'!M104))</x:f>
        <x:v>Credit Card</x:v>
      </x:c>
      <x:c r="AB104" s="84" t="str">
        <x:f>PROPER(TRIM('Raw Sales'!N104))</x:f>
        <x:v>Maya Brooks</x:v>
      </x:c>
      <x:c r="AC104" s="85" t="n">
        <x:f>'Raw Sales'!O104</x:f>
        <x:v>45342</x:v>
      </x:c>
      <x:c r="AD104" s="84" t="n">
        <x:f>AC104-B104</x:f>
        <x:v>6</x:v>
      </x:c>
      <x:c r="AE104" s="84" t="str">
        <x:f>IF(COUNTIF($A$5:A104,A104)&gt;1,"Duplicate","Keep")</x:f>
        <x:v>Keep</x:v>
      </x:c>
      <x:c r="AF104" s="84" t="str">
        <x:f>IF(OR(R104&lt;=0,AC104&lt;B104,H104="Unknown",M104="Unknown Product"),"Review","Valid")</x:f>
        <x:v>Valid</x:v>
      </x:c>
      <x:c r="AG104" s="84" t="n">
        <x:f>IF(AND(AE104="Keep",AF104="Valid"),1,0)</x:f>
        <x:v>1</x:v>
      </x:c>
      <x:c r="AH104" s="84" t="n">
        <x:f>IF(AND(AG104=1,OR('Dashboard'!$B$4="All",I104='Dashboard'!$B$4),OR('Dashboard'!$E$4="All",N104='Dashboard'!$E$4),OR('Dashboard'!$H$4="All",K104='Dashboard'!$H$4),OR('Dashboard'!$K$4="All",C104='Dashboard'!$K$4)),1,0)</x:f>
        <x:v>1</x:v>
      </x:c>
      <x:c r="AI104" s="84" t="n">
        <x:f>IF(AND(AG104=1,OR('Dashboard'!$B$4="All",I104='Dashboard'!$B$4),OR('Dashboard'!$E$4="All",N104='Dashboard'!$E$4),OR('Dashboard'!$H$4="All",K104='Dashboard'!$H$4)),1,0)</x:f>
        <x:v>1</x:v>
      </x:c>
    </x:row>
    <x:row r="105">
      <x:c r="A105" s="84" t="str">
        <x:f>'Raw Sales'!A105</x:f>
        <x:v>ORD-2024-01111</x:v>
      </x:c>
      <x:c r="B105" s="85" t="n">
        <x:f>'Raw Sales'!B105</x:f>
        <x:v>45337</x:v>
      </x:c>
      <x:c r="C105" s="84" t="n">
        <x:f>YEAR(B105)</x:f>
        <x:v>2024</x:v>
      </x:c>
      <x:c r="D105" s="91" t="n">
        <x:f>DATE(YEAR(B105),MONTH(B105),1)</x:f>
        <x:v>45323</x:v>
      </x:c>
      <x:c r="E105" s="84" t="str">
        <x:f>TEXT(B105,"mmm")</x:f>
        <x:v>Feb</x:v>
      </x:c>
      <x:c r="F105" s="84" t="str">
        <x:f>'Raw Sales'!C105</x:f>
        <x:v>CUST-0418</x:v>
      </x:c>
      <x:c r="G105" s="84" t="str">
        <x:f>PROPER(TRIM('Raw Sales'!D105))</x:f>
        <x:v>Grace Ortiz</x:v>
      </x:c>
      <x:c r="H105" s="84" t="str">
        <x:f>IF(TRIM('Raw Sales'!E105)="","Unknown",PROPER(TRIM('Raw Sales'!E105)))</x:f>
        <x:v>Small Business</x:v>
      </x:c>
      <x:c r="I105" s="84" t="str">
        <x:f>PROPER(TRIM('Raw Sales'!F105))</x:f>
        <x:v>West</x:v>
      </x:c>
      <x:c r="J105" s="84" t="str">
        <x:f>PROPER(TRIM('Raw Sales'!G105))</x:f>
        <x:v>Seattle</x:v>
      </x:c>
      <x:c r="K105" s="84" t="str">
        <x:f>PROPER(TRIM('Raw Sales'!H105))</x:f>
        <x:v>Online</x:v>
      </x:c>
      <x:c r="L105" s="84" t="str">
        <x:f>'Raw Sales'!I105</x:f>
        <x:v>ACCS-001</x:v>
      </x:c>
      <x:c r="M105" s="84" t="str">
        <x:f>IFERROR(VLOOKUP(L105,'Reference Data'!$A$5:$F$40,2,FALSE),"Unknown Product")</x:f>
        <x:v>Canvas Tote Bag</x:v>
      </x:c>
      <x:c r="N105" s="84" t="str">
        <x:f>IFERROR(VLOOKUP(L105,'Reference Data'!$A$5:$F$40,3,FALSE),"Unknown")</x:f>
        <x:v>Accessories</x:v>
      </x:c>
      <x:c r="O105" s="84" t="str">
        <x:f>IFERROR(VLOOKUP(L105,'Reference Data'!$A$5:$F$40,4,FALSE),"Unknown")</x:f>
        <x:v>Bags</x:v>
      </x:c>
      <x:c r="P105" s="92" t="n">
        <x:f>IFERROR(VLOOKUP(L105,'Reference Data'!$A$5:$F$40,5,FALSE),0)</x:f>
        <x:v>39</x:v>
      </x:c>
      <x:c r="Q105" s="92" t="n">
        <x:f>IFERROR(VLOOKUP(L105,'Reference Data'!$A$5:$F$40,6,FALSE),0)</x:f>
        <x:v>14</x:v>
      </x:c>
      <x:c r="R105" s="84" t="n">
        <x:f>'Raw Sales'!J105</x:f>
        <x:v>1</x:v>
      </x:c>
      <x:c r="S105" s="87" t="n">
        <x:f>'Raw Sales'!K105</x:f>
        <x:v>0.1</x:v>
      </x:c>
      <x:c r="T105" s="93" t="n">
        <x:f>P105*R105</x:f>
        <x:v>39</x:v>
      </x:c>
      <x:c r="U105" s="93" t="n">
        <x:f>T105*S105</x:f>
        <x:v>3.9000000000000004</x:v>
      </x:c>
      <x:c r="V105" s="93" t="str">
        <x:f>PROPER(TRIM('Raw Sales'!L105))</x:f>
        <x:v>Completed</x:v>
      </x:c>
      <x:c r="W105" s="93" t="n">
        <x:f>IF(V105="Returned",0,T105-U105)</x:f>
        <x:v>35.1</x:v>
      </x:c>
      <x:c r="X105" s="93" t="n">
        <x:f>IF(V105="Returned",Q105*R105*10%,Q105*R105)</x:f>
        <x:v>14</x:v>
      </x:c>
      <x:c r="Y105" s="93" t="n">
        <x:f>W105-X105</x:f>
        <x:v>21.1</x:v>
      </x:c>
      <x:c r="Z105" s="94" t="n">
        <x:f>IFERROR(Y105/W105,0)</x:f>
        <x:v>0.6011396011396012</x:v>
      </x:c>
      <x:c r="AA105" s="84" t="str">
        <x:f>PROPER(TRIM('Raw Sales'!M105))</x:f>
        <x:v>Credit Card</x:v>
      </x:c>
      <x:c r="AB105" s="84" t="str">
        <x:f>PROPER(TRIM('Raw Sales'!N105))</x:f>
        <x:v>Nora Kim</x:v>
      </x:c>
      <x:c r="AC105" s="85" t="n">
        <x:f>'Raw Sales'!O105</x:f>
        <x:v>45340</x:v>
      </x:c>
      <x:c r="AD105" s="84" t="n">
        <x:f>AC105-B105</x:f>
        <x:v>3</x:v>
      </x:c>
      <x:c r="AE105" s="84" t="str">
        <x:f>IF(COUNTIF($A$5:A105,A105)&gt;1,"Duplicate","Keep")</x:f>
        <x:v>Keep</x:v>
      </x:c>
      <x:c r="AF105" s="84" t="str">
        <x:f>IF(OR(R105&lt;=0,AC105&lt;B105,H105="Unknown",M105="Unknown Product"),"Review","Valid")</x:f>
        <x:v>Valid</x:v>
      </x:c>
      <x:c r="AG105" s="84" t="n">
        <x:f>IF(AND(AE105="Keep",AF105="Valid"),1,0)</x:f>
        <x:v>1</x:v>
      </x:c>
      <x:c r="AH105" s="84" t="n">
        <x:f>IF(AND(AG105=1,OR('Dashboard'!$B$4="All",I105='Dashboard'!$B$4),OR('Dashboard'!$E$4="All",N105='Dashboard'!$E$4),OR('Dashboard'!$H$4="All",K105='Dashboard'!$H$4),OR('Dashboard'!$K$4="All",C105='Dashboard'!$K$4)),1,0)</x:f>
        <x:v>1</x:v>
      </x:c>
      <x:c r="AI105" s="84" t="n">
        <x:f>IF(AND(AG105=1,OR('Dashboard'!$B$4="All",I105='Dashboard'!$B$4),OR('Dashboard'!$E$4="All",N105='Dashboard'!$E$4),OR('Dashboard'!$H$4="All",K105='Dashboard'!$H$4)),1,0)</x:f>
        <x:v>1</x:v>
      </x:c>
    </x:row>
    <x:row r="106">
      <x:c r="A106" s="84" t="str">
        <x:f>'Raw Sales'!A106</x:f>
        <x:v>ORD-2024-00454</x:v>
      </x:c>
      <x:c r="B106" s="85" t="n">
        <x:f>'Raw Sales'!B106</x:f>
        <x:v>45339</x:v>
      </x:c>
      <x:c r="C106" s="84" t="n">
        <x:f>YEAR(B106)</x:f>
        <x:v>2024</x:v>
      </x:c>
      <x:c r="D106" s="91" t="n">
        <x:f>DATE(YEAR(B106),MONTH(B106),1)</x:f>
        <x:v>45323</x:v>
      </x:c>
      <x:c r="E106" s="84" t="str">
        <x:f>TEXT(B106,"mmm")</x:f>
        <x:v>Feb</x:v>
      </x:c>
      <x:c r="F106" s="84" t="str">
        <x:f>'Raw Sales'!C106</x:f>
        <x:v>CUST-0296</x:v>
      </x:c>
      <x:c r="G106" s="84" t="str">
        <x:f>PROPER(TRIM('Raw Sales'!D106))</x:f>
        <x:v>Sara Irwin</x:v>
      </x:c>
      <x:c r="H106" s="84" t="str">
        <x:f>IF(TRIM('Raw Sales'!E106)="","Unknown",PROPER(TRIM('Raw Sales'!E106)))</x:f>
        <x:v>Corporate</x:v>
      </x:c>
      <x:c r="I106" s="84" t="str">
        <x:f>PROPER(TRIM('Raw Sales'!F106))</x:f>
        <x:v>Midwest</x:v>
      </x:c>
      <x:c r="J106" s="84" t="str">
        <x:f>PROPER(TRIM('Raw Sales'!G106))</x:f>
        <x:v>Columbus</x:v>
      </x:c>
      <x:c r="K106" s="84" t="str">
        <x:f>PROPER(TRIM('Raw Sales'!H106))</x:f>
        <x:v>Marketplace</x:v>
      </x:c>
      <x:c r="L106" s="84" t="str">
        <x:f>'Raw Sales'!I106</x:f>
        <x:v>CARE-002</x:v>
      </x:c>
      <x:c r="M106" s="84" t="str">
        <x:f>IFERROR(VLOOKUP(L106,'Reference Data'!$A$5:$F$40,2,FALSE),"Unknown Product")</x:f>
        <x:v>Rechargeable Trimmer</x:v>
      </x:c>
      <x:c r="N106" s="84" t="str">
        <x:f>IFERROR(VLOOKUP(L106,'Reference Data'!$A$5:$F$40,3,FALSE),"Unknown")</x:f>
        <x:v>Personal Care</x:v>
      </x:c>
      <x:c r="O106" s="84" t="str">
        <x:f>IFERROR(VLOOKUP(L106,'Reference Data'!$A$5:$F$40,4,FALSE),"Unknown")</x:f>
        <x:v>Grooming</x:v>
      </x:c>
      <x:c r="P106" s="92" t="n">
        <x:f>IFERROR(VLOOKUP(L106,'Reference Data'!$A$5:$F$40,5,FALSE),0)</x:f>
        <x:v>45</x:v>
      </x:c>
      <x:c r="Q106" s="92" t="n">
        <x:f>IFERROR(VLOOKUP(L106,'Reference Data'!$A$5:$F$40,6,FALSE),0)</x:f>
        <x:v>19</x:v>
      </x:c>
      <x:c r="R106" s="84" t="n">
        <x:f>'Raw Sales'!J106</x:f>
        <x:v>2</x:v>
      </x:c>
      <x:c r="S106" s="87" t="n">
        <x:f>'Raw Sales'!K106</x:f>
        <x:v>0.05</x:v>
      </x:c>
      <x:c r="T106" s="93" t="n">
        <x:f>P106*R106</x:f>
        <x:v>90</x:v>
      </x:c>
      <x:c r="U106" s="93" t="n">
        <x:f>T106*S106</x:f>
        <x:v>4.5</x:v>
      </x:c>
      <x:c r="V106" s="93" t="str">
        <x:f>PROPER(TRIM('Raw Sales'!L106))</x:f>
        <x:v>Returned</x:v>
      </x:c>
      <x:c r="W106" s="93" t="n">
        <x:f>IF(V106="Returned",0,T106-U106)</x:f>
        <x:v>0</x:v>
      </x:c>
      <x:c r="X106" s="93" t="n">
        <x:f>IF(V106="Returned",Q106*R106*10%,Q106*R106)</x:f>
        <x:v>3.8000000000000003</x:v>
      </x:c>
      <x:c r="Y106" s="93" t="n">
        <x:f>W106-X106</x:f>
        <x:v>-3.8000000000000003</x:v>
      </x:c>
      <x:c r="Z106" s="94" t="n">
        <x:f>IFERROR(Y106/W106,0)</x:f>
        <x:v>0</x:v>
      </x:c>
      <x:c r="AA106" s="84" t="str">
        <x:f>PROPER(TRIM('Raw Sales'!M106))</x:f>
        <x:v>Debit Card</x:v>
      </x:c>
      <x:c r="AB106" s="84" t="str">
        <x:f>PROPER(TRIM('Raw Sales'!N106))</x:f>
        <x:v>Emma Hayes</x:v>
      </x:c>
      <x:c r="AC106" s="85" t="n">
        <x:f>'Raw Sales'!O106</x:f>
        <x:v>45343</x:v>
      </x:c>
      <x:c r="AD106" s="84" t="n">
        <x:f>AC106-B106</x:f>
        <x:v>4</x:v>
      </x:c>
      <x:c r="AE106" s="84" t="str">
        <x:f>IF(COUNTIF($A$5:A106,A106)&gt;1,"Duplicate","Keep")</x:f>
        <x:v>Keep</x:v>
      </x:c>
      <x:c r="AF106" s="84" t="str">
        <x:f>IF(OR(R106&lt;=0,AC106&lt;B106,H106="Unknown",M106="Unknown Product"),"Review","Valid")</x:f>
        <x:v>Valid</x:v>
      </x:c>
      <x:c r="AG106" s="84" t="n">
        <x:f>IF(AND(AE106="Keep",AF106="Valid"),1,0)</x:f>
        <x:v>1</x:v>
      </x:c>
      <x:c r="AH106" s="84" t="n">
        <x:f>IF(AND(AG106=1,OR('Dashboard'!$B$4="All",I106='Dashboard'!$B$4),OR('Dashboard'!$E$4="All",N106='Dashboard'!$E$4),OR('Dashboard'!$H$4="All",K106='Dashboard'!$H$4),OR('Dashboard'!$K$4="All",C106='Dashboard'!$K$4)),1,0)</x:f>
        <x:v>1</x:v>
      </x:c>
      <x:c r="AI106" s="84" t="n">
        <x:f>IF(AND(AG106=1,OR('Dashboard'!$B$4="All",I106='Dashboard'!$B$4),OR('Dashboard'!$E$4="All",N106='Dashboard'!$E$4),OR('Dashboard'!$H$4="All",K106='Dashboard'!$H$4)),1,0)</x:f>
        <x:v>1</x:v>
      </x:c>
    </x:row>
    <x:row r="107">
      <x:c r="A107" s="84" t="str">
        <x:f>'Raw Sales'!A107</x:f>
        <x:v>ORD-2024-02398</x:v>
      </x:c>
      <x:c r="B107" s="85" t="n">
        <x:f>'Raw Sales'!B107</x:f>
        <x:v>45339</x:v>
      </x:c>
      <x:c r="C107" s="84" t="n">
        <x:f>YEAR(B107)</x:f>
        <x:v>2024</x:v>
      </x:c>
      <x:c r="D107" s="91" t="n">
        <x:f>DATE(YEAR(B107),MONTH(B107),1)</x:f>
        <x:v>45323</x:v>
      </x:c>
      <x:c r="E107" s="84" t="str">
        <x:f>TEXT(B107,"mmm")</x:f>
        <x:v>Feb</x:v>
      </x:c>
      <x:c r="F107" s="84" t="str">
        <x:f>'Raw Sales'!C107</x:f>
        <x:v>CUST-0231</x:v>
      </x:c>
      <x:c r="G107" s="84" t="str">
        <x:f>PROPER(TRIM('Raw Sales'!D107))</x:f>
        <x:v>Elias Quinn</x:v>
      </x:c>
      <x:c r="H107" s="84" t="str">
        <x:f>IF(TRIM('Raw Sales'!E107)="","Unknown",PROPER(TRIM('Raw Sales'!E107)))</x:f>
        <x:v>Consumer</x:v>
      </x:c>
      <x:c r="I107" s="84" t="str">
        <x:f>PROPER(TRIM('Raw Sales'!F107))</x:f>
        <x:v>Southeast</x:v>
      </x:c>
      <x:c r="J107" s="84" t="str">
        <x:f>PROPER(TRIM('Raw Sales'!G107))</x:f>
        <x:v>Nashville</x:v>
      </x:c>
      <x:c r="K107" s="84" t="str">
        <x:f>PROPER(TRIM('Raw Sales'!H107))</x:f>
        <x:v>Retail Store</x:v>
      </x:c>
      <x:c r="L107" s="84" t="str">
        <x:f>'Raw Sales'!I107</x:f>
        <x:v>HOME-003</x:v>
      </x:c>
      <x:c r="M107" s="84" t="str">
        <x:f>IFERROR(VLOOKUP(L107,'Reference Data'!$A$5:$F$40,2,FALSE),"Unknown Product")</x:f>
        <x:v>Countertop Blender</x:v>
      </x:c>
      <x:c r="N107" s="84" t="str">
        <x:f>IFERROR(VLOOKUP(L107,'Reference Data'!$A$5:$F$40,3,FALSE),"Unknown")</x:f>
        <x:v>Home &amp; Kitchen</x:v>
      </x:c>
      <x:c r="O107" s="84" t="str">
        <x:f>IFERROR(VLOOKUP(L107,'Reference Data'!$A$5:$F$40,4,FALSE),"Unknown")</x:f>
        <x:v>Small Appliances</x:v>
      </x:c>
      <x:c r="P107" s="92" t="n">
        <x:f>IFERROR(VLOOKUP(L107,'Reference Data'!$A$5:$F$40,5,FALSE),0)</x:f>
        <x:v>89</x:v>
      </x:c>
      <x:c r="Q107" s="92" t="n">
        <x:f>IFERROR(VLOOKUP(L107,'Reference Data'!$A$5:$F$40,6,FALSE),0)</x:f>
        <x:v>46</x:v>
      </x:c>
      <x:c r="R107" s="84" t="n">
        <x:f>'Raw Sales'!J107</x:f>
        <x:v>1</x:v>
      </x:c>
      <x:c r="S107" s="87" t="n">
        <x:f>'Raw Sales'!K107</x:f>
        <x:v>0</x:v>
      </x:c>
      <x:c r="T107" s="93" t="n">
        <x:f>P107*R107</x:f>
        <x:v>89</x:v>
      </x:c>
      <x:c r="U107" s="93" t="n">
        <x:f>T107*S107</x:f>
        <x:v>0</x:v>
      </x:c>
      <x:c r="V107" s="93" t="str">
        <x:f>PROPER(TRIM('Raw Sales'!L107))</x:f>
        <x:v>Completed</x:v>
      </x:c>
      <x:c r="W107" s="93" t="n">
        <x:f>IF(V107="Returned",0,T107-U107)</x:f>
        <x:v>89</x:v>
      </x:c>
      <x:c r="X107" s="93" t="n">
        <x:f>IF(V107="Returned",Q107*R107*10%,Q107*R107)</x:f>
        <x:v>46</x:v>
      </x:c>
      <x:c r="Y107" s="93" t="n">
        <x:f>W107-X107</x:f>
        <x:v>43</x:v>
      </x:c>
      <x:c r="Z107" s="94" t="n">
        <x:f>IFERROR(Y107/W107,0)</x:f>
        <x:v>0.48314606741573035</x:v>
      </x:c>
      <x:c r="AA107" s="84" t="str">
        <x:f>PROPER(TRIM('Raw Sales'!M107))</x:f>
        <x:v>Debit Card</x:v>
      </x:c>
      <x:c r="AB107" s="84" t="str">
        <x:f>PROPER(TRIM('Raw Sales'!N107))</x:f>
        <x:v>Noah Reed</x:v>
      </x:c>
      <x:c r="AC107" s="85" t="n">
        <x:f>'Raw Sales'!O107</x:f>
        <x:v>45339</x:v>
      </x:c>
      <x:c r="AD107" s="84" t="n">
        <x:f>AC107-B107</x:f>
        <x:v>0</x:v>
      </x:c>
      <x:c r="AE107" s="84" t="str">
        <x:f>IF(COUNTIF($A$5:A107,A107)&gt;1,"Duplicate","Keep")</x:f>
        <x:v>Keep</x:v>
      </x:c>
      <x:c r="AF107" s="84" t="str">
        <x:f>IF(OR(R107&lt;=0,AC107&lt;B107,H107="Unknown",M107="Unknown Product"),"Review","Valid")</x:f>
        <x:v>Valid</x:v>
      </x:c>
      <x:c r="AG107" s="84" t="n">
        <x:f>IF(AND(AE107="Keep",AF107="Valid"),1,0)</x:f>
        <x:v>1</x:v>
      </x:c>
      <x:c r="AH107" s="84" t="n">
        <x:f>IF(AND(AG107=1,OR('Dashboard'!$B$4="All",I107='Dashboard'!$B$4),OR('Dashboard'!$E$4="All",N107='Dashboard'!$E$4),OR('Dashboard'!$H$4="All",K107='Dashboard'!$H$4),OR('Dashboard'!$K$4="All",C107='Dashboard'!$K$4)),1,0)</x:f>
        <x:v>1</x:v>
      </x:c>
      <x:c r="AI107" s="84" t="n">
        <x:f>IF(AND(AG107=1,OR('Dashboard'!$B$4="All",I107='Dashboard'!$B$4),OR('Dashboard'!$E$4="All",N107='Dashboard'!$E$4),OR('Dashboard'!$H$4="All",K107='Dashboard'!$H$4)),1,0)</x:f>
        <x:v>1</x:v>
      </x:c>
    </x:row>
    <x:row r="108">
      <x:c r="A108" s="84" t="str">
        <x:f>'Raw Sales'!A108</x:f>
        <x:v>ORD-2024-00510</x:v>
      </x:c>
      <x:c r="B108" s="85" t="n">
        <x:f>'Raw Sales'!B108</x:f>
        <x:v>45340</x:v>
      </x:c>
      <x:c r="C108" s="84" t="n">
        <x:f>YEAR(B108)</x:f>
        <x:v>2024</x:v>
      </x:c>
      <x:c r="D108" s="91" t="n">
        <x:f>DATE(YEAR(B108),MONTH(B108),1)</x:f>
        <x:v>45323</x:v>
      </x:c>
      <x:c r="E108" s="84" t="str">
        <x:f>TEXT(B108,"mmm")</x:f>
        <x:v>Feb</x:v>
      </x:c>
      <x:c r="F108" s="84" t="str">
        <x:f>'Raw Sales'!C108</x:f>
        <x:v>CUST-0447</x:v>
      </x:c>
      <x:c r="G108" s="84" t="str">
        <x:f>PROPER(TRIM('Raw Sales'!D108))</x:f>
        <x:v>Elena Patel</x:v>
      </x:c>
      <x:c r="H108" s="84" t="str">
        <x:f>IF(TRIM('Raw Sales'!E108)="","Unknown",PROPER(TRIM('Raw Sales'!E108)))</x:f>
        <x:v>Corporate</x:v>
      </x:c>
      <x:c r="I108" s="84" t="str">
        <x:f>PROPER(TRIM('Raw Sales'!F108))</x:f>
        <x:v>Midwest</x:v>
      </x:c>
      <x:c r="J108" s="84" t="str">
        <x:f>PROPER(TRIM('Raw Sales'!G108))</x:f>
        <x:v>Chicago</x:v>
      </x:c>
      <x:c r="K108" s="84" t="str">
        <x:f>PROPER(TRIM('Raw Sales'!H108))</x:f>
        <x:v>Retail Store</x:v>
      </x:c>
      <x:c r="L108" s="84" t="str">
        <x:f>'Raw Sales'!I108</x:f>
        <x:v>HOME-006</x:v>
      </x:c>
      <x:c r="M108" s="84" t="str">
        <x:f>IFERROR(VLOOKUP(L108,'Reference Data'!$A$5:$F$40,2,FALSE),"Unknown Product")</x:f>
        <x:v>Food Storage Set</x:v>
      </x:c>
      <x:c r="N108" s="84" t="str">
        <x:f>IFERROR(VLOOKUP(L108,'Reference Data'!$A$5:$F$40,3,FALSE),"Unknown")</x:f>
        <x:v>Home &amp; Kitchen</x:v>
      </x:c>
      <x:c r="O108" s="84" t="str">
        <x:f>IFERROR(VLOOKUP(L108,'Reference Data'!$A$5:$F$40,4,FALSE),"Unknown")</x:f>
        <x:v>Kitchenware</x:v>
      </x:c>
      <x:c r="P108" s="92" t="n">
        <x:f>IFERROR(VLOOKUP(L108,'Reference Data'!$A$5:$F$40,5,FALSE),0)</x:f>
        <x:v>34</x:v>
      </x:c>
      <x:c r="Q108" s="92" t="n">
        <x:f>IFERROR(VLOOKUP(L108,'Reference Data'!$A$5:$F$40,6,FALSE),0)</x:f>
        <x:v>15</x:v>
      </x:c>
      <x:c r="R108" s="84" t="n">
        <x:f>'Raw Sales'!J108</x:f>
        <x:v>1</x:v>
      </x:c>
      <x:c r="S108" s="87" t="n">
        <x:f>'Raw Sales'!K108</x:f>
        <x:v>0</x:v>
      </x:c>
      <x:c r="T108" s="93" t="n">
        <x:f>P108*R108</x:f>
        <x:v>34</x:v>
      </x:c>
      <x:c r="U108" s="93" t="n">
        <x:f>T108*S108</x:f>
        <x:v>0</x:v>
      </x:c>
      <x:c r="V108" s="93" t="str">
        <x:f>PROPER(TRIM('Raw Sales'!L108))</x:f>
        <x:v>Completed</x:v>
      </x:c>
      <x:c r="W108" s="93" t="n">
        <x:f>IF(V108="Returned",0,T108-U108)</x:f>
        <x:v>34</x:v>
      </x:c>
      <x:c r="X108" s="93" t="n">
        <x:f>IF(V108="Returned",Q108*R108*10%,Q108*R108)</x:f>
        <x:v>15</x:v>
      </x:c>
      <x:c r="Y108" s="93" t="n">
        <x:f>W108-X108</x:f>
        <x:v>19</x:v>
      </x:c>
      <x:c r="Z108" s="94" t="n">
        <x:f>IFERROR(Y108/W108,0)</x:f>
        <x:v>0.5588235294117647</x:v>
      </x:c>
      <x:c r="AA108" s="84" t="str">
        <x:f>PROPER(TRIM('Raw Sales'!M108))</x:f>
        <x:v>Cash</x:v>
      </x:c>
      <x:c r="AB108" s="84" t="str">
        <x:f>PROPER(TRIM('Raw Sales'!N108))</x:f>
        <x:v>Zoe Turner</x:v>
      </x:c>
      <x:c r="AC108" s="85" t="n">
        <x:f>'Raw Sales'!O108</x:f>
        <x:v>45340</x:v>
      </x:c>
      <x:c r="AD108" s="84" t="n">
        <x:f>AC108-B108</x:f>
        <x:v>0</x:v>
      </x:c>
      <x:c r="AE108" s="84" t="str">
        <x:f>IF(COUNTIF($A$5:A108,A108)&gt;1,"Duplicate","Keep")</x:f>
        <x:v>Keep</x:v>
      </x:c>
      <x:c r="AF108" s="84" t="str">
        <x:f>IF(OR(R108&lt;=0,AC108&lt;B108,H108="Unknown",M108="Unknown Product"),"Review","Valid")</x:f>
        <x:v>Valid</x:v>
      </x:c>
      <x:c r="AG108" s="84" t="n">
        <x:f>IF(AND(AE108="Keep",AF108="Valid"),1,0)</x:f>
        <x:v>1</x:v>
      </x:c>
      <x:c r="AH108" s="84" t="n">
        <x:f>IF(AND(AG108=1,OR('Dashboard'!$B$4="All",I108='Dashboard'!$B$4),OR('Dashboard'!$E$4="All",N108='Dashboard'!$E$4),OR('Dashboard'!$H$4="All",K108='Dashboard'!$H$4),OR('Dashboard'!$K$4="All",C108='Dashboard'!$K$4)),1,0)</x:f>
        <x:v>1</x:v>
      </x:c>
      <x:c r="AI108" s="84" t="n">
        <x:f>IF(AND(AG108=1,OR('Dashboard'!$B$4="All",I108='Dashboard'!$B$4),OR('Dashboard'!$E$4="All",N108='Dashboard'!$E$4),OR('Dashboard'!$H$4="All",K108='Dashboard'!$H$4)),1,0)</x:f>
        <x:v>1</x:v>
      </x:c>
    </x:row>
    <x:row r="109">
      <x:c r="A109" s="84" t="str">
        <x:f>'Raw Sales'!A109</x:f>
        <x:v>ORD-2024-00915</x:v>
      </x:c>
      <x:c r="B109" s="85" t="n">
        <x:f>'Raw Sales'!B109</x:f>
        <x:v>45340</x:v>
      </x:c>
      <x:c r="C109" s="84" t="n">
        <x:f>YEAR(B109)</x:f>
        <x:v>2024</x:v>
      </x:c>
      <x:c r="D109" s="91" t="n">
        <x:f>DATE(YEAR(B109),MONTH(B109),1)</x:f>
        <x:v>45323</x:v>
      </x:c>
      <x:c r="E109" s="84" t="str">
        <x:f>TEXT(B109,"mmm")</x:f>
        <x:v>Feb</x:v>
      </x:c>
      <x:c r="F109" s="84" t="str">
        <x:f>'Raw Sales'!C109</x:f>
        <x:v>CUST-0549</x:v>
      </x:c>
      <x:c r="G109" s="84" t="str">
        <x:f>PROPER(TRIM('Raw Sales'!D109))</x:f>
        <x:v>Marcus Patel</x:v>
      </x:c>
      <x:c r="H109" s="84" t="str">
        <x:f>IF(TRIM('Raw Sales'!E109)="","Unknown",PROPER(TRIM('Raw Sales'!E109)))</x:f>
        <x:v>Unknown</x:v>
      </x:c>
      <x:c r="I109" s="84" t="str">
        <x:f>PROPER(TRIM('Raw Sales'!F109))</x:f>
        <x:v>Northeast</x:v>
      </x:c>
      <x:c r="J109" s="84" t="str">
        <x:f>PROPER(TRIM('Raw Sales'!G109))</x:f>
        <x:v>Boston</x:v>
      </x:c>
      <x:c r="K109" s="84" t="str">
        <x:f>PROPER(TRIM('Raw Sales'!H109))</x:f>
        <x:v>Marketplace</x:v>
      </x:c>
      <x:c r="L109" s="84" t="str">
        <x:f>'Raw Sales'!I109</x:f>
        <x:v>ELEC-005</x:v>
      </x:c>
      <x:c r="M109" s="84" t="str">
        <x:f>IFERROR(VLOOKUP(L109,'Reference Data'!$A$5:$F$40,2,FALSE),"Unknown Product")</x:f>
        <x:v>HD Webcam</x:v>
      </x:c>
      <x:c r="N109" s="84" t="str">
        <x:f>IFERROR(VLOOKUP(L109,'Reference Data'!$A$5:$F$40,3,FALSE),"Unknown")</x:f>
        <x:v>Electronics</x:v>
      </x:c>
      <x:c r="O109" s="84" t="str">
        <x:f>IFERROR(VLOOKUP(L109,'Reference Data'!$A$5:$F$40,4,FALSE),"Unknown")</x:f>
        <x:v>Computer Accessories</x:v>
      </x:c>
      <x:c r="P109" s="92" t="n">
        <x:f>IFERROR(VLOOKUP(L109,'Reference Data'!$A$5:$F$40,5,FALSE),0)</x:f>
        <x:v>79</x:v>
      </x:c>
      <x:c r="Q109" s="92" t="n">
        <x:f>IFERROR(VLOOKUP(L109,'Reference Data'!$A$5:$F$40,6,FALSE),0)</x:f>
        <x:v>37</x:v>
      </x:c>
      <x:c r="R109" s="84" t="n">
        <x:f>'Raw Sales'!J109</x:f>
        <x:v>1</x:v>
      </x:c>
      <x:c r="S109" s="87" t="n">
        <x:f>'Raw Sales'!K109</x:f>
        <x:v>0.1</x:v>
      </x:c>
      <x:c r="T109" s="93" t="n">
        <x:f>P109*R109</x:f>
        <x:v>79</x:v>
      </x:c>
      <x:c r="U109" s="93" t="n">
        <x:f>T109*S109</x:f>
        <x:v>7.9</x:v>
      </x:c>
      <x:c r="V109" s="93" t="str">
        <x:f>PROPER(TRIM('Raw Sales'!L109))</x:f>
        <x:v>Completed</x:v>
      </x:c>
      <x:c r="W109" s="93" t="n">
        <x:f>IF(V109="Returned",0,T109-U109)</x:f>
        <x:v>71.1</x:v>
      </x:c>
      <x:c r="X109" s="93" t="n">
        <x:f>IF(V109="Returned",Q109*R109*10%,Q109*R109)</x:f>
        <x:v>37</x:v>
      </x:c>
      <x:c r="Y109" s="93" t="n">
        <x:f>W109-X109</x:f>
        <x:v>34.099999999999994</x:v>
      </x:c>
      <x:c r="Z109" s="94" t="n">
        <x:f>IFERROR(Y109/W109,0)</x:f>
        <x:v>0.4796061884669479</x:v>
      </x:c>
      <x:c r="AA109" s="84" t="str">
        <x:f>PROPER(TRIM('Raw Sales'!M109))</x:f>
        <x:v>Credit Card</x:v>
      </x:c>
      <x:c r="AB109" s="84" t="str">
        <x:f>PROPER(TRIM('Raw Sales'!N109))</x:f>
        <x:v>Sofia Bennett</x:v>
      </x:c>
      <x:c r="AC109" s="85" t="n">
        <x:f>'Raw Sales'!O109</x:f>
        <x:v>45344</x:v>
      </x:c>
      <x:c r="AD109" s="84" t="n">
        <x:f>AC109-B109</x:f>
        <x:v>4</x:v>
      </x:c>
      <x:c r="AE109" s="84" t="str">
        <x:f>IF(COUNTIF($A$5:A109,A109)&gt;1,"Duplicate","Keep")</x:f>
        <x:v>Keep</x:v>
      </x:c>
      <x:c r="AF109" s="84" t="str">
        <x:f>IF(OR(R109&lt;=0,AC109&lt;B109,H109="Unknown",M109="Unknown Product"),"Review","Valid")</x:f>
        <x:v>Review</x:v>
      </x:c>
      <x:c r="AG109" s="84" t="n">
        <x:f>IF(AND(AE109="Keep",AF109="Valid"),1,0)</x:f>
        <x:v>0</x:v>
      </x:c>
      <x:c r="AH109" s="84" t="n">
        <x:f>IF(AND(AG109=1,OR('Dashboard'!$B$4="All",I109='Dashboard'!$B$4),OR('Dashboard'!$E$4="All",N109='Dashboard'!$E$4),OR('Dashboard'!$H$4="All",K109='Dashboard'!$H$4),OR('Dashboard'!$K$4="All",C109='Dashboard'!$K$4)),1,0)</x:f>
        <x:v>0</x:v>
      </x:c>
      <x:c r="AI109" s="84" t="n">
        <x:f>IF(AND(AG109=1,OR('Dashboard'!$B$4="All",I109='Dashboard'!$B$4),OR('Dashboard'!$E$4="All",N109='Dashboard'!$E$4),OR('Dashboard'!$H$4="All",K109='Dashboard'!$H$4)),1,0)</x:f>
        <x:v>0</x:v>
      </x:c>
    </x:row>
    <x:row r="110">
      <x:c r="A110" s="84" t="str">
        <x:f>'Raw Sales'!A110</x:f>
        <x:v>ORD-2024-01430</x:v>
      </x:c>
      <x:c r="B110" s="85" t="n">
        <x:f>'Raw Sales'!B110</x:f>
        <x:v>45341</x:v>
      </x:c>
      <x:c r="C110" s="84" t="n">
        <x:f>YEAR(B110)</x:f>
        <x:v>2024</x:v>
      </x:c>
      <x:c r="D110" s="91" t="n">
        <x:f>DATE(YEAR(B110),MONTH(B110),1)</x:f>
        <x:v>45323</x:v>
      </x:c>
      <x:c r="E110" s="84" t="str">
        <x:f>TEXT(B110,"mmm")</x:f>
        <x:v>Feb</x:v>
      </x:c>
      <x:c r="F110" s="84" t="str">
        <x:f>'Raw Sales'!C110</x:f>
        <x:v>CUST-0474</x:v>
      </x:c>
      <x:c r="G110" s="84" t="str">
        <x:f>PROPER(TRIM('Raw Sales'!D110))</x:f>
        <x:v>Aiden Foster</x:v>
      </x:c>
      <x:c r="H110" s="84" t="str">
        <x:f>IF(TRIM('Raw Sales'!E110)="","Unknown",PROPER(TRIM('Raw Sales'!E110)))</x:f>
        <x:v>Consumer</x:v>
      </x:c>
      <x:c r="I110" s="84" t="str">
        <x:f>PROPER(TRIM('Raw Sales'!F110))</x:f>
        <x:v>Southeast</x:v>
      </x:c>
      <x:c r="J110" s="84" t="str">
        <x:f>PROPER(TRIM('Raw Sales'!G110))</x:f>
        <x:v>Miami</x:v>
      </x:c>
      <x:c r="K110" s="84" t="str">
        <x:f>PROPER(TRIM('Raw Sales'!H110))</x:f>
        <x:v>Marketplace</x:v>
      </x:c>
      <x:c r="L110" s="84" t="str">
        <x:f>'Raw Sales'!I110</x:f>
        <x:v>ELEC-002</x:v>
      </x:c>
      <x:c r="M110" s="84" t="str">
        <x:f>IFERROR(VLOOKUP(L110,'Reference Data'!$A$5:$F$40,2,FALSE),"Unknown Product")</x:f>
        <x:v>Smartwatch</x:v>
      </x:c>
      <x:c r="N110" s="84" t="str">
        <x:f>IFERROR(VLOOKUP(L110,'Reference Data'!$A$5:$F$40,3,FALSE),"Unknown")</x:f>
        <x:v>Electronics</x:v>
      </x:c>
      <x:c r="O110" s="84" t="str">
        <x:f>IFERROR(VLOOKUP(L110,'Reference Data'!$A$5:$F$40,4,FALSE),"Unknown")</x:f>
        <x:v>Wearables</x:v>
      </x:c>
      <x:c r="P110" s="92" t="n">
        <x:f>IFERROR(VLOOKUP(L110,'Reference Data'!$A$5:$F$40,5,FALSE),0)</x:f>
        <x:v>159</x:v>
      </x:c>
      <x:c r="Q110" s="92" t="n">
        <x:f>IFERROR(VLOOKUP(L110,'Reference Data'!$A$5:$F$40,6,FALSE),0)</x:f>
        <x:v>92</x:v>
      </x:c>
      <x:c r="R110" s="84" t="n">
        <x:f>'Raw Sales'!J110</x:f>
        <x:v>1</x:v>
      </x:c>
      <x:c r="S110" s="87" t="n">
        <x:f>'Raw Sales'!K110</x:f>
        <x:v>0.15</x:v>
      </x:c>
      <x:c r="T110" s="93" t="n">
        <x:f>P110*R110</x:f>
        <x:v>159</x:v>
      </x:c>
      <x:c r="U110" s="93" t="n">
        <x:f>T110*S110</x:f>
        <x:v>23.849999999999998</x:v>
      </x:c>
      <x:c r="V110" s="93" t="str">
        <x:f>PROPER(TRIM('Raw Sales'!L110))</x:f>
        <x:v>Returned</x:v>
      </x:c>
      <x:c r="W110" s="93" t="n">
        <x:f>IF(V110="Returned",0,T110-U110)</x:f>
        <x:v>0</x:v>
      </x:c>
      <x:c r="X110" s="93" t="n">
        <x:f>IF(V110="Returned",Q110*R110*10%,Q110*R110)</x:f>
        <x:v>9.200000000000001</x:v>
      </x:c>
      <x:c r="Y110" s="93" t="n">
        <x:f>W110-X110</x:f>
        <x:v>-9.200000000000001</x:v>
      </x:c>
      <x:c r="Z110" s="94" t="n">
        <x:f>IFERROR(Y110/W110,0)</x:f>
        <x:v>0</x:v>
      </x:c>
      <x:c r="AA110" s="84" t="str">
        <x:f>PROPER(TRIM('Raw Sales'!M110))</x:f>
        <x:v>Credit Card</x:v>
      </x:c>
      <x:c r="AB110" s="84" t="str">
        <x:f>PROPER(TRIM('Raw Sales'!N110))</x:f>
        <x:v>Liam Parker</x:v>
      </x:c>
      <x:c r="AC110" s="85" t="n">
        <x:f>'Raw Sales'!O110</x:f>
        <x:v>45348</x:v>
      </x:c>
      <x:c r="AD110" s="84" t="n">
        <x:f>AC110-B110</x:f>
        <x:v>7</x:v>
      </x:c>
      <x:c r="AE110" s="84" t="str">
        <x:f>IF(COUNTIF($A$5:A110,A110)&gt;1,"Duplicate","Keep")</x:f>
        <x:v>Keep</x:v>
      </x:c>
      <x:c r="AF110" s="84" t="str">
        <x:f>IF(OR(R110&lt;=0,AC110&lt;B110,H110="Unknown",M110="Unknown Product"),"Review","Valid")</x:f>
        <x:v>Valid</x:v>
      </x:c>
      <x:c r="AG110" s="84" t="n">
        <x:f>IF(AND(AE110="Keep",AF110="Valid"),1,0)</x:f>
        <x:v>1</x:v>
      </x:c>
      <x:c r="AH110" s="84" t="n">
        <x:f>IF(AND(AG110=1,OR('Dashboard'!$B$4="All",I110='Dashboard'!$B$4),OR('Dashboard'!$E$4="All",N110='Dashboard'!$E$4),OR('Dashboard'!$H$4="All",K110='Dashboard'!$H$4),OR('Dashboard'!$K$4="All",C110='Dashboard'!$K$4)),1,0)</x:f>
        <x:v>1</x:v>
      </x:c>
      <x:c r="AI110" s="84" t="n">
        <x:f>IF(AND(AG110=1,OR('Dashboard'!$B$4="All",I110='Dashboard'!$B$4),OR('Dashboard'!$E$4="All",N110='Dashboard'!$E$4),OR('Dashboard'!$H$4="All",K110='Dashboard'!$H$4)),1,0)</x:f>
        <x:v>1</x:v>
      </x:c>
    </x:row>
    <x:row r="111">
      <x:c r="A111" s="84" t="str">
        <x:f>'Raw Sales'!A111</x:f>
        <x:v>ORD-2024-01639</x:v>
      </x:c>
      <x:c r="B111" s="85" t="n">
        <x:f>'Raw Sales'!B111</x:f>
        <x:v>45341</x:v>
      </x:c>
      <x:c r="C111" s="84" t="n">
        <x:f>YEAR(B111)</x:f>
        <x:v>2024</x:v>
      </x:c>
      <x:c r="D111" s="91" t="n">
        <x:f>DATE(YEAR(B111),MONTH(B111),1)</x:f>
        <x:v>45323</x:v>
      </x:c>
      <x:c r="E111" s="84" t="str">
        <x:f>TEXT(B111,"mmm")</x:f>
        <x:v>Feb</x:v>
      </x:c>
      <x:c r="F111" s="84" t="str">
        <x:f>'Raw Sales'!C111</x:f>
        <x:v>CUST-0439</x:v>
      </x:c>
      <x:c r="G111" s="84" t="str">
        <x:f>PROPER(TRIM('Raw Sales'!D111))</x:f>
        <x:v>Aiden Irwin</x:v>
      </x:c>
      <x:c r="H111" s="84" t="str">
        <x:f>IF(TRIM('Raw Sales'!E111)="","Unknown",PROPER(TRIM('Raw Sales'!E111)))</x:f>
        <x:v>Consumer</x:v>
      </x:c>
      <x:c r="I111" s="84" t="str">
        <x:f>PROPER(TRIM('Raw Sales'!F111))</x:f>
        <x:v>West</x:v>
      </x:c>
      <x:c r="J111" s="84" t="str">
        <x:f>PROPER(TRIM('Raw Sales'!G111))</x:f>
        <x:v>Los Angeles</x:v>
      </x:c>
      <x:c r="K111" s="84" t="str">
        <x:f>PROPER(TRIM('Raw Sales'!H111))</x:f>
        <x:v>Retail Store</x:v>
      </x:c>
      <x:c r="L111" s="84" t="str">
        <x:f>'Raw Sales'!I111</x:f>
        <x:v>HOME-002</x:v>
      </x:c>
      <x:c r="M111" s="84" t="str">
        <x:f>IFERROR(VLOOKUP(L111,'Reference Data'!$A$5:$F$40,2,FALSE),"Unknown Product")</x:f>
        <x:v>Electric Kettle</x:v>
      </x:c>
      <x:c r="N111" s="84" t="str">
        <x:f>IFERROR(VLOOKUP(L111,'Reference Data'!$A$5:$F$40,3,FALSE),"Unknown")</x:f>
        <x:v>Home &amp; Kitchen</x:v>
      </x:c>
      <x:c r="O111" s="84" t="str">
        <x:f>IFERROR(VLOOKUP(L111,'Reference Data'!$A$5:$F$40,4,FALSE),"Unknown")</x:f>
        <x:v>Small Appliances</x:v>
      </x:c>
      <x:c r="P111" s="92" t="n">
        <x:f>IFERROR(VLOOKUP(L111,'Reference Data'!$A$5:$F$40,5,FALSE),0)</x:f>
        <x:v>49</x:v>
      </x:c>
      <x:c r="Q111" s="92" t="n">
        <x:f>IFERROR(VLOOKUP(L111,'Reference Data'!$A$5:$F$40,6,FALSE),0)</x:f>
        <x:v>23</x:v>
      </x:c>
      <x:c r="R111" s="84" t="n">
        <x:f>'Raw Sales'!J111</x:f>
        <x:v>3</x:v>
      </x:c>
      <x:c r="S111" s="87" t="n">
        <x:f>'Raw Sales'!K111</x:f>
        <x:v>0.05</x:v>
      </x:c>
      <x:c r="T111" s="93" t="n">
        <x:f>P111*R111</x:f>
        <x:v>147</x:v>
      </x:c>
      <x:c r="U111" s="93" t="n">
        <x:f>T111*S111</x:f>
        <x:v>7.3500000000000005</x:v>
      </x:c>
      <x:c r="V111" s="93" t="str">
        <x:f>PROPER(TRIM('Raw Sales'!L111))</x:f>
        <x:v>Completed</x:v>
      </x:c>
      <x:c r="W111" s="93" t="n">
        <x:f>IF(V111="Returned",0,T111-U111)</x:f>
        <x:v>139.65</x:v>
      </x:c>
      <x:c r="X111" s="93" t="n">
        <x:f>IF(V111="Returned",Q111*R111*10%,Q111*R111)</x:f>
        <x:v>69</x:v>
      </x:c>
      <x:c r="Y111" s="93" t="n">
        <x:f>W111-X111</x:f>
        <x:v>70.65</x:v>
      </x:c>
      <x:c r="Z111" s="94" t="n">
        <x:f>IFERROR(Y111/W111,0)</x:f>
        <x:v>0.5059076262083781</x:v>
      </x:c>
      <x:c r="AA111" s="84" t="str">
        <x:f>PROPER(TRIM('Raw Sales'!M111))</x:f>
        <x:v>Credit Card</x:v>
      </x:c>
      <x:c r="AB111" s="84" t="str">
        <x:f>PROPER(TRIM('Raw Sales'!N111))</x:f>
        <x:v>Nora Kim</x:v>
      </x:c>
      <x:c r="AC111" s="85" t="n">
        <x:f>'Raw Sales'!O111</x:f>
        <x:v>45341</x:v>
      </x:c>
      <x:c r="AD111" s="84" t="n">
        <x:f>AC111-B111</x:f>
        <x:v>0</x:v>
      </x:c>
      <x:c r="AE111" s="84" t="str">
        <x:f>IF(COUNTIF($A$5:A111,A111)&gt;1,"Duplicate","Keep")</x:f>
        <x:v>Keep</x:v>
      </x:c>
      <x:c r="AF111" s="84" t="str">
        <x:f>IF(OR(R111&lt;=0,AC111&lt;B111,H111="Unknown",M111="Unknown Product"),"Review","Valid")</x:f>
        <x:v>Valid</x:v>
      </x:c>
      <x:c r="AG111" s="84" t="n">
        <x:f>IF(AND(AE111="Keep",AF111="Valid"),1,0)</x:f>
        <x:v>1</x:v>
      </x:c>
      <x:c r="AH111" s="84" t="n">
        <x:f>IF(AND(AG111=1,OR('Dashboard'!$B$4="All",I111='Dashboard'!$B$4),OR('Dashboard'!$E$4="All",N111='Dashboard'!$E$4),OR('Dashboard'!$H$4="All",K111='Dashboard'!$H$4),OR('Dashboard'!$K$4="All",C111='Dashboard'!$K$4)),1,0)</x:f>
        <x:v>1</x:v>
      </x:c>
      <x:c r="AI111" s="84" t="n">
        <x:f>IF(AND(AG111=1,OR('Dashboard'!$B$4="All",I111='Dashboard'!$B$4),OR('Dashboard'!$E$4="All",N111='Dashboard'!$E$4),OR('Dashboard'!$H$4="All",K111='Dashboard'!$H$4)),1,0)</x:f>
        <x:v>1</x:v>
      </x:c>
    </x:row>
    <x:row r="112">
      <x:c r="A112" s="84" t="str">
        <x:f>'Raw Sales'!A112</x:f>
        <x:v>ORD-2024-01641</x:v>
      </x:c>
      <x:c r="B112" s="85" t="n">
        <x:f>'Raw Sales'!B112</x:f>
        <x:v>45341</x:v>
      </x:c>
      <x:c r="C112" s="84" t="n">
        <x:f>YEAR(B112)</x:f>
        <x:v>2024</x:v>
      </x:c>
      <x:c r="D112" s="91" t="n">
        <x:f>DATE(YEAR(B112),MONTH(B112),1)</x:f>
        <x:v>45323</x:v>
      </x:c>
      <x:c r="E112" s="84" t="str">
        <x:f>TEXT(B112,"mmm")</x:f>
        <x:v>Feb</x:v>
      </x:c>
      <x:c r="F112" s="84" t="str">
        <x:f>'Raw Sales'!C112</x:f>
        <x:v>CUST-0301</x:v>
      </x:c>
      <x:c r="G112" s="84" t="str">
        <x:f>PROPER(TRIM('Raw Sales'!D112))</x:f>
        <x:v>Elias Smith</x:v>
      </x:c>
      <x:c r="H112" s="84" t="str">
        <x:f>IF(TRIM('Raw Sales'!E112)="","Unknown",PROPER(TRIM('Raw Sales'!E112)))</x:f>
        <x:v>Consumer</x:v>
      </x:c>
      <x:c r="I112" s="84" t="str">
        <x:f>PROPER(TRIM('Raw Sales'!F112))</x:f>
        <x:v>Southeast</x:v>
      </x:c>
      <x:c r="J112" s="84" t="str">
        <x:f>PROPER(TRIM('Raw Sales'!G112))</x:f>
        <x:v>Charlotte</x:v>
      </x:c>
      <x:c r="K112" s="84" t="str">
        <x:f>PROPER(TRIM('Raw Sales'!H112))</x:f>
        <x:v>Marketplace</x:v>
      </x:c>
      <x:c r="L112" s="84" t="str">
        <x:f>'Raw Sales'!I112</x:f>
        <x:v>HOME-004</x:v>
      </x:c>
      <x:c r="M112" s="84" t="str">
        <x:f>IFERROR(VLOOKUP(L112,'Reference Data'!$A$5:$F$40,2,FALSE),"Unknown Product")</x:f>
        <x:v>Coffee Maker</x:v>
      </x:c>
      <x:c r="N112" s="84" t="str">
        <x:f>IFERROR(VLOOKUP(L112,'Reference Data'!$A$5:$F$40,3,FALSE),"Unknown")</x:f>
        <x:v>Home &amp; Kitchen</x:v>
      </x:c>
      <x:c r="O112" s="84" t="str">
        <x:f>IFERROR(VLOOKUP(L112,'Reference Data'!$A$5:$F$40,4,FALSE),"Unknown")</x:f>
        <x:v>Small Appliances</x:v>
      </x:c>
      <x:c r="P112" s="92" t="n">
        <x:f>IFERROR(VLOOKUP(L112,'Reference Data'!$A$5:$F$40,5,FALSE),0)</x:f>
        <x:v>99</x:v>
      </x:c>
      <x:c r="Q112" s="92" t="n">
        <x:f>IFERROR(VLOOKUP(L112,'Reference Data'!$A$5:$F$40,6,FALSE),0)</x:f>
        <x:v>51</x:v>
      </x:c>
      <x:c r="R112" s="84" t="n">
        <x:f>'Raw Sales'!J112</x:f>
        <x:v>3</x:v>
      </x:c>
      <x:c r="S112" s="87" t="n">
        <x:f>'Raw Sales'!K112</x:f>
        <x:v>0.1</x:v>
      </x:c>
      <x:c r="T112" s="93" t="n">
        <x:f>P112*R112</x:f>
        <x:v>297</x:v>
      </x:c>
      <x:c r="U112" s="93" t="n">
        <x:f>T112*S112</x:f>
        <x:v>29.700000000000003</x:v>
      </x:c>
      <x:c r="V112" s="93" t="str">
        <x:f>PROPER(TRIM('Raw Sales'!L112))</x:f>
        <x:v>Completed</x:v>
      </x:c>
      <x:c r="W112" s="93" t="n">
        <x:f>IF(V112="Returned",0,T112-U112)</x:f>
        <x:v>267.3</x:v>
      </x:c>
      <x:c r="X112" s="93" t="n">
        <x:f>IF(V112="Returned",Q112*R112*10%,Q112*R112)</x:f>
        <x:v>153</x:v>
      </x:c>
      <x:c r="Y112" s="93" t="n">
        <x:f>W112-X112</x:f>
        <x:v>114.30000000000001</x:v>
      </x:c>
      <x:c r="Z112" s="94" t="n">
        <x:f>IFERROR(Y112/W112,0)</x:f>
        <x:v>0.42760942760942766</x:v>
      </x:c>
      <x:c r="AA112" s="84" t="str">
        <x:f>PROPER(TRIM('Raw Sales'!M112))</x:f>
        <x:v>Mobile Wallet</x:v>
      </x:c>
      <x:c r="AB112" s="84" t="str">
        <x:f>PROPER(TRIM('Raw Sales'!N112))</x:f>
        <x:v>Ava Mitchell</x:v>
      </x:c>
      <x:c r="AC112" s="85" t="n">
        <x:f>'Raw Sales'!O112</x:f>
        <x:v>45348</x:v>
      </x:c>
      <x:c r="AD112" s="84" t="n">
        <x:f>AC112-B112</x:f>
        <x:v>7</x:v>
      </x:c>
      <x:c r="AE112" s="84" t="str">
        <x:f>IF(COUNTIF($A$5:A112,A112)&gt;1,"Duplicate","Keep")</x:f>
        <x:v>Keep</x:v>
      </x:c>
      <x:c r="AF112" s="84" t="str">
        <x:f>IF(OR(R112&lt;=0,AC112&lt;B112,H112="Unknown",M112="Unknown Product"),"Review","Valid")</x:f>
        <x:v>Valid</x:v>
      </x:c>
      <x:c r="AG112" s="84" t="n">
        <x:f>IF(AND(AE112="Keep",AF112="Valid"),1,0)</x:f>
        <x:v>1</x:v>
      </x:c>
      <x:c r="AH112" s="84" t="n">
        <x:f>IF(AND(AG112=1,OR('Dashboard'!$B$4="All",I112='Dashboard'!$B$4),OR('Dashboard'!$E$4="All",N112='Dashboard'!$E$4),OR('Dashboard'!$H$4="All",K112='Dashboard'!$H$4),OR('Dashboard'!$K$4="All",C112='Dashboard'!$K$4)),1,0)</x:f>
        <x:v>1</x:v>
      </x:c>
      <x:c r="AI112" s="84" t="n">
        <x:f>IF(AND(AG112=1,OR('Dashboard'!$B$4="All",I112='Dashboard'!$B$4),OR('Dashboard'!$E$4="All",N112='Dashboard'!$E$4),OR('Dashboard'!$H$4="All",K112='Dashboard'!$H$4)),1,0)</x:f>
        <x:v>1</x:v>
      </x:c>
    </x:row>
    <x:row r="113">
      <x:c r="A113" s="84" t="str">
        <x:f>'Raw Sales'!A113</x:f>
        <x:v>ORD-2024-00569</x:v>
      </x:c>
      <x:c r="B113" s="85" t="n">
        <x:f>'Raw Sales'!B113</x:f>
        <x:v>45342</x:v>
      </x:c>
      <x:c r="C113" s="84" t="n">
        <x:f>YEAR(B113)</x:f>
        <x:v>2024</x:v>
      </x:c>
      <x:c r="D113" s="91" t="n">
        <x:f>DATE(YEAR(B113),MONTH(B113),1)</x:f>
        <x:v>45323</x:v>
      </x:c>
      <x:c r="E113" s="84" t="str">
        <x:f>TEXT(B113,"mmm")</x:f>
        <x:v>Feb</x:v>
      </x:c>
      <x:c r="F113" s="84" t="str">
        <x:f>'Raw Sales'!C113</x:f>
        <x:v>CUST-0566</x:v>
      </x:c>
      <x:c r="G113" s="84" t="str">
        <x:f>PROPER(TRIM('Raw Sales'!D113))</x:f>
        <x:v>Jonah Quinn</x:v>
      </x:c>
      <x:c r="H113" s="84" t="str">
        <x:f>IF(TRIM('Raw Sales'!E113)="","Unknown",PROPER(TRIM('Raw Sales'!E113)))</x:f>
        <x:v>Small Business</x:v>
      </x:c>
      <x:c r="I113" s="84" t="str">
        <x:f>PROPER(TRIM('Raw Sales'!F113))</x:f>
        <x:v>Northeast</x:v>
      </x:c>
      <x:c r="J113" s="84" t="str">
        <x:f>PROPER(TRIM('Raw Sales'!G113))</x:f>
        <x:v>New York</x:v>
      </x:c>
      <x:c r="K113" s="84" t="str">
        <x:f>PROPER(TRIM('Raw Sales'!H113))</x:f>
        <x:v>Retail Store</x:v>
      </x:c>
      <x:c r="L113" s="84" t="str">
        <x:f>'Raw Sales'!I113</x:f>
        <x:v>ELEC-005</x:v>
      </x:c>
      <x:c r="M113" s="84" t="str">
        <x:f>IFERROR(VLOOKUP(L113,'Reference Data'!$A$5:$F$40,2,FALSE),"Unknown Product")</x:f>
        <x:v>HD Webcam</x:v>
      </x:c>
      <x:c r="N113" s="84" t="str">
        <x:f>IFERROR(VLOOKUP(L113,'Reference Data'!$A$5:$F$40,3,FALSE),"Unknown")</x:f>
        <x:v>Electronics</x:v>
      </x:c>
      <x:c r="O113" s="84" t="str">
        <x:f>IFERROR(VLOOKUP(L113,'Reference Data'!$A$5:$F$40,4,FALSE),"Unknown")</x:f>
        <x:v>Computer Accessories</x:v>
      </x:c>
      <x:c r="P113" s="92" t="n">
        <x:f>IFERROR(VLOOKUP(L113,'Reference Data'!$A$5:$F$40,5,FALSE),0)</x:f>
        <x:v>79</x:v>
      </x:c>
      <x:c r="Q113" s="92" t="n">
        <x:f>IFERROR(VLOOKUP(L113,'Reference Data'!$A$5:$F$40,6,FALSE),0)</x:f>
        <x:v>37</x:v>
      </x:c>
      <x:c r="R113" s="84" t="n">
        <x:f>'Raw Sales'!J113</x:f>
        <x:v>1</x:v>
      </x:c>
      <x:c r="S113" s="87" t="n">
        <x:f>'Raw Sales'!K113</x:f>
        <x:v>0.1</x:v>
      </x:c>
      <x:c r="T113" s="93" t="n">
        <x:f>P113*R113</x:f>
        <x:v>79</x:v>
      </x:c>
      <x:c r="U113" s="93" t="n">
        <x:f>T113*S113</x:f>
        <x:v>7.9</x:v>
      </x:c>
      <x:c r="V113" s="93" t="str">
        <x:f>PROPER(TRIM('Raw Sales'!L113))</x:f>
        <x:v>Completed</x:v>
      </x:c>
      <x:c r="W113" s="93" t="n">
        <x:f>IF(V113="Returned",0,T113-U113)</x:f>
        <x:v>71.1</x:v>
      </x:c>
      <x:c r="X113" s="93" t="n">
        <x:f>IF(V113="Returned",Q113*R113*10%,Q113*R113)</x:f>
        <x:v>37</x:v>
      </x:c>
      <x:c r="Y113" s="93" t="n">
        <x:f>W113-X113</x:f>
        <x:v>34.099999999999994</x:v>
      </x:c>
      <x:c r="Z113" s="94" t="n">
        <x:f>IFERROR(Y113/W113,0)</x:f>
        <x:v>0.4796061884669479</x:v>
      </x:c>
      <x:c r="AA113" s="84" t="str">
        <x:f>PROPER(TRIM('Raw Sales'!M113))</x:f>
        <x:v>Credit Card</x:v>
      </x:c>
      <x:c r="AB113" s="84" t="str">
        <x:f>PROPER(TRIM('Raw Sales'!N113))</x:f>
        <x:v>Maya Brooks</x:v>
      </x:c>
      <x:c r="AC113" s="85" t="n">
        <x:f>'Raw Sales'!O113</x:f>
        <x:v>45342</x:v>
      </x:c>
      <x:c r="AD113" s="84" t="n">
        <x:f>AC113-B113</x:f>
        <x:v>0</x:v>
      </x:c>
      <x:c r="AE113" s="84" t="str">
        <x:f>IF(COUNTIF($A$5:A113,A113)&gt;1,"Duplicate","Keep")</x:f>
        <x:v>Keep</x:v>
      </x:c>
      <x:c r="AF113" s="84" t="str">
        <x:f>IF(OR(R113&lt;=0,AC113&lt;B113,H113="Unknown",M113="Unknown Product"),"Review","Valid")</x:f>
        <x:v>Valid</x:v>
      </x:c>
      <x:c r="AG113" s="84" t="n">
        <x:f>IF(AND(AE113="Keep",AF113="Valid"),1,0)</x:f>
        <x:v>1</x:v>
      </x:c>
      <x:c r="AH113" s="84" t="n">
        <x:f>IF(AND(AG113=1,OR('Dashboard'!$B$4="All",I113='Dashboard'!$B$4),OR('Dashboard'!$E$4="All",N113='Dashboard'!$E$4),OR('Dashboard'!$H$4="All",K113='Dashboard'!$H$4),OR('Dashboard'!$K$4="All",C113='Dashboard'!$K$4)),1,0)</x:f>
        <x:v>1</x:v>
      </x:c>
      <x:c r="AI113" s="84" t="n">
        <x:f>IF(AND(AG113=1,OR('Dashboard'!$B$4="All",I113='Dashboard'!$B$4),OR('Dashboard'!$E$4="All",N113='Dashboard'!$E$4),OR('Dashboard'!$H$4="All",K113='Dashboard'!$H$4)),1,0)</x:f>
        <x:v>1</x:v>
      </x:c>
    </x:row>
    <x:row r="114">
      <x:c r="A114" s="84" t="str">
        <x:f>'Raw Sales'!A114</x:f>
        <x:v>ORD-2024-00746</x:v>
      </x:c>
      <x:c r="B114" s="85" t="n">
        <x:f>'Raw Sales'!B114</x:f>
        <x:v>45342</x:v>
      </x:c>
      <x:c r="C114" s="84" t="n">
        <x:f>YEAR(B114)</x:f>
        <x:v>2024</x:v>
      </x:c>
      <x:c r="D114" s="91" t="n">
        <x:f>DATE(YEAR(B114),MONTH(B114),1)</x:f>
        <x:v>45323</x:v>
      </x:c>
      <x:c r="E114" s="84" t="str">
        <x:f>TEXT(B114,"mmm")</x:f>
        <x:v>Feb</x:v>
      </x:c>
      <x:c r="F114" s="84" t="str">
        <x:f>'Raw Sales'!C114</x:f>
        <x:v>CUST-0385</x:v>
      </x:c>
      <x:c r="G114" s="84" t="str">
        <x:f>PROPER(TRIM('Raw Sales'!D114))</x:f>
        <x:v>Elias Garcia</x:v>
      </x:c>
      <x:c r="H114" s="84" t="str">
        <x:f>IF(TRIM('Raw Sales'!E114)="","Unknown",PROPER(TRIM('Raw Sales'!E114)))</x:f>
        <x:v>Corporate</x:v>
      </x:c>
      <x:c r="I114" s="84" t="str">
        <x:f>PROPER(TRIM('Raw Sales'!F114))</x:f>
        <x:v>Southeast</x:v>
      </x:c>
      <x:c r="J114" s="84" t="str">
        <x:f>PROPER(TRIM('Raw Sales'!G114))</x:f>
        <x:v>Atlanta</x:v>
      </x:c>
      <x:c r="K114" s="84" t="str">
        <x:f>PROPER(TRIM('Raw Sales'!H114))</x:f>
        <x:v>Retail Store</x:v>
      </x:c>
      <x:c r="L114" s="84" t="str">
        <x:f>'Raw Sales'!I114</x:f>
        <x:v>HOME-005</x:v>
      </x:c>
      <x:c r="M114" s="84" t="str">
        <x:f>IFERROR(VLOOKUP(L114,'Reference Data'!$A$5:$F$40,2,FALSE),"Unknown Product")</x:f>
        <x:v>Cordless Vacuum</x:v>
      </x:c>
      <x:c r="N114" s="84" t="str">
        <x:f>IFERROR(VLOOKUP(L114,'Reference Data'!$A$5:$F$40,3,FALSE),"Unknown")</x:f>
        <x:v>Home &amp; Kitchen</x:v>
      </x:c>
      <x:c r="O114" s="84" t="str">
        <x:f>IFERROR(VLOOKUP(L114,'Reference Data'!$A$5:$F$40,4,FALSE),"Unknown")</x:f>
        <x:v>Cleaning</x:v>
      </x:c>
      <x:c r="P114" s="92" t="n">
        <x:f>IFERROR(VLOOKUP(L114,'Reference Data'!$A$5:$F$40,5,FALSE),0)</x:f>
        <x:v>179</x:v>
      </x:c>
      <x:c r="Q114" s="92" t="n">
        <x:f>IFERROR(VLOOKUP(L114,'Reference Data'!$A$5:$F$40,6,FALSE),0)</x:f>
        <x:v>102</x:v>
      </x:c>
      <x:c r="R114" s="84" t="n">
        <x:f>'Raw Sales'!J114</x:f>
        <x:v>2</x:v>
      </x:c>
      <x:c r="S114" s="87" t="n">
        <x:f>'Raw Sales'!K114</x:f>
        <x:v>0.15</x:v>
      </x:c>
      <x:c r="T114" s="93" t="n">
        <x:f>P114*R114</x:f>
        <x:v>358</x:v>
      </x:c>
      <x:c r="U114" s="93" t="n">
        <x:f>T114*S114</x:f>
        <x:v>53.699999999999996</x:v>
      </x:c>
      <x:c r="V114" s="93" t="str">
        <x:f>PROPER(TRIM('Raw Sales'!L114))</x:f>
        <x:v>Completed</x:v>
      </x:c>
      <x:c r="W114" s="93" t="n">
        <x:f>IF(V114="Returned",0,T114-U114)</x:f>
        <x:v>304.3</x:v>
      </x:c>
      <x:c r="X114" s="93" t="n">
        <x:f>IF(V114="Returned",Q114*R114*10%,Q114*R114)</x:f>
        <x:v>204</x:v>
      </x:c>
      <x:c r="Y114" s="93" t="n">
        <x:f>W114-X114</x:f>
        <x:v>100.30000000000001</x:v>
      </x:c>
      <x:c r="Z114" s="94" t="n">
        <x:f>IFERROR(Y114/W114,0)</x:f>
        <x:v>0.3296089385474861</x:v>
      </x:c>
      <x:c r="AA114" s="84" t="str">
        <x:f>PROPER(TRIM('Raw Sales'!M114))</x:f>
        <x:v>Credit Card</x:v>
      </x:c>
      <x:c r="AB114" s="84" t="str">
        <x:f>PROPER(TRIM('Raw Sales'!N114))</x:f>
        <x:v>Liam Parker</x:v>
      </x:c>
      <x:c r="AC114" s="85" t="n">
        <x:f>'Raw Sales'!O114</x:f>
        <x:v>45342</x:v>
      </x:c>
      <x:c r="AD114" s="84" t="n">
        <x:f>AC114-B114</x:f>
        <x:v>0</x:v>
      </x:c>
      <x:c r="AE114" s="84" t="str">
        <x:f>IF(COUNTIF($A$5:A114,A114)&gt;1,"Duplicate","Keep")</x:f>
        <x:v>Keep</x:v>
      </x:c>
      <x:c r="AF114" s="84" t="str">
        <x:f>IF(OR(R114&lt;=0,AC114&lt;B114,H114="Unknown",M114="Unknown Product"),"Review","Valid")</x:f>
        <x:v>Valid</x:v>
      </x:c>
      <x:c r="AG114" s="84" t="n">
        <x:f>IF(AND(AE114="Keep",AF114="Valid"),1,0)</x:f>
        <x:v>1</x:v>
      </x:c>
      <x:c r="AH114" s="84" t="n">
        <x:f>IF(AND(AG114=1,OR('Dashboard'!$B$4="All",I114='Dashboard'!$B$4),OR('Dashboard'!$E$4="All",N114='Dashboard'!$E$4),OR('Dashboard'!$H$4="All",K114='Dashboard'!$H$4),OR('Dashboard'!$K$4="All",C114='Dashboard'!$K$4)),1,0)</x:f>
        <x:v>1</x:v>
      </x:c>
      <x:c r="AI114" s="84" t="n">
        <x:f>IF(AND(AG114=1,OR('Dashboard'!$B$4="All",I114='Dashboard'!$B$4),OR('Dashboard'!$E$4="All",N114='Dashboard'!$E$4),OR('Dashboard'!$H$4="All",K114='Dashboard'!$H$4)),1,0)</x:f>
        <x:v>1</x:v>
      </x:c>
    </x:row>
    <x:row r="115">
      <x:c r="A115" s="84" t="str">
        <x:f>'Raw Sales'!A115</x:f>
        <x:v>ORD-2024-00974</x:v>
      </x:c>
      <x:c r="B115" s="85" t="n">
        <x:f>'Raw Sales'!B115</x:f>
        <x:v>45342</x:v>
      </x:c>
      <x:c r="C115" s="84" t="n">
        <x:f>YEAR(B115)</x:f>
        <x:v>2024</x:v>
      </x:c>
      <x:c r="D115" s="91" t="n">
        <x:f>DATE(YEAR(B115),MONTH(B115),1)</x:f>
        <x:v>45323</x:v>
      </x:c>
      <x:c r="E115" s="84" t="str">
        <x:f>TEXT(B115,"mmm")</x:f>
        <x:v>Feb</x:v>
      </x:c>
      <x:c r="F115" s="84" t="str">
        <x:f>'Raw Sales'!C115</x:f>
        <x:v>CUST-0145</x:v>
      </x:c>
      <x:c r="G115" s="84" t="str">
        <x:f>PROPER(TRIM('Raw Sales'!D115))</x:f>
        <x:v>Samuel Adams</x:v>
      </x:c>
      <x:c r="H115" s="84" t="str">
        <x:f>IF(TRIM('Raw Sales'!E115)="","Unknown",PROPER(TRIM('Raw Sales'!E115)))</x:f>
        <x:v>Consumer</x:v>
      </x:c>
      <x:c r="I115" s="84" t="str">
        <x:f>PROPER(TRIM('Raw Sales'!F115))</x:f>
        <x:v>Southeast</x:v>
      </x:c>
      <x:c r="J115" s="84" t="str">
        <x:f>PROPER(TRIM('Raw Sales'!G115))</x:f>
        <x:v>Nashville</x:v>
      </x:c>
      <x:c r="K115" s="84" t="str">
        <x:f>PROPER(TRIM('Raw Sales'!H115))</x:f>
        <x:v>Online</x:v>
      </x:c>
      <x:c r="L115" s="84" t="str">
        <x:f>'Raw Sales'!I115</x:f>
        <x:v>ELEC-006</x:v>
      </x:c>
      <x:c r="M115" s="84" t="str">
        <x:f>IFERROR(VLOOKUP(L115,'Reference Data'!$A$5:$F$40,2,FALSE),"Unknown Product")</x:f>
        <x:v>Portable SSD</x:v>
      </x:c>
      <x:c r="N115" s="84" t="str">
        <x:f>IFERROR(VLOOKUP(L115,'Reference Data'!$A$5:$F$40,3,FALSE),"Unknown")</x:f>
        <x:v>Electronics</x:v>
      </x:c>
      <x:c r="O115" s="84" t="str">
        <x:f>IFERROR(VLOOKUP(L115,'Reference Data'!$A$5:$F$40,4,FALSE),"Unknown")</x:f>
        <x:v>Storage</x:v>
      </x:c>
      <x:c r="P115" s="92" t="n">
        <x:f>IFERROR(VLOOKUP(L115,'Reference Data'!$A$5:$F$40,5,FALSE),0)</x:f>
        <x:v>129</x:v>
      </x:c>
      <x:c r="Q115" s="92" t="n">
        <x:f>IFERROR(VLOOKUP(L115,'Reference Data'!$A$5:$F$40,6,FALSE),0)</x:f>
        <x:v>75</x:v>
      </x:c>
      <x:c r="R115" s="84" t="n">
        <x:f>'Raw Sales'!J115</x:f>
        <x:v>1</x:v>
      </x:c>
      <x:c r="S115" s="87" t="n">
        <x:f>'Raw Sales'!K115</x:f>
        <x:v>0</x:v>
      </x:c>
      <x:c r="T115" s="93" t="n">
        <x:f>P115*R115</x:f>
        <x:v>129</x:v>
      </x:c>
      <x:c r="U115" s="93" t="n">
        <x:f>T115*S115</x:f>
        <x:v>0</x:v>
      </x:c>
      <x:c r="V115" s="93" t="str">
        <x:f>PROPER(TRIM('Raw Sales'!L115))</x:f>
        <x:v>Completed</x:v>
      </x:c>
      <x:c r="W115" s="93" t="n">
        <x:f>IF(V115="Returned",0,T115-U115)</x:f>
        <x:v>129</x:v>
      </x:c>
      <x:c r="X115" s="93" t="n">
        <x:f>IF(V115="Returned",Q115*R115*10%,Q115*R115)</x:f>
        <x:v>75</x:v>
      </x:c>
      <x:c r="Y115" s="93" t="n">
        <x:f>W115-X115</x:f>
        <x:v>54</x:v>
      </x:c>
      <x:c r="Z115" s="94" t="n">
        <x:f>IFERROR(Y115/W115,0)</x:f>
        <x:v>0.4186046511627907</x:v>
      </x:c>
      <x:c r="AA115" s="84" t="str">
        <x:f>PROPER(TRIM('Raw Sales'!M115))</x:f>
        <x:v>Debit Card</x:v>
      </x:c>
      <x:c r="AB115" s="84" t="str">
        <x:f>PROPER(TRIM('Raw Sales'!N115))</x:f>
        <x:v>Liam Parker</x:v>
      </x:c>
      <x:c r="AC115" s="85" t="n">
        <x:f>'Raw Sales'!O115</x:f>
        <x:v>45344</x:v>
      </x:c>
      <x:c r="AD115" s="84" t="n">
        <x:f>AC115-B115</x:f>
        <x:v>2</x:v>
      </x:c>
      <x:c r="AE115" s="84" t="str">
        <x:f>IF(COUNTIF($A$5:A115,A115)&gt;1,"Duplicate","Keep")</x:f>
        <x:v>Keep</x:v>
      </x:c>
      <x:c r="AF115" s="84" t="str">
        <x:f>IF(OR(R115&lt;=0,AC115&lt;B115,H115="Unknown",M115="Unknown Product"),"Review","Valid")</x:f>
        <x:v>Valid</x:v>
      </x:c>
      <x:c r="AG115" s="84" t="n">
        <x:f>IF(AND(AE115="Keep",AF115="Valid"),1,0)</x:f>
        <x:v>1</x:v>
      </x:c>
      <x:c r="AH115" s="84" t="n">
        <x:f>IF(AND(AG115=1,OR('Dashboard'!$B$4="All",I115='Dashboard'!$B$4),OR('Dashboard'!$E$4="All",N115='Dashboard'!$E$4),OR('Dashboard'!$H$4="All",K115='Dashboard'!$H$4),OR('Dashboard'!$K$4="All",C115='Dashboard'!$K$4)),1,0)</x:f>
        <x:v>1</x:v>
      </x:c>
      <x:c r="AI115" s="84" t="n">
        <x:f>IF(AND(AG115=1,OR('Dashboard'!$B$4="All",I115='Dashboard'!$B$4),OR('Dashboard'!$E$4="All",N115='Dashboard'!$E$4),OR('Dashboard'!$H$4="All",K115='Dashboard'!$H$4)),1,0)</x:f>
        <x:v>1</x:v>
      </x:c>
    </x:row>
    <x:row r="116">
      <x:c r="A116" s="84" t="str">
        <x:f>'Raw Sales'!A116</x:f>
        <x:v>ORD-2024-01278</x:v>
      </x:c>
      <x:c r="B116" s="85" t="n">
        <x:f>'Raw Sales'!B116</x:f>
        <x:v>45342</x:v>
      </x:c>
      <x:c r="C116" s="84" t="n">
        <x:f>YEAR(B116)</x:f>
        <x:v>2024</x:v>
      </x:c>
      <x:c r="D116" s="91" t="n">
        <x:f>DATE(YEAR(B116),MONTH(B116),1)</x:f>
        <x:v>45323</x:v>
      </x:c>
      <x:c r="E116" s="84" t="str">
        <x:f>TEXT(B116,"mmm")</x:f>
        <x:v>Feb</x:v>
      </x:c>
      <x:c r="F116" s="84" t="str">
        <x:f>'Raw Sales'!C116</x:f>
        <x:v>CUST-0497</x:v>
      </x:c>
      <x:c r="G116" s="84" t="str">
        <x:f>PROPER(TRIM('Raw Sales'!D116))</x:f>
        <x:v>Theo Foster</x:v>
      </x:c>
      <x:c r="H116" s="84" t="str">
        <x:f>IF(TRIM('Raw Sales'!E116)="","Unknown",PROPER(TRIM('Raw Sales'!E116)))</x:f>
        <x:v>Consumer</x:v>
      </x:c>
      <x:c r="I116" s="84" t="str">
        <x:f>PROPER(TRIM('Raw Sales'!F116))</x:f>
        <x:v>Midwest</x:v>
      </x:c>
      <x:c r="J116" s="84" t="str">
        <x:f>PROPER(TRIM('Raw Sales'!G116))</x:f>
        <x:v>Chicago</x:v>
      </x:c>
      <x:c r="K116" s="84" t="str">
        <x:f>PROPER(TRIM('Raw Sales'!H116))</x:f>
        <x:v>Online</x:v>
      </x:c>
      <x:c r="L116" s="84" t="str">
        <x:f>'Raw Sales'!I116</x:f>
        <x:v>CARE-001</x:v>
      </x:c>
      <x:c r="M116" s="84" t="str">
        <x:f>IFERROR(VLOOKUP(L116,'Reference Data'!$A$5:$F$40,2,FALSE),"Unknown Product")</x:f>
        <x:v>Ionic Hair Dryer</x:v>
      </x:c>
      <x:c r="N116" s="84" t="str">
        <x:f>IFERROR(VLOOKUP(L116,'Reference Data'!$A$5:$F$40,3,FALSE),"Unknown")</x:f>
        <x:v>Personal Care</x:v>
      </x:c>
      <x:c r="O116" s="84" t="str">
        <x:f>IFERROR(VLOOKUP(L116,'Reference Data'!$A$5:$F$40,4,FALSE),"Unknown")</x:f>
        <x:v>Hair Care</x:v>
      </x:c>
      <x:c r="P116" s="92" t="n">
        <x:f>IFERROR(VLOOKUP(L116,'Reference Data'!$A$5:$F$40,5,FALSE),0)</x:f>
        <x:v>54</x:v>
      </x:c>
      <x:c r="Q116" s="92" t="n">
        <x:f>IFERROR(VLOOKUP(L116,'Reference Data'!$A$5:$F$40,6,FALSE),0)</x:f>
        <x:v>25</x:v>
      </x:c>
      <x:c r="R116" s="84" t="n">
        <x:f>'Raw Sales'!J116</x:f>
        <x:v>2</x:v>
      </x:c>
      <x:c r="S116" s="87" t="n">
        <x:f>'Raw Sales'!K116</x:f>
        <x:v>0.1</x:v>
      </x:c>
      <x:c r="T116" s="93" t="n">
        <x:f>P116*R116</x:f>
        <x:v>108</x:v>
      </x:c>
      <x:c r="U116" s="93" t="n">
        <x:f>T116*S116</x:f>
        <x:v>10.8</x:v>
      </x:c>
      <x:c r="V116" s="93" t="str">
        <x:f>PROPER(TRIM('Raw Sales'!L116))</x:f>
        <x:v>Completed</x:v>
      </x:c>
      <x:c r="W116" s="93" t="n">
        <x:f>IF(V116="Returned",0,T116-U116)</x:f>
        <x:v>97.2</x:v>
      </x:c>
      <x:c r="X116" s="93" t="n">
        <x:f>IF(V116="Returned",Q116*R116*10%,Q116*R116)</x:f>
        <x:v>50</x:v>
      </x:c>
      <x:c r="Y116" s="93" t="n">
        <x:f>W116-X116</x:f>
        <x:v>47.2</x:v>
      </x:c>
      <x:c r="Z116" s="94" t="n">
        <x:f>IFERROR(Y116/W116,0)</x:f>
        <x:v>0.48559670781893005</x:v>
      </x:c>
      <x:c r="AA116" s="84" t="str">
        <x:f>PROPER(TRIM('Raw Sales'!M116))</x:f>
        <x:v>Mobile Wallet</x:v>
      </x:c>
      <x:c r="AB116" s="84" t="str">
        <x:f>PROPER(TRIM('Raw Sales'!N116))</x:f>
        <x:v>Lucas Grant</x:v>
      </x:c>
      <x:c r="AC116" s="85" t="n">
        <x:f>'Raw Sales'!O116</x:f>
        <x:v>45346</x:v>
      </x:c>
      <x:c r="AD116" s="84" t="n">
        <x:f>AC116-B116</x:f>
        <x:v>4</x:v>
      </x:c>
      <x:c r="AE116" s="84" t="str">
        <x:f>IF(COUNTIF($A$5:A116,A116)&gt;1,"Duplicate","Keep")</x:f>
        <x:v>Keep</x:v>
      </x:c>
      <x:c r="AF116" s="84" t="str">
        <x:f>IF(OR(R116&lt;=0,AC116&lt;B116,H116="Unknown",M116="Unknown Product"),"Review","Valid")</x:f>
        <x:v>Valid</x:v>
      </x:c>
      <x:c r="AG116" s="84" t="n">
        <x:f>IF(AND(AE116="Keep",AF116="Valid"),1,0)</x:f>
        <x:v>1</x:v>
      </x:c>
      <x:c r="AH116" s="84" t="n">
        <x:f>IF(AND(AG116=1,OR('Dashboard'!$B$4="All",I116='Dashboard'!$B$4),OR('Dashboard'!$E$4="All",N116='Dashboard'!$E$4),OR('Dashboard'!$H$4="All",K116='Dashboard'!$H$4),OR('Dashboard'!$K$4="All",C116='Dashboard'!$K$4)),1,0)</x:f>
        <x:v>1</x:v>
      </x:c>
      <x:c r="AI116" s="84" t="n">
        <x:f>IF(AND(AG116=1,OR('Dashboard'!$B$4="All",I116='Dashboard'!$B$4),OR('Dashboard'!$E$4="All",N116='Dashboard'!$E$4),OR('Dashboard'!$H$4="All",K116='Dashboard'!$H$4)),1,0)</x:f>
        <x:v>1</x:v>
      </x:c>
    </x:row>
    <x:row r="117">
      <x:c r="A117" s="84" t="str">
        <x:f>'Raw Sales'!A117</x:f>
        <x:v>ORD-2024-01839</x:v>
      </x:c>
      <x:c r="B117" s="85" t="n">
        <x:f>'Raw Sales'!B117</x:f>
        <x:v>45342</x:v>
      </x:c>
      <x:c r="C117" s="84" t="n">
        <x:f>YEAR(B117)</x:f>
        <x:v>2024</x:v>
      </x:c>
      <x:c r="D117" s="91" t="n">
        <x:f>DATE(YEAR(B117),MONTH(B117),1)</x:f>
        <x:v>45323</x:v>
      </x:c>
      <x:c r="E117" s="84" t="str">
        <x:f>TEXT(B117,"mmm")</x:f>
        <x:v>Feb</x:v>
      </x:c>
      <x:c r="F117" s="84" t="str">
        <x:f>'Raw Sales'!C117</x:f>
        <x:v>CUST-0517</x:v>
      </x:c>
      <x:c r="G117" s="84" t="str">
        <x:f>PROPER(TRIM('Raw Sales'!D117))</x:f>
        <x:v>Layla Irwin</x:v>
      </x:c>
      <x:c r="H117" s="84" t="str">
        <x:f>IF(TRIM('Raw Sales'!E117)="","Unknown",PROPER(TRIM('Raw Sales'!E117)))</x:f>
        <x:v>Corporate</x:v>
      </x:c>
      <x:c r="I117" s="84" t="str">
        <x:f>PROPER(TRIM('Raw Sales'!F117))</x:f>
        <x:v>Northeast</x:v>
      </x:c>
      <x:c r="J117" s="84" t="str">
        <x:f>PROPER(TRIM('Raw Sales'!G117))</x:f>
        <x:v>Newark</x:v>
      </x:c>
      <x:c r="K117" s="84" t="str">
        <x:f>PROPER(TRIM('Raw Sales'!H117))</x:f>
        <x:v>Online</x:v>
      </x:c>
      <x:c r="L117" s="84" t="str">
        <x:f>'Raw Sales'!I117</x:f>
        <x:v>HOME-001</x:v>
      </x:c>
      <x:c r="M117" s="84" t="str">
        <x:f>IFERROR(VLOOKUP(L117,'Reference Data'!$A$5:$F$40,2,FALSE),"Unknown Product")</x:f>
        <x:v>Air Fryer</x:v>
      </x:c>
      <x:c r="N117" s="84" t="str">
        <x:f>IFERROR(VLOOKUP(L117,'Reference Data'!$A$5:$F$40,3,FALSE),"Unknown")</x:f>
        <x:v>Home &amp; Kitchen</x:v>
      </x:c>
      <x:c r="O117" s="84" t="str">
        <x:f>IFERROR(VLOOKUP(L117,'Reference Data'!$A$5:$F$40,4,FALSE),"Unknown")</x:f>
        <x:v>Small Appliances</x:v>
      </x:c>
      <x:c r="P117" s="92" t="n">
        <x:f>IFERROR(VLOOKUP(L117,'Reference Data'!$A$5:$F$40,5,FALSE),0)</x:f>
        <x:v>119</x:v>
      </x:c>
      <x:c r="Q117" s="92" t="n">
        <x:f>IFERROR(VLOOKUP(L117,'Reference Data'!$A$5:$F$40,6,FALSE),0)</x:f>
        <x:v>68</x:v>
      </x:c>
      <x:c r="R117" s="84" t="n">
        <x:f>'Raw Sales'!J117</x:f>
        <x:v>5</x:v>
      </x:c>
      <x:c r="S117" s="87" t="n">
        <x:f>'Raw Sales'!K117</x:f>
        <x:v>0.1</x:v>
      </x:c>
      <x:c r="T117" s="93" t="n">
        <x:f>P117*R117</x:f>
        <x:v>595</x:v>
      </x:c>
      <x:c r="U117" s="93" t="n">
        <x:f>T117*S117</x:f>
        <x:v>59.5</x:v>
      </x:c>
      <x:c r="V117" s="93" t="str">
        <x:f>PROPER(TRIM('Raw Sales'!L117))</x:f>
        <x:v>Completed</x:v>
      </x:c>
      <x:c r="W117" s="93" t="n">
        <x:f>IF(V117="Returned",0,T117-U117)</x:f>
        <x:v>535.5</x:v>
      </x:c>
      <x:c r="X117" s="93" t="n">
        <x:f>IF(V117="Returned",Q117*R117*10%,Q117*R117)</x:f>
        <x:v>340</x:v>
      </x:c>
      <x:c r="Y117" s="93" t="n">
        <x:f>W117-X117</x:f>
        <x:v>195.5</x:v>
      </x:c>
      <x:c r="Z117" s="94" t="n">
        <x:f>IFERROR(Y117/W117,0)</x:f>
        <x:v>0.36507936507936506</x:v>
      </x:c>
      <x:c r="AA117" s="84" t="str">
        <x:f>PROPER(TRIM('Raw Sales'!M117))</x:f>
        <x:v>Debit Card</x:v>
      </x:c>
      <x:c r="AB117" s="84" t="str">
        <x:f>PROPER(TRIM('Raw Sales'!N117))</x:f>
        <x:v>Ethan Cole</x:v>
      </x:c>
      <x:c r="AC117" s="85" t="n">
        <x:f>'Raw Sales'!O117</x:f>
        <x:v>45345</x:v>
      </x:c>
      <x:c r="AD117" s="84" t="n">
        <x:f>AC117-B117</x:f>
        <x:v>3</x:v>
      </x:c>
      <x:c r="AE117" s="84" t="str">
        <x:f>IF(COUNTIF($A$5:A117,A117)&gt;1,"Duplicate","Keep")</x:f>
        <x:v>Keep</x:v>
      </x:c>
      <x:c r="AF117" s="84" t="str">
        <x:f>IF(OR(R117&lt;=0,AC117&lt;B117,H117="Unknown",M117="Unknown Product"),"Review","Valid")</x:f>
        <x:v>Valid</x:v>
      </x:c>
      <x:c r="AG117" s="84" t="n">
        <x:f>IF(AND(AE117="Keep",AF117="Valid"),1,0)</x:f>
        <x:v>1</x:v>
      </x:c>
      <x:c r="AH117" s="84" t="n">
        <x:f>IF(AND(AG117=1,OR('Dashboard'!$B$4="All",I117='Dashboard'!$B$4),OR('Dashboard'!$E$4="All",N117='Dashboard'!$E$4),OR('Dashboard'!$H$4="All",K117='Dashboard'!$H$4),OR('Dashboard'!$K$4="All",C117='Dashboard'!$K$4)),1,0)</x:f>
        <x:v>1</x:v>
      </x:c>
      <x:c r="AI117" s="84" t="n">
        <x:f>IF(AND(AG117=1,OR('Dashboard'!$B$4="All",I117='Dashboard'!$B$4),OR('Dashboard'!$E$4="All",N117='Dashboard'!$E$4),OR('Dashboard'!$H$4="All",K117='Dashboard'!$H$4)),1,0)</x:f>
        <x:v>1</x:v>
      </x:c>
    </x:row>
    <x:row r="118">
      <x:c r="A118" s="84" t="str">
        <x:f>'Raw Sales'!A118</x:f>
        <x:v>ORD-2024-02125</x:v>
      </x:c>
      <x:c r="B118" s="85" t="n">
        <x:f>'Raw Sales'!B118</x:f>
        <x:v>45342</x:v>
      </x:c>
      <x:c r="C118" s="84" t="n">
        <x:f>YEAR(B118)</x:f>
        <x:v>2024</x:v>
      </x:c>
      <x:c r="D118" s="91" t="n">
        <x:f>DATE(YEAR(B118),MONTH(B118),1)</x:f>
        <x:v>45323</x:v>
      </x:c>
      <x:c r="E118" s="84" t="str">
        <x:f>TEXT(B118,"mmm")</x:f>
        <x:v>Feb</x:v>
      </x:c>
      <x:c r="F118" s="84" t="str">
        <x:f>'Raw Sales'!C118</x:f>
        <x:v>CUST-0476</x:v>
      </x:c>
      <x:c r="G118" s="84" t="str">
        <x:f>PROPER(TRIM('Raw Sales'!D118))</x:f>
        <x:v>Victoria Irwin</x:v>
      </x:c>
      <x:c r="H118" s="84" t="str">
        <x:f>IF(TRIM('Raw Sales'!E118)="","Unknown",PROPER(TRIM('Raw Sales'!E118)))</x:f>
        <x:v>Small Business</x:v>
      </x:c>
      <x:c r="I118" s="84" t="str">
        <x:f>PROPER(TRIM('Raw Sales'!F118))</x:f>
        <x:v>Southeast</x:v>
      </x:c>
      <x:c r="J118" s="84" t="str">
        <x:f>PROPER(TRIM('Raw Sales'!G118))</x:f>
        <x:v>Charlotte</x:v>
      </x:c>
      <x:c r="K118" s="84" t="str">
        <x:f>PROPER(TRIM('Raw Sales'!H118))</x:f>
        <x:v>Online</x:v>
      </x:c>
      <x:c r="L118" s="84" t="str">
        <x:f>'Raw Sales'!I118</x:f>
        <x:v>CARE-001</x:v>
      </x:c>
      <x:c r="M118" s="84" t="str">
        <x:f>IFERROR(VLOOKUP(L118,'Reference Data'!$A$5:$F$40,2,FALSE),"Unknown Product")</x:f>
        <x:v>Ionic Hair Dryer</x:v>
      </x:c>
      <x:c r="N118" s="84" t="str">
        <x:f>IFERROR(VLOOKUP(L118,'Reference Data'!$A$5:$F$40,3,FALSE),"Unknown")</x:f>
        <x:v>Personal Care</x:v>
      </x:c>
      <x:c r="O118" s="84" t="str">
        <x:f>IFERROR(VLOOKUP(L118,'Reference Data'!$A$5:$F$40,4,FALSE),"Unknown")</x:f>
        <x:v>Hair Care</x:v>
      </x:c>
      <x:c r="P118" s="92" t="n">
        <x:f>IFERROR(VLOOKUP(L118,'Reference Data'!$A$5:$F$40,5,FALSE),0)</x:f>
        <x:v>54</x:v>
      </x:c>
      <x:c r="Q118" s="92" t="n">
        <x:f>IFERROR(VLOOKUP(L118,'Reference Data'!$A$5:$F$40,6,FALSE),0)</x:f>
        <x:v>25</x:v>
      </x:c>
      <x:c r="R118" s="84" t="n">
        <x:f>'Raw Sales'!J118</x:f>
        <x:v>1</x:v>
      </x:c>
      <x:c r="S118" s="87" t="n">
        <x:f>'Raw Sales'!K118</x:f>
        <x:v>0.1</x:v>
      </x:c>
      <x:c r="T118" s="93" t="n">
        <x:f>P118*R118</x:f>
        <x:v>54</x:v>
      </x:c>
      <x:c r="U118" s="93" t="n">
        <x:f>T118*S118</x:f>
        <x:v>5.4</x:v>
      </x:c>
      <x:c r="V118" s="93" t="str">
        <x:f>PROPER(TRIM('Raw Sales'!L118))</x:f>
        <x:v>Completed</x:v>
      </x:c>
      <x:c r="W118" s="93" t="n">
        <x:f>IF(V118="Returned",0,T118-U118)</x:f>
        <x:v>48.6</x:v>
      </x:c>
      <x:c r="X118" s="93" t="n">
        <x:f>IF(V118="Returned",Q118*R118*10%,Q118*R118)</x:f>
        <x:v>25</x:v>
      </x:c>
      <x:c r="Y118" s="93" t="n">
        <x:f>W118-X118</x:f>
        <x:v>23.6</x:v>
      </x:c>
      <x:c r="Z118" s="94" t="n">
        <x:f>IFERROR(Y118/W118,0)</x:f>
        <x:v>0.48559670781893005</x:v>
      </x:c>
      <x:c r="AA118" s="84" t="str">
        <x:f>PROPER(TRIM('Raw Sales'!M118))</x:f>
        <x:v>Credit Card</x:v>
      </x:c>
      <x:c r="AB118" s="84" t="str">
        <x:f>PROPER(TRIM('Raw Sales'!N118))</x:f>
        <x:v>Liam Parker</x:v>
      </x:c>
      <x:c r="AC118" s="85" t="n">
        <x:f>'Raw Sales'!O118</x:f>
        <x:v>45348</x:v>
      </x:c>
      <x:c r="AD118" s="84" t="n">
        <x:f>AC118-B118</x:f>
        <x:v>6</x:v>
      </x:c>
      <x:c r="AE118" s="84" t="str">
        <x:f>IF(COUNTIF($A$5:A118,A118)&gt;1,"Duplicate","Keep")</x:f>
        <x:v>Keep</x:v>
      </x:c>
      <x:c r="AF118" s="84" t="str">
        <x:f>IF(OR(R118&lt;=0,AC118&lt;B118,H118="Unknown",M118="Unknown Product"),"Review","Valid")</x:f>
        <x:v>Valid</x:v>
      </x:c>
      <x:c r="AG118" s="84" t="n">
        <x:f>IF(AND(AE118="Keep",AF118="Valid"),1,0)</x:f>
        <x:v>1</x:v>
      </x:c>
      <x:c r="AH118" s="84" t="n">
        <x:f>IF(AND(AG118=1,OR('Dashboard'!$B$4="All",I118='Dashboard'!$B$4),OR('Dashboard'!$E$4="All",N118='Dashboard'!$E$4),OR('Dashboard'!$H$4="All",K118='Dashboard'!$H$4),OR('Dashboard'!$K$4="All",C118='Dashboard'!$K$4)),1,0)</x:f>
        <x:v>1</x:v>
      </x:c>
      <x:c r="AI118" s="84" t="n">
        <x:f>IF(AND(AG118=1,OR('Dashboard'!$B$4="All",I118='Dashboard'!$B$4),OR('Dashboard'!$E$4="All",N118='Dashboard'!$E$4),OR('Dashboard'!$H$4="All",K118='Dashboard'!$H$4)),1,0)</x:f>
        <x:v>1</x:v>
      </x:c>
    </x:row>
    <x:row r="119">
      <x:c r="A119" s="84" t="str">
        <x:f>'Raw Sales'!A119</x:f>
        <x:v>ORD-2024-00377</x:v>
      </x:c>
      <x:c r="B119" s="85" t="n">
        <x:f>'Raw Sales'!B119</x:f>
        <x:v>45344</x:v>
      </x:c>
      <x:c r="C119" s="84" t="n">
        <x:f>YEAR(B119)</x:f>
        <x:v>2024</x:v>
      </x:c>
      <x:c r="D119" s="91" t="n">
        <x:f>DATE(YEAR(B119),MONTH(B119),1)</x:f>
        <x:v>45323</x:v>
      </x:c>
      <x:c r="E119" s="84" t="str">
        <x:f>TEXT(B119,"mmm")</x:f>
        <x:v>Feb</x:v>
      </x:c>
      <x:c r="F119" s="84" t="str">
        <x:f>'Raw Sales'!C119</x:f>
        <x:v>CUST-0126</x:v>
      </x:c>
      <x:c r="G119" s="84" t="str">
        <x:f>PROPER(TRIM('Raw Sales'!D119))</x:f>
        <x:v>Sara Patel</x:v>
      </x:c>
      <x:c r="H119" s="84" t="str">
        <x:f>IF(TRIM('Raw Sales'!E119)="","Unknown",PROPER(TRIM('Raw Sales'!E119)))</x:f>
        <x:v>Consumer</x:v>
      </x:c>
      <x:c r="I119" s="84" t="str">
        <x:f>PROPER(TRIM('Raw Sales'!F119))</x:f>
        <x:v>Southeast</x:v>
      </x:c>
      <x:c r="J119" s="84" t="str">
        <x:f>PROPER(TRIM('Raw Sales'!G119))</x:f>
        <x:v>Nashville</x:v>
      </x:c>
      <x:c r="K119" s="84" t="str">
        <x:f>PROPER(TRIM('Raw Sales'!H119))</x:f>
        <x:v>Online</x:v>
      </x:c>
      <x:c r="L119" s="84" t="str">
        <x:f>'Raw Sales'!I119</x:f>
        <x:v>ELEC-005</x:v>
      </x:c>
      <x:c r="M119" s="84" t="str">
        <x:f>IFERROR(VLOOKUP(L119,'Reference Data'!$A$5:$F$40,2,FALSE),"Unknown Product")</x:f>
        <x:v>HD Webcam</x:v>
      </x:c>
      <x:c r="N119" s="84" t="str">
        <x:f>IFERROR(VLOOKUP(L119,'Reference Data'!$A$5:$F$40,3,FALSE),"Unknown")</x:f>
        <x:v>Electronics</x:v>
      </x:c>
      <x:c r="O119" s="84" t="str">
        <x:f>IFERROR(VLOOKUP(L119,'Reference Data'!$A$5:$F$40,4,FALSE),"Unknown")</x:f>
        <x:v>Computer Accessories</x:v>
      </x:c>
      <x:c r="P119" s="92" t="n">
        <x:f>IFERROR(VLOOKUP(L119,'Reference Data'!$A$5:$F$40,5,FALSE),0)</x:f>
        <x:v>79</x:v>
      </x:c>
      <x:c r="Q119" s="92" t="n">
        <x:f>IFERROR(VLOOKUP(L119,'Reference Data'!$A$5:$F$40,6,FALSE),0)</x:f>
        <x:v>37</x:v>
      </x:c>
      <x:c r="R119" s="84" t="n">
        <x:f>'Raw Sales'!J119</x:f>
        <x:v>3</x:v>
      </x:c>
      <x:c r="S119" s="87" t="n">
        <x:f>'Raw Sales'!K119</x:f>
        <x:v>0.15</x:v>
      </x:c>
      <x:c r="T119" s="93" t="n">
        <x:f>P119*R119</x:f>
        <x:v>237</x:v>
      </x:c>
      <x:c r="U119" s="93" t="n">
        <x:f>T119*S119</x:f>
        <x:v>35.55</x:v>
      </x:c>
      <x:c r="V119" s="93" t="str">
        <x:f>PROPER(TRIM('Raw Sales'!L119))</x:f>
        <x:v>Completed</x:v>
      </x:c>
      <x:c r="W119" s="93" t="n">
        <x:f>IF(V119="Returned",0,T119-U119)</x:f>
        <x:v>201.45</x:v>
      </x:c>
      <x:c r="X119" s="93" t="n">
        <x:f>IF(V119="Returned",Q119*R119*10%,Q119*R119)</x:f>
        <x:v>111</x:v>
      </x:c>
      <x:c r="Y119" s="93" t="n">
        <x:f>W119-X119</x:f>
        <x:v>90.44999999999999</x:v>
      </x:c>
      <x:c r="Z119" s="94" t="n">
        <x:f>IFERROR(Y119/W119,0)</x:f>
        <x:v>0.4489947877885331</x:v>
      </x:c>
      <x:c r="AA119" s="84" t="str">
        <x:f>PROPER(TRIM('Raw Sales'!M119))</x:f>
        <x:v>Paypal</x:v>
      </x:c>
      <x:c r="AB119" s="84" t="str">
        <x:f>PROPER(TRIM('Raw Sales'!N119))</x:f>
        <x:v>Noah Reed</x:v>
      </x:c>
      <x:c r="AC119" s="85" t="n">
        <x:f>'Raw Sales'!O119</x:f>
        <x:v>45346</x:v>
      </x:c>
      <x:c r="AD119" s="84" t="n">
        <x:f>AC119-B119</x:f>
        <x:v>2</x:v>
      </x:c>
      <x:c r="AE119" s="84" t="str">
        <x:f>IF(COUNTIF($A$5:A119,A119)&gt;1,"Duplicate","Keep")</x:f>
        <x:v>Keep</x:v>
      </x:c>
      <x:c r="AF119" s="84" t="str">
        <x:f>IF(OR(R119&lt;=0,AC119&lt;B119,H119="Unknown",M119="Unknown Product"),"Review","Valid")</x:f>
        <x:v>Valid</x:v>
      </x:c>
      <x:c r="AG119" s="84" t="n">
        <x:f>IF(AND(AE119="Keep",AF119="Valid"),1,0)</x:f>
        <x:v>1</x:v>
      </x:c>
      <x:c r="AH119" s="84" t="n">
        <x:f>IF(AND(AG119=1,OR('Dashboard'!$B$4="All",I119='Dashboard'!$B$4),OR('Dashboard'!$E$4="All",N119='Dashboard'!$E$4),OR('Dashboard'!$H$4="All",K119='Dashboard'!$H$4),OR('Dashboard'!$K$4="All",C119='Dashboard'!$K$4)),1,0)</x:f>
        <x:v>1</x:v>
      </x:c>
      <x:c r="AI119" s="84" t="n">
        <x:f>IF(AND(AG119=1,OR('Dashboard'!$B$4="All",I119='Dashboard'!$B$4),OR('Dashboard'!$E$4="All",N119='Dashboard'!$E$4),OR('Dashboard'!$H$4="All",K119='Dashboard'!$H$4)),1,0)</x:f>
        <x:v>1</x:v>
      </x:c>
    </x:row>
    <x:row r="120">
      <x:c r="A120" s="84" t="str">
        <x:f>'Raw Sales'!A120</x:f>
        <x:v>ORD-2024-00545</x:v>
      </x:c>
      <x:c r="B120" s="85" t="n">
        <x:f>'Raw Sales'!B120</x:f>
        <x:v>45344</x:v>
      </x:c>
      <x:c r="C120" s="84" t="n">
        <x:f>YEAR(B120)</x:f>
        <x:v>2024</x:v>
      </x:c>
      <x:c r="D120" s="91" t="n">
        <x:f>DATE(YEAR(B120),MONTH(B120),1)</x:f>
        <x:v>45323</x:v>
      </x:c>
      <x:c r="E120" s="84" t="str">
        <x:f>TEXT(B120,"mmm")</x:f>
        <x:v>Feb</x:v>
      </x:c>
      <x:c r="F120" s="84" t="str">
        <x:f>'Raw Sales'!C120</x:f>
        <x:v>CUST-0229</x:v>
      </x:c>
      <x:c r="G120" s="84" t="str">
        <x:f>PROPER(TRIM('Raw Sales'!D120))</x:f>
        <x:v>Maya Evans</x:v>
      </x:c>
      <x:c r="H120" s="84" t="str">
        <x:f>IF(TRIM('Raw Sales'!E120)="","Unknown",PROPER(TRIM('Raw Sales'!E120)))</x:f>
        <x:v>Small Business</x:v>
      </x:c>
      <x:c r="I120" s="84" t="str">
        <x:f>PROPER(TRIM('Raw Sales'!F120))</x:f>
        <x:v>Southeast</x:v>
      </x:c>
      <x:c r="J120" s="84" t="str">
        <x:f>PROPER(TRIM('Raw Sales'!G120))</x:f>
        <x:v>Miami</x:v>
      </x:c>
      <x:c r="K120" s="84" t="str">
        <x:f>PROPER(TRIM('Raw Sales'!H120))</x:f>
        <x:v>Marketplace</x:v>
      </x:c>
      <x:c r="L120" s="84" t="str">
        <x:f>'Raw Sales'!I120</x:f>
        <x:v>FITN-005</x:v>
      </x:c>
      <x:c r="M120" s="84" t="str">
        <x:f>IFERROR(VLOOKUP(L120,'Reference Data'!$A$5:$F$40,2,FALSE),"Unknown Product")</x:f>
        <x:v>Sports Water Bottle</x:v>
      </x:c>
      <x:c r="N120" s="84" t="str">
        <x:f>IFERROR(VLOOKUP(L120,'Reference Data'!$A$5:$F$40,3,FALSE),"Unknown")</x:f>
        <x:v>Fitness</x:v>
      </x:c>
      <x:c r="O120" s="84" t="str">
        <x:f>IFERROR(VLOOKUP(L120,'Reference Data'!$A$5:$F$40,4,FALSE),"Unknown")</x:f>
        <x:v>Accessories</x:v>
      </x:c>
      <x:c r="P120" s="92" t="n">
        <x:f>IFERROR(VLOOKUP(L120,'Reference Data'!$A$5:$F$40,5,FALSE),0)</x:f>
        <x:v>22</x:v>
      </x:c>
      <x:c r="Q120" s="92" t="n">
        <x:f>IFERROR(VLOOKUP(L120,'Reference Data'!$A$5:$F$40,6,FALSE),0)</x:f>
        <x:v>7</x:v>
      </x:c>
      <x:c r="R120" s="84" t="n">
        <x:f>'Raw Sales'!J120</x:f>
        <x:v>2</x:v>
      </x:c>
      <x:c r="S120" s="87" t="n">
        <x:f>'Raw Sales'!K120</x:f>
        <x:v>0</x:v>
      </x:c>
      <x:c r="T120" s="93" t="n">
        <x:f>P120*R120</x:f>
        <x:v>44</x:v>
      </x:c>
      <x:c r="U120" s="93" t="n">
        <x:f>T120*S120</x:f>
        <x:v>0</x:v>
      </x:c>
      <x:c r="V120" s="93" t="str">
        <x:f>PROPER(TRIM('Raw Sales'!L120))</x:f>
        <x:v>Returned</x:v>
      </x:c>
      <x:c r="W120" s="93" t="n">
        <x:f>IF(V120="Returned",0,T120-U120)</x:f>
        <x:v>0</x:v>
      </x:c>
      <x:c r="X120" s="93" t="n">
        <x:f>IF(V120="Returned",Q120*R120*10%,Q120*R120)</x:f>
        <x:v>1.4000000000000001</x:v>
      </x:c>
      <x:c r="Y120" s="93" t="n">
        <x:f>W120-X120</x:f>
        <x:v>-1.4000000000000001</x:v>
      </x:c>
      <x:c r="Z120" s="94" t="n">
        <x:f>IFERROR(Y120/W120,0)</x:f>
        <x:v>0</x:v>
      </x:c>
      <x:c r="AA120" s="84" t="str">
        <x:f>PROPER(TRIM('Raw Sales'!M120))</x:f>
        <x:v>Credit Card</x:v>
      </x:c>
      <x:c r="AB120" s="84" t="str">
        <x:f>PROPER(TRIM('Raw Sales'!N120))</x:f>
        <x:v>Noah Reed</x:v>
      </x:c>
      <x:c r="AC120" s="85" t="n">
        <x:f>'Raw Sales'!O120</x:f>
        <x:v>45347</x:v>
      </x:c>
      <x:c r="AD120" s="84" t="n">
        <x:f>AC120-B120</x:f>
        <x:v>3</x:v>
      </x:c>
      <x:c r="AE120" s="84" t="str">
        <x:f>IF(COUNTIF($A$5:A120,A120)&gt;1,"Duplicate","Keep")</x:f>
        <x:v>Keep</x:v>
      </x:c>
      <x:c r="AF120" s="84" t="str">
        <x:f>IF(OR(R120&lt;=0,AC120&lt;B120,H120="Unknown",M120="Unknown Product"),"Review","Valid")</x:f>
        <x:v>Valid</x:v>
      </x:c>
      <x:c r="AG120" s="84" t="n">
        <x:f>IF(AND(AE120="Keep",AF120="Valid"),1,0)</x:f>
        <x:v>1</x:v>
      </x:c>
      <x:c r="AH120" s="84" t="n">
        <x:f>IF(AND(AG120=1,OR('Dashboard'!$B$4="All",I120='Dashboard'!$B$4),OR('Dashboard'!$E$4="All",N120='Dashboard'!$E$4),OR('Dashboard'!$H$4="All",K120='Dashboard'!$H$4),OR('Dashboard'!$K$4="All",C120='Dashboard'!$K$4)),1,0)</x:f>
        <x:v>1</x:v>
      </x:c>
      <x:c r="AI120" s="84" t="n">
        <x:f>IF(AND(AG120=1,OR('Dashboard'!$B$4="All",I120='Dashboard'!$B$4),OR('Dashboard'!$E$4="All",N120='Dashboard'!$E$4),OR('Dashboard'!$H$4="All",K120='Dashboard'!$H$4)),1,0)</x:f>
        <x:v>1</x:v>
      </x:c>
    </x:row>
    <x:row r="121">
      <x:c r="A121" s="84" t="str">
        <x:f>'Raw Sales'!A121</x:f>
        <x:v>ORD-2024-02258</x:v>
      </x:c>
      <x:c r="B121" s="85" t="n">
        <x:f>'Raw Sales'!B121</x:f>
        <x:v>45344</x:v>
      </x:c>
      <x:c r="C121" s="84" t="n">
        <x:f>YEAR(B121)</x:f>
        <x:v>2024</x:v>
      </x:c>
      <x:c r="D121" s="91" t="n">
        <x:f>DATE(YEAR(B121),MONTH(B121),1)</x:f>
        <x:v>45323</x:v>
      </x:c>
      <x:c r="E121" s="84" t="str">
        <x:f>TEXT(B121,"mmm")</x:f>
        <x:v>Feb</x:v>
      </x:c>
      <x:c r="F121" s="84" t="str">
        <x:f>'Raw Sales'!C121</x:f>
        <x:v>CUST-0556</x:v>
      </x:c>
      <x:c r="G121" s="84" t="str">
        <x:f>PROPER(TRIM('Raw Sales'!D121))</x:f>
        <x:v>Grace Khan</x:v>
      </x:c>
      <x:c r="H121" s="84" t="str">
        <x:f>IF(TRIM('Raw Sales'!E121)="","Unknown",PROPER(TRIM('Raw Sales'!E121)))</x:f>
        <x:v>Corporate</x:v>
      </x:c>
      <x:c r="I121" s="84" t="str">
        <x:f>PROPER(TRIM('Raw Sales'!F121))</x:f>
        <x:v>West</x:v>
      </x:c>
      <x:c r="J121" s="84" t="str">
        <x:f>PROPER(TRIM('Raw Sales'!G121))</x:f>
        <x:v>Los Angeles</x:v>
      </x:c>
      <x:c r="K121" s="84" t="str">
        <x:f>PROPER(TRIM('Raw Sales'!H121))</x:f>
        <x:v>Retail Store</x:v>
      </x:c>
      <x:c r="L121" s="84" t="str">
        <x:f>'Raw Sales'!I121</x:f>
        <x:v>HOME-004</x:v>
      </x:c>
      <x:c r="M121" s="84" t="str">
        <x:f>IFERROR(VLOOKUP(L121,'Reference Data'!$A$5:$F$40,2,FALSE),"Unknown Product")</x:f>
        <x:v>Coffee Maker</x:v>
      </x:c>
      <x:c r="N121" s="84" t="str">
        <x:f>IFERROR(VLOOKUP(L121,'Reference Data'!$A$5:$F$40,3,FALSE),"Unknown")</x:f>
        <x:v>Home &amp; Kitchen</x:v>
      </x:c>
      <x:c r="O121" s="84" t="str">
        <x:f>IFERROR(VLOOKUP(L121,'Reference Data'!$A$5:$F$40,4,FALSE),"Unknown")</x:f>
        <x:v>Small Appliances</x:v>
      </x:c>
      <x:c r="P121" s="92" t="n">
        <x:f>IFERROR(VLOOKUP(L121,'Reference Data'!$A$5:$F$40,5,FALSE),0)</x:f>
        <x:v>99</x:v>
      </x:c>
      <x:c r="Q121" s="92" t="n">
        <x:f>IFERROR(VLOOKUP(L121,'Reference Data'!$A$5:$F$40,6,FALSE),0)</x:f>
        <x:v>51</x:v>
      </x:c>
      <x:c r="R121" s="84" t="n">
        <x:f>'Raw Sales'!J121</x:f>
        <x:v>8</x:v>
      </x:c>
      <x:c r="S121" s="87" t="n">
        <x:f>'Raw Sales'!K121</x:f>
        <x:v>0.05</x:v>
      </x:c>
      <x:c r="T121" s="93" t="n">
        <x:f>P121*R121</x:f>
        <x:v>792</x:v>
      </x:c>
      <x:c r="U121" s="93" t="n">
        <x:f>T121*S121</x:f>
        <x:v>39.6</x:v>
      </x:c>
      <x:c r="V121" s="93" t="str">
        <x:f>PROPER(TRIM('Raw Sales'!L121))</x:f>
        <x:v>Completed</x:v>
      </x:c>
      <x:c r="W121" s="93" t="n">
        <x:f>IF(V121="Returned",0,T121-U121)</x:f>
        <x:v>752.4</x:v>
      </x:c>
      <x:c r="X121" s="93" t="n">
        <x:f>IF(V121="Returned",Q121*R121*10%,Q121*R121)</x:f>
        <x:v>408</x:v>
      </x:c>
      <x:c r="Y121" s="93" t="n">
        <x:f>W121-X121</x:f>
        <x:v>344.4</x:v>
      </x:c>
      <x:c r="Z121" s="94" t="n">
        <x:f>IFERROR(Y121/W121,0)</x:f>
        <x:v>0.4577352472089314</x:v>
      </x:c>
      <x:c r="AA121" s="84" t="str">
        <x:f>PROPER(TRIM('Raw Sales'!M121))</x:f>
        <x:v>Debit Card</x:v>
      </x:c>
      <x:c r="AB121" s="84" t="str">
        <x:f>PROPER(TRIM('Raw Sales'!N121))</x:f>
        <x:v>Mia Chen</x:v>
      </x:c>
      <x:c r="AC121" s="85" t="n">
        <x:f>'Raw Sales'!O121</x:f>
        <x:v>45344</x:v>
      </x:c>
      <x:c r="AD121" s="84" t="n">
        <x:f>AC121-B121</x:f>
        <x:v>0</x:v>
      </x:c>
      <x:c r="AE121" s="84" t="str">
        <x:f>IF(COUNTIF($A$5:A121,A121)&gt;1,"Duplicate","Keep")</x:f>
        <x:v>Keep</x:v>
      </x:c>
      <x:c r="AF121" s="84" t="str">
        <x:f>IF(OR(R121&lt;=0,AC121&lt;B121,H121="Unknown",M121="Unknown Product"),"Review","Valid")</x:f>
        <x:v>Valid</x:v>
      </x:c>
      <x:c r="AG121" s="84" t="n">
        <x:f>IF(AND(AE121="Keep",AF121="Valid"),1,0)</x:f>
        <x:v>1</x:v>
      </x:c>
      <x:c r="AH121" s="84" t="n">
        <x:f>IF(AND(AG121=1,OR('Dashboard'!$B$4="All",I121='Dashboard'!$B$4),OR('Dashboard'!$E$4="All",N121='Dashboard'!$E$4),OR('Dashboard'!$H$4="All",K121='Dashboard'!$H$4),OR('Dashboard'!$K$4="All",C121='Dashboard'!$K$4)),1,0)</x:f>
        <x:v>1</x:v>
      </x:c>
      <x:c r="AI121" s="84" t="n">
        <x:f>IF(AND(AG121=1,OR('Dashboard'!$B$4="All",I121='Dashboard'!$B$4),OR('Dashboard'!$E$4="All",N121='Dashboard'!$E$4),OR('Dashboard'!$H$4="All",K121='Dashboard'!$H$4)),1,0)</x:f>
        <x:v>1</x:v>
      </x:c>
    </x:row>
    <x:row r="122">
      <x:c r="A122" s="84" t="str">
        <x:f>'Raw Sales'!A122</x:f>
        <x:v>ORD-2024-01606</x:v>
      </x:c>
      <x:c r="B122" s="85" t="n">
        <x:f>'Raw Sales'!B122</x:f>
        <x:v>45345</x:v>
      </x:c>
      <x:c r="C122" s="84" t="n">
        <x:f>YEAR(B122)</x:f>
        <x:v>2024</x:v>
      </x:c>
      <x:c r="D122" s="91" t="n">
        <x:f>DATE(YEAR(B122),MONTH(B122),1)</x:f>
        <x:v>45323</x:v>
      </x:c>
      <x:c r="E122" s="84" t="str">
        <x:f>TEXT(B122,"mmm")</x:f>
        <x:v>Feb</x:v>
      </x:c>
      <x:c r="F122" s="84" t="str">
        <x:f>'Raw Sales'!C122</x:f>
        <x:v>CUST-0165</x:v>
      </x:c>
      <x:c r="G122" s="84" t="str">
        <x:f>PROPER(TRIM('Raw Sales'!D122))</x:f>
        <x:v>Amelia Lewis</x:v>
      </x:c>
      <x:c r="H122" s="84" t="str">
        <x:f>IF(TRIM('Raw Sales'!E122)="","Unknown",PROPER(TRIM('Raw Sales'!E122)))</x:f>
        <x:v>Consumer</x:v>
      </x:c>
      <x:c r="I122" s="84" t="str">
        <x:f>PROPER(TRIM('Raw Sales'!F122))</x:f>
        <x:v>Northeast</x:v>
      </x:c>
      <x:c r="J122" s="84" t="str">
        <x:f>PROPER(TRIM('Raw Sales'!G122))</x:f>
        <x:v>Philadelphia</x:v>
      </x:c>
      <x:c r="K122" s="84" t="str">
        <x:f>PROPER(TRIM('Raw Sales'!H122))</x:f>
        <x:v>Online</x:v>
      </x:c>
      <x:c r="L122" s="84" t="str">
        <x:f>'Raw Sales'!I122</x:f>
        <x:v>ACCS-002</x:v>
      </x:c>
      <x:c r="M122" s="84" t="str">
        <x:f>IFERROR(VLOOKUP(L122,'Reference Data'!$A$5:$F$40,2,FALSE),"Unknown Product")</x:f>
        <x:v>Travel Backpack</x:v>
      </x:c>
      <x:c r="N122" s="84" t="str">
        <x:f>IFERROR(VLOOKUP(L122,'Reference Data'!$A$5:$F$40,3,FALSE),"Unknown")</x:f>
        <x:v>Accessories</x:v>
      </x:c>
      <x:c r="O122" s="84" t="str">
        <x:f>IFERROR(VLOOKUP(L122,'Reference Data'!$A$5:$F$40,4,FALSE),"Unknown")</x:f>
        <x:v>Bags</x:v>
      </x:c>
      <x:c r="P122" s="92" t="n">
        <x:f>IFERROR(VLOOKUP(L122,'Reference Data'!$A$5:$F$40,5,FALSE),0)</x:f>
        <x:v>89</x:v>
      </x:c>
      <x:c r="Q122" s="92" t="n">
        <x:f>IFERROR(VLOOKUP(L122,'Reference Data'!$A$5:$F$40,6,FALSE),0)</x:f>
        <x:v>36</x:v>
      </x:c>
      <x:c r="R122" s="84" t="n">
        <x:f>'Raw Sales'!J122</x:f>
        <x:v>4</x:v>
      </x:c>
      <x:c r="S122" s="87" t="n">
        <x:f>'Raw Sales'!K122</x:f>
        <x:v>0</x:v>
      </x:c>
      <x:c r="T122" s="93" t="n">
        <x:f>P122*R122</x:f>
        <x:v>356</x:v>
      </x:c>
      <x:c r="U122" s="93" t="n">
        <x:f>T122*S122</x:f>
        <x:v>0</x:v>
      </x:c>
      <x:c r="V122" s="93" t="str">
        <x:f>PROPER(TRIM('Raw Sales'!L122))</x:f>
        <x:v>Completed</x:v>
      </x:c>
      <x:c r="W122" s="93" t="n">
        <x:f>IF(V122="Returned",0,T122-U122)</x:f>
        <x:v>356</x:v>
      </x:c>
      <x:c r="X122" s="93" t="n">
        <x:f>IF(V122="Returned",Q122*R122*10%,Q122*R122)</x:f>
        <x:v>144</x:v>
      </x:c>
      <x:c r="Y122" s="93" t="n">
        <x:f>W122-X122</x:f>
        <x:v>212</x:v>
      </x:c>
      <x:c r="Z122" s="94" t="n">
        <x:f>IFERROR(Y122/W122,0)</x:f>
        <x:v>0.5955056179775281</x:v>
      </x:c>
      <x:c r="AA122" s="84" t="str">
        <x:f>PROPER(TRIM('Raw Sales'!M122))</x:f>
        <x:v>Credit Card</x:v>
      </x:c>
      <x:c r="AB122" s="84" t="str">
        <x:f>PROPER(TRIM('Raw Sales'!N122))</x:f>
        <x:v>Ethan Cole</x:v>
      </x:c>
      <x:c r="AC122" s="85" t="n">
        <x:f>'Raw Sales'!O122</x:f>
        <x:v>45349</x:v>
      </x:c>
      <x:c r="AD122" s="84" t="n">
        <x:f>AC122-B122</x:f>
        <x:v>4</x:v>
      </x:c>
      <x:c r="AE122" s="84" t="str">
        <x:f>IF(COUNTIF($A$5:A122,A122)&gt;1,"Duplicate","Keep")</x:f>
        <x:v>Keep</x:v>
      </x:c>
      <x:c r="AF122" s="84" t="str">
        <x:f>IF(OR(R122&lt;=0,AC122&lt;B122,H122="Unknown",M122="Unknown Product"),"Review","Valid")</x:f>
        <x:v>Valid</x:v>
      </x:c>
      <x:c r="AG122" s="84" t="n">
        <x:f>IF(AND(AE122="Keep",AF122="Valid"),1,0)</x:f>
        <x:v>1</x:v>
      </x:c>
      <x:c r="AH122" s="84" t="n">
        <x:f>IF(AND(AG122=1,OR('Dashboard'!$B$4="All",I122='Dashboard'!$B$4),OR('Dashboard'!$E$4="All",N122='Dashboard'!$E$4),OR('Dashboard'!$H$4="All",K122='Dashboard'!$H$4),OR('Dashboard'!$K$4="All",C122='Dashboard'!$K$4)),1,0)</x:f>
        <x:v>1</x:v>
      </x:c>
      <x:c r="AI122" s="84" t="n">
        <x:f>IF(AND(AG122=1,OR('Dashboard'!$B$4="All",I122='Dashboard'!$B$4),OR('Dashboard'!$E$4="All",N122='Dashboard'!$E$4),OR('Dashboard'!$H$4="All",K122='Dashboard'!$H$4)),1,0)</x:f>
        <x:v>1</x:v>
      </x:c>
    </x:row>
    <x:row r="123">
      <x:c r="A123" s="84" t="str">
        <x:f>'Raw Sales'!A123</x:f>
        <x:v>ORD-2024-02375</x:v>
      </x:c>
      <x:c r="B123" s="85" t="n">
        <x:f>'Raw Sales'!B123</x:f>
        <x:v>45345</x:v>
      </x:c>
      <x:c r="C123" s="84" t="n">
        <x:f>YEAR(B123)</x:f>
        <x:v>2024</x:v>
      </x:c>
      <x:c r="D123" s="91" t="n">
        <x:f>DATE(YEAR(B123),MONTH(B123),1)</x:f>
        <x:v>45323</x:v>
      </x:c>
      <x:c r="E123" s="84" t="str">
        <x:f>TEXT(B123,"mmm")</x:f>
        <x:v>Feb</x:v>
      </x:c>
      <x:c r="F123" s="84" t="str">
        <x:f>'Raw Sales'!C123</x:f>
        <x:v>CUST-0570</x:v>
      </x:c>
      <x:c r="G123" s="84" t="str">
        <x:f>PROPER(TRIM('Raw Sales'!D123))</x:f>
        <x:v>Daniel Patel</x:v>
      </x:c>
      <x:c r="H123" s="84" t="str">
        <x:f>IF(TRIM('Raw Sales'!E123)="","Unknown",PROPER(TRIM('Raw Sales'!E123)))</x:f>
        <x:v>Consumer</x:v>
      </x:c>
      <x:c r="I123" s="84" t="str">
        <x:f>PROPER(TRIM('Raw Sales'!F123))</x:f>
        <x:v>Southeast</x:v>
      </x:c>
      <x:c r="J123" s="84" t="str">
        <x:f>PROPER(TRIM('Raw Sales'!G123))</x:f>
        <x:v>Charlotte</x:v>
      </x:c>
      <x:c r="K123" s="84" t="str">
        <x:f>PROPER(TRIM('Raw Sales'!H123))</x:f>
        <x:v>Retail Store</x:v>
      </x:c>
      <x:c r="L123" s="84" t="str">
        <x:f>'Raw Sales'!I123</x:f>
        <x:v>HOME-006</x:v>
      </x:c>
      <x:c r="M123" s="84" t="str">
        <x:f>IFERROR(VLOOKUP(L123,'Reference Data'!$A$5:$F$40,2,FALSE),"Unknown Product")</x:f>
        <x:v>Food Storage Set</x:v>
      </x:c>
      <x:c r="N123" s="84" t="str">
        <x:f>IFERROR(VLOOKUP(L123,'Reference Data'!$A$5:$F$40,3,FALSE),"Unknown")</x:f>
        <x:v>Home &amp; Kitchen</x:v>
      </x:c>
      <x:c r="O123" s="84" t="str">
        <x:f>IFERROR(VLOOKUP(L123,'Reference Data'!$A$5:$F$40,4,FALSE),"Unknown")</x:f>
        <x:v>Kitchenware</x:v>
      </x:c>
      <x:c r="P123" s="92" t="n">
        <x:f>IFERROR(VLOOKUP(L123,'Reference Data'!$A$5:$F$40,5,FALSE),0)</x:f>
        <x:v>34</x:v>
      </x:c>
      <x:c r="Q123" s="92" t="n">
        <x:f>IFERROR(VLOOKUP(L123,'Reference Data'!$A$5:$F$40,6,FALSE),0)</x:f>
        <x:v>15</x:v>
      </x:c>
      <x:c r="R123" s="84" t="n">
        <x:f>'Raw Sales'!J123</x:f>
        <x:v>1</x:v>
      </x:c>
      <x:c r="S123" s="87" t="n">
        <x:f>'Raw Sales'!K123</x:f>
        <x:v>0.05</x:v>
      </x:c>
      <x:c r="T123" s="93" t="n">
        <x:f>P123*R123</x:f>
        <x:v>34</x:v>
      </x:c>
      <x:c r="U123" s="93" t="n">
        <x:f>T123*S123</x:f>
        <x:v>1.7000000000000002</x:v>
      </x:c>
      <x:c r="V123" s="93" t="str">
        <x:f>PROPER(TRIM('Raw Sales'!L123))</x:f>
        <x:v>Completed</x:v>
      </x:c>
      <x:c r="W123" s="93" t="n">
        <x:f>IF(V123="Returned",0,T123-U123)</x:f>
        <x:v>32.3</x:v>
      </x:c>
      <x:c r="X123" s="93" t="n">
        <x:f>IF(V123="Returned",Q123*R123*10%,Q123*R123)</x:f>
        <x:v>15</x:v>
      </x:c>
      <x:c r="Y123" s="93" t="n">
        <x:f>W123-X123</x:f>
        <x:v>17.299999999999997</x:v>
      </x:c>
      <x:c r="Z123" s="94" t="n">
        <x:f>IFERROR(Y123/W123,0)</x:f>
        <x:v>0.5356037151702786</x:v>
      </x:c>
      <x:c r="AA123" s="84" t="str">
        <x:f>PROPER(TRIM('Raw Sales'!M123))</x:f>
        <x:v>Debit Card</x:v>
      </x:c>
      <x:c r="AB123" s="84" t="str">
        <x:f>PROPER(TRIM('Raw Sales'!N123))</x:f>
        <x:v>Ava Mitchell</x:v>
      </x:c>
      <x:c r="AC123" s="85" t="n">
        <x:f>'Raw Sales'!O123</x:f>
        <x:v>45345</x:v>
      </x:c>
      <x:c r="AD123" s="84" t="n">
        <x:f>AC123-B123</x:f>
        <x:v>0</x:v>
      </x:c>
      <x:c r="AE123" s="84" t="str">
        <x:f>IF(COUNTIF($A$5:A123,A123)&gt;1,"Duplicate","Keep")</x:f>
        <x:v>Keep</x:v>
      </x:c>
      <x:c r="AF123" s="84" t="str">
        <x:f>IF(OR(R123&lt;=0,AC123&lt;B123,H123="Unknown",M123="Unknown Product"),"Review","Valid")</x:f>
        <x:v>Valid</x:v>
      </x:c>
      <x:c r="AG123" s="84" t="n">
        <x:f>IF(AND(AE123="Keep",AF123="Valid"),1,0)</x:f>
        <x:v>1</x:v>
      </x:c>
      <x:c r="AH123" s="84" t="n">
        <x:f>IF(AND(AG123=1,OR('Dashboard'!$B$4="All",I123='Dashboard'!$B$4),OR('Dashboard'!$E$4="All",N123='Dashboard'!$E$4),OR('Dashboard'!$H$4="All",K123='Dashboard'!$H$4),OR('Dashboard'!$K$4="All",C123='Dashboard'!$K$4)),1,0)</x:f>
        <x:v>1</x:v>
      </x:c>
      <x:c r="AI123" s="84" t="n">
        <x:f>IF(AND(AG123=1,OR('Dashboard'!$B$4="All",I123='Dashboard'!$B$4),OR('Dashboard'!$E$4="All",N123='Dashboard'!$E$4),OR('Dashboard'!$H$4="All",K123='Dashboard'!$H$4)),1,0)</x:f>
        <x:v>1</x:v>
      </x:c>
    </x:row>
    <x:row r="124">
      <x:c r="A124" s="84" t="str">
        <x:f>'Raw Sales'!A124</x:f>
        <x:v>ORD-2024-02375</x:v>
      </x:c>
      <x:c r="B124" s="85" t="n">
        <x:f>'Raw Sales'!B124</x:f>
        <x:v>45345</x:v>
      </x:c>
      <x:c r="C124" s="84" t="n">
        <x:f>YEAR(B124)</x:f>
        <x:v>2024</x:v>
      </x:c>
      <x:c r="D124" s="91" t="n">
        <x:f>DATE(YEAR(B124),MONTH(B124),1)</x:f>
        <x:v>45323</x:v>
      </x:c>
      <x:c r="E124" s="84" t="str">
        <x:f>TEXT(B124,"mmm")</x:f>
        <x:v>Feb</x:v>
      </x:c>
      <x:c r="F124" s="84" t="str">
        <x:f>'Raw Sales'!C124</x:f>
        <x:v>CUST-0570</x:v>
      </x:c>
      <x:c r="G124" s="84" t="str">
        <x:f>PROPER(TRIM('Raw Sales'!D124))</x:f>
        <x:v>Daniel Patel</x:v>
      </x:c>
      <x:c r="H124" s="84" t="str">
        <x:f>IF(TRIM('Raw Sales'!E124)="","Unknown",PROPER(TRIM('Raw Sales'!E124)))</x:f>
        <x:v>Consumer</x:v>
      </x:c>
      <x:c r="I124" s="84" t="str">
        <x:f>PROPER(TRIM('Raw Sales'!F124))</x:f>
        <x:v>Southeast</x:v>
      </x:c>
      <x:c r="J124" s="84" t="str">
        <x:f>PROPER(TRIM('Raw Sales'!G124))</x:f>
        <x:v>Charlotte</x:v>
      </x:c>
      <x:c r="K124" s="84" t="str">
        <x:f>PROPER(TRIM('Raw Sales'!H124))</x:f>
        <x:v>Retail Store</x:v>
      </x:c>
      <x:c r="L124" s="84" t="str">
        <x:f>'Raw Sales'!I124</x:f>
        <x:v>HOME-006</x:v>
      </x:c>
      <x:c r="M124" s="84" t="str">
        <x:f>IFERROR(VLOOKUP(L124,'Reference Data'!$A$5:$F$40,2,FALSE),"Unknown Product")</x:f>
        <x:v>Food Storage Set</x:v>
      </x:c>
      <x:c r="N124" s="84" t="str">
        <x:f>IFERROR(VLOOKUP(L124,'Reference Data'!$A$5:$F$40,3,FALSE),"Unknown")</x:f>
        <x:v>Home &amp; Kitchen</x:v>
      </x:c>
      <x:c r="O124" s="84" t="str">
        <x:f>IFERROR(VLOOKUP(L124,'Reference Data'!$A$5:$F$40,4,FALSE),"Unknown")</x:f>
        <x:v>Kitchenware</x:v>
      </x:c>
      <x:c r="P124" s="92" t="n">
        <x:f>IFERROR(VLOOKUP(L124,'Reference Data'!$A$5:$F$40,5,FALSE),0)</x:f>
        <x:v>34</x:v>
      </x:c>
      <x:c r="Q124" s="92" t="n">
        <x:f>IFERROR(VLOOKUP(L124,'Reference Data'!$A$5:$F$40,6,FALSE),0)</x:f>
        <x:v>15</x:v>
      </x:c>
      <x:c r="R124" s="84" t="n">
        <x:f>'Raw Sales'!J124</x:f>
        <x:v>1</x:v>
      </x:c>
      <x:c r="S124" s="87" t="n">
        <x:f>'Raw Sales'!K124</x:f>
        <x:v>0.05</x:v>
      </x:c>
      <x:c r="T124" s="93" t="n">
        <x:f>P124*R124</x:f>
        <x:v>34</x:v>
      </x:c>
      <x:c r="U124" s="93" t="n">
        <x:f>T124*S124</x:f>
        <x:v>1.7000000000000002</x:v>
      </x:c>
      <x:c r="V124" s="93" t="str">
        <x:f>PROPER(TRIM('Raw Sales'!L124))</x:f>
        <x:v>Completed</x:v>
      </x:c>
      <x:c r="W124" s="93" t="n">
        <x:f>IF(V124="Returned",0,T124-U124)</x:f>
        <x:v>32.3</x:v>
      </x:c>
      <x:c r="X124" s="93" t="n">
        <x:f>IF(V124="Returned",Q124*R124*10%,Q124*R124)</x:f>
        <x:v>15</x:v>
      </x:c>
      <x:c r="Y124" s="93" t="n">
        <x:f>W124-X124</x:f>
        <x:v>17.299999999999997</x:v>
      </x:c>
      <x:c r="Z124" s="94" t="n">
        <x:f>IFERROR(Y124/W124,0)</x:f>
        <x:v>0.5356037151702786</x:v>
      </x:c>
      <x:c r="AA124" s="84" t="str">
        <x:f>PROPER(TRIM('Raw Sales'!M124))</x:f>
        <x:v>Debit Card</x:v>
      </x:c>
      <x:c r="AB124" s="84" t="str">
        <x:f>PROPER(TRIM('Raw Sales'!N124))</x:f>
        <x:v>Ava Mitchell</x:v>
      </x:c>
      <x:c r="AC124" s="85" t="n">
        <x:f>'Raw Sales'!O124</x:f>
        <x:v>45345</x:v>
      </x:c>
      <x:c r="AD124" s="84" t="n">
        <x:f>AC124-B124</x:f>
        <x:v>0</x:v>
      </x:c>
      <x:c r="AE124" s="84" t="str">
        <x:f>IF(COUNTIF($A$5:A124,A124)&gt;1,"Duplicate","Keep")</x:f>
        <x:v>Duplicate</x:v>
      </x:c>
      <x:c r="AF124" s="84" t="str">
        <x:f>IF(OR(R124&lt;=0,AC124&lt;B124,H124="Unknown",M124="Unknown Product"),"Review","Valid")</x:f>
        <x:v>Valid</x:v>
      </x:c>
      <x:c r="AG124" s="84" t="n">
        <x:f>IF(AND(AE124="Keep",AF124="Valid"),1,0)</x:f>
        <x:v>0</x:v>
      </x:c>
      <x:c r="AH124" s="84" t="n">
        <x:f>IF(AND(AG124=1,OR('Dashboard'!$B$4="All",I124='Dashboard'!$B$4),OR('Dashboard'!$E$4="All",N124='Dashboard'!$E$4),OR('Dashboard'!$H$4="All",K124='Dashboard'!$H$4),OR('Dashboard'!$K$4="All",C124='Dashboard'!$K$4)),1,0)</x:f>
        <x:v>0</x:v>
      </x:c>
      <x:c r="AI124" s="84" t="n">
        <x:f>IF(AND(AG124=1,OR('Dashboard'!$B$4="All",I124='Dashboard'!$B$4),OR('Dashboard'!$E$4="All",N124='Dashboard'!$E$4),OR('Dashboard'!$H$4="All",K124='Dashboard'!$H$4)),1,0)</x:f>
        <x:v>0</x:v>
      </x:c>
    </x:row>
    <x:row r="125">
      <x:c r="A125" s="84" t="str">
        <x:f>'Raw Sales'!A125</x:f>
        <x:v>ORD-2024-01153</x:v>
      </x:c>
      <x:c r="B125" s="85" t="n">
        <x:f>'Raw Sales'!B125</x:f>
        <x:v>45346</x:v>
      </x:c>
      <x:c r="C125" s="84" t="n">
        <x:f>YEAR(B125)</x:f>
        <x:v>2024</x:v>
      </x:c>
      <x:c r="D125" s="91" t="n">
        <x:f>DATE(YEAR(B125),MONTH(B125),1)</x:f>
        <x:v>45323</x:v>
      </x:c>
      <x:c r="E125" s="84" t="str">
        <x:f>TEXT(B125,"mmm")</x:f>
        <x:v>Feb</x:v>
      </x:c>
      <x:c r="F125" s="84" t="str">
        <x:f>'Raw Sales'!C125</x:f>
        <x:v>CUST-0008</x:v>
      </x:c>
      <x:c r="G125" s="84" t="str">
        <x:f>PROPER(TRIM('Raw Sales'!D125))</x:f>
        <x:v>Nathan Foster</x:v>
      </x:c>
      <x:c r="H125" s="84" t="str">
        <x:f>IF(TRIM('Raw Sales'!E125)="","Unknown",PROPER(TRIM('Raw Sales'!E125)))</x:f>
        <x:v>Consumer</x:v>
      </x:c>
      <x:c r="I125" s="84" t="str">
        <x:f>PROPER(TRIM('Raw Sales'!F125))</x:f>
        <x:v>West</x:v>
      </x:c>
      <x:c r="J125" s="84" t="str">
        <x:f>PROPER(TRIM('Raw Sales'!G125))</x:f>
        <x:v>Denver</x:v>
      </x:c>
      <x:c r="K125" s="84" t="str">
        <x:f>PROPER(TRIM('Raw Sales'!H125))</x:f>
        <x:v>Retail Store</x:v>
      </x:c>
      <x:c r="L125" s="84" t="str">
        <x:f>'Raw Sales'!I125</x:f>
        <x:v>FITN-006</x:v>
      </x:c>
      <x:c r="M125" s="84" t="str">
        <x:f>IFERROR(VLOOKUP(L125,'Reference Data'!$A$5:$F$40,2,FALSE),"Unknown Product")</x:f>
        <x:v>Foam Roller</x:v>
      </x:c>
      <x:c r="N125" s="84" t="str">
        <x:f>IFERROR(VLOOKUP(L125,'Reference Data'!$A$5:$F$40,3,FALSE),"Unknown")</x:f>
        <x:v>Fitness</x:v>
      </x:c>
      <x:c r="O125" s="84" t="str">
        <x:f>IFERROR(VLOOKUP(L125,'Reference Data'!$A$5:$F$40,4,FALSE),"Unknown")</x:f>
        <x:v>Recovery</x:v>
      </x:c>
      <x:c r="P125" s="92" t="n">
        <x:f>IFERROR(VLOOKUP(L125,'Reference Data'!$A$5:$F$40,5,FALSE),0)</x:f>
        <x:v>31</x:v>
      </x:c>
      <x:c r="Q125" s="92" t="n">
        <x:f>IFERROR(VLOOKUP(L125,'Reference Data'!$A$5:$F$40,6,FALSE),0)</x:f>
        <x:v>12</x:v>
      </x:c>
      <x:c r="R125" s="84" t="n">
        <x:f>'Raw Sales'!J125</x:f>
        <x:v>1</x:v>
      </x:c>
      <x:c r="S125" s="87" t="n">
        <x:f>'Raw Sales'!K125</x:f>
        <x:v>0.1</x:v>
      </x:c>
      <x:c r="T125" s="93" t="n">
        <x:f>P125*R125</x:f>
        <x:v>31</x:v>
      </x:c>
      <x:c r="U125" s="93" t="n">
        <x:f>T125*S125</x:f>
        <x:v>3.1</x:v>
      </x:c>
      <x:c r="V125" s="93" t="str">
        <x:f>PROPER(TRIM('Raw Sales'!L125))</x:f>
        <x:v>Completed</x:v>
      </x:c>
      <x:c r="W125" s="93" t="n">
        <x:f>IF(V125="Returned",0,T125-U125)</x:f>
        <x:v>27.9</x:v>
      </x:c>
      <x:c r="X125" s="93" t="n">
        <x:f>IF(V125="Returned",Q125*R125*10%,Q125*R125)</x:f>
        <x:v>12</x:v>
      </x:c>
      <x:c r="Y125" s="93" t="n">
        <x:f>W125-X125</x:f>
        <x:v>15.899999999999999</x:v>
      </x:c>
      <x:c r="Z125" s="94" t="n">
        <x:f>IFERROR(Y125/W125,0)</x:f>
        <x:v>0.5698924731182795</x:v>
      </x:c>
      <x:c r="AA125" s="84" t="str">
        <x:f>PROPER(TRIM('Raw Sales'!M125))</x:f>
        <x:v>Credit Card</x:v>
      </x:c>
      <x:c r="AB125" s="84" t="str">
        <x:f>PROPER(TRIM('Raw Sales'!N125))</x:f>
        <x:v>Mia Chen</x:v>
      </x:c>
      <x:c r="AC125" s="85" t="n">
        <x:f>'Raw Sales'!O125</x:f>
        <x:v>45347</x:v>
      </x:c>
      <x:c r="AD125" s="84" t="n">
        <x:f>AC125-B125</x:f>
        <x:v>1</x:v>
      </x:c>
      <x:c r="AE125" s="84" t="str">
        <x:f>IF(COUNTIF($A$5:A125,A125)&gt;1,"Duplicate","Keep")</x:f>
        <x:v>Keep</x:v>
      </x:c>
      <x:c r="AF125" s="84" t="str">
        <x:f>IF(OR(R125&lt;=0,AC125&lt;B125,H125="Unknown",M125="Unknown Product"),"Review","Valid")</x:f>
        <x:v>Valid</x:v>
      </x:c>
      <x:c r="AG125" s="84" t="n">
        <x:f>IF(AND(AE125="Keep",AF125="Valid"),1,0)</x:f>
        <x:v>1</x:v>
      </x:c>
      <x:c r="AH125" s="84" t="n">
        <x:f>IF(AND(AG125=1,OR('Dashboard'!$B$4="All",I125='Dashboard'!$B$4),OR('Dashboard'!$E$4="All",N125='Dashboard'!$E$4),OR('Dashboard'!$H$4="All",K125='Dashboard'!$H$4),OR('Dashboard'!$K$4="All",C125='Dashboard'!$K$4)),1,0)</x:f>
        <x:v>1</x:v>
      </x:c>
      <x:c r="AI125" s="84" t="n">
        <x:f>IF(AND(AG125=1,OR('Dashboard'!$B$4="All",I125='Dashboard'!$B$4),OR('Dashboard'!$E$4="All",N125='Dashboard'!$E$4),OR('Dashboard'!$H$4="All",K125='Dashboard'!$H$4)),1,0)</x:f>
        <x:v>1</x:v>
      </x:c>
    </x:row>
    <x:row r="126">
      <x:c r="A126" s="84" t="str">
        <x:f>'Raw Sales'!A126</x:f>
        <x:v>ORD-2024-02372</x:v>
      </x:c>
      <x:c r="B126" s="85" t="n">
        <x:f>'Raw Sales'!B126</x:f>
        <x:v>45346</x:v>
      </x:c>
      <x:c r="C126" s="84" t="n">
        <x:f>YEAR(B126)</x:f>
        <x:v>2024</x:v>
      </x:c>
      <x:c r="D126" s="91" t="n">
        <x:f>DATE(YEAR(B126),MONTH(B126),1)</x:f>
        <x:v>45323</x:v>
      </x:c>
      <x:c r="E126" s="84" t="str">
        <x:f>TEXT(B126,"mmm")</x:f>
        <x:v>Feb</x:v>
      </x:c>
      <x:c r="F126" s="84" t="str">
        <x:f>'Raw Sales'!C126</x:f>
        <x:v>CUST-0167</x:v>
      </x:c>
      <x:c r="G126" s="84" t="str">
        <x:f>PROPER(TRIM('Raw Sales'!D126))</x:f>
        <x:v>Nathan Taylor</x:v>
      </x:c>
      <x:c r="H126" s="84" t="str">
        <x:f>IF(TRIM('Raw Sales'!E126)="","Unknown",PROPER(TRIM('Raw Sales'!E126)))</x:f>
        <x:v>Corporate</x:v>
      </x:c>
      <x:c r="I126" s="84" t="str">
        <x:f>PROPER(TRIM('Raw Sales'!F126))</x:f>
        <x:v>Northeast</x:v>
      </x:c>
      <x:c r="J126" s="84" t="str">
        <x:f>PROPER(TRIM('Raw Sales'!G126))</x:f>
        <x:v>New York</x:v>
      </x:c>
      <x:c r="K126" s="84" t="str">
        <x:f>PROPER(TRIM('Raw Sales'!H126))</x:f>
        <x:v>Retail Store</x:v>
      </x:c>
      <x:c r="L126" s="84" t="str">
        <x:f>'Raw Sales'!I126</x:f>
        <x:v>FITN-001</x:v>
      </x:c>
      <x:c r="M126" s="84" t="str">
        <x:f>IFERROR(VLOOKUP(L126,'Reference Data'!$A$5:$F$40,2,FALSE),"Unknown Product")</x:f>
        <x:v>Yoga Mat</x:v>
      </x:c>
      <x:c r="N126" s="84" t="str">
        <x:f>IFERROR(VLOOKUP(L126,'Reference Data'!$A$5:$F$40,3,FALSE),"Unknown")</x:f>
        <x:v>Fitness</x:v>
      </x:c>
      <x:c r="O126" s="84" t="str">
        <x:f>IFERROR(VLOOKUP(L126,'Reference Data'!$A$5:$F$40,4,FALSE),"Unknown")</x:f>
        <x:v>Yoga</x:v>
      </x:c>
      <x:c r="P126" s="92" t="n">
        <x:f>IFERROR(VLOOKUP(L126,'Reference Data'!$A$5:$F$40,5,FALSE),0)</x:f>
        <x:v>35</x:v>
      </x:c>
      <x:c r="Q126" s="92" t="n">
        <x:f>IFERROR(VLOOKUP(L126,'Reference Data'!$A$5:$F$40,6,FALSE),0)</x:f>
        <x:v>13</x:v>
      </x:c>
      <x:c r="R126" s="84" t="n">
        <x:f>'Raw Sales'!J126</x:f>
        <x:v>4</x:v>
      </x:c>
      <x:c r="S126" s="87" t="n">
        <x:f>'Raw Sales'!K126</x:f>
        <x:v>0</x:v>
      </x:c>
      <x:c r="T126" s="93" t="n">
        <x:f>P126*R126</x:f>
        <x:v>140</x:v>
      </x:c>
      <x:c r="U126" s="93" t="n">
        <x:f>T126*S126</x:f>
        <x:v>0</x:v>
      </x:c>
      <x:c r="V126" s="93" t="str">
        <x:f>PROPER(TRIM('Raw Sales'!L126))</x:f>
        <x:v>Completed</x:v>
      </x:c>
      <x:c r="W126" s="93" t="n">
        <x:f>IF(V126="Returned",0,T126-U126)</x:f>
        <x:v>140</x:v>
      </x:c>
      <x:c r="X126" s="93" t="n">
        <x:f>IF(V126="Returned",Q126*R126*10%,Q126*R126)</x:f>
        <x:v>52</x:v>
      </x:c>
      <x:c r="Y126" s="93" t="n">
        <x:f>W126-X126</x:f>
        <x:v>88</x:v>
      </x:c>
      <x:c r="Z126" s="94" t="n">
        <x:f>IFERROR(Y126/W126,0)</x:f>
        <x:v>0.6285714285714286</x:v>
      </x:c>
      <x:c r="AA126" s="84" t="str">
        <x:f>PROPER(TRIM('Raw Sales'!M126))</x:f>
        <x:v>Debit Card</x:v>
      </x:c>
      <x:c r="AB126" s="84" t="str">
        <x:f>PROPER(TRIM('Raw Sales'!N126))</x:f>
        <x:v>Maya Brooks</x:v>
      </x:c>
      <x:c r="AC126" s="85" t="n">
        <x:f>'Raw Sales'!O126</x:f>
        <x:v>45346</x:v>
      </x:c>
      <x:c r="AD126" s="84" t="n">
        <x:f>AC126-B126</x:f>
        <x:v>0</x:v>
      </x:c>
      <x:c r="AE126" s="84" t="str">
        <x:f>IF(COUNTIF($A$5:A126,A126)&gt;1,"Duplicate","Keep")</x:f>
        <x:v>Keep</x:v>
      </x:c>
      <x:c r="AF126" s="84" t="str">
        <x:f>IF(OR(R126&lt;=0,AC126&lt;B126,H126="Unknown",M126="Unknown Product"),"Review","Valid")</x:f>
        <x:v>Valid</x:v>
      </x:c>
      <x:c r="AG126" s="84" t="n">
        <x:f>IF(AND(AE126="Keep",AF126="Valid"),1,0)</x:f>
        <x:v>1</x:v>
      </x:c>
      <x:c r="AH126" s="84" t="n">
        <x:f>IF(AND(AG126=1,OR('Dashboard'!$B$4="All",I126='Dashboard'!$B$4),OR('Dashboard'!$E$4="All",N126='Dashboard'!$E$4),OR('Dashboard'!$H$4="All",K126='Dashboard'!$H$4),OR('Dashboard'!$K$4="All",C126='Dashboard'!$K$4)),1,0)</x:f>
        <x:v>1</x:v>
      </x:c>
      <x:c r="AI126" s="84" t="n">
        <x:f>IF(AND(AG126=1,OR('Dashboard'!$B$4="All",I126='Dashboard'!$B$4),OR('Dashboard'!$E$4="All",N126='Dashboard'!$E$4),OR('Dashboard'!$H$4="All",K126='Dashboard'!$H$4)),1,0)</x:f>
        <x:v>1</x:v>
      </x:c>
    </x:row>
    <x:row r="127">
      <x:c r="A127" s="84" t="str">
        <x:f>'Raw Sales'!A127</x:f>
        <x:v>ORD-2024-01503</x:v>
      </x:c>
      <x:c r="B127" s="85" t="n">
        <x:f>'Raw Sales'!B127</x:f>
        <x:v>45347</x:v>
      </x:c>
      <x:c r="C127" s="84" t="n">
        <x:f>YEAR(B127)</x:f>
        <x:v>2024</x:v>
      </x:c>
      <x:c r="D127" s="91" t="n">
        <x:f>DATE(YEAR(B127),MONTH(B127),1)</x:f>
        <x:v>45323</x:v>
      </x:c>
      <x:c r="E127" s="84" t="str">
        <x:f>TEXT(B127,"mmm")</x:f>
        <x:v>Feb</x:v>
      </x:c>
      <x:c r="F127" s="84" t="str">
        <x:f>'Raw Sales'!C127</x:f>
        <x:v>CUST-0402</x:v>
      </x:c>
      <x:c r="G127" s="84" t="str">
        <x:f>PROPER(TRIM('Raw Sales'!D127))</x:f>
        <x:v>Zara Carter</x:v>
      </x:c>
      <x:c r="H127" s="84" t="str">
        <x:f>IF(TRIM('Raw Sales'!E127)="","Unknown",PROPER(TRIM('Raw Sales'!E127)))</x:f>
        <x:v>Small Business</x:v>
      </x:c>
      <x:c r="I127" s="84" t="str">
        <x:f>PROPER(TRIM('Raw Sales'!F127))</x:f>
        <x:v>Northeast</x:v>
      </x:c>
      <x:c r="J127" s="84" t="str">
        <x:f>PROPER(TRIM('Raw Sales'!G127))</x:f>
        <x:v>Philadelphia</x:v>
      </x:c>
      <x:c r="K127" s="84" t="str">
        <x:f>PROPER(TRIM('Raw Sales'!H127))</x:f>
        <x:v>Retail Store</x:v>
      </x:c>
      <x:c r="L127" s="84" t="str">
        <x:f>'Raw Sales'!I127</x:f>
        <x:v>OFFC-003</x:v>
      </x:c>
      <x:c r="M127" s="84" t="str">
        <x:f>IFERROR(VLOOKUP(L127,'Reference Data'!$A$5:$F$40,2,FALSE),"Unknown Product")</x:f>
        <x:v>LED Desk Lamp</x:v>
      </x:c>
      <x:c r="N127" s="84" t="str">
        <x:f>IFERROR(VLOOKUP(L127,'Reference Data'!$A$5:$F$40,3,FALSE),"Unknown")</x:f>
        <x:v>Office</x:v>
      </x:c>
      <x:c r="O127" s="84" t="str">
        <x:f>IFERROR(VLOOKUP(L127,'Reference Data'!$A$5:$F$40,4,FALSE),"Unknown")</x:f>
        <x:v>Desk Accessories</x:v>
      </x:c>
      <x:c r="P127" s="92" t="n">
        <x:f>IFERROR(VLOOKUP(L127,'Reference Data'!$A$5:$F$40,5,FALSE),0)</x:f>
        <x:v>45</x:v>
      </x:c>
      <x:c r="Q127" s="92" t="n">
        <x:f>IFERROR(VLOOKUP(L127,'Reference Data'!$A$5:$F$40,6,FALSE),0)</x:f>
        <x:v>20</x:v>
      </x:c>
      <x:c r="R127" s="84" t="n">
        <x:f>'Raw Sales'!J127</x:f>
        <x:v>1</x:v>
      </x:c>
      <x:c r="S127" s="87" t="n">
        <x:f>'Raw Sales'!K127</x:f>
        <x:v>0</x:v>
      </x:c>
      <x:c r="T127" s="93" t="n">
        <x:f>P127*R127</x:f>
        <x:v>45</x:v>
      </x:c>
      <x:c r="U127" s="93" t="n">
        <x:f>T127*S127</x:f>
        <x:v>0</x:v>
      </x:c>
      <x:c r="V127" s="93" t="str">
        <x:f>PROPER(TRIM('Raw Sales'!L127))</x:f>
        <x:v>Completed</x:v>
      </x:c>
      <x:c r="W127" s="93" t="n">
        <x:f>IF(V127="Returned",0,T127-U127)</x:f>
        <x:v>45</x:v>
      </x:c>
      <x:c r="X127" s="93" t="n">
        <x:f>IF(V127="Returned",Q127*R127*10%,Q127*R127)</x:f>
        <x:v>20</x:v>
      </x:c>
      <x:c r="Y127" s="93" t="n">
        <x:f>W127-X127</x:f>
        <x:v>25</x:v>
      </x:c>
      <x:c r="Z127" s="94" t="n">
        <x:f>IFERROR(Y127/W127,0)</x:f>
        <x:v>0.5555555555555556</x:v>
      </x:c>
      <x:c r="AA127" s="84" t="str">
        <x:f>PROPER(TRIM('Raw Sales'!M127))</x:f>
        <x:v>Cash</x:v>
      </x:c>
      <x:c r="AB127" s="84" t="str">
        <x:f>PROPER(TRIM('Raw Sales'!N127))</x:f>
        <x:v>Maya Brooks</x:v>
      </x:c>
      <x:c r="AC127" s="85" t="n">
        <x:f>'Raw Sales'!O127</x:f>
        <x:v>45347</x:v>
      </x:c>
      <x:c r="AD127" s="84" t="n">
        <x:f>AC127-B127</x:f>
        <x:v>0</x:v>
      </x:c>
      <x:c r="AE127" s="84" t="str">
        <x:f>IF(COUNTIF($A$5:A127,A127)&gt;1,"Duplicate","Keep")</x:f>
        <x:v>Keep</x:v>
      </x:c>
      <x:c r="AF127" s="84" t="str">
        <x:f>IF(OR(R127&lt;=0,AC127&lt;B127,H127="Unknown",M127="Unknown Product"),"Review","Valid")</x:f>
        <x:v>Valid</x:v>
      </x:c>
      <x:c r="AG127" s="84" t="n">
        <x:f>IF(AND(AE127="Keep",AF127="Valid"),1,0)</x:f>
        <x:v>1</x:v>
      </x:c>
      <x:c r="AH127" s="84" t="n">
        <x:f>IF(AND(AG127=1,OR('Dashboard'!$B$4="All",I127='Dashboard'!$B$4),OR('Dashboard'!$E$4="All",N127='Dashboard'!$E$4),OR('Dashboard'!$H$4="All",K127='Dashboard'!$H$4),OR('Dashboard'!$K$4="All",C127='Dashboard'!$K$4)),1,0)</x:f>
        <x:v>1</x:v>
      </x:c>
      <x:c r="AI127" s="84" t="n">
        <x:f>IF(AND(AG127=1,OR('Dashboard'!$B$4="All",I127='Dashboard'!$B$4),OR('Dashboard'!$E$4="All",N127='Dashboard'!$E$4),OR('Dashboard'!$H$4="All",K127='Dashboard'!$H$4)),1,0)</x:f>
        <x:v>1</x:v>
      </x:c>
    </x:row>
    <x:row r="128">
      <x:c r="A128" s="84" t="str">
        <x:f>'Raw Sales'!A128</x:f>
        <x:v>ORD-2024-01543</x:v>
      </x:c>
      <x:c r="B128" s="85" t="n">
        <x:f>'Raw Sales'!B128</x:f>
        <x:v>45347</x:v>
      </x:c>
      <x:c r="C128" s="84" t="n">
        <x:f>YEAR(B128)</x:f>
        <x:v>2024</x:v>
      </x:c>
      <x:c r="D128" s="91" t="n">
        <x:f>DATE(YEAR(B128),MONTH(B128),1)</x:f>
        <x:v>45323</x:v>
      </x:c>
      <x:c r="E128" s="84" t="str">
        <x:f>TEXT(B128,"mmm")</x:f>
        <x:v>Feb</x:v>
      </x:c>
      <x:c r="F128" s="84" t="str">
        <x:f>'Raw Sales'!C128</x:f>
        <x:v>CUST-0348</x:v>
      </x:c>
      <x:c r="G128" s="84" t="str">
        <x:f>PROPER(TRIM('Raw Sales'!D128))</x:f>
        <x:v>Jonah Taylor</x:v>
      </x:c>
      <x:c r="H128" s="84" t="str">
        <x:f>IF(TRIM('Raw Sales'!E128)="","Unknown",PROPER(TRIM('Raw Sales'!E128)))</x:f>
        <x:v>Consumer</x:v>
      </x:c>
      <x:c r="I128" s="84" t="str">
        <x:f>PROPER(TRIM('Raw Sales'!F128))</x:f>
        <x:v>Northeast</x:v>
      </x:c>
      <x:c r="J128" s="84" t="str">
        <x:f>PROPER(TRIM('Raw Sales'!G128))</x:f>
        <x:v>Boston</x:v>
      </x:c>
      <x:c r="K128" s="84" t="str">
        <x:f>PROPER(TRIM('Raw Sales'!H128))</x:f>
        <x:v>Retail Store</x:v>
      </x:c>
      <x:c r="L128" s="84" t="str">
        <x:f>'Raw Sales'!I128</x:f>
        <x:v>ACCS-003</x:v>
      </x:c>
      <x:c r="M128" s="84" t="str">
        <x:f>IFERROR(VLOOKUP(L128,'Reference Data'!$A$5:$F$40,2,FALSE),"Unknown Product")</x:f>
        <x:v>Polarized Sunglasses</x:v>
      </x:c>
      <x:c r="N128" s="84" t="str">
        <x:f>IFERROR(VLOOKUP(L128,'Reference Data'!$A$5:$F$40,3,FALSE),"Unknown")</x:f>
        <x:v>Accessories</x:v>
      </x:c>
      <x:c r="O128" s="84" t="str">
        <x:f>IFERROR(VLOOKUP(L128,'Reference Data'!$A$5:$F$40,4,FALSE),"Unknown")</x:f>
        <x:v>Eyewear</x:v>
      </x:c>
      <x:c r="P128" s="92" t="n">
        <x:f>IFERROR(VLOOKUP(L128,'Reference Data'!$A$5:$F$40,5,FALSE),0)</x:f>
        <x:v>59</x:v>
      </x:c>
      <x:c r="Q128" s="92" t="n">
        <x:f>IFERROR(VLOOKUP(L128,'Reference Data'!$A$5:$F$40,6,FALSE),0)</x:f>
        <x:v>17</x:v>
      </x:c>
      <x:c r="R128" s="84" t="n">
        <x:f>'Raw Sales'!J128</x:f>
        <x:v>1</x:v>
      </x:c>
      <x:c r="S128" s="87" t="n">
        <x:f>'Raw Sales'!K128</x:f>
        <x:v>0</x:v>
      </x:c>
      <x:c r="T128" s="93" t="n">
        <x:f>P128*R128</x:f>
        <x:v>59</x:v>
      </x:c>
      <x:c r="U128" s="93" t="n">
        <x:f>T128*S128</x:f>
        <x:v>0</x:v>
      </x:c>
      <x:c r="V128" s="93" t="str">
        <x:f>PROPER(TRIM('Raw Sales'!L128))</x:f>
        <x:v>Completed</x:v>
      </x:c>
      <x:c r="W128" s="93" t="n">
        <x:f>IF(V128="Returned",0,T128-U128)</x:f>
        <x:v>59</x:v>
      </x:c>
      <x:c r="X128" s="93" t="n">
        <x:f>IF(V128="Returned",Q128*R128*10%,Q128*R128)</x:f>
        <x:v>17</x:v>
      </x:c>
      <x:c r="Y128" s="93" t="n">
        <x:f>W128-X128</x:f>
        <x:v>42</x:v>
      </x:c>
      <x:c r="Z128" s="94" t="n">
        <x:f>IFERROR(Y128/W128,0)</x:f>
        <x:v>0.711864406779661</x:v>
      </x:c>
      <x:c r="AA128" s="84" t="str">
        <x:f>PROPER(TRIM('Raw Sales'!M128))</x:f>
        <x:v>Debit Card</x:v>
      </x:c>
      <x:c r="AB128" s="84" t="str">
        <x:f>PROPER(TRIM('Raw Sales'!N128))</x:f>
        <x:v>Sofia Bennett</x:v>
      </x:c>
      <x:c r="AC128" s="85" t="n">
        <x:f>'Raw Sales'!O128</x:f>
        <x:v>45347</x:v>
      </x:c>
      <x:c r="AD128" s="84" t="n">
        <x:f>AC128-B128</x:f>
        <x:v>0</x:v>
      </x:c>
      <x:c r="AE128" s="84" t="str">
        <x:f>IF(COUNTIF($A$5:A128,A128)&gt;1,"Duplicate","Keep")</x:f>
        <x:v>Keep</x:v>
      </x:c>
      <x:c r="AF128" s="84" t="str">
        <x:f>IF(OR(R128&lt;=0,AC128&lt;B128,H128="Unknown",M128="Unknown Product"),"Review","Valid")</x:f>
        <x:v>Valid</x:v>
      </x:c>
      <x:c r="AG128" s="84" t="n">
        <x:f>IF(AND(AE128="Keep",AF128="Valid"),1,0)</x:f>
        <x:v>1</x:v>
      </x:c>
      <x:c r="AH128" s="84" t="n">
        <x:f>IF(AND(AG128=1,OR('Dashboard'!$B$4="All",I128='Dashboard'!$B$4),OR('Dashboard'!$E$4="All",N128='Dashboard'!$E$4),OR('Dashboard'!$H$4="All",K128='Dashboard'!$H$4),OR('Dashboard'!$K$4="All",C128='Dashboard'!$K$4)),1,0)</x:f>
        <x:v>1</x:v>
      </x:c>
      <x:c r="AI128" s="84" t="n">
        <x:f>IF(AND(AG128=1,OR('Dashboard'!$B$4="All",I128='Dashboard'!$B$4),OR('Dashboard'!$E$4="All",N128='Dashboard'!$E$4),OR('Dashboard'!$H$4="All",K128='Dashboard'!$H$4)),1,0)</x:f>
        <x:v>1</x:v>
      </x:c>
    </x:row>
    <x:row r="129">
      <x:c r="A129" s="84" t="str">
        <x:f>'Raw Sales'!A129</x:f>
        <x:v>ORD-2024-01737</x:v>
      </x:c>
      <x:c r="B129" s="85" t="n">
        <x:f>'Raw Sales'!B129</x:f>
        <x:v>45347</x:v>
      </x:c>
      <x:c r="C129" s="84" t="n">
        <x:f>YEAR(B129)</x:f>
        <x:v>2024</x:v>
      </x:c>
      <x:c r="D129" s="91" t="n">
        <x:f>DATE(YEAR(B129),MONTH(B129),1)</x:f>
        <x:v>45323</x:v>
      </x:c>
      <x:c r="E129" s="84" t="str">
        <x:f>TEXT(B129,"mmm")</x:f>
        <x:v>Feb</x:v>
      </x:c>
      <x:c r="F129" s="84" t="str">
        <x:f>'Raw Sales'!C129</x:f>
        <x:v>CUST-0374</x:v>
      </x:c>
      <x:c r="G129" s="84" t="str">
        <x:f>PROPER(TRIM('Raw Sales'!D129))</x:f>
        <x:v>Priya Lewis</x:v>
      </x:c>
      <x:c r="H129" s="84" t="str">
        <x:f>IF(TRIM('Raw Sales'!E129)="","Unknown",PROPER(TRIM('Raw Sales'!E129)))</x:f>
        <x:v>Corporate</x:v>
      </x:c>
      <x:c r="I129" s="84" t="str">
        <x:f>PROPER(TRIM('Raw Sales'!F129))</x:f>
        <x:v>Southeast</x:v>
      </x:c>
      <x:c r="J129" s="84" t="str">
        <x:f>PROPER(TRIM('Raw Sales'!G129))</x:f>
        <x:v>Miami</x:v>
      </x:c>
      <x:c r="K129" s="84" t="str">
        <x:f>PROPER(TRIM('Raw Sales'!H129))</x:f>
        <x:v>Marketplace</x:v>
      </x:c>
      <x:c r="L129" s="84" t="str">
        <x:f>'Raw Sales'!I129</x:f>
        <x:v>CARE-001</x:v>
      </x:c>
      <x:c r="M129" s="84" t="str">
        <x:f>IFERROR(VLOOKUP(L129,'Reference Data'!$A$5:$F$40,2,FALSE),"Unknown Product")</x:f>
        <x:v>Ionic Hair Dryer</x:v>
      </x:c>
      <x:c r="N129" s="84" t="str">
        <x:f>IFERROR(VLOOKUP(L129,'Reference Data'!$A$5:$F$40,3,FALSE),"Unknown")</x:f>
        <x:v>Personal Care</x:v>
      </x:c>
      <x:c r="O129" s="84" t="str">
        <x:f>IFERROR(VLOOKUP(L129,'Reference Data'!$A$5:$F$40,4,FALSE),"Unknown")</x:f>
        <x:v>Hair Care</x:v>
      </x:c>
      <x:c r="P129" s="92" t="n">
        <x:f>IFERROR(VLOOKUP(L129,'Reference Data'!$A$5:$F$40,5,FALSE),0)</x:f>
        <x:v>54</x:v>
      </x:c>
      <x:c r="Q129" s="92" t="n">
        <x:f>IFERROR(VLOOKUP(L129,'Reference Data'!$A$5:$F$40,6,FALSE),0)</x:f>
        <x:v>25</x:v>
      </x:c>
      <x:c r="R129" s="84" t="n">
        <x:f>'Raw Sales'!J129</x:f>
        <x:v>4</x:v>
      </x:c>
      <x:c r="S129" s="87" t="n">
        <x:f>'Raw Sales'!K129</x:f>
        <x:v>0.05</x:v>
      </x:c>
      <x:c r="T129" s="93" t="n">
        <x:f>P129*R129</x:f>
        <x:v>216</x:v>
      </x:c>
      <x:c r="U129" s="93" t="n">
        <x:f>T129*S129</x:f>
        <x:v>10.8</x:v>
      </x:c>
      <x:c r="V129" s="93" t="str">
        <x:f>PROPER(TRIM('Raw Sales'!L129))</x:f>
        <x:v>Completed</x:v>
      </x:c>
      <x:c r="W129" s="93" t="n">
        <x:f>IF(V129="Returned",0,T129-U129)</x:f>
        <x:v>205.2</x:v>
      </x:c>
      <x:c r="X129" s="93" t="n">
        <x:f>IF(V129="Returned",Q129*R129*10%,Q129*R129)</x:f>
        <x:v>100</x:v>
      </x:c>
      <x:c r="Y129" s="93" t="n">
        <x:f>W129-X129</x:f>
        <x:v>105.19999999999999</x:v>
      </x:c>
      <x:c r="Z129" s="94" t="n">
        <x:f>IFERROR(Y129/W129,0)</x:f>
        <x:v>0.5126705653021443</x:v>
      </x:c>
      <x:c r="AA129" s="84" t="str">
        <x:f>PROPER(TRIM('Raw Sales'!M129))</x:f>
        <x:v>Credit Card</x:v>
      </x:c>
      <x:c r="AB129" s="84" t="str">
        <x:f>PROPER(TRIM('Raw Sales'!N129))</x:f>
        <x:v>Liam Parker</x:v>
      </x:c>
      <x:c r="AC129" s="85" t="n">
        <x:f>'Raw Sales'!O129</x:f>
        <x:v>45352</x:v>
      </x:c>
      <x:c r="AD129" s="84" t="n">
        <x:f>AC129-B129</x:f>
        <x:v>5</x:v>
      </x:c>
      <x:c r="AE129" s="84" t="str">
        <x:f>IF(COUNTIF($A$5:A129,A129)&gt;1,"Duplicate","Keep")</x:f>
        <x:v>Keep</x:v>
      </x:c>
      <x:c r="AF129" s="84" t="str">
        <x:f>IF(OR(R129&lt;=0,AC129&lt;B129,H129="Unknown",M129="Unknown Product"),"Review","Valid")</x:f>
        <x:v>Valid</x:v>
      </x:c>
      <x:c r="AG129" s="84" t="n">
        <x:f>IF(AND(AE129="Keep",AF129="Valid"),1,0)</x:f>
        <x:v>1</x:v>
      </x:c>
      <x:c r="AH129" s="84" t="n">
        <x:f>IF(AND(AG129=1,OR('Dashboard'!$B$4="All",I129='Dashboard'!$B$4),OR('Dashboard'!$E$4="All",N129='Dashboard'!$E$4),OR('Dashboard'!$H$4="All",K129='Dashboard'!$H$4),OR('Dashboard'!$K$4="All",C129='Dashboard'!$K$4)),1,0)</x:f>
        <x:v>1</x:v>
      </x:c>
      <x:c r="AI129" s="84" t="n">
        <x:f>IF(AND(AG129=1,OR('Dashboard'!$B$4="All",I129='Dashboard'!$B$4),OR('Dashboard'!$E$4="All",N129='Dashboard'!$E$4),OR('Dashboard'!$H$4="All",K129='Dashboard'!$H$4)),1,0)</x:f>
        <x:v>1</x:v>
      </x:c>
    </x:row>
    <x:row r="130">
      <x:c r="A130" s="84" t="str">
        <x:f>'Raw Sales'!A130</x:f>
        <x:v>ORD-2024-02286</x:v>
      </x:c>
      <x:c r="B130" s="85" t="n">
        <x:f>'Raw Sales'!B130</x:f>
        <x:v>45347</x:v>
      </x:c>
      <x:c r="C130" s="84" t="n">
        <x:f>YEAR(B130)</x:f>
        <x:v>2024</x:v>
      </x:c>
      <x:c r="D130" s="91" t="n">
        <x:f>DATE(YEAR(B130),MONTH(B130),1)</x:f>
        <x:v>45323</x:v>
      </x:c>
      <x:c r="E130" s="84" t="str">
        <x:f>TEXT(B130,"mmm")</x:f>
        <x:v>Feb</x:v>
      </x:c>
      <x:c r="F130" s="84" t="str">
        <x:f>'Raw Sales'!C130</x:f>
        <x:v>CUST-0603</x:v>
      </x:c>
      <x:c r="G130" s="84" t="str">
        <x:f>PROPER(TRIM('Raw Sales'!D130))</x:f>
        <x:v>Elias Roberts</x:v>
      </x:c>
      <x:c r="H130" s="84" t="str">
        <x:f>IF(TRIM('Raw Sales'!E130)="","Unknown",PROPER(TRIM('Raw Sales'!E130)))</x:f>
        <x:v>Consumer</x:v>
      </x:c>
      <x:c r="I130" s="84" t="str">
        <x:f>PROPER(TRIM('Raw Sales'!F130))</x:f>
        <x:v>Northeast</x:v>
      </x:c>
      <x:c r="J130" s="84" t="str">
        <x:f>PROPER(TRIM('Raw Sales'!G130))</x:f>
        <x:v>Newark</x:v>
      </x:c>
      <x:c r="K130" s="84" t="str">
        <x:f>PROPER(TRIM('Raw Sales'!H130))</x:f>
        <x:v>Retail Store</x:v>
      </x:c>
      <x:c r="L130" s="84" t="str">
        <x:f>'Raw Sales'!I130</x:f>
        <x:v>HOME-006</x:v>
      </x:c>
      <x:c r="M130" s="84" t="str">
        <x:f>IFERROR(VLOOKUP(L130,'Reference Data'!$A$5:$F$40,2,FALSE),"Unknown Product")</x:f>
        <x:v>Food Storage Set</x:v>
      </x:c>
      <x:c r="N130" s="84" t="str">
        <x:f>IFERROR(VLOOKUP(L130,'Reference Data'!$A$5:$F$40,3,FALSE),"Unknown")</x:f>
        <x:v>Home &amp; Kitchen</x:v>
      </x:c>
      <x:c r="O130" s="84" t="str">
        <x:f>IFERROR(VLOOKUP(L130,'Reference Data'!$A$5:$F$40,4,FALSE),"Unknown")</x:f>
        <x:v>Kitchenware</x:v>
      </x:c>
      <x:c r="P130" s="92" t="n">
        <x:f>IFERROR(VLOOKUP(L130,'Reference Data'!$A$5:$F$40,5,FALSE),0)</x:f>
        <x:v>34</x:v>
      </x:c>
      <x:c r="Q130" s="92" t="n">
        <x:f>IFERROR(VLOOKUP(L130,'Reference Data'!$A$5:$F$40,6,FALSE),0)</x:f>
        <x:v>15</x:v>
      </x:c>
      <x:c r="R130" s="84" t="n">
        <x:f>'Raw Sales'!J130</x:f>
        <x:v>1</x:v>
      </x:c>
      <x:c r="S130" s="87" t="n">
        <x:f>'Raw Sales'!K130</x:f>
        <x:v>0.05</x:v>
      </x:c>
      <x:c r="T130" s="93" t="n">
        <x:f>P130*R130</x:f>
        <x:v>34</x:v>
      </x:c>
      <x:c r="U130" s="93" t="n">
        <x:f>T130*S130</x:f>
        <x:v>1.7000000000000002</x:v>
      </x:c>
      <x:c r="V130" s="93" t="str">
        <x:f>PROPER(TRIM('Raw Sales'!L130))</x:f>
        <x:v>Completed</x:v>
      </x:c>
      <x:c r="W130" s="93" t="n">
        <x:f>IF(V130="Returned",0,T130-U130)</x:f>
        <x:v>32.3</x:v>
      </x:c>
      <x:c r="X130" s="93" t="n">
        <x:f>IF(V130="Returned",Q130*R130*10%,Q130*R130)</x:f>
        <x:v>15</x:v>
      </x:c>
      <x:c r="Y130" s="93" t="n">
        <x:f>W130-X130</x:f>
        <x:v>17.299999999999997</x:v>
      </x:c>
      <x:c r="Z130" s="94" t="n">
        <x:f>IFERROR(Y130/W130,0)</x:f>
        <x:v>0.5356037151702786</x:v>
      </x:c>
      <x:c r="AA130" s="84" t="str">
        <x:f>PROPER(TRIM('Raw Sales'!M130))</x:f>
        <x:v>Cash</x:v>
      </x:c>
      <x:c r="AB130" s="84" t="str">
        <x:f>PROPER(TRIM('Raw Sales'!N130))</x:f>
        <x:v>Maya Brooks</x:v>
      </x:c>
      <x:c r="AC130" s="85" t="n">
        <x:f>'Raw Sales'!O130</x:f>
        <x:v>45348</x:v>
      </x:c>
      <x:c r="AD130" s="84" t="n">
        <x:f>AC130-B130</x:f>
        <x:v>1</x:v>
      </x:c>
      <x:c r="AE130" s="84" t="str">
        <x:f>IF(COUNTIF($A$5:A130,A130)&gt;1,"Duplicate","Keep")</x:f>
        <x:v>Keep</x:v>
      </x:c>
      <x:c r="AF130" s="84" t="str">
        <x:f>IF(OR(R130&lt;=0,AC130&lt;B130,H130="Unknown",M130="Unknown Product"),"Review","Valid")</x:f>
        <x:v>Valid</x:v>
      </x:c>
      <x:c r="AG130" s="84" t="n">
        <x:f>IF(AND(AE130="Keep",AF130="Valid"),1,0)</x:f>
        <x:v>1</x:v>
      </x:c>
      <x:c r="AH130" s="84" t="n">
        <x:f>IF(AND(AG130=1,OR('Dashboard'!$B$4="All",I130='Dashboard'!$B$4),OR('Dashboard'!$E$4="All",N130='Dashboard'!$E$4),OR('Dashboard'!$H$4="All",K130='Dashboard'!$H$4),OR('Dashboard'!$K$4="All",C130='Dashboard'!$K$4)),1,0)</x:f>
        <x:v>1</x:v>
      </x:c>
      <x:c r="AI130" s="84" t="n">
        <x:f>IF(AND(AG130=1,OR('Dashboard'!$B$4="All",I130='Dashboard'!$B$4),OR('Dashboard'!$E$4="All",N130='Dashboard'!$E$4),OR('Dashboard'!$H$4="All",K130='Dashboard'!$H$4)),1,0)</x:f>
        <x:v>1</x:v>
      </x:c>
    </x:row>
    <x:row r="131">
      <x:c r="A131" s="84" t="str">
        <x:f>'Raw Sales'!A131</x:f>
        <x:v>ORD-2024-00608</x:v>
      </x:c>
      <x:c r="B131" s="85" t="n">
        <x:f>'Raw Sales'!B131</x:f>
        <x:v>45348</x:v>
      </x:c>
      <x:c r="C131" s="84" t="n">
        <x:f>YEAR(B131)</x:f>
        <x:v>2024</x:v>
      </x:c>
      <x:c r="D131" s="91" t="n">
        <x:f>DATE(YEAR(B131),MONTH(B131),1)</x:f>
        <x:v>45323</x:v>
      </x:c>
      <x:c r="E131" s="84" t="str">
        <x:f>TEXT(B131,"mmm")</x:f>
        <x:v>Feb</x:v>
      </x:c>
      <x:c r="F131" s="84" t="str">
        <x:f>'Raw Sales'!C131</x:f>
        <x:v>CUST-0493</x:v>
      </x:c>
      <x:c r="G131" s="84" t="str">
        <x:f>PROPER(TRIM('Raw Sales'!D131))</x:f>
        <x:v>Nina Evans</x:v>
      </x:c>
      <x:c r="H131" s="84" t="str">
        <x:f>IF(TRIM('Raw Sales'!E131)="","Unknown",PROPER(TRIM('Raw Sales'!E131)))</x:f>
        <x:v>Corporate</x:v>
      </x:c>
      <x:c r="I131" s="84" t="str">
        <x:f>PROPER(TRIM('Raw Sales'!F131))</x:f>
        <x:v>West</x:v>
      </x:c>
      <x:c r="J131" s="84" t="str">
        <x:f>PROPER(TRIM('Raw Sales'!G131))</x:f>
        <x:v>Denver</x:v>
      </x:c>
      <x:c r="K131" s="84" t="str">
        <x:f>PROPER(TRIM('Raw Sales'!H131))</x:f>
        <x:v>Online</x:v>
      </x:c>
      <x:c r="L131" s="84" t="str">
        <x:f>'Raw Sales'!I131</x:f>
        <x:v>ELEC-001</x:v>
      </x:c>
      <x:c r="M131" s="84" t="str">
        <x:f>IFERROR(VLOOKUP(L131,'Reference Data'!$A$5:$F$40,2,FALSE),"Unknown Product")</x:f>
        <x:v>Wireless Earbuds</x:v>
      </x:c>
      <x:c r="N131" s="84" t="str">
        <x:f>IFERROR(VLOOKUP(L131,'Reference Data'!$A$5:$F$40,3,FALSE),"Unknown")</x:f>
        <x:v>Electronics</x:v>
      </x:c>
      <x:c r="O131" s="84" t="str">
        <x:f>IFERROR(VLOOKUP(L131,'Reference Data'!$A$5:$F$40,4,FALSE),"Unknown")</x:f>
        <x:v>Audio</x:v>
      </x:c>
      <x:c r="P131" s="92" t="n">
        <x:f>IFERROR(VLOOKUP(L131,'Reference Data'!$A$5:$F$40,5,FALSE),0)</x:f>
        <x:v>69</x:v>
      </x:c>
      <x:c r="Q131" s="92" t="n">
        <x:f>IFERROR(VLOOKUP(L131,'Reference Data'!$A$5:$F$40,6,FALSE),0)</x:f>
        <x:v>36</x:v>
      </x:c>
      <x:c r="R131" s="84" t="n">
        <x:f>'Raw Sales'!J131</x:f>
        <x:v>2</x:v>
      </x:c>
      <x:c r="S131" s="87" t="n">
        <x:f>'Raw Sales'!K131</x:f>
        <x:v>0</x:v>
      </x:c>
      <x:c r="T131" s="93" t="n">
        <x:f>P131*R131</x:f>
        <x:v>138</x:v>
      </x:c>
      <x:c r="U131" s="93" t="n">
        <x:f>T131*S131</x:f>
        <x:v>0</x:v>
      </x:c>
      <x:c r="V131" s="93" t="str">
        <x:f>PROPER(TRIM('Raw Sales'!L131))</x:f>
        <x:v>Completed</x:v>
      </x:c>
      <x:c r="W131" s="93" t="n">
        <x:f>IF(V131="Returned",0,T131-U131)</x:f>
        <x:v>138</x:v>
      </x:c>
      <x:c r="X131" s="93" t="n">
        <x:f>IF(V131="Returned",Q131*R131*10%,Q131*R131)</x:f>
        <x:v>72</x:v>
      </x:c>
      <x:c r="Y131" s="93" t="n">
        <x:f>W131-X131</x:f>
        <x:v>66</x:v>
      </x:c>
      <x:c r="Z131" s="94" t="n">
        <x:f>IFERROR(Y131/W131,0)</x:f>
        <x:v>0.4782608695652174</x:v>
      </x:c>
      <x:c r="AA131" s="84" t="str">
        <x:f>PROPER(TRIM('Raw Sales'!M131))</x:f>
        <x:v>Debit Card</x:v>
      </x:c>
      <x:c r="AB131" s="84" t="str">
        <x:f>PROPER(TRIM('Raw Sales'!N131))</x:f>
        <x:v>Nora Kim</x:v>
      </x:c>
      <x:c r="AC131" s="85" t="n">
        <x:f>'Raw Sales'!O131</x:f>
        <x:v>45351</x:v>
      </x:c>
      <x:c r="AD131" s="84" t="n">
        <x:f>AC131-B131</x:f>
        <x:v>3</x:v>
      </x:c>
      <x:c r="AE131" s="84" t="str">
        <x:f>IF(COUNTIF($A$5:A131,A131)&gt;1,"Duplicate","Keep")</x:f>
        <x:v>Keep</x:v>
      </x:c>
      <x:c r="AF131" s="84" t="str">
        <x:f>IF(OR(R131&lt;=0,AC131&lt;B131,H131="Unknown",M131="Unknown Product"),"Review","Valid")</x:f>
        <x:v>Valid</x:v>
      </x:c>
      <x:c r="AG131" s="84" t="n">
        <x:f>IF(AND(AE131="Keep",AF131="Valid"),1,0)</x:f>
        <x:v>1</x:v>
      </x:c>
      <x:c r="AH131" s="84" t="n">
        <x:f>IF(AND(AG131=1,OR('Dashboard'!$B$4="All",I131='Dashboard'!$B$4),OR('Dashboard'!$E$4="All",N131='Dashboard'!$E$4),OR('Dashboard'!$H$4="All",K131='Dashboard'!$H$4),OR('Dashboard'!$K$4="All",C131='Dashboard'!$K$4)),1,0)</x:f>
        <x:v>1</x:v>
      </x:c>
      <x:c r="AI131" s="84" t="n">
        <x:f>IF(AND(AG131=1,OR('Dashboard'!$B$4="All",I131='Dashboard'!$B$4),OR('Dashboard'!$E$4="All",N131='Dashboard'!$E$4),OR('Dashboard'!$H$4="All",K131='Dashboard'!$H$4)),1,0)</x:f>
        <x:v>1</x:v>
      </x:c>
    </x:row>
    <x:row r="132">
      <x:c r="A132" s="84" t="str">
        <x:f>'Raw Sales'!A132</x:f>
        <x:v>ORD-2024-01934</x:v>
      </x:c>
      <x:c r="B132" s="85" t="n">
        <x:f>'Raw Sales'!B132</x:f>
        <x:v>45348</x:v>
      </x:c>
      <x:c r="C132" s="84" t="n">
        <x:f>YEAR(B132)</x:f>
        <x:v>2024</x:v>
      </x:c>
      <x:c r="D132" s="91" t="n">
        <x:f>DATE(YEAR(B132),MONTH(B132),1)</x:f>
        <x:v>45323</x:v>
      </x:c>
      <x:c r="E132" s="84" t="str">
        <x:f>TEXT(B132,"mmm")</x:f>
        <x:v>Feb</x:v>
      </x:c>
      <x:c r="F132" s="84" t="str">
        <x:f>'Raw Sales'!C132</x:f>
        <x:v>CUST-0483</x:v>
      </x:c>
      <x:c r="G132" s="84" t="str">
        <x:f>PROPER(TRIM('Raw Sales'!D132))</x:f>
        <x:v>Daniel Carter</x:v>
      </x:c>
      <x:c r="H132" s="84" t="str">
        <x:f>IF(TRIM('Raw Sales'!E132)="","Unknown",PROPER(TRIM('Raw Sales'!E132)))</x:f>
        <x:v>Consumer</x:v>
      </x:c>
      <x:c r="I132" s="84" t="str">
        <x:f>PROPER(TRIM('Raw Sales'!F132))</x:f>
        <x:v>West</x:v>
      </x:c>
      <x:c r="J132" s="84" t="str">
        <x:f>PROPER(TRIM('Raw Sales'!G132))</x:f>
        <x:v>Denver</x:v>
      </x:c>
      <x:c r="K132" s="84" t="str">
        <x:f>PROPER(TRIM('Raw Sales'!H132))</x:f>
        <x:v>Online</x:v>
      </x:c>
      <x:c r="L132" s="84" t="str">
        <x:f>'Raw Sales'!I132</x:f>
        <x:v>ELEC-006</x:v>
      </x:c>
      <x:c r="M132" s="84" t="str">
        <x:f>IFERROR(VLOOKUP(L132,'Reference Data'!$A$5:$F$40,2,FALSE),"Unknown Product")</x:f>
        <x:v>Portable SSD</x:v>
      </x:c>
      <x:c r="N132" s="84" t="str">
        <x:f>IFERROR(VLOOKUP(L132,'Reference Data'!$A$5:$F$40,3,FALSE),"Unknown")</x:f>
        <x:v>Electronics</x:v>
      </x:c>
      <x:c r="O132" s="84" t="str">
        <x:f>IFERROR(VLOOKUP(L132,'Reference Data'!$A$5:$F$40,4,FALSE),"Unknown")</x:f>
        <x:v>Storage</x:v>
      </x:c>
      <x:c r="P132" s="92" t="n">
        <x:f>IFERROR(VLOOKUP(L132,'Reference Data'!$A$5:$F$40,5,FALSE),0)</x:f>
        <x:v>129</x:v>
      </x:c>
      <x:c r="Q132" s="92" t="n">
        <x:f>IFERROR(VLOOKUP(L132,'Reference Data'!$A$5:$F$40,6,FALSE),0)</x:f>
        <x:v>75</x:v>
      </x:c>
      <x:c r="R132" s="84" t="n">
        <x:f>'Raw Sales'!J132</x:f>
        <x:v>1</x:v>
      </x:c>
      <x:c r="S132" s="87" t="n">
        <x:f>'Raw Sales'!K132</x:f>
        <x:v>0</x:v>
      </x:c>
      <x:c r="T132" s="93" t="n">
        <x:f>P132*R132</x:f>
        <x:v>129</x:v>
      </x:c>
      <x:c r="U132" s="93" t="n">
        <x:f>T132*S132</x:f>
        <x:v>0</x:v>
      </x:c>
      <x:c r="V132" s="93" t="str">
        <x:f>PROPER(TRIM('Raw Sales'!L132))</x:f>
        <x:v>Completed</x:v>
      </x:c>
      <x:c r="W132" s="93" t="n">
        <x:f>IF(V132="Returned",0,T132-U132)</x:f>
        <x:v>129</x:v>
      </x:c>
      <x:c r="X132" s="93" t="n">
        <x:f>IF(V132="Returned",Q132*R132*10%,Q132*R132)</x:f>
        <x:v>75</x:v>
      </x:c>
      <x:c r="Y132" s="93" t="n">
        <x:f>W132-X132</x:f>
        <x:v>54</x:v>
      </x:c>
      <x:c r="Z132" s="94" t="n">
        <x:f>IFERROR(Y132/W132,0)</x:f>
        <x:v>0.4186046511627907</x:v>
      </x:c>
      <x:c r="AA132" s="84" t="str">
        <x:f>PROPER(TRIM('Raw Sales'!M132))</x:f>
        <x:v>Credit Card</x:v>
      </x:c>
      <x:c r="AB132" s="84" t="str">
        <x:f>PROPER(TRIM('Raw Sales'!N132))</x:f>
        <x:v>Mia Chen</x:v>
      </x:c>
      <x:c r="AC132" s="85" t="n">
        <x:f>'Raw Sales'!O132</x:f>
        <x:v>45352</x:v>
      </x:c>
      <x:c r="AD132" s="84" t="n">
        <x:f>AC132-B132</x:f>
        <x:v>4</x:v>
      </x:c>
      <x:c r="AE132" s="84" t="str">
        <x:f>IF(COUNTIF($A$5:A132,A132)&gt;1,"Duplicate","Keep")</x:f>
        <x:v>Keep</x:v>
      </x:c>
      <x:c r="AF132" s="84" t="str">
        <x:f>IF(OR(R132&lt;=0,AC132&lt;B132,H132="Unknown",M132="Unknown Product"),"Review","Valid")</x:f>
        <x:v>Valid</x:v>
      </x:c>
      <x:c r="AG132" s="84" t="n">
        <x:f>IF(AND(AE132="Keep",AF132="Valid"),1,0)</x:f>
        <x:v>1</x:v>
      </x:c>
      <x:c r="AH132" s="84" t="n">
        <x:f>IF(AND(AG132=1,OR('Dashboard'!$B$4="All",I132='Dashboard'!$B$4),OR('Dashboard'!$E$4="All",N132='Dashboard'!$E$4),OR('Dashboard'!$H$4="All",K132='Dashboard'!$H$4),OR('Dashboard'!$K$4="All",C132='Dashboard'!$K$4)),1,0)</x:f>
        <x:v>1</x:v>
      </x:c>
      <x:c r="AI132" s="84" t="n">
        <x:f>IF(AND(AG132=1,OR('Dashboard'!$B$4="All",I132='Dashboard'!$B$4),OR('Dashboard'!$E$4="All",N132='Dashboard'!$E$4),OR('Dashboard'!$H$4="All",K132='Dashboard'!$H$4)),1,0)</x:f>
        <x:v>1</x:v>
      </x:c>
    </x:row>
    <x:row r="133">
      <x:c r="A133" s="84" t="str">
        <x:f>'Raw Sales'!A133</x:f>
        <x:v>ORD-2024-00023</x:v>
      </x:c>
      <x:c r="B133" s="85" t="n">
        <x:f>'Raw Sales'!B133</x:f>
        <x:v>45351</x:v>
      </x:c>
      <x:c r="C133" s="84" t="n">
        <x:f>YEAR(B133)</x:f>
        <x:v>2024</x:v>
      </x:c>
      <x:c r="D133" s="91" t="n">
        <x:f>DATE(YEAR(B133),MONTH(B133),1)</x:f>
        <x:v>45323</x:v>
      </x:c>
      <x:c r="E133" s="84" t="str">
        <x:f>TEXT(B133,"mmm")</x:f>
        <x:v>Feb</x:v>
      </x:c>
      <x:c r="F133" s="84" t="str">
        <x:f>'Raw Sales'!C133</x:f>
        <x:v>CUST-0280</x:v>
      </x:c>
      <x:c r="G133" s="84" t="str">
        <x:f>PROPER(TRIM('Raw Sales'!D133))</x:f>
        <x:v>Theo Taylor</x:v>
      </x:c>
      <x:c r="H133" s="84" t="str">
        <x:f>IF(TRIM('Raw Sales'!E133)="","Unknown",PROPER(TRIM('Raw Sales'!E133)))</x:f>
        <x:v>Corporate</x:v>
      </x:c>
      <x:c r="I133" s="84" t="str">
        <x:f>PROPER(TRIM('Raw Sales'!F133))</x:f>
        <x:v>Southeast</x:v>
      </x:c>
      <x:c r="J133" s="84" t="str">
        <x:f>PROPER(TRIM('Raw Sales'!G133))</x:f>
        <x:v>Charlotte</x:v>
      </x:c>
      <x:c r="K133" s="84" t="str">
        <x:f>PROPER(TRIM('Raw Sales'!H133))</x:f>
        <x:v>Marketplace</x:v>
      </x:c>
      <x:c r="L133" s="84" t="str">
        <x:f>'Raw Sales'!I133</x:f>
        <x:v>FITN-002</x:v>
      </x:c>
      <x:c r="M133" s="84" t="str">
        <x:f>IFERROR(VLOOKUP(L133,'Reference Data'!$A$5:$F$40,2,FALSE),"Unknown Product")</x:f>
        <x:v>Adjustable Dumbbell Set</x:v>
      </x:c>
      <x:c r="N133" s="84" t="str">
        <x:f>IFERROR(VLOOKUP(L133,'Reference Data'!$A$5:$F$40,3,FALSE),"Unknown")</x:f>
        <x:v>Fitness</x:v>
      </x:c>
      <x:c r="O133" s="84" t="str">
        <x:f>IFERROR(VLOOKUP(L133,'Reference Data'!$A$5:$F$40,4,FALSE),"Unknown")</x:f>
        <x:v>Strength</x:v>
      </x:c>
      <x:c r="P133" s="92" t="n">
        <x:f>IFERROR(VLOOKUP(L133,'Reference Data'!$A$5:$F$40,5,FALSE),0)</x:f>
        <x:v>99</x:v>
      </x:c>
      <x:c r="Q133" s="92" t="n">
        <x:f>IFERROR(VLOOKUP(L133,'Reference Data'!$A$5:$F$40,6,FALSE),0)</x:f>
        <x:v>57</x:v>
      </x:c>
      <x:c r="R133" s="84" t="n">
        <x:f>'Raw Sales'!J133</x:f>
        <x:v>3</x:v>
      </x:c>
      <x:c r="S133" s="87" t="n">
        <x:f>'Raw Sales'!K133</x:f>
        <x:v>0.1</x:v>
      </x:c>
      <x:c r="T133" s="93" t="n">
        <x:f>P133*R133</x:f>
        <x:v>297</x:v>
      </x:c>
      <x:c r="U133" s="93" t="n">
        <x:f>T133*S133</x:f>
        <x:v>29.700000000000003</x:v>
      </x:c>
      <x:c r="V133" s="93" t="str">
        <x:f>PROPER(TRIM('Raw Sales'!L133))</x:f>
        <x:v>Completed</x:v>
      </x:c>
      <x:c r="W133" s="93" t="n">
        <x:f>IF(V133="Returned",0,T133-U133)</x:f>
        <x:v>267.3</x:v>
      </x:c>
      <x:c r="X133" s="93" t="n">
        <x:f>IF(V133="Returned",Q133*R133*10%,Q133*R133)</x:f>
        <x:v>171</x:v>
      </x:c>
      <x:c r="Y133" s="93" t="n">
        <x:f>W133-X133</x:f>
        <x:v>96.30000000000001</x:v>
      </x:c>
      <x:c r="Z133" s="94" t="n">
        <x:f>IFERROR(Y133/W133,0)</x:f>
        <x:v>0.3602693602693603</x:v>
      </x:c>
      <x:c r="AA133" s="84" t="str">
        <x:f>PROPER(TRIM('Raw Sales'!M133))</x:f>
        <x:v>Credit Card</x:v>
      </x:c>
      <x:c r="AB133" s="84" t="str">
        <x:f>PROPER(TRIM('Raw Sales'!N133))</x:f>
        <x:v>Ava Mitchell</x:v>
      </x:c>
      <x:c r="AC133" s="85" t="n">
        <x:f>'Raw Sales'!O133</x:f>
        <x:v>45358</x:v>
      </x:c>
      <x:c r="AD133" s="84" t="n">
        <x:f>AC133-B133</x:f>
        <x:v>7</x:v>
      </x:c>
      <x:c r="AE133" s="84" t="str">
        <x:f>IF(COUNTIF($A$5:A133,A133)&gt;1,"Duplicate","Keep")</x:f>
        <x:v>Keep</x:v>
      </x:c>
      <x:c r="AF133" s="84" t="str">
        <x:f>IF(OR(R133&lt;=0,AC133&lt;B133,H133="Unknown",M133="Unknown Product"),"Review","Valid")</x:f>
        <x:v>Valid</x:v>
      </x:c>
      <x:c r="AG133" s="84" t="n">
        <x:f>IF(AND(AE133="Keep",AF133="Valid"),1,0)</x:f>
        <x:v>1</x:v>
      </x:c>
      <x:c r="AH133" s="84" t="n">
        <x:f>IF(AND(AG133=1,OR('Dashboard'!$B$4="All",I133='Dashboard'!$B$4),OR('Dashboard'!$E$4="All",N133='Dashboard'!$E$4),OR('Dashboard'!$H$4="All",K133='Dashboard'!$H$4),OR('Dashboard'!$K$4="All",C133='Dashboard'!$K$4)),1,0)</x:f>
        <x:v>1</x:v>
      </x:c>
      <x:c r="AI133" s="84" t="n">
        <x:f>IF(AND(AG133=1,OR('Dashboard'!$B$4="All",I133='Dashboard'!$B$4),OR('Dashboard'!$E$4="All",N133='Dashboard'!$E$4),OR('Dashboard'!$H$4="All",K133='Dashboard'!$H$4)),1,0)</x:f>
        <x:v>1</x:v>
      </x:c>
    </x:row>
    <x:row r="134">
      <x:c r="A134" s="84" t="str">
        <x:f>'Raw Sales'!A134</x:f>
        <x:v>ORD-2024-00858</x:v>
      </x:c>
      <x:c r="B134" s="85" t="n">
        <x:f>'Raw Sales'!B134</x:f>
        <x:v>45351</x:v>
      </x:c>
      <x:c r="C134" s="84" t="n">
        <x:f>YEAR(B134)</x:f>
        <x:v>2024</x:v>
      </x:c>
      <x:c r="D134" s="91" t="n">
        <x:f>DATE(YEAR(B134),MONTH(B134),1)</x:f>
        <x:v>45323</x:v>
      </x:c>
      <x:c r="E134" s="84" t="str">
        <x:f>TEXT(B134,"mmm")</x:f>
        <x:v>Feb</x:v>
      </x:c>
      <x:c r="F134" s="84" t="str">
        <x:f>'Raw Sales'!C134</x:f>
        <x:v>CUST-0239</x:v>
      </x:c>
      <x:c r="G134" s="84" t="str">
        <x:f>PROPER(TRIM('Raw Sales'!D134))</x:f>
        <x:v>Nathan Roberts</x:v>
      </x:c>
      <x:c r="H134" s="84" t="str">
        <x:f>IF(TRIM('Raw Sales'!E134)="","Unknown",PROPER(TRIM('Raw Sales'!E134)))</x:f>
        <x:v>Small Business</x:v>
      </x:c>
      <x:c r="I134" s="84" t="str">
        <x:f>PROPER(TRIM('Raw Sales'!F134))</x:f>
        <x:v>Midwest</x:v>
      </x:c>
      <x:c r="J134" s="84" t="str">
        <x:f>PROPER(TRIM('Raw Sales'!G134))</x:f>
        <x:v>Detroit</x:v>
      </x:c>
      <x:c r="K134" s="84" t="str">
        <x:f>PROPER(TRIM('Raw Sales'!H134))</x:f>
        <x:v>Retail Store</x:v>
      </x:c>
      <x:c r="L134" s="84" t="str">
        <x:f>'Raw Sales'!I134</x:f>
        <x:v>ELEC-006</x:v>
      </x:c>
      <x:c r="M134" s="84" t="str">
        <x:f>IFERROR(VLOOKUP(L134,'Reference Data'!$A$5:$F$40,2,FALSE),"Unknown Product")</x:f>
        <x:v>Portable SSD</x:v>
      </x:c>
      <x:c r="N134" s="84" t="str">
        <x:f>IFERROR(VLOOKUP(L134,'Reference Data'!$A$5:$F$40,3,FALSE),"Unknown")</x:f>
        <x:v>Electronics</x:v>
      </x:c>
      <x:c r="O134" s="84" t="str">
        <x:f>IFERROR(VLOOKUP(L134,'Reference Data'!$A$5:$F$40,4,FALSE),"Unknown")</x:f>
        <x:v>Storage</x:v>
      </x:c>
      <x:c r="P134" s="92" t="n">
        <x:f>IFERROR(VLOOKUP(L134,'Reference Data'!$A$5:$F$40,5,FALSE),0)</x:f>
        <x:v>129</x:v>
      </x:c>
      <x:c r="Q134" s="92" t="n">
        <x:f>IFERROR(VLOOKUP(L134,'Reference Data'!$A$5:$F$40,6,FALSE),0)</x:f>
        <x:v>75</x:v>
      </x:c>
      <x:c r="R134" s="84" t="n">
        <x:f>'Raw Sales'!J134</x:f>
        <x:v>2</x:v>
      </x:c>
      <x:c r="S134" s="87" t="n">
        <x:f>'Raw Sales'!K134</x:f>
        <x:v>0.1</x:v>
      </x:c>
      <x:c r="T134" s="93" t="n">
        <x:f>P134*R134</x:f>
        <x:v>258</x:v>
      </x:c>
      <x:c r="U134" s="93" t="n">
        <x:f>T134*S134</x:f>
        <x:v>25.8</x:v>
      </x:c>
      <x:c r="V134" s="93" t="str">
        <x:f>PROPER(TRIM('Raw Sales'!L134))</x:f>
        <x:v>Completed</x:v>
      </x:c>
      <x:c r="W134" s="93" t="n">
        <x:f>IF(V134="Returned",0,T134-U134)</x:f>
        <x:v>232.2</x:v>
      </x:c>
      <x:c r="X134" s="93" t="n">
        <x:f>IF(V134="Returned",Q134*R134*10%,Q134*R134)</x:f>
        <x:v>150</x:v>
      </x:c>
      <x:c r="Y134" s="93" t="n">
        <x:f>W134-X134</x:f>
        <x:v>82.19999999999999</x:v>
      </x:c>
      <x:c r="Z134" s="94" t="n">
        <x:f>IFERROR(Y134/W134,0)</x:f>
        <x:v>0.3540051679586563</x:v>
      </x:c>
      <x:c r="AA134" s="84" t="str">
        <x:f>PROPER(TRIM('Raw Sales'!M134))</x:f>
        <x:v>Credit Card</x:v>
      </x:c>
      <x:c r="AB134" s="84" t="str">
        <x:f>PROPER(TRIM('Raw Sales'!N134))</x:f>
        <x:v>Emma Hayes</x:v>
      </x:c>
      <x:c r="AC134" s="85" t="n">
        <x:f>'Raw Sales'!O134</x:f>
        <x:v>45351</x:v>
      </x:c>
      <x:c r="AD134" s="84" t="n">
        <x:f>AC134-B134</x:f>
        <x:v>0</x:v>
      </x:c>
      <x:c r="AE134" s="84" t="str">
        <x:f>IF(COUNTIF($A$5:A134,A134)&gt;1,"Duplicate","Keep")</x:f>
        <x:v>Keep</x:v>
      </x:c>
      <x:c r="AF134" s="84" t="str">
        <x:f>IF(OR(R134&lt;=0,AC134&lt;B134,H134="Unknown",M134="Unknown Product"),"Review","Valid")</x:f>
        <x:v>Valid</x:v>
      </x:c>
      <x:c r="AG134" s="84" t="n">
        <x:f>IF(AND(AE134="Keep",AF134="Valid"),1,0)</x:f>
        <x:v>1</x:v>
      </x:c>
      <x:c r="AH134" s="84" t="n">
        <x:f>IF(AND(AG134=1,OR('Dashboard'!$B$4="All",I134='Dashboard'!$B$4),OR('Dashboard'!$E$4="All",N134='Dashboard'!$E$4),OR('Dashboard'!$H$4="All",K134='Dashboard'!$H$4),OR('Dashboard'!$K$4="All",C134='Dashboard'!$K$4)),1,0)</x:f>
        <x:v>1</x:v>
      </x:c>
      <x:c r="AI134" s="84" t="n">
        <x:f>IF(AND(AG134=1,OR('Dashboard'!$B$4="All",I134='Dashboard'!$B$4),OR('Dashboard'!$E$4="All",N134='Dashboard'!$E$4),OR('Dashboard'!$H$4="All",K134='Dashboard'!$H$4)),1,0)</x:f>
        <x:v>1</x:v>
      </x:c>
    </x:row>
    <x:row r="135">
      <x:c r="A135" s="84" t="str">
        <x:f>'Raw Sales'!A135</x:f>
        <x:v>ORD-2024-00922</x:v>
      </x:c>
      <x:c r="B135" s="85" t="n">
        <x:f>'Raw Sales'!B135</x:f>
        <x:v>45351</x:v>
      </x:c>
      <x:c r="C135" s="84" t="n">
        <x:f>YEAR(B135)</x:f>
        <x:v>2024</x:v>
      </x:c>
      <x:c r="D135" s="91" t="n">
        <x:f>DATE(YEAR(B135),MONTH(B135),1)</x:f>
        <x:v>45323</x:v>
      </x:c>
      <x:c r="E135" s="84" t="str">
        <x:f>TEXT(B135,"mmm")</x:f>
        <x:v>Feb</x:v>
      </x:c>
      <x:c r="F135" s="84" t="str">
        <x:f>'Raw Sales'!C135</x:f>
        <x:v>CUST-0495</x:v>
      </x:c>
      <x:c r="G135" s="84" t="str">
        <x:f>PROPER(TRIM('Raw Sales'!D135))</x:f>
        <x:v>Victoria Walker</x:v>
      </x:c>
      <x:c r="H135" s="84" t="str">
        <x:f>IF(TRIM('Raw Sales'!E135)="","Unknown",PROPER(TRIM('Raw Sales'!E135)))</x:f>
        <x:v>Consumer</x:v>
      </x:c>
      <x:c r="I135" s="84" t="str">
        <x:f>PROPER(TRIM('Raw Sales'!F135))</x:f>
        <x:v>West</x:v>
      </x:c>
      <x:c r="J135" s="84" t="str">
        <x:f>PROPER(TRIM('Raw Sales'!G135))</x:f>
        <x:v>Denver</x:v>
      </x:c>
      <x:c r="K135" s="84" t="str">
        <x:f>PROPER(TRIM('Raw Sales'!H135))</x:f>
        <x:v>Online</x:v>
      </x:c>
      <x:c r="L135" s="84" t="str">
        <x:f>'Raw Sales'!I135</x:f>
        <x:v>ACCS-001</x:v>
      </x:c>
      <x:c r="M135" s="84" t="str">
        <x:f>IFERROR(VLOOKUP(L135,'Reference Data'!$A$5:$F$40,2,FALSE),"Unknown Product")</x:f>
        <x:v>Canvas Tote Bag</x:v>
      </x:c>
      <x:c r="N135" s="84" t="str">
        <x:f>IFERROR(VLOOKUP(L135,'Reference Data'!$A$5:$F$40,3,FALSE),"Unknown")</x:f>
        <x:v>Accessories</x:v>
      </x:c>
      <x:c r="O135" s="84" t="str">
        <x:f>IFERROR(VLOOKUP(L135,'Reference Data'!$A$5:$F$40,4,FALSE),"Unknown")</x:f>
        <x:v>Bags</x:v>
      </x:c>
      <x:c r="P135" s="92" t="n">
        <x:f>IFERROR(VLOOKUP(L135,'Reference Data'!$A$5:$F$40,5,FALSE),0)</x:f>
        <x:v>39</x:v>
      </x:c>
      <x:c r="Q135" s="92" t="n">
        <x:f>IFERROR(VLOOKUP(L135,'Reference Data'!$A$5:$F$40,6,FALSE),0)</x:f>
        <x:v>14</x:v>
      </x:c>
      <x:c r="R135" s="84" t="n">
        <x:f>'Raw Sales'!J135</x:f>
        <x:v>1</x:v>
      </x:c>
      <x:c r="S135" s="87" t="n">
        <x:f>'Raw Sales'!K135</x:f>
        <x:v>0.05</x:v>
      </x:c>
      <x:c r="T135" s="93" t="n">
        <x:f>P135*R135</x:f>
        <x:v>39</x:v>
      </x:c>
      <x:c r="U135" s="93" t="n">
        <x:f>T135*S135</x:f>
        <x:v>1.9500000000000002</x:v>
      </x:c>
      <x:c r="V135" s="93" t="str">
        <x:f>PROPER(TRIM('Raw Sales'!L135))</x:f>
        <x:v>Completed</x:v>
      </x:c>
      <x:c r="W135" s="93" t="n">
        <x:f>IF(V135="Returned",0,T135-U135)</x:f>
        <x:v>37.05</x:v>
      </x:c>
      <x:c r="X135" s="93" t="n">
        <x:f>IF(V135="Returned",Q135*R135*10%,Q135*R135)</x:f>
        <x:v>14</x:v>
      </x:c>
      <x:c r="Y135" s="93" t="n">
        <x:f>W135-X135</x:f>
        <x:v>23.049999999999997</x:v>
      </x:c>
      <x:c r="Z135" s="94" t="n">
        <x:f>IFERROR(Y135/W135,0)</x:f>
        <x:v>0.6221322537112011</x:v>
      </x:c>
      <x:c r="AA135" s="84" t="str">
        <x:f>PROPER(TRIM('Raw Sales'!M135))</x:f>
        <x:v>Paypal</x:v>
      </x:c>
      <x:c r="AB135" s="84" t="str">
        <x:f>PROPER(TRIM('Raw Sales'!N135))</x:f>
        <x:v>Nora Kim</x:v>
      </x:c>
      <x:c r="AC135" s="85" t="n">
        <x:f>'Raw Sales'!O135</x:f>
        <x:v>45353</x:v>
      </x:c>
      <x:c r="AD135" s="84" t="n">
        <x:f>AC135-B135</x:f>
        <x:v>2</x:v>
      </x:c>
      <x:c r="AE135" s="84" t="str">
        <x:f>IF(COUNTIF($A$5:A135,A135)&gt;1,"Duplicate","Keep")</x:f>
        <x:v>Keep</x:v>
      </x:c>
      <x:c r="AF135" s="84" t="str">
        <x:f>IF(OR(R135&lt;=0,AC135&lt;B135,H135="Unknown",M135="Unknown Product"),"Review","Valid")</x:f>
        <x:v>Valid</x:v>
      </x:c>
      <x:c r="AG135" s="84" t="n">
        <x:f>IF(AND(AE135="Keep",AF135="Valid"),1,0)</x:f>
        <x:v>1</x:v>
      </x:c>
      <x:c r="AH135" s="84" t="n">
        <x:f>IF(AND(AG135=1,OR('Dashboard'!$B$4="All",I135='Dashboard'!$B$4),OR('Dashboard'!$E$4="All",N135='Dashboard'!$E$4),OR('Dashboard'!$H$4="All",K135='Dashboard'!$H$4),OR('Dashboard'!$K$4="All",C135='Dashboard'!$K$4)),1,0)</x:f>
        <x:v>1</x:v>
      </x:c>
      <x:c r="AI135" s="84" t="n">
        <x:f>IF(AND(AG135=1,OR('Dashboard'!$B$4="All",I135='Dashboard'!$B$4),OR('Dashboard'!$E$4="All",N135='Dashboard'!$E$4),OR('Dashboard'!$H$4="All",K135='Dashboard'!$H$4)),1,0)</x:f>
        <x:v>1</x:v>
      </x:c>
    </x:row>
    <x:row r="136">
      <x:c r="A136" s="84" t="str">
        <x:f>'Raw Sales'!A136</x:f>
        <x:v>ORD-2024-00951</x:v>
      </x:c>
      <x:c r="B136" s="85" t="n">
        <x:f>'Raw Sales'!B136</x:f>
        <x:v>45351</x:v>
      </x:c>
      <x:c r="C136" s="84" t="n">
        <x:f>YEAR(B136)</x:f>
        <x:v>2024</x:v>
      </x:c>
      <x:c r="D136" s="91" t="n">
        <x:f>DATE(YEAR(B136),MONTH(B136),1)</x:f>
        <x:v>45323</x:v>
      </x:c>
      <x:c r="E136" s="84" t="str">
        <x:f>TEXT(B136,"mmm")</x:f>
        <x:v>Feb</x:v>
      </x:c>
      <x:c r="F136" s="84" t="str">
        <x:f>'Raw Sales'!C136</x:f>
        <x:v>CUST-0630</x:v>
      </x:c>
      <x:c r="G136" s="84" t="str">
        <x:f>PROPER(TRIM('Raw Sales'!D136))</x:f>
        <x:v>Jasmine Foster</x:v>
      </x:c>
      <x:c r="H136" s="84" t="str">
        <x:f>IF(TRIM('Raw Sales'!E136)="","Unknown",PROPER(TRIM('Raw Sales'!E136)))</x:f>
        <x:v>Consumer</x:v>
      </x:c>
      <x:c r="I136" s="84" t="str">
        <x:f>PROPER(TRIM('Raw Sales'!F136))</x:f>
        <x:v>Southeast</x:v>
      </x:c>
      <x:c r="J136" s="84" t="str">
        <x:f>PROPER(TRIM('Raw Sales'!G136))</x:f>
        <x:v>Miami</x:v>
      </x:c>
      <x:c r="K136" s="84" t="str">
        <x:f>PROPER(TRIM('Raw Sales'!H136))</x:f>
        <x:v>Online</x:v>
      </x:c>
      <x:c r="L136" s="84" t="str">
        <x:f>'Raw Sales'!I136</x:f>
        <x:v>FITN-003</x:v>
      </x:c>
      <x:c r="M136" s="84" t="str">
        <x:f>IFERROR(VLOOKUP(L136,'Reference Data'!$A$5:$F$40,2,FALSE),"Unknown Product")</x:f>
        <x:v>Resistance Band Set</x:v>
      </x:c>
      <x:c r="N136" s="84" t="str">
        <x:f>IFERROR(VLOOKUP(L136,'Reference Data'!$A$5:$F$40,3,FALSE),"Unknown")</x:f>
        <x:v>Fitness</x:v>
      </x:c>
      <x:c r="O136" s="84" t="str">
        <x:f>IFERROR(VLOOKUP(L136,'Reference Data'!$A$5:$F$40,4,FALSE),"Unknown")</x:f>
        <x:v>Strength</x:v>
      </x:c>
      <x:c r="P136" s="92" t="n">
        <x:f>IFERROR(VLOOKUP(L136,'Reference Data'!$A$5:$F$40,5,FALSE),0)</x:f>
        <x:v>24</x:v>
      </x:c>
      <x:c r="Q136" s="92" t="n">
        <x:f>IFERROR(VLOOKUP(L136,'Reference Data'!$A$5:$F$40,6,FALSE),0)</x:f>
        <x:v>8</x:v>
      </x:c>
      <x:c r="R136" s="84" t="n">
        <x:f>'Raw Sales'!J136</x:f>
        <x:v>1</x:v>
      </x:c>
      <x:c r="S136" s="87" t="n">
        <x:f>'Raw Sales'!K136</x:f>
        <x:v>0.15</x:v>
      </x:c>
      <x:c r="T136" s="93" t="n">
        <x:f>P136*R136</x:f>
        <x:v>24</x:v>
      </x:c>
      <x:c r="U136" s="93" t="n">
        <x:f>T136*S136</x:f>
        <x:v>3.5999999999999996</x:v>
      </x:c>
      <x:c r="V136" s="93" t="str">
        <x:f>PROPER(TRIM('Raw Sales'!L136))</x:f>
        <x:v>Completed</x:v>
      </x:c>
      <x:c r="W136" s="93" t="n">
        <x:f>IF(V136="Returned",0,T136-U136)</x:f>
        <x:v>20.4</x:v>
      </x:c>
      <x:c r="X136" s="93" t="n">
        <x:f>IF(V136="Returned",Q136*R136*10%,Q136*R136)</x:f>
        <x:v>8</x:v>
      </x:c>
      <x:c r="Y136" s="93" t="n">
        <x:f>W136-X136</x:f>
        <x:v>12.399999999999999</x:v>
      </x:c>
      <x:c r="Z136" s="94" t="n">
        <x:f>IFERROR(Y136/W136,0)</x:f>
        <x:v>0.6078431372549019</x:v>
      </x:c>
      <x:c r="AA136" s="84" t="str">
        <x:f>PROPER(TRIM('Raw Sales'!M136))</x:f>
        <x:v>Debit Card</x:v>
      </x:c>
      <x:c r="AB136" s="84" t="str">
        <x:f>PROPER(TRIM('Raw Sales'!N136))</x:f>
        <x:v>Ava Mitchell</x:v>
      </x:c>
      <x:c r="AC136" s="85" t="n">
        <x:f>'Raw Sales'!O136</x:f>
        <x:v>45356</x:v>
      </x:c>
      <x:c r="AD136" s="84" t="n">
        <x:f>AC136-B136</x:f>
        <x:v>5</x:v>
      </x:c>
      <x:c r="AE136" s="84" t="str">
        <x:f>IF(COUNTIF($A$5:A136,A136)&gt;1,"Duplicate","Keep")</x:f>
        <x:v>Keep</x:v>
      </x:c>
      <x:c r="AF136" s="84" t="str">
        <x:f>IF(OR(R136&lt;=0,AC136&lt;B136,H136="Unknown",M136="Unknown Product"),"Review","Valid")</x:f>
        <x:v>Valid</x:v>
      </x:c>
      <x:c r="AG136" s="84" t="n">
        <x:f>IF(AND(AE136="Keep",AF136="Valid"),1,0)</x:f>
        <x:v>1</x:v>
      </x:c>
      <x:c r="AH136" s="84" t="n">
        <x:f>IF(AND(AG136=1,OR('Dashboard'!$B$4="All",I136='Dashboard'!$B$4),OR('Dashboard'!$E$4="All",N136='Dashboard'!$E$4),OR('Dashboard'!$H$4="All",K136='Dashboard'!$H$4),OR('Dashboard'!$K$4="All",C136='Dashboard'!$K$4)),1,0)</x:f>
        <x:v>1</x:v>
      </x:c>
      <x:c r="AI136" s="84" t="n">
        <x:f>IF(AND(AG136=1,OR('Dashboard'!$B$4="All",I136='Dashboard'!$B$4),OR('Dashboard'!$E$4="All",N136='Dashboard'!$E$4),OR('Dashboard'!$H$4="All",K136='Dashboard'!$H$4)),1,0)</x:f>
        <x:v>1</x:v>
      </x:c>
    </x:row>
    <x:row r="137">
      <x:c r="A137" s="84" t="str">
        <x:f>'Raw Sales'!A137</x:f>
        <x:v>ORD-2024-01640</x:v>
      </x:c>
      <x:c r="B137" s="85" t="n">
        <x:f>'Raw Sales'!B137</x:f>
        <x:v>45351</x:v>
      </x:c>
      <x:c r="C137" s="84" t="n">
        <x:f>YEAR(B137)</x:f>
        <x:v>2024</x:v>
      </x:c>
      <x:c r="D137" s="91" t="n">
        <x:f>DATE(YEAR(B137),MONTH(B137),1)</x:f>
        <x:v>45323</x:v>
      </x:c>
      <x:c r="E137" s="84" t="str">
        <x:f>TEXT(B137,"mmm")</x:f>
        <x:v>Feb</x:v>
      </x:c>
      <x:c r="F137" s="84" t="str">
        <x:f>'Raw Sales'!C137</x:f>
        <x:v>CUST-0582</x:v>
      </x:c>
      <x:c r="G137" s="84" t="str">
        <x:f>PROPER(TRIM('Raw Sales'!D137))</x:f>
        <x:v>Maya Lewis</x:v>
      </x:c>
      <x:c r="H137" s="84" t="str">
        <x:f>IF(TRIM('Raw Sales'!E137)="","Unknown",PROPER(TRIM('Raw Sales'!E137)))</x:f>
        <x:v>Consumer</x:v>
      </x:c>
      <x:c r="I137" s="84" t="str">
        <x:f>PROPER(TRIM('Raw Sales'!F137))</x:f>
        <x:v>Midwest</x:v>
      </x:c>
      <x:c r="J137" s="84" t="str">
        <x:f>PROPER(TRIM('Raw Sales'!G137))</x:f>
        <x:v>Columbus</x:v>
      </x:c>
      <x:c r="K137" s="84" t="str">
        <x:f>PROPER(TRIM('Raw Sales'!H137))</x:f>
        <x:v>Online</x:v>
      </x:c>
      <x:c r="L137" s="84" t="str">
        <x:f>'Raw Sales'!I137</x:f>
        <x:v>FITN-002</x:v>
      </x:c>
      <x:c r="M137" s="84" t="str">
        <x:f>IFERROR(VLOOKUP(L137,'Reference Data'!$A$5:$F$40,2,FALSE),"Unknown Product")</x:f>
        <x:v>Adjustable Dumbbell Set</x:v>
      </x:c>
      <x:c r="N137" s="84" t="str">
        <x:f>IFERROR(VLOOKUP(L137,'Reference Data'!$A$5:$F$40,3,FALSE),"Unknown")</x:f>
        <x:v>Fitness</x:v>
      </x:c>
      <x:c r="O137" s="84" t="str">
        <x:f>IFERROR(VLOOKUP(L137,'Reference Data'!$A$5:$F$40,4,FALSE),"Unknown")</x:f>
        <x:v>Strength</x:v>
      </x:c>
      <x:c r="P137" s="92" t="n">
        <x:f>IFERROR(VLOOKUP(L137,'Reference Data'!$A$5:$F$40,5,FALSE),0)</x:f>
        <x:v>99</x:v>
      </x:c>
      <x:c r="Q137" s="92" t="n">
        <x:f>IFERROR(VLOOKUP(L137,'Reference Data'!$A$5:$F$40,6,FALSE),0)</x:f>
        <x:v>57</x:v>
      </x:c>
      <x:c r="R137" s="84" t="n">
        <x:f>'Raw Sales'!J137</x:f>
        <x:v>1</x:v>
      </x:c>
      <x:c r="S137" s="87" t="n">
        <x:f>'Raw Sales'!K137</x:f>
        <x:v>0.15</x:v>
      </x:c>
      <x:c r="T137" s="93" t="n">
        <x:f>P137*R137</x:f>
        <x:v>99</x:v>
      </x:c>
      <x:c r="U137" s="93" t="n">
        <x:f>T137*S137</x:f>
        <x:v>14.85</x:v>
      </x:c>
      <x:c r="V137" s="93" t="str">
        <x:f>PROPER(TRIM('Raw Sales'!L137))</x:f>
        <x:v>Completed</x:v>
      </x:c>
      <x:c r="W137" s="93" t="n">
        <x:f>IF(V137="Returned",0,T137-U137)</x:f>
        <x:v>84.15</x:v>
      </x:c>
      <x:c r="X137" s="93" t="n">
        <x:f>IF(V137="Returned",Q137*R137*10%,Q137*R137)</x:f>
        <x:v>57</x:v>
      </x:c>
      <x:c r="Y137" s="93" t="n">
        <x:f>W137-X137</x:f>
        <x:v>27.150000000000006</x:v>
      </x:c>
      <x:c r="Z137" s="94" t="n">
        <x:f>IFERROR(Y137/W137,0)</x:f>
        <x:v>0.322638146167558</x:v>
      </x:c>
      <x:c r="AA137" s="84" t="str">
        <x:f>PROPER(TRIM('Raw Sales'!M137))</x:f>
        <x:v>Paypal</x:v>
      </x:c>
      <x:c r="AB137" s="84" t="str">
        <x:f>PROPER(TRIM('Raw Sales'!N137))</x:f>
        <x:v>Zoe Turner</x:v>
      </x:c>
      <x:c r="AC137" s="85" t="n">
        <x:f>'Raw Sales'!O137</x:f>
        <x:v>45354</x:v>
      </x:c>
      <x:c r="AD137" s="84" t="n">
        <x:f>AC137-B137</x:f>
        <x:v>3</x:v>
      </x:c>
      <x:c r="AE137" s="84" t="str">
        <x:f>IF(COUNTIF($A$5:A137,A137)&gt;1,"Duplicate","Keep")</x:f>
        <x:v>Keep</x:v>
      </x:c>
      <x:c r="AF137" s="84" t="str">
        <x:f>IF(OR(R137&lt;=0,AC137&lt;B137,H137="Unknown",M137="Unknown Product"),"Review","Valid")</x:f>
        <x:v>Valid</x:v>
      </x:c>
      <x:c r="AG137" s="84" t="n">
        <x:f>IF(AND(AE137="Keep",AF137="Valid"),1,0)</x:f>
        <x:v>1</x:v>
      </x:c>
      <x:c r="AH137" s="84" t="n">
        <x:f>IF(AND(AG137=1,OR('Dashboard'!$B$4="All",I137='Dashboard'!$B$4),OR('Dashboard'!$E$4="All",N137='Dashboard'!$E$4),OR('Dashboard'!$H$4="All",K137='Dashboard'!$H$4),OR('Dashboard'!$K$4="All",C137='Dashboard'!$K$4)),1,0)</x:f>
        <x:v>1</x:v>
      </x:c>
      <x:c r="AI137" s="84" t="n">
        <x:f>IF(AND(AG137=1,OR('Dashboard'!$B$4="All",I137='Dashboard'!$B$4),OR('Dashboard'!$E$4="All",N137='Dashboard'!$E$4),OR('Dashboard'!$H$4="All",K137='Dashboard'!$H$4)),1,0)</x:f>
        <x:v>1</x:v>
      </x:c>
    </x:row>
    <x:row r="138">
      <x:c r="A138" s="84" t="str">
        <x:f>'Raw Sales'!A138</x:f>
        <x:v>ORD-2024-00070</x:v>
      </x:c>
      <x:c r="B138" s="85" t="n">
        <x:f>'Raw Sales'!B138</x:f>
        <x:v>45352</x:v>
      </x:c>
      <x:c r="C138" s="84" t="n">
        <x:f>YEAR(B138)</x:f>
        <x:v>2024</x:v>
      </x:c>
      <x:c r="D138" s="91" t="n">
        <x:f>DATE(YEAR(B138),MONTH(B138),1)</x:f>
        <x:v>45352</x:v>
      </x:c>
      <x:c r="E138" s="84" t="str">
        <x:f>TEXT(B138,"mmm")</x:f>
        <x:v>Mar</x:v>
      </x:c>
      <x:c r="F138" s="84" t="str">
        <x:f>'Raw Sales'!C138</x:f>
        <x:v>CUST-0021</x:v>
      </x:c>
      <x:c r="G138" s="84" t="str">
        <x:f>PROPER(TRIM('Raw Sales'!D138))</x:f>
        <x:v>Elena Adams</x:v>
      </x:c>
      <x:c r="H138" s="84" t="str">
        <x:f>IF(TRIM('Raw Sales'!E138)="","Unknown",PROPER(TRIM('Raw Sales'!E138)))</x:f>
        <x:v>Consumer</x:v>
      </x:c>
      <x:c r="I138" s="84" t="str">
        <x:f>PROPER(TRIM('Raw Sales'!F138))</x:f>
        <x:v>West</x:v>
      </x:c>
      <x:c r="J138" s="84" t="str">
        <x:f>PROPER(TRIM('Raw Sales'!G138))</x:f>
        <x:v>Denver</x:v>
      </x:c>
      <x:c r="K138" s="84" t="str">
        <x:f>PROPER(TRIM('Raw Sales'!H138))</x:f>
        <x:v>Retail Store</x:v>
      </x:c>
      <x:c r="L138" s="84" t="str">
        <x:f>'Raw Sales'!I138</x:f>
        <x:v>ELEC-002</x:v>
      </x:c>
      <x:c r="M138" s="84" t="str">
        <x:f>IFERROR(VLOOKUP(L138,'Reference Data'!$A$5:$F$40,2,FALSE),"Unknown Product")</x:f>
        <x:v>Smartwatch</x:v>
      </x:c>
      <x:c r="N138" s="84" t="str">
        <x:f>IFERROR(VLOOKUP(L138,'Reference Data'!$A$5:$F$40,3,FALSE),"Unknown")</x:f>
        <x:v>Electronics</x:v>
      </x:c>
      <x:c r="O138" s="84" t="str">
        <x:f>IFERROR(VLOOKUP(L138,'Reference Data'!$A$5:$F$40,4,FALSE),"Unknown")</x:f>
        <x:v>Wearables</x:v>
      </x:c>
      <x:c r="P138" s="92" t="n">
        <x:f>IFERROR(VLOOKUP(L138,'Reference Data'!$A$5:$F$40,5,FALSE),0)</x:f>
        <x:v>159</x:v>
      </x:c>
      <x:c r="Q138" s="92" t="n">
        <x:f>IFERROR(VLOOKUP(L138,'Reference Data'!$A$5:$F$40,6,FALSE),0)</x:f>
        <x:v>92</x:v>
      </x:c>
      <x:c r="R138" s="84" t="n">
        <x:f>'Raw Sales'!J138</x:f>
        <x:v>1</x:v>
      </x:c>
      <x:c r="S138" s="87" t="n">
        <x:f>'Raw Sales'!K138</x:f>
        <x:v>0.05</x:v>
      </x:c>
      <x:c r="T138" s="93" t="n">
        <x:f>P138*R138</x:f>
        <x:v>159</x:v>
      </x:c>
      <x:c r="U138" s="93" t="n">
        <x:f>T138*S138</x:f>
        <x:v>7.95</x:v>
      </x:c>
      <x:c r="V138" s="93" t="str">
        <x:f>PROPER(TRIM('Raw Sales'!L138))</x:f>
        <x:v>Completed</x:v>
      </x:c>
      <x:c r="W138" s="93" t="n">
        <x:f>IF(V138="Returned",0,T138-U138)</x:f>
        <x:v>151.05</x:v>
      </x:c>
      <x:c r="X138" s="93" t="n">
        <x:f>IF(V138="Returned",Q138*R138*10%,Q138*R138)</x:f>
        <x:v>92</x:v>
      </x:c>
      <x:c r="Y138" s="93" t="n">
        <x:f>W138-X138</x:f>
        <x:v>59.05000000000001</x:v>
      </x:c>
      <x:c r="Z138" s="94" t="n">
        <x:f>IFERROR(Y138/W138,0)</x:f>
        <x:v>0.39093015557762334</x:v>
      </x:c>
      <x:c r="AA138" s="84" t="str">
        <x:f>PROPER(TRIM('Raw Sales'!M138))</x:f>
        <x:v>Debit Card</x:v>
      </x:c>
      <x:c r="AB138" s="84" t="str">
        <x:f>PROPER(TRIM('Raw Sales'!N138))</x:f>
        <x:v>Mia Chen</x:v>
      </x:c>
      <x:c r="AC138" s="85" t="n">
        <x:f>'Raw Sales'!O138</x:f>
        <x:v>45353</x:v>
      </x:c>
      <x:c r="AD138" s="84" t="n">
        <x:f>AC138-B138</x:f>
        <x:v>1</x:v>
      </x:c>
      <x:c r="AE138" s="84" t="str">
        <x:f>IF(COUNTIF($A$5:A138,A138)&gt;1,"Duplicate","Keep")</x:f>
        <x:v>Keep</x:v>
      </x:c>
      <x:c r="AF138" s="84" t="str">
        <x:f>IF(OR(R138&lt;=0,AC138&lt;B138,H138="Unknown",M138="Unknown Product"),"Review","Valid")</x:f>
        <x:v>Valid</x:v>
      </x:c>
      <x:c r="AG138" s="84" t="n">
        <x:f>IF(AND(AE138="Keep",AF138="Valid"),1,0)</x:f>
        <x:v>1</x:v>
      </x:c>
      <x:c r="AH138" s="84" t="n">
        <x:f>IF(AND(AG138=1,OR('Dashboard'!$B$4="All",I138='Dashboard'!$B$4),OR('Dashboard'!$E$4="All",N138='Dashboard'!$E$4),OR('Dashboard'!$H$4="All",K138='Dashboard'!$H$4),OR('Dashboard'!$K$4="All",C138='Dashboard'!$K$4)),1,0)</x:f>
        <x:v>1</x:v>
      </x:c>
      <x:c r="AI138" s="84" t="n">
        <x:f>IF(AND(AG138=1,OR('Dashboard'!$B$4="All",I138='Dashboard'!$B$4),OR('Dashboard'!$E$4="All",N138='Dashboard'!$E$4),OR('Dashboard'!$H$4="All",K138='Dashboard'!$H$4)),1,0)</x:f>
        <x:v>1</x:v>
      </x:c>
    </x:row>
    <x:row r="139">
      <x:c r="A139" s="84" t="str">
        <x:f>'Raw Sales'!A139</x:f>
        <x:v>ORD-2024-01199</x:v>
      </x:c>
      <x:c r="B139" s="85" t="n">
        <x:f>'Raw Sales'!B139</x:f>
        <x:v>45352</x:v>
      </x:c>
      <x:c r="C139" s="84" t="n">
        <x:f>YEAR(B139)</x:f>
        <x:v>2024</x:v>
      </x:c>
      <x:c r="D139" s="91" t="n">
        <x:f>DATE(YEAR(B139),MONTH(B139),1)</x:f>
        <x:v>45352</x:v>
      </x:c>
      <x:c r="E139" s="84" t="str">
        <x:f>TEXT(B139,"mmm")</x:f>
        <x:v>Mar</x:v>
      </x:c>
      <x:c r="F139" s="84" t="str">
        <x:f>'Raw Sales'!C139</x:f>
        <x:v>CUST-0366</x:v>
      </x:c>
      <x:c r="G139" s="84" t="str">
        <x:f>PROPER(TRIM('Raw Sales'!D139))</x:f>
        <x:v>Priya Foster</x:v>
      </x:c>
      <x:c r="H139" s="84" t="str">
        <x:f>IF(TRIM('Raw Sales'!E139)="","Unknown",PROPER(TRIM('Raw Sales'!E139)))</x:f>
        <x:v>Corporate</x:v>
      </x:c>
      <x:c r="I139" s="84" t="str">
        <x:f>PROPER(TRIM('Raw Sales'!F139))</x:f>
        <x:v>Southeast</x:v>
      </x:c>
      <x:c r="J139" s="84" t="str">
        <x:f>PROPER(TRIM('Raw Sales'!G139))</x:f>
        <x:v>Charlotte</x:v>
      </x:c>
      <x:c r="K139" s="84" t="str">
        <x:f>PROPER(TRIM('Raw Sales'!H139))</x:f>
        <x:v>Marketplace</x:v>
      </x:c>
      <x:c r="L139" s="84" t="str">
        <x:f>'Raw Sales'!I139</x:f>
        <x:v>ELEC-001</x:v>
      </x:c>
      <x:c r="M139" s="84" t="str">
        <x:f>IFERROR(VLOOKUP(L139,'Reference Data'!$A$5:$F$40,2,FALSE),"Unknown Product")</x:f>
        <x:v>Wireless Earbuds</x:v>
      </x:c>
      <x:c r="N139" s="84" t="str">
        <x:f>IFERROR(VLOOKUP(L139,'Reference Data'!$A$5:$F$40,3,FALSE),"Unknown")</x:f>
        <x:v>Electronics</x:v>
      </x:c>
      <x:c r="O139" s="84" t="str">
        <x:f>IFERROR(VLOOKUP(L139,'Reference Data'!$A$5:$F$40,4,FALSE),"Unknown")</x:f>
        <x:v>Audio</x:v>
      </x:c>
      <x:c r="P139" s="92" t="n">
        <x:f>IFERROR(VLOOKUP(L139,'Reference Data'!$A$5:$F$40,5,FALSE),0)</x:f>
        <x:v>69</x:v>
      </x:c>
      <x:c r="Q139" s="92" t="n">
        <x:f>IFERROR(VLOOKUP(L139,'Reference Data'!$A$5:$F$40,6,FALSE),0)</x:f>
        <x:v>36</x:v>
      </x:c>
      <x:c r="R139" s="84" t="n">
        <x:f>'Raw Sales'!J139</x:f>
        <x:v>1</x:v>
      </x:c>
      <x:c r="S139" s="87" t="n">
        <x:f>'Raw Sales'!K139</x:f>
        <x:v>0.15</x:v>
      </x:c>
      <x:c r="T139" s="93" t="n">
        <x:f>P139*R139</x:f>
        <x:v>69</x:v>
      </x:c>
      <x:c r="U139" s="93" t="n">
        <x:f>T139*S139</x:f>
        <x:v>10.35</x:v>
      </x:c>
      <x:c r="V139" s="93" t="str">
        <x:f>PROPER(TRIM('Raw Sales'!L139))</x:f>
        <x:v>Completed</x:v>
      </x:c>
      <x:c r="W139" s="93" t="n">
        <x:f>IF(V139="Returned",0,T139-U139)</x:f>
        <x:v>58.65</x:v>
      </x:c>
      <x:c r="X139" s="93" t="n">
        <x:f>IF(V139="Returned",Q139*R139*10%,Q139*R139)</x:f>
        <x:v>36</x:v>
      </x:c>
      <x:c r="Y139" s="93" t="n">
        <x:f>W139-X139</x:f>
        <x:v>22.65</x:v>
      </x:c>
      <x:c r="Z139" s="94" t="n">
        <x:f>IFERROR(Y139/W139,0)</x:f>
        <x:v>0.38618925831202044</x:v>
      </x:c>
      <x:c r="AA139" s="84" t="str">
        <x:f>PROPER(TRIM('Raw Sales'!M139))</x:f>
        <x:v>Mobile Wallet</x:v>
      </x:c>
      <x:c r="AB139" s="84" t="str">
        <x:f>PROPER(TRIM('Raw Sales'!N139))</x:f>
        <x:v>Liam Parker</x:v>
      </x:c>
      <x:c r="AC139" s="85" t="n">
        <x:f>'Raw Sales'!O139</x:f>
        <x:v>45359</x:v>
      </x:c>
      <x:c r="AD139" s="84" t="n">
        <x:f>AC139-B139</x:f>
        <x:v>7</x:v>
      </x:c>
      <x:c r="AE139" s="84" t="str">
        <x:f>IF(COUNTIF($A$5:A139,A139)&gt;1,"Duplicate","Keep")</x:f>
        <x:v>Keep</x:v>
      </x:c>
      <x:c r="AF139" s="84" t="str">
        <x:f>IF(OR(R139&lt;=0,AC139&lt;B139,H139="Unknown",M139="Unknown Product"),"Review","Valid")</x:f>
        <x:v>Valid</x:v>
      </x:c>
      <x:c r="AG139" s="84" t="n">
        <x:f>IF(AND(AE139="Keep",AF139="Valid"),1,0)</x:f>
        <x:v>1</x:v>
      </x:c>
      <x:c r="AH139" s="84" t="n">
        <x:f>IF(AND(AG139=1,OR('Dashboard'!$B$4="All",I139='Dashboard'!$B$4),OR('Dashboard'!$E$4="All",N139='Dashboard'!$E$4),OR('Dashboard'!$H$4="All",K139='Dashboard'!$H$4),OR('Dashboard'!$K$4="All",C139='Dashboard'!$K$4)),1,0)</x:f>
        <x:v>1</x:v>
      </x:c>
      <x:c r="AI139" s="84" t="n">
        <x:f>IF(AND(AG139=1,OR('Dashboard'!$B$4="All",I139='Dashboard'!$B$4),OR('Dashboard'!$E$4="All",N139='Dashboard'!$E$4),OR('Dashboard'!$H$4="All",K139='Dashboard'!$H$4)),1,0)</x:f>
        <x:v>1</x:v>
      </x:c>
    </x:row>
    <x:row r="140">
      <x:c r="A140" s="84" t="str">
        <x:f>'Raw Sales'!A140</x:f>
        <x:v>ORD-2024-00604</x:v>
      </x:c>
      <x:c r="B140" s="85" t="n">
        <x:f>'Raw Sales'!B140</x:f>
        <x:v>45353</x:v>
      </x:c>
      <x:c r="C140" s="84" t="n">
        <x:f>YEAR(B140)</x:f>
        <x:v>2024</x:v>
      </x:c>
      <x:c r="D140" s="91" t="n">
        <x:f>DATE(YEAR(B140),MONTH(B140),1)</x:f>
        <x:v>45352</x:v>
      </x:c>
      <x:c r="E140" s="84" t="str">
        <x:f>TEXT(B140,"mmm")</x:f>
        <x:v>Mar</x:v>
      </x:c>
      <x:c r="F140" s="84" t="str">
        <x:f>'Raw Sales'!C140</x:f>
        <x:v>CUST-0361</x:v>
      </x:c>
      <x:c r="G140" s="84" t="str">
        <x:f>PROPER(TRIM('Raw Sales'!D140))</x:f>
        <x:v>Priya Moore</x:v>
      </x:c>
      <x:c r="H140" s="84" t="str">
        <x:f>IF(TRIM('Raw Sales'!E140)="","Unknown",PROPER(TRIM('Raw Sales'!E140)))</x:f>
        <x:v>Corporate</x:v>
      </x:c>
      <x:c r="I140" s="84" t="str">
        <x:f>PROPER(TRIM('Raw Sales'!F140))</x:f>
        <x:v>West</x:v>
      </x:c>
      <x:c r="J140" s="84" t="str">
        <x:f>PROPER(TRIM('Raw Sales'!G140))</x:f>
        <x:v>Phoenix</x:v>
      </x:c>
      <x:c r="K140" s="84" t="str">
        <x:f>PROPER(TRIM('Raw Sales'!H140))</x:f>
        <x:v>Retail Store</x:v>
      </x:c>
      <x:c r="L140" s="84" t="str">
        <x:f>'Raw Sales'!I140</x:f>
        <x:v>ELEC-001</x:v>
      </x:c>
      <x:c r="M140" s="84" t="str">
        <x:f>IFERROR(VLOOKUP(L140,'Reference Data'!$A$5:$F$40,2,FALSE),"Unknown Product")</x:f>
        <x:v>Wireless Earbuds</x:v>
      </x:c>
      <x:c r="N140" s="84" t="str">
        <x:f>IFERROR(VLOOKUP(L140,'Reference Data'!$A$5:$F$40,3,FALSE),"Unknown")</x:f>
        <x:v>Electronics</x:v>
      </x:c>
      <x:c r="O140" s="84" t="str">
        <x:f>IFERROR(VLOOKUP(L140,'Reference Data'!$A$5:$F$40,4,FALSE),"Unknown")</x:f>
        <x:v>Audio</x:v>
      </x:c>
      <x:c r="P140" s="92" t="n">
        <x:f>IFERROR(VLOOKUP(L140,'Reference Data'!$A$5:$F$40,5,FALSE),0)</x:f>
        <x:v>69</x:v>
      </x:c>
      <x:c r="Q140" s="92" t="n">
        <x:f>IFERROR(VLOOKUP(L140,'Reference Data'!$A$5:$F$40,6,FALSE),0)</x:f>
        <x:v>36</x:v>
      </x:c>
      <x:c r="R140" s="84" t="n">
        <x:f>'Raw Sales'!J140</x:f>
        <x:v>1</x:v>
      </x:c>
      <x:c r="S140" s="87" t="n">
        <x:f>'Raw Sales'!K140</x:f>
        <x:v>0</x:v>
      </x:c>
      <x:c r="T140" s="93" t="n">
        <x:f>P140*R140</x:f>
        <x:v>69</x:v>
      </x:c>
      <x:c r="U140" s="93" t="n">
        <x:f>T140*S140</x:f>
        <x:v>0</x:v>
      </x:c>
      <x:c r="V140" s="93" t="str">
        <x:f>PROPER(TRIM('Raw Sales'!L140))</x:f>
        <x:v>Completed</x:v>
      </x:c>
      <x:c r="W140" s="93" t="n">
        <x:f>IF(V140="Returned",0,T140-U140)</x:f>
        <x:v>69</x:v>
      </x:c>
      <x:c r="X140" s="93" t="n">
        <x:f>IF(V140="Returned",Q140*R140*10%,Q140*R140)</x:f>
        <x:v>36</x:v>
      </x:c>
      <x:c r="Y140" s="93" t="n">
        <x:f>W140-X140</x:f>
        <x:v>33</x:v>
      </x:c>
      <x:c r="Z140" s="94" t="n">
        <x:f>IFERROR(Y140/W140,0)</x:f>
        <x:v>0.4782608695652174</x:v>
      </x:c>
      <x:c r="AA140" s="84" t="str">
        <x:f>PROPER(TRIM('Raw Sales'!M140))</x:f>
        <x:v>Cash</x:v>
      </x:c>
      <x:c r="AB140" s="84" t="str">
        <x:f>PROPER(TRIM('Raw Sales'!N140))</x:f>
        <x:v>Nora Kim</x:v>
      </x:c>
      <x:c r="AC140" s="85" t="n">
        <x:f>'Raw Sales'!O140</x:f>
        <x:v>45353</x:v>
      </x:c>
      <x:c r="AD140" s="84" t="n">
        <x:f>AC140-B140</x:f>
        <x:v>0</x:v>
      </x:c>
      <x:c r="AE140" s="84" t="str">
        <x:f>IF(COUNTIF($A$5:A140,A140)&gt;1,"Duplicate","Keep")</x:f>
        <x:v>Keep</x:v>
      </x:c>
      <x:c r="AF140" s="84" t="str">
        <x:f>IF(OR(R140&lt;=0,AC140&lt;B140,H140="Unknown",M140="Unknown Product"),"Review","Valid")</x:f>
        <x:v>Valid</x:v>
      </x:c>
      <x:c r="AG140" s="84" t="n">
        <x:f>IF(AND(AE140="Keep",AF140="Valid"),1,0)</x:f>
        <x:v>1</x:v>
      </x:c>
      <x:c r="AH140" s="84" t="n">
        <x:f>IF(AND(AG140=1,OR('Dashboard'!$B$4="All",I140='Dashboard'!$B$4),OR('Dashboard'!$E$4="All",N140='Dashboard'!$E$4),OR('Dashboard'!$H$4="All",K140='Dashboard'!$H$4),OR('Dashboard'!$K$4="All",C140='Dashboard'!$K$4)),1,0)</x:f>
        <x:v>1</x:v>
      </x:c>
      <x:c r="AI140" s="84" t="n">
        <x:f>IF(AND(AG140=1,OR('Dashboard'!$B$4="All",I140='Dashboard'!$B$4),OR('Dashboard'!$E$4="All",N140='Dashboard'!$E$4),OR('Dashboard'!$H$4="All",K140='Dashboard'!$H$4)),1,0)</x:f>
        <x:v>1</x:v>
      </x:c>
    </x:row>
    <x:row r="141">
      <x:c r="A141" s="84" t="str">
        <x:f>'Raw Sales'!A141</x:f>
        <x:v>ORD-2024-00604</x:v>
      </x:c>
      <x:c r="B141" s="85" t="n">
        <x:f>'Raw Sales'!B141</x:f>
        <x:v>45353</x:v>
      </x:c>
      <x:c r="C141" s="84" t="n">
        <x:f>YEAR(B141)</x:f>
        <x:v>2024</x:v>
      </x:c>
      <x:c r="D141" s="91" t="n">
        <x:f>DATE(YEAR(B141),MONTH(B141),1)</x:f>
        <x:v>45352</x:v>
      </x:c>
      <x:c r="E141" s="84" t="str">
        <x:f>TEXT(B141,"mmm")</x:f>
        <x:v>Mar</x:v>
      </x:c>
      <x:c r="F141" s="84" t="str">
        <x:f>'Raw Sales'!C141</x:f>
        <x:v>CUST-0361</x:v>
      </x:c>
      <x:c r="G141" s="84" t="str">
        <x:f>PROPER(TRIM('Raw Sales'!D141))</x:f>
        <x:v>Priya Moore</x:v>
      </x:c>
      <x:c r="H141" s="84" t="str">
        <x:f>IF(TRIM('Raw Sales'!E141)="","Unknown",PROPER(TRIM('Raw Sales'!E141)))</x:f>
        <x:v>Corporate</x:v>
      </x:c>
      <x:c r="I141" s="84" t="str">
        <x:f>PROPER(TRIM('Raw Sales'!F141))</x:f>
        <x:v>West</x:v>
      </x:c>
      <x:c r="J141" s="84" t="str">
        <x:f>PROPER(TRIM('Raw Sales'!G141))</x:f>
        <x:v>Phoenix</x:v>
      </x:c>
      <x:c r="K141" s="84" t="str">
        <x:f>PROPER(TRIM('Raw Sales'!H141))</x:f>
        <x:v>Retail Store</x:v>
      </x:c>
      <x:c r="L141" s="84" t="str">
        <x:f>'Raw Sales'!I141</x:f>
        <x:v>ELEC-001</x:v>
      </x:c>
      <x:c r="M141" s="84" t="str">
        <x:f>IFERROR(VLOOKUP(L141,'Reference Data'!$A$5:$F$40,2,FALSE),"Unknown Product")</x:f>
        <x:v>Wireless Earbuds</x:v>
      </x:c>
      <x:c r="N141" s="84" t="str">
        <x:f>IFERROR(VLOOKUP(L141,'Reference Data'!$A$5:$F$40,3,FALSE),"Unknown")</x:f>
        <x:v>Electronics</x:v>
      </x:c>
      <x:c r="O141" s="84" t="str">
        <x:f>IFERROR(VLOOKUP(L141,'Reference Data'!$A$5:$F$40,4,FALSE),"Unknown")</x:f>
        <x:v>Audio</x:v>
      </x:c>
      <x:c r="P141" s="92" t="n">
        <x:f>IFERROR(VLOOKUP(L141,'Reference Data'!$A$5:$F$40,5,FALSE),0)</x:f>
        <x:v>69</x:v>
      </x:c>
      <x:c r="Q141" s="92" t="n">
        <x:f>IFERROR(VLOOKUP(L141,'Reference Data'!$A$5:$F$40,6,FALSE),0)</x:f>
        <x:v>36</x:v>
      </x:c>
      <x:c r="R141" s="84" t="n">
        <x:f>'Raw Sales'!J141</x:f>
        <x:v>1</x:v>
      </x:c>
      <x:c r="S141" s="87" t="n">
        <x:f>'Raw Sales'!K141</x:f>
        <x:v>0</x:v>
      </x:c>
      <x:c r="T141" s="93" t="n">
        <x:f>P141*R141</x:f>
        <x:v>69</x:v>
      </x:c>
      <x:c r="U141" s="93" t="n">
        <x:f>T141*S141</x:f>
        <x:v>0</x:v>
      </x:c>
      <x:c r="V141" s="93" t="str">
        <x:f>PROPER(TRIM('Raw Sales'!L141))</x:f>
        <x:v>Completed</x:v>
      </x:c>
      <x:c r="W141" s="93" t="n">
        <x:f>IF(V141="Returned",0,T141-U141)</x:f>
        <x:v>69</x:v>
      </x:c>
      <x:c r="X141" s="93" t="n">
        <x:f>IF(V141="Returned",Q141*R141*10%,Q141*R141)</x:f>
        <x:v>36</x:v>
      </x:c>
      <x:c r="Y141" s="93" t="n">
        <x:f>W141-X141</x:f>
        <x:v>33</x:v>
      </x:c>
      <x:c r="Z141" s="94" t="n">
        <x:f>IFERROR(Y141/W141,0)</x:f>
        <x:v>0.4782608695652174</x:v>
      </x:c>
      <x:c r="AA141" s="84" t="str">
        <x:f>PROPER(TRIM('Raw Sales'!M141))</x:f>
        <x:v>Cash</x:v>
      </x:c>
      <x:c r="AB141" s="84" t="str">
        <x:f>PROPER(TRIM('Raw Sales'!N141))</x:f>
        <x:v>Nora Kim</x:v>
      </x:c>
      <x:c r="AC141" s="85" t="n">
        <x:f>'Raw Sales'!O141</x:f>
        <x:v>45353</x:v>
      </x:c>
      <x:c r="AD141" s="84" t="n">
        <x:f>AC141-B141</x:f>
        <x:v>0</x:v>
      </x:c>
      <x:c r="AE141" s="84" t="str">
        <x:f>IF(COUNTIF($A$5:A141,A141)&gt;1,"Duplicate","Keep")</x:f>
        <x:v>Duplicate</x:v>
      </x:c>
      <x:c r="AF141" s="84" t="str">
        <x:f>IF(OR(R141&lt;=0,AC141&lt;B141,H141="Unknown",M141="Unknown Product"),"Review","Valid")</x:f>
        <x:v>Valid</x:v>
      </x:c>
      <x:c r="AG141" s="84" t="n">
        <x:f>IF(AND(AE141="Keep",AF141="Valid"),1,0)</x:f>
        <x:v>0</x:v>
      </x:c>
      <x:c r="AH141" s="84" t="n">
        <x:f>IF(AND(AG141=1,OR('Dashboard'!$B$4="All",I141='Dashboard'!$B$4),OR('Dashboard'!$E$4="All",N141='Dashboard'!$E$4),OR('Dashboard'!$H$4="All",K141='Dashboard'!$H$4),OR('Dashboard'!$K$4="All",C141='Dashboard'!$K$4)),1,0)</x:f>
        <x:v>0</x:v>
      </x:c>
      <x:c r="AI141" s="84" t="n">
        <x:f>IF(AND(AG141=1,OR('Dashboard'!$B$4="All",I141='Dashboard'!$B$4),OR('Dashboard'!$E$4="All",N141='Dashboard'!$E$4),OR('Dashboard'!$H$4="All",K141='Dashboard'!$H$4)),1,0)</x:f>
        <x:v>0</x:v>
      </x:c>
    </x:row>
    <x:row r="142">
      <x:c r="A142" s="84" t="str">
        <x:f>'Raw Sales'!A142</x:f>
        <x:v>ORD-2024-02090</x:v>
      </x:c>
      <x:c r="B142" s="85" t="n">
        <x:f>'Raw Sales'!B142</x:f>
        <x:v>45353</x:v>
      </x:c>
      <x:c r="C142" s="84" t="n">
        <x:f>YEAR(B142)</x:f>
        <x:v>2024</x:v>
      </x:c>
      <x:c r="D142" s="91" t="n">
        <x:f>DATE(YEAR(B142),MONTH(B142),1)</x:f>
        <x:v>45352</x:v>
      </x:c>
      <x:c r="E142" s="84" t="str">
        <x:f>TEXT(B142,"mmm")</x:f>
        <x:v>Mar</x:v>
      </x:c>
      <x:c r="F142" s="84" t="str">
        <x:f>'Raw Sales'!C142</x:f>
        <x:v>CUST-0441</x:v>
      </x:c>
      <x:c r="G142" s="84" t="str">
        <x:f>PROPER(TRIM('Raw Sales'!D142))</x:f>
        <x:v>Maya Roberts</x:v>
      </x:c>
      <x:c r="H142" s="84" t="str">
        <x:f>IF(TRIM('Raw Sales'!E142)="","Unknown",PROPER(TRIM('Raw Sales'!E142)))</x:f>
        <x:v>Consumer</x:v>
      </x:c>
      <x:c r="I142" s="84" t="str">
        <x:f>PROPER(TRIM('Raw Sales'!F142))</x:f>
        <x:v>Southeast</x:v>
      </x:c>
      <x:c r="J142" s="84" t="str">
        <x:f>PROPER(TRIM('Raw Sales'!G142))</x:f>
        <x:v>Atlanta</x:v>
      </x:c>
      <x:c r="K142" s="84" t="str">
        <x:f>PROPER(TRIM('Raw Sales'!H142))</x:f>
        <x:v>Online</x:v>
      </x:c>
      <x:c r="L142" s="84" t="str">
        <x:f>'Raw Sales'!I142</x:f>
        <x:v>HOME-002</x:v>
      </x:c>
      <x:c r="M142" s="84" t="str">
        <x:f>IFERROR(VLOOKUP(L142,'Reference Data'!$A$5:$F$40,2,FALSE),"Unknown Product")</x:f>
        <x:v>Electric Kettle</x:v>
      </x:c>
      <x:c r="N142" s="84" t="str">
        <x:f>IFERROR(VLOOKUP(L142,'Reference Data'!$A$5:$F$40,3,FALSE),"Unknown")</x:f>
        <x:v>Home &amp; Kitchen</x:v>
      </x:c>
      <x:c r="O142" s="84" t="str">
        <x:f>IFERROR(VLOOKUP(L142,'Reference Data'!$A$5:$F$40,4,FALSE),"Unknown")</x:f>
        <x:v>Small Appliances</x:v>
      </x:c>
      <x:c r="P142" s="92" t="n">
        <x:f>IFERROR(VLOOKUP(L142,'Reference Data'!$A$5:$F$40,5,FALSE),0)</x:f>
        <x:v>49</x:v>
      </x:c>
      <x:c r="Q142" s="92" t="n">
        <x:f>IFERROR(VLOOKUP(L142,'Reference Data'!$A$5:$F$40,6,FALSE),0)</x:f>
        <x:v>23</x:v>
      </x:c>
      <x:c r="R142" s="84" t="n">
        <x:f>'Raw Sales'!J142</x:f>
        <x:v>2</x:v>
      </x:c>
      <x:c r="S142" s="87" t="n">
        <x:f>'Raw Sales'!K142</x:f>
        <x:v>0.05</x:v>
      </x:c>
      <x:c r="T142" s="93" t="n">
        <x:f>P142*R142</x:f>
        <x:v>98</x:v>
      </x:c>
      <x:c r="U142" s="93" t="n">
        <x:f>T142*S142</x:f>
        <x:v>4.9</x:v>
      </x:c>
      <x:c r="V142" s="93" t="str">
        <x:f>PROPER(TRIM('Raw Sales'!L142))</x:f>
        <x:v>Completed</x:v>
      </x:c>
      <x:c r="W142" s="93" t="n">
        <x:f>IF(V142="Returned",0,T142-U142)</x:f>
        <x:v>93.1</x:v>
      </x:c>
      <x:c r="X142" s="93" t="n">
        <x:f>IF(V142="Returned",Q142*R142*10%,Q142*R142)</x:f>
        <x:v>46</x:v>
      </x:c>
      <x:c r="Y142" s="93" t="n">
        <x:f>W142-X142</x:f>
        <x:v>47.099999999999994</x:v>
      </x:c>
      <x:c r="Z142" s="94" t="n">
        <x:f>IFERROR(Y142/W142,0)</x:f>
        <x:v>0.505907626208378</x:v>
      </x:c>
      <x:c r="AA142" s="84" t="str">
        <x:f>PROPER(TRIM('Raw Sales'!M142))</x:f>
        <x:v>Mobile Wallet</x:v>
      </x:c>
      <x:c r="AB142" s="84" t="str">
        <x:f>PROPER(TRIM('Raw Sales'!N142))</x:f>
        <x:v>Liam Parker</x:v>
      </x:c>
      <x:c r="AC142" s="85" t="n">
        <x:f>'Raw Sales'!O142</x:f>
        <x:v>45357</x:v>
      </x:c>
      <x:c r="AD142" s="84" t="n">
        <x:f>AC142-B142</x:f>
        <x:v>4</x:v>
      </x:c>
      <x:c r="AE142" s="84" t="str">
        <x:f>IF(COUNTIF($A$5:A142,A142)&gt;1,"Duplicate","Keep")</x:f>
        <x:v>Keep</x:v>
      </x:c>
      <x:c r="AF142" s="84" t="str">
        <x:f>IF(OR(R142&lt;=0,AC142&lt;B142,H142="Unknown",M142="Unknown Product"),"Review","Valid")</x:f>
        <x:v>Valid</x:v>
      </x:c>
      <x:c r="AG142" s="84" t="n">
        <x:f>IF(AND(AE142="Keep",AF142="Valid"),1,0)</x:f>
        <x:v>1</x:v>
      </x:c>
      <x:c r="AH142" s="84" t="n">
        <x:f>IF(AND(AG142=1,OR('Dashboard'!$B$4="All",I142='Dashboard'!$B$4),OR('Dashboard'!$E$4="All",N142='Dashboard'!$E$4),OR('Dashboard'!$H$4="All",K142='Dashboard'!$H$4),OR('Dashboard'!$K$4="All",C142='Dashboard'!$K$4)),1,0)</x:f>
        <x:v>1</x:v>
      </x:c>
      <x:c r="AI142" s="84" t="n">
        <x:f>IF(AND(AG142=1,OR('Dashboard'!$B$4="All",I142='Dashboard'!$B$4),OR('Dashboard'!$E$4="All",N142='Dashboard'!$E$4),OR('Dashboard'!$H$4="All",K142='Dashboard'!$H$4)),1,0)</x:f>
        <x:v>1</x:v>
      </x:c>
    </x:row>
    <x:row r="143">
      <x:c r="A143" s="84" t="str">
        <x:f>'Raw Sales'!A143</x:f>
        <x:v>ORD-2024-02257</x:v>
      </x:c>
      <x:c r="B143" s="85" t="n">
        <x:f>'Raw Sales'!B143</x:f>
        <x:v>45353</x:v>
      </x:c>
      <x:c r="C143" s="84" t="n">
        <x:f>YEAR(B143)</x:f>
        <x:v>2024</x:v>
      </x:c>
      <x:c r="D143" s="91" t="n">
        <x:f>DATE(YEAR(B143),MONTH(B143),1)</x:f>
        <x:v>45352</x:v>
      </x:c>
      <x:c r="E143" s="84" t="str">
        <x:f>TEXT(B143,"mmm")</x:f>
        <x:v>Mar</x:v>
      </x:c>
      <x:c r="F143" s="84" t="str">
        <x:f>'Raw Sales'!C143</x:f>
        <x:v>CUST-0633</x:v>
      </x:c>
      <x:c r="G143" s="84" t="str">
        <x:f>PROPER(TRIM('Raw Sales'!D143))</x:f>
        <x:v>Jonah Taylor</x:v>
      </x:c>
      <x:c r="H143" s="84" t="str">
        <x:f>IF(TRIM('Raw Sales'!E143)="","Unknown",PROPER(TRIM('Raw Sales'!E143)))</x:f>
        <x:v>Unknown</x:v>
      </x:c>
      <x:c r="I143" s="84" t="str">
        <x:f>PROPER(TRIM('Raw Sales'!F143))</x:f>
        <x:v>West</x:v>
      </x:c>
      <x:c r="J143" s="84" t="str">
        <x:f>PROPER(TRIM('Raw Sales'!G143))</x:f>
        <x:v>Phoenix</x:v>
      </x:c>
      <x:c r="K143" s="84" t="str">
        <x:f>PROPER(TRIM('Raw Sales'!H143))</x:f>
        <x:v>Online</x:v>
      </x:c>
      <x:c r="L143" s="84" t="str">
        <x:f>'Raw Sales'!I143</x:f>
        <x:v>OFFC-001</x:v>
      </x:c>
      <x:c r="M143" s="84" t="str">
        <x:f>IFERROR(VLOOKUP(L143,'Reference Data'!$A$5:$F$40,2,FALSE),"Unknown Product")</x:f>
        <x:v>Ergonomic Chair</x:v>
      </x:c>
      <x:c r="N143" s="84" t="str">
        <x:f>IFERROR(VLOOKUP(L143,'Reference Data'!$A$5:$F$40,3,FALSE),"Unknown")</x:f>
        <x:v>Office</x:v>
      </x:c>
      <x:c r="O143" s="84" t="str">
        <x:f>IFERROR(VLOOKUP(L143,'Reference Data'!$A$5:$F$40,4,FALSE),"Unknown")</x:f>
        <x:v>Furniture</x:v>
      </x:c>
      <x:c r="P143" s="92" t="n">
        <x:f>IFERROR(VLOOKUP(L143,'Reference Data'!$A$5:$F$40,5,FALSE),0)</x:f>
        <x:v>249</x:v>
      </x:c>
      <x:c r="Q143" s="92" t="n">
        <x:f>IFERROR(VLOOKUP(L143,'Reference Data'!$A$5:$F$40,6,FALSE),0)</x:f>
        <x:v>145</x:v>
      </x:c>
      <x:c r="R143" s="84" t="n">
        <x:f>'Raw Sales'!J143</x:f>
        <x:v>2</x:v>
      </x:c>
      <x:c r="S143" s="87" t="n">
        <x:f>'Raw Sales'!K143</x:f>
        <x:v>0.1</x:v>
      </x:c>
      <x:c r="T143" s="93" t="n">
        <x:f>P143*R143</x:f>
        <x:v>498</x:v>
      </x:c>
      <x:c r="U143" s="93" t="n">
        <x:f>T143*S143</x:f>
        <x:v>49.800000000000004</x:v>
      </x:c>
      <x:c r="V143" s="93" t="str">
        <x:f>PROPER(TRIM('Raw Sales'!L143))</x:f>
        <x:v>Completed</x:v>
      </x:c>
      <x:c r="W143" s="93" t="n">
        <x:f>IF(V143="Returned",0,T143-U143)</x:f>
        <x:v>448.2</x:v>
      </x:c>
      <x:c r="X143" s="93" t="n">
        <x:f>IF(V143="Returned",Q143*R143*10%,Q143*R143)</x:f>
        <x:v>290</x:v>
      </x:c>
      <x:c r="Y143" s="93" t="n">
        <x:f>W143-X143</x:f>
        <x:v>158.2</x:v>
      </x:c>
      <x:c r="Z143" s="94" t="n">
        <x:f>IFERROR(Y143/W143,0)</x:f>
        <x:v>0.35296742525658187</x:v>
      </x:c>
      <x:c r="AA143" s="84" t="str">
        <x:f>PROPER(TRIM('Raw Sales'!M143))</x:f>
        <x:v>Credit Card</x:v>
      </x:c>
      <x:c r="AB143" s="84" t="str">
        <x:f>PROPER(TRIM('Raw Sales'!N143))</x:f>
        <x:v>Nora Kim</x:v>
      </x:c>
      <x:c r="AC143" s="85" t="n">
        <x:f>'Raw Sales'!O143</x:f>
        <x:v>45356</x:v>
      </x:c>
      <x:c r="AD143" s="84" t="n">
        <x:f>AC143-B143</x:f>
        <x:v>3</x:v>
      </x:c>
      <x:c r="AE143" s="84" t="str">
        <x:f>IF(COUNTIF($A$5:A143,A143)&gt;1,"Duplicate","Keep")</x:f>
        <x:v>Keep</x:v>
      </x:c>
      <x:c r="AF143" s="84" t="str">
        <x:f>IF(OR(R143&lt;=0,AC143&lt;B143,H143="Unknown",M143="Unknown Product"),"Review","Valid")</x:f>
        <x:v>Review</x:v>
      </x:c>
      <x:c r="AG143" s="84" t="n">
        <x:f>IF(AND(AE143="Keep",AF143="Valid"),1,0)</x:f>
        <x:v>0</x:v>
      </x:c>
      <x:c r="AH143" s="84" t="n">
        <x:f>IF(AND(AG143=1,OR('Dashboard'!$B$4="All",I143='Dashboard'!$B$4),OR('Dashboard'!$E$4="All",N143='Dashboard'!$E$4),OR('Dashboard'!$H$4="All",K143='Dashboard'!$H$4),OR('Dashboard'!$K$4="All",C143='Dashboard'!$K$4)),1,0)</x:f>
        <x:v>0</x:v>
      </x:c>
      <x:c r="AI143" s="84" t="n">
        <x:f>IF(AND(AG143=1,OR('Dashboard'!$B$4="All",I143='Dashboard'!$B$4),OR('Dashboard'!$E$4="All",N143='Dashboard'!$E$4),OR('Dashboard'!$H$4="All",K143='Dashboard'!$H$4)),1,0)</x:f>
        <x:v>0</x:v>
      </x:c>
    </x:row>
    <x:row r="144">
      <x:c r="A144" s="84" t="str">
        <x:f>'Raw Sales'!A144</x:f>
        <x:v>ORD-2024-00276</x:v>
      </x:c>
      <x:c r="B144" s="85" t="n">
        <x:f>'Raw Sales'!B144</x:f>
        <x:v>45354</x:v>
      </x:c>
      <x:c r="C144" s="84" t="n">
        <x:f>YEAR(B144)</x:f>
        <x:v>2024</x:v>
      </x:c>
      <x:c r="D144" s="91" t="n">
        <x:f>DATE(YEAR(B144),MONTH(B144),1)</x:f>
        <x:v>45352</x:v>
      </x:c>
      <x:c r="E144" s="84" t="str">
        <x:f>TEXT(B144,"mmm")</x:f>
        <x:v>Mar</x:v>
      </x:c>
      <x:c r="F144" s="84" t="str">
        <x:f>'Raw Sales'!C144</x:f>
        <x:v>CUST-0510</x:v>
      </x:c>
      <x:c r="G144" s="84" t="str">
        <x:f>PROPER(TRIM('Raw Sales'!D144))</x:f>
        <x:v>Theo Smith</x:v>
      </x:c>
      <x:c r="H144" s="84" t="str">
        <x:f>IF(TRIM('Raw Sales'!E144)="","Unknown",PROPER(TRIM('Raw Sales'!E144)))</x:f>
        <x:v>Consumer</x:v>
      </x:c>
      <x:c r="I144" s="84" t="str">
        <x:f>PROPER(TRIM('Raw Sales'!F144))</x:f>
        <x:v>West</x:v>
      </x:c>
      <x:c r="J144" s="84" t="str">
        <x:f>PROPER(TRIM('Raw Sales'!G144))</x:f>
        <x:v>Seattle</x:v>
      </x:c>
      <x:c r="K144" s="84" t="str">
        <x:f>PROPER(TRIM('Raw Sales'!H144))</x:f>
        <x:v>Online</x:v>
      </x:c>
      <x:c r="L144" s="84" t="str">
        <x:f>'Raw Sales'!I144</x:f>
        <x:v>CARE-001</x:v>
      </x:c>
      <x:c r="M144" s="84" t="str">
        <x:f>IFERROR(VLOOKUP(L144,'Reference Data'!$A$5:$F$40,2,FALSE),"Unknown Product")</x:f>
        <x:v>Ionic Hair Dryer</x:v>
      </x:c>
      <x:c r="N144" s="84" t="str">
        <x:f>IFERROR(VLOOKUP(L144,'Reference Data'!$A$5:$F$40,3,FALSE),"Unknown")</x:f>
        <x:v>Personal Care</x:v>
      </x:c>
      <x:c r="O144" s="84" t="str">
        <x:f>IFERROR(VLOOKUP(L144,'Reference Data'!$A$5:$F$40,4,FALSE),"Unknown")</x:f>
        <x:v>Hair Care</x:v>
      </x:c>
      <x:c r="P144" s="92" t="n">
        <x:f>IFERROR(VLOOKUP(L144,'Reference Data'!$A$5:$F$40,5,FALSE),0)</x:f>
        <x:v>54</x:v>
      </x:c>
      <x:c r="Q144" s="92" t="n">
        <x:f>IFERROR(VLOOKUP(L144,'Reference Data'!$A$5:$F$40,6,FALSE),0)</x:f>
        <x:v>25</x:v>
      </x:c>
      <x:c r="R144" s="84" t="n">
        <x:f>'Raw Sales'!J144</x:f>
        <x:v>1</x:v>
      </x:c>
      <x:c r="S144" s="87" t="n">
        <x:f>'Raw Sales'!K144</x:f>
        <x:v>0</x:v>
      </x:c>
      <x:c r="T144" s="93" t="n">
        <x:f>P144*R144</x:f>
        <x:v>54</x:v>
      </x:c>
      <x:c r="U144" s="93" t="n">
        <x:f>T144*S144</x:f>
        <x:v>0</x:v>
      </x:c>
      <x:c r="V144" s="93" t="str">
        <x:f>PROPER(TRIM('Raw Sales'!L144))</x:f>
        <x:v>Completed</x:v>
      </x:c>
      <x:c r="W144" s="93" t="n">
        <x:f>IF(V144="Returned",0,T144-U144)</x:f>
        <x:v>54</x:v>
      </x:c>
      <x:c r="X144" s="93" t="n">
        <x:f>IF(V144="Returned",Q144*R144*10%,Q144*R144)</x:f>
        <x:v>25</x:v>
      </x:c>
      <x:c r="Y144" s="93" t="n">
        <x:f>W144-X144</x:f>
        <x:v>29</x:v>
      </x:c>
      <x:c r="Z144" s="94" t="n">
        <x:f>IFERROR(Y144/W144,0)</x:f>
        <x:v>0.5370370370370371</x:v>
      </x:c>
      <x:c r="AA144" s="84" t="str">
        <x:f>PROPER(TRIM('Raw Sales'!M144))</x:f>
        <x:v>Debit Card</x:v>
      </x:c>
      <x:c r="AB144" s="84" t="str">
        <x:f>PROPER(TRIM('Raw Sales'!N144))</x:f>
        <x:v>Mia Chen</x:v>
      </x:c>
      <x:c r="AC144" s="85" t="n">
        <x:f>'Raw Sales'!O144</x:f>
        <x:v>45357</x:v>
      </x:c>
      <x:c r="AD144" s="84" t="n">
        <x:f>AC144-B144</x:f>
        <x:v>3</x:v>
      </x:c>
      <x:c r="AE144" s="84" t="str">
        <x:f>IF(COUNTIF($A$5:A144,A144)&gt;1,"Duplicate","Keep")</x:f>
        <x:v>Keep</x:v>
      </x:c>
      <x:c r="AF144" s="84" t="str">
        <x:f>IF(OR(R144&lt;=0,AC144&lt;B144,H144="Unknown",M144="Unknown Product"),"Review","Valid")</x:f>
        <x:v>Valid</x:v>
      </x:c>
      <x:c r="AG144" s="84" t="n">
        <x:f>IF(AND(AE144="Keep",AF144="Valid"),1,0)</x:f>
        <x:v>1</x:v>
      </x:c>
      <x:c r="AH144" s="84" t="n">
        <x:f>IF(AND(AG144=1,OR('Dashboard'!$B$4="All",I144='Dashboard'!$B$4),OR('Dashboard'!$E$4="All",N144='Dashboard'!$E$4),OR('Dashboard'!$H$4="All",K144='Dashboard'!$H$4),OR('Dashboard'!$K$4="All",C144='Dashboard'!$K$4)),1,0)</x:f>
        <x:v>1</x:v>
      </x:c>
      <x:c r="AI144" s="84" t="n">
        <x:f>IF(AND(AG144=1,OR('Dashboard'!$B$4="All",I144='Dashboard'!$B$4),OR('Dashboard'!$E$4="All",N144='Dashboard'!$E$4),OR('Dashboard'!$H$4="All",K144='Dashboard'!$H$4)),1,0)</x:f>
        <x:v>1</x:v>
      </x:c>
    </x:row>
    <x:row r="145">
      <x:c r="A145" s="84" t="str">
        <x:f>'Raw Sales'!A145</x:f>
        <x:v>ORD-2024-00644</x:v>
      </x:c>
      <x:c r="B145" s="85" t="n">
        <x:f>'Raw Sales'!B145</x:f>
        <x:v>45354</x:v>
      </x:c>
      <x:c r="C145" s="84" t="n">
        <x:f>YEAR(B145)</x:f>
        <x:v>2024</x:v>
      </x:c>
      <x:c r="D145" s="91" t="n">
        <x:f>DATE(YEAR(B145),MONTH(B145),1)</x:f>
        <x:v>45352</x:v>
      </x:c>
      <x:c r="E145" s="84" t="str">
        <x:f>TEXT(B145,"mmm")</x:f>
        <x:v>Mar</x:v>
      </x:c>
      <x:c r="F145" s="84" t="str">
        <x:f>'Raw Sales'!C145</x:f>
        <x:v>CUST-0416</x:v>
      </x:c>
      <x:c r="G145" s="84" t="str">
        <x:f>PROPER(TRIM('Raw Sales'!D145))</x:f>
        <x:v>Isaac Garcia</x:v>
      </x:c>
      <x:c r="H145" s="84" t="str">
        <x:f>IF(TRIM('Raw Sales'!E145)="","Unknown",PROPER(TRIM('Raw Sales'!E145)))</x:f>
        <x:v>Consumer</x:v>
      </x:c>
      <x:c r="I145" s="84" t="str">
        <x:f>PROPER(TRIM('Raw Sales'!F145))</x:f>
        <x:v>Midwest</x:v>
      </x:c>
      <x:c r="J145" s="84" t="str">
        <x:f>PROPER(TRIM('Raw Sales'!G145))</x:f>
        <x:v>Chicago</x:v>
      </x:c>
      <x:c r="K145" s="84" t="str">
        <x:f>PROPER(TRIM('Raw Sales'!H145))</x:f>
        <x:v>Retail Store</x:v>
      </x:c>
      <x:c r="L145" s="84" t="str">
        <x:f>'Raw Sales'!I145</x:f>
        <x:v>ELEC-001</x:v>
      </x:c>
      <x:c r="M145" s="84" t="str">
        <x:f>IFERROR(VLOOKUP(L145,'Reference Data'!$A$5:$F$40,2,FALSE),"Unknown Product")</x:f>
        <x:v>Wireless Earbuds</x:v>
      </x:c>
      <x:c r="N145" s="84" t="str">
        <x:f>IFERROR(VLOOKUP(L145,'Reference Data'!$A$5:$F$40,3,FALSE),"Unknown")</x:f>
        <x:v>Electronics</x:v>
      </x:c>
      <x:c r="O145" s="84" t="str">
        <x:f>IFERROR(VLOOKUP(L145,'Reference Data'!$A$5:$F$40,4,FALSE),"Unknown")</x:f>
        <x:v>Audio</x:v>
      </x:c>
      <x:c r="P145" s="92" t="n">
        <x:f>IFERROR(VLOOKUP(L145,'Reference Data'!$A$5:$F$40,5,FALSE),0)</x:f>
        <x:v>69</x:v>
      </x:c>
      <x:c r="Q145" s="92" t="n">
        <x:f>IFERROR(VLOOKUP(L145,'Reference Data'!$A$5:$F$40,6,FALSE),0)</x:f>
        <x:v>36</x:v>
      </x:c>
      <x:c r="R145" s="84" t="n">
        <x:f>'Raw Sales'!J145</x:f>
        <x:v>1</x:v>
      </x:c>
      <x:c r="S145" s="87" t="n">
        <x:f>'Raw Sales'!K145</x:f>
        <x:v>0.1</x:v>
      </x:c>
      <x:c r="T145" s="93" t="n">
        <x:f>P145*R145</x:f>
        <x:v>69</x:v>
      </x:c>
      <x:c r="U145" s="93" t="n">
        <x:f>T145*S145</x:f>
        <x:v>6.9</x:v>
      </x:c>
      <x:c r="V145" s="93" t="str">
        <x:f>PROPER(TRIM('Raw Sales'!L145))</x:f>
        <x:v>Returned</x:v>
      </x:c>
      <x:c r="W145" s="93" t="n">
        <x:f>IF(V145="Returned",0,T145-U145)</x:f>
        <x:v>0</x:v>
      </x:c>
      <x:c r="X145" s="93" t="n">
        <x:f>IF(V145="Returned",Q145*R145*10%,Q145*R145)</x:f>
        <x:v>3.6</x:v>
      </x:c>
      <x:c r="Y145" s="93" t="n">
        <x:f>W145-X145</x:f>
        <x:v>-3.6</x:v>
      </x:c>
      <x:c r="Z145" s="94" t="n">
        <x:f>IFERROR(Y145/W145,0)</x:f>
        <x:v>0</x:v>
      </x:c>
      <x:c r="AA145" s="84" t="str">
        <x:f>PROPER(TRIM('Raw Sales'!M145))</x:f>
        <x:v>Credit Card</x:v>
      </x:c>
      <x:c r="AB145" s="84" t="str">
        <x:f>PROPER(TRIM('Raw Sales'!N145))</x:f>
        <x:v>Zoe Turner</x:v>
      </x:c>
      <x:c r="AC145" s="85" t="n">
        <x:f>'Raw Sales'!O145</x:f>
        <x:v>45355</x:v>
      </x:c>
      <x:c r="AD145" s="84" t="n">
        <x:f>AC145-B145</x:f>
        <x:v>1</x:v>
      </x:c>
      <x:c r="AE145" s="84" t="str">
        <x:f>IF(COUNTIF($A$5:A145,A145)&gt;1,"Duplicate","Keep")</x:f>
        <x:v>Keep</x:v>
      </x:c>
      <x:c r="AF145" s="84" t="str">
        <x:f>IF(OR(R145&lt;=0,AC145&lt;B145,H145="Unknown",M145="Unknown Product"),"Review","Valid")</x:f>
        <x:v>Valid</x:v>
      </x:c>
      <x:c r="AG145" s="84" t="n">
        <x:f>IF(AND(AE145="Keep",AF145="Valid"),1,0)</x:f>
        <x:v>1</x:v>
      </x:c>
      <x:c r="AH145" s="84" t="n">
        <x:f>IF(AND(AG145=1,OR('Dashboard'!$B$4="All",I145='Dashboard'!$B$4),OR('Dashboard'!$E$4="All",N145='Dashboard'!$E$4),OR('Dashboard'!$H$4="All",K145='Dashboard'!$H$4),OR('Dashboard'!$K$4="All",C145='Dashboard'!$K$4)),1,0)</x:f>
        <x:v>1</x:v>
      </x:c>
      <x:c r="AI145" s="84" t="n">
        <x:f>IF(AND(AG145=1,OR('Dashboard'!$B$4="All",I145='Dashboard'!$B$4),OR('Dashboard'!$E$4="All",N145='Dashboard'!$E$4),OR('Dashboard'!$H$4="All",K145='Dashboard'!$H$4)),1,0)</x:f>
        <x:v>1</x:v>
      </x:c>
    </x:row>
    <x:row r="146">
      <x:c r="A146" s="84" t="str">
        <x:f>'Raw Sales'!A146</x:f>
        <x:v>ORD-2024-00960</x:v>
      </x:c>
      <x:c r="B146" s="85" t="n">
        <x:f>'Raw Sales'!B146</x:f>
        <x:v>45354</x:v>
      </x:c>
      <x:c r="C146" s="84" t="n">
        <x:f>YEAR(B146)</x:f>
        <x:v>2024</x:v>
      </x:c>
      <x:c r="D146" s="91" t="n">
        <x:f>DATE(YEAR(B146),MONTH(B146),1)</x:f>
        <x:v>45352</x:v>
      </x:c>
      <x:c r="E146" s="84" t="str">
        <x:f>TEXT(B146,"mmm")</x:f>
        <x:v>Mar</x:v>
      </x:c>
      <x:c r="F146" s="84" t="str">
        <x:f>'Raw Sales'!C146</x:f>
        <x:v>CUST-0634</x:v>
      </x:c>
      <x:c r="G146" s="84" t="str">
        <x:f>PROPER(TRIM('Raw Sales'!D146))</x:f>
        <x:v>Daniel Nelson</x:v>
      </x:c>
      <x:c r="H146" s="84" t="str">
        <x:f>IF(TRIM('Raw Sales'!E146)="","Unknown",PROPER(TRIM('Raw Sales'!E146)))</x:f>
        <x:v>Consumer</x:v>
      </x:c>
      <x:c r="I146" s="84" t="str">
        <x:f>PROPER(TRIM('Raw Sales'!F146))</x:f>
        <x:v>Southeast</x:v>
      </x:c>
      <x:c r="J146" s="84" t="str">
        <x:f>PROPER(TRIM('Raw Sales'!G146))</x:f>
        <x:v>Atlanta</x:v>
      </x:c>
      <x:c r="K146" s="84" t="str">
        <x:f>PROPER(TRIM('Raw Sales'!H146))</x:f>
        <x:v>Online</x:v>
      </x:c>
      <x:c r="L146" s="84" t="str">
        <x:f>'Raw Sales'!I146</x:f>
        <x:v>HOME-005</x:v>
      </x:c>
      <x:c r="M146" s="84" t="str">
        <x:f>IFERROR(VLOOKUP(L146,'Reference Data'!$A$5:$F$40,2,FALSE),"Unknown Product")</x:f>
        <x:v>Cordless Vacuum</x:v>
      </x:c>
      <x:c r="N146" s="84" t="str">
        <x:f>IFERROR(VLOOKUP(L146,'Reference Data'!$A$5:$F$40,3,FALSE),"Unknown")</x:f>
        <x:v>Home &amp; Kitchen</x:v>
      </x:c>
      <x:c r="O146" s="84" t="str">
        <x:f>IFERROR(VLOOKUP(L146,'Reference Data'!$A$5:$F$40,4,FALSE),"Unknown")</x:f>
        <x:v>Cleaning</x:v>
      </x:c>
      <x:c r="P146" s="92" t="n">
        <x:f>IFERROR(VLOOKUP(L146,'Reference Data'!$A$5:$F$40,5,FALSE),0)</x:f>
        <x:v>179</x:v>
      </x:c>
      <x:c r="Q146" s="92" t="n">
        <x:f>IFERROR(VLOOKUP(L146,'Reference Data'!$A$5:$F$40,6,FALSE),0)</x:f>
        <x:v>102</x:v>
      </x:c>
      <x:c r="R146" s="84" t="n">
        <x:f>'Raw Sales'!J146</x:f>
        <x:v>3</x:v>
      </x:c>
      <x:c r="S146" s="87" t="n">
        <x:f>'Raw Sales'!K146</x:f>
        <x:v>0</x:v>
      </x:c>
      <x:c r="T146" s="93" t="n">
        <x:f>P146*R146</x:f>
        <x:v>537</x:v>
      </x:c>
      <x:c r="U146" s="93" t="n">
        <x:f>T146*S146</x:f>
        <x:v>0</x:v>
      </x:c>
      <x:c r="V146" s="93" t="str">
        <x:f>PROPER(TRIM('Raw Sales'!L146))</x:f>
        <x:v>Completed</x:v>
      </x:c>
      <x:c r="W146" s="93" t="n">
        <x:f>IF(V146="Returned",0,T146-U146)</x:f>
        <x:v>537</x:v>
      </x:c>
      <x:c r="X146" s="93" t="n">
        <x:f>IF(V146="Returned",Q146*R146*10%,Q146*R146)</x:f>
        <x:v>306</x:v>
      </x:c>
      <x:c r="Y146" s="93" t="n">
        <x:f>W146-X146</x:f>
        <x:v>231</x:v>
      </x:c>
      <x:c r="Z146" s="94" t="n">
        <x:f>IFERROR(Y146/W146,0)</x:f>
        <x:v>0.4301675977653631</x:v>
      </x:c>
      <x:c r="AA146" s="84" t="str">
        <x:f>PROPER(TRIM('Raw Sales'!M146))</x:f>
        <x:v>Credit Card</x:v>
      </x:c>
      <x:c r="AB146" s="84" t="str">
        <x:f>PROPER(TRIM('Raw Sales'!N146))</x:f>
        <x:v>Noah Reed</x:v>
      </x:c>
      <x:c r="AC146" s="85" t="n">
        <x:f>'Raw Sales'!O146</x:f>
        <x:v>45357</x:v>
      </x:c>
      <x:c r="AD146" s="84" t="n">
        <x:f>AC146-B146</x:f>
        <x:v>3</x:v>
      </x:c>
      <x:c r="AE146" s="84" t="str">
        <x:f>IF(COUNTIF($A$5:A146,A146)&gt;1,"Duplicate","Keep")</x:f>
        <x:v>Keep</x:v>
      </x:c>
      <x:c r="AF146" s="84" t="str">
        <x:f>IF(OR(R146&lt;=0,AC146&lt;B146,H146="Unknown",M146="Unknown Product"),"Review","Valid")</x:f>
        <x:v>Valid</x:v>
      </x:c>
      <x:c r="AG146" s="84" t="n">
        <x:f>IF(AND(AE146="Keep",AF146="Valid"),1,0)</x:f>
        <x:v>1</x:v>
      </x:c>
      <x:c r="AH146" s="84" t="n">
        <x:f>IF(AND(AG146=1,OR('Dashboard'!$B$4="All",I146='Dashboard'!$B$4),OR('Dashboard'!$E$4="All",N146='Dashboard'!$E$4),OR('Dashboard'!$H$4="All",K146='Dashboard'!$H$4),OR('Dashboard'!$K$4="All",C146='Dashboard'!$K$4)),1,0)</x:f>
        <x:v>1</x:v>
      </x:c>
      <x:c r="AI146" s="84" t="n">
        <x:f>IF(AND(AG146=1,OR('Dashboard'!$B$4="All",I146='Dashboard'!$B$4),OR('Dashboard'!$E$4="All",N146='Dashboard'!$E$4),OR('Dashboard'!$H$4="All",K146='Dashboard'!$H$4)),1,0)</x:f>
        <x:v>1</x:v>
      </x:c>
    </x:row>
    <x:row r="147">
      <x:c r="A147" s="84" t="str">
        <x:f>'Raw Sales'!A147</x:f>
        <x:v>ORD-2024-01944</x:v>
      </x:c>
      <x:c r="B147" s="85" t="n">
        <x:f>'Raw Sales'!B147</x:f>
        <x:v>45354</x:v>
      </x:c>
      <x:c r="C147" s="84" t="n">
        <x:f>YEAR(B147)</x:f>
        <x:v>2024</x:v>
      </x:c>
      <x:c r="D147" s="91" t="n">
        <x:f>DATE(YEAR(B147),MONTH(B147),1)</x:f>
        <x:v>45352</x:v>
      </x:c>
      <x:c r="E147" s="84" t="str">
        <x:f>TEXT(B147,"mmm")</x:f>
        <x:v>Mar</x:v>
      </x:c>
      <x:c r="F147" s="84" t="str">
        <x:f>'Raw Sales'!C147</x:f>
        <x:v>CUST-0569</x:v>
      </x:c>
      <x:c r="G147" s="84" t="str">
        <x:f>PROPER(TRIM('Raw Sales'!D147))</x:f>
        <x:v>Daniel Walker</x:v>
      </x:c>
      <x:c r="H147" s="84" t="str">
        <x:f>IF(TRIM('Raw Sales'!E147)="","Unknown",PROPER(TRIM('Raw Sales'!E147)))</x:f>
        <x:v>Consumer</x:v>
      </x:c>
      <x:c r="I147" s="84" t="str">
        <x:f>PROPER(TRIM('Raw Sales'!F147))</x:f>
        <x:v>Midwest</x:v>
      </x:c>
      <x:c r="J147" s="84" t="str">
        <x:f>PROPER(TRIM('Raw Sales'!G147))</x:f>
        <x:v>Chicago</x:v>
      </x:c>
      <x:c r="K147" s="84" t="str">
        <x:f>PROPER(TRIM('Raw Sales'!H147))</x:f>
        <x:v>Online</x:v>
      </x:c>
      <x:c r="L147" s="84" t="str">
        <x:f>'Raw Sales'!I147</x:f>
        <x:v>HOME-001</x:v>
      </x:c>
      <x:c r="M147" s="84" t="str">
        <x:f>IFERROR(VLOOKUP(L147,'Reference Data'!$A$5:$F$40,2,FALSE),"Unknown Product")</x:f>
        <x:v>Air Fryer</x:v>
      </x:c>
      <x:c r="N147" s="84" t="str">
        <x:f>IFERROR(VLOOKUP(L147,'Reference Data'!$A$5:$F$40,3,FALSE),"Unknown")</x:f>
        <x:v>Home &amp; Kitchen</x:v>
      </x:c>
      <x:c r="O147" s="84" t="str">
        <x:f>IFERROR(VLOOKUP(L147,'Reference Data'!$A$5:$F$40,4,FALSE),"Unknown")</x:f>
        <x:v>Small Appliances</x:v>
      </x:c>
      <x:c r="P147" s="92" t="n">
        <x:f>IFERROR(VLOOKUP(L147,'Reference Data'!$A$5:$F$40,5,FALSE),0)</x:f>
        <x:v>119</x:v>
      </x:c>
      <x:c r="Q147" s="92" t="n">
        <x:f>IFERROR(VLOOKUP(L147,'Reference Data'!$A$5:$F$40,6,FALSE),0)</x:f>
        <x:v>68</x:v>
      </x:c>
      <x:c r="R147" s="84" t="n">
        <x:f>'Raw Sales'!J147</x:f>
        <x:v>2</x:v>
      </x:c>
      <x:c r="S147" s="87" t="n">
        <x:f>'Raw Sales'!K147</x:f>
        <x:v>0.2</x:v>
      </x:c>
      <x:c r="T147" s="93" t="n">
        <x:f>P147*R147</x:f>
        <x:v>238</x:v>
      </x:c>
      <x:c r="U147" s="93" t="n">
        <x:f>T147*S147</x:f>
        <x:v>47.6</x:v>
      </x:c>
      <x:c r="V147" s="93" t="str">
        <x:f>PROPER(TRIM('Raw Sales'!L147))</x:f>
        <x:v>Completed</x:v>
      </x:c>
      <x:c r="W147" s="93" t="n">
        <x:f>IF(V147="Returned",0,T147-U147)</x:f>
        <x:v>190.4</x:v>
      </x:c>
      <x:c r="X147" s="93" t="n">
        <x:f>IF(V147="Returned",Q147*R147*10%,Q147*R147)</x:f>
        <x:v>136</x:v>
      </x:c>
      <x:c r="Y147" s="93" t="n">
        <x:f>W147-X147</x:f>
        <x:v>54.400000000000006</x:v>
      </x:c>
      <x:c r="Z147" s="94" t="n">
        <x:f>IFERROR(Y147/W147,0)</x:f>
        <x:v>0.28571428571428575</x:v>
      </x:c>
      <x:c r="AA147" s="84" t="str">
        <x:f>PROPER(TRIM('Raw Sales'!M147))</x:f>
        <x:v>Paypal</x:v>
      </x:c>
      <x:c r="AB147" s="84" t="str">
        <x:f>PROPER(TRIM('Raw Sales'!N147))</x:f>
        <x:v>Lucas Grant</x:v>
      </x:c>
      <x:c r="AC147" s="85" t="n">
        <x:f>'Raw Sales'!O147</x:f>
        <x:v>45356</x:v>
      </x:c>
      <x:c r="AD147" s="84" t="n">
        <x:f>AC147-B147</x:f>
        <x:v>2</x:v>
      </x:c>
      <x:c r="AE147" s="84" t="str">
        <x:f>IF(COUNTIF($A$5:A147,A147)&gt;1,"Duplicate","Keep")</x:f>
        <x:v>Keep</x:v>
      </x:c>
      <x:c r="AF147" s="84" t="str">
        <x:f>IF(OR(R147&lt;=0,AC147&lt;B147,H147="Unknown",M147="Unknown Product"),"Review","Valid")</x:f>
        <x:v>Valid</x:v>
      </x:c>
      <x:c r="AG147" s="84" t="n">
        <x:f>IF(AND(AE147="Keep",AF147="Valid"),1,0)</x:f>
        <x:v>1</x:v>
      </x:c>
      <x:c r="AH147" s="84" t="n">
        <x:f>IF(AND(AG147=1,OR('Dashboard'!$B$4="All",I147='Dashboard'!$B$4),OR('Dashboard'!$E$4="All",N147='Dashboard'!$E$4),OR('Dashboard'!$H$4="All",K147='Dashboard'!$H$4),OR('Dashboard'!$K$4="All",C147='Dashboard'!$K$4)),1,0)</x:f>
        <x:v>1</x:v>
      </x:c>
      <x:c r="AI147" s="84" t="n">
        <x:f>IF(AND(AG147=1,OR('Dashboard'!$B$4="All",I147='Dashboard'!$B$4),OR('Dashboard'!$E$4="All",N147='Dashboard'!$E$4),OR('Dashboard'!$H$4="All",K147='Dashboard'!$H$4)),1,0)</x:f>
        <x:v>1</x:v>
      </x:c>
    </x:row>
    <x:row r="148">
      <x:c r="A148" s="84" t="str">
        <x:f>'Raw Sales'!A148</x:f>
        <x:v>ORD-2024-00206</x:v>
      </x:c>
      <x:c r="B148" s="85" t="n">
        <x:f>'Raw Sales'!B148</x:f>
        <x:v>45355</x:v>
      </x:c>
      <x:c r="C148" s="84" t="n">
        <x:f>YEAR(B148)</x:f>
        <x:v>2024</x:v>
      </x:c>
      <x:c r="D148" s="91" t="n">
        <x:f>DATE(YEAR(B148),MONTH(B148),1)</x:f>
        <x:v>45352</x:v>
      </x:c>
      <x:c r="E148" s="84" t="str">
        <x:f>TEXT(B148,"mmm")</x:f>
        <x:v>Mar</x:v>
      </x:c>
      <x:c r="F148" s="84" t="str">
        <x:f>'Raw Sales'!C148</x:f>
        <x:v>CUST-0068</x:v>
      </x:c>
      <x:c r="G148" s="84" t="str">
        <x:f>PROPER(TRIM('Raw Sales'!D148))</x:f>
        <x:v>Grace Ortiz</x:v>
      </x:c>
      <x:c r="H148" s="84" t="str">
        <x:f>IF(TRIM('Raw Sales'!E148)="","Unknown",PROPER(TRIM('Raw Sales'!E148)))</x:f>
        <x:v>Consumer</x:v>
      </x:c>
      <x:c r="I148" s="84" t="str">
        <x:f>PROPER(TRIM('Raw Sales'!F148))</x:f>
        <x:v>West</x:v>
      </x:c>
      <x:c r="J148" s="84" t="str">
        <x:f>PROPER(TRIM('Raw Sales'!G148))</x:f>
        <x:v>Los Angeles</x:v>
      </x:c>
      <x:c r="K148" s="84" t="str">
        <x:f>PROPER(TRIM('Raw Sales'!H148))</x:f>
        <x:v>Online</x:v>
      </x:c>
      <x:c r="L148" s="84" t="str">
        <x:f>'Raw Sales'!I148</x:f>
        <x:v>ELEC-006</x:v>
      </x:c>
      <x:c r="M148" s="84" t="str">
        <x:f>IFERROR(VLOOKUP(L148,'Reference Data'!$A$5:$F$40,2,FALSE),"Unknown Product")</x:f>
        <x:v>Portable SSD</x:v>
      </x:c>
      <x:c r="N148" s="84" t="str">
        <x:f>IFERROR(VLOOKUP(L148,'Reference Data'!$A$5:$F$40,3,FALSE),"Unknown")</x:f>
        <x:v>Electronics</x:v>
      </x:c>
      <x:c r="O148" s="84" t="str">
        <x:f>IFERROR(VLOOKUP(L148,'Reference Data'!$A$5:$F$40,4,FALSE),"Unknown")</x:f>
        <x:v>Storage</x:v>
      </x:c>
      <x:c r="P148" s="92" t="n">
        <x:f>IFERROR(VLOOKUP(L148,'Reference Data'!$A$5:$F$40,5,FALSE),0)</x:f>
        <x:v>129</x:v>
      </x:c>
      <x:c r="Q148" s="92" t="n">
        <x:f>IFERROR(VLOOKUP(L148,'Reference Data'!$A$5:$F$40,6,FALSE),0)</x:f>
        <x:v>75</x:v>
      </x:c>
      <x:c r="R148" s="84" t="n">
        <x:f>'Raw Sales'!J148</x:f>
        <x:v>1</x:v>
      </x:c>
      <x:c r="S148" s="87" t="n">
        <x:f>'Raw Sales'!K148</x:f>
        <x:v>0</x:v>
      </x:c>
      <x:c r="T148" s="93" t="n">
        <x:f>P148*R148</x:f>
        <x:v>129</x:v>
      </x:c>
      <x:c r="U148" s="93" t="n">
        <x:f>T148*S148</x:f>
        <x:v>0</x:v>
      </x:c>
      <x:c r="V148" s="93" t="str">
        <x:f>PROPER(TRIM('Raw Sales'!L148))</x:f>
        <x:v>Completed</x:v>
      </x:c>
      <x:c r="W148" s="93" t="n">
        <x:f>IF(V148="Returned",0,T148-U148)</x:f>
        <x:v>129</x:v>
      </x:c>
      <x:c r="X148" s="93" t="n">
        <x:f>IF(V148="Returned",Q148*R148*10%,Q148*R148)</x:f>
        <x:v>75</x:v>
      </x:c>
      <x:c r="Y148" s="93" t="n">
        <x:f>W148-X148</x:f>
        <x:v>54</x:v>
      </x:c>
      <x:c r="Z148" s="94" t="n">
        <x:f>IFERROR(Y148/W148,0)</x:f>
        <x:v>0.4186046511627907</x:v>
      </x:c>
      <x:c r="AA148" s="84" t="str">
        <x:f>PROPER(TRIM('Raw Sales'!M148))</x:f>
        <x:v>Paypal</x:v>
      </x:c>
      <x:c r="AB148" s="84" t="str">
        <x:f>PROPER(TRIM('Raw Sales'!N148))</x:f>
        <x:v>Nora Kim</x:v>
      </x:c>
      <x:c r="AC148" s="85" t="n">
        <x:f>'Raw Sales'!O148</x:f>
        <x:v>45360</x:v>
      </x:c>
      <x:c r="AD148" s="84" t="n">
        <x:f>AC148-B148</x:f>
        <x:v>5</x:v>
      </x:c>
      <x:c r="AE148" s="84" t="str">
        <x:f>IF(COUNTIF($A$5:A148,A148)&gt;1,"Duplicate","Keep")</x:f>
        <x:v>Keep</x:v>
      </x:c>
      <x:c r="AF148" s="84" t="str">
        <x:f>IF(OR(R148&lt;=0,AC148&lt;B148,H148="Unknown",M148="Unknown Product"),"Review","Valid")</x:f>
        <x:v>Valid</x:v>
      </x:c>
      <x:c r="AG148" s="84" t="n">
        <x:f>IF(AND(AE148="Keep",AF148="Valid"),1,0)</x:f>
        <x:v>1</x:v>
      </x:c>
      <x:c r="AH148" s="84" t="n">
        <x:f>IF(AND(AG148=1,OR('Dashboard'!$B$4="All",I148='Dashboard'!$B$4),OR('Dashboard'!$E$4="All",N148='Dashboard'!$E$4),OR('Dashboard'!$H$4="All",K148='Dashboard'!$H$4),OR('Dashboard'!$K$4="All",C148='Dashboard'!$K$4)),1,0)</x:f>
        <x:v>1</x:v>
      </x:c>
      <x:c r="AI148" s="84" t="n">
        <x:f>IF(AND(AG148=1,OR('Dashboard'!$B$4="All",I148='Dashboard'!$B$4),OR('Dashboard'!$E$4="All",N148='Dashboard'!$E$4),OR('Dashboard'!$H$4="All",K148='Dashboard'!$H$4)),1,0)</x:f>
        <x:v>1</x:v>
      </x:c>
    </x:row>
    <x:row r="149">
      <x:c r="A149" s="84" t="str">
        <x:f>'Raw Sales'!A149</x:f>
        <x:v>ORD-2024-00243</x:v>
      </x:c>
      <x:c r="B149" s="85" t="n">
        <x:f>'Raw Sales'!B149</x:f>
        <x:v>45355</x:v>
      </x:c>
      <x:c r="C149" s="84" t="n">
        <x:f>YEAR(B149)</x:f>
        <x:v>2024</x:v>
      </x:c>
      <x:c r="D149" s="91" t="n">
        <x:f>DATE(YEAR(B149),MONTH(B149),1)</x:f>
        <x:v>45352</x:v>
      </x:c>
      <x:c r="E149" s="84" t="str">
        <x:f>TEXT(B149,"mmm")</x:f>
        <x:v>Mar</x:v>
      </x:c>
      <x:c r="F149" s="84" t="str">
        <x:f>'Raw Sales'!C149</x:f>
        <x:v>CUST-0511</x:v>
      </x:c>
      <x:c r="G149" s="84" t="str">
        <x:f>PROPER(TRIM('Raw Sales'!D149))</x:f>
        <x:v>Marcus Walker</x:v>
      </x:c>
      <x:c r="H149" s="84" t="str">
        <x:f>IF(TRIM('Raw Sales'!E149)="","Unknown",PROPER(TRIM('Raw Sales'!E149)))</x:f>
        <x:v>Corporate</x:v>
      </x:c>
      <x:c r="I149" s="84" t="str">
        <x:f>PROPER(TRIM('Raw Sales'!F149))</x:f>
        <x:v>Northeast</x:v>
      </x:c>
      <x:c r="J149" s="84" t="str">
        <x:f>PROPER(TRIM('Raw Sales'!G149))</x:f>
        <x:v>Newark</x:v>
      </x:c>
      <x:c r="K149" s="84" t="str">
        <x:f>PROPER(TRIM('Raw Sales'!H149))</x:f>
        <x:v>Online</x:v>
      </x:c>
      <x:c r="L149" s="84" t="str">
        <x:f>'Raw Sales'!I149</x:f>
        <x:v>HOME-006</x:v>
      </x:c>
      <x:c r="M149" s="84" t="str">
        <x:f>IFERROR(VLOOKUP(L149,'Reference Data'!$A$5:$F$40,2,FALSE),"Unknown Product")</x:f>
        <x:v>Food Storage Set</x:v>
      </x:c>
      <x:c r="N149" s="84" t="str">
        <x:f>IFERROR(VLOOKUP(L149,'Reference Data'!$A$5:$F$40,3,FALSE),"Unknown")</x:f>
        <x:v>Home &amp; Kitchen</x:v>
      </x:c>
      <x:c r="O149" s="84" t="str">
        <x:f>IFERROR(VLOOKUP(L149,'Reference Data'!$A$5:$F$40,4,FALSE),"Unknown")</x:f>
        <x:v>Kitchenware</x:v>
      </x:c>
      <x:c r="P149" s="92" t="n">
        <x:f>IFERROR(VLOOKUP(L149,'Reference Data'!$A$5:$F$40,5,FALSE),0)</x:f>
        <x:v>34</x:v>
      </x:c>
      <x:c r="Q149" s="92" t="n">
        <x:f>IFERROR(VLOOKUP(L149,'Reference Data'!$A$5:$F$40,6,FALSE),0)</x:f>
        <x:v>15</x:v>
      </x:c>
      <x:c r="R149" s="84" t="n">
        <x:f>'Raw Sales'!J149</x:f>
        <x:v>3</x:v>
      </x:c>
      <x:c r="S149" s="87" t="n">
        <x:f>'Raw Sales'!K149</x:f>
        <x:v>0.1</x:v>
      </x:c>
      <x:c r="T149" s="93" t="n">
        <x:f>P149*R149</x:f>
        <x:v>102</x:v>
      </x:c>
      <x:c r="U149" s="93" t="n">
        <x:f>T149*S149</x:f>
        <x:v>10.200000000000001</x:v>
      </x:c>
      <x:c r="V149" s="93" t="str">
        <x:f>PROPER(TRIM('Raw Sales'!L149))</x:f>
        <x:v>Completed</x:v>
      </x:c>
      <x:c r="W149" s="93" t="n">
        <x:f>IF(V149="Returned",0,T149-U149)</x:f>
        <x:v>91.8</x:v>
      </x:c>
      <x:c r="X149" s="93" t="n">
        <x:f>IF(V149="Returned",Q149*R149*10%,Q149*R149)</x:f>
        <x:v>45</x:v>
      </x:c>
      <x:c r="Y149" s="93" t="n">
        <x:f>W149-X149</x:f>
        <x:v>46.8</x:v>
      </x:c>
      <x:c r="Z149" s="94" t="n">
        <x:f>IFERROR(Y149/W149,0)</x:f>
        <x:v>0.5098039215686274</x:v>
      </x:c>
      <x:c r="AA149" s="84" t="str">
        <x:f>PROPER(TRIM('Raw Sales'!M149))</x:f>
        <x:v>Credit Card</x:v>
      </x:c>
      <x:c r="AB149" s="84" t="str">
        <x:f>PROPER(TRIM('Raw Sales'!N149))</x:f>
        <x:v>Sofia Bennett</x:v>
      </x:c>
      <x:c r="AC149" s="85" t="n">
        <x:f>'Raw Sales'!O149</x:f>
        <x:v>45358</x:v>
      </x:c>
      <x:c r="AD149" s="84" t="n">
        <x:f>AC149-B149</x:f>
        <x:v>3</x:v>
      </x:c>
      <x:c r="AE149" s="84" t="str">
        <x:f>IF(COUNTIF($A$5:A149,A149)&gt;1,"Duplicate","Keep")</x:f>
        <x:v>Keep</x:v>
      </x:c>
      <x:c r="AF149" s="84" t="str">
        <x:f>IF(OR(R149&lt;=0,AC149&lt;B149,H149="Unknown",M149="Unknown Product"),"Review","Valid")</x:f>
        <x:v>Valid</x:v>
      </x:c>
      <x:c r="AG149" s="84" t="n">
        <x:f>IF(AND(AE149="Keep",AF149="Valid"),1,0)</x:f>
        <x:v>1</x:v>
      </x:c>
      <x:c r="AH149" s="84" t="n">
        <x:f>IF(AND(AG149=1,OR('Dashboard'!$B$4="All",I149='Dashboard'!$B$4),OR('Dashboard'!$E$4="All",N149='Dashboard'!$E$4),OR('Dashboard'!$H$4="All",K149='Dashboard'!$H$4),OR('Dashboard'!$K$4="All",C149='Dashboard'!$K$4)),1,0)</x:f>
        <x:v>1</x:v>
      </x:c>
      <x:c r="AI149" s="84" t="n">
        <x:f>IF(AND(AG149=1,OR('Dashboard'!$B$4="All",I149='Dashboard'!$B$4),OR('Dashboard'!$E$4="All",N149='Dashboard'!$E$4),OR('Dashboard'!$H$4="All",K149='Dashboard'!$H$4)),1,0)</x:f>
        <x:v>1</x:v>
      </x:c>
    </x:row>
    <x:row r="150">
      <x:c r="A150" s="84" t="str">
        <x:f>'Raw Sales'!A150</x:f>
        <x:v>ORD-2024-00522</x:v>
      </x:c>
      <x:c r="B150" s="85" t="n">
        <x:f>'Raw Sales'!B150</x:f>
        <x:v>45355</x:v>
      </x:c>
      <x:c r="C150" s="84" t="n">
        <x:f>YEAR(B150)</x:f>
        <x:v>2024</x:v>
      </x:c>
      <x:c r="D150" s="91" t="n">
        <x:f>DATE(YEAR(B150),MONTH(B150),1)</x:f>
        <x:v>45352</x:v>
      </x:c>
      <x:c r="E150" s="84" t="str">
        <x:f>TEXT(B150,"mmm")</x:f>
        <x:v>Mar</x:v>
      </x:c>
      <x:c r="F150" s="84" t="str">
        <x:f>'Raw Sales'!C150</x:f>
        <x:v>CUST-0254</x:v>
      </x:c>
      <x:c r="G150" s="84" t="str">
        <x:f>PROPER(TRIM('Raw Sales'!D150))</x:f>
        <x:v>Marcus Carter</x:v>
      </x:c>
      <x:c r="H150" s="84" t="str">
        <x:f>IF(TRIM('Raw Sales'!E150)="","Unknown",PROPER(TRIM('Raw Sales'!E150)))</x:f>
        <x:v>Consumer</x:v>
      </x:c>
      <x:c r="I150" s="84" t="str">
        <x:f>PROPER(TRIM('Raw Sales'!F150))</x:f>
        <x:v>Northeast</x:v>
      </x:c>
      <x:c r="J150" s="84" t="str">
        <x:f>PROPER(TRIM('Raw Sales'!G150))</x:f>
        <x:v>Boston</x:v>
      </x:c>
      <x:c r="K150" s="84" t="str">
        <x:f>PROPER(TRIM('Raw Sales'!H150))</x:f>
        <x:v>Online</x:v>
      </x:c>
      <x:c r="L150" s="84" t="str">
        <x:f>'Raw Sales'!I150</x:f>
        <x:v>ELEC-004</x:v>
      </x:c>
      <x:c r="M150" s="84" t="str">
        <x:f>IFERROR(VLOOKUP(L150,'Reference Data'!$A$5:$F$40,2,FALSE),"Unknown Product")</x:f>
        <x:v>Power Bank</x:v>
      </x:c>
      <x:c r="N150" s="84" t="str">
        <x:f>IFERROR(VLOOKUP(L150,'Reference Data'!$A$5:$F$40,3,FALSE),"Unknown")</x:f>
        <x:v>Electronics</x:v>
      </x:c>
      <x:c r="O150" s="84" t="str">
        <x:f>IFERROR(VLOOKUP(L150,'Reference Data'!$A$5:$F$40,4,FALSE),"Unknown")</x:f>
        <x:v>Mobile Accessories</x:v>
      </x:c>
      <x:c r="P150" s="92" t="n">
        <x:f>IFERROR(VLOOKUP(L150,'Reference Data'!$A$5:$F$40,5,FALSE),0)</x:f>
        <x:v>39</x:v>
      </x:c>
      <x:c r="Q150" s="92" t="n">
        <x:f>IFERROR(VLOOKUP(L150,'Reference Data'!$A$5:$F$40,6,FALSE),0)</x:f>
        <x:v>18</x:v>
      </x:c>
      <x:c r="R150" s="84" t="n">
        <x:f>'Raw Sales'!J150</x:f>
        <x:v>1</x:v>
      </x:c>
      <x:c r="S150" s="87" t="n">
        <x:f>'Raw Sales'!K150</x:f>
        <x:v>0.05</x:v>
      </x:c>
      <x:c r="T150" s="93" t="n">
        <x:f>P150*R150</x:f>
        <x:v>39</x:v>
      </x:c>
      <x:c r="U150" s="93" t="n">
        <x:f>T150*S150</x:f>
        <x:v>1.9500000000000002</x:v>
      </x:c>
      <x:c r="V150" s="93" t="str">
        <x:f>PROPER(TRIM('Raw Sales'!L150))</x:f>
        <x:v>Returned</x:v>
      </x:c>
      <x:c r="W150" s="93" t="n">
        <x:f>IF(V150="Returned",0,T150-U150)</x:f>
        <x:v>0</x:v>
      </x:c>
      <x:c r="X150" s="93" t="n">
        <x:f>IF(V150="Returned",Q150*R150*10%,Q150*R150)</x:f>
        <x:v>1.8</x:v>
      </x:c>
      <x:c r="Y150" s="93" t="n">
        <x:f>W150-X150</x:f>
        <x:v>-1.8</x:v>
      </x:c>
      <x:c r="Z150" s="94" t="n">
        <x:f>IFERROR(Y150/W150,0)</x:f>
        <x:v>0</x:v>
      </x:c>
      <x:c r="AA150" s="84" t="str">
        <x:f>PROPER(TRIM('Raw Sales'!M150))</x:f>
        <x:v>Credit Card</x:v>
      </x:c>
      <x:c r="AB150" s="84" t="str">
        <x:f>PROPER(TRIM('Raw Sales'!N150))</x:f>
        <x:v>Ethan Cole</x:v>
      </x:c>
      <x:c r="AC150" s="85" t="n">
        <x:f>'Raw Sales'!O150</x:f>
        <x:v>45357</x:v>
      </x:c>
      <x:c r="AD150" s="84" t="n">
        <x:f>AC150-B150</x:f>
        <x:v>2</x:v>
      </x:c>
      <x:c r="AE150" s="84" t="str">
        <x:f>IF(COUNTIF($A$5:A150,A150)&gt;1,"Duplicate","Keep")</x:f>
        <x:v>Keep</x:v>
      </x:c>
      <x:c r="AF150" s="84" t="str">
        <x:f>IF(OR(R150&lt;=0,AC150&lt;B150,H150="Unknown",M150="Unknown Product"),"Review","Valid")</x:f>
        <x:v>Valid</x:v>
      </x:c>
      <x:c r="AG150" s="84" t="n">
        <x:f>IF(AND(AE150="Keep",AF150="Valid"),1,0)</x:f>
        <x:v>1</x:v>
      </x:c>
      <x:c r="AH150" s="84" t="n">
        <x:f>IF(AND(AG150=1,OR('Dashboard'!$B$4="All",I150='Dashboard'!$B$4),OR('Dashboard'!$E$4="All",N150='Dashboard'!$E$4),OR('Dashboard'!$H$4="All",K150='Dashboard'!$H$4),OR('Dashboard'!$K$4="All",C150='Dashboard'!$K$4)),1,0)</x:f>
        <x:v>1</x:v>
      </x:c>
      <x:c r="AI150" s="84" t="n">
        <x:f>IF(AND(AG150=1,OR('Dashboard'!$B$4="All",I150='Dashboard'!$B$4),OR('Dashboard'!$E$4="All",N150='Dashboard'!$E$4),OR('Dashboard'!$H$4="All",K150='Dashboard'!$H$4)),1,0)</x:f>
        <x:v>1</x:v>
      </x:c>
    </x:row>
    <x:row r="151">
      <x:c r="A151" s="84" t="str">
        <x:f>'Raw Sales'!A151</x:f>
        <x:v>ORD-2024-01671</x:v>
      </x:c>
      <x:c r="B151" s="85" t="n">
        <x:f>'Raw Sales'!B151</x:f>
        <x:v>45355</x:v>
      </x:c>
      <x:c r="C151" s="84" t="n">
        <x:f>YEAR(B151)</x:f>
        <x:v>2024</x:v>
      </x:c>
      <x:c r="D151" s="91" t="n">
        <x:f>DATE(YEAR(B151),MONTH(B151),1)</x:f>
        <x:v>45352</x:v>
      </x:c>
      <x:c r="E151" s="84" t="str">
        <x:f>TEXT(B151,"mmm")</x:f>
        <x:v>Mar</x:v>
      </x:c>
      <x:c r="F151" s="84" t="str">
        <x:f>'Raw Sales'!C151</x:f>
        <x:v>CUST-0396</x:v>
      </x:c>
      <x:c r="G151" s="84" t="str">
        <x:f>PROPER(TRIM('Raw Sales'!D151))</x:f>
        <x:v>Victoria Carter</x:v>
      </x:c>
      <x:c r="H151" s="84" t="str">
        <x:f>IF(TRIM('Raw Sales'!E151)="","Unknown",PROPER(TRIM('Raw Sales'!E151)))</x:f>
        <x:v>Consumer</x:v>
      </x:c>
      <x:c r="I151" s="84" t="str">
        <x:f>PROPER(TRIM('Raw Sales'!F151))</x:f>
        <x:v>Southeast</x:v>
      </x:c>
      <x:c r="J151" s="84" t="str">
        <x:f>PROPER(TRIM('Raw Sales'!G151))</x:f>
        <x:v>Nashville</x:v>
      </x:c>
      <x:c r="K151" s="84" t="str">
        <x:f>PROPER(TRIM('Raw Sales'!H151))</x:f>
        <x:v>Marketplace</x:v>
      </x:c>
      <x:c r="L151" s="84" t="str">
        <x:f>'Raw Sales'!I151</x:f>
        <x:v>HOME-004</x:v>
      </x:c>
      <x:c r="M151" s="84" t="str">
        <x:f>IFERROR(VLOOKUP(L151,'Reference Data'!$A$5:$F$40,2,FALSE),"Unknown Product")</x:f>
        <x:v>Coffee Maker</x:v>
      </x:c>
      <x:c r="N151" s="84" t="str">
        <x:f>IFERROR(VLOOKUP(L151,'Reference Data'!$A$5:$F$40,3,FALSE),"Unknown")</x:f>
        <x:v>Home &amp; Kitchen</x:v>
      </x:c>
      <x:c r="O151" s="84" t="str">
        <x:f>IFERROR(VLOOKUP(L151,'Reference Data'!$A$5:$F$40,4,FALSE),"Unknown")</x:f>
        <x:v>Small Appliances</x:v>
      </x:c>
      <x:c r="P151" s="92" t="n">
        <x:f>IFERROR(VLOOKUP(L151,'Reference Data'!$A$5:$F$40,5,FALSE),0)</x:f>
        <x:v>99</x:v>
      </x:c>
      <x:c r="Q151" s="92" t="n">
        <x:f>IFERROR(VLOOKUP(L151,'Reference Data'!$A$5:$F$40,6,FALSE),0)</x:f>
        <x:v>51</x:v>
      </x:c>
      <x:c r="R151" s="84" t="n">
        <x:f>'Raw Sales'!J151</x:f>
        <x:v>1</x:v>
      </x:c>
      <x:c r="S151" s="87" t="n">
        <x:f>'Raw Sales'!K151</x:f>
        <x:v>0.15</x:v>
      </x:c>
      <x:c r="T151" s="93" t="n">
        <x:f>P151*R151</x:f>
        <x:v>99</x:v>
      </x:c>
      <x:c r="U151" s="93" t="n">
        <x:f>T151*S151</x:f>
        <x:v>14.85</x:v>
      </x:c>
      <x:c r="V151" s="93" t="str">
        <x:f>PROPER(TRIM('Raw Sales'!L151))</x:f>
        <x:v>Completed</x:v>
      </x:c>
      <x:c r="W151" s="93" t="n">
        <x:f>IF(V151="Returned",0,T151-U151)</x:f>
        <x:v>84.15</x:v>
      </x:c>
      <x:c r="X151" s="93" t="n">
        <x:f>IF(V151="Returned",Q151*R151*10%,Q151*R151)</x:f>
        <x:v>51</x:v>
      </x:c>
      <x:c r="Y151" s="93" t="n">
        <x:f>W151-X151</x:f>
        <x:v>33.150000000000006</x:v>
      </x:c>
      <x:c r="Z151" s="94" t="n">
        <x:f>IFERROR(Y151/W151,0)</x:f>
        <x:v>0.393939393939394</x:v>
      </x:c>
      <x:c r="AA151" s="84" t="str">
        <x:f>PROPER(TRIM('Raw Sales'!M151))</x:f>
        <x:v>Credit Card</x:v>
      </x:c>
      <x:c r="AB151" s="84" t="str">
        <x:f>PROPER(TRIM('Raw Sales'!N151))</x:f>
        <x:v>Liam Parker</x:v>
      </x:c>
      <x:c r="AC151" s="85" t="n">
        <x:f>'Raw Sales'!O151</x:f>
        <x:v>45362</x:v>
      </x:c>
      <x:c r="AD151" s="84" t="n">
        <x:f>AC151-B151</x:f>
        <x:v>7</x:v>
      </x:c>
      <x:c r="AE151" s="84" t="str">
        <x:f>IF(COUNTIF($A$5:A151,A151)&gt;1,"Duplicate","Keep")</x:f>
        <x:v>Keep</x:v>
      </x:c>
      <x:c r="AF151" s="84" t="str">
        <x:f>IF(OR(R151&lt;=0,AC151&lt;B151,H151="Unknown",M151="Unknown Product"),"Review","Valid")</x:f>
        <x:v>Valid</x:v>
      </x:c>
      <x:c r="AG151" s="84" t="n">
        <x:f>IF(AND(AE151="Keep",AF151="Valid"),1,0)</x:f>
        <x:v>1</x:v>
      </x:c>
      <x:c r="AH151" s="84" t="n">
        <x:f>IF(AND(AG151=1,OR('Dashboard'!$B$4="All",I151='Dashboard'!$B$4),OR('Dashboard'!$E$4="All",N151='Dashboard'!$E$4),OR('Dashboard'!$H$4="All",K151='Dashboard'!$H$4),OR('Dashboard'!$K$4="All",C151='Dashboard'!$K$4)),1,0)</x:f>
        <x:v>1</x:v>
      </x:c>
      <x:c r="AI151" s="84" t="n">
        <x:f>IF(AND(AG151=1,OR('Dashboard'!$B$4="All",I151='Dashboard'!$B$4),OR('Dashboard'!$E$4="All",N151='Dashboard'!$E$4),OR('Dashboard'!$H$4="All",K151='Dashboard'!$H$4)),1,0)</x:f>
        <x:v>1</x:v>
      </x:c>
    </x:row>
    <x:row r="152">
      <x:c r="A152" s="84" t="str">
        <x:f>'Raw Sales'!A152</x:f>
        <x:v>ORD-2024-02206</x:v>
      </x:c>
      <x:c r="B152" s="85" t="n">
        <x:f>'Raw Sales'!B152</x:f>
        <x:v>45355</x:v>
      </x:c>
      <x:c r="C152" s="84" t="n">
        <x:f>YEAR(B152)</x:f>
        <x:v>2024</x:v>
      </x:c>
      <x:c r="D152" s="91" t="n">
        <x:f>DATE(YEAR(B152),MONTH(B152),1)</x:f>
        <x:v>45352</x:v>
      </x:c>
      <x:c r="E152" s="84" t="str">
        <x:f>TEXT(B152,"mmm")</x:f>
        <x:v>Mar</x:v>
      </x:c>
      <x:c r="F152" s="84" t="str">
        <x:f>'Raw Sales'!C152</x:f>
        <x:v>CUST-0545</x:v>
      </x:c>
      <x:c r="G152" s="84" t="str">
        <x:f>PROPER(TRIM('Raw Sales'!D152))</x:f>
        <x:v>William Young</x:v>
      </x:c>
      <x:c r="H152" s="84" t="str">
        <x:f>IF(TRIM('Raw Sales'!E152)="","Unknown",PROPER(TRIM('Raw Sales'!E152)))</x:f>
        <x:v>Consumer</x:v>
      </x:c>
      <x:c r="I152" s="84" t="str">
        <x:f>PROPER(TRIM('Raw Sales'!F152))</x:f>
        <x:v>Southeast</x:v>
      </x:c>
      <x:c r="J152" s="84" t="str">
        <x:f>PROPER(TRIM('Raw Sales'!G152))</x:f>
        <x:v>Nashville</x:v>
      </x:c>
      <x:c r="K152" s="84" t="str">
        <x:f>PROPER(TRIM('Raw Sales'!H152))</x:f>
        <x:v>Retail Store</x:v>
      </x:c>
      <x:c r="L152" s="84" t="str">
        <x:f>'Raw Sales'!I152</x:f>
        <x:v>ACCS-002</x:v>
      </x:c>
      <x:c r="M152" s="84" t="str">
        <x:f>IFERROR(VLOOKUP(L152,'Reference Data'!$A$5:$F$40,2,FALSE),"Unknown Product")</x:f>
        <x:v>Travel Backpack</x:v>
      </x:c>
      <x:c r="N152" s="84" t="str">
        <x:f>IFERROR(VLOOKUP(L152,'Reference Data'!$A$5:$F$40,3,FALSE),"Unknown")</x:f>
        <x:v>Accessories</x:v>
      </x:c>
      <x:c r="O152" s="84" t="str">
        <x:f>IFERROR(VLOOKUP(L152,'Reference Data'!$A$5:$F$40,4,FALSE),"Unknown")</x:f>
        <x:v>Bags</x:v>
      </x:c>
      <x:c r="P152" s="92" t="n">
        <x:f>IFERROR(VLOOKUP(L152,'Reference Data'!$A$5:$F$40,5,FALSE),0)</x:f>
        <x:v>89</x:v>
      </x:c>
      <x:c r="Q152" s="92" t="n">
        <x:f>IFERROR(VLOOKUP(L152,'Reference Data'!$A$5:$F$40,6,FALSE),0)</x:f>
        <x:v>36</x:v>
      </x:c>
      <x:c r="R152" s="84" t="n">
        <x:f>'Raw Sales'!J152</x:f>
        <x:v>1</x:v>
      </x:c>
      <x:c r="S152" s="87" t="n">
        <x:f>'Raw Sales'!K152</x:f>
        <x:v>0.1</x:v>
      </x:c>
      <x:c r="T152" s="93" t="n">
        <x:f>P152*R152</x:f>
        <x:v>89</x:v>
      </x:c>
      <x:c r="U152" s="93" t="n">
        <x:f>T152*S152</x:f>
        <x:v>8.9</x:v>
      </x:c>
      <x:c r="V152" s="93" t="str">
        <x:f>PROPER(TRIM('Raw Sales'!L152))</x:f>
        <x:v>Completed</x:v>
      </x:c>
      <x:c r="W152" s="93" t="n">
        <x:f>IF(V152="Returned",0,T152-U152)</x:f>
        <x:v>80.1</x:v>
      </x:c>
      <x:c r="X152" s="93" t="n">
        <x:f>IF(V152="Returned",Q152*R152*10%,Q152*R152)</x:f>
        <x:v>36</x:v>
      </x:c>
      <x:c r="Y152" s="93" t="n">
        <x:f>W152-X152</x:f>
        <x:v>44.099999999999994</x:v>
      </x:c>
      <x:c r="Z152" s="94" t="n">
        <x:f>IFERROR(Y152/W152,0)</x:f>
        <x:v>0.550561797752809</x:v>
      </x:c>
      <x:c r="AA152" s="84" t="str">
        <x:f>PROPER(TRIM('Raw Sales'!M152))</x:f>
        <x:v>Credit Card</x:v>
      </x:c>
      <x:c r="AB152" s="84" t="str">
        <x:f>PROPER(TRIM('Raw Sales'!N152))</x:f>
        <x:v>Ava Mitchell</x:v>
      </x:c>
      <x:c r="AC152" s="85" t="n">
        <x:f>'Raw Sales'!O152</x:f>
        <x:v>45356</x:v>
      </x:c>
      <x:c r="AD152" s="84" t="n">
        <x:f>AC152-B152</x:f>
        <x:v>1</x:v>
      </x:c>
      <x:c r="AE152" s="84" t="str">
        <x:f>IF(COUNTIF($A$5:A152,A152)&gt;1,"Duplicate","Keep")</x:f>
        <x:v>Keep</x:v>
      </x:c>
      <x:c r="AF152" s="84" t="str">
        <x:f>IF(OR(R152&lt;=0,AC152&lt;B152,H152="Unknown",M152="Unknown Product"),"Review","Valid")</x:f>
        <x:v>Valid</x:v>
      </x:c>
      <x:c r="AG152" s="84" t="n">
        <x:f>IF(AND(AE152="Keep",AF152="Valid"),1,0)</x:f>
        <x:v>1</x:v>
      </x:c>
      <x:c r="AH152" s="84" t="n">
        <x:f>IF(AND(AG152=1,OR('Dashboard'!$B$4="All",I152='Dashboard'!$B$4),OR('Dashboard'!$E$4="All",N152='Dashboard'!$E$4),OR('Dashboard'!$H$4="All",K152='Dashboard'!$H$4),OR('Dashboard'!$K$4="All",C152='Dashboard'!$K$4)),1,0)</x:f>
        <x:v>1</x:v>
      </x:c>
      <x:c r="AI152" s="84" t="n">
        <x:f>IF(AND(AG152=1,OR('Dashboard'!$B$4="All",I152='Dashboard'!$B$4),OR('Dashboard'!$E$4="All",N152='Dashboard'!$E$4),OR('Dashboard'!$H$4="All",K152='Dashboard'!$H$4)),1,0)</x:f>
        <x:v>1</x:v>
      </x:c>
    </x:row>
    <x:row r="153">
      <x:c r="A153" s="84" t="str">
        <x:f>'Raw Sales'!A153</x:f>
        <x:v>ORD-2024-01673</x:v>
      </x:c>
      <x:c r="B153" s="85" t="n">
        <x:f>'Raw Sales'!B153</x:f>
        <x:v>45356</x:v>
      </x:c>
      <x:c r="C153" s="84" t="n">
        <x:f>YEAR(B153)</x:f>
        <x:v>2024</x:v>
      </x:c>
      <x:c r="D153" s="91" t="n">
        <x:f>DATE(YEAR(B153),MONTH(B153),1)</x:f>
        <x:v>45352</x:v>
      </x:c>
      <x:c r="E153" s="84" t="str">
        <x:f>TEXT(B153,"mmm")</x:f>
        <x:v>Mar</x:v>
      </x:c>
      <x:c r="F153" s="84" t="str">
        <x:f>'Raw Sales'!C153</x:f>
        <x:v>CUST-0141</x:v>
      </x:c>
      <x:c r="G153" s="84" t="str">
        <x:f>PROPER(TRIM('Raw Sales'!D153))</x:f>
        <x:v>Victoria Taylor</x:v>
      </x:c>
      <x:c r="H153" s="84" t="str">
        <x:f>IF(TRIM('Raw Sales'!E153)="","Unknown",PROPER(TRIM('Raw Sales'!E153)))</x:f>
        <x:v>Consumer</x:v>
      </x:c>
      <x:c r="I153" s="84" t="str">
        <x:f>PROPER(TRIM('Raw Sales'!F153))</x:f>
        <x:v>Midwest</x:v>
      </x:c>
      <x:c r="J153" s="84" t="str">
        <x:f>PROPER(TRIM('Raw Sales'!G153))</x:f>
        <x:v>Minneapolis</x:v>
      </x:c>
      <x:c r="K153" s="84" t="str">
        <x:f>PROPER(TRIM('Raw Sales'!H153))</x:f>
        <x:v>Retail Store</x:v>
      </x:c>
      <x:c r="L153" s="84" t="str">
        <x:f>'Raw Sales'!I153</x:f>
        <x:v>ACCS-005</x:v>
      </x:c>
      <x:c r="M153" s="84" t="str">
        <x:f>IFERROR(VLOOKUP(L153,'Reference Data'!$A$5:$F$40,2,FALSE),"Unknown Product")</x:f>
        <x:v>Protective Phone Case</x:v>
      </x:c>
      <x:c r="N153" s="84" t="str">
        <x:f>IFERROR(VLOOKUP(L153,'Reference Data'!$A$5:$F$40,3,FALSE),"Unknown")</x:f>
        <x:v>Accessories</x:v>
      </x:c>
      <x:c r="O153" s="84" t="str">
        <x:f>IFERROR(VLOOKUP(L153,'Reference Data'!$A$5:$F$40,4,FALSE),"Unknown")</x:f>
        <x:v>Mobile Accessories</x:v>
      </x:c>
      <x:c r="P153" s="92" t="n">
        <x:f>IFERROR(VLOOKUP(L153,'Reference Data'!$A$5:$F$40,5,FALSE),0)</x:f>
        <x:v>24</x:v>
      </x:c>
      <x:c r="Q153" s="92" t="n">
        <x:f>IFERROR(VLOOKUP(L153,'Reference Data'!$A$5:$F$40,6,FALSE),0)</x:f>
        <x:v>5</x:v>
      </x:c>
      <x:c r="R153" s="84" t="n">
        <x:f>'Raw Sales'!J153</x:f>
        <x:v>3</x:v>
      </x:c>
      <x:c r="S153" s="87" t="n">
        <x:f>'Raw Sales'!K153</x:f>
        <x:v>0.15</x:v>
      </x:c>
      <x:c r="T153" s="93" t="n">
        <x:f>P153*R153</x:f>
        <x:v>72</x:v>
      </x:c>
      <x:c r="U153" s="93" t="n">
        <x:f>T153*S153</x:f>
        <x:v>10.799999999999999</x:v>
      </x:c>
      <x:c r="V153" s="93" t="str">
        <x:f>PROPER(TRIM('Raw Sales'!L153))</x:f>
        <x:v>Returned</x:v>
      </x:c>
      <x:c r="W153" s="93" t="n">
        <x:f>IF(V153="Returned",0,T153-U153)</x:f>
        <x:v>0</x:v>
      </x:c>
      <x:c r="X153" s="93" t="n">
        <x:f>IF(V153="Returned",Q153*R153*10%,Q153*R153)</x:f>
        <x:v>1.5</x:v>
      </x:c>
      <x:c r="Y153" s="93" t="n">
        <x:f>W153-X153</x:f>
        <x:v>-1.5</x:v>
      </x:c>
      <x:c r="Z153" s="94" t="n">
        <x:f>IFERROR(Y153/W153,0)</x:f>
        <x:v>0</x:v>
      </x:c>
      <x:c r="AA153" s="84" t="str">
        <x:f>PROPER(TRIM('Raw Sales'!M153))</x:f>
        <x:v>Credit Card</x:v>
      </x:c>
      <x:c r="AB153" s="84" t="str">
        <x:f>PROPER(TRIM('Raw Sales'!N153))</x:f>
        <x:v>Lucas Grant</x:v>
      </x:c>
      <x:c r="AC153" s="85" t="n">
        <x:f>'Raw Sales'!O153</x:f>
        <x:v>45356</x:v>
      </x:c>
      <x:c r="AD153" s="84" t="n">
        <x:f>AC153-B153</x:f>
        <x:v>0</x:v>
      </x:c>
      <x:c r="AE153" s="84" t="str">
        <x:f>IF(COUNTIF($A$5:A153,A153)&gt;1,"Duplicate","Keep")</x:f>
        <x:v>Keep</x:v>
      </x:c>
      <x:c r="AF153" s="84" t="str">
        <x:f>IF(OR(R153&lt;=0,AC153&lt;B153,H153="Unknown",M153="Unknown Product"),"Review","Valid")</x:f>
        <x:v>Valid</x:v>
      </x:c>
      <x:c r="AG153" s="84" t="n">
        <x:f>IF(AND(AE153="Keep",AF153="Valid"),1,0)</x:f>
        <x:v>1</x:v>
      </x:c>
      <x:c r="AH153" s="84" t="n">
        <x:f>IF(AND(AG153=1,OR('Dashboard'!$B$4="All",I153='Dashboard'!$B$4),OR('Dashboard'!$E$4="All",N153='Dashboard'!$E$4),OR('Dashboard'!$H$4="All",K153='Dashboard'!$H$4),OR('Dashboard'!$K$4="All",C153='Dashboard'!$K$4)),1,0)</x:f>
        <x:v>1</x:v>
      </x:c>
      <x:c r="AI153" s="84" t="n">
        <x:f>IF(AND(AG153=1,OR('Dashboard'!$B$4="All",I153='Dashboard'!$B$4),OR('Dashboard'!$E$4="All",N153='Dashboard'!$E$4),OR('Dashboard'!$H$4="All",K153='Dashboard'!$H$4)),1,0)</x:f>
        <x:v>1</x:v>
      </x:c>
    </x:row>
    <x:row r="154">
      <x:c r="A154" s="84" t="str">
        <x:f>'Raw Sales'!A154</x:f>
        <x:v>ORD-2024-02331</x:v>
      </x:c>
      <x:c r="B154" s="85" t="n">
        <x:f>'Raw Sales'!B154</x:f>
        <x:v>45356</x:v>
      </x:c>
      <x:c r="C154" s="84" t="n">
        <x:f>YEAR(B154)</x:f>
        <x:v>2024</x:v>
      </x:c>
      <x:c r="D154" s="91" t="n">
        <x:f>DATE(YEAR(B154),MONTH(B154),1)</x:f>
        <x:v>45352</x:v>
      </x:c>
      <x:c r="E154" s="84" t="str">
        <x:f>TEXT(B154,"mmm")</x:f>
        <x:v>Mar</x:v>
      </x:c>
      <x:c r="F154" s="84" t="str">
        <x:f>'Raw Sales'!C154</x:f>
        <x:v>CUST-0113</x:v>
      </x:c>
      <x:c r="G154" s="84" t="str">
        <x:f>PROPER(TRIM('Raw Sales'!D154))</x:f>
        <x:v>Amelia Patel</x:v>
      </x:c>
      <x:c r="H154" s="84" t="str">
        <x:f>IF(TRIM('Raw Sales'!E154)="","Unknown",PROPER(TRIM('Raw Sales'!E154)))</x:f>
        <x:v>Consumer</x:v>
      </x:c>
      <x:c r="I154" s="84" t="str">
        <x:f>PROPER(TRIM('Raw Sales'!F154))</x:f>
        <x:v>Southeast</x:v>
      </x:c>
      <x:c r="J154" s="84" t="str">
        <x:f>PROPER(TRIM('Raw Sales'!G154))</x:f>
        <x:v>Atlanta</x:v>
      </x:c>
      <x:c r="K154" s="84" t="str">
        <x:f>PROPER(TRIM('Raw Sales'!H154))</x:f>
        <x:v>Online</x:v>
      </x:c>
      <x:c r="L154" s="84" t="str">
        <x:f>'Raw Sales'!I154</x:f>
        <x:v>FITN-005</x:v>
      </x:c>
      <x:c r="M154" s="84" t="str">
        <x:f>IFERROR(VLOOKUP(L154,'Reference Data'!$A$5:$F$40,2,FALSE),"Unknown Product")</x:f>
        <x:v>Sports Water Bottle</x:v>
      </x:c>
      <x:c r="N154" s="84" t="str">
        <x:f>IFERROR(VLOOKUP(L154,'Reference Data'!$A$5:$F$40,3,FALSE),"Unknown")</x:f>
        <x:v>Fitness</x:v>
      </x:c>
      <x:c r="O154" s="84" t="str">
        <x:f>IFERROR(VLOOKUP(L154,'Reference Data'!$A$5:$F$40,4,FALSE),"Unknown")</x:f>
        <x:v>Accessories</x:v>
      </x:c>
      <x:c r="P154" s="92" t="n">
        <x:f>IFERROR(VLOOKUP(L154,'Reference Data'!$A$5:$F$40,5,FALSE),0)</x:f>
        <x:v>22</x:v>
      </x:c>
      <x:c r="Q154" s="92" t="n">
        <x:f>IFERROR(VLOOKUP(L154,'Reference Data'!$A$5:$F$40,6,FALSE),0)</x:f>
        <x:v>7</x:v>
      </x:c>
      <x:c r="R154" s="84" t="n">
        <x:f>'Raw Sales'!J154</x:f>
        <x:v>1</x:v>
      </x:c>
      <x:c r="S154" s="87" t="n">
        <x:f>'Raw Sales'!K154</x:f>
        <x:v>0.05</x:v>
      </x:c>
      <x:c r="T154" s="93" t="n">
        <x:f>P154*R154</x:f>
        <x:v>22</x:v>
      </x:c>
      <x:c r="U154" s="93" t="n">
        <x:f>T154*S154</x:f>
        <x:v>1.1</x:v>
      </x:c>
      <x:c r="V154" s="93" t="str">
        <x:f>PROPER(TRIM('Raw Sales'!L154))</x:f>
        <x:v>Completed</x:v>
      </x:c>
      <x:c r="W154" s="93" t="n">
        <x:f>IF(V154="Returned",0,T154-U154)</x:f>
        <x:v>20.9</x:v>
      </x:c>
      <x:c r="X154" s="93" t="n">
        <x:f>IF(V154="Returned",Q154*R154*10%,Q154*R154)</x:f>
        <x:v>7</x:v>
      </x:c>
      <x:c r="Y154" s="93" t="n">
        <x:f>W154-X154</x:f>
        <x:v>13.899999999999999</x:v>
      </x:c>
      <x:c r="Z154" s="94" t="n">
        <x:f>IFERROR(Y154/W154,0)</x:f>
        <x:v>0.6650717703349283</x:v>
      </x:c>
      <x:c r="AA154" s="84" t="str">
        <x:f>PROPER(TRIM('Raw Sales'!M154))</x:f>
        <x:v>Credit Card</x:v>
      </x:c>
      <x:c r="AB154" s="84" t="str">
        <x:f>PROPER(TRIM('Raw Sales'!N154))</x:f>
        <x:v>Ava Mitchell</x:v>
      </x:c>
      <x:c r="AC154" s="85" t="n">
        <x:f>'Raw Sales'!O154</x:f>
        <x:v>45360</x:v>
      </x:c>
      <x:c r="AD154" s="84" t="n">
        <x:f>AC154-B154</x:f>
        <x:v>4</x:v>
      </x:c>
      <x:c r="AE154" s="84" t="str">
        <x:f>IF(COUNTIF($A$5:A154,A154)&gt;1,"Duplicate","Keep")</x:f>
        <x:v>Keep</x:v>
      </x:c>
      <x:c r="AF154" s="84" t="str">
        <x:f>IF(OR(R154&lt;=0,AC154&lt;B154,H154="Unknown",M154="Unknown Product"),"Review","Valid")</x:f>
        <x:v>Valid</x:v>
      </x:c>
      <x:c r="AG154" s="84" t="n">
        <x:f>IF(AND(AE154="Keep",AF154="Valid"),1,0)</x:f>
        <x:v>1</x:v>
      </x:c>
      <x:c r="AH154" s="84" t="n">
        <x:f>IF(AND(AG154=1,OR('Dashboard'!$B$4="All",I154='Dashboard'!$B$4),OR('Dashboard'!$E$4="All",N154='Dashboard'!$E$4),OR('Dashboard'!$H$4="All",K154='Dashboard'!$H$4),OR('Dashboard'!$K$4="All",C154='Dashboard'!$K$4)),1,0)</x:f>
        <x:v>1</x:v>
      </x:c>
      <x:c r="AI154" s="84" t="n">
        <x:f>IF(AND(AG154=1,OR('Dashboard'!$B$4="All",I154='Dashboard'!$B$4),OR('Dashboard'!$E$4="All",N154='Dashboard'!$E$4),OR('Dashboard'!$H$4="All",K154='Dashboard'!$H$4)),1,0)</x:f>
        <x:v>1</x:v>
      </x:c>
    </x:row>
    <x:row r="155">
      <x:c r="A155" s="84" t="str">
        <x:f>'Raw Sales'!A155</x:f>
        <x:v>ORD-2024-00551</x:v>
      </x:c>
      <x:c r="B155" s="85" t="n">
        <x:f>'Raw Sales'!B155</x:f>
        <x:v>45357</x:v>
      </x:c>
      <x:c r="C155" s="84" t="n">
        <x:f>YEAR(B155)</x:f>
        <x:v>2024</x:v>
      </x:c>
      <x:c r="D155" s="91" t="n">
        <x:f>DATE(YEAR(B155),MONTH(B155),1)</x:f>
        <x:v>45352</x:v>
      </x:c>
      <x:c r="E155" s="84" t="str">
        <x:f>TEXT(B155,"mmm")</x:f>
        <x:v>Mar</x:v>
      </x:c>
      <x:c r="F155" s="84" t="str">
        <x:f>'Raw Sales'!C155</x:f>
        <x:v>CUST-0600</x:v>
      </x:c>
      <x:c r="G155" s="84" t="str">
        <x:f>PROPER(TRIM('Raw Sales'!D155))</x:f>
        <x:v>Theo Walker</x:v>
      </x:c>
      <x:c r="H155" s="84" t="str">
        <x:f>IF(TRIM('Raw Sales'!E155)="","Unknown",PROPER(TRIM('Raw Sales'!E155)))</x:f>
        <x:v>Consumer</x:v>
      </x:c>
      <x:c r="I155" s="84" t="str">
        <x:f>PROPER(TRIM('Raw Sales'!F155))</x:f>
        <x:v>Southeast</x:v>
      </x:c>
      <x:c r="J155" s="84" t="str">
        <x:f>PROPER(TRIM('Raw Sales'!G155))</x:f>
        <x:v>Charlotte</x:v>
      </x:c>
      <x:c r="K155" s="84" t="str">
        <x:f>PROPER(TRIM('Raw Sales'!H155))</x:f>
        <x:v>Online</x:v>
      </x:c>
      <x:c r="L155" s="84" t="str">
        <x:f>'Raw Sales'!I155</x:f>
        <x:v>ELEC-003</x:v>
      </x:c>
      <x:c r="M155" s="84" t="str">
        <x:f>IFERROR(VLOOKUP(L155,'Reference Data'!$A$5:$F$40,2,FALSE),"Unknown Product")</x:f>
        <x:v>Bluetooth Speaker</x:v>
      </x:c>
      <x:c r="N155" s="84" t="str">
        <x:f>IFERROR(VLOOKUP(L155,'Reference Data'!$A$5:$F$40,3,FALSE),"Unknown")</x:f>
        <x:v>Electronics</x:v>
      </x:c>
      <x:c r="O155" s="84" t="str">
        <x:f>IFERROR(VLOOKUP(L155,'Reference Data'!$A$5:$F$40,4,FALSE),"Unknown")</x:f>
        <x:v>Audio</x:v>
      </x:c>
      <x:c r="P155" s="92" t="n">
        <x:f>IFERROR(VLOOKUP(L155,'Reference Data'!$A$5:$F$40,5,FALSE),0)</x:f>
        <x:v>89</x:v>
      </x:c>
      <x:c r="Q155" s="92" t="n">
        <x:f>IFERROR(VLOOKUP(L155,'Reference Data'!$A$5:$F$40,6,FALSE),0)</x:f>
        <x:v>44</x:v>
      </x:c>
      <x:c r="R155" s="84" t="n">
        <x:f>'Raw Sales'!J155</x:f>
        <x:v>2</x:v>
      </x:c>
      <x:c r="S155" s="87" t="n">
        <x:f>'Raw Sales'!K155</x:f>
        <x:v>0.2</x:v>
      </x:c>
      <x:c r="T155" s="93" t="n">
        <x:f>P155*R155</x:f>
        <x:v>178</x:v>
      </x:c>
      <x:c r="U155" s="93" t="n">
        <x:f>T155*S155</x:f>
        <x:v>35.6</x:v>
      </x:c>
      <x:c r="V155" s="93" t="str">
        <x:f>PROPER(TRIM('Raw Sales'!L155))</x:f>
        <x:v>Completed</x:v>
      </x:c>
      <x:c r="W155" s="93" t="n">
        <x:f>IF(V155="Returned",0,T155-U155)</x:f>
        <x:v>142.4</x:v>
      </x:c>
      <x:c r="X155" s="93" t="n">
        <x:f>IF(V155="Returned",Q155*R155*10%,Q155*R155)</x:f>
        <x:v>88</x:v>
      </x:c>
      <x:c r="Y155" s="93" t="n">
        <x:f>W155-X155</x:f>
        <x:v>54.400000000000006</x:v>
      </x:c>
      <x:c r="Z155" s="94" t="n">
        <x:f>IFERROR(Y155/W155,0)</x:f>
        <x:v>0.3820224719101124</x:v>
      </x:c>
      <x:c r="AA155" s="84" t="str">
        <x:f>PROPER(TRIM('Raw Sales'!M155))</x:f>
        <x:v>Paypal</x:v>
      </x:c>
      <x:c r="AB155" s="84" t="str">
        <x:f>PROPER(TRIM('Raw Sales'!N155))</x:f>
        <x:v>Ava Mitchell</x:v>
      </x:c>
      <x:c r="AC155" s="85" t="n">
        <x:f>'Raw Sales'!O155</x:f>
        <x:v>45360</x:v>
      </x:c>
      <x:c r="AD155" s="84" t="n">
        <x:f>AC155-B155</x:f>
        <x:v>3</x:v>
      </x:c>
      <x:c r="AE155" s="84" t="str">
        <x:f>IF(COUNTIF($A$5:A155,A155)&gt;1,"Duplicate","Keep")</x:f>
        <x:v>Keep</x:v>
      </x:c>
      <x:c r="AF155" s="84" t="str">
        <x:f>IF(OR(R155&lt;=0,AC155&lt;B155,H155="Unknown",M155="Unknown Product"),"Review","Valid")</x:f>
        <x:v>Valid</x:v>
      </x:c>
      <x:c r="AG155" s="84" t="n">
        <x:f>IF(AND(AE155="Keep",AF155="Valid"),1,0)</x:f>
        <x:v>1</x:v>
      </x:c>
      <x:c r="AH155" s="84" t="n">
        <x:f>IF(AND(AG155=1,OR('Dashboard'!$B$4="All",I155='Dashboard'!$B$4),OR('Dashboard'!$E$4="All",N155='Dashboard'!$E$4),OR('Dashboard'!$H$4="All",K155='Dashboard'!$H$4),OR('Dashboard'!$K$4="All",C155='Dashboard'!$K$4)),1,0)</x:f>
        <x:v>1</x:v>
      </x:c>
      <x:c r="AI155" s="84" t="n">
        <x:f>IF(AND(AG155=1,OR('Dashboard'!$B$4="All",I155='Dashboard'!$B$4),OR('Dashboard'!$E$4="All",N155='Dashboard'!$E$4),OR('Dashboard'!$H$4="All",K155='Dashboard'!$H$4)),1,0)</x:f>
        <x:v>1</x:v>
      </x:c>
    </x:row>
    <x:row r="156">
      <x:c r="A156" s="84" t="str">
        <x:f>'Raw Sales'!A156</x:f>
        <x:v>ORD-2024-01978</x:v>
      </x:c>
      <x:c r="B156" s="85" t="n">
        <x:f>'Raw Sales'!B156</x:f>
        <x:v>45357</x:v>
      </x:c>
      <x:c r="C156" s="84" t="n">
        <x:f>YEAR(B156)</x:f>
        <x:v>2024</x:v>
      </x:c>
      <x:c r="D156" s="91" t="n">
        <x:f>DATE(YEAR(B156),MONTH(B156),1)</x:f>
        <x:v>45352</x:v>
      </x:c>
      <x:c r="E156" s="84" t="str">
        <x:f>TEXT(B156,"mmm")</x:f>
        <x:v>Mar</x:v>
      </x:c>
      <x:c r="F156" s="84" t="str">
        <x:f>'Raw Sales'!C156</x:f>
        <x:v>CUST-0394</x:v>
      </x:c>
      <x:c r="G156" s="84" t="str">
        <x:f>PROPER(TRIM('Raw Sales'!D156))</x:f>
        <x:v>Priya Nelson</x:v>
      </x:c>
      <x:c r="H156" s="84" t="str">
        <x:f>IF(TRIM('Raw Sales'!E156)="","Unknown",PROPER(TRIM('Raw Sales'!E156)))</x:f>
        <x:v>Corporate</x:v>
      </x:c>
      <x:c r="I156" s="84" t="str">
        <x:f>PROPER(TRIM('Raw Sales'!F156))</x:f>
        <x:v>West</x:v>
      </x:c>
      <x:c r="J156" s="84" t="str">
        <x:f>PROPER(TRIM('Raw Sales'!G156))</x:f>
        <x:v>Denver</x:v>
      </x:c>
      <x:c r="K156" s="84" t="str">
        <x:f>PROPER(TRIM('Raw Sales'!H156))</x:f>
        <x:v>Online</x:v>
      </x:c>
      <x:c r="L156" s="84" t="str">
        <x:f>'Raw Sales'!I156</x:f>
        <x:v>ACCS-003</x:v>
      </x:c>
      <x:c r="M156" s="84" t="str">
        <x:f>IFERROR(VLOOKUP(L156,'Reference Data'!$A$5:$F$40,2,FALSE),"Unknown Product")</x:f>
        <x:v>Polarized Sunglasses</x:v>
      </x:c>
      <x:c r="N156" s="84" t="str">
        <x:f>IFERROR(VLOOKUP(L156,'Reference Data'!$A$5:$F$40,3,FALSE),"Unknown")</x:f>
        <x:v>Accessories</x:v>
      </x:c>
      <x:c r="O156" s="84" t="str">
        <x:f>IFERROR(VLOOKUP(L156,'Reference Data'!$A$5:$F$40,4,FALSE),"Unknown")</x:f>
        <x:v>Eyewear</x:v>
      </x:c>
      <x:c r="P156" s="92" t="n">
        <x:f>IFERROR(VLOOKUP(L156,'Reference Data'!$A$5:$F$40,5,FALSE),0)</x:f>
        <x:v>59</x:v>
      </x:c>
      <x:c r="Q156" s="92" t="n">
        <x:f>IFERROR(VLOOKUP(L156,'Reference Data'!$A$5:$F$40,6,FALSE),0)</x:f>
        <x:v>17</x:v>
      </x:c>
      <x:c r="R156" s="84" t="n">
        <x:f>'Raw Sales'!J156</x:f>
        <x:v>3</x:v>
      </x:c>
      <x:c r="S156" s="87" t="n">
        <x:f>'Raw Sales'!K156</x:f>
        <x:v>0</x:v>
      </x:c>
      <x:c r="T156" s="93" t="n">
        <x:f>P156*R156</x:f>
        <x:v>177</x:v>
      </x:c>
      <x:c r="U156" s="93" t="n">
        <x:f>T156*S156</x:f>
        <x:v>0</x:v>
      </x:c>
      <x:c r="V156" s="93" t="str">
        <x:f>PROPER(TRIM('Raw Sales'!L156))</x:f>
        <x:v>Completed</x:v>
      </x:c>
      <x:c r="W156" s="93" t="n">
        <x:f>IF(V156="Returned",0,T156-U156)</x:f>
        <x:v>177</x:v>
      </x:c>
      <x:c r="X156" s="93" t="n">
        <x:f>IF(V156="Returned",Q156*R156*10%,Q156*R156)</x:f>
        <x:v>51</x:v>
      </x:c>
      <x:c r="Y156" s="93" t="n">
        <x:f>W156-X156</x:f>
        <x:v>126</x:v>
      </x:c>
      <x:c r="Z156" s="94" t="n">
        <x:f>IFERROR(Y156/W156,0)</x:f>
        <x:v>0.711864406779661</x:v>
      </x:c>
      <x:c r="AA156" s="84" t="str">
        <x:f>PROPER(TRIM('Raw Sales'!M156))</x:f>
        <x:v>Credit Card</x:v>
      </x:c>
      <x:c r="AB156" s="84" t="str">
        <x:f>PROPER(TRIM('Raw Sales'!N156))</x:f>
        <x:v>Leo Martinez</x:v>
      </x:c>
      <x:c r="AC156" s="85" t="n">
        <x:f>'Raw Sales'!O156</x:f>
        <x:v>45360</x:v>
      </x:c>
      <x:c r="AD156" s="84" t="n">
        <x:f>AC156-B156</x:f>
        <x:v>3</x:v>
      </x:c>
      <x:c r="AE156" s="84" t="str">
        <x:f>IF(COUNTIF($A$5:A156,A156)&gt;1,"Duplicate","Keep")</x:f>
        <x:v>Keep</x:v>
      </x:c>
      <x:c r="AF156" s="84" t="str">
        <x:f>IF(OR(R156&lt;=0,AC156&lt;B156,H156="Unknown",M156="Unknown Product"),"Review","Valid")</x:f>
        <x:v>Valid</x:v>
      </x:c>
      <x:c r="AG156" s="84" t="n">
        <x:f>IF(AND(AE156="Keep",AF156="Valid"),1,0)</x:f>
        <x:v>1</x:v>
      </x:c>
      <x:c r="AH156" s="84" t="n">
        <x:f>IF(AND(AG156=1,OR('Dashboard'!$B$4="All",I156='Dashboard'!$B$4),OR('Dashboard'!$E$4="All",N156='Dashboard'!$E$4),OR('Dashboard'!$H$4="All",K156='Dashboard'!$H$4),OR('Dashboard'!$K$4="All",C156='Dashboard'!$K$4)),1,0)</x:f>
        <x:v>1</x:v>
      </x:c>
      <x:c r="AI156" s="84" t="n">
        <x:f>IF(AND(AG156=1,OR('Dashboard'!$B$4="All",I156='Dashboard'!$B$4),OR('Dashboard'!$E$4="All",N156='Dashboard'!$E$4),OR('Dashboard'!$H$4="All",K156='Dashboard'!$H$4)),1,0)</x:f>
        <x:v>1</x:v>
      </x:c>
    </x:row>
    <x:row r="157">
      <x:c r="A157" s="84" t="str">
        <x:f>'Raw Sales'!A157</x:f>
        <x:v>ORD-2024-02053</x:v>
      </x:c>
      <x:c r="B157" s="85" t="n">
        <x:f>'Raw Sales'!B157</x:f>
        <x:v>45357</x:v>
      </x:c>
      <x:c r="C157" s="84" t="n">
        <x:f>YEAR(B157)</x:f>
        <x:v>2024</x:v>
      </x:c>
      <x:c r="D157" s="91" t="n">
        <x:f>DATE(YEAR(B157),MONTH(B157),1)</x:f>
        <x:v>45352</x:v>
      </x:c>
      <x:c r="E157" s="84" t="str">
        <x:f>TEXT(B157,"mmm")</x:f>
        <x:v>Mar</x:v>
      </x:c>
      <x:c r="F157" s="84" t="str">
        <x:f>'Raw Sales'!C157</x:f>
        <x:v>CUST-0125</x:v>
      </x:c>
      <x:c r="G157" s="84" t="str">
        <x:f>PROPER(TRIM('Raw Sales'!D157))</x:f>
        <x:v>Marcus Carter</x:v>
      </x:c>
      <x:c r="H157" s="84" t="str">
        <x:f>IF(TRIM('Raw Sales'!E157)="","Unknown",PROPER(TRIM('Raw Sales'!E157)))</x:f>
        <x:v>Consumer</x:v>
      </x:c>
      <x:c r="I157" s="84" t="str">
        <x:f>PROPER(TRIM('Raw Sales'!F157))</x:f>
        <x:v>West</x:v>
      </x:c>
      <x:c r="J157" s="84" t="str">
        <x:f>PROPER(TRIM('Raw Sales'!G157))</x:f>
        <x:v>Phoenix</x:v>
      </x:c>
      <x:c r="K157" s="84" t="str">
        <x:f>PROPER(TRIM('Raw Sales'!H157))</x:f>
        <x:v>Online</x:v>
      </x:c>
      <x:c r="L157" s="84" t="str">
        <x:f>'Raw Sales'!I157</x:f>
        <x:v>HOME-002</x:v>
      </x:c>
      <x:c r="M157" s="84" t="str">
        <x:f>IFERROR(VLOOKUP(L157,'Reference Data'!$A$5:$F$40,2,FALSE),"Unknown Product")</x:f>
        <x:v>Electric Kettle</x:v>
      </x:c>
      <x:c r="N157" s="84" t="str">
        <x:f>IFERROR(VLOOKUP(L157,'Reference Data'!$A$5:$F$40,3,FALSE),"Unknown")</x:f>
        <x:v>Home &amp; Kitchen</x:v>
      </x:c>
      <x:c r="O157" s="84" t="str">
        <x:f>IFERROR(VLOOKUP(L157,'Reference Data'!$A$5:$F$40,4,FALSE),"Unknown")</x:f>
        <x:v>Small Appliances</x:v>
      </x:c>
      <x:c r="P157" s="92" t="n">
        <x:f>IFERROR(VLOOKUP(L157,'Reference Data'!$A$5:$F$40,5,FALSE),0)</x:f>
        <x:v>49</x:v>
      </x:c>
      <x:c r="Q157" s="92" t="n">
        <x:f>IFERROR(VLOOKUP(L157,'Reference Data'!$A$5:$F$40,6,FALSE),0)</x:f>
        <x:v>23</x:v>
      </x:c>
      <x:c r="R157" s="84" t="n">
        <x:f>'Raw Sales'!J157</x:f>
        <x:v>1</x:v>
      </x:c>
      <x:c r="S157" s="87" t="n">
        <x:f>'Raw Sales'!K157</x:f>
        <x:v>0</x:v>
      </x:c>
      <x:c r="T157" s="93" t="n">
        <x:f>P157*R157</x:f>
        <x:v>49</x:v>
      </x:c>
      <x:c r="U157" s="93" t="n">
        <x:f>T157*S157</x:f>
        <x:v>0</x:v>
      </x:c>
      <x:c r="V157" s="93" t="str">
        <x:f>PROPER(TRIM('Raw Sales'!L157))</x:f>
        <x:v>Returned</x:v>
      </x:c>
      <x:c r="W157" s="93" t="n">
        <x:f>IF(V157="Returned",0,T157-U157)</x:f>
        <x:v>0</x:v>
      </x:c>
      <x:c r="X157" s="93" t="n">
        <x:f>IF(V157="Returned",Q157*R157*10%,Q157*R157)</x:f>
        <x:v>2.3000000000000003</x:v>
      </x:c>
      <x:c r="Y157" s="93" t="n">
        <x:f>W157-X157</x:f>
        <x:v>-2.3000000000000003</x:v>
      </x:c>
      <x:c r="Z157" s="94" t="n">
        <x:f>IFERROR(Y157/W157,0)</x:f>
        <x:v>0</x:v>
      </x:c>
      <x:c r="AA157" s="84" t="str">
        <x:f>PROPER(TRIM('Raw Sales'!M157))</x:f>
        <x:v>Credit Card</x:v>
      </x:c>
      <x:c r="AB157" s="84" t="str">
        <x:f>PROPER(TRIM('Raw Sales'!N157))</x:f>
        <x:v>Leo Martinez</x:v>
      </x:c>
      <x:c r="AC157" s="85" t="n">
        <x:f>'Raw Sales'!O157</x:f>
        <x:v>45361</x:v>
      </x:c>
      <x:c r="AD157" s="84" t="n">
        <x:f>AC157-B157</x:f>
        <x:v>4</x:v>
      </x:c>
      <x:c r="AE157" s="84" t="str">
        <x:f>IF(COUNTIF($A$5:A157,A157)&gt;1,"Duplicate","Keep")</x:f>
        <x:v>Keep</x:v>
      </x:c>
      <x:c r="AF157" s="84" t="str">
        <x:f>IF(OR(R157&lt;=0,AC157&lt;B157,H157="Unknown",M157="Unknown Product"),"Review","Valid")</x:f>
        <x:v>Valid</x:v>
      </x:c>
      <x:c r="AG157" s="84" t="n">
        <x:f>IF(AND(AE157="Keep",AF157="Valid"),1,0)</x:f>
        <x:v>1</x:v>
      </x:c>
      <x:c r="AH157" s="84" t="n">
        <x:f>IF(AND(AG157=1,OR('Dashboard'!$B$4="All",I157='Dashboard'!$B$4),OR('Dashboard'!$E$4="All",N157='Dashboard'!$E$4),OR('Dashboard'!$H$4="All",K157='Dashboard'!$H$4),OR('Dashboard'!$K$4="All",C157='Dashboard'!$K$4)),1,0)</x:f>
        <x:v>1</x:v>
      </x:c>
      <x:c r="AI157" s="84" t="n">
        <x:f>IF(AND(AG157=1,OR('Dashboard'!$B$4="All",I157='Dashboard'!$B$4),OR('Dashboard'!$E$4="All",N157='Dashboard'!$E$4),OR('Dashboard'!$H$4="All",K157='Dashboard'!$H$4)),1,0)</x:f>
        <x:v>1</x:v>
      </x:c>
    </x:row>
    <x:row r="158">
      <x:c r="A158" s="84" t="str">
        <x:f>'Raw Sales'!A158</x:f>
        <x:v>ORD-2024-01246</x:v>
      </x:c>
      <x:c r="B158" s="85" t="n">
        <x:f>'Raw Sales'!B158</x:f>
        <x:v>45358</x:v>
      </x:c>
      <x:c r="C158" s="84" t="n">
        <x:f>YEAR(B158)</x:f>
        <x:v>2024</x:v>
      </x:c>
      <x:c r="D158" s="91" t="n">
        <x:f>DATE(YEAR(B158),MONTH(B158),1)</x:f>
        <x:v>45352</x:v>
      </x:c>
      <x:c r="E158" s="84" t="str">
        <x:f>TEXT(B158,"mmm")</x:f>
        <x:v>Mar</x:v>
      </x:c>
      <x:c r="F158" s="84" t="str">
        <x:f>'Raw Sales'!C158</x:f>
        <x:v>CUST-0021</x:v>
      </x:c>
      <x:c r="G158" s="84" t="str">
        <x:f>PROPER(TRIM('Raw Sales'!D158))</x:f>
        <x:v>Elena Adams</x:v>
      </x:c>
      <x:c r="H158" s="84" t="str">
        <x:f>IF(TRIM('Raw Sales'!E158)="","Unknown",PROPER(TRIM('Raw Sales'!E158)))</x:f>
        <x:v>Consumer</x:v>
      </x:c>
      <x:c r="I158" s="84" t="str">
        <x:f>PROPER(TRIM('Raw Sales'!F158))</x:f>
        <x:v>West</x:v>
      </x:c>
      <x:c r="J158" s="84" t="str">
        <x:f>PROPER(TRIM('Raw Sales'!G158))</x:f>
        <x:v>Denver</x:v>
      </x:c>
      <x:c r="K158" s="84" t="str">
        <x:f>PROPER(TRIM('Raw Sales'!H158))</x:f>
        <x:v>Retail Store</x:v>
      </x:c>
      <x:c r="L158" s="84" t="str">
        <x:f>'Raw Sales'!I158</x:f>
        <x:v>FITN-006</x:v>
      </x:c>
      <x:c r="M158" s="84" t="str">
        <x:f>IFERROR(VLOOKUP(L158,'Reference Data'!$A$5:$F$40,2,FALSE),"Unknown Product")</x:f>
        <x:v>Foam Roller</x:v>
      </x:c>
      <x:c r="N158" s="84" t="str">
        <x:f>IFERROR(VLOOKUP(L158,'Reference Data'!$A$5:$F$40,3,FALSE),"Unknown")</x:f>
        <x:v>Fitness</x:v>
      </x:c>
      <x:c r="O158" s="84" t="str">
        <x:f>IFERROR(VLOOKUP(L158,'Reference Data'!$A$5:$F$40,4,FALSE),"Unknown")</x:f>
        <x:v>Recovery</x:v>
      </x:c>
      <x:c r="P158" s="92" t="n">
        <x:f>IFERROR(VLOOKUP(L158,'Reference Data'!$A$5:$F$40,5,FALSE),0)</x:f>
        <x:v>31</x:v>
      </x:c>
      <x:c r="Q158" s="92" t="n">
        <x:f>IFERROR(VLOOKUP(L158,'Reference Data'!$A$5:$F$40,6,FALSE),0)</x:f>
        <x:v>12</x:v>
      </x:c>
      <x:c r="R158" s="84" t="n">
        <x:f>'Raw Sales'!J158</x:f>
        <x:v>1</x:v>
      </x:c>
      <x:c r="S158" s="87" t="n">
        <x:f>'Raw Sales'!K158</x:f>
        <x:v>0</x:v>
      </x:c>
      <x:c r="T158" s="93" t="n">
        <x:f>P158*R158</x:f>
        <x:v>31</x:v>
      </x:c>
      <x:c r="U158" s="93" t="n">
        <x:f>T158*S158</x:f>
        <x:v>0</x:v>
      </x:c>
      <x:c r="V158" s="93" t="str">
        <x:f>PROPER(TRIM('Raw Sales'!L158))</x:f>
        <x:v>Completed</x:v>
      </x:c>
      <x:c r="W158" s="93" t="n">
        <x:f>IF(V158="Returned",0,T158-U158)</x:f>
        <x:v>31</x:v>
      </x:c>
      <x:c r="X158" s="93" t="n">
        <x:f>IF(V158="Returned",Q158*R158*10%,Q158*R158)</x:f>
        <x:v>12</x:v>
      </x:c>
      <x:c r="Y158" s="93" t="n">
        <x:f>W158-X158</x:f>
        <x:v>19</x:v>
      </x:c>
      <x:c r="Z158" s="94" t="n">
        <x:f>IFERROR(Y158/W158,0)</x:f>
        <x:v>0.6129032258064516</x:v>
      </x:c>
      <x:c r="AA158" s="84" t="str">
        <x:f>PROPER(TRIM('Raw Sales'!M158))</x:f>
        <x:v>Mobile Wallet</x:v>
      </x:c>
      <x:c r="AB158" s="84" t="str">
        <x:f>PROPER(TRIM('Raw Sales'!N158))</x:f>
        <x:v>Nora Kim</x:v>
      </x:c>
      <x:c r="AC158" s="85" t="n">
        <x:f>'Raw Sales'!O158</x:f>
        <x:v>45359</x:v>
      </x:c>
      <x:c r="AD158" s="84" t="n">
        <x:f>AC158-B158</x:f>
        <x:v>1</x:v>
      </x:c>
      <x:c r="AE158" s="84" t="str">
        <x:f>IF(COUNTIF($A$5:A158,A158)&gt;1,"Duplicate","Keep")</x:f>
        <x:v>Keep</x:v>
      </x:c>
      <x:c r="AF158" s="84" t="str">
        <x:f>IF(OR(R158&lt;=0,AC158&lt;B158,H158="Unknown",M158="Unknown Product"),"Review","Valid")</x:f>
        <x:v>Valid</x:v>
      </x:c>
      <x:c r="AG158" s="84" t="n">
        <x:f>IF(AND(AE158="Keep",AF158="Valid"),1,0)</x:f>
        <x:v>1</x:v>
      </x:c>
      <x:c r="AH158" s="84" t="n">
        <x:f>IF(AND(AG158=1,OR('Dashboard'!$B$4="All",I158='Dashboard'!$B$4),OR('Dashboard'!$E$4="All",N158='Dashboard'!$E$4),OR('Dashboard'!$H$4="All",K158='Dashboard'!$H$4),OR('Dashboard'!$K$4="All",C158='Dashboard'!$K$4)),1,0)</x:f>
        <x:v>1</x:v>
      </x:c>
      <x:c r="AI158" s="84" t="n">
        <x:f>IF(AND(AG158=1,OR('Dashboard'!$B$4="All",I158='Dashboard'!$B$4),OR('Dashboard'!$E$4="All",N158='Dashboard'!$E$4),OR('Dashboard'!$H$4="All",K158='Dashboard'!$H$4)),1,0)</x:f>
        <x:v>1</x:v>
      </x:c>
    </x:row>
    <x:row r="159">
      <x:c r="A159" s="84" t="str">
        <x:f>'Raw Sales'!A159</x:f>
        <x:v>ORD-2024-00719</x:v>
      </x:c>
      <x:c r="B159" s="85" t="n">
        <x:f>'Raw Sales'!B159</x:f>
        <x:v>45359</x:v>
      </x:c>
      <x:c r="C159" s="84" t="n">
        <x:f>YEAR(B159)</x:f>
        <x:v>2024</x:v>
      </x:c>
      <x:c r="D159" s="91" t="n">
        <x:f>DATE(YEAR(B159),MONTH(B159),1)</x:f>
        <x:v>45352</x:v>
      </x:c>
      <x:c r="E159" s="84" t="str">
        <x:f>TEXT(B159,"mmm")</x:f>
        <x:v>Mar</x:v>
      </x:c>
      <x:c r="F159" s="84" t="str">
        <x:f>'Raw Sales'!C159</x:f>
        <x:v>CUST-0358</x:v>
      </x:c>
      <x:c r="G159" s="84" t="str">
        <x:f>PROPER(TRIM('Raw Sales'!D159))</x:f>
        <x:v>Grace Roberts</x:v>
      </x:c>
      <x:c r="H159" s="84" t="str">
        <x:f>IF(TRIM('Raw Sales'!E159)="","Unknown",PROPER(TRIM('Raw Sales'!E159)))</x:f>
        <x:v>Consumer</x:v>
      </x:c>
      <x:c r="I159" s="84" t="str">
        <x:f>PROPER(TRIM('Raw Sales'!F159))</x:f>
        <x:v>West</x:v>
      </x:c>
      <x:c r="J159" s="84" t="str">
        <x:f>PROPER(TRIM('Raw Sales'!G159))</x:f>
        <x:v>Seattle</x:v>
      </x:c>
      <x:c r="K159" s="84" t="str">
        <x:f>PROPER(TRIM('Raw Sales'!H159))</x:f>
        <x:v>Online</x:v>
      </x:c>
      <x:c r="L159" s="84" t="str">
        <x:f>'Raw Sales'!I159</x:f>
        <x:v>ACCS-001</x:v>
      </x:c>
      <x:c r="M159" s="84" t="str">
        <x:f>IFERROR(VLOOKUP(L159,'Reference Data'!$A$5:$F$40,2,FALSE),"Unknown Product")</x:f>
        <x:v>Canvas Tote Bag</x:v>
      </x:c>
      <x:c r="N159" s="84" t="str">
        <x:f>IFERROR(VLOOKUP(L159,'Reference Data'!$A$5:$F$40,3,FALSE),"Unknown")</x:f>
        <x:v>Accessories</x:v>
      </x:c>
      <x:c r="O159" s="84" t="str">
        <x:f>IFERROR(VLOOKUP(L159,'Reference Data'!$A$5:$F$40,4,FALSE),"Unknown")</x:f>
        <x:v>Bags</x:v>
      </x:c>
      <x:c r="P159" s="92" t="n">
        <x:f>IFERROR(VLOOKUP(L159,'Reference Data'!$A$5:$F$40,5,FALSE),0)</x:f>
        <x:v>39</x:v>
      </x:c>
      <x:c r="Q159" s="92" t="n">
        <x:f>IFERROR(VLOOKUP(L159,'Reference Data'!$A$5:$F$40,6,FALSE),0)</x:f>
        <x:v>14</x:v>
      </x:c>
      <x:c r="R159" s="84" t="n">
        <x:f>'Raw Sales'!J159</x:f>
        <x:v>1</x:v>
      </x:c>
      <x:c r="S159" s="87" t="n">
        <x:f>'Raw Sales'!K159</x:f>
        <x:v>0.1</x:v>
      </x:c>
      <x:c r="T159" s="93" t="n">
        <x:f>P159*R159</x:f>
        <x:v>39</x:v>
      </x:c>
      <x:c r="U159" s="93" t="n">
        <x:f>T159*S159</x:f>
        <x:v>3.9000000000000004</x:v>
      </x:c>
      <x:c r="V159" s="93" t="str">
        <x:f>PROPER(TRIM('Raw Sales'!L159))</x:f>
        <x:v>Completed</x:v>
      </x:c>
      <x:c r="W159" s="93" t="n">
        <x:f>IF(V159="Returned",0,T159-U159)</x:f>
        <x:v>35.1</x:v>
      </x:c>
      <x:c r="X159" s="93" t="n">
        <x:f>IF(V159="Returned",Q159*R159*10%,Q159*R159)</x:f>
        <x:v>14</x:v>
      </x:c>
      <x:c r="Y159" s="93" t="n">
        <x:f>W159-X159</x:f>
        <x:v>21.1</x:v>
      </x:c>
      <x:c r="Z159" s="94" t="n">
        <x:f>IFERROR(Y159/W159,0)</x:f>
        <x:v>0.6011396011396012</x:v>
      </x:c>
      <x:c r="AA159" s="84" t="str">
        <x:f>PROPER(TRIM('Raw Sales'!M159))</x:f>
        <x:v>Paypal</x:v>
      </x:c>
      <x:c r="AB159" s="84" t="str">
        <x:f>PROPER(TRIM('Raw Sales'!N159))</x:f>
        <x:v>Leo Martinez</x:v>
      </x:c>
      <x:c r="AC159" s="85" t="n">
        <x:f>'Raw Sales'!O159</x:f>
        <x:v>45361</x:v>
      </x:c>
      <x:c r="AD159" s="84" t="n">
        <x:f>AC159-B159</x:f>
        <x:v>2</x:v>
      </x:c>
      <x:c r="AE159" s="84" t="str">
        <x:f>IF(COUNTIF($A$5:A159,A159)&gt;1,"Duplicate","Keep")</x:f>
        <x:v>Keep</x:v>
      </x:c>
      <x:c r="AF159" s="84" t="str">
        <x:f>IF(OR(R159&lt;=0,AC159&lt;B159,H159="Unknown",M159="Unknown Product"),"Review","Valid")</x:f>
        <x:v>Valid</x:v>
      </x:c>
      <x:c r="AG159" s="84" t="n">
        <x:f>IF(AND(AE159="Keep",AF159="Valid"),1,0)</x:f>
        <x:v>1</x:v>
      </x:c>
      <x:c r="AH159" s="84" t="n">
        <x:f>IF(AND(AG159=1,OR('Dashboard'!$B$4="All",I159='Dashboard'!$B$4),OR('Dashboard'!$E$4="All",N159='Dashboard'!$E$4),OR('Dashboard'!$H$4="All",K159='Dashboard'!$H$4),OR('Dashboard'!$K$4="All",C159='Dashboard'!$K$4)),1,0)</x:f>
        <x:v>1</x:v>
      </x:c>
      <x:c r="AI159" s="84" t="n">
        <x:f>IF(AND(AG159=1,OR('Dashboard'!$B$4="All",I159='Dashboard'!$B$4),OR('Dashboard'!$E$4="All",N159='Dashboard'!$E$4),OR('Dashboard'!$H$4="All",K159='Dashboard'!$H$4)),1,0)</x:f>
        <x:v>1</x:v>
      </x:c>
    </x:row>
    <x:row r="160">
      <x:c r="A160" s="84" t="str">
        <x:f>'Raw Sales'!A160</x:f>
        <x:v>ORD-2024-00719</x:v>
      </x:c>
      <x:c r="B160" s="85" t="n">
        <x:f>'Raw Sales'!B160</x:f>
        <x:v>45359</x:v>
      </x:c>
      <x:c r="C160" s="84" t="n">
        <x:f>YEAR(B160)</x:f>
        <x:v>2024</x:v>
      </x:c>
      <x:c r="D160" s="91" t="n">
        <x:f>DATE(YEAR(B160),MONTH(B160),1)</x:f>
        <x:v>45352</x:v>
      </x:c>
      <x:c r="E160" s="84" t="str">
        <x:f>TEXT(B160,"mmm")</x:f>
        <x:v>Mar</x:v>
      </x:c>
      <x:c r="F160" s="84" t="str">
        <x:f>'Raw Sales'!C160</x:f>
        <x:v>CUST-0358</x:v>
      </x:c>
      <x:c r="G160" s="84" t="str">
        <x:f>PROPER(TRIM('Raw Sales'!D160))</x:f>
        <x:v>Grace Roberts</x:v>
      </x:c>
      <x:c r="H160" s="84" t="str">
        <x:f>IF(TRIM('Raw Sales'!E160)="","Unknown",PROPER(TRIM('Raw Sales'!E160)))</x:f>
        <x:v>Consumer</x:v>
      </x:c>
      <x:c r="I160" s="84" t="str">
        <x:f>PROPER(TRIM('Raw Sales'!F160))</x:f>
        <x:v>West</x:v>
      </x:c>
      <x:c r="J160" s="84" t="str">
        <x:f>PROPER(TRIM('Raw Sales'!G160))</x:f>
        <x:v>Seattle</x:v>
      </x:c>
      <x:c r="K160" s="84" t="str">
        <x:f>PROPER(TRIM('Raw Sales'!H160))</x:f>
        <x:v>Online</x:v>
      </x:c>
      <x:c r="L160" s="84" t="str">
        <x:f>'Raw Sales'!I160</x:f>
        <x:v>ACCS-001</x:v>
      </x:c>
      <x:c r="M160" s="84" t="str">
        <x:f>IFERROR(VLOOKUP(L160,'Reference Data'!$A$5:$F$40,2,FALSE),"Unknown Product")</x:f>
        <x:v>Canvas Tote Bag</x:v>
      </x:c>
      <x:c r="N160" s="84" t="str">
        <x:f>IFERROR(VLOOKUP(L160,'Reference Data'!$A$5:$F$40,3,FALSE),"Unknown")</x:f>
        <x:v>Accessories</x:v>
      </x:c>
      <x:c r="O160" s="84" t="str">
        <x:f>IFERROR(VLOOKUP(L160,'Reference Data'!$A$5:$F$40,4,FALSE),"Unknown")</x:f>
        <x:v>Bags</x:v>
      </x:c>
      <x:c r="P160" s="92" t="n">
        <x:f>IFERROR(VLOOKUP(L160,'Reference Data'!$A$5:$F$40,5,FALSE),0)</x:f>
        <x:v>39</x:v>
      </x:c>
      <x:c r="Q160" s="92" t="n">
        <x:f>IFERROR(VLOOKUP(L160,'Reference Data'!$A$5:$F$40,6,FALSE),0)</x:f>
        <x:v>14</x:v>
      </x:c>
      <x:c r="R160" s="84" t="n">
        <x:f>'Raw Sales'!J160</x:f>
        <x:v>1</x:v>
      </x:c>
      <x:c r="S160" s="87" t="n">
        <x:f>'Raw Sales'!K160</x:f>
        <x:v>0.1</x:v>
      </x:c>
      <x:c r="T160" s="93" t="n">
        <x:f>P160*R160</x:f>
        <x:v>39</x:v>
      </x:c>
      <x:c r="U160" s="93" t="n">
        <x:f>T160*S160</x:f>
        <x:v>3.9000000000000004</x:v>
      </x:c>
      <x:c r="V160" s="93" t="str">
        <x:f>PROPER(TRIM('Raw Sales'!L160))</x:f>
        <x:v>Completed</x:v>
      </x:c>
      <x:c r="W160" s="93" t="n">
        <x:f>IF(V160="Returned",0,T160-U160)</x:f>
        <x:v>35.1</x:v>
      </x:c>
      <x:c r="X160" s="93" t="n">
        <x:f>IF(V160="Returned",Q160*R160*10%,Q160*R160)</x:f>
        <x:v>14</x:v>
      </x:c>
      <x:c r="Y160" s="93" t="n">
        <x:f>W160-X160</x:f>
        <x:v>21.1</x:v>
      </x:c>
      <x:c r="Z160" s="94" t="n">
        <x:f>IFERROR(Y160/W160,0)</x:f>
        <x:v>0.6011396011396012</x:v>
      </x:c>
      <x:c r="AA160" s="84" t="str">
        <x:f>PROPER(TRIM('Raw Sales'!M160))</x:f>
        <x:v>Paypal</x:v>
      </x:c>
      <x:c r="AB160" s="84" t="str">
        <x:f>PROPER(TRIM('Raw Sales'!N160))</x:f>
        <x:v>Leo Martinez</x:v>
      </x:c>
      <x:c r="AC160" s="85" t="n">
        <x:f>'Raw Sales'!O160</x:f>
        <x:v>45361</x:v>
      </x:c>
      <x:c r="AD160" s="84" t="n">
        <x:f>AC160-B160</x:f>
        <x:v>2</x:v>
      </x:c>
      <x:c r="AE160" s="84" t="str">
        <x:f>IF(COUNTIF($A$5:A160,A160)&gt;1,"Duplicate","Keep")</x:f>
        <x:v>Duplicate</x:v>
      </x:c>
      <x:c r="AF160" s="84" t="str">
        <x:f>IF(OR(R160&lt;=0,AC160&lt;B160,H160="Unknown",M160="Unknown Product"),"Review","Valid")</x:f>
        <x:v>Valid</x:v>
      </x:c>
      <x:c r="AG160" s="84" t="n">
        <x:f>IF(AND(AE160="Keep",AF160="Valid"),1,0)</x:f>
        <x:v>0</x:v>
      </x:c>
      <x:c r="AH160" s="84" t="n">
        <x:f>IF(AND(AG160=1,OR('Dashboard'!$B$4="All",I160='Dashboard'!$B$4),OR('Dashboard'!$E$4="All",N160='Dashboard'!$E$4),OR('Dashboard'!$H$4="All",K160='Dashboard'!$H$4),OR('Dashboard'!$K$4="All",C160='Dashboard'!$K$4)),1,0)</x:f>
        <x:v>0</x:v>
      </x:c>
      <x:c r="AI160" s="84" t="n">
        <x:f>IF(AND(AG160=1,OR('Dashboard'!$B$4="All",I160='Dashboard'!$B$4),OR('Dashboard'!$E$4="All",N160='Dashboard'!$E$4),OR('Dashboard'!$H$4="All",K160='Dashboard'!$H$4)),1,0)</x:f>
        <x:v>0</x:v>
      </x:c>
    </x:row>
    <x:row r="161">
      <x:c r="A161" s="84" t="str">
        <x:f>'Raw Sales'!A161</x:f>
        <x:v>ORD-2024-00897</x:v>
      </x:c>
      <x:c r="B161" s="85" t="n">
        <x:f>'Raw Sales'!B161</x:f>
        <x:v>45359</x:v>
      </x:c>
      <x:c r="C161" s="84" t="n">
        <x:f>YEAR(B161)</x:f>
        <x:v>2024</x:v>
      </x:c>
      <x:c r="D161" s="91" t="n">
        <x:f>DATE(YEAR(B161),MONTH(B161),1)</x:f>
        <x:v>45352</x:v>
      </x:c>
      <x:c r="E161" s="84" t="str">
        <x:f>TEXT(B161,"mmm")</x:f>
        <x:v>Mar</x:v>
      </x:c>
      <x:c r="F161" s="84" t="str">
        <x:f>'Raw Sales'!C161</x:f>
        <x:v>CUST-0577</x:v>
      </x:c>
      <x:c r="G161" s="84" t="str">
        <x:f>PROPER(TRIM('Raw Sales'!D161))</x:f>
        <x:v>Grace Young</x:v>
      </x:c>
      <x:c r="H161" s="84" t="str">
        <x:f>IF(TRIM('Raw Sales'!E161)="","Unknown",PROPER(TRIM('Raw Sales'!E161)))</x:f>
        <x:v>Consumer</x:v>
      </x:c>
      <x:c r="I161" s="84" t="str">
        <x:f>PROPER(TRIM('Raw Sales'!F161))</x:f>
        <x:v>Southeast</x:v>
      </x:c>
      <x:c r="J161" s="84" t="str">
        <x:f>PROPER(TRIM('Raw Sales'!G161))</x:f>
        <x:v>Charlotte</x:v>
      </x:c>
      <x:c r="K161" s="84" t="str">
        <x:f>PROPER(TRIM('Raw Sales'!H161))</x:f>
        <x:v>Marketplace</x:v>
      </x:c>
      <x:c r="L161" s="84" t="str">
        <x:f>'Raw Sales'!I161</x:f>
        <x:v>FITN-003</x:v>
      </x:c>
      <x:c r="M161" s="84" t="str">
        <x:f>IFERROR(VLOOKUP(L161,'Reference Data'!$A$5:$F$40,2,FALSE),"Unknown Product")</x:f>
        <x:v>Resistance Band Set</x:v>
      </x:c>
      <x:c r="N161" s="84" t="str">
        <x:f>IFERROR(VLOOKUP(L161,'Reference Data'!$A$5:$F$40,3,FALSE),"Unknown")</x:f>
        <x:v>Fitness</x:v>
      </x:c>
      <x:c r="O161" s="84" t="str">
        <x:f>IFERROR(VLOOKUP(L161,'Reference Data'!$A$5:$F$40,4,FALSE),"Unknown")</x:f>
        <x:v>Strength</x:v>
      </x:c>
      <x:c r="P161" s="92" t="n">
        <x:f>IFERROR(VLOOKUP(L161,'Reference Data'!$A$5:$F$40,5,FALSE),0)</x:f>
        <x:v>24</x:v>
      </x:c>
      <x:c r="Q161" s="92" t="n">
        <x:f>IFERROR(VLOOKUP(L161,'Reference Data'!$A$5:$F$40,6,FALSE),0)</x:f>
        <x:v>8</x:v>
      </x:c>
      <x:c r="R161" s="84" t="n">
        <x:f>'Raw Sales'!J161</x:f>
        <x:v>3</x:v>
      </x:c>
      <x:c r="S161" s="87" t="n">
        <x:f>'Raw Sales'!K161</x:f>
        <x:v>0.15</x:v>
      </x:c>
      <x:c r="T161" s="93" t="n">
        <x:f>P161*R161</x:f>
        <x:v>72</x:v>
      </x:c>
      <x:c r="U161" s="93" t="n">
        <x:f>T161*S161</x:f>
        <x:v>10.799999999999999</x:v>
      </x:c>
      <x:c r="V161" s="93" t="str">
        <x:f>PROPER(TRIM('Raw Sales'!L161))</x:f>
        <x:v>Completed</x:v>
      </x:c>
      <x:c r="W161" s="93" t="n">
        <x:f>IF(V161="Returned",0,T161-U161)</x:f>
        <x:v>61.2</x:v>
      </x:c>
      <x:c r="X161" s="93" t="n">
        <x:f>IF(V161="Returned",Q161*R161*10%,Q161*R161)</x:f>
        <x:v>24</x:v>
      </x:c>
      <x:c r="Y161" s="93" t="n">
        <x:f>W161-X161</x:f>
        <x:v>37.2</x:v>
      </x:c>
      <x:c r="Z161" s="94" t="n">
        <x:f>IFERROR(Y161/W161,0)</x:f>
        <x:v>0.607843137254902</x:v>
      </x:c>
      <x:c r="AA161" s="84" t="str">
        <x:f>PROPER(TRIM('Raw Sales'!M161))</x:f>
        <x:v>Credit Card</x:v>
      </x:c>
      <x:c r="AB161" s="84" t="str">
        <x:f>PROPER(TRIM('Raw Sales'!N161))</x:f>
        <x:v>Ava Mitchell</x:v>
      </x:c>
      <x:c r="AC161" s="85" t="n">
        <x:f>'Raw Sales'!O161</x:f>
        <x:v>45362</x:v>
      </x:c>
      <x:c r="AD161" s="84" t="n">
        <x:f>AC161-B161</x:f>
        <x:v>3</x:v>
      </x:c>
      <x:c r="AE161" s="84" t="str">
        <x:f>IF(COUNTIF($A$5:A161,A161)&gt;1,"Duplicate","Keep")</x:f>
        <x:v>Keep</x:v>
      </x:c>
      <x:c r="AF161" s="84" t="str">
        <x:f>IF(OR(R161&lt;=0,AC161&lt;B161,H161="Unknown",M161="Unknown Product"),"Review","Valid")</x:f>
        <x:v>Valid</x:v>
      </x:c>
      <x:c r="AG161" s="84" t="n">
        <x:f>IF(AND(AE161="Keep",AF161="Valid"),1,0)</x:f>
        <x:v>1</x:v>
      </x:c>
      <x:c r="AH161" s="84" t="n">
        <x:f>IF(AND(AG161=1,OR('Dashboard'!$B$4="All",I161='Dashboard'!$B$4),OR('Dashboard'!$E$4="All",N161='Dashboard'!$E$4),OR('Dashboard'!$H$4="All",K161='Dashboard'!$H$4),OR('Dashboard'!$K$4="All",C161='Dashboard'!$K$4)),1,0)</x:f>
        <x:v>1</x:v>
      </x:c>
      <x:c r="AI161" s="84" t="n">
        <x:f>IF(AND(AG161=1,OR('Dashboard'!$B$4="All",I161='Dashboard'!$B$4),OR('Dashboard'!$E$4="All",N161='Dashboard'!$E$4),OR('Dashboard'!$H$4="All",K161='Dashboard'!$H$4)),1,0)</x:f>
        <x:v>1</x:v>
      </x:c>
    </x:row>
    <x:row r="162">
      <x:c r="A162" s="84" t="str">
        <x:f>'Raw Sales'!A162</x:f>
        <x:v>ORD-2024-01244</x:v>
      </x:c>
      <x:c r="B162" s="85" t="n">
        <x:f>'Raw Sales'!B162</x:f>
        <x:v>45359</x:v>
      </x:c>
      <x:c r="C162" s="84" t="n">
        <x:f>YEAR(B162)</x:f>
        <x:v>2024</x:v>
      </x:c>
      <x:c r="D162" s="91" t="n">
        <x:f>DATE(YEAR(B162),MONTH(B162),1)</x:f>
        <x:v>45352</x:v>
      </x:c>
      <x:c r="E162" s="84" t="str">
        <x:f>TEXT(B162,"mmm")</x:f>
        <x:v>Mar</x:v>
      </x:c>
      <x:c r="F162" s="84" t="str">
        <x:f>'Raw Sales'!C162</x:f>
        <x:v>CUST-0527</x:v>
      </x:c>
      <x:c r="G162" s="84" t="str">
        <x:f>PROPER(TRIM('Raw Sales'!D162))</x:f>
        <x:v>Theo Hall</x:v>
      </x:c>
      <x:c r="H162" s="84" t="str">
        <x:f>IF(TRIM('Raw Sales'!E162)="","Unknown",PROPER(TRIM('Raw Sales'!E162)))</x:f>
        <x:v>Consumer</x:v>
      </x:c>
      <x:c r="I162" s="84" t="str">
        <x:f>PROPER(TRIM('Raw Sales'!F162))</x:f>
        <x:v>Southeast</x:v>
      </x:c>
      <x:c r="J162" s="84" t="str">
        <x:f>PROPER(TRIM('Raw Sales'!G162))</x:f>
        <x:v>Nashville</x:v>
      </x:c>
      <x:c r="K162" s="84" t="str">
        <x:f>PROPER(TRIM('Raw Sales'!H162))</x:f>
        <x:v>Marketplace</x:v>
      </x:c>
      <x:c r="L162" s="84" t="str">
        <x:f>'Raw Sales'!I162</x:f>
        <x:v>ELEC-006</x:v>
      </x:c>
      <x:c r="M162" s="84" t="str">
        <x:f>IFERROR(VLOOKUP(L162,'Reference Data'!$A$5:$F$40,2,FALSE),"Unknown Product")</x:f>
        <x:v>Portable SSD</x:v>
      </x:c>
      <x:c r="N162" s="84" t="str">
        <x:f>IFERROR(VLOOKUP(L162,'Reference Data'!$A$5:$F$40,3,FALSE),"Unknown")</x:f>
        <x:v>Electronics</x:v>
      </x:c>
      <x:c r="O162" s="84" t="str">
        <x:f>IFERROR(VLOOKUP(L162,'Reference Data'!$A$5:$F$40,4,FALSE),"Unknown")</x:f>
        <x:v>Storage</x:v>
      </x:c>
      <x:c r="P162" s="92" t="n">
        <x:f>IFERROR(VLOOKUP(L162,'Reference Data'!$A$5:$F$40,5,FALSE),0)</x:f>
        <x:v>129</x:v>
      </x:c>
      <x:c r="Q162" s="92" t="n">
        <x:f>IFERROR(VLOOKUP(L162,'Reference Data'!$A$5:$F$40,6,FALSE),0)</x:f>
        <x:v>75</x:v>
      </x:c>
      <x:c r="R162" s="84" t="n">
        <x:f>'Raw Sales'!J162</x:f>
        <x:v>1</x:v>
      </x:c>
      <x:c r="S162" s="87" t="n">
        <x:f>'Raw Sales'!K162</x:f>
        <x:v>0.2</x:v>
      </x:c>
      <x:c r="T162" s="93" t="n">
        <x:f>P162*R162</x:f>
        <x:v>129</x:v>
      </x:c>
      <x:c r="U162" s="93" t="n">
        <x:f>T162*S162</x:f>
        <x:v>25.8</x:v>
      </x:c>
      <x:c r="V162" s="93" t="str">
        <x:f>PROPER(TRIM('Raw Sales'!L162))</x:f>
        <x:v>Completed</x:v>
      </x:c>
      <x:c r="W162" s="93" t="n">
        <x:f>IF(V162="Returned",0,T162-U162)</x:f>
        <x:v>103.2</x:v>
      </x:c>
      <x:c r="X162" s="93" t="n">
        <x:f>IF(V162="Returned",Q162*R162*10%,Q162*R162)</x:f>
        <x:v>75</x:v>
      </x:c>
      <x:c r="Y162" s="93" t="n">
        <x:f>W162-X162</x:f>
        <x:v>28.200000000000003</x:v>
      </x:c>
      <x:c r="Z162" s="94" t="n">
        <x:f>IFERROR(Y162/W162,0)</x:f>
        <x:v>0.2732558139534884</x:v>
      </x:c>
      <x:c r="AA162" s="84" t="str">
        <x:f>PROPER(TRIM('Raw Sales'!M162))</x:f>
        <x:v>Credit Card</x:v>
      </x:c>
      <x:c r="AB162" s="84" t="str">
        <x:f>PROPER(TRIM('Raw Sales'!N162))</x:f>
        <x:v>Ava Mitchell</x:v>
      </x:c>
      <x:c r="AC162" s="85" t="n">
        <x:f>'Raw Sales'!O162</x:f>
        <x:v>45363</x:v>
      </x:c>
      <x:c r="AD162" s="84" t="n">
        <x:f>AC162-B162</x:f>
        <x:v>4</x:v>
      </x:c>
      <x:c r="AE162" s="84" t="str">
        <x:f>IF(COUNTIF($A$5:A162,A162)&gt;1,"Duplicate","Keep")</x:f>
        <x:v>Keep</x:v>
      </x:c>
      <x:c r="AF162" s="84" t="str">
        <x:f>IF(OR(R162&lt;=0,AC162&lt;B162,H162="Unknown",M162="Unknown Product"),"Review","Valid")</x:f>
        <x:v>Valid</x:v>
      </x:c>
      <x:c r="AG162" s="84" t="n">
        <x:f>IF(AND(AE162="Keep",AF162="Valid"),1,0)</x:f>
        <x:v>1</x:v>
      </x:c>
      <x:c r="AH162" s="84" t="n">
        <x:f>IF(AND(AG162=1,OR('Dashboard'!$B$4="All",I162='Dashboard'!$B$4),OR('Dashboard'!$E$4="All",N162='Dashboard'!$E$4),OR('Dashboard'!$H$4="All",K162='Dashboard'!$H$4),OR('Dashboard'!$K$4="All",C162='Dashboard'!$K$4)),1,0)</x:f>
        <x:v>1</x:v>
      </x:c>
      <x:c r="AI162" s="84" t="n">
        <x:f>IF(AND(AG162=1,OR('Dashboard'!$B$4="All",I162='Dashboard'!$B$4),OR('Dashboard'!$E$4="All",N162='Dashboard'!$E$4),OR('Dashboard'!$H$4="All",K162='Dashboard'!$H$4)),1,0)</x:f>
        <x:v>1</x:v>
      </x:c>
    </x:row>
    <x:row r="163">
      <x:c r="A163" s="84" t="str">
        <x:f>'Raw Sales'!A163</x:f>
        <x:v>ORD-2024-02341</x:v>
      </x:c>
      <x:c r="B163" s="85" t="n">
        <x:f>'Raw Sales'!B163</x:f>
        <x:v>45359</x:v>
      </x:c>
      <x:c r="C163" s="84" t="n">
        <x:f>YEAR(B163)</x:f>
        <x:v>2024</x:v>
      </x:c>
      <x:c r="D163" s="91" t="n">
        <x:f>DATE(YEAR(B163),MONTH(B163),1)</x:f>
        <x:v>45352</x:v>
      </x:c>
      <x:c r="E163" s="84" t="str">
        <x:f>TEXT(B163,"mmm")</x:f>
        <x:v>Mar</x:v>
      </x:c>
      <x:c r="F163" s="84" t="str">
        <x:f>'Raw Sales'!C163</x:f>
        <x:v>CUST-0353</x:v>
      </x:c>
      <x:c r="G163" s="84" t="str">
        <x:f>PROPER(TRIM('Raw Sales'!D163))</x:f>
        <x:v>Elias Hall</x:v>
      </x:c>
      <x:c r="H163" s="84" t="str">
        <x:f>IF(TRIM('Raw Sales'!E163)="","Unknown",PROPER(TRIM('Raw Sales'!E163)))</x:f>
        <x:v>Consumer</x:v>
      </x:c>
      <x:c r="I163" s="84" t="str">
        <x:f>PROPER(TRIM('Raw Sales'!F163))</x:f>
        <x:v>Northeast</x:v>
      </x:c>
      <x:c r="J163" s="84" t="str">
        <x:f>PROPER(TRIM('Raw Sales'!G163))</x:f>
        <x:v>New York</x:v>
      </x:c>
      <x:c r="K163" s="84" t="str">
        <x:f>PROPER(TRIM('Raw Sales'!H163))</x:f>
        <x:v>Retail Store</x:v>
      </x:c>
      <x:c r="L163" s="84" t="str">
        <x:f>'Raw Sales'!I163</x:f>
        <x:v>HOME-005</x:v>
      </x:c>
      <x:c r="M163" s="84" t="str">
        <x:f>IFERROR(VLOOKUP(L163,'Reference Data'!$A$5:$F$40,2,FALSE),"Unknown Product")</x:f>
        <x:v>Cordless Vacuum</x:v>
      </x:c>
      <x:c r="N163" s="84" t="str">
        <x:f>IFERROR(VLOOKUP(L163,'Reference Data'!$A$5:$F$40,3,FALSE),"Unknown")</x:f>
        <x:v>Home &amp; Kitchen</x:v>
      </x:c>
      <x:c r="O163" s="84" t="str">
        <x:f>IFERROR(VLOOKUP(L163,'Reference Data'!$A$5:$F$40,4,FALSE),"Unknown")</x:f>
        <x:v>Cleaning</x:v>
      </x:c>
      <x:c r="P163" s="92" t="n">
        <x:f>IFERROR(VLOOKUP(L163,'Reference Data'!$A$5:$F$40,5,FALSE),0)</x:f>
        <x:v>179</x:v>
      </x:c>
      <x:c r="Q163" s="92" t="n">
        <x:f>IFERROR(VLOOKUP(L163,'Reference Data'!$A$5:$F$40,6,FALSE),0)</x:f>
        <x:v>102</x:v>
      </x:c>
      <x:c r="R163" s="84" t="n">
        <x:f>'Raw Sales'!J163</x:f>
        <x:v>4</x:v>
      </x:c>
      <x:c r="S163" s="87" t="n">
        <x:f>'Raw Sales'!K163</x:f>
        <x:v>0.1</x:v>
      </x:c>
      <x:c r="T163" s="93" t="n">
        <x:f>P163*R163</x:f>
        <x:v>716</x:v>
      </x:c>
      <x:c r="U163" s="93" t="n">
        <x:f>T163*S163</x:f>
        <x:v>71.60000000000001</x:v>
      </x:c>
      <x:c r="V163" s="93" t="str">
        <x:f>PROPER(TRIM('Raw Sales'!L163))</x:f>
        <x:v>Completed</x:v>
      </x:c>
      <x:c r="W163" s="93" t="n">
        <x:f>IF(V163="Returned",0,T163-U163)</x:f>
        <x:v>644.4</x:v>
      </x:c>
      <x:c r="X163" s="93" t="n">
        <x:f>IF(V163="Returned",Q163*R163*10%,Q163*R163)</x:f>
        <x:v>408</x:v>
      </x:c>
      <x:c r="Y163" s="93" t="n">
        <x:f>W163-X163</x:f>
        <x:v>236.39999999999998</x:v>
      </x:c>
      <x:c r="Z163" s="94" t="n">
        <x:f>IFERROR(Y163/W163,0)</x:f>
        <x:v>0.36685288640595903</x:v>
      </x:c>
      <x:c r="AA163" s="84" t="str">
        <x:f>PROPER(TRIM('Raw Sales'!M163))</x:f>
        <x:v>Credit Card</x:v>
      </x:c>
      <x:c r="AB163" s="84" t="str">
        <x:f>PROPER(TRIM('Raw Sales'!N163))</x:f>
        <x:v>Sofia Bennett</x:v>
      </x:c>
      <x:c r="AC163" s="85" t="n">
        <x:f>'Raw Sales'!O163</x:f>
        <x:v>45359</x:v>
      </x:c>
      <x:c r="AD163" s="84" t="n">
        <x:f>AC163-B163</x:f>
        <x:v>0</x:v>
      </x:c>
      <x:c r="AE163" s="84" t="str">
        <x:f>IF(COUNTIF($A$5:A163,A163)&gt;1,"Duplicate","Keep")</x:f>
        <x:v>Keep</x:v>
      </x:c>
      <x:c r="AF163" s="84" t="str">
        <x:f>IF(OR(R163&lt;=0,AC163&lt;B163,H163="Unknown",M163="Unknown Product"),"Review","Valid")</x:f>
        <x:v>Valid</x:v>
      </x:c>
      <x:c r="AG163" s="84" t="n">
        <x:f>IF(AND(AE163="Keep",AF163="Valid"),1,0)</x:f>
        <x:v>1</x:v>
      </x:c>
      <x:c r="AH163" s="84" t="n">
        <x:f>IF(AND(AG163=1,OR('Dashboard'!$B$4="All",I163='Dashboard'!$B$4),OR('Dashboard'!$E$4="All",N163='Dashboard'!$E$4),OR('Dashboard'!$H$4="All",K163='Dashboard'!$H$4),OR('Dashboard'!$K$4="All",C163='Dashboard'!$K$4)),1,0)</x:f>
        <x:v>1</x:v>
      </x:c>
      <x:c r="AI163" s="84" t="n">
        <x:f>IF(AND(AG163=1,OR('Dashboard'!$B$4="All",I163='Dashboard'!$B$4),OR('Dashboard'!$E$4="All",N163='Dashboard'!$E$4),OR('Dashboard'!$H$4="All",K163='Dashboard'!$H$4)),1,0)</x:f>
        <x:v>1</x:v>
      </x:c>
    </x:row>
    <x:row r="164">
      <x:c r="A164" s="84" t="str">
        <x:f>'Raw Sales'!A164</x:f>
        <x:v>ORD-2024-01941</x:v>
      </x:c>
      <x:c r="B164" s="85" t="n">
        <x:f>'Raw Sales'!B164</x:f>
        <x:v>45360</x:v>
      </x:c>
      <x:c r="C164" s="84" t="n">
        <x:f>YEAR(B164)</x:f>
        <x:v>2024</x:v>
      </x:c>
      <x:c r="D164" s="91" t="n">
        <x:f>DATE(YEAR(B164),MONTH(B164),1)</x:f>
        <x:v>45352</x:v>
      </x:c>
      <x:c r="E164" s="84" t="str">
        <x:f>TEXT(B164,"mmm")</x:f>
        <x:v>Mar</x:v>
      </x:c>
      <x:c r="F164" s="84" t="str">
        <x:f>'Raw Sales'!C164</x:f>
        <x:v>CUST-0457</x:v>
      </x:c>
      <x:c r="G164" s="84" t="str">
        <x:f>PROPER(TRIM('Raw Sales'!D164))</x:f>
        <x:v>Amelia Carter</x:v>
      </x:c>
      <x:c r="H164" s="84" t="str">
        <x:f>IF(TRIM('Raw Sales'!E164)="","Unknown",PROPER(TRIM('Raw Sales'!E164)))</x:f>
        <x:v>Small Business</x:v>
      </x:c>
      <x:c r="I164" s="84" t="str">
        <x:f>PROPER(TRIM('Raw Sales'!F164))</x:f>
        <x:v>Midwest</x:v>
      </x:c>
      <x:c r="J164" s="84" t="str">
        <x:f>PROPER(TRIM('Raw Sales'!G164))</x:f>
        <x:v>Columbus</x:v>
      </x:c>
      <x:c r="K164" s="84" t="str">
        <x:f>PROPER(TRIM('Raw Sales'!H164))</x:f>
        <x:v>Retail Store</x:v>
      </x:c>
      <x:c r="L164" s="84" t="str">
        <x:f>'Raw Sales'!I164</x:f>
        <x:v>CARE-002</x:v>
      </x:c>
      <x:c r="M164" s="84" t="str">
        <x:f>IFERROR(VLOOKUP(L164,'Reference Data'!$A$5:$F$40,2,FALSE),"Unknown Product")</x:f>
        <x:v>Rechargeable Trimmer</x:v>
      </x:c>
      <x:c r="N164" s="84" t="str">
        <x:f>IFERROR(VLOOKUP(L164,'Reference Data'!$A$5:$F$40,3,FALSE),"Unknown")</x:f>
        <x:v>Personal Care</x:v>
      </x:c>
      <x:c r="O164" s="84" t="str">
        <x:f>IFERROR(VLOOKUP(L164,'Reference Data'!$A$5:$F$40,4,FALSE),"Unknown")</x:f>
        <x:v>Grooming</x:v>
      </x:c>
      <x:c r="P164" s="92" t="n">
        <x:f>IFERROR(VLOOKUP(L164,'Reference Data'!$A$5:$F$40,5,FALSE),0)</x:f>
        <x:v>45</x:v>
      </x:c>
      <x:c r="Q164" s="92" t="n">
        <x:f>IFERROR(VLOOKUP(L164,'Reference Data'!$A$5:$F$40,6,FALSE),0)</x:f>
        <x:v>19</x:v>
      </x:c>
      <x:c r="R164" s="84" t="n">
        <x:f>'Raw Sales'!J164</x:f>
        <x:v>1</x:v>
      </x:c>
      <x:c r="S164" s="87" t="n">
        <x:f>'Raw Sales'!K164</x:f>
        <x:v>0.15</x:v>
      </x:c>
      <x:c r="T164" s="93" t="n">
        <x:f>P164*R164</x:f>
        <x:v>45</x:v>
      </x:c>
      <x:c r="U164" s="93" t="n">
        <x:f>T164*S164</x:f>
        <x:v>6.75</x:v>
      </x:c>
      <x:c r="V164" s="93" t="str">
        <x:f>PROPER(TRIM('Raw Sales'!L164))</x:f>
        <x:v>Completed</x:v>
      </x:c>
      <x:c r="W164" s="93" t="n">
        <x:f>IF(V164="Returned",0,T164-U164)</x:f>
        <x:v>38.25</x:v>
      </x:c>
      <x:c r="X164" s="93" t="n">
        <x:f>IF(V164="Returned",Q164*R164*10%,Q164*R164)</x:f>
        <x:v>19</x:v>
      </x:c>
      <x:c r="Y164" s="93" t="n">
        <x:f>W164-X164</x:f>
        <x:v>19.25</x:v>
      </x:c>
      <x:c r="Z164" s="94" t="n">
        <x:f>IFERROR(Y164/W164,0)</x:f>
        <x:v>0.5032679738562091</x:v>
      </x:c>
      <x:c r="AA164" s="84" t="str">
        <x:f>PROPER(TRIM('Raw Sales'!M164))</x:f>
        <x:v>Credit Card</x:v>
      </x:c>
      <x:c r="AB164" s="84" t="str">
        <x:f>PROPER(TRIM('Raw Sales'!N164))</x:f>
        <x:v>Zoe Turner</x:v>
      </x:c>
      <x:c r="AC164" s="85" t="n">
        <x:f>'Raw Sales'!O164</x:f>
        <x:v>45361</x:v>
      </x:c>
      <x:c r="AD164" s="84" t="n">
        <x:f>AC164-B164</x:f>
        <x:v>1</x:v>
      </x:c>
      <x:c r="AE164" s="84" t="str">
        <x:f>IF(COUNTIF($A$5:A164,A164)&gt;1,"Duplicate","Keep")</x:f>
        <x:v>Keep</x:v>
      </x:c>
      <x:c r="AF164" s="84" t="str">
        <x:f>IF(OR(R164&lt;=0,AC164&lt;B164,H164="Unknown",M164="Unknown Product"),"Review","Valid")</x:f>
        <x:v>Valid</x:v>
      </x:c>
      <x:c r="AG164" s="84" t="n">
        <x:f>IF(AND(AE164="Keep",AF164="Valid"),1,0)</x:f>
        <x:v>1</x:v>
      </x:c>
      <x:c r="AH164" s="84" t="n">
        <x:f>IF(AND(AG164=1,OR('Dashboard'!$B$4="All",I164='Dashboard'!$B$4),OR('Dashboard'!$E$4="All",N164='Dashboard'!$E$4),OR('Dashboard'!$H$4="All",K164='Dashboard'!$H$4),OR('Dashboard'!$K$4="All",C164='Dashboard'!$K$4)),1,0)</x:f>
        <x:v>1</x:v>
      </x:c>
      <x:c r="AI164" s="84" t="n">
        <x:f>IF(AND(AG164=1,OR('Dashboard'!$B$4="All",I164='Dashboard'!$B$4),OR('Dashboard'!$E$4="All",N164='Dashboard'!$E$4),OR('Dashboard'!$H$4="All",K164='Dashboard'!$H$4)),1,0)</x:f>
        <x:v>1</x:v>
      </x:c>
    </x:row>
    <x:row r="165">
      <x:c r="A165" s="84" t="str">
        <x:f>'Raw Sales'!A165</x:f>
        <x:v>ORD-2024-01231</x:v>
      </x:c>
      <x:c r="B165" s="85" t="n">
        <x:f>'Raw Sales'!B165</x:f>
        <x:v>45361</x:v>
      </x:c>
      <x:c r="C165" s="84" t="n">
        <x:f>YEAR(B165)</x:f>
        <x:v>2024</x:v>
      </x:c>
      <x:c r="D165" s="91" t="n">
        <x:f>DATE(YEAR(B165),MONTH(B165),1)</x:f>
        <x:v>45352</x:v>
      </x:c>
      <x:c r="E165" s="84" t="str">
        <x:f>TEXT(B165,"mmm")</x:f>
        <x:v>Mar</x:v>
      </x:c>
      <x:c r="F165" s="84" t="str">
        <x:f>'Raw Sales'!C165</x:f>
        <x:v>CUST-0481</x:v>
      </x:c>
      <x:c r="G165" s="84" t="str">
        <x:f>PROPER(TRIM('Raw Sales'!D165))</x:f>
        <x:v>Marcus Hall</x:v>
      </x:c>
      <x:c r="H165" s="84" t="str">
        <x:f>IF(TRIM('Raw Sales'!E165)="","Unknown",PROPER(TRIM('Raw Sales'!E165)))</x:f>
        <x:v>Small Business</x:v>
      </x:c>
      <x:c r="I165" s="84" t="str">
        <x:f>PROPER(TRIM('Raw Sales'!F165))</x:f>
        <x:v>Northeast</x:v>
      </x:c>
      <x:c r="J165" s="84" t="str">
        <x:f>PROPER(TRIM('Raw Sales'!G165))</x:f>
        <x:v>Newark</x:v>
      </x:c>
      <x:c r="K165" s="84" t="str">
        <x:f>PROPER(TRIM('Raw Sales'!H165))</x:f>
        <x:v>Online</x:v>
      </x:c>
      <x:c r="L165" s="84" t="str">
        <x:f>'Raw Sales'!I165</x:f>
        <x:v>ELEC-006</x:v>
      </x:c>
      <x:c r="M165" s="84" t="str">
        <x:f>IFERROR(VLOOKUP(L165,'Reference Data'!$A$5:$F$40,2,FALSE),"Unknown Product")</x:f>
        <x:v>Portable SSD</x:v>
      </x:c>
      <x:c r="N165" s="84" t="str">
        <x:f>IFERROR(VLOOKUP(L165,'Reference Data'!$A$5:$F$40,3,FALSE),"Unknown")</x:f>
        <x:v>Electronics</x:v>
      </x:c>
      <x:c r="O165" s="84" t="str">
        <x:f>IFERROR(VLOOKUP(L165,'Reference Data'!$A$5:$F$40,4,FALSE),"Unknown")</x:f>
        <x:v>Storage</x:v>
      </x:c>
      <x:c r="P165" s="92" t="n">
        <x:f>IFERROR(VLOOKUP(L165,'Reference Data'!$A$5:$F$40,5,FALSE),0)</x:f>
        <x:v>129</x:v>
      </x:c>
      <x:c r="Q165" s="92" t="n">
        <x:f>IFERROR(VLOOKUP(L165,'Reference Data'!$A$5:$F$40,6,FALSE),0)</x:f>
        <x:v>75</x:v>
      </x:c>
      <x:c r="R165" s="84" t="n">
        <x:f>'Raw Sales'!J165</x:f>
        <x:v>3</x:v>
      </x:c>
      <x:c r="S165" s="87" t="n">
        <x:f>'Raw Sales'!K165</x:f>
        <x:v>0</x:v>
      </x:c>
      <x:c r="T165" s="93" t="n">
        <x:f>P165*R165</x:f>
        <x:v>387</x:v>
      </x:c>
      <x:c r="U165" s="93" t="n">
        <x:f>T165*S165</x:f>
        <x:v>0</x:v>
      </x:c>
      <x:c r="V165" s="93" t="str">
        <x:f>PROPER(TRIM('Raw Sales'!L165))</x:f>
        <x:v>Returned</x:v>
      </x:c>
      <x:c r="W165" s="93" t="n">
        <x:f>IF(V165="Returned",0,T165-U165)</x:f>
        <x:v>0</x:v>
      </x:c>
      <x:c r="X165" s="93" t="n">
        <x:f>IF(V165="Returned",Q165*R165*10%,Q165*R165)</x:f>
        <x:v>22.5</x:v>
      </x:c>
      <x:c r="Y165" s="93" t="n">
        <x:f>W165-X165</x:f>
        <x:v>-22.5</x:v>
      </x:c>
      <x:c r="Z165" s="94" t="n">
        <x:f>IFERROR(Y165/W165,0)</x:f>
        <x:v>0</x:v>
      </x:c>
      <x:c r="AA165" s="84" t="str">
        <x:f>PROPER(TRIM('Raw Sales'!M165))</x:f>
        <x:v>Debit Card</x:v>
      </x:c>
      <x:c r="AB165" s="84" t="str">
        <x:f>PROPER(TRIM('Raw Sales'!N165))</x:f>
        <x:v>Sofia Bennett</x:v>
      </x:c>
      <x:c r="AC165" s="85" t="n">
        <x:f>'Raw Sales'!O165</x:f>
        <x:v>45365</x:v>
      </x:c>
      <x:c r="AD165" s="84" t="n">
        <x:f>AC165-B165</x:f>
        <x:v>4</x:v>
      </x:c>
      <x:c r="AE165" s="84" t="str">
        <x:f>IF(COUNTIF($A$5:A165,A165)&gt;1,"Duplicate","Keep")</x:f>
        <x:v>Keep</x:v>
      </x:c>
      <x:c r="AF165" s="84" t="str">
        <x:f>IF(OR(R165&lt;=0,AC165&lt;B165,H165="Unknown",M165="Unknown Product"),"Review","Valid")</x:f>
        <x:v>Valid</x:v>
      </x:c>
      <x:c r="AG165" s="84" t="n">
        <x:f>IF(AND(AE165="Keep",AF165="Valid"),1,0)</x:f>
        <x:v>1</x:v>
      </x:c>
      <x:c r="AH165" s="84" t="n">
        <x:f>IF(AND(AG165=1,OR('Dashboard'!$B$4="All",I165='Dashboard'!$B$4),OR('Dashboard'!$E$4="All",N165='Dashboard'!$E$4),OR('Dashboard'!$H$4="All",K165='Dashboard'!$H$4),OR('Dashboard'!$K$4="All",C165='Dashboard'!$K$4)),1,0)</x:f>
        <x:v>1</x:v>
      </x:c>
      <x:c r="AI165" s="84" t="n">
        <x:f>IF(AND(AG165=1,OR('Dashboard'!$B$4="All",I165='Dashboard'!$B$4),OR('Dashboard'!$E$4="All",N165='Dashboard'!$E$4),OR('Dashboard'!$H$4="All",K165='Dashboard'!$H$4)),1,0)</x:f>
        <x:v>1</x:v>
      </x:c>
    </x:row>
    <x:row r="166">
      <x:c r="A166" s="84" t="str">
        <x:f>'Raw Sales'!A166</x:f>
        <x:v>ORD-2024-01327</x:v>
      </x:c>
      <x:c r="B166" s="85" t="n">
        <x:f>'Raw Sales'!B166</x:f>
        <x:v>45361</x:v>
      </x:c>
      <x:c r="C166" s="84" t="n">
        <x:f>YEAR(B166)</x:f>
        <x:v>2024</x:v>
      </x:c>
      <x:c r="D166" s="91" t="n">
        <x:f>DATE(YEAR(B166),MONTH(B166),1)</x:f>
        <x:v>45352</x:v>
      </x:c>
      <x:c r="E166" s="84" t="str">
        <x:f>TEXT(B166,"mmm")</x:f>
        <x:v>Mar</x:v>
      </x:c>
      <x:c r="F166" s="84" t="str">
        <x:f>'Raw Sales'!C166</x:f>
        <x:v>CUST-0631</x:v>
      </x:c>
      <x:c r="G166" s="84" t="str">
        <x:f>PROPER(TRIM('Raw Sales'!D166))</x:f>
        <x:v>Amelia Adams</x:v>
      </x:c>
      <x:c r="H166" s="84" t="str">
        <x:f>IF(TRIM('Raw Sales'!E166)="","Unknown",PROPER(TRIM('Raw Sales'!E166)))</x:f>
        <x:v>Consumer</x:v>
      </x:c>
      <x:c r="I166" s="84" t="str">
        <x:f>PROPER(TRIM('Raw Sales'!F166))</x:f>
        <x:v>Midwest</x:v>
      </x:c>
      <x:c r="J166" s="84" t="str">
        <x:f>PROPER(TRIM('Raw Sales'!G166))</x:f>
        <x:v>Minneapolis</x:v>
      </x:c>
      <x:c r="K166" s="84" t="str">
        <x:f>PROPER(TRIM('Raw Sales'!H166))</x:f>
        <x:v>Retail Store</x:v>
      </x:c>
      <x:c r="L166" s="84" t="str">
        <x:f>'Raw Sales'!I166</x:f>
        <x:v>ELEC-006</x:v>
      </x:c>
      <x:c r="M166" s="84" t="str">
        <x:f>IFERROR(VLOOKUP(L166,'Reference Data'!$A$5:$F$40,2,FALSE),"Unknown Product")</x:f>
        <x:v>Portable SSD</x:v>
      </x:c>
      <x:c r="N166" s="84" t="str">
        <x:f>IFERROR(VLOOKUP(L166,'Reference Data'!$A$5:$F$40,3,FALSE),"Unknown")</x:f>
        <x:v>Electronics</x:v>
      </x:c>
      <x:c r="O166" s="84" t="str">
        <x:f>IFERROR(VLOOKUP(L166,'Reference Data'!$A$5:$F$40,4,FALSE),"Unknown")</x:f>
        <x:v>Storage</x:v>
      </x:c>
      <x:c r="P166" s="92" t="n">
        <x:f>IFERROR(VLOOKUP(L166,'Reference Data'!$A$5:$F$40,5,FALSE),0)</x:f>
        <x:v>129</x:v>
      </x:c>
      <x:c r="Q166" s="92" t="n">
        <x:f>IFERROR(VLOOKUP(L166,'Reference Data'!$A$5:$F$40,6,FALSE),0)</x:f>
        <x:v>75</x:v>
      </x:c>
      <x:c r="R166" s="84" t="n">
        <x:f>'Raw Sales'!J166</x:f>
        <x:v>1</x:v>
      </x:c>
      <x:c r="S166" s="87" t="n">
        <x:f>'Raw Sales'!K166</x:f>
        <x:v>0.1</x:v>
      </x:c>
      <x:c r="T166" s="93" t="n">
        <x:f>P166*R166</x:f>
        <x:v>129</x:v>
      </x:c>
      <x:c r="U166" s="93" t="n">
        <x:f>T166*S166</x:f>
        <x:v>12.9</x:v>
      </x:c>
      <x:c r="V166" s="93" t="str">
        <x:f>PROPER(TRIM('Raw Sales'!L166))</x:f>
        <x:v>Completed</x:v>
      </x:c>
      <x:c r="W166" s="93" t="n">
        <x:f>IF(V166="Returned",0,T166-U166)</x:f>
        <x:v>116.1</x:v>
      </x:c>
      <x:c r="X166" s="93" t="n">
        <x:f>IF(V166="Returned",Q166*R166*10%,Q166*R166)</x:f>
        <x:v>75</x:v>
      </x:c>
      <x:c r="Y166" s="93" t="n">
        <x:f>W166-X166</x:f>
        <x:v>41.099999999999994</x:v>
      </x:c>
      <x:c r="Z166" s="94" t="n">
        <x:f>IFERROR(Y166/W166,0)</x:f>
        <x:v>0.3540051679586563</x:v>
      </x:c>
      <x:c r="AA166" s="84" t="str">
        <x:f>PROPER(TRIM('Raw Sales'!M166))</x:f>
        <x:v>Credit Card</x:v>
      </x:c>
      <x:c r="AB166" s="84" t="str">
        <x:f>PROPER(TRIM('Raw Sales'!N166))</x:f>
        <x:v>Emma Hayes</x:v>
      </x:c>
      <x:c r="AC166" s="85" t="n">
        <x:f>'Raw Sales'!O166</x:f>
        <x:v>45361</x:v>
      </x:c>
      <x:c r="AD166" s="84" t="n">
        <x:f>AC166-B166</x:f>
        <x:v>0</x:v>
      </x:c>
      <x:c r="AE166" s="84" t="str">
        <x:f>IF(COUNTIF($A$5:A166,A166)&gt;1,"Duplicate","Keep")</x:f>
        <x:v>Keep</x:v>
      </x:c>
      <x:c r="AF166" s="84" t="str">
        <x:f>IF(OR(R166&lt;=0,AC166&lt;B166,H166="Unknown",M166="Unknown Product"),"Review","Valid")</x:f>
        <x:v>Valid</x:v>
      </x:c>
      <x:c r="AG166" s="84" t="n">
        <x:f>IF(AND(AE166="Keep",AF166="Valid"),1,0)</x:f>
        <x:v>1</x:v>
      </x:c>
      <x:c r="AH166" s="84" t="n">
        <x:f>IF(AND(AG166=1,OR('Dashboard'!$B$4="All",I166='Dashboard'!$B$4),OR('Dashboard'!$E$4="All",N166='Dashboard'!$E$4),OR('Dashboard'!$H$4="All",K166='Dashboard'!$H$4),OR('Dashboard'!$K$4="All",C166='Dashboard'!$K$4)),1,0)</x:f>
        <x:v>1</x:v>
      </x:c>
      <x:c r="AI166" s="84" t="n">
        <x:f>IF(AND(AG166=1,OR('Dashboard'!$B$4="All",I166='Dashboard'!$B$4),OR('Dashboard'!$E$4="All",N166='Dashboard'!$E$4),OR('Dashboard'!$H$4="All",K166='Dashboard'!$H$4)),1,0)</x:f>
        <x:v>1</x:v>
      </x:c>
    </x:row>
    <x:row r="167">
      <x:c r="A167" s="84" t="str">
        <x:f>'Raw Sales'!A167</x:f>
        <x:v>ORD-2024-00684</x:v>
      </x:c>
      <x:c r="B167" s="85" t="n">
        <x:f>'Raw Sales'!B167</x:f>
        <x:v>45362</x:v>
      </x:c>
      <x:c r="C167" s="84" t="n">
        <x:f>YEAR(B167)</x:f>
        <x:v>2024</x:v>
      </x:c>
      <x:c r="D167" s="91" t="n">
        <x:f>DATE(YEAR(B167),MONTH(B167),1)</x:f>
        <x:v>45352</x:v>
      </x:c>
      <x:c r="E167" s="84" t="str">
        <x:f>TEXT(B167,"mmm")</x:f>
        <x:v>Mar</x:v>
      </x:c>
      <x:c r="F167" s="84" t="str">
        <x:f>'Raw Sales'!C167</x:f>
        <x:v>CUST-0403</x:v>
      </x:c>
      <x:c r="G167" s="84" t="str">
        <x:f>PROPER(TRIM('Raw Sales'!D167))</x:f>
        <x:v>Grace Quinn</x:v>
      </x:c>
      <x:c r="H167" s="84" t="str">
        <x:f>IF(TRIM('Raw Sales'!E167)="","Unknown",PROPER(TRIM('Raw Sales'!E167)))</x:f>
        <x:v>Corporate</x:v>
      </x:c>
      <x:c r="I167" s="84" t="str">
        <x:f>PROPER(TRIM('Raw Sales'!F167))</x:f>
        <x:v>West</x:v>
      </x:c>
      <x:c r="J167" s="84" t="str">
        <x:f>PROPER(TRIM('Raw Sales'!G167))</x:f>
        <x:v>Seattle</x:v>
      </x:c>
      <x:c r="K167" s="84" t="str">
        <x:f>PROPER(TRIM('Raw Sales'!H167))</x:f>
        <x:v>Online</x:v>
      </x:c>
      <x:c r="L167" s="84" t="str">
        <x:f>'Raw Sales'!I167</x:f>
        <x:v>OFFC-003</x:v>
      </x:c>
      <x:c r="M167" s="84" t="str">
        <x:f>IFERROR(VLOOKUP(L167,'Reference Data'!$A$5:$F$40,2,FALSE),"Unknown Product")</x:f>
        <x:v>LED Desk Lamp</x:v>
      </x:c>
      <x:c r="N167" s="84" t="str">
        <x:f>IFERROR(VLOOKUP(L167,'Reference Data'!$A$5:$F$40,3,FALSE),"Unknown")</x:f>
        <x:v>Office</x:v>
      </x:c>
      <x:c r="O167" s="84" t="str">
        <x:f>IFERROR(VLOOKUP(L167,'Reference Data'!$A$5:$F$40,4,FALSE),"Unknown")</x:f>
        <x:v>Desk Accessories</x:v>
      </x:c>
      <x:c r="P167" s="92" t="n">
        <x:f>IFERROR(VLOOKUP(L167,'Reference Data'!$A$5:$F$40,5,FALSE),0)</x:f>
        <x:v>45</x:v>
      </x:c>
      <x:c r="Q167" s="92" t="n">
        <x:f>IFERROR(VLOOKUP(L167,'Reference Data'!$A$5:$F$40,6,FALSE),0)</x:f>
        <x:v>20</x:v>
      </x:c>
      <x:c r="R167" s="84" t="n">
        <x:f>'Raw Sales'!J167</x:f>
        <x:v>2</x:v>
      </x:c>
      <x:c r="S167" s="87" t="n">
        <x:f>'Raw Sales'!K167</x:f>
        <x:v>0.05</x:v>
      </x:c>
      <x:c r="T167" s="93" t="n">
        <x:f>P167*R167</x:f>
        <x:v>90</x:v>
      </x:c>
      <x:c r="U167" s="93" t="n">
        <x:f>T167*S167</x:f>
        <x:v>4.5</x:v>
      </x:c>
      <x:c r="V167" s="93" t="str">
        <x:f>PROPER(TRIM('Raw Sales'!L167))</x:f>
        <x:v>Completed</x:v>
      </x:c>
      <x:c r="W167" s="93" t="n">
        <x:f>IF(V167="Returned",0,T167-U167)</x:f>
        <x:v>85.5</x:v>
      </x:c>
      <x:c r="X167" s="93" t="n">
        <x:f>IF(V167="Returned",Q167*R167*10%,Q167*R167)</x:f>
        <x:v>40</x:v>
      </x:c>
      <x:c r="Y167" s="93" t="n">
        <x:f>W167-X167</x:f>
        <x:v>45.5</x:v>
      </x:c>
      <x:c r="Z167" s="94" t="n">
        <x:f>IFERROR(Y167/W167,0)</x:f>
        <x:v>0.5321637426900585</x:v>
      </x:c>
      <x:c r="AA167" s="84" t="str">
        <x:f>PROPER(TRIM('Raw Sales'!M167))</x:f>
        <x:v>Credit Card</x:v>
      </x:c>
      <x:c r="AB167" s="84" t="str">
        <x:f>PROPER(TRIM('Raw Sales'!N167))</x:f>
        <x:v>Leo Martinez</x:v>
      </x:c>
      <x:c r="AC167" s="85" t="n">
        <x:f>'Raw Sales'!O167</x:f>
        <x:v>45366</x:v>
      </x:c>
      <x:c r="AD167" s="84" t="n">
        <x:f>AC167-B167</x:f>
        <x:v>4</x:v>
      </x:c>
      <x:c r="AE167" s="84" t="str">
        <x:f>IF(COUNTIF($A$5:A167,A167)&gt;1,"Duplicate","Keep")</x:f>
        <x:v>Keep</x:v>
      </x:c>
      <x:c r="AF167" s="84" t="str">
        <x:f>IF(OR(R167&lt;=0,AC167&lt;B167,H167="Unknown",M167="Unknown Product"),"Review","Valid")</x:f>
        <x:v>Valid</x:v>
      </x:c>
      <x:c r="AG167" s="84" t="n">
        <x:f>IF(AND(AE167="Keep",AF167="Valid"),1,0)</x:f>
        <x:v>1</x:v>
      </x:c>
      <x:c r="AH167" s="84" t="n">
        <x:f>IF(AND(AG167=1,OR('Dashboard'!$B$4="All",I167='Dashboard'!$B$4),OR('Dashboard'!$E$4="All",N167='Dashboard'!$E$4),OR('Dashboard'!$H$4="All",K167='Dashboard'!$H$4),OR('Dashboard'!$K$4="All",C167='Dashboard'!$K$4)),1,0)</x:f>
        <x:v>1</x:v>
      </x:c>
      <x:c r="AI167" s="84" t="n">
        <x:f>IF(AND(AG167=1,OR('Dashboard'!$B$4="All",I167='Dashboard'!$B$4),OR('Dashboard'!$E$4="All",N167='Dashboard'!$E$4),OR('Dashboard'!$H$4="All",K167='Dashboard'!$H$4)),1,0)</x:f>
        <x:v>1</x:v>
      </x:c>
    </x:row>
    <x:row r="168">
      <x:c r="A168" s="84" t="str">
        <x:f>'Raw Sales'!A168</x:f>
        <x:v>ORD-2024-01053</x:v>
      </x:c>
      <x:c r="B168" s="85" t="n">
        <x:f>'Raw Sales'!B168</x:f>
        <x:v>45362</x:v>
      </x:c>
      <x:c r="C168" s="84" t="n">
        <x:f>YEAR(B168)</x:f>
        <x:v>2024</x:v>
      </x:c>
      <x:c r="D168" s="91" t="n">
        <x:f>DATE(YEAR(B168),MONTH(B168),1)</x:f>
        <x:v>45352</x:v>
      </x:c>
      <x:c r="E168" s="84" t="str">
        <x:f>TEXT(B168,"mmm")</x:f>
        <x:v>Mar</x:v>
      </x:c>
      <x:c r="F168" s="84" t="str">
        <x:f>'Raw Sales'!C168</x:f>
        <x:v>CUST-0224</x:v>
      </x:c>
      <x:c r="G168" s="84" t="str">
        <x:f>PROPER(TRIM('Raw Sales'!D168))</x:f>
        <x:v>Jonah Nelson</x:v>
      </x:c>
      <x:c r="H168" s="84" t="str">
        <x:f>IF(TRIM('Raw Sales'!E168)="","Unknown",PROPER(TRIM('Raw Sales'!E168)))</x:f>
        <x:v>Consumer</x:v>
      </x:c>
      <x:c r="I168" s="84" t="str">
        <x:f>PROPER(TRIM('Raw Sales'!F168))</x:f>
        <x:v>Southeast</x:v>
      </x:c>
      <x:c r="J168" s="84" t="str">
        <x:f>PROPER(TRIM('Raw Sales'!G168))</x:f>
        <x:v>Miami</x:v>
      </x:c>
      <x:c r="K168" s="84" t="str">
        <x:f>PROPER(TRIM('Raw Sales'!H168))</x:f>
        <x:v>Retail Store</x:v>
      </x:c>
      <x:c r="L168" s="84" t="str">
        <x:f>'Raw Sales'!I168</x:f>
        <x:v>ELEC-003</x:v>
      </x:c>
      <x:c r="M168" s="84" t="str">
        <x:f>IFERROR(VLOOKUP(L168,'Reference Data'!$A$5:$F$40,2,FALSE),"Unknown Product")</x:f>
        <x:v>Bluetooth Speaker</x:v>
      </x:c>
      <x:c r="N168" s="84" t="str">
        <x:f>IFERROR(VLOOKUP(L168,'Reference Data'!$A$5:$F$40,3,FALSE),"Unknown")</x:f>
        <x:v>Electronics</x:v>
      </x:c>
      <x:c r="O168" s="84" t="str">
        <x:f>IFERROR(VLOOKUP(L168,'Reference Data'!$A$5:$F$40,4,FALSE),"Unknown")</x:f>
        <x:v>Audio</x:v>
      </x:c>
      <x:c r="P168" s="92" t="n">
        <x:f>IFERROR(VLOOKUP(L168,'Reference Data'!$A$5:$F$40,5,FALSE),0)</x:f>
        <x:v>89</x:v>
      </x:c>
      <x:c r="Q168" s="92" t="n">
        <x:f>IFERROR(VLOOKUP(L168,'Reference Data'!$A$5:$F$40,6,FALSE),0)</x:f>
        <x:v>44</x:v>
      </x:c>
      <x:c r="R168" s="84" t="n">
        <x:f>'Raw Sales'!J168</x:f>
        <x:v>1</x:v>
      </x:c>
      <x:c r="S168" s="87" t="n">
        <x:f>'Raw Sales'!K168</x:f>
        <x:v>0.1</x:v>
      </x:c>
      <x:c r="T168" s="93" t="n">
        <x:f>P168*R168</x:f>
        <x:v>89</x:v>
      </x:c>
      <x:c r="U168" s="93" t="n">
        <x:f>T168*S168</x:f>
        <x:v>8.9</x:v>
      </x:c>
      <x:c r="V168" s="93" t="str">
        <x:f>PROPER(TRIM('Raw Sales'!L168))</x:f>
        <x:v>Completed</x:v>
      </x:c>
      <x:c r="W168" s="93" t="n">
        <x:f>IF(V168="Returned",0,T168-U168)</x:f>
        <x:v>80.1</x:v>
      </x:c>
      <x:c r="X168" s="93" t="n">
        <x:f>IF(V168="Returned",Q168*R168*10%,Q168*R168)</x:f>
        <x:v>44</x:v>
      </x:c>
      <x:c r="Y168" s="93" t="n">
        <x:f>W168-X168</x:f>
        <x:v>36.099999999999994</x:v>
      </x:c>
      <x:c r="Z168" s="94" t="n">
        <x:f>IFERROR(Y168/W168,0)</x:f>
        <x:v>0.4506866416978776</x:v>
      </x:c>
      <x:c r="AA168" s="84" t="str">
        <x:f>PROPER(TRIM('Raw Sales'!M168))</x:f>
        <x:v>Debit Card</x:v>
      </x:c>
      <x:c r="AB168" s="84" t="str">
        <x:f>PROPER(TRIM('Raw Sales'!N168))</x:f>
        <x:v>Liam Parker</x:v>
      </x:c>
      <x:c r="AC168" s="85" t="n">
        <x:f>'Raw Sales'!O168</x:f>
        <x:v>45362</x:v>
      </x:c>
      <x:c r="AD168" s="84" t="n">
        <x:f>AC168-B168</x:f>
        <x:v>0</x:v>
      </x:c>
      <x:c r="AE168" s="84" t="str">
        <x:f>IF(COUNTIF($A$5:A168,A168)&gt;1,"Duplicate","Keep")</x:f>
        <x:v>Keep</x:v>
      </x:c>
      <x:c r="AF168" s="84" t="str">
        <x:f>IF(OR(R168&lt;=0,AC168&lt;B168,H168="Unknown",M168="Unknown Product"),"Review","Valid")</x:f>
        <x:v>Valid</x:v>
      </x:c>
      <x:c r="AG168" s="84" t="n">
        <x:f>IF(AND(AE168="Keep",AF168="Valid"),1,0)</x:f>
        <x:v>1</x:v>
      </x:c>
      <x:c r="AH168" s="84" t="n">
        <x:f>IF(AND(AG168=1,OR('Dashboard'!$B$4="All",I168='Dashboard'!$B$4),OR('Dashboard'!$E$4="All",N168='Dashboard'!$E$4),OR('Dashboard'!$H$4="All",K168='Dashboard'!$H$4),OR('Dashboard'!$K$4="All",C168='Dashboard'!$K$4)),1,0)</x:f>
        <x:v>1</x:v>
      </x:c>
      <x:c r="AI168" s="84" t="n">
        <x:f>IF(AND(AG168=1,OR('Dashboard'!$B$4="All",I168='Dashboard'!$B$4),OR('Dashboard'!$E$4="All",N168='Dashboard'!$E$4),OR('Dashboard'!$H$4="All",K168='Dashboard'!$H$4)),1,0)</x:f>
        <x:v>1</x:v>
      </x:c>
    </x:row>
    <x:row r="169">
      <x:c r="A169" s="84" t="str">
        <x:f>'Raw Sales'!A169</x:f>
        <x:v>ORD-2024-02122</x:v>
      </x:c>
      <x:c r="B169" s="85" t="n">
        <x:f>'Raw Sales'!B169</x:f>
        <x:v>45362</x:v>
      </x:c>
      <x:c r="C169" s="84" t="n">
        <x:f>YEAR(B169)</x:f>
        <x:v>2024</x:v>
      </x:c>
      <x:c r="D169" s="91" t="n">
        <x:f>DATE(YEAR(B169),MONTH(B169),1)</x:f>
        <x:v>45352</x:v>
      </x:c>
      <x:c r="E169" s="84" t="str">
        <x:f>TEXT(B169,"mmm")</x:f>
        <x:v>Mar</x:v>
      </x:c>
      <x:c r="F169" s="84" t="str">
        <x:f>'Raw Sales'!C169</x:f>
        <x:v>CUST-0093</x:v>
      </x:c>
      <x:c r="G169" s="84" t="str">
        <x:f>PROPER(TRIM('Raw Sales'!D169))</x:f>
        <x:v>Priya Lewis</x:v>
      </x:c>
      <x:c r="H169" s="84" t="str">
        <x:f>IF(TRIM('Raw Sales'!E169)="","Unknown",PROPER(TRIM('Raw Sales'!E169)))</x:f>
        <x:v>Corporate</x:v>
      </x:c>
      <x:c r="I169" s="84" t="str">
        <x:f>PROPER(TRIM('Raw Sales'!F169))</x:f>
        <x:v>Southeast</x:v>
      </x:c>
      <x:c r="J169" s="84" t="str">
        <x:f>PROPER(TRIM('Raw Sales'!G169))</x:f>
        <x:v>Charlotte</x:v>
      </x:c>
      <x:c r="K169" s="84" t="str">
        <x:f>PROPER(TRIM('Raw Sales'!H169))</x:f>
        <x:v>Online</x:v>
      </x:c>
      <x:c r="L169" s="84" t="str">
        <x:f>'Raw Sales'!I169</x:f>
        <x:v>ACCS-001</x:v>
      </x:c>
      <x:c r="M169" s="84" t="str">
        <x:f>IFERROR(VLOOKUP(L169,'Reference Data'!$A$5:$F$40,2,FALSE),"Unknown Product")</x:f>
        <x:v>Canvas Tote Bag</x:v>
      </x:c>
      <x:c r="N169" s="84" t="str">
        <x:f>IFERROR(VLOOKUP(L169,'Reference Data'!$A$5:$F$40,3,FALSE),"Unknown")</x:f>
        <x:v>Accessories</x:v>
      </x:c>
      <x:c r="O169" s="84" t="str">
        <x:f>IFERROR(VLOOKUP(L169,'Reference Data'!$A$5:$F$40,4,FALSE),"Unknown")</x:f>
        <x:v>Bags</x:v>
      </x:c>
      <x:c r="P169" s="92" t="n">
        <x:f>IFERROR(VLOOKUP(L169,'Reference Data'!$A$5:$F$40,5,FALSE),0)</x:f>
        <x:v>39</x:v>
      </x:c>
      <x:c r="Q169" s="92" t="n">
        <x:f>IFERROR(VLOOKUP(L169,'Reference Data'!$A$5:$F$40,6,FALSE),0)</x:f>
        <x:v>14</x:v>
      </x:c>
      <x:c r="R169" s="84" t="n">
        <x:f>'Raw Sales'!J169</x:f>
        <x:v>6</x:v>
      </x:c>
      <x:c r="S169" s="87" t="n">
        <x:f>'Raw Sales'!K169</x:f>
        <x:v>0.15</x:v>
      </x:c>
      <x:c r="T169" s="93" t="n">
        <x:f>P169*R169</x:f>
        <x:v>234</x:v>
      </x:c>
      <x:c r="U169" s="93" t="n">
        <x:f>T169*S169</x:f>
        <x:v>35.1</x:v>
      </x:c>
      <x:c r="V169" s="93" t="str">
        <x:f>PROPER(TRIM('Raw Sales'!L169))</x:f>
        <x:v>Completed</x:v>
      </x:c>
      <x:c r="W169" s="93" t="n">
        <x:f>IF(V169="Returned",0,T169-U169)</x:f>
        <x:v>198.9</x:v>
      </x:c>
      <x:c r="X169" s="93" t="n">
        <x:f>IF(V169="Returned",Q169*R169*10%,Q169*R169)</x:f>
        <x:v>84</x:v>
      </x:c>
      <x:c r="Y169" s="93" t="n">
        <x:f>W169-X169</x:f>
        <x:v>114.9</x:v>
      </x:c>
      <x:c r="Z169" s="94" t="n">
        <x:f>IFERROR(Y169/W169,0)</x:f>
        <x:v>0.5776772247360483</x:v>
      </x:c>
      <x:c r="AA169" s="84" t="str">
        <x:f>PROPER(TRIM('Raw Sales'!M169))</x:f>
        <x:v>Mobile Wallet</x:v>
      </x:c>
      <x:c r="AB169" s="84" t="str">
        <x:f>PROPER(TRIM('Raw Sales'!N169))</x:f>
        <x:v>Liam Parker</x:v>
      </x:c>
      <x:c r="AC169" s="85" t="n">
        <x:f>'Raw Sales'!O169</x:f>
        <x:v>45367</x:v>
      </x:c>
      <x:c r="AD169" s="84" t="n">
        <x:f>AC169-B169</x:f>
        <x:v>5</x:v>
      </x:c>
      <x:c r="AE169" s="84" t="str">
        <x:f>IF(COUNTIF($A$5:A169,A169)&gt;1,"Duplicate","Keep")</x:f>
        <x:v>Keep</x:v>
      </x:c>
      <x:c r="AF169" s="84" t="str">
        <x:f>IF(OR(R169&lt;=0,AC169&lt;B169,H169="Unknown",M169="Unknown Product"),"Review","Valid")</x:f>
        <x:v>Valid</x:v>
      </x:c>
      <x:c r="AG169" s="84" t="n">
        <x:f>IF(AND(AE169="Keep",AF169="Valid"),1,0)</x:f>
        <x:v>1</x:v>
      </x:c>
      <x:c r="AH169" s="84" t="n">
        <x:f>IF(AND(AG169=1,OR('Dashboard'!$B$4="All",I169='Dashboard'!$B$4),OR('Dashboard'!$E$4="All",N169='Dashboard'!$E$4),OR('Dashboard'!$H$4="All",K169='Dashboard'!$H$4),OR('Dashboard'!$K$4="All",C169='Dashboard'!$K$4)),1,0)</x:f>
        <x:v>1</x:v>
      </x:c>
      <x:c r="AI169" s="84" t="n">
        <x:f>IF(AND(AG169=1,OR('Dashboard'!$B$4="All",I169='Dashboard'!$B$4),OR('Dashboard'!$E$4="All",N169='Dashboard'!$E$4),OR('Dashboard'!$H$4="All",K169='Dashboard'!$H$4)),1,0)</x:f>
        <x:v>1</x:v>
      </x:c>
    </x:row>
    <x:row r="170">
      <x:c r="A170" s="84" t="str">
        <x:f>'Raw Sales'!A170</x:f>
        <x:v>ORD-2024-01677</x:v>
      </x:c>
      <x:c r="B170" s="85" t="n">
        <x:f>'Raw Sales'!B170</x:f>
        <x:v>45363</x:v>
      </x:c>
      <x:c r="C170" s="84" t="n">
        <x:f>YEAR(B170)</x:f>
        <x:v>2024</x:v>
      </x:c>
      <x:c r="D170" s="91" t="n">
        <x:f>DATE(YEAR(B170),MONTH(B170),1)</x:f>
        <x:v>45352</x:v>
      </x:c>
      <x:c r="E170" s="84" t="str">
        <x:f>TEXT(B170,"mmm")</x:f>
        <x:v>Mar</x:v>
      </x:c>
      <x:c r="F170" s="84" t="str">
        <x:f>'Raw Sales'!C170</x:f>
        <x:v>CUST-0376</x:v>
      </x:c>
      <x:c r="G170" s="84" t="str">
        <x:f>PROPER(TRIM('Raw Sales'!D170))</x:f>
        <x:v>Nina Foster</x:v>
      </x:c>
      <x:c r="H170" s="84" t="str">
        <x:f>IF(TRIM('Raw Sales'!E170)="","Unknown",PROPER(TRIM('Raw Sales'!E170)))</x:f>
        <x:v>Consumer</x:v>
      </x:c>
      <x:c r="I170" s="84" t="str">
        <x:f>PROPER(TRIM('Raw Sales'!F170))</x:f>
        <x:v>West</x:v>
      </x:c>
      <x:c r="J170" s="84" t="str">
        <x:f>PROPER(TRIM('Raw Sales'!G170))</x:f>
        <x:v>Denver</x:v>
      </x:c>
      <x:c r="K170" s="84" t="str">
        <x:f>PROPER(TRIM('Raw Sales'!H170))</x:f>
        <x:v>Retail Store</x:v>
      </x:c>
      <x:c r="L170" s="84" t="str">
        <x:f>'Raw Sales'!I170</x:f>
        <x:v>ELEC-006</x:v>
      </x:c>
      <x:c r="M170" s="84" t="str">
        <x:f>IFERROR(VLOOKUP(L170,'Reference Data'!$A$5:$F$40,2,FALSE),"Unknown Product")</x:f>
        <x:v>Portable SSD</x:v>
      </x:c>
      <x:c r="N170" s="84" t="str">
        <x:f>IFERROR(VLOOKUP(L170,'Reference Data'!$A$5:$F$40,3,FALSE),"Unknown")</x:f>
        <x:v>Electronics</x:v>
      </x:c>
      <x:c r="O170" s="84" t="str">
        <x:f>IFERROR(VLOOKUP(L170,'Reference Data'!$A$5:$F$40,4,FALSE),"Unknown")</x:f>
        <x:v>Storage</x:v>
      </x:c>
      <x:c r="P170" s="92" t="n">
        <x:f>IFERROR(VLOOKUP(L170,'Reference Data'!$A$5:$F$40,5,FALSE),0)</x:f>
        <x:v>129</x:v>
      </x:c>
      <x:c r="Q170" s="92" t="n">
        <x:f>IFERROR(VLOOKUP(L170,'Reference Data'!$A$5:$F$40,6,FALSE),0)</x:f>
        <x:v>75</x:v>
      </x:c>
      <x:c r="R170" s="84" t="n">
        <x:f>'Raw Sales'!J170</x:f>
        <x:v>1</x:v>
      </x:c>
      <x:c r="S170" s="87" t="n">
        <x:f>'Raw Sales'!K170</x:f>
        <x:v>0</x:v>
      </x:c>
      <x:c r="T170" s="93" t="n">
        <x:f>P170*R170</x:f>
        <x:v>129</x:v>
      </x:c>
      <x:c r="U170" s="93" t="n">
        <x:f>T170*S170</x:f>
        <x:v>0</x:v>
      </x:c>
      <x:c r="V170" s="93" t="str">
        <x:f>PROPER(TRIM('Raw Sales'!L170))</x:f>
        <x:v>Completed</x:v>
      </x:c>
      <x:c r="W170" s="93" t="n">
        <x:f>IF(V170="Returned",0,T170-U170)</x:f>
        <x:v>129</x:v>
      </x:c>
      <x:c r="X170" s="93" t="n">
        <x:f>IF(V170="Returned",Q170*R170*10%,Q170*R170)</x:f>
        <x:v>75</x:v>
      </x:c>
      <x:c r="Y170" s="93" t="n">
        <x:f>W170-X170</x:f>
        <x:v>54</x:v>
      </x:c>
      <x:c r="Z170" s="94" t="n">
        <x:f>IFERROR(Y170/W170,0)</x:f>
        <x:v>0.4186046511627907</x:v>
      </x:c>
      <x:c r="AA170" s="84" t="str">
        <x:f>PROPER(TRIM('Raw Sales'!M170))</x:f>
        <x:v>Debit Card</x:v>
      </x:c>
      <x:c r="AB170" s="84" t="str">
        <x:f>PROPER(TRIM('Raw Sales'!N170))</x:f>
        <x:v>Nora Kim</x:v>
      </x:c>
      <x:c r="AC170" s="85" t="n">
        <x:f>'Raw Sales'!O170</x:f>
        <x:v>45364</x:v>
      </x:c>
      <x:c r="AD170" s="84" t="n">
        <x:f>AC170-B170</x:f>
        <x:v>1</x:v>
      </x:c>
      <x:c r="AE170" s="84" t="str">
        <x:f>IF(COUNTIF($A$5:A170,A170)&gt;1,"Duplicate","Keep")</x:f>
        <x:v>Keep</x:v>
      </x:c>
      <x:c r="AF170" s="84" t="str">
        <x:f>IF(OR(R170&lt;=0,AC170&lt;B170,H170="Unknown",M170="Unknown Product"),"Review","Valid")</x:f>
        <x:v>Valid</x:v>
      </x:c>
      <x:c r="AG170" s="84" t="n">
        <x:f>IF(AND(AE170="Keep",AF170="Valid"),1,0)</x:f>
        <x:v>1</x:v>
      </x:c>
      <x:c r="AH170" s="84" t="n">
        <x:f>IF(AND(AG170=1,OR('Dashboard'!$B$4="All",I170='Dashboard'!$B$4),OR('Dashboard'!$E$4="All",N170='Dashboard'!$E$4),OR('Dashboard'!$H$4="All",K170='Dashboard'!$H$4),OR('Dashboard'!$K$4="All",C170='Dashboard'!$K$4)),1,0)</x:f>
        <x:v>1</x:v>
      </x:c>
      <x:c r="AI170" s="84" t="n">
        <x:f>IF(AND(AG170=1,OR('Dashboard'!$B$4="All",I170='Dashboard'!$B$4),OR('Dashboard'!$E$4="All",N170='Dashboard'!$E$4),OR('Dashboard'!$H$4="All",K170='Dashboard'!$H$4)),1,0)</x:f>
        <x:v>1</x:v>
      </x:c>
    </x:row>
    <x:row r="171">
      <x:c r="A171" s="84" t="str">
        <x:f>'Raw Sales'!A171</x:f>
        <x:v>ORD-2024-01741</x:v>
      </x:c>
      <x:c r="B171" s="85" t="n">
        <x:f>'Raw Sales'!B171</x:f>
        <x:v>45363</x:v>
      </x:c>
      <x:c r="C171" s="84" t="n">
        <x:f>YEAR(B171)</x:f>
        <x:v>2024</x:v>
      </x:c>
      <x:c r="D171" s="91" t="n">
        <x:f>DATE(YEAR(B171),MONTH(B171),1)</x:f>
        <x:v>45352</x:v>
      </x:c>
      <x:c r="E171" s="84" t="str">
        <x:f>TEXT(B171,"mmm")</x:f>
        <x:v>Mar</x:v>
      </x:c>
      <x:c r="F171" s="84" t="str">
        <x:f>'Raw Sales'!C171</x:f>
        <x:v>CUST-0076</x:v>
      </x:c>
      <x:c r="G171" s="84" t="str">
        <x:f>PROPER(TRIM('Raw Sales'!D171))</x:f>
        <x:v>Jonah Patel</x:v>
      </x:c>
      <x:c r="H171" s="84" t="str">
        <x:f>IF(TRIM('Raw Sales'!E171)="","Unknown",PROPER(TRIM('Raw Sales'!E171)))</x:f>
        <x:v>Small Business</x:v>
      </x:c>
      <x:c r="I171" s="84" t="str">
        <x:f>PROPER(TRIM('Raw Sales'!F171))</x:f>
        <x:v>Southeast</x:v>
      </x:c>
      <x:c r="J171" s="84" t="str">
        <x:f>PROPER(TRIM('Raw Sales'!G171))</x:f>
        <x:v>Charlotte</x:v>
      </x:c>
      <x:c r="K171" s="84" t="str">
        <x:f>PROPER(TRIM('Raw Sales'!H171))</x:f>
        <x:v>Online</x:v>
      </x:c>
      <x:c r="L171" s="84" t="str">
        <x:f>'Raw Sales'!I171</x:f>
        <x:v>HOME-005</x:v>
      </x:c>
      <x:c r="M171" s="84" t="str">
        <x:f>IFERROR(VLOOKUP(L171,'Reference Data'!$A$5:$F$40,2,FALSE),"Unknown Product")</x:f>
        <x:v>Cordless Vacuum</x:v>
      </x:c>
      <x:c r="N171" s="84" t="str">
        <x:f>IFERROR(VLOOKUP(L171,'Reference Data'!$A$5:$F$40,3,FALSE),"Unknown")</x:f>
        <x:v>Home &amp; Kitchen</x:v>
      </x:c>
      <x:c r="O171" s="84" t="str">
        <x:f>IFERROR(VLOOKUP(L171,'Reference Data'!$A$5:$F$40,4,FALSE),"Unknown")</x:f>
        <x:v>Cleaning</x:v>
      </x:c>
      <x:c r="P171" s="92" t="n">
        <x:f>IFERROR(VLOOKUP(L171,'Reference Data'!$A$5:$F$40,5,FALSE),0)</x:f>
        <x:v>179</x:v>
      </x:c>
      <x:c r="Q171" s="92" t="n">
        <x:f>IFERROR(VLOOKUP(L171,'Reference Data'!$A$5:$F$40,6,FALSE),0)</x:f>
        <x:v>102</x:v>
      </x:c>
      <x:c r="R171" s="84" t="n">
        <x:f>'Raw Sales'!J171</x:f>
        <x:v>1</x:v>
      </x:c>
      <x:c r="S171" s="87" t="n">
        <x:f>'Raw Sales'!K171</x:f>
        <x:v>0.1</x:v>
      </x:c>
      <x:c r="T171" s="93" t="n">
        <x:f>P171*R171</x:f>
        <x:v>179</x:v>
      </x:c>
      <x:c r="U171" s="93" t="n">
        <x:f>T171*S171</x:f>
        <x:v>17.900000000000002</x:v>
      </x:c>
      <x:c r="V171" s="93" t="str">
        <x:f>PROPER(TRIM('Raw Sales'!L171))</x:f>
        <x:v>Completed</x:v>
      </x:c>
      <x:c r="W171" s="93" t="n">
        <x:f>IF(V171="Returned",0,T171-U171)</x:f>
        <x:v>161.1</x:v>
      </x:c>
      <x:c r="X171" s="93" t="n">
        <x:f>IF(V171="Returned",Q171*R171*10%,Q171*R171)</x:f>
        <x:v>102</x:v>
      </x:c>
      <x:c r="Y171" s="93" t="n">
        <x:f>W171-X171</x:f>
        <x:v>59.099999999999994</x:v>
      </x:c>
      <x:c r="Z171" s="94" t="n">
        <x:f>IFERROR(Y171/W171,0)</x:f>
        <x:v>0.36685288640595903</x:v>
      </x:c>
      <x:c r="AA171" s="84" t="str">
        <x:f>PROPER(TRIM('Raw Sales'!M171))</x:f>
        <x:v>Credit Card</x:v>
      </x:c>
      <x:c r="AB171" s="84" t="str">
        <x:f>PROPER(TRIM('Raw Sales'!N171))</x:f>
        <x:v>Liam Parker</x:v>
      </x:c>
      <x:c r="AC171" s="85" t="n">
        <x:f>'Raw Sales'!O171</x:f>
        <x:v>45366</x:v>
      </x:c>
      <x:c r="AD171" s="84" t="n">
        <x:f>AC171-B171</x:f>
        <x:v>3</x:v>
      </x:c>
      <x:c r="AE171" s="84" t="str">
        <x:f>IF(COUNTIF($A$5:A171,A171)&gt;1,"Duplicate","Keep")</x:f>
        <x:v>Keep</x:v>
      </x:c>
      <x:c r="AF171" s="84" t="str">
        <x:f>IF(OR(R171&lt;=0,AC171&lt;B171,H171="Unknown",M171="Unknown Product"),"Review","Valid")</x:f>
        <x:v>Valid</x:v>
      </x:c>
      <x:c r="AG171" s="84" t="n">
        <x:f>IF(AND(AE171="Keep",AF171="Valid"),1,0)</x:f>
        <x:v>1</x:v>
      </x:c>
      <x:c r="AH171" s="84" t="n">
        <x:f>IF(AND(AG171=1,OR('Dashboard'!$B$4="All",I171='Dashboard'!$B$4),OR('Dashboard'!$E$4="All",N171='Dashboard'!$E$4),OR('Dashboard'!$H$4="All",K171='Dashboard'!$H$4),OR('Dashboard'!$K$4="All",C171='Dashboard'!$K$4)),1,0)</x:f>
        <x:v>1</x:v>
      </x:c>
      <x:c r="AI171" s="84" t="n">
        <x:f>IF(AND(AG171=1,OR('Dashboard'!$B$4="All",I171='Dashboard'!$B$4),OR('Dashboard'!$E$4="All",N171='Dashboard'!$E$4),OR('Dashboard'!$H$4="All",K171='Dashboard'!$H$4)),1,0)</x:f>
        <x:v>1</x:v>
      </x:c>
    </x:row>
    <x:row r="172">
      <x:c r="A172" s="84" t="str">
        <x:f>'Raw Sales'!A172</x:f>
        <x:v>ORD-2024-00482</x:v>
      </x:c>
      <x:c r="B172" s="85" t="n">
        <x:f>'Raw Sales'!B172</x:f>
        <x:v>45364</x:v>
      </x:c>
      <x:c r="C172" s="84" t="n">
        <x:f>YEAR(B172)</x:f>
        <x:v>2024</x:v>
      </x:c>
      <x:c r="D172" s="91" t="n">
        <x:f>DATE(YEAR(B172),MONTH(B172),1)</x:f>
        <x:v>45352</x:v>
      </x:c>
      <x:c r="E172" s="84" t="str">
        <x:f>TEXT(B172,"mmm")</x:f>
        <x:v>Mar</x:v>
      </x:c>
      <x:c r="F172" s="84" t="str">
        <x:f>'Raw Sales'!C172</x:f>
        <x:v>CUST-0144</x:v>
      </x:c>
      <x:c r="G172" s="84" t="str">
        <x:f>PROPER(TRIM('Raw Sales'!D172))</x:f>
        <x:v>Grace Patel</x:v>
      </x:c>
      <x:c r="H172" s="84" t="str">
        <x:f>IF(TRIM('Raw Sales'!E172)="","Unknown",PROPER(TRIM('Raw Sales'!E172)))</x:f>
        <x:v>Corporate</x:v>
      </x:c>
      <x:c r="I172" s="84" t="str">
        <x:f>PROPER(TRIM('Raw Sales'!F172))</x:f>
        <x:v>West</x:v>
      </x:c>
      <x:c r="J172" s="84" t="str">
        <x:f>PROPER(TRIM('Raw Sales'!G172))</x:f>
        <x:v>Phoenix</x:v>
      </x:c>
      <x:c r="K172" s="84" t="str">
        <x:f>PROPER(TRIM('Raw Sales'!H172))</x:f>
        <x:v>Online</x:v>
      </x:c>
      <x:c r="L172" s="84" t="str">
        <x:f>'Raw Sales'!I172</x:f>
        <x:v>OFFC-005</x:v>
      </x:c>
      <x:c r="M172" s="84" t="str">
        <x:f>IFERROR(VLOOKUP(L172,'Reference Data'!$A$5:$F$40,2,FALSE),"Unknown Product")</x:f>
        <x:v>Wireless Keyboard</x:v>
      </x:c>
      <x:c r="N172" s="84" t="str">
        <x:f>IFERROR(VLOOKUP(L172,'Reference Data'!$A$5:$F$40,3,FALSE),"Unknown")</x:f>
        <x:v>Office</x:v>
      </x:c>
      <x:c r="O172" s="84" t="str">
        <x:f>IFERROR(VLOOKUP(L172,'Reference Data'!$A$5:$F$40,4,FALSE),"Unknown")</x:f>
        <x:v>Computer Accessories</x:v>
      </x:c>
      <x:c r="P172" s="92" t="n">
        <x:f>IFERROR(VLOOKUP(L172,'Reference Data'!$A$5:$F$40,5,FALSE),0)</x:f>
        <x:v>59</x:v>
      </x:c>
      <x:c r="Q172" s="92" t="n">
        <x:f>IFERROR(VLOOKUP(L172,'Reference Data'!$A$5:$F$40,6,FALSE),0)</x:f>
        <x:v>28</x:v>
      </x:c>
      <x:c r="R172" s="84" t="n">
        <x:f>'Raw Sales'!J172</x:f>
        <x:v>8</x:v>
      </x:c>
      <x:c r="S172" s="87" t="n">
        <x:f>'Raw Sales'!K172</x:f>
        <x:v>0</x:v>
      </x:c>
      <x:c r="T172" s="93" t="n">
        <x:f>P172*R172</x:f>
        <x:v>472</x:v>
      </x:c>
      <x:c r="U172" s="93" t="n">
        <x:f>T172*S172</x:f>
        <x:v>0</x:v>
      </x:c>
      <x:c r="V172" s="93" t="str">
        <x:f>PROPER(TRIM('Raw Sales'!L172))</x:f>
        <x:v>Completed</x:v>
      </x:c>
      <x:c r="W172" s="93" t="n">
        <x:f>IF(V172="Returned",0,T172-U172)</x:f>
        <x:v>472</x:v>
      </x:c>
      <x:c r="X172" s="93" t="n">
        <x:f>IF(V172="Returned",Q172*R172*10%,Q172*R172)</x:f>
        <x:v>224</x:v>
      </x:c>
      <x:c r="Y172" s="93" t="n">
        <x:f>W172-X172</x:f>
        <x:v>248</x:v>
      </x:c>
      <x:c r="Z172" s="94" t="n">
        <x:f>IFERROR(Y172/W172,0)</x:f>
        <x:v>0.5254237288135594</x:v>
      </x:c>
      <x:c r="AA172" s="84" t="str">
        <x:f>PROPER(TRIM('Raw Sales'!M172))</x:f>
        <x:v>Paypal</x:v>
      </x:c>
      <x:c r="AB172" s="84" t="str">
        <x:f>PROPER(TRIM('Raw Sales'!N172))</x:f>
        <x:v>Mia Chen</x:v>
      </x:c>
      <x:c r="AC172" s="85" t="n">
        <x:f>'Raw Sales'!O172</x:f>
        <x:v>45366</x:v>
      </x:c>
      <x:c r="AD172" s="84" t="n">
        <x:f>AC172-B172</x:f>
        <x:v>2</x:v>
      </x:c>
      <x:c r="AE172" s="84" t="str">
        <x:f>IF(COUNTIF($A$5:A172,A172)&gt;1,"Duplicate","Keep")</x:f>
        <x:v>Keep</x:v>
      </x:c>
      <x:c r="AF172" s="84" t="str">
        <x:f>IF(OR(R172&lt;=0,AC172&lt;B172,H172="Unknown",M172="Unknown Product"),"Review","Valid")</x:f>
        <x:v>Valid</x:v>
      </x:c>
      <x:c r="AG172" s="84" t="n">
        <x:f>IF(AND(AE172="Keep",AF172="Valid"),1,0)</x:f>
        <x:v>1</x:v>
      </x:c>
      <x:c r="AH172" s="84" t="n">
        <x:f>IF(AND(AG172=1,OR('Dashboard'!$B$4="All",I172='Dashboard'!$B$4),OR('Dashboard'!$E$4="All",N172='Dashboard'!$E$4),OR('Dashboard'!$H$4="All",K172='Dashboard'!$H$4),OR('Dashboard'!$K$4="All",C172='Dashboard'!$K$4)),1,0)</x:f>
        <x:v>1</x:v>
      </x:c>
      <x:c r="AI172" s="84" t="n">
        <x:f>IF(AND(AG172=1,OR('Dashboard'!$B$4="All",I172='Dashboard'!$B$4),OR('Dashboard'!$E$4="All",N172='Dashboard'!$E$4),OR('Dashboard'!$H$4="All",K172='Dashboard'!$H$4)),1,0)</x:f>
        <x:v>1</x:v>
      </x:c>
    </x:row>
    <x:row r="173">
      <x:c r="A173" s="84" t="str">
        <x:f>'Raw Sales'!A173</x:f>
        <x:v>ORD-2024-01302</x:v>
      </x:c>
      <x:c r="B173" s="85" t="n">
        <x:f>'Raw Sales'!B173</x:f>
        <x:v>45364</x:v>
      </x:c>
      <x:c r="C173" s="84" t="n">
        <x:f>YEAR(B173)</x:f>
        <x:v>2024</x:v>
      </x:c>
      <x:c r="D173" s="91" t="n">
        <x:f>DATE(YEAR(B173),MONTH(B173),1)</x:f>
        <x:v>45352</x:v>
      </x:c>
      <x:c r="E173" s="84" t="str">
        <x:f>TEXT(B173,"mmm")</x:f>
        <x:v>Mar</x:v>
      </x:c>
      <x:c r="F173" s="84" t="str">
        <x:f>'Raw Sales'!C173</x:f>
        <x:v>CUST-0062</x:v>
      </x:c>
      <x:c r="G173" s="84" t="str">
        <x:f>PROPER(TRIM('Raw Sales'!D173))</x:f>
        <x:v>Caleb Davis</x:v>
      </x:c>
      <x:c r="H173" s="84" t="str">
        <x:f>IF(TRIM('Raw Sales'!E173)="","Unknown",PROPER(TRIM('Raw Sales'!E173)))</x:f>
        <x:v>Consumer</x:v>
      </x:c>
      <x:c r="I173" s="84" t="str">
        <x:f>PROPER(TRIM('Raw Sales'!F173))</x:f>
        <x:v>Northeast</x:v>
      </x:c>
      <x:c r="J173" s="84" t="str">
        <x:f>PROPER(TRIM('Raw Sales'!G173))</x:f>
        <x:v>New York</x:v>
      </x:c>
      <x:c r="K173" s="84" t="str">
        <x:f>PROPER(TRIM('Raw Sales'!H173))</x:f>
        <x:v>Retail Store</x:v>
      </x:c>
      <x:c r="L173" s="84" t="str">
        <x:f>'Raw Sales'!I173</x:f>
        <x:v>HOME-003</x:v>
      </x:c>
      <x:c r="M173" s="84" t="str">
        <x:f>IFERROR(VLOOKUP(L173,'Reference Data'!$A$5:$F$40,2,FALSE),"Unknown Product")</x:f>
        <x:v>Countertop Blender</x:v>
      </x:c>
      <x:c r="N173" s="84" t="str">
        <x:f>IFERROR(VLOOKUP(L173,'Reference Data'!$A$5:$F$40,3,FALSE),"Unknown")</x:f>
        <x:v>Home &amp; Kitchen</x:v>
      </x:c>
      <x:c r="O173" s="84" t="str">
        <x:f>IFERROR(VLOOKUP(L173,'Reference Data'!$A$5:$F$40,4,FALSE),"Unknown")</x:f>
        <x:v>Small Appliances</x:v>
      </x:c>
      <x:c r="P173" s="92" t="n">
        <x:f>IFERROR(VLOOKUP(L173,'Reference Data'!$A$5:$F$40,5,FALSE),0)</x:f>
        <x:v>89</x:v>
      </x:c>
      <x:c r="Q173" s="92" t="n">
        <x:f>IFERROR(VLOOKUP(L173,'Reference Data'!$A$5:$F$40,6,FALSE),0)</x:f>
        <x:v>46</x:v>
      </x:c>
      <x:c r="R173" s="84" t="n">
        <x:f>'Raw Sales'!J173</x:f>
        <x:v>1</x:v>
      </x:c>
      <x:c r="S173" s="87" t="n">
        <x:f>'Raw Sales'!K173</x:f>
        <x:v>0</x:v>
      </x:c>
      <x:c r="T173" s="93" t="n">
        <x:f>P173*R173</x:f>
        <x:v>89</x:v>
      </x:c>
      <x:c r="U173" s="93" t="n">
        <x:f>T173*S173</x:f>
        <x:v>0</x:v>
      </x:c>
      <x:c r="V173" s="93" t="str">
        <x:f>PROPER(TRIM('Raw Sales'!L173))</x:f>
        <x:v>Completed</x:v>
      </x:c>
      <x:c r="W173" s="93" t="n">
        <x:f>IF(V173="Returned",0,T173-U173)</x:f>
        <x:v>89</x:v>
      </x:c>
      <x:c r="X173" s="93" t="n">
        <x:f>IF(V173="Returned",Q173*R173*10%,Q173*R173)</x:f>
        <x:v>46</x:v>
      </x:c>
      <x:c r="Y173" s="93" t="n">
        <x:f>W173-X173</x:f>
        <x:v>43</x:v>
      </x:c>
      <x:c r="Z173" s="94" t="n">
        <x:f>IFERROR(Y173/W173,0)</x:f>
        <x:v>0.48314606741573035</x:v>
      </x:c>
      <x:c r="AA173" s="84" t="str">
        <x:f>PROPER(TRIM('Raw Sales'!M173))</x:f>
        <x:v>Credit Card</x:v>
      </x:c>
      <x:c r="AB173" s="84" t="str">
        <x:f>PROPER(TRIM('Raw Sales'!N173))</x:f>
        <x:v>Ethan Cole</x:v>
      </x:c>
      <x:c r="AC173" s="85" t="n">
        <x:f>'Raw Sales'!O173</x:f>
        <x:v>45364</x:v>
      </x:c>
      <x:c r="AD173" s="84" t="n">
        <x:f>AC173-B173</x:f>
        <x:v>0</x:v>
      </x:c>
      <x:c r="AE173" s="84" t="str">
        <x:f>IF(COUNTIF($A$5:A173,A173)&gt;1,"Duplicate","Keep")</x:f>
        <x:v>Keep</x:v>
      </x:c>
      <x:c r="AF173" s="84" t="str">
        <x:f>IF(OR(R173&lt;=0,AC173&lt;B173,H173="Unknown",M173="Unknown Product"),"Review","Valid")</x:f>
        <x:v>Valid</x:v>
      </x:c>
      <x:c r="AG173" s="84" t="n">
        <x:f>IF(AND(AE173="Keep",AF173="Valid"),1,0)</x:f>
        <x:v>1</x:v>
      </x:c>
      <x:c r="AH173" s="84" t="n">
        <x:f>IF(AND(AG173=1,OR('Dashboard'!$B$4="All",I173='Dashboard'!$B$4),OR('Dashboard'!$E$4="All",N173='Dashboard'!$E$4),OR('Dashboard'!$H$4="All",K173='Dashboard'!$H$4),OR('Dashboard'!$K$4="All",C173='Dashboard'!$K$4)),1,0)</x:f>
        <x:v>1</x:v>
      </x:c>
      <x:c r="AI173" s="84" t="n">
        <x:f>IF(AND(AG173=1,OR('Dashboard'!$B$4="All",I173='Dashboard'!$B$4),OR('Dashboard'!$E$4="All",N173='Dashboard'!$E$4),OR('Dashboard'!$H$4="All",K173='Dashboard'!$H$4)),1,0)</x:f>
        <x:v>1</x:v>
      </x:c>
    </x:row>
    <x:row r="174">
      <x:c r="A174" s="84" t="str">
        <x:f>'Raw Sales'!A174</x:f>
        <x:v>ORD-2024-01895</x:v>
      </x:c>
      <x:c r="B174" s="85" t="n">
        <x:f>'Raw Sales'!B174</x:f>
        <x:v>45364</x:v>
      </x:c>
      <x:c r="C174" s="84" t="n">
        <x:f>YEAR(B174)</x:f>
        <x:v>2024</x:v>
      </x:c>
      <x:c r="D174" s="91" t="n">
        <x:f>DATE(YEAR(B174),MONTH(B174),1)</x:f>
        <x:v>45352</x:v>
      </x:c>
      <x:c r="E174" s="84" t="str">
        <x:f>TEXT(B174,"mmm")</x:f>
        <x:v>Mar</x:v>
      </x:c>
      <x:c r="F174" s="84" t="str">
        <x:f>'Raw Sales'!C174</x:f>
        <x:v>CUST-0151</x:v>
      </x:c>
      <x:c r="G174" s="84" t="str">
        <x:f>PROPER(TRIM('Raw Sales'!D174))</x:f>
        <x:v>Theo Davis</x:v>
      </x:c>
      <x:c r="H174" s="84" t="str">
        <x:f>IF(TRIM('Raw Sales'!E174)="","Unknown",PROPER(TRIM('Raw Sales'!E174)))</x:f>
        <x:v>Small Business</x:v>
      </x:c>
      <x:c r="I174" s="84" t="str">
        <x:f>PROPER(TRIM('Raw Sales'!F174))</x:f>
        <x:v>Southeast</x:v>
      </x:c>
      <x:c r="J174" s="84" t="str">
        <x:f>PROPER(TRIM('Raw Sales'!G174))</x:f>
        <x:v>Nashville</x:v>
      </x:c>
      <x:c r="K174" s="84" t="str">
        <x:f>PROPER(TRIM('Raw Sales'!H174))</x:f>
        <x:v>Online</x:v>
      </x:c>
      <x:c r="L174" s="84" t="str">
        <x:f>'Raw Sales'!I174</x:f>
        <x:v>FITN-004</x:v>
      </x:c>
      <x:c r="M174" s="84" t="str">
        <x:f>IFERROR(VLOOKUP(L174,'Reference Data'!$A$5:$F$40,2,FALSE),"Unknown Product")</x:f>
        <x:v>Fitness Tracker</x:v>
      </x:c>
      <x:c r="N174" s="84" t="str">
        <x:f>IFERROR(VLOOKUP(L174,'Reference Data'!$A$5:$F$40,3,FALSE),"Unknown")</x:f>
        <x:v>Fitness</x:v>
      </x:c>
      <x:c r="O174" s="84" t="str">
        <x:f>IFERROR(VLOOKUP(L174,'Reference Data'!$A$5:$F$40,4,FALSE),"Unknown")</x:f>
        <x:v>Wearables</x:v>
      </x:c>
      <x:c r="P174" s="92" t="n">
        <x:f>IFERROR(VLOOKUP(L174,'Reference Data'!$A$5:$F$40,5,FALSE),0)</x:f>
        <x:v>89</x:v>
      </x:c>
      <x:c r="Q174" s="92" t="n">
        <x:f>IFERROR(VLOOKUP(L174,'Reference Data'!$A$5:$F$40,6,FALSE),0)</x:f>
        <x:v>44</x:v>
      </x:c>
      <x:c r="R174" s="84" t="n">
        <x:f>'Raw Sales'!J174</x:f>
        <x:v>1</x:v>
      </x:c>
      <x:c r="S174" s="87" t="n">
        <x:f>'Raw Sales'!K174</x:f>
        <x:v>0</x:v>
      </x:c>
      <x:c r="T174" s="93" t="n">
        <x:f>P174*R174</x:f>
        <x:v>89</x:v>
      </x:c>
      <x:c r="U174" s="93" t="n">
        <x:f>T174*S174</x:f>
        <x:v>0</x:v>
      </x:c>
      <x:c r="V174" s="93" t="str">
        <x:f>PROPER(TRIM('Raw Sales'!L174))</x:f>
        <x:v>Completed</x:v>
      </x:c>
      <x:c r="W174" s="93" t="n">
        <x:f>IF(V174="Returned",0,T174-U174)</x:f>
        <x:v>89</x:v>
      </x:c>
      <x:c r="X174" s="93" t="n">
        <x:f>IF(V174="Returned",Q174*R174*10%,Q174*R174)</x:f>
        <x:v>44</x:v>
      </x:c>
      <x:c r="Y174" s="93" t="n">
        <x:f>W174-X174</x:f>
        <x:v>45</x:v>
      </x:c>
      <x:c r="Z174" s="94" t="n">
        <x:f>IFERROR(Y174/W174,0)</x:f>
        <x:v>0.5056179775280899</x:v>
      </x:c>
      <x:c r="AA174" s="84" t="str">
        <x:f>PROPER(TRIM('Raw Sales'!M174))</x:f>
        <x:v>Credit Card</x:v>
      </x:c>
      <x:c r="AB174" s="84" t="str">
        <x:f>PROPER(TRIM('Raw Sales'!N174))</x:f>
        <x:v>Noah Reed</x:v>
      </x:c>
      <x:c r="AC174" s="85" t="n">
        <x:f>'Raw Sales'!O174</x:f>
        <x:v>45366</x:v>
      </x:c>
      <x:c r="AD174" s="84" t="n">
        <x:f>AC174-B174</x:f>
        <x:v>2</x:v>
      </x:c>
      <x:c r="AE174" s="84" t="str">
        <x:f>IF(COUNTIF($A$5:A174,A174)&gt;1,"Duplicate","Keep")</x:f>
        <x:v>Keep</x:v>
      </x:c>
      <x:c r="AF174" s="84" t="str">
        <x:f>IF(OR(R174&lt;=0,AC174&lt;B174,H174="Unknown",M174="Unknown Product"),"Review","Valid")</x:f>
        <x:v>Valid</x:v>
      </x:c>
      <x:c r="AG174" s="84" t="n">
        <x:f>IF(AND(AE174="Keep",AF174="Valid"),1,0)</x:f>
        <x:v>1</x:v>
      </x:c>
      <x:c r="AH174" s="84" t="n">
        <x:f>IF(AND(AG174=1,OR('Dashboard'!$B$4="All",I174='Dashboard'!$B$4),OR('Dashboard'!$E$4="All",N174='Dashboard'!$E$4),OR('Dashboard'!$H$4="All",K174='Dashboard'!$H$4),OR('Dashboard'!$K$4="All",C174='Dashboard'!$K$4)),1,0)</x:f>
        <x:v>1</x:v>
      </x:c>
      <x:c r="AI174" s="84" t="n">
        <x:f>IF(AND(AG174=1,OR('Dashboard'!$B$4="All",I174='Dashboard'!$B$4),OR('Dashboard'!$E$4="All",N174='Dashboard'!$E$4),OR('Dashboard'!$H$4="All",K174='Dashboard'!$H$4)),1,0)</x:f>
        <x:v>1</x:v>
      </x:c>
    </x:row>
    <x:row r="175">
      <x:c r="A175" s="84" t="str">
        <x:f>'Raw Sales'!A175</x:f>
        <x:v>ORD-2024-01918</x:v>
      </x:c>
      <x:c r="B175" s="85" t="n">
        <x:f>'Raw Sales'!B175</x:f>
        <x:v>45364</x:v>
      </x:c>
      <x:c r="C175" s="84" t="n">
        <x:f>YEAR(B175)</x:f>
        <x:v>2024</x:v>
      </x:c>
      <x:c r="D175" s="91" t="n">
        <x:f>DATE(YEAR(B175),MONTH(B175),1)</x:f>
        <x:v>45352</x:v>
      </x:c>
      <x:c r="E175" s="84" t="str">
        <x:f>TEXT(B175,"mmm")</x:f>
        <x:v>Mar</x:v>
      </x:c>
      <x:c r="F175" s="84" t="str">
        <x:f>'Raw Sales'!C175</x:f>
        <x:v>CUST-0252</x:v>
      </x:c>
      <x:c r="G175" s="84" t="str">
        <x:f>PROPER(TRIM('Raw Sales'!D175))</x:f>
        <x:v>Theo Carter</x:v>
      </x:c>
      <x:c r="H175" s="84" t="str">
        <x:f>IF(TRIM('Raw Sales'!E175)="","Unknown",PROPER(TRIM('Raw Sales'!E175)))</x:f>
        <x:v>Consumer</x:v>
      </x:c>
      <x:c r="I175" s="84" t="str">
        <x:f>PROPER(TRIM('Raw Sales'!F175))</x:f>
        <x:v>Midwest</x:v>
      </x:c>
      <x:c r="J175" s="84" t="str">
        <x:f>PROPER(TRIM('Raw Sales'!G175))</x:f>
        <x:v>Columbus</x:v>
      </x:c>
      <x:c r="K175" s="84" t="str">
        <x:f>PROPER(TRIM('Raw Sales'!H175))</x:f>
        <x:v>Online</x:v>
      </x:c>
      <x:c r="L175" s="84" t="str">
        <x:f>'Raw Sales'!I175</x:f>
        <x:v>HOME-001</x:v>
      </x:c>
      <x:c r="M175" s="84" t="str">
        <x:f>IFERROR(VLOOKUP(L175,'Reference Data'!$A$5:$F$40,2,FALSE),"Unknown Product")</x:f>
        <x:v>Air Fryer</x:v>
      </x:c>
      <x:c r="N175" s="84" t="str">
        <x:f>IFERROR(VLOOKUP(L175,'Reference Data'!$A$5:$F$40,3,FALSE),"Unknown")</x:f>
        <x:v>Home &amp; Kitchen</x:v>
      </x:c>
      <x:c r="O175" s="84" t="str">
        <x:f>IFERROR(VLOOKUP(L175,'Reference Data'!$A$5:$F$40,4,FALSE),"Unknown")</x:f>
        <x:v>Small Appliances</x:v>
      </x:c>
      <x:c r="P175" s="92" t="n">
        <x:f>IFERROR(VLOOKUP(L175,'Reference Data'!$A$5:$F$40,5,FALSE),0)</x:f>
        <x:v>119</x:v>
      </x:c>
      <x:c r="Q175" s="92" t="n">
        <x:f>IFERROR(VLOOKUP(L175,'Reference Data'!$A$5:$F$40,6,FALSE),0)</x:f>
        <x:v>68</x:v>
      </x:c>
      <x:c r="R175" s="84" t="n">
        <x:f>'Raw Sales'!J175</x:f>
        <x:v>1</x:v>
      </x:c>
      <x:c r="S175" s="87" t="n">
        <x:f>'Raw Sales'!K175</x:f>
        <x:v>0.05</x:v>
      </x:c>
      <x:c r="T175" s="93" t="n">
        <x:f>P175*R175</x:f>
        <x:v>119</x:v>
      </x:c>
      <x:c r="U175" s="93" t="n">
        <x:f>T175*S175</x:f>
        <x:v>5.95</x:v>
      </x:c>
      <x:c r="V175" s="93" t="str">
        <x:f>PROPER(TRIM('Raw Sales'!L175))</x:f>
        <x:v>Completed</x:v>
      </x:c>
      <x:c r="W175" s="93" t="n">
        <x:f>IF(V175="Returned",0,T175-U175)</x:f>
        <x:v>113.05</x:v>
      </x:c>
      <x:c r="X175" s="93" t="n">
        <x:f>IF(V175="Returned",Q175*R175*10%,Q175*R175)</x:f>
        <x:v>68</x:v>
      </x:c>
      <x:c r="Y175" s="93" t="n">
        <x:f>W175-X175</x:f>
        <x:v>45.05</x:v>
      </x:c>
      <x:c r="Z175" s="94" t="n">
        <x:f>IFERROR(Y175/W175,0)</x:f>
        <x:v>0.39849624060150374</x:v>
      </x:c>
      <x:c r="AA175" s="84" t="str">
        <x:f>PROPER(TRIM('Raw Sales'!M175))</x:f>
        <x:v>Debit Card</x:v>
      </x:c>
      <x:c r="AB175" s="84" t="str">
        <x:f>PROPER(TRIM('Raw Sales'!N175))</x:f>
        <x:v>Emma Hayes</x:v>
      </x:c>
      <x:c r="AC175" s="85" t="n">
        <x:f>'Raw Sales'!O175</x:f>
        <x:v>45368</x:v>
      </x:c>
      <x:c r="AD175" s="84" t="n">
        <x:f>AC175-B175</x:f>
        <x:v>4</x:v>
      </x:c>
      <x:c r="AE175" s="84" t="str">
        <x:f>IF(COUNTIF($A$5:A175,A175)&gt;1,"Duplicate","Keep")</x:f>
        <x:v>Keep</x:v>
      </x:c>
      <x:c r="AF175" s="84" t="str">
        <x:f>IF(OR(R175&lt;=0,AC175&lt;B175,H175="Unknown",M175="Unknown Product"),"Review","Valid")</x:f>
        <x:v>Valid</x:v>
      </x:c>
      <x:c r="AG175" s="84" t="n">
        <x:f>IF(AND(AE175="Keep",AF175="Valid"),1,0)</x:f>
        <x:v>1</x:v>
      </x:c>
      <x:c r="AH175" s="84" t="n">
        <x:f>IF(AND(AG175=1,OR('Dashboard'!$B$4="All",I175='Dashboard'!$B$4),OR('Dashboard'!$E$4="All",N175='Dashboard'!$E$4),OR('Dashboard'!$H$4="All",K175='Dashboard'!$H$4),OR('Dashboard'!$K$4="All",C175='Dashboard'!$K$4)),1,0)</x:f>
        <x:v>1</x:v>
      </x:c>
      <x:c r="AI175" s="84" t="n">
        <x:f>IF(AND(AG175=1,OR('Dashboard'!$B$4="All",I175='Dashboard'!$B$4),OR('Dashboard'!$E$4="All",N175='Dashboard'!$E$4),OR('Dashboard'!$H$4="All",K175='Dashboard'!$H$4)),1,0)</x:f>
        <x:v>1</x:v>
      </x:c>
    </x:row>
    <x:row r="176">
      <x:c r="A176" s="84" t="str">
        <x:f>'Raw Sales'!A176</x:f>
        <x:v>ORD-2024-01995</x:v>
      </x:c>
      <x:c r="B176" s="85" t="n">
        <x:f>'Raw Sales'!B176</x:f>
        <x:v>45364</x:v>
      </x:c>
      <x:c r="C176" s="84" t="n">
        <x:f>YEAR(B176)</x:f>
        <x:v>2024</x:v>
      </x:c>
      <x:c r="D176" s="91" t="n">
        <x:f>DATE(YEAR(B176),MONTH(B176),1)</x:f>
        <x:v>45352</x:v>
      </x:c>
      <x:c r="E176" s="84" t="str">
        <x:f>TEXT(B176,"mmm")</x:f>
        <x:v>Mar</x:v>
      </x:c>
      <x:c r="F176" s="84" t="str">
        <x:f>'Raw Sales'!C176</x:f>
        <x:v>CUST-0533</x:v>
      </x:c>
      <x:c r="G176" s="84" t="str">
        <x:f>PROPER(TRIM('Raw Sales'!D176))</x:f>
        <x:v>Daniel Irwin</x:v>
      </x:c>
      <x:c r="H176" s="84" t="str">
        <x:f>IF(TRIM('Raw Sales'!E176)="","Unknown",PROPER(TRIM('Raw Sales'!E176)))</x:f>
        <x:v>Small Business</x:v>
      </x:c>
      <x:c r="I176" s="84" t="str">
        <x:f>PROPER(TRIM('Raw Sales'!F176))</x:f>
        <x:v>Midwest</x:v>
      </x:c>
      <x:c r="J176" s="84" t="str">
        <x:f>PROPER(TRIM('Raw Sales'!G176))</x:f>
        <x:v>Detroit</x:v>
      </x:c>
      <x:c r="K176" s="84" t="str">
        <x:f>PROPER(TRIM('Raw Sales'!H176))</x:f>
        <x:v>Retail Store</x:v>
      </x:c>
      <x:c r="L176" s="84" t="str">
        <x:f>'Raw Sales'!I176</x:f>
        <x:v>FITN-004</x:v>
      </x:c>
      <x:c r="M176" s="84" t="str">
        <x:f>IFERROR(VLOOKUP(L176,'Reference Data'!$A$5:$F$40,2,FALSE),"Unknown Product")</x:f>
        <x:v>Fitness Tracker</x:v>
      </x:c>
      <x:c r="N176" s="84" t="str">
        <x:f>IFERROR(VLOOKUP(L176,'Reference Data'!$A$5:$F$40,3,FALSE),"Unknown")</x:f>
        <x:v>Fitness</x:v>
      </x:c>
      <x:c r="O176" s="84" t="str">
        <x:f>IFERROR(VLOOKUP(L176,'Reference Data'!$A$5:$F$40,4,FALSE),"Unknown")</x:f>
        <x:v>Wearables</x:v>
      </x:c>
      <x:c r="P176" s="92" t="n">
        <x:f>IFERROR(VLOOKUP(L176,'Reference Data'!$A$5:$F$40,5,FALSE),0)</x:f>
        <x:v>89</x:v>
      </x:c>
      <x:c r="Q176" s="92" t="n">
        <x:f>IFERROR(VLOOKUP(L176,'Reference Data'!$A$5:$F$40,6,FALSE),0)</x:f>
        <x:v>44</x:v>
      </x:c>
      <x:c r="R176" s="84" t="n">
        <x:f>'Raw Sales'!J176</x:f>
        <x:v>1</x:v>
      </x:c>
      <x:c r="S176" s="87" t="n">
        <x:f>'Raw Sales'!K176</x:f>
        <x:v>0.15</x:v>
      </x:c>
      <x:c r="T176" s="93" t="n">
        <x:f>P176*R176</x:f>
        <x:v>89</x:v>
      </x:c>
      <x:c r="U176" s="93" t="n">
        <x:f>T176*S176</x:f>
        <x:v>13.35</x:v>
      </x:c>
      <x:c r="V176" s="93" t="str">
        <x:f>PROPER(TRIM('Raw Sales'!L176))</x:f>
        <x:v>Completed</x:v>
      </x:c>
      <x:c r="W176" s="93" t="n">
        <x:f>IF(V176="Returned",0,T176-U176)</x:f>
        <x:v>75.65</x:v>
      </x:c>
      <x:c r="X176" s="93" t="n">
        <x:f>IF(V176="Returned",Q176*R176*10%,Q176*R176)</x:f>
        <x:v>44</x:v>
      </x:c>
      <x:c r="Y176" s="93" t="n">
        <x:f>W176-X176</x:f>
        <x:v>31.650000000000006</x:v>
      </x:c>
      <x:c r="Z176" s="94" t="n">
        <x:f>IFERROR(Y176/W176,0)</x:f>
        <x:v>0.4183740912095176</x:v>
      </x:c>
      <x:c r="AA176" s="84" t="str">
        <x:f>PROPER(TRIM('Raw Sales'!M176))</x:f>
        <x:v>Credit Card</x:v>
      </x:c>
      <x:c r="AB176" s="84" t="str">
        <x:f>PROPER(TRIM('Raw Sales'!N176))</x:f>
        <x:v>Emma Hayes</x:v>
      </x:c>
      <x:c r="AC176" s="85" t="n">
        <x:f>'Raw Sales'!O176</x:f>
        <x:v>45364</x:v>
      </x:c>
      <x:c r="AD176" s="84" t="n">
        <x:f>AC176-B176</x:f>
        <x:v>0</x:v>
      </x:c>
      <x:c r="AE176" s="84" t="str">
        <x:f>IF(COUNTIF($A$5:A176,A176)&gt;1,"Duplicate","Keep")</x:f>
        <x:v>Keep</x:v>
      </x:c>
      <x:c r="AF176" s="84" t="str">
        <x:f>IF(OR(R176&lt;=0,AC176&lt;B176,H176="Unknown",M176="Unknown Product"),"Review","Valid")</x:f>
        <x:v>Valid</x:v>
      </x:c>
      <x:c r="AG176" s="84" t="n">
        <x:f>IF(AND(AE176="Keep",AF176="Valid"),1,0)</x:f>
        <x:v>1</x:v>
      </x:c>
      <x:c r="AH176" s="84" t="n">
        <x:f>IF(AND(AG176=1,OR('Dashboard'!$B$4="All",I176='Dashboard'!$B$4),OR('Dashboard'!$E$4="All",N176='Dashboard'!$E$4),OR('Dashboard'!$H$4="All",K176='Dashboard'!$H$4),OR('Dashboard'!$K$4="All",C176='Dashboard'!$K$4)),1,0)</x:f>
        <x:v>1</x:v>
      </x:c>
      <x:c r="AI176" s="84" t="n">
        <x:f>IF(AND(AG176=1,OR('Dashboard'!$B$4="All",I176='Dashboard'!$B$4),OR('Dashboard'!$E$4="All",N176='Dashboard'!$E$4),OR('Dashboard'!$H$4="All",K176='Dashboard'!$H$4)),1,0)</x:f>
        <x:v>1</x:v>
      </x:c>
    </x:row>
    <x:row r="177">
      <x:c r="A177" s="84" t="str">
        <x:f>'Raw Sales'!A177</x:f>
        <x:v>ORD-2024-00303</x:v>
      </x:c>
      <x:c r="B177" s="85" t="n">
        <x:f>'Raw Sales'!B177</x:f>
        <x:v>45365</x:v>
      </x:c>
      <x:c r="C177" s="84" t="n">
        <x:f>YEAR(B177)</x:f>
        <x:v>2024</x:v>
      </x:c>
      <x:c r="D177" s="91" t="n">
        <x:f>DATE(YEAR(B177),MONTH(B177),1)</x:f>
        <x:v>45352</x:v>
      </x:c>
      <x:c r="E177" s="84" t="str">
        <x:f>TEXT(B177,"mmm")</x:f>
        <x:v>Mar</x:v>
      </x:c>
      <x:c r="F177" s="84" t="str">
        <x:f>'Raw Sales'!C177</x:f>
        <x:v>CUST-0434</x:v>
      </x:c>
      <x:c r="G177" s="84" t="str">
        <x:f>PROPER(TRIM('Raw Sales'!D177))</x:f>
        <x:v>Aiden Smith</x:v>
      </x:c>
      <x:c r="H177" s="84" t="str">
        <x:f>IF(TRIM('Raw Sales'!E177)="","Unknown",PROPER(TRIM('Raw Sales'!E177)))</x:f>
        <x:v>Corporate</x:v>
      </x:c>
      <x:c r="I177" s="84" t="str">
        <x:f>PROPER(TRIM('Raw Sales'!F177))</x:f>
        <x:v>Northeast</x:v>
      </x:c>
      <x:c r="J177" s="84" t="str">
        <x:f>PROPER(TRIM('Raw Sales'!G177))</x:f>
        <x:v>New York</x:v>
      </x:c>
      <x:c r="K177" s="84" t="str">
        <x:f>PROPER(TRIM('Raw Sales'!H177))</x:f>
        <x:v>Retail Store</x:v>
      </x:c>
      <x:c r="L177" s="84" t="str">
        <x:f>'Raw Sales'!I177</x:f>
        <x:v>HOME-004</x:v>
      </x:c>
      <x:c r="M177" s="84" t="str">
        <x:f>IFERROR(VLOOKUP(L177,'Reference Data'!$A$5:$F$40,2,FALSE),"Unknown Product")</x:f>
        <x:v>Coffee Maker</x:v>
      </x:c>
      <x:c r="N177" s="84" t="str">
        <x:f>IFERROR(VLOOKUP(L177,'Reference Data'!$A$5:$F$40,3,FALSE),"Unknown")</x:f>
        <x:v>Home &amp; Kitchen</x:v>
      </x:c>
      <x:c r="O177" s="84" t="str">
        <x:f>IFERROR(VLOOKUP(L177,'Reference Data'!$A$5:$F$40,4,FALSE),"Unknown")</x:f>
        <x:v>Small Appliances</x:v>
      </x:c>
      <x:c r="P177" s="92" t="n">
        <x:f>IFERROR(VLOOKUP(L177,'Reference Data'!$A$5:$F$40,5,FALSE),0)</x:f>
        <x:v>99</x:v>
      </x:c>
      <x:c r="Q177" s="92" t="n">
        <x:f>IFERROR(VLOOKUP(L177,'Reference Data'!$A$5:$F$40,6,FALSE),0)</x:f>
        <x:v>51</x:v>
      </x:c>
      <x:c r="R177" s="84" t="n">
        <x:f>'Raw Sales'!J177</x:f>
        <x:v>2</x:v>
      </x:c>
      <x:c r="S177" s="87" t="n">
        <x:f>'Raw Sales'!K177</x:f>
        <x:v>0</x:v>
      </x:c>
      <x:c r="T177" s="93" t="n">
        <x:f>P177*R177</x:f>
        <x:v>198</x:v>
      </x:c>
      <x:c r="U177" s="93" t="n">
        <x:f>T177*S177</x:f>
        <x:v>0</x:v>
      </x:c>
      <x:c r="V177" s="93" t="str">
        <x:f>PROPER(TRIM('Raw Sales'!L177))</x:f>
        <x:v>Completed</x:v>
      </x:c>
      <x:c r="W177" s="93" t="n">
        <x:f>IF(V177="Returned",0,T177-U177)</x:f>
        <x:v>198</x:v>
      </x:c>
      <x:c r="X177" s="93" t="n">
        <x:f>IF(V177="Returned",Q177*R177*10%,Q177*R177)</x:f>
        <x:v>102</x:v>
      </x:c>
      <x:c r="Y177" s="93" t="n">
        <x:f>W177-X177</x:f>
        <x:v>96</x:v>
      </x:c>
      <x:c r="Z177" s="94" t="n">
        <x:f>IFERROR(Y177/W177,0)</x:f>
        <x:v>0.48484848484848486</x:v>
      </x:c>
      <x:c r="AA177" s="84" t="str">
        <x:f>PROPER(TRIM('Raw Sales'!M177))</x:f>
        <x:v>Cash</x:v>
      </x:c>
      <x:c r="AB177" s="84" t="str">
        <x:f>PROPER(TRIM('Raw Sales'!N177))</x:f>
        <x:v>Maya Brooks</x:v>
      </x:c>
      <x:c r="AC177" s="85" t="n">
        <x:f>'Raw Sales'!O177</x:f>
        <x:v>45365</x:v>
      </x:c>
      <x:c r="AD177" s="84" t="n">
        <x:f>AC177-B177</x:f>
        <x:v>0</x:v>
      </x:c>
      <x:c r="AE177" s="84" t="str">
        <x:f>IF(COUNTIF($A$5:A177,A177)&gt;1,"Duplicate","Keep")</x:f>
        <x:v>Keep</x:v>
      </x:c>
      <x:c r="AF177" s="84" t="str">
        <x:f>IF(OR(R177&lt;=0,AC177&lt;B177,H177="Unknown",M177="Unknown Product"),"Review","Valid")</x:f>
        <x:v>Valid</x:v>
      </x:c>
      <x:c r="AG177" s="84" t="n">
        <x:f>IF(AND(AE177="Keep",AF177="Valid"),1,0)</x:f>
        <x:v>1</x:v>
      </x:c>
      <x:c r="AH177" s="84" t="n">
        <x:f>IF(AND(AG177=1,OR('Dashboard'!$B$4="All",I177='Dashboard'!$B$4),OR('Dashboard'!$E$4="All",N177='Dashboard'!$E$4),OR('Dashboard'!$H$4="All",K177='Dashboard'!$H$4),OR('Dashboard'!$K$4="All",C177='Dashboard'!$K$4)),1,0)</x:f>
        <x:v>1</x:v>
      </x:c>
      <x:c r="AI177" s="84" t="n">
        <x:f>IF(AND(AG177=1,OR('Dashboard'!$B$4="All",I177='Dashboard'!$B$4),OR('Dashboard'!$E$4="All",N177='Dashboard'!$E$4),OR('Dashboard'!$H$4="All",K177='Dashboard'!$H$4)),1,0)</x:f>
        <x:v>1</x:v>
      </x:c>
    </x:row>
    <x:row r="178">
      <x:c r="A178" s="84" t="str">
        <x:f>'Raw Sales'!A178</x:f>
        <x:v>ORD-2024-00662</x:v>
      </x:c>
      <x:c r="B178" s="85" t="n">
        <x:f>'Raw Sales'!B178</x:f>
        <x:v>45365</x:v>
      </x:c>
      <x:c r="C178" s="84" t="n">
        <x:f>YEAR(B178)</x:f>
        <x:v>2024</x:v>
      </x:c>
      <x:c r="D178" s="91" t="n">
        <x:f>DATE(YEAR(B178),MONTH(B178),1)</x:f>
        <x:v>45352</x:v>
      </x:c>
      <x:c r="E178" s="84" t="str">
        <x:f>TEXT(B178,"mmm")</x:f>
        <x:v>Mar</x:v>
      </x:c>
      <x:c r="F178" s="84" t="str">
        <x:f>'Raw Sales'!C178</x:f>
        <x:v>CUST-0465</x:v>
      </x:c>
      <x:c r="G178" s="84" t="str">
        <x:f>PROPER(TRIM('Raw Sales'!D178))</x:f>
        <x:v>Owen Irwin</x:v>
      </x:c>
      <x:c r="H178" s="84" t="str">
        <x:f>IF(TRIM('Raw Sales'!E178)="","Unknown",PROPER(TRIM('Raw Sales'!E178)))</x:f>
        <x:v>Consumer</x:v>
      </x:c>
      <x:c r="I178" s="84" t="str">
        <x:f>PROPER(TRIM('Raw Sales'!F178))</x:f>
        <x:v>Midwest</x:v>
      </x:c>
      <x:c r="J178" s="84" t="str">
        <x:f>PROPER(TRIM('Raw Sales'!G178))</x:f>
        <x:v>Columbus</x:v>
      </x:c>
      <x:c r="K178" s="84" t="str">
        <x:f>PROPER(TRIM('Raw Sales'!H178))</x:f>
        <x:v>Online</x:v>
      </x:c>
      <x:c r="L178" s="84" t="str">
        <x:f>'Raw Sales'!I178</x:f>
        <x:v>FITN-006</x:v>
      </x:c>
      <x:c r="M178" s="84" t="str">
        <x:f>IFERROR(VLOOKUP(L178,'Reference Data'!$A$5:$F$40,2,FALSE),"Unknown Product")</x:f>
        <x:v>Foam Roller</x:v>
      </x:c>
      <x:c r="N178" s="84" t="str">
        <x:f>IFERROR(VLOOKUP(L178,'Reference Data'!$A$5:$F$40,3,FALSE),"Unknown")</x:f>
        <x:v>Fitness</x:v>
      </x:c>
      <x:c r="O178" s="84" t="str">
        <x:f>IFERROR(VLOOKUP(L178,'Reference Data'!$A$5:$F$40,4,FALSE),"Unknown")</x:f>
        <x:v>Recovery</x:v>
      </x:c>
      <x:c r="P178" s="92" t="n">
        <x:f>IFERROR(VLOOKUP(L178,'Reference Data'!$A$5:$F$40,5,FALSE),0)</x:f>
        <x:v>31</x:v>
      </x:c>
      <x:c r="Q178" s="92" t="n">
        <x:f>IFERROR(VLOOKUP(L178,'Reference Data'!$A$5:$F$40,6,FALSE),0)</x:f>
        <x:v>12</x:v>
      </x:c>
      <x:c r="R178" s="84" t="n">
        <x:f>'Raw Sales'!J178</x:f>
        <x:v>3</x:v>
      </x:c>
      <x:c r="S178" s="87" t="n">
        <x:f>'Raw Sales'!K178</x:f>
        <x:v>0.05</x:v>
      </x:c>
      <x:c r="T178" s="93" t="n">
        <x:f>P178*R178</x:f>
        <x:v>93</x:v>
      </x:c>
      <x:c r="U178" s="93" t="n">
        <x:f>T178*S178</x:f>
        <x:v>4.65</x:v>
      </x:c>
      <x:c r="V178" s="93" t="str">
        <x:f>PROPER(TRIM('Raw Sales'!L178))</x:f>
        <x:v>Completed</x:v>
      </x:c>
      <x:c r="W178" s="93" t="n">
        <x:f>IF(V178="Returned",0,T178-U178)</x:f>
        <x:v>88.35</x:v>
      </x:c>
      <x:c r="X178" s="93" t="n">
        <x:f>IF(V178="Returned",Q178*R178*10%,Q178*R178)</x:f>
        <x:v>36</x:v>
      </x:c>
      <x:c r="Y178" s="93" t="n">
        <x:f>W178-X178</x:f>
        <x:v>52.349999999999994</x:v>
      </x:c>
      <x:c r="Z178" s="94" t="n">
        <x:f>IFERROR(Y178/W178,0)</x:f>
        <x:v>0.5925297113752122</x:v>
      </x:c>
      <x:c r="AA178" s="84" t="str">
        <x:f>PROPER(TRIM('Raw Sales'!M178))</x:f>
        <x:v>Credit Card</x:v>
      </x:c>
      <x:c r="AB178" s="84" t="str">
        <x:f>PROPER(TRIM('Raw Sales'!N178))</x:f>
        <x:v>Emma Hayes</x:v>
      </x:c>
      <x:c r="AC178" s="85" t="n">
        <x:f>'Raw Sales'!O178</x:f>
        <x:v>45371</x:v>
      </x:c>
      <x:c r="AD178" s="84" t="n">
        <x:f>AC178-B178</x:f>
        <x:v>6</x:v>
      </x:c>
      <x:c r="AE178" s="84" t="str">
        <x:f>IF(COUNTIF($A$5:A178,A178)&gt;1,"Duplicate","Keep")</x:f>
        <x:v>Keep</x:v>
      </x:c>
      <x:c r="AF178" s="84" t="str">
        <x:f>IF(OR(R178&lt;=0,AC178&lt;B178,H178="Unknown",M178="Unknown Product"),"Review","Valid")</x:f>
        <x:v>Valid</x:v>
      </x:c>
      <x:c r="AG178" s="84" t="n">
        <x:f>IF(AND(AE178="Keep",AF178="Valid"),1,0)</x:f>
        <x:v>1</x:v>
      </x:c>
      <x:c r="AH178" s="84" t="n">
        <x:f>IF(AND(AG178=1,OR('Dashboard'!$B$4="All",I178='Dashboard'!$B$4),OR('Dashboard'!$E$4="All",N178='Dashboard'!$E$4),OR('Dashboard'!$H$4="All",K178='Dashboard'!$H$4),OR('Dashboard'!$K$4="All",C178='Dashboard'!$K$4)),1,0)</x:f>
        <x:v>1</x:v>
      </x:c>
      <x:c r="AI178" s="84" t="n">
        <x:f>IF(AND(AG178=1,OR('Dashboard'!$B$4="All",I178='Dashboard'!$B$4),OR('Dashboard'!$E$4="All",N178='Dashboard'!$E$4),OR('Dashboard'!$H$4="All",K178='Dashboard'!$H$4)),1,0)</x:f>
        <x:v>1</x:v>
      </x:c>
    </x:row>
    <x:row r="179">
      <x:c r="A179" s="84" t="str">
        <x:f>'Raw Sales'!A179</x:f>
        <x:v>ORD-2024-01022</x:v>
      </x:c>
      <x:c r="B179" s="85" t="n">
        <x:f>'Raw Sales'!B179</x:f>
        <x:v>45365</x:v>
      </x:c>
      <x:c r="C179" s="84" t="n">
        <x:f>YEAR(B179)</x:f>
        <x:v>2024</x:v>
      </x:c>
      <x:c r="D179" s="91" t="n">
        <x:f>DATE(YEAR(B179),MONTH(B179),1)</x:f>
        <x:v>45352</x:v>
      </x:c>
      <x:c r="E179" s="84" t="str">
        <x:f>TEXT(B179,"mmm")</x:f>
        <x:v>Mar</x:v>
      </x:c>
      <x:c r="F179" s="84" t="str">
        <x:f>'Raw Sales'!C179</x:f>
        <x:v>CUST-0027</x:v>
      </x:c>
      <x:c r="G179" s="84" t="str">
        <x:f>PROPER(TRIM('Raw Sales'!D179))</x:f>
        <x:v>Samuel Hall</x:v>
      </x:c>
      <x:c r="H179" s="84" t="str">
        <x:f>IF(TRIM('Raw Sales'!E179)="","Unknown",PROPER(TRIM('Raw Sales'!E179)))</x:f>
        <x:v>Consumer</x:v>
      </x:c>
      <x:c r="I179" s="84" t="str">
        <x:f>PROPER(TRIM('Raw Sales'!F179))</x:f>
        <x:v>Northeast</x:v>
      </x:c>
      <x:c r="J179" s="84" t="str">
        <x:f>PROPER(TRIM('Raw Sales'!G179))</x:f>
        <x:v>Philadelphia</x:v>
      </x:c>
      <x:c r="K179" s="84" t="str">
        <x:f>PROPER(TRIM('Raw Sales'!H179))</x:f>
        <x:v>Marketplace</x:v>
      </x:c>
      <x:c r="L179" s="84" t="str">
        <x:f>'Raw Sales'!I179</x:f>
        <x:v>ELEC-002</x:v>
      </x:c>
      <x:c r="M179" s="84" t="str">
        <x:f>IFERROR(VLOOKUP(L179,'Reference Data'!$A$5:$F$40,2,FALSE),"Unknown Product")</x:f>
        <x:v>Smartwatch</x:v>
      </x:c>
      <x:c r="N179" s="84" t="str">
        <x:f>IFERROR(VLOOKUP(L179,'Reference Data'!$A$5:$F$40,3,FALSE),"Unknown")</x:f>
        <x:v>Electronics</x:v>
      </x:c>
      <x:c r="O179" s="84" t="str">
        <x:f>IFERROR(VLOOKUP(L179,'Reference Data'!$A$5:$F$40,4,FALSE),"Unknown")</x:f>
        <x:v>Wearables</x:v>
      </x:c>
      <x:c r="P179" s="92" t="n">
        <x:f>IFERROR(VLOOKUP(L179,'Reference Data'!$A$5:$F$40,5,FALSE),0)</x:f>
        <x:v>159</x:v>
      </x:c>
      <x:c r="Q179" s="92" t="n">
        <x:f>IFERROR(VLOOKUP(L179,'Reference Data'!$A$5:$F$40,6,FALSE),0)</x:f>
        <x:v>92</x:v>
      </x:c>
      <x:c r="R179" s="84" t="n">
        <x:f>'Raw Sales'!J179</x:f>
        <x:v>1</x:v>
      </x:c>
      <x:c r="S179" s="87" t="n">
        <x:f>'Raw Sales'!K179</x:f>
        <x:v>0.1</x:v>
      </x:c>
      <x:c r="T179" s="93" t="n">
        <x:f>P179*R179</x:f>
        <x:v>159</x:v>
      </x:c>
      <x:c r="U179" s="93" t="n">
        <x:f>T179*S179</x:f>
        <x:v>15.9</x:v>
      </x:c>
      <x:c r="V179" s="93" t="str">
        <x:f>PROPER(TRIM('Raw Sales'!L179))</x:f>
        <x:v>Completed</x:v>
      </x:c>
      <x:c r="W179" s="93" t="n">
        <x:f>IF(V179="Returned",0,T179-U179)</x:f>
        <x:v>143.1</x:v>
      </x:c>
      <x:c r="X179" s="93" t="n">
        <x:f>IF(V179="Returned",Q179*R179*10%,Q179*R179)</x:f>
        <x:v>92</x:v>
      </x:c>
      <x:c r="Y179" s="93" t="n">
        <x:f>W179-X179</x:f>
        <x:v>51.099999999999994</x:v>
      </x:c>
      <x:c r="Z179" s="94" t="n">
        <x:f>IFERROR(Y179/W179,0)</x:f>
        <x:v>0.35709294199860236</x:v>
      </x:c>
      <x:c r="AA179" s="84" t="str">
        <x:f>PROPER(TRIM('Raw Sales'!M179))</x:f>
        <x:v>Paypal</x:v>
      </x:c>
      <x:c r="AB179" s="84" t="str">
        <x:f>PROPER(TRIM('Raw Sales'!N179))</x:f>
        <x:v>Maya Brooks</x:v>
      </x:c>
      <x:c r="AC179" s="85" t="n">
        <x:f>'Raw Sales'!O179</x:f>
        <x:v>45370</x:v>
      </x:c>
      <x:c r="AD179" s="84" t="n">
        <x:f>AC179-B179</x:f>
        <x:v>5</x:v>
      </x:c>
      <x:c r="AE179" s="84" t="str">
        <x:f>IF(COUNTIF($A$5:A179,A179)&gt;1,"Duplicate","Keep")</x:f>
        <x:v>Keep</x:v>
      </x:c>
      <x:c r="AF179" s="84" t="str">
        <x:f>IF(OR(R179&lt;=0,AC179&lt;B179,H179="Unknown",M179="Unknown Product"),"Review","Valid")</x:f>
        <x:v>Valid</x:v>
      </x:c>
      <x:c r="AG179" s="84" t="n">
        <x:f>IF(AND(AE179="Keep",AF179="Valid"),1,0)</x:f>
        <x:v>1</x:v>
      </x:c>
      <x:c r="AH179" s="84" t="n">
        <x:f>IF(AND(AG179=1,OR('Dashboard'!$B$4="All",I179='Dashboard'!$B$4),OR('Dashboard'!$E$4="All",N179='Dashboard'!$E$4),OR('Dashboard'!$H$4="All",K179='Dashboard'!$H$4),OR('Dashboard'!$K$4="All",C179='Dashboard'!$K$4)),1,0)</x:f>
        <x:v>1</x:v>
      </x:c>
      <x:c r="AI179" s="84" t="n">
        <x:f>IF(AND(AG179=1,OR('Dashboard'!$B$4="All",I179='Dashboard'!$B$4),OR('Dashboard'!$E$4="All",N179='Dashboard'!$E$4),OR('Dashboard'!$H$4="All",K179='Dashboard'!$H$4)),1,0)</x:f>
        <x:v>1</x:v>
      </x:c>
    </x:row>
    <x:row r="180">
      <x:c r="A180" s="84" t="str">
        <x:f>'Raw Sales'!A180</x:f>
        <x:v>ORD-2024-02038</x:v>
      </x:c>
      <x:c r="B180" s="85" t="n">
        <x:f>'Raw Sales'!B180</x:f>
        <x:v>45365</x:v>
      </x:c>
      <x:c r="C180" s="84" t="n">
        <x:f>YEAR(B180)</x:f>
        <x:v>2024</x:v>
      </x:c>
      <x:c r="D180" s="91" t="n">
        <x:f>DATE(YEAR(B180),MONTH(B180),1)</x:f>
        <x:v>45352</x:v>
      </x:c>
      <x:c r="E180" s="84" t="str">
        <x:f>TEXT(B180,"mmm")</x:f>
        <x:v>Mar</x:v>
      </x:c>
      <x:c r="F180" s="84" t="str">
        <x:f>'Raw Sales'!C180</x:f>
        <x:v>CUST-0321</x:v>
      </x:c>
      <x:c r="G180" s="84" t="str">
        <x:f>PROPER(TRIM('Raw Sales'!D180))</x:f>
        <x:v>Grace Smith</x:v>
      </x:c>
      <x:c r="H180" s="84" t="str">
        <x:f>IF(TRIM('Raw Sales'!E180)="","Unknown",PROPER(TRIM('Raw Sales'!E180)))</x:f>
        <x:v>Corporate</x:v>
      </x:c>
      <x:c r="I180" s="84" t="str">
        <x:f>PROPER(TRIM('Raw Sales'!F180))</x:f>
        <x:v>Southeast</x:v>
      </x:c>
      <x:c r="J180" s="84" t="str">
        <x:f>PROPER(TRIM('Raw Sales'!G180))</x:f>
        <x:v>Miami</x:v>
      </x:c>
      <x:c r="K180" s="84" t="str">
        <x:f>PROPER(TRIM('Raw Sales'!H180))</x:f>
        <x:v>Online</x:v>
      </x:c>
      <x:c r="L180" s="84" t="str">
        <x:f>'Raw Sales'!I180</x:f>
        <x:v>ACCS-005</x:v>
      </x:c>
      <x:c r="M180" s="84" t="str">
        <x:f>IFERROR(VLOOKUP(L180,'Reference Data'!$A$5:$F$40,2,FALSE),"Unknown Product")</x:f>
        <x:v>Protective Phone Case</x:v>
      </x:c>
      <x:c r="N180" s="84" t="str">
        <x:f>IFERROR(VLOOKUP(L180,'Reference Data'!$A$5:$F$40,3,FALSE),"Unknown")</x:f>
        <x:v>Accessories</x:v>
      </x:c>
      <x:c r="O180" s="84" t="str">
        <x:f>IFERROR(VLOOKUP(L180,'Reference Data'!$A$5:$F$40,4,FALSE),"Unknown")</x:f>
        <x:v>Mobile Accessories</x:v>
      </x:c>
      <x:c r="P180" s="92" t="n">
        <x:f>IFERROR(VLOOKUP(L180,'Reference Data'!$A$5:$F$40,5,FALSE),0)</x:f>
        <x:v>24</x:v>
      </x:c>
      <x:c r="Q180" s="92" t="n">
        <x:f>IFERROR(VLOOKUP(L180,'Reference Data'!$A$5:$F$40,6,FALSE),0)</x:f>
        <x:v>5</x:v>
      </x:c>
      <x:c r="R180" s="84" t="n">
        <x:f>'Raw Sales'!J180</x:f>
        <x:v>4</x:v>
      </x:c>
      <x:c r="S180" s="87" t="n">
        <x:f>'Raw Sales'!K180</x:f>
        <x:v>0.1</x:v>
      </x:c>
      <x:c r="T180" s="93" t="n">
        <x:f>P180*R180</x:f>
        <x:v>96</x:v>
      </x:c>
      <x:c r="U180" s="93" t="n">
        <x:f>T180*S180</x:f>
        <x:v>9.600000000000001</x:v>
      </x:c>
      <x:c r="V180" s="93" t="str">
        <x:f>PROPER(TRIM('Raw Sales'!L180))</x:f>
        <x:v>Completed</x:v>
      </x:c>
      <x:c r="W180" s="93" t="n">
        <x:f>IF(V180="Returned",0,T180-U180)</x:f>
        <x:v>86.4</x:v>
      </x:c>
      <x:c r="X180" s="93" t="n">
        <x:f>IF(V180="Returned",Q180*R180*10%,Q180*R180)</x:f>
        <x:v>20</x:v>
      </x:c>
      <x:c r="Y180" s="93" t="n">
        <x:f>W180-X180</x:f>
        <x:v>66.4</x:v>
      </x:c>
      <x:c r="Z180" s="94" t="n">
        <x:f>IFERROR(Y180/W180,0)</x:f>
        <x:v>0.7685185185185185</x:v>
      </x:c>
      <x:c r="AA180" s="84" t="str">
        <x:f>PROPER(TRIM('Raw Sales'!M180))</x:f>
        <x:v>Paypal</x:v>
      </x:c>
      <x:c r="AB180" s="84" t="str">
        <x:f>PROPER(TRIM('Raw Sales'!N180))</x:f>
        <x:v>Liam Parker</x:v>
      </x:c>
      <x:c r="AC180" s="85" t="n">
        <x:f>'Raw Sales'!O180</x:f>
        <x:v>45367</x:v>
      </x:c>
      <x:c r="AD180" s="84" t="n">
        <x:f>AC180-B180</x:f>
        <x:v>2</x:v>
      </x:c>
      <x:c r="AE180" s="84" t="str">
        <x:f>IF(COUNTIF($A$5:A180,A180)&gt;1,"Duplicate","Keep")</x:f>
        <x:v>Keep</x:v>
      </x:c>
      <x:c r="AF180" s="84" t="str">
        <x:f>IF(OR(R180&lt;=0,AC180&lt;B180,H180="Unknown",M180="Unknown Product"),"Review","Valid")</x:f>
        <x:v>Valid</x:v>
      </x:c>
      <x:c r="AG180" s="84" t="n">
        <x:f>IF(AND(AE180="Keep",AF180="Valid"),1,0)</x:f>
        <x:v>1</x:v>
      </x:c>
      <x:c r="AH180" s="84" t="n">
        <x:f>IF(AND(AG180=1,OR('Dashboard'!$B$4="All",I180='Dashboard'!$B$4),OR('Dashboard'!$E$4="All",N180='Dashboard'!$E$4),OR('Dashboard'!$H$4="All",K180='Dashboard'!$H$4),OR('Dashboard'!$K$4="All",C180='Dashboard'!$K$4)),1,0)</x:f>
        <x:v>1</x:v>
      </x:c>
      <x:c r="AI180" s="84" t="n">
        <x:f>IF(AND(AG180=1,OR('Dashboard'!$B$4="All",I180='Dashboard'!$B$4),OR('Dashboard'!$E$4="All",N180='Dashboard'!$E$4),OR('Dashboard'!$H$4="All",K180='Dashboard'!$H$4)),1,0)</x:f>
        <x:v>1</x:v>
      </x:c>
    </x:row>
    <x:row r="181">
      <x:c r="A181" s="84" t="str">
        <x:f>'Raw Sales'!A181</x:f>
        <x:v>ORD-2024-01778</x:v>
      </x:c>
      <x:c r="B181" s="85" t="n">
        <x:f>'Raw Sales'!B181</x:f>
        <x:v>45366</x:v>
      </x:c>
      <x:c r="C181" s="84" t="n">
        <x:f>YEAR(B181)</x:f>
        <x:v>2024</x:v>
      </x:c>
      <x:c r="D181" s="91" t="n">
        <x:f>DATE(YEAR(B181),MONTH(B181),1)</x:f>
        <x:v>45352</x:v>
      </x:c>
      <x:c r="E181" s="84" t="str">
        <x:f>TEXT(B181,"mmm")</x:f>
        <x:v>Mar</x:v>
      </x:c>
      <x:c r="F181" s="84" t="str">
        <x:f>'Raw Sales'!C181</x:f>
        <x:v>CUST-0177</x:v>
      </x:c>
      <x:c r="G181" s="84" t="str">
        <x:f>PROPER(TRIM('Raw Sales'!D181))</x:f>
        <x:v>Elena Quinn</x:v>
      </x:c>
      <x:c r="H181" s="84" t="str">
        <x:f>IF(TRIM('Raw Sales'!E181)="","Unknown",PROPER(TRIM('Raw Sales'!E181)))</x:f>
        <x:v>Consumer</x:v>
      </x:c>
      <x:c r="I181" s="84" t="str">
        <x:f>PROPER(TRIM('Raw Sales'!F181))</x:f>
        <x:v>Southeast</x:v>
      </x:c>
      <x:c r="J181" s="84" t="str">
        <x:f>PROPER(TRIM('Raw Sales'!G181))</x:f>
        <x:v>Nashville</x:v>
      </x:c>
      <x:c r="K181" s="84" t="str">
        <x:f>PROPER(TRIM('Raw Sales'!H181))</x:f>
        <x:v>Online</x:v>
      </x:c>
      <x:c r="L181" s="84" t="str">
        <x:f>'Raw Sales'!I181</x:f>
        <x:v>ELEC-001</x:v>
      </x:c>
      <x:c r="M181" s="84" t="str">
        <x:f>IFERROR(VLOOKUP(L181,'Reference Data'!$A$5:$F$40,2,FALSE),"Unknown Product")</x:f>
        <x:v>Wireless Earbuds</x:v>
      </x:c>
      <x:c r="N181" s="84" t="str">
        <x:f>IFERROR(VLOOKUP(L181,'Reference Data'!$A$5:$F$40,3,FALSE),"Unknown")</x:f>
        <x:v>Electronics</x:v>
      </x:c>
      <x:c r="O181" s="84" t="str">
        <x:f>IFERROR(VLOOKUP(L181,'Reference Data'!$A$5:$F$40,4,FALSE),"Unknown")</x:f>
        <x:v>Audio</x:v>
      </x:c>
      <x:c r="P181" s="92" t="n">
        <x:f>IFERROR(VLOOKUP(L181,'Reference Data'!$A$5:$F$40,5,FALSE),0)</x:f>
        <x:v>69</x:v>
      </x:c>
      <x:c r="Q181" s="92" t="n">
        <x:f>IFERROR(VLOOKUP(L181,'Reference Data'!$A$5:$F$40,6,FALSE),0)</x:f>
        <x:v>36</x:v>
      </x:c>
      <x:c r="R181" s="84" t="n">
        <x:f>'Raw Sales'!J181</x:f>
        <x:v>1</x:v>
      </x:c>
      <x:c r="S181" s="87" t="n">
        <x:f>'Raw Sales'!K181</x:f>
        <x:v>0</x:v>
      </x:c>
      <x:c r="T181" s="93" t="n">
        <x:f>P181*R181</x:f>
        <x:v>69</x:v>
      </x:c>
      <x:c r="U181" s="93" t="n">
        <x:f>T181*S181</x:f>
        <x:v>0</x:v>
      </x:c>
      <x:c r="V181" s="93" t="str">
        <x:f>PROPER(TRIM('Raw Sales'!L181))</x:f>
        <x:v>Completed</x:v>
      </x:c>
      <x:c r="W181" s="93" t="n">
        <x:f>IF(V181="Returned",0,T181-U181)</x:f>
        <x:v>69</x:v>
      </x:c>
      <x:c r="X181" s="93" t="n">
        <x:f>IF(V181="Returned",Q181*R181*10%,Q181*R181)</x:f>
        <x:v>36</x:v>
      </x:c>
      <x:c r="Y181" s="93" t="n">
        <x:f>W181-X181</x:f>
        <x:v>33</x:v>
      </x:c>
      <x:c r="Z181" s="94" t="n">
        <x:f>IFERROR(Y181/W181,0)</x:f>
        <x:v>0.4782608695652174</x:v>
      </x:c>
      <x:c r="AA181" s="84" t="str">
        <x:f>PROPER(TRIM('Raw Sales'!M181))</x:f>
        <x:v>Paypal</x:v>
      </x:c>
      <x:c r="AB181" s="84" t="str">
        <x:f>PROPER(TRIM('Raw Sales'!N181))</x:f>
        <x:v>Noah Reed</x:v>
      </x:c>
      <x:c r="AC181" s="85" t="n">
        <x:f>'Raw Sales'!O181</x:f>
        <x:v>45370</x:v>
      </x:c>
      <x:c r="AD181" s="84" t="n">
        <x:f>AC181-B181</x:f>
        <x:v>4</x:v>
      </x:c>
      <x:c r="AE181" s="84" t="str">
        <x:f>IF(COUNTIF($A$5:A181,A181)&gt;1,"Duplicate","Keep")</x:f>
        <x:v>Keep</x:v>
      </x:c>
      <x:c r="AF181" s="84" t="str">
        <x:f>IF(OR(R181&lt;=0,AC181&lt;B181,H181="Unknown",M181="Unknown Product"),"Review","Valid")</x:f>
        <x:v>Valid</x:v>
      </x:c>
      <x:c r="AG181" s="84" t="n">
        <x:f>IF(AND(AE181="Keep",AF181="Valid"),1,0)</x:f>
        <x:v>1</x:v>
      </x:c>
      <x:c r="AH181" s="84" t="n">
        <x:f>IF(AND(AG181=1,OR('Dashboard'!$B$4="All",I181='Dashboard'!$B$4),OR('Dashboard'!$E$4="All",N181='Dashboard'!$E$4),OR('Dashboard'!$H$4="All",K181='Dashboard'!$H$4),OR('Dashboard'!$K$4="All",C181='Dashboard'!$K$4)),1,0)</x:f>
        <x:v>1</x:v>
      </x:c>
      <x:c r="AI181" s="84" t="n">
        <x:f>IF(AND(AG181=1,OR('Dashboard'!$B$4="All",I181='Dashboard'!$B$4),OR('Dashboard'!$E$4="All",N181='Dashboard'!$E$4),OR('Dashboard'!$H$4="All",K181='Dashboard'!$H$4)),1,0)</x:f>
        <x:v>1</x:v>
      </x:c>
    </x:row>
    <x:row r="182">
      <x:c r="A182" s="84" t="str">
        <x:f>'Raw Sales'!A182</x:f>
        <x:v>ORD-2024-01778</x:v>
      </x:c>
      <x:c r="B182" s="85" t="n">
        <x:f>'Raw Sales'!B182</x:f>
        <x:v>45366</x:v>
      </x:c>
      <x:c r="C182" s="84" t="n">
        <x:f>YEAR(B182)</x:f>
        <x:v>2024</x:v>
      </x:c>
      <x:c r="D182" s="91" t="n">
        <x:f>DATE(YEAR(B182),MONTH(B182),1)</x:f>
        <x:v>45352</x:v>
      </x:c>
      <x:c r="E182" s="84" t="str">
        <x:f>TEXT(B182,"mmm")</x:f>
        <x:v>Mar</x:v>
      </x:c>
      <x:c r="F182" s="84" t="str">
        <x:f>'Raw Sales'!C182</x:f>
        <x:v>CUST-0177</x:v>
      </x:c>
      <x:c r="G182" s="84" t="str">
        <x:f>PROPER(TRIM('Raw Sales'!D182))</x:f>
        <x:v>Elena Quinn</x:v>
      </x:c>
      <x:c r="H182" s="84" t="str">
        <x:f>IF(TRIM('Raw Sales'!E182)="","Unknown",PROPER(TRIM('Raw Sales'!E182)))</x:f>
        <x:v>Consumer</x:v>
      </x:c>
      <x:c r="I182" s="84" t="str">
        <x:f>PROPER(TRIM('Raw Sales'!F182))</x:f>
        <x:v>Southeast</x:v>
      </x:c>
      <x:c r="J182" s="84" t="str">
        <x:f>PROPER(TRIM('Raw Sales'!G182))</x:f>
        <x:v>Nashville</x:v>
      </x:c>
      <x:c r="K182" s="84" t="str">
        <x:f>PROPER(TRIM('Raw Sales'!H182))</x:f>
        <x:v>Online</x:v>
      </x:c>
      <x:c r="L182" s="84" t="str">
        <x:f>'Raw Sales'!I182</x:f>
        <x:v>ELEC-001</x:v>
      </x:c>
      <x:c r="M182" s="84" t="str">
        <x:f>IFERROR(VLOOKUP(L182,'Reference Data'!$A$5:$F$40,2,FALSE),"Unknown Product")</x:f>
        <x:v>Wireless Earbuds</x:v>
      </x:c>
      <x:c r="N182" s="84" t="str">
        <x:f>IFERROR(VLOOKUP(L182,'Reference Data'!$A$5:$F$40,3,FALSE),"Unknown")</x:f>
        <x:v>Electronics</x:v>
      </x:c>
      <x:c r="O182" s="84" t="str">
        <x:f>IFERROR(VLOOKUP(L182,'Reference Data'!$A$5:$F$40,4,FALSE),"Unknown")</x:f>
        <x:v>Audio</x:v>
      </x:c>
      <x:c r="P182" s="92" t="n">
        <x:f>IFERROR(VLOOKUP(L182,'Reference Data'!$A$5:$F$40,5,FALSE),0)</x:f>
        <x:v>69</x:v>
      </x:c>
      <x:c r="Q182" s="92" t="n">
        <x:f>IFERROR(VLOOKUP(L182,'Reference Data'!$A$5:$F$40,6,FALSE),0)</x:f>
        <x:v>36</x:v>
      </x:c>
      <x:c r="R182" s="84" t="n">
        <x:f>'Raw Sales'!J182</x:f>
        <x:v>1</x:v>
      </x:c>
      <x:c r="S182" s="87" t="n">
        <x:f>'Raw Sales'!K182</x:f>
        <x:v>0</x:v>
      </x:c>
      <x:c r="T182" s="93" t="n">
        <x:f>P182*R182</x:f>
        <x:v>69</x:v>
      </x:c>
      <x:c r="U182" s="93" t="n">
        <x:f>T182*S182</x:f>
        <x:v>0</x:v>
      </x:c>
      <x:c r="V182" s="93" t="str">
        <x:f>PROPER(TRIM('Raw Sales'!L182))</x:f>
        <x:v>Completed</x:v>
      </x:c>
      <x:c r="W182" s="93" t="n">
        <x:f>IF(V182="Returned",0,T182-U182)</x:f>
        <x:v>69</x:v>
      </x:c>
      <x:c r="X182" s="93" t="n">
        <x:f>IF(V182="Returned",Q182*R182*10%,Q182*R182)</x:f>
        <x:v>36</x:v>
      </x:c>
      <x:c r="Y182" s="93" t="n">
        <x:f>W182-X182</x:f>
        <x:v>33</x:v>
      </x:c>
      <x:c r="Z182" s="94" t="n">
        <x:f>IFERROR(Y182/W182,0)</x:f>
        <x:v>0.4782608695652174</x:v>
      </x:c>
      <x:c r="AA182" s="84" t="str">
        <x:f>PROPER(TRIM('Raw Sales'!M182))</x:f>
        <x:v>Paypal</x:v>
      </x:c>
      <x:c r="AB182" s="84" t="str">
        <x:f>PROPER(TRIM('Raw Sales'!N182))</x:f>
        <x:v>Noah Reed</x:v>
      </x:c>
      <x:c r="AC182" s="85" t="n">
        <x:f>'Raw Sales'!O182</x:f>
        <x:v>45370</x:v>
      </x:c>
      <x:c r="AD182" s="84" t="n">
        <x:f>AC182-B182</x:f>
        <x:v>4</x:v>
      </x:c>
      <x:c r="AE182" s="84" t="str">
        <x:f>IF(COUNTIF($A$5:A182,A182)&gt;1,"Duplicate","Keep")</x:f>
        <x:v>Duplicate</x:v>
      </x:c>
      <x:c r="AF182" s="84" t="str">
        <x:f>IF(OR(R182&lt;=0,AC182&lt;B182,H182="Unknown",M182="Unknown Product"),"Review","Valid")</x:f>
        <x:v>Valid</x:v>
      </x:c>
      <x:c r="AG182" s="84" t="n">
        <x:f>IF(AND(AE182="Keep",AF182="Valid"),1,0)</x:f>
        <x:v>0</x:v>
      </x:c>
      <x:c r="AH182" s="84" t="n">
        <x:f>IF(AND(AG182=1,OR('Dashboard'!$B$4="All",I182='Dashboard'!$B$4),OR('Dashboard'!$E$4="All",N182='Dashboard'!$E$4),OR('Dashboard'!$H$4="All",K182='Dashboard'!$H$4),OR('Dashboard'!$K$4="All",C182='Dashboard'!$K$4)),1,0)</x:f>
        <x:v>0</x:v>
      </x:c>
      <x:c r="AI182" s="84" t="n">
        <x:f>IF(AND(AG182=1,OR('Dashboard'!$B$4="All",I182='Dashboard'!$B$4),OR('Dashboard'!$E$4="All",N182='Dashboard'!$E$4),OR('Dashboard'!$H$4="All",K182='Dashboard'!$H$4)),1,0)</x:f>
        <x:v>0</x:v>
      </x:c>
    </x:row>
    <x:row r="183">
      <x:c r="A183" s="84" t="str">
        <x:f>'Raw Sales'!A183</x:f>
        <x:v>ORD-2024-01790</x:v>
      </x:c>
      <x:c r="B183" s="85" t="n">
        <x:f>'Raw Sales'!B183</x:f>
        <x:v>45366</x:v>
      </x:c>
      <x:c r="C183" s="84" t="n">
        <x:f>YEAR(B183)</x:f>
        <x:v>2024</x:v>
      </x:c>
      <x:c r="D183" s="91" t="n">
        <x:f>DATE(YEAR(B183),MONTH(B183),1)</x:f>
        <x:v>45352</x:v>
      </x:c>
      <x:c r="E183" s="84" t="str">
        <x:f>TEXT(B183,"mmm")</x:f>
        <x:v>Mar</x:v>
      </x:c>
      <x:c r="F183" s="84" t="str">
        <x:f>'Raw Sales'!C183</x:f>
        <x:v>CUST-0219</x:v>
      </x:c>
      <x:c r="G183" s="84" t="str">
        <x:f>PROPER(TRIM('Raw Sales'!D183))</x:f>
        <x:v>Caleb Quinn</x:v>
      </x:c>
      <x:c r="H183" s="84" t="str">
        <x:f>IF(TRIM('Raw Sales'!E183)="","Unknown",PROPER(TRIM('Raw Sales'!E183)))</x:f>
        <x:v>Small Business</x:v>
      </x:c>
      <x:c r="I183" s="84" t="str">
        <x:f>PROPER(TRIM('Raw Sales'!F183))</x:f>
        <x:v>West</x:v>
      </x:c>
      <x:c r="J183" s="84" t="str">
        <x:f>PROPER(TRIM('Raw Sales'!G183))</x:f>
        <x:v>Los Angeles</x:v>
      </x:c>
      <x:c r="K183" s="84" t="str">
        <x:f>PROPER(TRIM('Raw Sales'!H183))</x:f>
        <x:v>Online</x:v>
      </x:c>
      <x:c r="L183" s="84" t="str">
        <x:f>'Raw Sales'!I183</x:f>
        <x:v>FITN-006</x:v>
      </x:c>
      <x:c r="M183" s="84" t="str">
        <x:f>IFERROR(VLOOKUP(L183,'Reference Data'!$A$5:$F$40,2,FALSE),"Unknown Product")</x:f>
        <x:v>Foam Roller</x:v>
      </x:c>
      <x:c r="N183" s="84" t="str">
        <x:f>IFERROR(VLOOKUP(L183,'Reference Data'!$A$5:$F$40,3,FALSE),"Unknown")</x:f>
        <x:v>Fitness</x:v>
      </x:c>
      <x:c r="O183" s="84" t="str">
        <x:f>IFERROR(VLOOKUP(L183,'Reference Data'!$A$5:$F$40,4,FALSE),"Unknown")</x:f>
        <x:v>Recovery</x:v>
      </x:c>
      <x:c r="P183" s="92" t="n">
        <x:f>IFERROR(VLOOKUP(L183,'Reference Data'!$A$5:$F$40,5,FALSE),0)</x:f>
        <x:v>31</x:v>
      </x:c>
      <x:c r="Q183" s="92" t="n">
        <x:f>IFERROR(VLOOKUP(L183,'Reference Data'!$A$5:$F$40,6,FALSE),0)</x:f>
        <x:v>12</x:v>
      </x:c>
      <x:c r="R183" s="84" t="n">
        <x:f>'Raw Sales'!J183</x:f>
        <x:v>3</x:v>
      </x:c>
      <x:c r="S183" s="87" t="n">
        <x:f>'Raw Sales'!K183</x:f>
        <x:v>0.05</x:v>
      </x:c>
      <x:c r="T183" s="93" t="n">
        <x:f>P183*R183</x:f>
        <x:v>93</x:v>
      </x:c>
      <x:c r="U183" s="93" t="n">
        <x:f>T183*S183</x:f>
        <x:v>4.65</x:v>
      </x:c>
      <x:c r="V183" s="93" t="str">
        <x:f>PROPER(TRIM('Raw Sales'!L183))</x:f>
        <x:v>Completed</x:v>
      </x:c>
      <x:c r="W183" s="93" t="n">
        <x:f>IF(V183="Returned",0,T183-U183)</x:f>
        <x:v>88.35</x:v>
      </x:c>
      <x:c r="X183" s="93" t="n">
        <x:f>IF(V183="Returned",Q183*R183*10%,Q183*R183)</x:f>
        <x:v>36</x:v>
      </x:c>
      <x:c r="Y183" s="93" t="n">
        <x:f>W183-X183</x:f>
        <x:v>52.349999999999994</x:v>
      </x:c>
      <x:c r="Z183" s="94" t="n">
        <x:f>IFERROR(Y183/W183,0)</x:f>
        <x:v>0.5925297113752122</x:v>
      </x:c>
      <x:c r="AA183" s="84" t="str">
        <x:f>PROPER(TRIM('Raw Sales'!M183))</x:f>
        <x:v>Paypal</x:v>
      </x:c>
      <x:c r="AB183" s="84" t="str">
        <x:f>PROPER(TRIM('Raw Sales'!N183))</x:f>
        <x:v>Leo Martinez</x:v>
      </x:c>
      <x:c r="AC183" s="85" t="n">
        <x:f>'Raw Sales'!O183</x:f>
        <x:v>45371</x:v>
      </x:c>
      <x:c r="AD183" s="84" t="n">
        <x:f>AC183-B183</x:f>
        <x:v>5</x:v>
      </x:c>
      <x:c r="AE183" s="84" t="str">
        <x:f>IF(COUNTIF($A$5:A183,A183)&gt;1,"Duplicate","Keep")</x:f>
        <x:v>Keep</x:v>
      </x:c>
      <x:c r="AF183" s="84" t="str">
        <x:f>IF(OR(R183&lt;=0,AC183&lt;B183,H183="Unknown",M183="Unknown Product"),"Review","Valid")</x:f>
        <x:v>Valid</x:v>
      </x:c>
      <x:c r="AG183" s="84" t="n">
        <x:f>IF(AND(AE183="Keep",AF183="Valid"),1,0)</x:f>
        <x:v>1</x:v>
      </x:c>
      <x:c r="AH183" s="84" t="n">
        <x:f>IF(AND(AG183=1,OR('Dashboard'!$B$4="All",I183='Dashboard'!$B$4),OR('Dashboard'!$E$4="All",N183='Dashboard'!$E$4),OR('Dashboard'!$H$4="All",K183='Dashboard'!$H$4),OR('Dashboard'!$K$4="All",C183='Dashboard'!$K$4)),1,0)</x:f>
        <x:v>1</x:v>
      </x:c>
      <x:c r="AI183" s="84" t="n">
        <x:f>IF(AND(AG183=1,OR('Dashboard'!$B$4="All",I183='Dashboard'!$B$4),OR('Dashboard'!$E$4="All",N183='Dashboard'!$E$4),OR('Dashboard'!$H$4="All",K183='Dashboard'!$H$4)),1,0)</x:f>
        <x:v>1</x:v>
      </x:c>
    </x:row>
    <x:row r="184">
      <x:c r="A184" s="84" t="str">
        <x:f>'Raw Sales'!A184</x:f>
        <x:v>ORD-2024-00880</x:v>
      </x:c>
      <x:c r="B184" s="85" t="n">
        <x:f>'Raw Sales'!B184</x:f>
        <x:v>45367</x:v>
      </x:c>
      <x:c r="C184" s="84" t="n">
        <x:f>YEAR(B184)</x:f>
        <x:v>2024</x:v>
      </x:c>
      <x:c r="D184" s="91" t="n">
        <x:f>DATE(YEAR(B184),MONTH(B184),1)</x:f>
        <x:v>45352</x:v>
      </x:c>
      <x:c r="E184" s="84" t="str">
        <x:f>TEXT(B184,"mmm")</x:f>
        <x:v>Mar</x:v>
      </x:c>
      <x:c r="F184" s="84" t="str">
        <x:f>'Raw Sales'!C184</x:f>
        <x:v>CUST-0490</x:v>
      </x:c>
      <x:c r="G184" s="84" t="str">
        <x:f>PROPER(TRIM('Raw Sales'!D184))</x:f>
        <x:v>Maya Nelson</x:v>
      </x:c>
      <x:c r="H184" s="84" t="str">
        <x:f>IF(TRIM('Raw Sales'!E184)="","Unknown",PROPER(TRIM('Raw Sales'!E184)))</x:f>
        <x:v>Small Business</x:v>
      </x:c>
      <x:c r="I184" s="84" t="str">
        <x:f>PROPER(TRIM('Raw Sales'!F184))</x:f>
        <x:v>Northeast</x:v>
      </x:c>
      <x:c r="J184" s="84" t="str">
        <x:f>PROPER(TRIM('Raw Sales'!G184))</x:f>
        <x:v>Philadelphia</x:v>
      </x:c>
      <x:c r="K184" s="84" t="str">
        <x:f>PROPER(TRIM('Raw Sales'!H184))</x:f>
        <x:v>Retail Store</x:v>
      </x:c>
      <x:c r="L184" s="84" t="str">
        <x:f>'Raw Sales'!I184</x:f>
        <x:v>OFFC-001</x:v>
      </x:c>
      <x:c r="M184" s="84" t="str">
        <x:f>IFERROR(VLOOKUP(L184,'Reference Data'!$A$5:$F$40,2,FALSE),"Unknown Product")</x:f>
        <x:v>Ergonomic Chair</x:v>
      </x:c>
      <x:c r="N184" s="84" t="str">
        <x:f>IFERROR(VLOOKUP(L184,'Reference Data'!$A$5:$F$40,3,FALSE),"Unknown")</x:f>
        <x:v>Office</x:v>
      </x:c>
      <x:c r="O184" s="84" t="str">
        <x:f>IFERROR(VLOOKUP(L184,'Reference Data'!$A$5:$F$40,4,FALSE),"Unknown")</x:f>
        <x:v>Furniture</x:v>
      </x:c>
      <x:c r="P184" s="92" t="n">
        <x:f>IFERROR(VLOOKUP(L184,'Reference Data'!$A$5:$F$40,5,FALSE),0)</x:f>
        <x:v>249</x:v>
      </x:c>
      <x:c r="Q184" s="92" t="n">
        <x:f>IFERROR(VLOOKUP(L184,'Reference Data'!$A$5:$F$40,6,FALSE),0)</x:f>
        <x:v>145</x:v>
      </x:c>
      <x:c r="R184" s="84" t="n">
        <x:f>'Raw Sales'!J184</x:f>
        <x:v>1</x:v>
      </x:c>
      <x:c r="S184" s="87" t="n">
        <x:f>'Raw Sales'!K184</x:f>
        <x:v>0</x:v>
      </x:c>
      <x:c r="T184" s="93" t="n">
        <x:f>P184*R184</x:f>
        <x:v>249</x:v>
      </x:c>
      <x:c r="U184" s="93" t="n">
        <x:f>T184*S184</x:f>
        <x:v>0</x:v>
      </x:c>
      <x:c r="V184" s="93" t="str">
        <x:f>PROPER(TRIM('Raw Sales'!L184))</x:f>
        <x:v>Completed</x:v>
      </x:c>
      <x:c r="W184" s="93" t="n">
        <x:f>IF(V184="Returned",0,T184-U184)</x:f>
        <x:v>249</x:v>
      </x:c>
      <x:c r="X184" s="93" t="n">
        <x:f>IF(V184="Returned",Q184*R184*10%,Q184*R184)</x:f>
        <x:v>145</x:v>
      </x:c>
      <x:c r="Y184" s="93" t="n">
        <x:f>W184-X184</x:f>
        <x:v>104</x:v>
      </x:c>
      <x:c r="Z184" s="94" t="n">
        <x:f>IFERROR(Y184/W184,0)</x:f>
        <x:v>0.41767068273092367</x:v>
      </x:c>
      <x:c r="AA184" s="84" t="str">
        <x:f>PROPER(TRIM('Raw Sales'!M184))</x:f>
        <x:v>Debit Card</x:v>
      </x:c>
      <x:c r="AB184" s="84" t="str">
        <x:f>PROPER(TRIM('Raw Sales'!N184))</x:f>
        <x:v>Sofia Bennett</x:v>
      </x:c>
      <x:c r="AC184" s="85" t="n">
        <x:f>'Raw Sales'!O184</x:f>
        <x:v>45367</x:v>
      </x:c>
      <x:c r="AD184" s="84" t="n">
        <x:f>AC184-B184</x:f>
        <x:v>0</x:v>
      </x:c>
      <x:c r="AE184" s="84" t="str">
        <x:f>IF(COUNTIF($A$5:A184,A184)&gt;1,"Duplicate","Keep")</x:f>
        <x:v>Keep</x:v>
      </x:c>
      <x:c r="AF184" s="84" t="str">
        <x:f>IF(OR(R184&lt;=0,AC184&lt;B184,H184="Unknown",M184="Unknown Product"),"Review","Valid")</x:f>
        <x:v>Valid</x:v>
      </x:c>
      <x:c r="AG184" s="84" t="n">
        <x:f>IF(AND(AE184="Keep",AF184="Valid"),1,0)</x:f>
        <x:v>1</x:v>
      </x:c>
      <x:c r="AH184" s="84" t="n">
        <x:f>IF(AND(AG184=1,OR('Dashboard'!$B$4="All",I184='Dashboard'!$B$4),OR('Dashboard'!$E$4="All",N184='Dashboard'!$E$4),OR('Dashboard'!$H$4="All",K184='Dashboard'!$H$4),OR('Dashboard'!$K$4="All",C184='Dashboard'!$K$4)),1,0)</x:f>
        <x:v>1</x:v>
      </x:c>
      <x:c r="AI184" s="84" t="n">
        <x:f>IF(AND(AG184=1,OR('Dashboard'!$B$4="All",I184='Dashboard'!$B$4),OR('Dashboard'!$E$4="All",N184='Dashboard'!$E$4),OR('Dashboard'!$H$4="All",K184='Dashboard'!$H$4)),1,0)</x:f>
        <x:v>1</x:v>
      </x:c>
    </x:row>
    <x:row r="185">
      <x:c r="A185" s="84" t="str">
        <x:f>'Raw Sales'!A185</x:f>
        <x:v>ORD-2024-01642</x:v>
      </x:c>
      <x:c r="B185" s="85" t="n">
        <x:f>'Raw Sales'!B185</x:f>
        <x:v>45367</x:v>
      </x:c>
      <x:c r="C185" s="84" t="n">
        <x:f>YEAR(B185)</x:f>
        <x:v>2024</x:v>
      </x:c>
      <x:c r="D185" s="91" t="n">
        <x:f>DATE(YEAR(B185),MONTH(B185),1)</x:f>
        <x:v>45352</x:v>
      </x:c>
      <x:c r="E185" s="84" t="str">
        <x:f>TEXT(B185,"mmm")</x:f>
        <x:v>Mar</x:v>
      </x:c>
      <x:c r="F185" s="84" t="str">
        <x:f>'Raw Sales'!C185</x:f>
        <x:v>CUST-0268</x:v>
      </x:c>
      <x:c r="G185" s="84" t="str">
        <x:f>PROPER(TRIM('Raw Sales'!D185))</x:f>
        <x:v>Aiden Moore</x:v>
      </x:c>
      <x:c r="H185" s="84" t="str">
        <x:f>IF(TRIM('Raw Sales'!E185)="","Unknown",PROPER(TRIM('Raw Sales'!E185)))</x:f>
        <x:v>Small Business</x:v>
      </x:c>
      <x:c r="I185" s="84" t="str">
        <x:f>PROPER(TRIM('Raw Sales'!F185))</x:f>
        <x:v>Midwest</x:v>
      </x:c>
      <x:c r="J185" s="84" t="str">
        <x:f>PROPER(TRIM('Raw Sales'!G185))</x:f>
        <x:v>Chicago</x:v>
      </x:c>
      <x:c r="K185" s="84" t="str">
        <x:f>PROPER(TRIM('Raw Sales'!H185))</x:f>
        <x:v>Marketplace</x:v>
      </x:c>
      <x:c r="L185" s="84" t="str">
        <x:f>'Raw Sales'!I185</x:f>
        <x:v>ELEC-005</x:v>
      </x:c>
      <x:c r="M185" s="84" t="str">
        <x:f>IFERROR(VLOOKUP(L185,'Reference Data'!$A$5:$F$40,2,FALSE),"Unknown Product")</x:f>
        <x:v>HD Webcam</x:v>
      </x:c>
      <x:c r="N185" s="84" t="str">
        <x:f>IFERROR(VLOOKUP(L185,'Reference Data'!$A$5:$F$40,3,FALSE),"Unknown")</x:f>
        <x:v>Electronics</x:v>
      </x:c>
      <x:c r="O185" s="84" t="str">
        <x:f>IFERROR(VLOOKUP(L185,'Reference Data'!$A$5:$F$40,4,FALSE),"Unknown")</x:f>
        <x:v>Computer Accessories</x:v>
      </x:c>
      <x:c r="P185" s="92" t="n">
        <x:f>IFERROR(VLOOKUP(L185,'Reference Data'!$A$5:$F$40,5,FALSE),0)</x:f>
        <x:v>79</x:v>
      </x:c>
      <x:c r="Q185" s="92" t="n">
        <x:f>IFERROR(VLOOKUP(L185,'Reference Data'!$A$5:$F$40,6,FALSE),0)</x:f>
        <x:v>37</x:v>
      </x:c>
      <x:c r="R185" s="84" t="n">
        <x:f>'Raw Sales'!J185</x:f>
        <x:v>1</x:v>
      </x:c>
      <x:c r="S185" s="87" t="n">
        <x:f>'Raw Sales'!K185</x:f>
        <x:v>0</x:v>
      </x:c>
      <x:c r="T185" s="93" t="n">
        <x:f>P185*R185</x:f>
        <x:v>79</x:v>
      </x:c>
      <x:c r="U185" s="93" t="n">
        <x:f>T185*S185</x:f>
        <x:v>0</x:v>
      </x:c>
      <x:c r="V185" s="93" t="str">
        <x:f>PROPER(TRIM('Raw Sales'!L185))</x:f>
        <x:v>Completed</x:v>
      </x:c>
      <x:c r="W185" s="93" t="n">
        <x:f>IF(V185="Returned",0,T185-U185)</x:f>
        <x:v>79</x:v>
      </x:c>
      <x:c r="X185" s="93" t="n">
        <x:f>IF(V185="Returned",Q185*R185*10%,Q185*R185)</x:f>
        <x:v>37</x:v>
      </x:c>
      <x:c r="Y185" s="93" t="n">
        <x:f>W185-X185</x:f>
        <x:v>42</x:v>
      </x:c>
      <x:c r="Z185" s="94" t="n">
        <x:f>IFERROR(Y185/W185,0)</x:f>
        <x:v>0.5316455696202531</x:v>
      </x:c>
      <x:c r="AA185" s="84" t="str">
        <x:f>PROPER(TRIM('Raw Sales'!M185))</x:f>
        <x:v>Credit Card</x:v>
      </x:c>
      <x:c r="AB185" s="84" t="str">
        <x:f>PROPER(TRIM('Raw Sales'!N185))</x:f>
        <x:v>Lucas Grant</x:v>
      </x:c>
      <x:c r="AC185" s="85" t="n">
        <x:f>'Raw Sales'!O185</x:f>
        <x:v>45373</x:v>
      </x:c>
      <x:c r="AD185" s="84" t="n">
        <x:f>AC185-B185</x:f>
        <x:v>6</x:v>
      </x:c>
      <x:c r="AE185" s="84" t="str">
        <x:f>IF(COUNTIF($A$5:A185,A185)&gt;1,"Duplicate","Keep")</x:f>
        <x:v>Keep</x:v>
      </x:c>
      <x:c r="AF185" s="84" t="str">
        <x:f>IF(OR(R185&lt;=0,AC185&lt;B185,H185="Unknown",M185="Unknown Product"),"Review","Valid")</x:f>
        <x:v>Valid</x:v>
      </x:c>
      <x:c r="AG185" s="84" t="n">
        <x:f>IF(AND(AE185="Keep",AF185="Valid"),1,0)</x:f>
        <x:v>1</x:v>
      </x:c>
      <x:c r="AH185" s="84" t="n">
        <x:f>IF(AND(AG185=1,OR('Dashboard'!$B$4="All",I185='Dashboard'!$B$4),OR('Dashboard'!$E$4="All",N185='Dashboard'!$E$4),OR('Dashboard'!$H$4="All",K185='Dashboard'!$H$4),OR('Dashboard'!$K$4="All",C185='Dashboard'!$K$4)),1,0)</x:f>
        <x:v>1</x:v>
      </x:c>
      <x:c r="AI185" s="84" t="n">
        <x:f>IF(AND(AG185=1,OR('Dashboard'!$B$4="All",I185='Dashboard'!$B$4),OR('Dashboard'!$E$4="All",N185='Dashboard'!$E$4),OR('Dashboard'!$H$4="All",K185='Dashboard'!$H$4)),1,0)</x:f>
        <x:v>1</x:v>
      </x:c>
    </x:row>
    <x:row r="186">
      <x:c r="A186" s="84" t="str">
        <x:f>'Raw Sales'!A186</x:f>
        <x:v>ORD-2024-02023</x:v>
      </x:c>
      <x:c r="B186" s="85" t="n">
        <x:f>'Raw Sales'!B186</x:f>
        <x:v>45367</x:v>
      </x:c>
      <x:c r="C186" s="84" t="n">
        <x:f>YEAR(B186)</x:f>
        <x:v>2024</x:v>
      </x:c>
      <x:c r="D186" s="91" t="n">
        <x:f>DATE(YEAR(B186),MONTH(B186),1)</x:f>
        <x:v>45352</x:v>
      </x:c>
      <x:c r="E186" s="84" t="str">
        <x:f>TEXT(B186,"mmm")</x:f>
        <x:v>Mar</x:v>
      </x:c>
      <x:c r="F186" s="84" t="str">
        <x:f>'Raw Sales'!C186</x:f>
        <x:v>CUST-0222</x:v>
      </x:c>
      <x:c r="G186" s="84" t="str">
        <x:f>PROPER(TRIM('Raw Sales'!D186))</x:f>
        <x:v>Priya Nelson</x:v>
      </x:c>
      <x:c r="H186" s="84" t="str">
        <x:f>IF(TRIM('Raw Sales'!E186)="","Unknown",PROPER(TRIM('Raw Sales'!E186)))</x:f>
        <x:v>Consumer</x:v>
      </x:c>
      <x:c r="I186" s="84" t="str">
        <x:f>PROPER(TRIM('Raw Sales'!F186))</x:f>
        <x:v>Midwest</x:v>
      </x:c>
      <x:c r="J186" s="84" t="str">
        <x:f>PROPER(TRIM('Raw Sales'!G186))</x:f>
        <x:v>Minneapolis</x:v>
      </x:c>
      <x:c r="K186" s="84" t="str">
        <x:f>PROPER(TRIM('Raw Sales'!H186))</x:f>
        <x:v>Marketplace</x:v>
      </x:c>
      <x:c r="L186" s="84" t="str">
        <x:f>'Raw Sales'!I186</x:f>
        <x:v>OFFC-003</x:v>
      </x:c>
      <x:c r="M186" s="84" t="str">
        <x:f>IFERROR(VLOOKUP(L186,'Reference Data'!$A$5:$F$40,2,FALSE),"Unknown Product")</x:f>
        <x:v>LED Desk Lamp</x:v>
      </x:c>
      <x:c r="N186" s="84" t="str">
        <x:f>IFERROR(VLOOKUP(L186,'Reference Data'!$A$5:$F$40,3,FALSE),"Unknown")</x:f>
        <x:v>Office</x:v>
      </x:c>
      <x:c r="O186" s="84" t="str">
        <x:f>IFERROR(VLOOKUP(L186,'Reference Data'!$A$5:$F$40,4,FALSE),"Unknown")</x:f>
        <x:v>Desk Accessories</x:v>
      </x:c>
      <x:c r="P186" s="92" t="n">
        <x:f>IFERROR(VLOOKUP(L186,'Reference Data'!$A$5:$F$40,5,FALSE),0)</x:f>
        <x:v>45</x:v>
      </x:c>
      <x:c r="Q186" s="92" t="n">
        <x:f>IFERROR(VLOOKUP(L186,'Reference Data'!$A$5:$F$40,6,FALSE),0)</x:f>
        <x:v>20</x:v>
      </x:c>
      <x:c r="R186" s="84" t="n">
        <x:f>'Raw Sales'!J186</x:f>
        <x:v>4</x:v>
      </x:c>
      <x:c r="S186" s="87" t="n">
        <x:f>'Raw Sales'!K186</x:f>
        <x:v>0</x:v>
      </x:c>
      <x:c r="T186" s="93" t="n">
        <x:f>P186*R186</x:f>
        <x:v>180</x:v>
      </x:c>
      <x:c r="U186" s="93" t="n">
        <x:f>T186*S186</x:f>
        <x:v>0</x:v>
      </x:c>
      <x:c r="V186" s="93" t="str">
        <x:f>PROPER(TRIM('Raw Sales'!L186))</x:f>
        <x:v>Completed</x:v>
      </x:c>
      <x:c r="W186" s="93" t="n">
        <x:f>IF(V186="Returned",0,T186-U186)</x:f>
        <x:v>180</x:v>
      </x:c>
      <x:c r="X186" s="93" t="n">
        <x:f>IF(V186="Returned",Q186*R186*10%,Q186*R186)</x:f>
        <x:v>80</x:v>
      </x:c>
      <x:c r="Y186" s="93" t="n">
        <x:f>W186-X186</x:f>
        <x:v>100</x:v>
      </x:c>
      <x:c r="Z186" s="94" t="n">
        <x:f>IFERROR(Y186/W186,0)</x:f>
        <x:v>0.5555555555555556</x:v>
      </x:c>
      <x:c r="AA186" s="84" t="str">
        <x:f>PROPER(TRIM('Raw Sales'!M186))</x:f>
        <x:v>Credit Card</x:v>
      </x:c>
      <x:c r="AB186" s="84" t="str">
        <x:f>PROPER(TRIM('Raw Sales'!N186))</x:f>
        <x:v>Lucas Grant</x:v>
      </x:c>
      <x:c r="AC186" s="85" t="n">
        <x:f>'Raw Sales'!O186</x:f>
        <x:v>45375</x:v>
      </x:c>
      <x:c r="AD186" s="84" t="n">
        <x:f>AC186-B186</x:f>
        <x:v>8</x:v>
      </x:c>
      <x:c r="AE186" s="84" t="str">
        <x:f>IF(COUNTIF($A$5:A186,A186)&gt;1,"Duplicate","Keep")</x:f>
        <x:v>Keep</x:v>
      </x:c>
      <x:c r="AF186" s="84" t="str">
        <x:f>IF(OR(R186&lt;=0,AC186&lt;B186,H186="Unknown",M186="Unknown Product"),"Review","Valid")</x:f>
        <x:v>Valid</x:v>
      </x:c>
      <x:c r="AG186" s="84" t="n">
        <x:f>IF(AND(AE186="Keep",AF186="Valid"),1,0)</x:f>
        <x:v>1</x:v>
      </x:c>
      <x:c r="AH186" s="84" t="n">
        <x:f>IF(AND(AG186=1,OR('Dashboard'!$B$4="All",I186='Dashboard'!$B$4),OR('Dashboard'!$E$4="All",N186='Dashboard'!$E$4),OR('Dashboard'!$H$4="All",K186='Dashboard'!$H$4),OR('Dashboard'!$K$4="All",C186='Dashboard'!$K$4)),1,0)</x:f>
        <x:v>1</x:v>
      </x:c>
      <x:c r="AI186" s="84" t="n">
        <x:f>IF(AND(AG186=1,OR('Dashboard'!$B$4="All",I186='Dashboard'!$B$4),OR('Dashboard'!$E$4="All",N186='Dashboard'!$E$4),OR('Dashboard'!$H$4="All",K186='Dashboard'!$H$4)),1,0)</x:f>
        <x:v>1</x:v>
      </x:c>
    </x:row>
    <x:row r="187">
      <x:c r="A187" s="84" t="str">
        <x:f>'Raw Sales'!A187</x:f>
        <x:v>ORD-2024-02145</x:v>
      </x:c>
      <x:c r="B187" s="85" t="n">
        <x:f>'Raw Sales'!B187</x:f>
        <x:v>45367</x:v>
      </x:c>
      <x:c r="C187" s="84" t="n">
        <x:f>YEAR(B187)</x:f>
        <x:v>2024</x:v>
      </x:c>
      <x:c r="D187" s="91" t="n">
        <x:f>DATE(YEAR(B187),MONTH(B187),1)</x:f>
        <x:v>45352</x:v>
      </x:c>
      <x:c r="E187" s="84" t="str">
        <x:f>TEXT(B187,"mmm")</x:f>
        <x:v>Mar</x:v>
      </x:c>
      <x:c r="F187" s="84" t="str">
        <x:f>'Raw Sales'!C187</x:f>
        <x:v>CUST-0591</x:v>
      </x:c>
      <x:c r="G187" s="84" t="str">
        <x:f>PROPER(TRIM('Raw Sales'!D187))</x:f>
        <x:v>Grace Quinn</x:v>
      </x:c>
      <x:c r="H187" s="84" t="str">
        <x:f>IF(TRIM('Raw Sales'!E187)="","Unknown",PROPER(TRIM('Raw Sales'!E187)))</x:f>
        <x:v>Consumer</x:v>
      </x:c>
      <x:c r="I187" s="84" t="str">
        <x:f>PROPER(TRIM('Raw Sales'!F187))</x:f>
        <x:v>Northeast</x:v>
      </x:c>
      <x:c r="J187" s="84" t="str">
        <x:f>PROPER(TRIM('Raw Sales'!G187))</x:f>
        <x:v>Philadelphia</x:v>
      </x:c>
      <x:c r="K187" s="84" t="str">
        <x:f>PROPER(TRIM('Raw Sales'!H187))</x:f>
        <x:v>Online</x:v>
      </x:c>
      <x:c r="L187" s="84" t="str">
        <x:f>'Raw Sales'!I187</x:f>
        <x:v>HOME-005</x:v>
      </x:c>
      <x:c r="M187" s="84" t="str">
        <x:f>IFERROR(VLOOKUP(L187,'Reference Data'!$A$5:$F$40,2,FALSE),"Unknown Product")</x:f>
        <x:v>Cordless Vacuum</x:v>
      </x:c>
      <x:c r="N187" s="84" t="str">
        <x:f>IFERROR(VLOOKUP(L187,'Reference Data'!$A$5:$F$40,3,FALSE),"Unknown")</x:f>
        <x:v>Home &amp; Kitchen</x:v>
      </x:c>
      <x:c r="O187" s="84" t="str">
        <x:f>IFERROR(VLOOKUP(L187,'Reference Data'!$A$5:$F$40,4,FALSE),"Unknown")</x:f>
        <x:v>Cleaning</x:v>
      </x:c>
      <x:c r="P187" s="92" t="n">
        <x:f>IFERROR(VLOOKUP(L187,'Reference Data'!$A$5:$F$40,5,FALSE),0)</x:f>
        <x:v>179</x:v>
      </x:c>
      <x:c r="Q187" s="92" t="n">
        <x:f>IFERROR(VLOOKUP(L187,'Reference Data'!$A$5:$F$40,6,FALSE),0)</x:f>
        <x:v>102</x:v>
      </x:c>
      <x:c r="R187" s="84" t="n">
        <x:f>'Raw Sales'!J187</x:f>
        <x:v>2</x:v>
      </x:c>
      <x:c r="S187" s="87" t="n">
        <x:f>'Raw Sales'!K187</x:f>
        <x:v>0.2</x:v>
      </x:c>
      <x:c r="T187" s="93" t="n">
        <x:f>P187*R187</x:f>
        <x:v>358</x:v>
      </x:c>
      <x:c r="U187" s="93" t="n">
        <x:f>T187*S187</x:f>
        <x:v>71.60000000000001</x:v>
      </x:c>
      <x:c r="V187" s="93" t="str">
        <x:f>PROPER(TRIM('Raw Sales'!L187))</x:f>
        <x:v>Completed</x:v>
      </x:c>
      <x:c r="W187" s="93" t="n">
        <x:f>IF(V187="Returned",0,T187-U187)</x:f>
        <x:v>286.4</x:v>
      </x:c>
      <x:c r="X187" s="93" t="n">
        <x:f>IF(V187="Returned",Q187*R187*10%,Q187*R187)</x:f>
        <x:v>204</x:v>
      </x:c>
      <x:c r="Y187" s="93" t="n">
        <x:f>W187-X187</x:f>
        <x:v>82.39999999999998</x:v>
      </x:c>
      <x:c r="Z187" s="94" t="n">
        <x:f>IFERROR(Y187/W187,0)</x:f>
        <x:v>0.28770949720670386</x:v>
      </x:c>
      <x:c r="AA187" s="84" t="str">
        <x:f>PROPER(TRIM('Raw Sales'!M187))</x:f>
        <x:v>Debit Card</x:v>
      </x:c>
      <x:c r="AB187" s="84" t="str">
        <x:f>PROPER(TRIM('Raw Sales'!N187))</x:f>
        <x:v>Sofia Bennett</x:v>
      </x:c>
      <x:c r="AC187" s="85" t="n">
        <x:f>'Raw Sales'!O187</x:f>
        <x:v>45371</x:v>
      </x:c>
      <x:c r="AD187" s="84" t="n">
        <x:f>AC187-B187</x:f>
        <x:v>4</x:v>
      </x:c>
      <x:c r="AE187" s="84" t="str">
        <x:f>IF(COUNTIF($A$5:A187,A187)&gt;1,"Duplicate","Keep")</x:f>
        <x:v>Keep</x:v>
      </x:c>
      <x:c r="AF187" s="84" t="str">
        <x:f>IF(OR(R187&lt;=0,AC187&lt;B187,H187="Unknown",M187="Unknown Product"),"Review","Valid")</x:f>
        <x:v>Valid</x:v>
      </x:c>
      <x:c r="AG187" s="84" t="n">
        <x:f>IF(AND(AE187="Keep",AF187="Valid"),1,0)</x:f>
        <x:v>1</x:v>
      </x:c>
      <x:c r="AH187" s="84" t="n">
        <x:f>IF(AND(AG187=1,OR('Dashboard'!$B$4="All",I187='Dashboard'!$B$4),OR('Dashboard'!$E$4="All",N187='Dashboard'!$E$4),OR('Dashboard'!$H$4="All",K187='Dashboard'!$H$4),OR('Dashboard'!$K$4="All",C187='Dashboard'!$K$4)),1,0)</x:f>
        <x:v>1</x:v>
      </x:c>
      <x:c r="AI187" s="84" t="n">
        <x:f>IF(AND(AG187=1,OR('Dashboard'!$B$4="All",I187='Dashboard'!$B$4),OR('Dashboard'!$E$4="All",N187='Dashboard'!$E$4),OR('Dashboard'!$H$4="All",K187='Dashboard'!$H$4)),1,0)</x:f>
        <x:v>1</x:v>
      </x:c>
    </x:row>
    <x:row r="188">
      <x:c r="A188" s="84" t="str">
        <x:f>'Raw Sales'!A188</x:f>
        <x:v>ORD-2024-00124</x:v>
      </x:c>
      <x:c r="B188" s="85" t="n">
        <x:f>'Raw Sales'!B188</x:f>
        <x:v>45368</x:v>
      </x:c>
      <x:c r="C188" s="84" t="n">
        <x:f>YEAR(B188)</x:f>
        <x:v>2024</x:v>
      </x:c>
      <x:c r="D188" s="91" t="n">
        <x:f>DATE(YEAR(B188),MONTH(B188),1)</x:f>
        <x:v>45352</x:v>
      </x:c>
      <x:c r="E188" s="84" t="str">
        <x:f>TEXT(B188,"mmm")</x:f>
        <x:v>Mar</x:v>
      </x:c>
      <x:c r="F188" s="84" t="str">
        <x:f>'Raw Sales'!C188</x:f>
        <x:v>CUST-0203</x:v>
      </x:c>
      <x:c r="G188" s="84" t="str">
        <x:f>PROPER(TRIM('Raw Sales'!D188))</x:f>
        <x:v>Jasmine Carter</x:v>
      </x:c>
      <x:c r="H188" s="84" t="str">
        <x:f>IF(TRIM('Raw Sales'!E188)="","Unknown",PROPER(TRIM('Raw Sales'!E188)))</x:f>
        <x:v>Consumer</x:v>
      </x:c>
      <x:c r="I188" s="84" t="str">
        <x:f>PROPER(TRIM('Raw Sales'!F188))</x:f>
        <x:v>Midwest</x:v>
      </x:c>
      <x:c r="J188" s="84" t="str">
        <x:f>PROPER(TRIM('Raw Sales'!G188))</x:f>
        <x:v>Detroit</x:v>
      </x:c>
      <x:c r="K188" s="84" t="str">
        <x:f>PROPER(TRIM('Raw Sales'!H188))</x:f>
        <x:v>Retail Store</x:v>
      </x:c>
      <x:c r="L188" s="84" t="str">
        <x:f>'Raw Sales'!I188</x:f>
        <x:v>ACCS-002</x:v>
      </x:c>
      <x:c r="M188" s="84" t="str">
        <x:f>IFERROR(VLOOKUP(L188,'Reference Data'!$A$5:$F$40,2,FALSE),"Unknown Product")</x:f>
        <x:v>Travel Backpack</x:v>
      </x:c>
      <x:c r="N188" s="84" t="str">
        <x:f>IFERROR(VLOOKUP(L188,'Reference Data'!$A$5:$F$40,3,FALSE),"Unknown")</x:f>
        <x:v>Accessories</x:v>
      </x:c>
      <x:c r="O188" s="84" t="str">
        <x:f>IFERROR(VLOOKUP(L188,'Reference Data'!$A$5:$F$40,4,FALSE),"Unknown")</x:f>
        <x:v>Bags</x:v>
      </x:c>
      <x:c r="P188" s="92" t="n">
        <x:f>IFERROR(VLOOKUP(L188,'Reference Data'!$A$5:$F$40,5,FALSE),0)</x:f>
        <x:v>89</x:v>
      </x:c>
      <x:c r="Q188" s="92" t="n">
        <x:f>IFERROR(VLOOKUP(L188,'Reference Data'!$A$5:$F$40,6,FALSE),0)</x:f>
        <x:v>36</x:v>
      </x:c>
      <x:c r="R188" s="84" t="n">
        <x:f>'Raw Sales'!J188</x:f>
        <x:v>1</x:v>
      </x:c>
      <x:c r="S188" s="87" t="n">
        <x:f>'Raw Sales'!K188</x:f>
        <x:v>0.15</x:v>
      </x:c>
      <x:c r="T188" s="93" t="n">
        <x:f>P188*R188</x:f>
        <x:v>89</x:v>
      </x:c>
      <x:c r="U188" s="93" t="n">
        <x:f>T188*S188</x:f>
        <x:v>13.35</x:v>
      </x:c>
      <x:c r="V188" s="93" t="str">
        <x:f>PROPER(TRIM('Raw Sales'!L188))</x:f>
        <x:v>Completed</x:v>
      </x:c>
      <x:c r="W188" s="93" t="n">
        <x:f>IF(V188="Returned",0,T188-U188)</x:f>
        <x:v>75.65</x:v>
      </x:c>
      <x:c r="X188" s="93" t="n">
        <x:f>IF(V188="Returned",Q188*R188*10%,Q188*R188)</x:f>
        <x:v>36</x:v>
      </x:c>
      <x:c r="Y188" s="93" t="n">
        <x:f>W188-X188</x:f>
        <x:v>39.650000000000006</x:v>
      </x:c>
      <x:c r="Z188" s="94" t="n">
        <x:f>IFERROR(Y188/W188,0)</x:f>
        <x:v>0.5241242564441507</x:v>
      </x:c>
      <x:c r="AA188" s="84" t="str">
        <x:f>PROPER(TRIM('Raw Sales'!M188))</x:f>
        <x:v>Debit Card</x:v>
      </x:c>
      <x:c r="AB188" s="84" t="str">
        <x:f>PROPER(TRIM('Raw Sales'!N188))</x:f>
        <x:v>Lucas Grant</x:v>
      </x:c>
      <x:c r="AC188" s="85" t="n">
        <x:f>'Raw Sales'!O188</x:f>
        <x:v>45368</x:v>
      </x:c>
      <x:c r="AD188" s="84" t="n">
        <x:f>AC188-B188</x:f>
        <x:v>0</x:v>
      </x:c>
      <x:c r="AE188" s="84" t="str">
        <x:f>IF(COUNTIF($A$5:A188,A188)&gt;1,"Duplicate","Keep")</x:f>
        <x:v>Keep</x:v>
      </x:c>
      <x:c r="AF188" s="84" t="str">
        <x:f>IF(OR(R188&lt;=0,AC188&lt;B188,H188="Unknown",M188="Unknown Product"),"Review","Valid")</x:f>
        <x:v>Valid</x:v>
      </x:c>
      <x:c r="AG188" s="84" t="n">
        <x:f>IF(AND(AE188="Keep",AF188="Valid"),1,0)</x:f>
        <x:v>1</x:v>
      </x:c>
      <x:c r="AH188" s="84" t="n">
        <x:f>IF(AND(AG188=1,OR('Dashboard'!$B$4="All",I188='Dashboard'!$B$4),OR('Dashboard'!$E$4="All",N188='Dashboard'!$E$4),OR('Dashboard'!$H$4="All",K188='Dashboard'!$H$4),OR('Dashboard'!$K$4="All",C188='Dashboard'!$K$4)),1,0)</x:f>
        <x:v>1</x:v>
      </x:c>
      <x:c r="AI188" s="84" t="n">
        <x:f>IF(AND(AG188=1,OR('Dashboard'!$B$4="All",I188='Dashboard'!$B$4),OR('Dashboard'!$E$4="All",N188='Dashboard'!$E$4),OR('Dashboard'!$H$4="All",K188='Dashboard'!$H$4)),1,0)</x:f>
        <x:v>1</x:v>
      </x:c>
    </x:row>
    <x:row r="189">
      <x:c r="A189" s="84" t="str">
        <x:f>'Raw Sales'!A189</x:f>
        <x:v>ORD-2024-00732</x:v>
      </x:c>
      <x:c r="B189" s="85" t="n">
        <x:f>'Raw Sales'!B189</x:f>
        <x:v>45368</x:v>
      </x:c>
      <x:c r="C189" s="84" t="n">
        <x:f>YEAR(B189)</x:f>
        <x:v>2024</x:v>
      </x:c>
      <x:c r="D189" s="91" t="n">
        <x:f>DATE(YEAR(B189),MONTH(B189),1)</x:f>
        <x:v>45352</x:v>
      </x:c>
      <x:c r="E189" s="84" t="str">
        <x:f>TEXT(B189,"mmm")</x:f>
        <x:v>Mar</x:v>
      </x:c>
      <x:c r="F189" s="84" t="str">
        <x:f>'Raw Sales'!C189</x:f>
        <x:v>CUST-0635</x:v>
      </x:c>
      <x:c r="G189" s="84" t="str">
        <x:f>PROPER(TRIM('Raw Sales'!D189))</x:f>
        <x:v>Owen Patel</x:v>
      </x:c>
      <x:c r="H189" s="84" t="str">
        <x:f>IF(TRIM('Raw Sales'!E189)="","Unknown",PROPER(TRIM('Raw Sales'!E189)))</x:f>
        <x:v>Unknown</x:v>
      </x:c>
      <x:c r="I189" s="84" t="str">
        <x:f>PROPER(TRIM('Raw Sales'!F189))</x:f>
        <x:v>Northeast</x:v>
      </x:c>
      <x:c r="J189" s="84" t="str">
        <x:f>PROPER(TRIM('Raw Sales'!G189))</x:f>
        <x:v>Philadelphia</x:v>
      </x:c>
      <x:c r="K189" s="84" t="str">
        <x:f>PROPER(TRIM('Raw Sales'!H189))</x:f>
        <x:v>Online</x:v>
      </x:c>
      <x:c r="L189" s="84" t="str">
        <x:f>'Raw Sales'!I189</x:f>
        <x:v>FITN-006</x:v>
      </x:c>
      <x:c r="M189" s="84" t="str">
        <x:f>IFERROR(VLOOKUP(L189,'Reference Data'!$A$5:$F$40,2,FALSE),"Unknown Product")</x:f>
        <x:v>Foam Roller</x:v>
      </x:c>
      <x:c r="N189" s="84" t="str">
        <x:f>IFERROR(VLOOKUP(L189,'Reference Data'!$A$5:$F$40,3,FALSE),"Unknown")</x:f>
        <x:v>Fitness</x:v>
      </x:c>
      <x:c r="O189" s="84" t="str">
        <x:f>IFERROR(VLOOKUP(L189,'Reference Data'!$A$5:$F$40,4,FALSE),"Unknown")</x:f>
        <x:v>Recovery</x:v>
      </x:c>
      <x:c r="P189" s="92" t="n">
        <x:f>IFERROR(VLOOKUP(L189,'Reference Data'!$A$5:$F$40,5,FALSE),0)</x:f>
        <x:v>31</x:v>
      </x:c>
      <x:c r="Q189" s="92" t="n">
        <x:f>IFERROR(VLOOKUP(L189,'Reference Data'!$A$5:$F$40,6,FALSE),0)</x:f>
        <x:v>12</x:v>
      </x:c>
      <x:c r="R189" s="84" t="n">
        <x:f>'Raw Sales'!J189</x:f>
        <x:v>2</x:v>
      </x:c>
      <x:c r="S189" s="87" t="n">
        <x:f>'Raw Sales'!K189</x:f>
        <x:v>0</x:v>
      </x:c>
      <x:c r="T189" s="93" t="n">
        <x:f>P189*R189</x:f>
        <x:v>62</x:v>
      </x:c>
      <x:c r="U189" s="93" t="n">
        <x:f>T189*S189</x:f>
        <x:v>0</x:v>
      </x:c>
      <x:c r="V189" s="93" t="str">
        <x:f>PROPER(TRIM('Raw Sales'!L189))</x:f>
        <x:v>Completed</x:v>
      </x:c>
      <x:c r="W189" s="93" t="n">
        <x:f>IF(V189="Returned",0,T189-U189)</x:f>
        <x:v>62</x:v>
      </x:c>
      <x:c r="X189" s="93" t="n">
        <x:f>IF(V189="Returned",Q189*R189*10%,Q189*R189)</x:f>
        <x:v>24</x:v>
      </x:c>
      <x:c r="Y189" s="93" t="n">
        <x:f>W189-X189</x:f>
        <x:v>38</x:v>
      </x:c>
      <x:c r="Z189" s="94" t="n">
        <x:f>IFERROR(Y189/W189,0)</x:f>
        <x:v>0.6129032258064516</x:v>
      </x:c>
      <x:c r="AA189" s="84" t="str">
        <x:f>PROPER(TRIM('Raw Sales'!M189))</x:f>
        <x:v>Debit Card</x:v>
      </x:c>
      <x:c r="AB189" s="84" t="str">
        <x:f>PROPER(TRIM('Raw Sales'!N189))</x:f>
        <x:v>Maya Brooks</x:v>
      </x:c>
      <x:c r="AC189" s="85" t="n">
        <x:f>'Raw Sales'!O189</x:f>
        <x:v>45372</x:v>
      </x:c>
      <x:c r="AD189" s="84" t="n">
        <x:f>AC189-B189</x:f>
        <x:v>4</x:v>
      </x:c>
      <x:c r="AE189" s="84" t="str">
        <x:f>IF(COUNTIF($A$5:A189,A189)&gt;1,"Duplicate","Keep")</x:f>
        <x:v>Keep</x:v>
      </x:c>
      <x:c r="AF189" s="84" t="str">
        <x:f>IF(OR(R189&lt;=0,AC189&lt;B189,H189="Unknown",M189="Unknown Product"),"Review","Valid")</x:f>
        <x:v>Review</x:v>
      </x:c>
      <x:c r="AG189" s="84" t="n">
        <x:f>IF(AND(AE189="Keep",AF189="Valid"),1,0)</x:f>
        <x:v>0</x:v>
      </x:c>
      <x:c r="AH189" s="84" t="n">
        <x:f>IF(AND(AG189=1,OR('Dashboard'!$B$4="All",I189='Dashboard'!$B$4),OR('Dashboard'!$E$4="All",N189='Dashboard'!$E$4),OR('Dashboard'!$H$4="All",K189='Dashboard'!$H$4),OR('Dashboard'!$K$4="All",C189='Dashboard'!$K$4)),1,0)</x:f>
        <x:v>0</x:v>
      </x:c>
      <x:c r="AI189" s="84" t="n">
        <x:f>IF(AND(AG189=1,OR('Dashboard'!$B$4="All",I189='Dashboard'!$B$4),OR('Dashboard'!$E$4="All",N189='Dashboard'!$E$4),OR('Dashboard'!$H$4="All",K189='Dashboard'!$H$4)),1,0)</x:f>
        <x:v>0</x:v>
      </x:c>
    </x:row>
    <x:row r="190">
      <x:c r="A190" s="84" t="str">
        <x:f>'Raw Sales'!A190</x:f>
        <x:v>ORD-2024-01013</x:v>
      </x:c>
      <x:c r="B190" s="85" t="n">
        <x:f>'Raw Sales'!B190</x:f>
        <x:v>45368</x:v>
      </x:c>
      <x:c r="C190" s="84" t="n">
        <x:f>YEAR(B190)</x:f>
        <x:v>2024</x:v>
      </x:c>
      <x:c r="D190" s="91" t="n">
        <x:f>DATE(YEAR(B190),MONTH(B190),1)</x:f>
        <x:v>45352</x:v>
      </x:c>
      <x:c r="E190" s="84" t="str">
        <x:f>TEXT(B190,"mmm")</x:f>
        <x:v>Mar</x:v>
      </x:c>
      <x:c r="F190" s="84" t="str">
        <x:f>'Raw Sales'!C190</x:f>
        <x:v>CUST-0183</x:v>
      </x:c>
      <x:c r="G190" s="84" t="str">
        <x:f>PROPER(TRIM('Raw Sales'!D190))</x:f>
        <x:v>Jasmine Taylor</x:v>
      </x:c>
      <x:c r="H190" s="84" t="str">
        <x:f>IF(TRIM('Raw Sales'!E190)="","Unknown",PROPER(TRIM('Raw Sales'!E190)))</x:f>
        <x:v>Corporate</x:v>
      </x:c>
      <x:c r="I190" s="84" t="str">
        <x:f>PROPER(TRIM('Raw Sales'!F190))</x:f>
        <x:v>West</x:v>
      </x:c>
      <x:c r="J190" s="84" t="str">
        <x:f>PROPER(TRIM('Raw Sales'!G190))</x:f>
        <x:v>Denver</x:v>
      </x:c>
      <x:c r="K190" s="84" t="str">
        <x:f>PROPER(TRIM('Raw Sales'!H190))</x:f>
        <x:v>Retail Store</x:v>
      </x:c>
      <x:c r="L190" s="84" t="str">
        <x:f>'Raw Sales'!I190</x:f>
        <x:v>ACCS-002</x:v>
      </x:c>
      <x:c r="M190" s="84" t="str">
        <x:f>IFERROR(VLOOKUP(L190,'Reference Data'!$A$5:$F$40,2,FALSE),"Unknown Product")</x:f>
        <x:v>Travel Backpack</x:v>
      </x:c>
      <x:c r="N190" s="84" t="str">
        <x:f>IFERROR(VLOOKUP(L190,'Reference Data'!$A$5:$F$40,3,FALSE),"Unknown")</x:f>
        <x:v>Accessories</x:v>
      </x:c>
      <x:c r="O190" s="84" t="str">
        <x:f>IFERROR(VLOOKUP(L190,'Reference Data'!$A$5:$F$40,4,FALSE),"Unknown")</x:f>
        <x:v>Bags</x:v>
      </x:c>
      <x:c r="P190" s="92" t="n">
        <x:f>IFERROR(VLOOKUP(L190,'Reference Data'!$A$5:$F$40,5,FALSE),0)</x:f>
        <x:v>89</x:v>
      </x:c>
      <x:c r="Q190" s="92" t="n">
        <x:f>IFERROR(VLOOKUP(L190,'Reference Data'!$A$5:$F$40,6,FALSE),0)</x:f>
        <x:v>36</x:v>
      </x:c>
      <x:c r="R190" s="84" t="n">
        <x:f>'Raw Sales'!J190</x:f>
        <x:v>5</x:v>
      </x:c>
      <x:c r="S190" s="87" t="n">
        <x:f>'Raw Sales'!K190</x:f>
        <x:v>0</x:v>
      </x:c>
      <x:c r="T190" s="93" t="n">
        <x:f>P190*R190</x:f>
        <x:v>445</x:v>
      </x:c>
      <x:c r="U190" s="93" t="n">
        <x:f>T190*S190</x:f>
        <x:v>0</x:v>
      </x:c>
      <x:c r="V190" s="93" t="str">
        <x:f>PROPER(TRIM('Raw Sales'!L190))</x:f>
        <x:v>Completed</x:v>
      </x:c>
      <x:c r="W190" s="93" t="n">
        <x:f>IF(V190="Returned",0,T190-U190)</x:f>
        <x:v>445</x:v>
      </x:c>
      <x:c r="X190" s="93" t="n">
        <x:f>IF(V190="Returned",Q190*R190*10%,Q190*R190)</x:f>
        <x:v>180</x:v>
      </x:c>
      <x:c r="Y190" s="93" t="n">
        <x:f>W190-X190</x:f>
        <x:v>265</x:v>
      </x:c>
      <x:c r="Z190" s="94" t="n">
        <x:f>IFERROR(Y190/W190,0)</x:f>
        <x:v>0.5955056179775281</x:v>
      </x:c>
      <x:c r="AA190" s="84" t="str">
        <x:f>PROPER(TRIM('Raw Sales'!M190))</x:f>
        <x:v>Debit Card</x:v>
      </x:c>
      <x:c r="AB190" s="84" t="str">
        <x:f>PROPER(TRIM('Raw Sales'!N190))</x:f>
        <x:v>Leo Martinez</x:v>
      </x:c>
      <x:c r="AC190" s="85" t="n">
        <x:f>'Raw Sales'!O190</x:f>
        <x:v>45368</x:v>
      </x:c>
      <x:c r="AD190" s="84" t="n">
        <x:f>AC190-B190</x:f>
        <x:v>0</x:v>
      </x:c>
      <x:c r="AE190" s="84" t="str">
        <x:f>IF(COUNTIF($A$5:A190,A190)&gt;1,"Duplicate","Keep")</x:f>
        <x:v>Keep</x:v>
      </x:c>
      <x:c r="AF190" s="84" t="str">
        <x:f>IF(OR(R190&lt;=0,AC190&lt;B190,H190="Unknown",M190="Unknown Product"),"Review","Valid")</x:f>
        <x:v>Valid</x:v>
      </x:c>
      <x:c r="AG190" s="84" t="n">
        <x:f>IF(AND(AE190="Keep",AF190="Valid"),1,0)</x:f>
        <x:v>1</x:v>
      </x:c>
      <x:c r="AH190" s="84" t="n">
        <x:f>IF(AND(AG190=1,OR('Dashboard'!$B$4="All",I190='Dashboard'!$B$4),OR('Dashboard'!$E$4="All",N190='Dashboard'!$E$4),OR('Dashboard'!$H$4="All",K190='Dashboard'!$H$4),OR('Dashboard'!$K$4="All",C190='Dashboard'!$K$4)),1,0)</x:f>
        <x:v>1</x:v>
      </x:c>
      <x:c r="AI190" s="84" t="n">
        <x:f>IF(AND(AG190=1,OR('Dashboard'!$B$4="All",I190='Dashboard'!$B$4),OR('Dashboard'!$E$4="All",N190='Dashboard'!$E$4),OR('Dashboard'!$H$4="All",K190='Dashboard'!$H$4)),1,0)</x:f>
        <x:v>1</x:v>
      </x:c>
    </x:row>
    <x:row r="191">
      <x:c r="A191" s="84" t="str">
        <x:f>'Raw Sales'!A191</x:f>
        <x:v>ORD-2024-02387</x:v>
      </x:c>
      <x:c r="B191" s="85" t="n">
        <x:f>'Raw Sales'!B191</x:f>
        <x:v>45369</x:v>
      </x:c>
      <x:c r="C191" s="84" t="n">
        <x:f>YEAR(B191)</x:f>
        <x:v>2024</x:v>
      </x:c>
      <x:c r="D191" s="91" t="n">
        <x:f>DATE(YEAR(B191),MONTH(B191),1)</x:f>
        <x:v>45352</x:v>
      </x:c>
      <x:c r="E191" s="84" t="str">
        <x:f>TEXT(B191,"mmm")</x:f>
        <x:v>Mar</x:v>
      </x:c>
      <x:c r="F191" s="84" t="str">
        <x:f>'Raw Sales'!C191</x:f>
        <x:v>CUST-0486</x:v>
      </x:c>
      <x:c r="G191" s="84" t="str">
        <x:f>PROPER(TRIM('Raw Sales'!D191))</x:f>
        <x:v>Zara Evans</x:v>
      </x:c>
      <x:c r="H191" s="84" t="str">
        <x:f>IF(TRIM('Raw Sales'!E191)="","Unknown",PROPER(TRIM('Raw Sales'!E191)))</x:f>
        <x:v>Consumer</x:v>
      </x:c>
      <x:c r="I191" s="84" t="str">
        <x:f>PROPER(TRIM('Raw Sales'!F191))</x:f>
        <x:v>Southeast</x:v>
      </x:c>
      <x:c r="J191" s="84" t="str">
        <x:f>PROPER(TRIM('Raw Sales'!G191))</x:f>
        <x:v>Nashville</x:v>
      </x:c>
      <x:c r="K191" s="84" t="str">
        <x:f>PROPER(TRIM('Raw Sales'!H191))</x:f>
        <x:v>Retail Store</x:v>
      </x:c>
      <x:c r="L191" s="84" t="str">
        <x:f>'Raw Sales'!I191</x:f>
        <x:v>ELEC-004</x:v>
      </x:c>
      <x:c r="M191" s="84" t="str">
        <x:f>IFERROR(VLOOKUP(L191,'Reference Data'!$A$5:$F$40,2,FALSE),"Unknown Product")</x:f>
        <x:v>Power Bank</x:v>
      </x:c>
      <x:c r="N191" s="84" t="str">
        <x:f>IFERROR(VLOOKUP(L191,'Reference Data'!$A$5:$F$40,3,FALSE),"Unknown")</x:f>
        <x:v>Electronics</x:v>
      </x:c>
      <x:c r="O191" s="84" t="str">
        <x:f>IFERROR(VLOOKUP(L191,'Reference Data'!$A$5:$F$40,4,FALSE),"Unknown")</x:f>
        <x:v>Mobile Accessories</x:v>
      </x:c>
      <x:c r="P191" s="92" t="n">
        <x:f>IFERROR(VLOOKUP(L191,'Reference Data'!$A$5:$F$40,5,FALSE),0)</x:f>
        <x:v>39</x:v>
      </x:c>
      <x:c r="Q191" s="92" t="n">
        <x:f>IFERROR(VLOOKUP(L191,'Reference Data'!$A$5:$F$40,6,FALSE),0)</x:f>
        <x:v>18</x:v>
      </x:c>
      <x:c r="R191" s="84" t="n">
        <x:f>'Raw Sales'!J191</x:f>
        <x:v>2</x:v>
      </x:c>
      <x:c r="S191" s="87" t="n">
        <x:f>'Raw Sales'!K191</x:f>
        <x:v>0.2</x:v>
      </x:c>
      <x:c r="T191" s="93" t="n">
        <x:f>P191*R191</x:f>
        <x:v>78</x:v>
      </x:c>
      <x:c r="U191" s="93" t="n">
        <x:f>T191*S191</x:f>
        <x:v>15.600000000000001</x:v>
      </x:c>
      <x:c r="V191" s="93" t="str">
        <x:f>PROPER(TRIM('Raw Sales'!L191))</x:f>
        <x:v>Completed</x:v>
      </x:c>
      <x:c r="W191" s="93" t="n">
        <x:f>IF(V191="Returned",0,T191-U191)</x:f>
        <x:v>62.4</x:v>
      </x:c>
      <x:c r="X191" s="93" t="n">
        <x:f>IF(V191="Returned",Q191*R191*10%,Q191*R191)</x:f>
        <x:v>36</x:v>
      </x:c>
      <x:c r="Y191" s="93" t="n">
        <x:f>W191-X191</x:f>
        <x:v>26.4</x:v>
      </x:c>
      <x:c r="Z191" s="94" t="n">
        <x:f>IFERROR(Y191/W191,0)</x:f>
        <x:v>0.4230769230769231</x:v>
      </x:c>
      <x:c r="AA191" s="84" t="str">
        <x:f>PROPER(TRIM('Raw Sales'!M191))</x:f>
        <x:v>Cash</x:v>
      </x:c>
      <x:c r="AB191" s="84" t="str">
        <x:f>PROPER(TRIM('Raw Sales'!N191))</x:f>
        <x:v>Ava Mitchell</x:v>
      </x:c>
      <x:c r="AC191" s="85" t="n">
        <x:f>'Raw Sales'!O191</x:f>
        <x:v>45369</x:v>
      </x:c>
      <x:c r="AD191" s="84" t="n">
        <x:f>AC191-B191</x:f>
        <x:v>0</x:v>
      </x:c>
      <x:c r="AE191" s="84" t="str">
        <x:f>IF(COUNTIF($A$5:A191,A191)&gt;1,"Duplicate","Keep")</x:f>
        <x:v>Keep</x:v>
      </x:c>
      <x:c r="AF191" s="84" t="str">
        <x:f>IF(OR(R191&lt;=0,AC191&lt;B191,H191="Unknown",M191="Unknown Product"),"Review","Valid")</x:f>
        <x:v>Valid</x:v>
      </x:c>
      <x:c r="AG191" s="84" t="n">
        <x:f>IF(AND(AE191="Keep",AF191="Valid"),1,0)</x:f>
        <x:v>1</x:v>
      </x:c>
      <x:c r="AH191" s="84" t="n">
        <x:f>IF(AND(AG191=1,OR('Dashboard'!$B$4="All",I191='Dashboard'!$B$4),OR('Dashboard'!$E$4="All",N191='Dashboard'!$E$4),OR('Dashboard'!$H$4="All",K191='Dashboard'!$H$4),OR('Dashboard'!$K$4="All",C191='Dashboard'!$K$4)),1,0)</x:f>
        <x:v>1</x:v>
      </x:c>
      <x:c r="AI191" s="84" t="n">
        <x:f>IF(AND(AG191=1,OR('Dashboard'!$B$4="All",I191='Dashboard'!$B$4),OR('Dashboard'!$E$4="All",N191='Dashboard'!$E$4),OR('Dashboard'!$H$4="All",K191='Dashboard'!$H$4)),1,0)</x:f>
        <x:v>1</x:v>
      </x:c>
    </x:row>
    <x:row r="192">
      <x:c r="A192" s="84" t="str">
        <x:f>'Raw Sales'!A192</x:f>
        <x:v>ORD-2024-00594</x:v>
      </x:c>
      <x:c r="B192" s="85" t="n">
        <x:f>'Raw Sales'!B192</x:f>
        <x:v>45370</x:v>
      </x:c>
      <x:c r="C192" s="84" t="n">
        <x:f>YEAR(B192)</x:f>
        <x:v>2024</x:v>
      </x:c>
      <x:c r="D192" s="91" t="n">
        <x:f>DATE(YEAR(B192),MONTH(B192),1)</x:f>
        <x:v>45352</x:v>
      </x:c>
      <x:c r="E192" s="84" t="str">
        <x:f>TEXT(B192,"mmm")</x:f>
        <x:v>Mar</x:v>
      </x:c>
      <x:c r="F192" s="84" t="str">
        <x:f>'Raw Sales'!C192</x:f>
        <x:v>CUST-0224</x:v>
      </x:c>
      <x:c r="G192" s="84" t="str">
        <x:f>PROPER(TRIM('Raw Sales'!D192))</x:f>
        <x:v>Jonah Nelson</x:v>
      </x:c>
      <x:c r="H192" s="84" t="str">
        <x:f>IF(TRIM('Raw Sales'!E192)="","Unknown",PROPER(TRIM('Raw Sales'!E192)))</x:f>
        <x:v>Consumer</x:v>
      </x:c>
      <x:c r="I192" s="84" t="str">
        <x:f>PROPER(TRIM('Raw Sales'!F192))</x:f>
        <x:v>Southeast</x:v>
      </x:c>
      <x:c r="J192" s="84" t="str">
        <x:f>PROPER(TRIM('Raw Sales'!G192))</x:f>
        <x:v>Miami</x:v>
      </x:c>
      <x:c r="K192" s="84" t="str">
        <x:f>PROPER(TRIM('Raw Sales'!H192))</x:f>
        <x:v>Online</x:v>
      </x:c>
      <x:c r="L192" s="84" t="str">
        <x:f>'Raw Sales'!I192</x:f>
        <x:v>ELEC-006</x:v>
      </x:c>
      <x:c r="M192" s="84" t="str">
        <x:f>IFERROR(VLOOKUP(L192,'Reference Data'!$A$5:$F$40,2,FALSE),"Unknown Product")</x:f>
        <x:v>Portable SSD</x:v>
      </x:c>
      <x:c r="N192" s="84" t="str">
        <x:f>IFERROR(VLOOKUP(L192,'Reference Data'!$A$5:$F$40,3,FALSE),"Unknown")</x:f>
        <x:v>Electronics</x:v>
      </x:c>
      <x:c r="O192" s="84" t="str">
        <x:f>IFERROR(VLOOKUP(L192,'Reference Data'!$A$5:$F$40,4,FALSE),"Unknown")</x:f>
        <x:v>Storage</x:v>
      </x:c>
      <x:c r="P192" s="92" t="n">
        <x:f>IFERROR(VLOOKUP(L192,'Reference Data'!$A$5:$F$40,5,FALSE),0)</x:f>
        <x:v>129</x:v>
      </x:c>
      <x:c r="Q192" s="92" t="n">
        <x:f>IFERROR(VLOOKUP(L192,'Reference Data'!$A$5:$F$40,6,FALSE),0)</x:f>
        <x:v>75</x:v>
      </x:c>
      <x:c r="R192" s="84" t="n">
        <x:f>'Raw Sales'!J192</x:f>
        <x:v>2</x:v>
      </x:c>
      <x:c r="S192" s="87" t="n">
        <x:f>'Raw Sales'!K192</x:f>
        <x:v>0.1</x:v>
      </x:c>
      <x:c r="T192" s="93" t="n">
        <x:f>P192*R192</x:f>
        <x:v>258</x:v>
      </x:c>
      <x:c r="U192" s="93" t="n">
        <x:f>T192*S192</x:f>
        <x:v>25.8</x:v>
      </x:c>
      <x:c r="V192" s="93" t="str">
        <x:f>PROPER(TRIM('Raw Sales'!L192))</x:f>
        <x:v>Completed</x:v>
      </x:c>
      <x:c r="W192" s="93" t="n">
        <x:f>IF(V192="Returned",0,T192-U192)</x:f>
        <x:v>232.2</x:v>
      </x:c>
      <x:c r="X192" s="93" t="n">
        <x:f>IF(V192="Returned",Q192*R192*10%,Q192*R192)</x:f>
        <x:v>150</x:v>
      </x:c>
      <x:c r="Y192" s="93" t="n">
        <x:f>W192-X192</x:f>
        <x:v>82.19999999999999</x:v>
      </x:c>
      <x:c r="Z192" s="94" t="n">
        <x:f>IFERROR(Y192/W192,0)</x:f>
        <x:v>0.3540051679586563</x:v>
      </x:c>
      <x:c r="AA192" s="84" t="str">
        <x:f>PROPER(TRIM('Raw Sales'!M192))</x:f>
        <x:v>Mobile Wallet</x:v>
      </x:c>
      <x:c r="AB192" s="84" t="str">
        <x:f>PROPER(TRIM('Raw Sales'!N192))</x:f>
        <x:v>Ava Mitchell</x:v>
      </x:c>
      <x:c r="AC192" s="85" t="n">
        <x:f>'Raw Sales'!O192</x:f>
        <x:v>45374</x:v>
      </x:c>
      <x:c r="AD192" s="84" t="n">
        <x:f>AC192-B192</x:f>
        <x:v>4</x:v>
      </x:c>
      <x:c r="AE192" s="84" t="str">
        <x:f>IF(COUNTIF($A$5:A192,A192)&gt;1,"Duplicate","Keep")</x:f>
        <x:v>Keep</x:v>
      </x:c>
      <x:c r="AF192" s="84" t="str">
        <x:f>IF(OR(R192&lt;=0,AC192&lt;B192,H192="Unknown",M192="Unknown Product"),"Review","Valid")</x:f>
        <x:v>Valid</x:v>
      </x:c>
      <x:c r="AG192" s="84" t="n">
        <x:f>IF(AND(AE192="Keep",AF192="Valid"),1,0)</x:f>
        <x:v>1</x:v>
      </x:c>
      <x:c r="AH192" s="84" t="n">
        <x:f>IF(AND(AG192=1,OR('Dashboard'!$B$4="All",I192='Dashboard'!$B$4),OR('Dashboard'!$E$4="All",N192='Dashboard'!$E$4),OR('Dashboard'!$H$4="All",K192='Dashboard'!$H$4),OR('Dashboard'!$K$4="All",C192='Dashboard'!$K$4)),1,0)</x:f>
        <x:v>1</x:v>
      </x:c>
      <x:c r="AI192" s="84" t="n">
        <x:f>IF(AND(AG192=1,OR('Dashboard'!$B$4="All",I192='Dashboard'!$B$4),OR('Dashboard'!$E$4="All",N192='Dashboard'!$E$4),OR('Dashboard'!$H$4="All",K192='Dashboard'!$H$4)),1,0)</x:f>
        <x:v>1</x:v>
      </x:c>
    </x:row>
    <x:row r="193">
      <x:c r="A193" s="84" t="str">
        <x:f>'Raw Sales'!A193</x:f>
        <x:v>ORD-2024-00902</x:v>
      </x:c>
      <x:c r="B193" s="85" t="n">
        <x:f>'Raw Sales'!B193</x:f>
        <x:v>45370</x:v>
      </x:c>
      <x:c r="C193" s="84" t="n">
        <x:f>YEAR(B193)</x:f>
        <x:v>2024</x:v>
      </x:c>
      <x:c r="D193" s="91" t="n">
        <x:f>DATE(YEAR(B193),MONTH(B193),1)</x:f>
        <x:v>45352</x:v>
      </x:c>
      <x:c r="E193" s="84" t="str">
        <x:f>TEXT(B193,"mmm")</x:f>
        <x:v>Mar</x:v>
      </x:c>
      <x:c r="F193" s="84" t="str">
        <x:f>'Raw Sales'!C193</x:f>
        <x:v>CUST-0570</x:v>
      </x:c>
      <x:c r="G193" s="84" t="str">
        <x:f>PROPER(TRIM('Raw Sales'!D193))</x:f>
        <x:v>Daniel Patel</x:v>
      </x:c>
      <x:c r="H193" s="84" t="str">
        <x:f>IF(TRIM('Raw Sales'!E193)="","Unknown",PROPER(TRIM('Raw Sales'!E193)))</x:f>
        <x:v>Consumer</x:v>
      </x:c>
      <x:c r="I193" s="84" t="str">
        <x:f>PROPER(TRIM('Raw Sales'!F193))</x:f>
        <x:v>Southeast</x:v>
      </x:c>
      <x:c r="J193" s="84" t="str">
        <x:f>PROPER(TRIM('Raw Sales'!G193))</x:f>
        <x:v>Charlotte</x:v>
      </x:c>
      <x:c r="K193" s="84" t="str">
        <x:f>PROPER(TRIM('Raw Sales'!H193))</x:f>
        <x:v>Marketplace</x:v>
      </x:c>
      <x:c r="L193" s="84" t="str">
        <x:f>'Raw Sales'!I193</x:f>
        <x:v>HOME-003</x:v>
      </x:c>
      <x:c r="M193" s="84" t="str">
        <x:f>IFERROR(VLOOKUP(L193,'Reference Data'!$A$5:$F$40,2,FALSE),"Unknown Product")</x:f>
        <x:v>Countertop Blender</x:v>
      </x:c>
      <x:c r="N193" s="84" t="str">
        <x:f>IFERROR(VLOOKUP(L193,'Reference Data'!$A$5:$F$40,3,FALSE),"Unknown")</x:f>
        <x:v>Home &amp; Kitchen</x:v>
      </x:c>
      <x:c r="O193" s="84" t="str">
        <x:f>IFERROR(VLOOKUP(L193,'Reference Data'!$A$5:$F$40,4,FALSE),"Unknown")</x:f>
        <x:v>Small Appliances</x:v>
      </x:c>
      <x:c r="P193" s="92" t="n">
        <x:f>IFERROR(VLOOKUP(L193,'Reference Data'!$A$5:$F$40,5,FALSE),0)</x:f>
        <x:v>89</x:v>
      </x:c>
      <x:c r="Q193" s="92" t="n">
        <x:f>IFERROR(VLOOKUP(L193,'Reference Data'!$A$5:$F$40,6,FALSE),0)</x:f>
        <x:v>46</x:v>
      </x:c>
      <x:c r="R193" s="84" t="n">
        <x:f>'Raw Sales'!J193</x:f>
        <x:v>2</x:v>
      </x:c>
      <x:c r="S193" s="87" t="n">
        <x:f>'Raw Sales'!K193</x:f>
        <x:v>0.05</x:v>
      </x:c>
      <x:c r="T193" s="93" t="n">
        <x:f>P193*R193</x:f>
        <x:v>178</x:v>
      </x:c>
      <x:c r="U193" s="93" t="n">
        <x:f>T193*S193</x:f>
        <x:v>8.9</x:v>
      </x:c>
      <x:c r="V193" s="93" t="str">
        <x:f>PROPER(TRIM('Raw Sales'!L193))</x:f>
        <x:v>Completed</x:v>
      </x:c>
      <x:c r="W193" s="93" t="n">
        <x:f>IF(V193="Returned",0,T193-U193)</x:f>
        <x:v>169.1</x:v>
      </x:c>
      <x:c r="X193" s="93" t="n">
        <x:f>IF(V193="Returned",Q193*R193*10%,Q193*R193)</x:f>
        <x:v>92</x:v>
      </x:c>
      <x:c r="Y193" s="93" t="n">
        <x:f>W193-X193</x:f>
        <x:v>77.1</x:v>
      </x:c>
      <x:c r="Z193" s="94" t="n">
        <x:f>IFERROR(Y193/W193,0)</x:f>
        <x:v>0.4559432288586635</x:v>
      </x:c>
      <x:c r="AA193" s="84" t="str">
        <x:f>PROPER(TRIM('Raw Sales'!M193))</x:f>
        <x:v>Paypal</x:v>
      </x:c>
      <x:c r="AB193" s="84" t="str">
        <x:f>PROPER(TRIM('Raw Sales'!N193))</x:f>
        <x:v>Liam Parker</x:v>
      </x:c>
      <x:c r="AC193" s="85" t="n">
        <x:f>'Raw Sales'!O193</x:f>
        <x:v>45376</x:v>
      </x:c>
      <x:c r="AD193" s="84" t="n">
        <x:f>AC193-B193</x:f>
        <x:v>6</x:v>
      </x:c>
      <x:c r="AE193" s="84" t="str">
        <x:f>IF(COUNTIF($A$5:A193,A193)&gt;1,"Duplicate","Keep")</x:f>
        <x:v>Keep</x:v>
      </x:c>
      <x:c r="AF193" s="84" t="str">
        <x:f>IF(OR(R193&lt;=0,AC193&lt;B193,H193="Unknown",M193="Unknown Product"),"Review","Valid")</x:f>
        <x:v>Valid</x:v>
      </x:c>
      <x:c r="AG193" s="84" t="n">
        <x:f>IF(AND(AE193="Keep",AF193="Valid"),1,0)</x:f>
        <x:v>1</x:v>
      </x:c>
      <x:c r="AH193" s="84" t="n">
        <x:f>IF(AND(AG193=1,OR('Dashboard'!$B$4="All",I193='Dashboard'!$B$4),OR('Dashboard'!$E$4="All",N193='Dashboard'!$E$4),OR('Dashboard'!$H$4="All",K193='Dashboard'!$H$4),OR('Dashboard'!$K$4="All",C193='Dashboard'!$K$4)),1,0)</x:f>
        <x:v>1</x:v>
      </x:c>
      <x:c r="AI193" s="84" t="n">
        <x:f>IF(AND(AG193=1,OR('Dashboard'!$B$4="All",I193='Dashboard'!$B$4),OR('Dashboard'!$E$4="All",N193='Dashboard'!$E$4),OR('Dashboard'!$H$4="All",K193='Dashboard'!$H$4)),1,0)</x:f>
        <x:v>1</x:v>
      </x:c>
    </x:row>
    <x:row r="194">
      <x:c r="A194" s="84" t="str">
        <x:f>'Raw Sales'!A194</x:f>
        <x:v>ORD-2024-00941</x:v>
      </x:c>
      <x:c r="B194" s="85" t="n">
        <x:f>'Raw Sales'!B194</x:f>
        <x:v>45370</x:v>
      </x:c>
      <x:c r="C194" s="84" t="n">
        <x:f>YEAR(B194)</x:f>
        <x:v>2024</x:v>
      </x:c>
      <x:c r="D194" s="91" t="n">
        <x:f>DATE(YEAR(B194),MONTH(B194),1)</x:f>
        <x:v>45352</x:v>
      </x:c>
      <x:c r="E194" s="84" t="str">
        <x:f>TEXT(B194,"mmm")</x:f>
        <x:v>Mar</x:v>
      </x:c>
      <x:c r="F194" s="84" t="str">
        <x:f>'Raw Sales'!C194</x:f>
        <x:v>CUST-0006</x:v>
      </x:c>
      <x:c r="G194" s="84" t="str">
        <x:f>PROPER(TRIM('Raw Sales'!D194))</x:f>
        <x:v>Chloe Adams</x:v>
      </x:c>
      <x:c r="H194" s="84" t="str">
        <x:f>IF(TRIM('Raw Sales'!E194)="","Unknown",PROPER(TRIM('Raw Sales'!E194)))</x:f>
        <x:v>Consumer</x:v>
      </x:c>
      <x:c r="I194" s="84" t="str">
        <x:f>PROPER(TRIM('Raw Sales'!F194))</x:f>
        <x:v>Midwest</x:v>
      </x:c>
      <x:c r="J194" s="84" t="str">
        <x:f>PROPER(TRIM('Raw Sales'!G194))</x:f>
        <x:v>Columbus</x:v>
      </x:c>
      <x:c r="K194" s="84" t="str">
        <x:f>PROPER(TRIM('Raw Sales'!H194))</x:f>
        <x:v>Online</x:v>
      </x:c>
      <x:c r="L194" s="84" t="str">
        <x:f>'Raw Sales'!I194</x:f>
        <x:v>FITN-003</x:v>
      </x:c>
      <x:c r="M194" s="84" t="str">
        <x:f>IFERROR(VLOOKUP(L194,'Reference Data'!$A$5:$F$40,2,FALSE),"Unknown Product")</x:f>
        <x:v>Resistance Band Set</x:v>
      </x:c>
      <x:c r="N194" s="84" t="str">
        <x:f>IFERROR(VLOOKUP(L194,'Reference Data'!$A$5:$F$40,3,FALSE),"Unknown")</x:f>
        <x:v>Fitness</x:v>
      </x:c>
      <x:c r="O194" s="84" t="str">
        <x:f>IFERROR(VLOOKUP(L194,'Reference Data'!$A$5:$F$40,4,FALSE),"Unknown")</x:f>
        <x:v>Strength</x:v>
      </x:c>
      <x:c r="P194" s="92" t="n">
        <x:f>IFERROR(VLOOKUP(L194,'Reference Data'!$A$5:$F$40,5,FALSE),0)</x:f>
        <x:v>24</x:v>
      </x:c>
      <x:c r="Q194" s="92" t="n">
        <x:f>IFERROR(VLOOKUP(L194,'Reference Data'!$A$5:$F$40,6,FALSE),0)</x:f>
        <x:v>8</x:v>
      </x:c>
      <x:c r="R194" s="84" t="n">
        <x:f>'Raw Sales'!J194</x:f>
        <x:v>1</x:v>
      </x:c>
      <x:c r="S194" s="87" t="n">
        <x:f>'Raw Sales'!K194</x:f>
        <x:v>0.15</x:v>
      </x:c>
      <x:c r="T194" s="93" t="n">
        <x:f>P194*R194</x:f>
        <x:v>24</x:v>
      </x:c>
      <x:c r="U194" s="93" t="n">
        <x:f>T194*S194</x:f>
        <x:v>3.5999999999999996</x:v>
      </x:c>
      <x:c r="V194" s="93" t="str">
        <x:f>PROPER(TRIM('Raw Sales'!L194))</x:f>
        <x:v>Completed</x:v>
      </x:c>
      <x:c r="W194" s="93" t="n">
        <x:f>IF(V194="Returned",0,T194-U194)</x:f>
        <x:v>20.4</x:v>
      </x:c>
      <x:c r="X194" s="93" t="n">
        <x:f>IF(V194="Returned",Q194*R194*10%,Q194*R194)</x:f>
        <x:v>8</x:v>
      </x:c>
      <x:c r="Y194" s="93" t="n">
        <x:f>W194-X194</x:f>
        <x:v>12.399999999999999</x:v>
      </x:c>
      <x:c r="Z194" s="94" t="n">
        <x:f>IFERROR(Y194/W194,0)</x:f>
        <x:v>0.6078431372549019</x:v>
      </x:c>
      <x:c r="AA194" s="84" t="str">
        <x:f>PROPER(TRIM('Raw Sales'!M194))</x:f>
        <x:v>Debit Card</x:v>
      </x:c>
      <x:c r="AB194" s="84" t="str">
        <x:f>PROPER(TRIM('Raw Sales'!N194))</x:f>
        <x:v>Zoe Turner</x:v>
      </x:c>
      <x:c r="AC194" s="85" t="n">
        <x:f>'Raw Sales'!O194</x:f>
        <x:v>45374</x:v>
      </x:c>
      <x:c r="AD194" s="84" t="n">
        <x:f>AC194-B194</x:f>
        <x:v>4</x:v>
      </x:c>
      <x:c r="AE194" s="84" t="str">
        <x:f>IF(COUNTIF($A$5:A194,A194)&gt;1,"Duplicate","Keep")</x:f>
        <x:v>Keep</x:v>
      </x:c>
      <x:c r="AF194" s="84" t="str">
        <x:f>IF(OR(R194&lt;=0,AC194&lt;B194,H194="Unknown",M194="Unknown Product"),"Review","Valid")</x:f>
        <x:v>Valid</x:v>
      </x:c>
      <x:c r="AG194" s="84" t="n">
        <x:f>IF(AND(AE194="Keep",AF194="Valid"),1,0)</x:f>
        <x:v>1</x:v>
      </x:c>
      <x:c r="AH194" s="84" t="n">
        <x:f>IF(AND(AG194=1,OR('Dashboard'!$B$4="All",I194='Dashboard'!$B$4),OR('Dashboard'!$E$4="All",N194='Dashboard'!$E$4),OR('Dashboard'!$H$4="All",K194='Dashboard'!$H$4),OR('Dashboard'!$K$4="All",C194='Dashboard'!$K$4)),1,0)</x:f>
        <x:v>1</x:v>
      </x:c>
      <x:c r="AI194" s="84" t="n">
        <x:f>IF(AND(AG194=1,OR('Dashboard'!$B$4="All",I194='Dashboard'!$B$4),OR('Dashboard'!$E$4="All",N194='Dashboard'!$E$4),OR('Dashboard'!$H$4="All",K194='Dashboard'!$H$4)),1,0)</x:f>
        <x:v>1</x:v>
      </x:c>
    </x:row>
    <x:row r="195">
      <x:c r="A195" s="84" t="str">
        <x:f>'Raw Sales'!A195</x:f>
        <x:v>ORD-2024-01435</x:v>
      </x:c>
      <x:c r="B195" s="85" t="n">
        <x:f>'Raw Sales'!B195</x:f>
        <x:v>45370</x:v>
      </x:c>
      <x:c r="C195" s="84" t="n">
        <x:f>YEAR(B195)</x:f>
        <x:v>2024</x:v>
      </x:c>
      <x:c r="D195" s="91" t="n">
        <x:f>DATE(YEAR(B195),MONTH(B195),1)</x:f>
        <x:v>45352</x:v>
      </x:c>
      <x:c r="E195" s="84" t="str">
        <x:f>TEXT(B195,"mmm")</x:f>
        <x:v>Mar</x:v>
      </x:c>
      <x:c r="F195" s="84" t="str">
        <x:f>'Raw Sales'!C195</x:f>
        <x:v>CUST-0451</x:v>
      </x:c>
      <x:c r="G195" s="84" t="str">
        <x:f>PROPER(TRIM('Raw Sales'!D195))</x:f>
        <x:v>Theo Roberts</x:v>
      </x:c>
      <x:c r="H195" s="84" t="str">
        <x:f>IF(TRIM('Raw Sales'!E195)="","Unknown",PROPER(TRIM('Raw Sales'!E195)))</x:f>
        <x:v>Small Business</x:v>
      </x:c>
      <x:c r="I195" s="84" t="str">
        <x:f>PROPER(TRIM('Raw Sales'!F195))</x:f>
        <x:v>West</x:v>
      </x:c>
      <x:c r="J195" s="84" t="str">
        <x:f>PROPER(TRIM('Raw Sales'!G195))</x:f>
        <x:v>Phoenix</x:v>
      </x:c>
      <x:c r="K195" s="84" t="str">
        <x:f>PROPER(TRIM('Raw Sales'!H195))</x:f>
        <x:v>Marketplace</x:v>
      </x:c>
      <x:c r="L195" s="84" t="str">
        <x:f>'Raw Sales'!I195</x:f>
        <x:v>ELEC-005</x:v>
      </x:c>
      <x:c r="M195" s="84" t="str">
        <x:f>IFERROR(VLOOKUP(L195,'Reference Data'!$A$5:$F$40,2,FALSE),"Unknown Product")</x:f>
        <x:v>HD Webcam</x:v>
      </x:c>
      <x:c r="N195" s="84" t="str">
        <x:f>IFERROR(VLOOKUP(L195,'Reference Data'!$A$5:$F$40,3,FALSE),"Unknown")</x:f>
        <x:v>Electronics</x:v>
      </x:c>
      <x:c r="O195" s="84" t="str">
        <x:f>IFERROR(VLOOKUP(L195,'Reference Data'!$A$5:$F$40,4,FALSE),"Unknown")</x:f>
        <x:v>Computer Accessories</x:v>
      </x:c>
      <x:c r="P195" s="92" t="n">
        <x:f>IFERROR(VLOOKUP(L195,'Reference Data'!$A$5:$F$40,5,FALSE),0)</x:f>
        <x:v>79</x:v>
      </x:c>
      <x:c r="Q195" s="92" t="n">
        <x:f>IFERROR(VLOOKUP(L195,'Reference Data'!$A$5:$F$40,6,FALSE),0)</x:f>
        <x:v>37</x:v>
      </x:c>
      <x:c r="R195" s="84" t="n">
        <x:f>'Raw Sales'!J195</x:f>
        <x:v>1</x:v>
      </x:c>
      <x:c r="S195" s="87" t="n">
        <x:f>'Raw Sales'!K195</x:f>
        <x:v>0.2</x:v>
      </x:c>
      <x:c r="T195" s="93" t="n">
        <x:f>P195*R195</x:f>
        <x:v>79</x:v>
      </x:c>
      <x:c r="U195" s="93" t="n">
        <x:f>T195*S195</x:f>
        <x:v>15.8</x:v>
      </x:c>
      <x:c r="V195" s="93" t="str">
        <x:f>PROPER(TRIM('Raw Sales'!L195))</x:f>
        <x:v>Completed</x:v>
      </x:c>
      <x:c r="W195" s="93" t="n">
        <x:f>IF(V195="Returned",0,T195-U195)</x:f>
        <x:v>63.2</x:v>
      </x:c>
      <x:c r="X195" s="93" t="n">
        <x:f>IF(V195="Returned",Q195*R195*10%,Q195*R195)</x:f>
        <x:v>37</x:v>
      </x:c>
      <x:c r="Y195" s="93" t="n">
        <x:f>W195-X195</x:f>
        <x:v>26.200000000000003</x:v>
      </x:c>
      <x:c r="Z195" s="94" t="n">
        <x:f>IFERROR(Y195/W195,0)</x:f>
        <x:v>0.4145569620253165</x:v>
      </x:c>
      <x:c r="AA195" s="84" t="str">
        <x:f>PROPER(TRIM('Raw Sales'!M195))</x:f>
        <x:v>Credit Card</x:v>
      </x:c>
      <x:c r="AB195" s="84" t="str">
        <x:f>PROPER(TRIM('Raw Sales'!N195))</x:f>
        <x:v>Leo Martinez</x:v>
      </x:c>
      <x:c r="AC195" s="85" t="n">
        <x:f>'Raw Sales'!O195</x:f>
        <x:v>45376</x:v>
      </x:c>
      <x:c r="AD195" s="84" t="n">
        <x:f>AC195-B195</x:f>
        <x:v>6</x:v>
      </x:c>
      <x:c r="AE195" s="84" t="str">
        <x:f>IF(COUNTIF($A$5:A195,A195)&gt;1,"Duplicate","Keep")</x:f>
        <x:v>Keep</x:v>
      </x:c>
      <x:c r="AF195" s="84" t="str">
        <x:f>IF(OR(R195&lt;=0,AC195&lt;B195,H195="Unknown",M195="Unknown Product"),"Review","Valid")</x:f>
        <x:v>Valid</x:v>
      </x:c>
      <x:c r="AG195" s="84" t="n">
        <x:f>IF(AND(AE195="Keep",AF195="Valid"),1,0)</x:f>
        <x:v>1</x:v>
      </x:c>
      <x:c r="AH195" s="84" t="n">
        <x:f>IF(AND(AG195=1,OR('Dashboard'!$B$4="All",I195='Dashboard'!$B$4),OR('Dashboard'!$E$4="All",N195='Dashboard'!$E$4),OR('Dashboard'!$H$4="All",K195='Dashboard'!$H$4),OR('Dashboard'!$K$4="All",C195='Dashboard'!$K$4)),1,0)</x:f>
        <x:v>1</x:v>
      </x:c>
      <x:c r="AI195" s="84" t="n">
        <x:f>IF(AND(AG195=1,OR('Dashboard'!$B$4="All",I195='Dashboard'!$B$4),OR('Dashboard'!$E$4="All",N195='Dashboard'!$E$4),OR('Dashboard'!$H$4="All",K195='Dashboard'!$H$4)),1,0)</x:f>
        <x:v>1</x:v>
      </x:c>
    </x:row>
    <x:row r="196">
      <x:c r="A196" s="84" t="str">
        <x:f>'Raw Sales'!A196</x:f>
        <x:v>ORD-2024-02313</x:v>
      </x:c>
      <x:c r="B196" s="85" t="n">
        <x:f>'Raw Sales'!B196</x:f>
        <x:v>45370</x:v>
      </x:c>
      <x:c r="C196" s="84" t="n">
        <x:f>YEAR(B196)</x:f>
        <x:v>2024</x:v>
      </x:c>
      <x:c r="D196" s="91" t="n">
        <x:f>DATE(YEAR(B196),MONTH(B196),1)</x:f>
        <x:v>45352</x:v>
      </x:c>
      <x:c r="E196" s="84" t="str">
        <x:f>TEXT(B196,"mmm")</x:f>
        <x:v>Mar</x:v>
      </x:c>
      <x:c r="F196" s="84" t="str">
        <x:f>'Raw Sales'!C196</x:f>
        <x:v>CUST-0295</x:v>
      </x:c>
      <x:c r="G196" s="84" t="str">
        <x:f>PROPER(TRIM('Raw Sales'!D196))</x:f>
        <x:v>Nina Garcia</x:v>
      </x:c>
      <x:c r="H196" s="84" t="str">
        <x:f>IF(TRIM('Raw Sales'!E196)="","Unknown",PROPER(TRIM('Raw Sales'!E196)))</x:f>
        <x:v>Consumer</x:v>
      </x:c>
      <x:c r="I196" s="84" t="str">
        <x:f>PROPER(TRIM('Raw Sales'!F196))</x:f>
        <x:v>Northeast</x:v>
      </x:c>
      <x:c r="J196" s="84" t="str">
        <x:f>PROPER(TRIM('Raw Sales'!G196))</x:f>
        <x:v>Boston</x:v>
      </x:c>
      <x:c r="K196" s="84" t="str">
        <x:f>PROPER(TRIM('Raw Sales'!H196))</x:f>
        <x:v>Online</x:v>
      </x:c>
      <x:c r="L196" s="84" t="str">
        <x:f>'Raw Sales'!I196</x:f>
        <x:v>HOME-006</x:v>
      </x:c>
      <x:c r="M196" s="84" t="str">
        <x:f>IFERROR(VLOOKUP(L196,'Reference Data'!$A$5:$F$40,2,FALSE),"Unknown Product")</x:f>
        <x:v>Food Storage Set</x:v>
      </x:c>
      <x:c r="N196" s="84" t="str">
        <x:f>IFERROR(VLOOKUP(L196,'Reference Data'!$A$5:$F$40,3,FALSE),"Unknown")</x:f>
        <x:v>Home &amp; Kitchen</x:v>
      </x:c>
      <x:c r="O196" s="84" t="str">
        <x:f>IFERROR(VLOOKUP(L196,'Reference Data'!$A$5:$F$40,4,FALSE),"Unknown")</x:f>
        <x:v>Kitchenware</x:v>
      </x:c>
      <x:c r="P196" s="92" t="n">
        <x:f>IFERROR(VLOOKUP(L196,'Reference Data'!$A$5:$F$40,5,FALSE),0)</x:f>
        <x:v>34</x:v>
      </x:c>
      <x:c r="Q196" s="92" t="n">
        <x:f>IFERROR(VLOOKUP(L196,'Reference Data'!$A$5:$F$40,6,FALSE),0)</x:f>
        <x:v>15</x:v>
      </x:c>
      <x:c r="R196" s="84" t="n">
        <x:f>'Raw Sales'!J196</x:f>
        <x:v>2</x:v>
      </x:c>
      <x:c r="S196" s="87" t="n">
        <x:f>'Raw Sales'!K196</x:f>
        <x:v>0.1</x:v>
      </x:c>
      <x:c r="T196" s="93" t="n">
        <x:f>P196*R196</x:f>
        <x:v>68</x:v>
      </x:c>
      <x:c r="U196" s="93" t="n">
        <x:f>T196*S196</x:f>
        <x:v>6.800000000000001</x:v>
      </x:c>
      <x:c r="V196" s="93" t="str">
        <x:f>PROPER(TRIM('Raw Sales'!L196))</x:f>
        <x:v>Returned</x:v>
      </x:c>
      <x:c r="W196" s="93" t="n">
        <x:f>IF(V196="Returned",0,T196-U196)</x:f>
        <x:v>0</x:v>
      </x:c>
      <x:c r="X196" s="93" t="n">
        <x:f>IF(V196="Returned",Q196*R196*10%,Q196*R196)</x:f>
        <x:v>3</x:v>
      </x:c>
      <x:c r="Y196" s="93" t="n">
        <x:f>W196-X196</x:f>
        <x:v>-3</x:v>
      </x:c>
      <x:c r="Z196" s="94" t="n">
        <x:f>IFERROR(Y196/W196,0)</x:f>
        <x:v>0</x:v>
      </x:c>
      <x:c r="AA196" s="84" t="str">
        <x:f>PROPER(TRIM('Raw Sales'!M196))</x:f>
        <x:v>Credit Card</x:v>
      </x:c>
      <x:c r="AB196" s="84" t="str">
        <x:f>PROPER(TRIM('Raw Sales'!N196))</x:f>
        <x:v>Maya Brooks</x:v>
      </x:c>
      <x:c r="AC196" s="85" t="n">
        <x:f>'Raw Sales'!O196</x:f>
        <x:v>45376</x:v>
      </x:c>
      <x:c r="AD196" s="84" t="n">
        <x:f>AC196-B196</x:f>
        <x:v>6</x:v>
      </x:c>
      <x:c r="AE196" s="84" t="str">
        <x:f>IF(COUNTIF($A$5:A196,A196)&gt;1,"Duplicate","Keep")</x:f>
        <x:v>Keep</x:v>
      </x:c>
      <x:c r="AF196" s="84" t="str">
        <x:f>IF(OR(R196&lt;=0,AC196&lt;B196,H196="Unknown",M196="Unknown Product"),"Review","Valid")</x:f>
        <x:v>Valid</x:v>
      </x:c>
      <x:c r="AG196" s="84" t="n">
        <x:f>IF(AND(AE196="Keep",AF196="Valid"),1,0)</x:f>
        <x:v>1</x:v>
      </x:c>
      <x:c r="AH196" s="84" t="n">
        <x:f>IF(AND(AG196=1,OR('Dashboard'!$B$4="All",I196='Dashboard'!$B$4),OR('Dashboard'!$E$4="All",N196='Dashboard'!$E$4),OR('Dashboard'!$H$4="All",K196='Dashboard'!$H$4),OR('Dashboard'!$K$4="All",C196='Dashboard'!$K$4)),1,0)</x:f>
        <x:v>1</x:v>
      </x:c>
      <x:c r="AI196" s="84" t="n">
        <x:f>IF(AND(AG196=1,OR('Dashboard'!$B$4="All",I196='Dashboard'!$B$4),OR('Dashboard'!$E$4="All",N196='Dashboard'!$E$4),OR('Dashboard'!$H$4="All",K196='Dashboard'!$H$4)),1,0)</x:f>
        <x:v>1</x:v>
      </x:c>
    </x:row>
    <x:row r="197">
      <x:c r="A197" s="84" t="str">
        <x:f>'Raw Sales'!A197</x:f>
        <x:v>ORD-2024-00513</x:v>
      </x:c>
      <x:c r="B197" s="85" t="n">
        <x:f>'Raw Sales'!B197</x:f>
        <x:v>45371</x:v>
      </x:c>
      <x:c r="C197" s="84" t="n">
        <x:f>YEAR(B197)</x:f>
        <x:v>2024</x:v>
      </x:c>
      <x:c r="D197" s="91" t="n">
        <x:f>DATE(YEAR(B197),MONTH(B197),1)</x:f>
        <x:v>45352</x:v>
      </x:c>
      <x:c r="E197" s="84" t="str">
        <x:f>TEXT(B197,"mmm")</x:f>
        <x:v>Mar</x:v>
      </x:c>
      <x:c r="F197" s="84" t="str">
        <x:f>'Raw Sales'!C197</x:f>
        <x:v>CUST-0252</x:v>
      </x:c>
      <x:c r="G197" s="84" t="str">
        <x:f>PROPER(TRIM('Raw Sales'!D197))</x:f>
        <x:v>Theo Carter</x:v>
      </x:c>
      <x:c r="H197" s="84" t="str">
        <x:f>IF(TRIM('Raw Sales'!E197)="","Unknown",PROPER(TRIM('Raw Sales'!E197)))</x:f>
        <x:v>Consumer</x:v>
      </x:c>
      <x:c r="I197" s="84" t="str">
        <x:f>PROPER(TRIM('Raw Sales'!F197))</x:f>
        <x:v>Midwest</x:v>
      </x:c>
      <x:c r="J197" s="84" t="str">
        <x:f>PROPER(TRIM('Raw Sales'!G197))</x:f>
        <x:v>Columbus</x:v>
      </x:c>
      <x:c r="K197" s="84" t="str">
        <x:f>PROPER(TRIM('Raw Sales'!H197))</x:f>
        <x:v>Online</x:v>
      </x:c>
      <x:c r="L197" s="84" t="str">
        <x:f>'Raw Sales'!I197</x:f>
        <x:v>FITN-003</x:v>
      </x:c>
      <x:c r="M197" s="84" t="str">
        <x:f>IFERROR(VLOOKUP(L197,'Reference Data'!$A$5:$F$40,2,FALSE),"Unknown Product")</x:f>
        <x:v>Resistance Band Set</x:v>
      </x:c>
      <x:c r="N197" s="84" t="str">
        <x:f>IFERROR(VLOOKUP(L197,'Reference Data'!$A$5:$F$40,3,FALSE),"Unknown")</x:f>
        <x:v>Fitness</x:v>
      </x:c>
      <x:c r="O197" s="84" t="str">
        <x:f>IFERROR(VLOOKUP(L197,'Reference Data'!$A$5:$F$40,4,FALSE),"Unknown")</x:f>
        <x:v>Strength</x:v>
      </x:c>
      <x:c r="P197" s="92" t="n">
        <x:f>IFERROR(VLOOKUP(L197,'Reference Data'!$A$5:$F$40,5,FALSE),0)</x:f>
        <x:v>24</x:v>
      </x:c>
      <x:c r="Q197" s="92" t="n">
        <x:f>IFERROR(VLOOKUP(L197,'Reference Data'!$A$5:$F$40,6,FALSE),0)</x:f>
        <x:v>8</x:v>
      </x:c>
      <x:c r="R197" s="84" t="n">
        <x:f>'Raw Sales'!J197</x:f>
        <x:v>1</x:v>
      </x:c>
      <x:c r="S197" s="87" t="n">
        <x:f>'Raw Sales'!K197</x:f>
        <x:v>0.15</x:v>
      </x:c>
      <x:c r="T197" s="93" t="n">
        <x:f>P197*R197</x:f>
        <x:v>24</x:v>
      </x:c>
      <x:c r="U197" s="93" t="n">
        <x:f>T197*S197</x:f>
        <x:v>3.5999999999999996</x:v>
      </x:c>
      <x:c r="V197" s="93" t="str">
        <x:f>PROPER(TRIM('Raw Sales'!L197))</x:f>
        <x:v>Returned</x:v>
      </x:c>
      <x:c r="W197" s="93" t="n">
        <x:f>IF(V197="Returned",0,T197-U197)</x:f>
        <x:v>0</x:v>
      </x:c>
      <x:c r="X197" s="93" t="n">
        <x:f>IF(V197="Returned",Q197*R197*10%,Q197*R197)</x:f>
        <x:v>0.8</x:v>
      </x:c>
      <x:c r="Y197" s="93" t="n">
        <x:f>W197-X197</x:f>
        <x:v>-0.8</x:v>
      </x:c>
      <x:c r="Z197" s="94" t="n">
        <x:f>IFERROR(Y197/W197,0)</x:f>
        <x:v>0</x:v>
      </x:c>
      <x:c r="AA197" s="84" t="str">
        <x:f>PROPER(TRIM('Raw Sales'!M197))</x:f>
        <x:v>Credit Card</x:v>
      </x:c>
      <x:c r="AB197" s="84" t="str">
        <x:f>PROPER(TRIM('Raw Sales'!N197))</x:f>
        <x:v>Lucas Grant</x:v>
      </x:c>
      <x:c r="AC197" s="85" t="n">
        <x:f>'Raw Sales'!O197</x:f>
        <x:v>45376</x:v>
      </x:c>
      <x:c r="AD197" s="84" t="n">
        <x:f>AC197-B197</x:f>
        <x:v>5</x:v>
      </x:c>
      <x:c r="AE197" s="84" t="str">
        <x:f>IF(COUNTIF($A$5:A197,A197)&gt;1,"Duplicate","Keep")</x:f>
        <x:v>Keep</x:v>
      </x:c>
      <x:c r="AF197" s="84" t="str">
        <x:f>IF(OR(R197&lt;=0,AC197&lt;B197,H197="Unknown",M197="Unknown Product"),"Review","Valid")</x:f>
        <x:v>Valid</x:v>
      </x:c>
      <x:c r="AG197" s="84" t="n">
        <x:f>IF(AND(AE197="Keep",AF197="Valid"),1,0)</x:f>
        <x:v>1</x:v>
      </x:c>
      <x:c r="AH197" s="84" t="n">
        <x:f>IF(AND(AG197=1,OR('Dashboard'!$B$4="All",I197='Dashboard'!$B$4),OR('Dashboard'!$E$4="All",N197='Dashboard'!$E$4),OR('Dashboard'!$H$4="All",K197='Dashboard'!$H$4),OR('Dashboard'!$K$4="All",C197='Dashboard'!$K$4)),1,0)</x:f>
        <x:v>1</x:v>
      </x:c>
      <x:c r="AI197" s="84" t="n">
        <x:f>IF(AND(AG197=1,OR('Dashboard'!$B$4="All",I197='Dashboard'!$B$4),OR('Dashboard'!$E$4="All",N197='Dashboard'!$E$4),OR('Dashboard'!$H$4="All",K197='Dashboard'!$H$4)),1,0)</x:f>
        <x:v>1</x:v>
      </x:c>
    </x:row>
    <x:row r="198">
      <x:c r="A198" s="84" t="str">
        <x:f>'Raw Sales'!A198</x:f>
        <x:v>ORD-2024-00641</x:v>
      </x:c>
      <x:c r="B198" s="85" t="n">
        <x:f>'Raw Sales'!B198</x:f>
        <x:v>45371</x:v>
      </x:c>
      <x:c r="C198" s="84" t="n">
        <x:f>YEAR(B198)</x:f>
        <x:v>2024</x:v>
      </x:c>
      <x:c r="D198" s="91" t="n">
        <x:f>DATE(YEAR(B198),MONTH(B198),1)</x:f>
        <x:v>45352</x:v>
      </x:c>
      <x:c r="E198" s="84" t="str">
        <x:f>TEXT(B198,"mmm")</x:f>
        <x:v>Mar</x:v>
      </x:c>
      <x:c r="F198" s="84" t="str">
        <x:f>'Raw Sales'!C198</x:f>
        <x:v>CUST-0540</x:v>
      </x:c>
      <x:c r="G198" s="84" t="str">
        <x:f>PROPER(TRIM('Raw Sales'!D198))</x:f>
        <x:v>Elias Patel</x:v>
      </x:c>
      <x:c r="H198" s="84" t="str">
        <x:f>IF(TRIM('Raw Sales'!E198)="","Unknown",PROPER(TRIM('Raw Sales'!E198)))</x:f>
        <x:v>Consumer</x:v>
      </x:c>
      <x:c r="I198" s="84" t="str">
        <x:f>PROPER(TRIM('Raw Sales'!F198))</x:f>
        <x:v>Midwest</x:v>
      </x:c>
      <x:c r="J198" s="84" t="str">
        <x:f>PROPER(TRIM('Raw Sales'!G198))</x:f>
        <x:v>Columbus</x:v>
      </x:c>
      <x:c r="K198" s="84" t="str">
        <x:f>PROPER(TRIM('Raw Sales'!H198))</x:f>
        <x:v>Retail Store</x:v>
      </x:c>
      <x:c r="L198" s="84" t="str">
        <x:f>'Raw Sales'!I198</x:f>
        <x:v>ACCS-004</x:v>
      </x:c>
      <x:c r="M198" s="84" t="str">
        <x:f>IFERROR(VLOOKUP(L198,'Reference Data'!$A$5:$F$40,2,FALSE),"Unknown Product")</x:f>
        <x:v>Leather Wallet</x:v>
      </x:c>
      <x:c r="N198" s="84" t="str">
        <x:f>IFERROR(VLOOKUP(L198,'Reference Data'!$A$5:$F$40,3,FALSE),"Unknown")</x:f>
        <x:v>Accessories</x:v>
      </x:c>
      <x:c r="O198" s="84" t="str">
        <x:f>IFERROR(VLOOKUP(L198,'Reference Data'!$A$5:$F$40,4,FALSE),"Unknown")</x:f>
        <x:v>Wallets</x:v>
      </x:c>
      <x:c r="P198" s="92" t="n">
        <x:f>IFERROR(VLOOKUP(L198,'Reference Data'!$A$5:$F$40,5,FALSE),0)</x:f>
        <x:v>49</x:v>
      </x:c>
      <x:c r="Q198" s="92" t="n">
        <x:f>IFERROR(VLOOKUP(L198,'Reference Data'!$A$5:$F$40,6,FALSE),0)</x:f>
        <x:v>18</x:v>
      </x:c>
      <x:c r="R198" s="84" t="n">
        <x:f>'Raw Sales'!J198</x:f>
        <x:v>1</x:v>
      </x:c>
      <x:c r="S198" s="87" t="n">
        <x:f>'Raw Sales'!K198</x:f>
        <x:v>0.1</x:v>
      </x:c>
      <x:c r="T198" s="93" t="n">
        <x:f>P198*R198</x:f>
        <x:v>49</x:v>
      </x:c>
      <x:c r="U198" s="93" t="n">
        <x:f>T198*S198</x:f>
        <x:v>4.9</x:v>
      </x:c>
      <x:c r="V198" s="93" t="str">
        <x:f>PROPER(TRIM('Raw Sales'!L198))</x:f>
        <x:v>Completed</x:v>
      </x:c>
      <x:c r="W198" s="93" t="n">
        <x:f>IF(V198="Returned",0,T198-U198)</x:f>
        <x:v>44.1</x:v>
      </x:c>
      <x:c r="X198" s="93" t="n">
        <x:f>IF(V198="Returned",Q198*R198*10%,Q198*R198)</x:f>
        <x:v>18</x:v>
      </x:c>
      <x:c r="Y198" s="93" t="n">
        <x:f>W198-X198</x:f>
        <x:v>26.1</x:v>
      </x:c>
      <x:c r="Z198" s="94" t="n">
        <x:f>IFERROR(Y198/W198,0)</x:f>
        <x:v>0.5918367346938775</x:v>
      </x:c>
      <x:c r="AA198" s="84" t="str">
        <x:f>PROPER(TRIM('Raw Sales'!M198))</x:f>
        <x:v>Debit Card</x:v>
      </x:c>
      <x:c r="AB198" s="84" t="str">
        <x:f>PROPER(TRIM('Raw Sales'!N198))</x:f>
        <x:v>Lucas Grant</x:v>
      </x:c>
      <x:c r="AC198" s="85" t="n">
        <x:f>'Raw Sales'!O198</x:f>
        <x:v>45372</x:v>
      </x:c>
      <x:c r="AD198" s="84" t="n">
        <x:f>AC198-B198</x:f>
        <x:v>1</x:v>
      </x:c>
      <x:c r="AE198" s="84" t="str">
        <x:f>IF(COUNTIF($A$5:A198,A198)&gt;1,"Duplicate","Keep")</x:f>
        <x:v>Keep</x:v>
      </x:c>
      <x:c r="AF198" s="84" t="str">
        <x:f>IF(OR(R198&lt;=0,AC198&lt;B198,H198="Unknown",M198="Unknown Product"),"Review","Valid")</x:f>
        <x:v>Valid</x:v>
      </x:c>
      <x:c r="AG198" s="84" t="n">
        <x:f>IF(AND(AE198="Keep",AF198="Valid"),1,0)</x:f>
        <x:v>1</x:v>
      </x:c>
      <x:c r="AH198" s="84" t="n">
        <x:f>IF(AND(AG198=1,OR('Dashboard'!$B$4="All",I198='Dashboard'!$B$4),OR('Dashboard'!$E$4="All",N198='Dashboard'!$E$4),OR('Dashboard'!$H$4="All",K198='Dashboard'!$H$4),OR('Dashboard'!$K$4="All",C198='Dashboard'!$K$4)),1,0)</x:f>
        <x:v>1</x:v>
      </x:c>
      <x:c r="AI198" s="84" t="n">
        <x:f>IF(AND(AG198=1,OR('Dashboard'!$B$4="All",I198='Dashboard'!$B$4),OR('Dashboard'!$E$4="All",N198='Dashboard'!$E$4),OR('Dashboard'!$H$4="All",K198='Dashboard'!$H$4)),1,0)</x:f>
        <x:v>1</x:v>
      </x:c>
    </x:row>
    <x:row r="199">
      <x:c r="A199" s="84" t="str">
        <x:f>'Raw Sales'!A199</x:f>
        <x:v>ORD-2024-01565</x:v>
      </x:c>
      <x:c r="B199" s="85" t="n">
        <x:f>'Raw Sales'!B199</x:f>
        <x:v>45371</x:v>
      </x:c>
      <x:c r="C199" s="84" t="n">
        <x:f>YEAR(B199)</x:f>
        <x:v>2024</x:v>
      </x:c>
      <x:c r="D199" s="91" t="n">
        <x:f>DATE(YEAR(B199),MONTH(B199),1)</x:f>
        <x:v>45352</x:v>
      </x:c>
      <x:c r="E199" s="84" t="str">
        <x:f>TEXT(B199,"mmm")</x:f>
        <x:v>Mar</x:v>
      </x:c>
      <x:c r="F199" s="84" t="str">
        <x:f>'Raw Sales'!C199</x:f>
        <x:v>CUST-0190</x:v>
      </x:c>
      <x:c r="G199" s="84" t="str">
        <x:f>PROPER(TRIM('Raw Sales'!D199))</x:f>
        <x:v>Samuel Evans</x:v>
      </x:c>
      <x:c r="H199" s="84" t="str">
        <x:f>IF(TRIM('Raw Sales'!E199)="","Unknown",PROPER(TRIM('Raw Sales'!E199)))</x:f>
        <x:v>Consumer</x:v>
      </x:c>
      <x:c r="I199" s="84" t="str">
        <x:f>PROPER(TRIM('Raw Sales'!F199))</x:f>
        <x:v>Midwest</x:v>
      </x:c>
      <x:c r="J199" s="84" t="str">
        <x:f>PROPER(TRIM('Raw Sales'!G199))</x:f>
        <x:v>Detroit</x:v>
      </x:c>
      <x:c r="K199" s="84" t="str">
        <x:f>PROPER(TRIM('Raw Sales'!H199))</x:f>
        <x:v>Online</x:v>
      </x:c>
      <x:c r="L199" s="84" t="str">
        <x:f>'Raw Sales'!I199</x:f>
        <x:v>HOME-005</x:v>
      </x:c>
      <x:c r="M199" s="84" t="str">
        <x:f>IFERROR(VLOOKUP(L199,'Reference Data'!$A$5:$F$40,2,FALSE),"Unknown Product")</x:f>
        <x:v>Cordless Vacuum</x:v>
      </x:c>
      <x:c r="N199" s="84" t="str">
        <x:f>IFERROR(VLOOKUP(L199,'Reference Data'!$A$5:$F$40,3,FALSE),"Unknown")</x:f>
        <x:v>Home &amp; Kitchen</x:v>
      </x:c>
      <x:c r="O199" s="84" t="str">
        <x:f>IFERROR(VLOOKUP(L199,'Reference Data'!$A$5:$F$40,4,FALSE),"Unknown")</x:f>
        <x:v>Cleaning</x:v>
      </x:c>
      <x:c r="P199" s="92" t="n">
        <x:f>IFERROR(VLOOKUP(L199,'Reference Data'!$A$5:$F$40,5,FALSE),0)</x:f>
        <x:v>179</x:v>
      </x:c>
      <x:c r="Q199" s="92" t="n">
        <x:f>IFERROR(VLOOKUP(L199,'Reference Data'!$A$5:$F$40,6,FALSE),0)</x:f>
        <x:v>102</x:v>
      </x:c>
      <x:c r="R199" s="84" t="n">
        <x:f>'Raw Sales'!J199</x:f>
        <x:v>1</x:v>
      </x:c>
      <x:c r="S199" s="87" t="n">
        <x:f>'Raw Sales'!K199</x:f>
        <x:v>0.1</x:v>
      </x:c>
      <x:c r="T199" s="93" t="n">
        <x:f>P199*R199</x:f>
        <x:v>179</x:v>
      </x:c>
      <x:c r="U199" s="93" t="n">
        <x:f>T199*S199</x:f>
        <x:v>17.900000000000002</x:v>
      </x:c>
      <x:c r="V199" s="93" t="str">
        <x:f>PROPER(TRIM('Raw Sales'!L199))</x:f>
        <x:v>Completed</x:v>
      </x:c>
      <x:c r="W199" s="93" t="n">
        <x:f>IF(V199="Returned",0,T199-U199)</x:f>
        <x:v>161.1</x:v>
      </x:c>
      <x:c r="X199" s="93" t="n">
        <x:f>IF(V199="Returned",Q199*R199*10%,Q199*R199)</x:f>
        <x:v>102</x:v>
      </x:c>
      <x:c r="Y199" s="93" t="n">
        <x:f>W199-X199</x:f>
        <x:v>59.099999999999994</x:v>
      </x:c>
      <x:c r="Z199" s="94" t="n">
        <x:f>IFERROR(Y199/W199,0)</x:f>
        <x:v>0.36685288640595903</x:v>
      </x:c>
      <x:c r="AA199" s="84" t="str">
        <x:f>PROPER(TRIM('Raw Sales'!M199))</x:f>
        <x:v>Debit Card</x:v>
      </x:c>
      <x:c r="AB199" s="84" t="str">
        <x:f>PROPER(TRIM('Raw Sales'!N199))</x:f>
        <x:v>Lucas Grant</x:v>
      </x:c>
      <x:c r="AC199" s="85" t="n">
        <x:f>'Raw Sales'!O199</x:f>
        <x:v>45375</x:v>
      </x:c>
      <x:c r="AD199" s="84" t="n">
        <x:f>AC199-B199</x:f>
        <x:v>4</x:v>
      </x:c>
      <x:c r="AE199" s="84" t="str">
        <x:f>IF(COUNTIF($A$5:A199,A199)&gt;1,"Duplicate","Keep")</x:f>
        <x:v>Keep</x:v>
      </x:c>
      <x:c r="AF199" s="84" t="str">
        <x:f>IF(OR(R199&lt;=0,AC199&lt;B199,H199="Unknown",M199="Unknown Product"),"Review","Valid")</x:f>
        <x:v>Valid</x:v>
      </x:c>
      <x:c r="AG199" s="84" t="n">
        <x:f>IF(AND(AE199="Keep",AF199="Valid"),1,0)</x:f>
        <x:v>1</x:v>
      </x:c>
      <x:c r="AH199" s="84" t="n">
        <x:f>IF(AND(AG199=1,OR('Dashboard'!$B$4="All",I199='Dashboard'!$B$4),OR('Dashboard'!$E$4="All",N199='Dashboard'!$E$4),OR('Dashboard'!$H$4="All",K199='Dashboard'!$H$4),OR('Dashboard'!$K$4="All",C199='Dashboard'!$K$4)),1,0)</x:f>
        <x:v>1</x:v>
      </x:c>
      <x:c r="AI199" s="84" t="n">
        <x:f>IF(AND(AG199=1,OR('Dashboard'!$B$4="All",I199='Dashboard'!$B$4),OR('Dashboard'!$E$4="All",N199='Dashboard'!$E$4),OR('Dashboard'!$H$4="All",K199='Dashboard'!$H$4)),1,0)</x:f>
        <x:v>1</x:v>
      </x:c>
    </x:row>
    <x:row r="200">
      <x:c r="A200" s="84" t="str">
        <x:f>'Raw Sales'!A200</x:f>
        <x:v>ORD-2024-00882</x:v>
      </x:c>
      <x:c r="B200" s="85" t="n">
        <x:f>'Raw Sales'!B200</x:f>
        <x:v>45372</x:v>
      </x:c>
      <x:c r="C200" s="84" t="n">
        <x:f>YEAR(B200)</x:f>
        <x:v>2024</x:v>
      </x:c>
      <x:c r="D200" s="91" t="n">
        <x:f>DATE(YEAR(B200),MONTH(B200),1)</x:f>
        <x:v>45352</x:v>
      </x:c>
      <x:c r="E200" s="84" t="str">
        <x:f>TEXT(B200,"mmm")</x:f>
        <x:v>Mar</x:v>
      </x:c>
      <x:c r="F200" s="84" t="str">
        <x:f>'Raw Sales'!C200</x:f>
        <x:v>CUST-0227</x:v>
      </x:c>
      <x:c r="G200" s="84" t="str">
        <x:f>PROPER(TRIM('Raw Sales'!D200))</x:f>
        <x:v>Maya Foster</x:v>
      </x:c>
      <x:c r="H200" s="84" t="str">
        <x:f>IF(TRIM('Raw Sales'!E200)="","Unknown",PROPER(TRIM('Raw Sales'!E200)))</x:f>
        <x:v>Consumer</x:v>
      </x:c>
      <x:c r="I200" s="84" t="str">
        <x:f>PROPER(TRIM('Raw Sales'!F200))</x:f>
        <x:v>West</x:v>
      </x:c>
      <x:c r="J200" s="84" t="str">
        <x:f>PROPER(TRIM('Raw Sales'!G200))</x:f>
        <x:v>Phoenix</x:v>
      </x:c>
      <x:c r="K200" s="84" t="str">
        <x:f>PROPER(TRIM('Raw Sales'!H200))</x:f>
        <x:v>Retail Store</x:v>
      </x:c>
      <x:c r="L200" s="84" t="str">
        <x:f>'Raw Sales'!I200</x:f>
        <x:v>ELEC-003</x:v>
      </x:c>
      <x:c r="M200" s="84" t="str">
        <x:f>IFERROR(VLOOKUP(L200,'Reference Data'!$A$5:$F$40,2,FALSE),"Unknown Product")</x:f>
        <x:v>Bluetooth Speaker</x:v>
      </x:c>
      <x:c r="N200" s="84" t="str">
        <x:f>IFERROR(VLOOKUP(L200,'Reference Data'!$A$5:$F$40,3,FALSE),"Unknown")</x:f>
        <x:v>Electronics</x:v>
      </x:c>
      <x:c r="O200" s="84" t="str">
        <x:f>IFERROR(VLOOKUP(L200,'Reference Data'!$A$5:$F$40,4,FALSE),"Unknown")</x:f>
        <x:v>Audio</x:v>
      </x:c>
      <x:c r="P200" s="92" t="n">
        <x:f>IFERROR(VLOOKUP(L200,'Reference Data'!$A$5:$F$40,5,FALSE),0)</x:f>
        <x:v>89</x:v>
      </x:c>
      <x:c r="Q200" s="92" t="n">
        <x:f>IFERROR(VLOOKUP(L200,'Reference Data'!$A$5:$F$40,6,FALSE),0)</x:f>
        <x:v>44</x:v>
      </x:c>
      <x:c r="R200" s="84" t="n">
        <x:f>'Raw Sales'!J200</x:f>
        <x:v>1</x:v>
      </x:c>
      <x:c r="S200" s="87" t="n">
        <x:f>'Raw Sales'!K200</x:f>
        <x:v>0.05</x:v>
      </x:c>
      <x:c r="T200" s="93" t="n">
        <x:f>P200*R200</x:f>
        <x:v>89</x:v>
      </x:c>
      <x:c r="U200" s="93" t="n">
        <x:f>T200*S200</x:f>
        <x:v>4.45</x:v>
      </x:c>
      <x:c r="V200" s="93" t="str">
        <x:f>PROPER(TRIM('Raw Sales'!L200))</x:f>
        <x:v>Completed</x:v>
      </x:c>
      <x:c r="W200" s="93" t="n">
        <x:f>IF(V200="Returned",0,T200-U200)</x:f>
        <x:v>84.55</x:v>
      </x:c>
      <x:c r="X200" s="93" t="n">
        <x:f>IF(V200="Returned",Q200*R200*10%,Q200*R200)</x:f>
        <x:v>44</x:v>
      </x:c>
      <x:c r="Y200" s="93" t="n">
        <x:f>W200-X200</x:f>
        <x:v>40.55</x:v>
      </x:c>
      <x:c r="Z200" s="94" t="n">
        <x:f>IFERROR(Y200/W200,0)</x:f>
        <x:v>0.47959787108219987</x:v>
      </x:c>
      <x:c r="AA200" s="84" t="str">
        <x:f>PROPER(TRIM('Raw Sales'!M200))</x:f>
        <x:v>Debit Card</x:v>
      </x:c>
      <x:c r="AB200" s="84" t="str">
        <x:f>PROPER(TRIM('Raw Sales'!N200))</x:f>
        <x:v>Leo Martinez</x:v>
      </x:c>
      <x:c r="AC200" s="85" t="n">
        <x:f>'Raw Sales'!O200</x:f>
        <x:v>45372</x:v>
      </x:c>
      <x:c r="AD200" s="84" t="n">
        <x:f>AC200-B200</x:f>
        <x:v>0</x:v>
      </x:c>
      <x:c r="AE200" s="84" t="str">
        <x:f>IF(COUNTIF($A$5:A200,A200)&gt;1,"Duplicate","Keep")</x:f>
        <x:v>Keep</x:v>
      </x:c>
      <x:c r="AF200" s="84" t="str">
        <x:f>IF(OR(R200&lt;=0,AC200&lt;B200,H200="Unknown",M200="Unknown Product"),"Review","Valid")</x:f>
        <x:v>Valid</x:v>
      </x:c>
      <x:c r="AG200" s="84" t="n">
        <x:f>IF(AND(AE200="Keep",AF200="Valid"),1,0)</x:f>
        <x:v>1</x:v>
      </x:c>
      <x:c r="AH200" s="84" t="n">
        <x:f>IF(AND(AG200=1,OR('Dashboard'!$B$4="All",I200='Dashboard'!$B$4),OR('Dashboard'!$E$4="All",N200='Dashboard'!$E$4),OR('Dashboard'!$H$4="All",K200='Dashboard'!$H$4),OR('Dashboard'!$K$4="All",C200='Dashboard'!$K$4)),1,0)</x:f>
        <x:v>1</x:v>
      </x:c>
      <x:c r="AI200" s="84" t="n">
        <x:f>IF(AND(AG200=1,OR('Dashboard'!$B$4="All",I200='Dashboard'!$B$4),OR('Dashboard'!$E$4="All",N200='Dashboard'!$E$4),OR('Dashboard'!$H$4="All",K200='Dashboard'!$H$4)),1,0)</x:f>
        <x:v>1</x:v>
      </x:c>
    </x:row>
    <x:row r="201">
      <x:c r="A201" s="84" t="str">
        <x:f>'Raw Sales'!A201</x:f>
        <x:v>ORD-2024-00976</x:v>
      </x:c>
      <x:c r="B201" s="85" t="n">
        <x:f>'Raw Sales'!B201</x:f>
        <x:v>45372</x:v>
      </x:c>
      <x:c r="C201" s="84" t="n">
        <x:f>YEAR(B201)</x:f>
        <x:v>2024</x:v>
      </x:c>
      <x:c r="D201" s="91" t="n">
        <x:f>DATE(YEAR(B201),MONTH(B201),1)</x:f>
        <x:v>45352</x:v>
      </x:c>
      <x:c r="E201" s="84" t="str">
        <x:f>TEXT(B201,"mmm")</x:f>
        <x:v>Mar</x:v>
      </x:c>
      <x:c r="F201" s="84" t="str">
        <x:f>'Raw Sales'!C201</x:f>
        <x:v>CUST-0626</x:v>
      </x:c>
      <x:c r="G201" s="84" t="str">
        <x:f>PROPER(TRIM('Raw Sales'!D201))</x:f>
        <x:v>Theo Irwin</x:v>
      </x:c>
      <x:c r="H201" s="84" t="str">
        <x:f>IF(TRIM('Raw Sales'!E201)="","Unknown",PROPER(TRIM('Raw Sales'!E201)))</x:f>
        <x:v>Unknown</x:v>
      </x:c>
      <x:c r="I201" s="84" t="str">
        <x:f>PROPER(TRIM('Raw Sales'!F201))</x:f>
        <x:v>Midwest</x:v>
      </x:c>
      <x:c r="J201" s="84" t="str">
        <x:f>PROPER(TRIM('Raw Sales'!G201))</x:f>
        <x:v>Minneapolis</x:v>
      </x:c>
      <x:c r="K201" s="84" t="str">
        <x:f>PROPER(TRIM('Raw Sales'!H201))</x:f>
        <x:v>Marketplace</x:v>
      </x:c>
      <x:c r="L201" s="84" t="str">
        <x:f>'Raw Sales'!I201</x:f>
        <x:v>HOME-006</x:v>
      </x:c>
      <x:c r="M201" s="84" t="str">
        <x:f>IFERROR(VLOOKUP(L201,'Reference Data'!$A$5:$F$40,2,FALSE),"Unknown Product")</x:f>
        <x:v>Food Storage Set</x:v>
      </x:c>
      <x:c r="N201" s="84" t="str">
        <x:f>IFERROR(VLOOKUP(L201,'Reference Data'!$A$5:$F$40,3,FALSE),"Unknown")</x:f>
        <x:v>Home &amp; Kitchen</x:v>
      </x:c>
      <x:c r="O201" s="84" t="str">
        <x:f>IFERROR(VLOOKUP(L201,'Reference Data'!$A$5:$F$40,4,FALSE),"Unknown")</x:f>
        <x:v>Kitchenware</x:v>
      </x:c>
      <x:c r="P201" s="92" t="n">
        <x:f>IFERROR(VLOOKUP(L201,'Reference Data'!$A$5:$F$40,5,FALSE),0)</x:f>
        <x:v>34</x:v>
      </x:c>
      <x:c r="Q201" s="92" t="n">
        <x:f>IFERROR(VLOOKUP(L201,'Reference Data'!$A$5:$F$40,6,FALSE),0)</x:f>
        <x:v>15</x:v>
      </x:c>
      <x:c r="R201" s="84" t="n">
        <x:f>'Raw Sales'!J201</x:f>
        <x:v>3</x:v>
      </x:c>
      <x:c r="S201" s="87" t="n">
        <x:f>'Raw Sales'!K201</x:f>
        <x:v>0</x:v>
      </x:c>
      <x:c r="T201" s="93" t="n">
        <x:f>P201*R201</x:f>
        <x:v>102</x:v>
      </x:c>
      <x:c r="U201" s="93" t="n">
        <x:f>T201*S201</x:f>
        <x:v>0</x:v>
      </x:c>
      <x:c r="V201" s="93" t="str">
        <x:f>PROPER(TRIM('Raw Sales'!L201))</x:f>
        <x:v>Completed</x:v>
      </x:c>
      <x:c r="W201" s="93" t="n">
        <x:f>IF(V201="Returned",0,T201-U201)</x:f>
        <x:v>102</x:v>
      </x:c>
      <x:c r="X201" s="93" t="n">
        <x:f>IF(V201="Returned",Q201*R201*10%,Q201*R201)</x:f>
        <x:v>45</x:v>
      </x:c>
      <x:c r="Y201" s="93" t="n">
        <x:f>W201-X201</x:f>
        <x:v>57</x:v>
      </x:c>
      <x:c r="Z201" s="94" t="n">
        <x:f>IFERROR(Y201/W201,0)</x:f>
        <x:v>0.5588235294117647</x:v>
      </x:c>
      <x:c r="AA201" s="84" t="str">
        <x:f>PROPER(TRIM('Raw Sales'!M201))</x:f>
        <x:v>Credit Card</x:v>
      </x:c>
      <x:c r="AB201" s="84" t="str">
        <x:f>PROPER(TRIM('Raw Sales'!N201))</x:f>
        <x:v>Zoe Turner</x:v>
      </x:c>
      <x:c r="AC201" s="85" t="n">
        <x:f>'Raw Sales'!O201</x:f>
        <x:v>45377</x:v>
      </x:c>
      <x:c r="AD201" s="84" t="n">
        <x:f>AC201-B201</x:f>
        <x:v>5</x:v>
      </x:c>
      <x:c r="AE201" s="84" t="str">
        <x:f>IF(COUNTIF($A$5:A201,A201)&gt;1,"Duplicate","Keep")</x:f>
        <x:v>Keep</x:v>
      </x:c>
      <x:c r="AF201" s="84" t="str">
        <x:f>IF(OR(R201&lt;=0,AC201&lt;B201,H201="Unknown",M201="Unknown Product"),"Review","Valid")</x:f>
        <x:v>Review</x:v>
      </x:c>
      <x:c r="AG201" s="84" t="n">
        <x:f>IF(AND(AE201="Keep",AF201="Valid"),1,0)</x:f>
        <x:v>0</x:v>
      </x:c>
      <x:c r="AH201" s="84" t="n">
        <x:f>IF(AND(AG201=1,OR('Dashboard'!$B$4="All",I201='Dashboard'!$B$4),OR('Dashboard'!$E$4="All",N201='Dashboard'!$E$4),OR('Dashboard'!$H$4="All",K201='Dashboard'!$H$4),OR('Dashboard'!$K$4="All",C201='Dashboard'!$K$4)),1,0)</x:f>
        <x:v>0</x:v>
      </x:c>
      <x:c r="AI201" s="84" t="n">
        <x:f>IF(AND(AG201=1,OR('Dashboard'!$B$4="All",I201='Dashboard'!$B$4),OR('Dashboard'!$E$4="All",N201='Dashboard'!$E$4),OR('Dashboard'!$H$4="All",K201='Dashboard'!$H$4)),1,0)</x:f>
        <x:v>0</x:v>
      </x:c>
    </x:row>
    <x:row r="202">
      <x:c r="A202" s="84" t="str">
        <x:f>'Raw Sales'!A202</x:f>
        <x:v>ORD-2024-01490</x:v>
      </x:c>
      <x:c r="B202" s="85" t="n">
        <x:f>'Raw Sales'!B202</x:f>
        <x:v>45372</x:v>
      </x:c>
      <x:c r="C202" s="84" t="n">
        <x:f>YEAR(B202)</x:f>
        <x:v>2024</x:v>
      </x:c>
      <x:c r="D202" s="91" t="n">
        <x:f>DATE(YEAR(B202),MONTH(B202),1)</x:f>
        <x:v>45352</x:v>
      </x:c>
      <x:c r="E202" s="84" t="str">
        <x:f>TEXT(B202,"mmm")</x:f>
        <x:v>Mar</x:v>
      </x:c>
      <x:c r="F202" s="84" t="str">
        <x:f>'Raw Sales'!C202</x:f>
        <x:v>CUST-0299</x:v>
      </x:c>
      <x:c r="G202" s="84" t="str">
        <x:f>PROPER(TRIM('Raw Sales'!D202))</x:f>
        <x:v>Caleb Lewis</x:v>
      </x:c>
      <x:c r="H202" s="84" t="str">
        <x:f>IF(TRIM('Raw Sales'!E202)="","Unknown",PROPER(TRIM('Raw Sales'!E202)))</x:f>
        <x:v>Consumer</x:v>
      </x:c>
      <x:c r="I202" s="84" t="str">
        <x:f>PROPER(TRIM('Raw Sales'!F202))</x:f>
        <x:v>Northeast</x:v>
      </x:c>
      <x:c r="J202" s="84" t="str">
        <x:f>PROPER(TRIM('Raw Sales'!G202))</x:f>
        <x:v>New York</x:v>
      </x:c>
      <x:c r="K202" s="84" t="str">
        <x:f>PROPER(TRIM('Raw Sales'!H202))</x:f>
        <x:v>Retail Store</x:v>
      </x:c>
      <x:c r="L202" s="84" t="str">
        <x:f>'Raw Sales'!I202</x:f>
        <x:v>ELEC-005</x:v>
      </x:c>
      <x:c r="M202" s="84" t="str">
        <x:f>IFERROR(VLOOKUP(L202,'Reference Data'!$A$5:$F$40,2,FALSE),"Unknown Product")</x:f>
        <x:v>HD Webcam</x:v>
      </x:c>
      <x:c r="N202" s="84" t="str">
        <x:f>IFERROR(VLOOKUP(L202,'Reference Data'!$A$5:$F$40,3,FALSE),"Unknown")</x:f>
        <x:v>Electronics</x:v>
      </x:c>
      <x:c r="O202" s="84" t="str">
        <x:f>IFERROR(VLOOKUP(L202,'Reference Data'!$A$5:$F$40,4,FALSE),"Unknown")</x:f>
        <x:v>Computer Accessories</x:v>
      </x:c>
      <x:c r="P202" s="92" t="n">
        <x:f>IFERROR(VLOOKUP(L202,'Reference Data'!$A$5:$F$40,5,FALSE),0)</x:f>
        <x:v>79</x:v>
      </x:c>
      <x:c r="Q202" s="92" t="n">
        <x:f>IFERROR(VLOOKUP(L202,'Reference Data'!$A$5:$F$40,6,FALSE),0)</x:f>
        <x:v>37</x:v>
      </x:c>
      <x:c r="R202" s="84" t="n">
        <x:f>'Raw Sales'!J202</x:f>
        <x:v>2</x:v>
      </x:c>
      <x:c r="S202" s="87" t="n">
        <x:f>'Raw Sales'!K202</x:f>
        <x:v>0</x:v>
      </x:c>
      <x:c r="T202" s="93" t="n">
        <x:f>P202*R202</x:f>
        <x:v>158</x:v>
      </x:c>
      <x:c r="U202" s="93" t="n">
        <x:f>T202*S202</x:f>
        <x:v>0</x:v>
      </x:c>
      <x:c r="V202" s="93" t="str">
        <x:f>PROPER(TRIM('Raw Sales'!L202))</x:f>
        <x:v>Completed</x:v>
      </x:c>
      <x:c r="W202" s="93" t="n">
        <x:f>IF(V202="Returned",0,T202-U202)</x:f>
        <x:v>158</x:v>
      </x:c>
      <x:c r="X202" s="93" t="n">
        <x:f>IF(V202="Returned",Q202*R202*10%,Q202*R202)</x:f>
        <x:v>74</x:v>
      </x:c>
      <x:c r="Y202" s="93" t="n">
        <x:f>W202-X202</x:f>
        <x:v>84</x:v>
      </x:c>
      <x:c r="Z202" s="94" t="n">
        <x:f>IFERROR(Y202/W202,0)</x:f>
        <x:v>0.5316455696202531</x:v>
      </x:c>
      <x:c r="AA202" s="84" t="str">
        <x:f>PROPER(TRIM('Raw Sales'!M202))</x:f>
        <x:v>Debit Card</x:v>
      </x:c>
      <x:c r="AB202" s="84" t="str">
        <x:f>PROPER(TRIM('Raw Sales'!N202))</x:f>
        <x:v>Maya Brooks</x:v>
      </x:c>
      <x:c r="AC202" s="85" t="n">
        <x:f>'Raw Sales'!O202</x:f>
        <x:v>45373</x:v>
      </x:c>
      <x:c r="AD202" s="84" t="n">
        <x:f>AC202-B202</x:f>
        <x:v>1</x:v>
      </x:c>
      <x:c r="AE202" s="84" t="str">
        <x:f>IF(COUNTIF($A$5:A202,A202)&gt;1,"Duplicate","Keep")</x:f>
        <x:v>Keep</x:v>
      </x:c>
      <x:c r="AF202" s="84" t="str">
        <x:f>IF(OR(R202&lt;=0,AC202&lt;B202,H202="Unknown",M202="Unknown Product"),"Review","Valid")</x:f>
        <x:v>Valid</x:v>
      </x:c>
      <x:c r="AG202" s="84" t="n">
        <x:f>IF(AND(AE202="Keep",AF202="Valid"),1,0)</x:f>
        <x:v>1</x:v>
      </x:c>
      <x:c r="AH202" s="84" t="n">
        <x:f>IF(AND(AG202=1,OR('Dashboard'!$B$4="All",I202='Dashboard'!$B$4),OR('Dashboard'!$E$4="All",N202='Dashboard'!$E$4),OR('Dashboard'!$H$4="All",K202='Dashboard'!$H$4),OR('Dashboard'!$K$4="All",C202='Dashboard'!$K$4)),1,0)</x:f>
        <x:v>1</x:v>
      </x:c>
      <x:c r="AI202" s="84" t="n">
        <x:f>IF(AND(AG202=1,OR('Dashboard'!$B$4="All",I202='Dashboard'!$B$4),OR('Dashboard'!$E$4="All",N202='Dashboard'!$E$4),OR('Dashboard'!$H$4="All",K202='Dashboard'!$H$4)),1,0)</x:f>
        <x:v>1</x:v>
      </x:c>
    </x:row>
    <x:row r="203">
      <x:c r="A203" s="84" t="str">
        <x:f>'Raw Sales'!A203</x:f>
        <x:v>ORD-2024-01564</x:v>
      </x:c>
      <x:c r="B203" s="85" t="n">
        <x:f>'Raw Sales'!B203</x:f>
        <x:v>45372</x:v>
      </x:c>
      <x:c r="C203" s="84" t="n">
        <x:f>YEAR(B203)</x:f>
        <x:v>2024</x:v>
      </x:c>
      <x:c r="D203" s="91" t="n">
        <x:f>DATE(YEAR(B203),MONTH(B203),1)</x:f>
        <x:v>45352</x:v>
      </x:c>
      <x:c r="E203" s="84" t="str">
        <x:f>TEXT(B203,"mmm")</x:f>
        <x:v>Mar</x:v>
      </x:c>
      <x:c r="F203" s="84" t="str">
        <x:f>'Raw Sales'!C203</x:f>
        <x:v>CUST-0310</x:v>
      </x:c>
      <x:c r="G203" s="84" t="str">
        <x:f>PROPER(TRIM('Raw Sales'!D203))</x:f>
        <x:v>Marcus Patel</x:v>
      </x:c>
      <x:c r="H203" s="84" t="str">
        <x:f>IF(TRIM('Raw Sales'!E203)="","Unknown",PROPER(TRIM('Raw Sales'!E203)))</x:f>
        <x:v>Consumer</x:v>
      </x:c>
      <x:c r="I203" s="84" t="str">
        <x:f>PROPER(TRIM('Raw Sales'!F203))</x:f>
        <x:v>Midwest</x:v>
      </x:c>
      <x:c r="J203" s="84" t="str">
        <x:f>PROPER(TRIM('Raw Sales'!G203))</x:f>
        <x:v>Columbus</x:v>
      </x:c>
      <x:c r="K203" s="84" t="str">
        <x:f>PROPER(TRIM('Raw Sales'!H203))</x:f>
        <x:v>Retail Store</x:v>
      </x:c>
      <x:c r="L203" s="84" t="str">
        <x:f>'Raw Sales'!I203</x:f>
        <x:v>OFFC-004</x:v>
      </x:c>
      <x:c r="M203" s="84" t="str">
        <x:f>IFERROR(VLOOKUP(L203,'Reference Data'!$A$5:$F$40,2,FALSE),"Unknown Product")</x:f>
        <x:v>Premium Notebook Pack</x:v>
      </x:c>
      <x:c r="N203" s="84" t="str">
        <x:f>IFERROR(VLOOKUP(L203,'Reference Data'!$A$5:$F$40,3,FALSE),"Unknown")</x:f>
        <x:v>Office</x:v>
      </x:c>
      <x:c r="O203" s="84" t="str">
        <x:f>IFERROR(VLOOKUP(L203,'Reference Data'!$A$5:$F$40,4,FALSE),"Unknown")</x:f>
        <x:v>Stationery</x:v>
      </x:c>
      <x:c r="P203" s="92" t="n">
        <x:f>IFERROR(VLOOKUP(L203,'Reference Data'!$A$5:$F$40,5,FALSE),0)</x:f>
        <x:v>18</x:v>
      </x:c>
      <x:c r="Q203" s="92" t="n">
        <x:f>IFERROR(VLOOKUP(L203,'Reference Data'!$A$5:$F$40,6,FALSE),0)</x:f>
        <x:v>6.5</x:v>
      </x:c>
      <x:c r="R203" s="84" t="n">
        <x:f>'Raw Sales'!J203</x:f>
        <x:v>1</x:v>
      </x:c>
      <x:c r="S203" s="87" t="n">
        <x:f>'Raw Sales'!K203</x:f>
        <x:v>0.05</x:v>
      </x:c>
      <x:c r="T203" s="93" t="n">
        <x:f>P203*R203</x:f>
        <x:v>18</x:v>
      </x:c>
      <x:c r="U203" s="93" t="n">
        <x:f>T203*S203</x:f>
        <x:v>0.9</x:v>
      </x:c>
      <x:c r="V203" s="93" t="str">
        <x:f>PROPER(TRIM('Raw Sales'!L203))</x:f>
        <x:v>Completed</x:v>
      </x:c>
      <x:c r="W203" s="93" t="n">
        <x:f>IF(V203="Returned",0,T203-U203)</x:f>
        <x:v>17.1</x:v>
      </x:c>
      <x:c r="X203" s="93" t="n">
        <x:f>IF(V203="Returned",Q203*R203*10%,Q203*R203)</x:f>
        <x:v>6.5</x:v>
      </x:c>
      <x:c r="Y203" s="93" t="n">
        <x:f>W203-X203</x:f>
        <x:v>10.600000000000001</x:v>
      </x:c>
      <x:c r="Z203" s="94" t="n">
        <x:f>IFERROR(Y203/W203,0)</x:f>
        <x:v>0.6198830409356726</x:v>
      </x:c>
      <x:c r="AA203" s="84" t="str">
        <x:f>PROPER(TRIM('Raw Sales'!M203))</x:f>
        <x:v>Mobile Wallet</x:v>
      </x:c>
      <x:c r="AB203" s="84" t="str">
        <x:f>PROPER(TRIM('Raw Sales'!N203))</x:f>
        <x:v>Emma Hayes</x:v>
      </x:c>
      <x:c r="AC203" s="85" t="n">
        <x:f>'Raw Sales'!O203</x:f>
        <x:v>45372</x:v>
      </x:c>
      <x:c r="AD203" s="84" t="n">
        <x:f>AC203-B203</x:f>
        <x:v>0</x:v>
      </x:c>
      <x:c r="AE203" s="84" t="str">
        <x:f>IF(COUNTIF($A$5:A203,A203)&gt;1,"Duplicate","Keep")</x:f>
        <x:v>Keep</x:v>
      </x:c>
      <x:c r="AF203" s="84" t="str">
        <x:f>IF(OR(R203&lt;=0,AC203&lt;B203,H203="Unknown",M203="Unknown Product"),"Review","Valid")</x:f>
        <x:v>Valid</x:v>
      </x:c>
      <x:c r="AG203" s="84" t="n">
        <x:f>IF(AND(AE203="Keep",AF203="Valid"),1,0)</x:f>
        <x:v>1</x:v>
      </x:c>
      <x:c r="AH203" s="84" t="n">
        <x:f>IF(AND(AG203=1,OR('Dashboard'!$B$4="All",I203='Dashboard'!$B$4),OR('Dashboard'!$E$4="All",N203='Dashboard'!$E$4),OR('Dashboard'!$H$4="All",K203='Dashboard'!$H$4),OR('Dashboard'!$K$4="All",C203='Dashboard'!$K$4)),1,0)</x:f>
        <x:v>1</x:v>
      </x:c>
      <x:c r="AI203" s="84" t="n">
        <x:f>IF(AND(AG203=1,OR('Dashboard'!$B$4="All",I203='Dashboard'!$B$4),OR('Dashboard'!$E$4="All",N203='Dashboard'!$E$4),OR('Dashboard'!$H$4="All",K203='Dashboard'!$H$4)),1,0)</x:f>
        <x:v>1</x:v>
      </x:c>
    </x:row>
    <x:row r="204">
      <x:c r="A204" s="84" t="str">
        <x:f>'Raw Sales'!A204</x:f>
        <x:v>ORD-2024-02115</x:v>
      </x:c>
      <x:c r="B204" s="85" t="n">
        <x:f>'Raw Sales'!B204</x:f>
        <x:v>45372</x:v>
      </x:c>
      <x:c r="C204" s="84" t="n">
        <x:f>YEAR(B204)</x:f>
        <x:v>2024</x:v>
      </x:c>
      <x:c r="D204" s="91" t="n">
        <x:f>DATE(YEAR(B204),MONTH(B204),1)</x:f>
        <x:v>45352</x:v>
      </x:c>
      <x:c r="E204" s="84" t="str">
        <x:f>TEXT(B204,"mmm")</x:f>
        <x:v>Mar</x:v>
      </x:c>
      <x:c r="F204" s="84" t="str">
        <x:f>'Raw Sales'!C204</x:f>
        <x:v>CUST-0555</x:v>
      </x:c>
      <x:c r="G204" s="84" t="str">
        <x:f>PROPER(TRIM('Raw Sales'!D204))</x:f>
        <x:v>Marcus Nelson</x:v>
      </x:c>
      <x:c r="H204" s="84" t="str">
        <x:f>IF(TRIM('Raw Sales'!E204)="","Unknown",PROPER(TRIM('Raw Sales'!E204)))</x:f>
        <x:v>Corporate</x:v>
      </x:c>
      <x:c r="I204" s="84" t="str">
        <x:f>PROPER(TRIM('Raw Sales'!F204))</x:f>
        <x:v>West</x:v>
      </x:c>
      <x:c r="J204" s="84" t="str">
        <x:f>PROPER(TRIM('Raw Sales'!G204))</x:f>
        <x:v>Seattle</x:v>
      </x:c>
      <x:c r="K204" s="84" t="str">
        <x:f>PROPER(TRIM('Raw Sales'!H204))</x:f>
        <x:v>Retail Store</x:v>
      </x:c>
      <x:c r="L204" s="84" t="str">
        <x:f>'Raw Sales'!I204</x:f>
        <x:v>FITN-003</x:v>
      </x:c>
      <x:c r="M204" s="84" t="str">
        <x:f>IFERROR(VLOOKUP(L204,'Reference Data'!$A$5:$F$40,2,FALSE),"Unknown Product")</x:f>
        <x:v>Resistance Band Set</x:v>
      </x:c>
      <x:c r="N204" s="84" t="str">
        <x:f>IFERROR(VLOOKUP(L204,'Reference Data'!$A$5:$F$40,3,FALSE),"Unknown")</x:f>
        <x:v>Fitness</x:v>
      </x:c>
      <x:c r="O204" s="84" t="str">
        <x:f>IFERROR(VLOOKUP(L204,'Reference Data'!$A$5:$F$40,4,FALSE),"Unknown")</x:f>
        <x:v>Strength</x:v>
      </x:c>
      <x:c r="P204" s="92" t="n">
        <x:f>IFERROR(VLOOKUP(L204,'Reference Data'!$A$5:$F$40,5,FALSE),0)</x:f>
        <x:v>24</x:v>
      </x:c>
      <x:c r="Q204" s="92" t="n">
        <x:f>IFERROR(VLOOKUP(L204,'Reference Data'!$A$5:$F$40,6,FALSE),0)</x:f>
        <x:v>8</x:v>
      </x:c>
      <x:c r="R204" s="84" t="n">
        <x:f>'Raw Sales'!J204</x:f>
        <x:v>2</x:v>
      </x:c>
      <x:c r="S204" s="87" t="n">
        <x:f>'Raw Sales'!K204</x:f>
        <x:v>0</x:v>
      </x:c>
      <x:c r="T204" s="93" t="n">
        <x:f>P204*R204</x:f>
        <x:v>48</x:v>
      </x:c>
      <x:c r="U204" s="93" t="n">
        <x:f>T204*S204</x:f>
        <x:v>0</x:v>
      </x:c>
      <x:c r="V204" s="93" t="str">
        <x:f>PROPER(TRIM('Raw Sales'!L204))</x:f>
        <x:v>Completed</x:v>
      </x:c>
      <x:c r="W204" s="93" t="n">
        <x:f>IF(V204="Returned",0,T204-U204)</x:f>
        <x:v>48</x:v>
      </x:c>
      <x:c r="X204" s="93" t="n">
        <x:f>IF(V204="Returned",Q204*R204*10%,Q204*R204)</x:f>
        <x:v>16</x:v>
      </x:c>
      <x:c r="Y204" s="93" t="n">
        <x:f>W204-X204</x:f>
        <x:v>32</x:v>
      </x:c>
      <x:c r="Z204" s="94" t="n">
        <x:f>IFERROR(Y204/W204,0)</x:f>
        <x:v>0.6666666666666666</x:v>
      </x:c>
      <x:c r="AA204" s="84" t="str">
        <x:f>PROPER(TRIM('Raw Sales'!M204))</x:f>
        <x:v>Mobile Wallet</x:v>
      </x:c>
      <x:c r="AB204" s="84" t="str">
        <x:f>PROPER(TRIM('Raw Sales'!N204))</x:f>
        <x:v>Nora Kim</x:v>
      </x:c>
      <x:c r="AC204" s="85" t="n">
        <x:f>'Raw Sales'!O204</x:f>
        <x:v>45372</x:v>
      </x:c>
      <x:c r="AD204" s="84" t="n">
        <x:f>AC204-B204</x:f>
        <x:v>0</x:v>
      </x:c>
      <x:c r="AE204" s="84" t="str">
        <x:f>IF(COUNTIF($A$5:A204,A204)&gt;1,"Duplicate","Keep")</x:f>
        <x:v>Keep</x:v>
      </x:c>
      <x:c r="AF204" s="84" t="str">
        <x:f>IF(OR(R204&lt;=0,AC204&lt;B204,H204="Unknown",M204="Unknown Product"),"Review","Valid")</x:f>
        <x:v>Valid</x:v>
      </x:c>
      <x:c r="AG204" s="84" t="n">
        <x:f>IF(AND(AE204="Keep",AF204="Valid"),1,0)</x:f>
        <x:v>1</x:v>
      </x:c>
      <x:c r="AH204" s="84" t="n">
        <x:f>IF(AND(AG204=1,OR('Dashboard'!$B$4="All",I204='Dashboard'!$B$4),OR('Dashboard'!$E$4="All",N204='Dashboard'!$E$4),OR('Dashboard'!$H$4="All",K204='Dashboard'!$H$4),OR('Dashboard'!$K$4="All",C204='Dashboard'!$K$4)),1,0)</x:f>
        <x:v>1</x:v>
      </x:c>
      <x:c r="AI204" s="84" t="n">
        <x:f>IF(AND(AG204=1,OR('Dashboard'!$B$4="All",I204='Dashboard'!$B$4),OR('Dashboard'!$E$4="All",N204='Dashboard'!$E$4),OR('Dashboard'!$H$4="All",K204='Dashboard'!$H$4)),1,0)</x:f>
        <x:v>1</x:v>
      </x:c>
    </x:row>
    <x:row r="205">
      <x:c r="A205" s="84" t="str">
        <x:f>'Raw Sales'!A205</x:f>
        <x:v>ORD-2024-00439</x:v>
      </x:c>
      <x:c r="B205" s="85" t="n">
        <x:f>'Raw Sales'!B205</x:f>
        <x:v>45373</x:v>
      </x:c>
      <x:c r="C205" s="84" t="n">
        <x:f>YEAR(B205)</x:f>
        <x:v>2024</x:v>
      </x:c>
      <x:c r="D205" s="91" t="n">
        <x:f>DATE(YEAR(B205),MONTH(B205),1)</x:f>
        <x:v>45352</x:v>
      </x:c>
      <x:c r="E205" s="84" t="str">
        <x:f>TEXT(B205,"mmm")</x:f>
        <x:v>Mar</x:v>
      </x:c>
      <x:c r="F205" s="84" t="str">
        <x:f>'Raw Sales'!C205</x:f>
        <x:v>CUST-0255</x:v>
      </x:c>
      <x:c r="G205" s="84" t="str">
        <x:f>PROPER(TRIM('Raw Sales'!D205))</x:f>
        <x:v>Layla Smith</x:v>
      </x:c>
      <x:c r="H205" s="84" t="str">
        <x:f>IF(TRIM('Raw Sales'!E205)="","Unknown",PROPER(TRIM('Raw Sales'!E205)))</x:f>
        <x:v>Consumer</x:v>
      </x:c>
      <x:c r="I205" s="84" t="str">
        <x:f>PROPER(TRIM('Raw Sales'!F205))</x:f>
        <x:v>West</x:v>
      </x:c>
      <x:c r="J205" s="84" t="str">
        <x:f>PROPER(TRIM('Raw Sales'!G205))</x:f>
        <x:v>Seattle</x:v>
      </x:c>
      <x:c r="K205" s="84" t="str">
        <x:f>PROPER(TRIM('Raw Sales'!H205))</x:f>
        <x:v>Online</x:v>
      </x:c>
      <x:c r="L205" s="84" t="str">
        <x:f>'Raw Sales'!I205</x:f>
        <x:v>FITN-001</x:v>
      </x:c>
      <x:c r="M205" s="84" t="str">
        <x:f>IFERROR(VLOOKUP(L205,'Reference Data'!$A$5:$F$40,2,FALSE),"Unknown Product")</x:f>
        <x:v>Yoga Mat</x:v>
      </x:c>
      <x:c r="N205" s="84" t="str">
        <x:f>IFERROR(VLOOKUP(L205,'Reference Data'!$A$5:$F$40,3,FALSE),"Unknown")</x:f>
        <x:v>Fitness</x:v>
      </x:c>
      <x:c r="O205" s="84" t="str">
        <x:f>IFERROR(VLOOKUP(L205,'Reference Data'!$A$5:$F$40,4,FALSE),"Unknown")</x:f>
        <x:v>Yoga</x:v>
      </x:c>
      <x:c r="P205" s="92" t="n">
        <x:f>IFERROR(VLOOKUP(L205,'Reference Data'!$A$5:$F$40,5,FALSE),0)</x:f>
        <x:v>35</x:v>
      </x:c>
      <x:c r="Q205" s="92" t="n">
        <x:f>IFERROR(VLOOKUP(L205,'Reference Data'!$A$5:$F$40,6,FALSE),0)</x:f>
        <x:v>13</x:v>
      </x:c>
      <x:c r="R205" s="84" t="n">
        <x:f>'Raw Sales'!J205</x:f>
        <x:v>1</x:v>
      </x:c>
      <x:c r="S205" s="87" t="n">
        <x:f>'Raw Sales'!K205</x:f>
        <x:v>0.1</x:v>
      </x:c>
      <x:c r="T205" s="93" t="n">
        <x:f>P205*R205</x:f>
        <x:v>35</x:v>
      </x:c>
      <x:c r="U205" s="93" t="n">
        <x:f>T205*S205</x:f>
        <x:v>3.5</x:v>
      </x:c>
      <x:c r="V205" s="93" t="str">
        <x:f>PROPER(TRIM('Raw Sales'!L205))</x:f>
        <x:v>Completed</x:v>
      </x:c>
      <x:c r="W205" s="93" t="n">
        <x:f>IF(V205="Returned",0,T205-U205)</x:f>
        <x:v>31.5</x:v>
      </x:c>
      <x:c r="X205" s="93" t="n">
        <x:f>IF(V205="Returned",Q205*R205*10%,Q205*R205)</x:f>
        <x:v>13</x:v>
      </x:c>
      <x:c r="Y205" s="93" t="n">
        <x:f>W205-X205</x:f>
        <x:v>18.5</x:v>
      </x:c>
      <x:c r="Z205" s="94" t="n">
        <x:f>IFERROR(Y205/W205,0)</x:f>
        <x:v>0.5873015873015873</x:v>
      </x:c>
      <x:c r="AA205" s="84" t="str">
        <x:f>PROPER(TRIM('Raw Sales'!M205))</x:f>
        <x:v>Credit Card</x:v>
      </x:c>
      <x:c r="AB205" s="84" t="str">
        <x:f>PROPER(TRIM('Raw Sales'!N205))</x:f>
        <x:v>Mia Chen</x:v>
      </x:c>
      <x:c r="AC205" s="85" t="n">
        <x:f>'Raw Sales'!O205</x:f>
        <x:v>45377</x:v>
      </x:c>
      <x:c r="AD205" s="84" t="n">
        <x:f>AC205-B205</x:f>
        <x:v>4</x:v>
      </x:c>
      <x:c r="AE205" s="84" t="str">
        <x:f>IF(COUNTIF($A$5:A205,A205)&gt;1,"Duplicate","Keep")</x:f>
        <x:v>Keep</x:v>
      </x:c>
      <x:c r="AF205" s="84" t="str">
        <x:f>IF(OR(R205&lt;=0,AC205&lt;B205,H205="Unknown",M205="Unknown Product"),"Review","Valid")</x:f>
        <x:v>Valid</x:v>
      </x:c>
      <x:c r="AG205" s="84" t="n">
        <x:f>IF(AND(AE205="Keep",AF205="Valid"),1,0)</x:f>
        <x:v>1</x:v>
      </x:c>
      <x:c r="AH205" s="84" t="n">
        <x:f>IF(AND(AG205=1,OR('Dashboard'!$B$4="All",I205='Dashboard'!$B$4),OR('Dashboard'!$E$4="All",N205='Dashboard'!$E$4),OR('Dashboard'!$H$4="All",K205='Dashboard'!$H$4),OR('Dashboard'!$K$4="All",C205='Dashboard'!$K$4)),1,0)</x:f>
        <x:v>1</x:v>
      </x:c>
      <x:c r="AI205" s="84" t="n">
        <x:f>IF(AND(AG205=1,OR('Dashboard'!$B$4="All",I205='Dashboard'!$B$4),OR('Dashboard'!$E$4="All",N205='Dashboard'!$E$4),OR('Dashboard'!$H$4="All",K205='Dashboard'!$H$4)),1,0)</x:f>
        <x:v>1</x:v>
      </x:c>
    </x:row>
    <x:row r="206">
      <x:c r="A206" s="84" t="str">
        <x:f>'Raw Sales'!A206</x:f>
        <x:v>ORD-2024-01751</x:v>
      </x:c>
      <x:c r="B206" s="85" t="n">
        <x:f>'Raw Sales'!B206</x:f>
        <x:v>45374</x:v>
      </x:c>
      <x:c r="C206" s="84" t="n">
        <x:f>YEAR(B206)</x:f>
        <x:v>2024</x:v>
      </x:c>
      <x:c r="D206" s="91" t="n">
        <x:f>DATE(YEAR(B206),MONTH(B206),1)</x:f>
        <x:v>45352</x:v>
      </x:c>
      <x:c r="E206" s="84" t="str">
        <x:f>TEXT(B206,"mmm")</x:f>
        <x:v>Mar</x:v>
      </x:c>
      <x:c r="F206" s="84" t="str">
        <x:f>'Raw Sales'!C206</x:f>
        <x:v>CUST-0557</x:v>
      </x:c>
      <x:c r="G206" s="84" t="str">
        <x:f>PROPER(TRIM('Raw Sales'!D206))</x:f>
        <x:v>Isaac Smith</x:v>
      </x:c>
      <x:c r="H206" s="84" t="str">
        <x:f>IF(TRIM('Raw Sales'!E206)="","Unknown",PROPER(TRIM('Raw Sales'!E206)))</x:f>
        <x:v>Consumer</x:v>
      </x:c>
      <x:c r="I206" s="84" t="str">
        <x:f>PROPER(TRIM('Raw Sales'!F206))</x:f>
        <x:v>Northeast</x:v>
      </x:c>
      <x:c r="J206" s="84" t="str">
        <x:f>PROPER(TRIM('Raw Sales'!G206))</x:f>
        <x:v>Boston</x:v>
      </x:c>
      <x:c r="K206" s="84" t="str">
        <x:f>PROPER(TRIM('Raw Sales'!H206))</x:f>
        <x:v>Online</x:v>
      </x:c>
      <x:c r="L206" s="84" t="str">
        <x:f>'Raw Sales'!I206</x:f>
        <x:v>ELEC-003</x:v>
      </x:c>
      <x:c r="M206" s="84" t="str">
        <x:f>IFERROR(VLOOKUP(L206,'Reference Data'!$A$5:$F$40,2,FALSE),"Unknown Product")</x:f>
        <x:v>Bluetooth Speaker</x:v>
      </x:c>
      <x:c r="N206" s="84" t="str">
        <x:f>IFERROR(VLOOKUP(L206,'Reference Data'!$A$5:$F$40,3,FALSE),"Unknown")</x:f>
        <x:v>Electronics</x:v>
      </x:c>
      <x:c r="O206" s="84" t="str">
        <x:f>IFERROR(VLOOKUP(L206,'Reference Data'!$A$5:$F$40,4,FALSE),"Unknown")</x:f>
        <x:v>Audio</x:v>
      </x:c>
      <x:c r="P206" s="92" t="n">
        <x:f>IFERROR(VLOOKUP(L206,'Reference Data'!$A$5:$F$40,5,FALSE),0)</x:f>
        <x:v>89</x:v>
      </x:c>
      <x:c r="Q206" s="92" t="n">
        <x:f>IFERROR(VLOOKUP(L206,'Reference Data'!$A$5:$F$40,6,FALSE),0)</x:f>
        <x:v>44</x:v>
      </x:c>
      <x:c r="R206" s="84" t="n">
        <x:f>'Raw Sales'!J206</x:f>
        <x:v>3</x:v>
      </x:c>
      <x:c r="S206" s="87" t="n">
        <x:f>'Raw Sales'!K206</x:f>
        <x:v>0.05</x:v>
      </x:c>
      <x:c r="T206" s="93" t="n">
        <x:f>P206*R206</x:f>
        <x:v>267</x:v>
      </x:c>
      <x:c r="U206" s="93" t="n">
        <x:f>T206*S206</x:f>
        <x:v>13.350000000000001</x:v>
      </x:c>
      <x:c r="V206" s="93" t="str">
        <x:f>PROPER(TRIM('Raw Sales'!L206))</x:f>
        <x:v>Completed</x:v>
      </x:c>
      <x:c r="W206" s="93" t="n">
        <x:f>IF(V206="Returned",0,T206-U206)</x:f>
        <x:v>253.65</x:v>
      </x:c>
      <x:c r="X206" s="93" t="n">
        <x:f>IF(V206="Returned",Q206*R206*10%,Q206*R206)</x:f>
        <x:v>132</x:v>
      </x:c>
      <x:c r="Y206" s="93" t="n">
        <x:f>W206-X206</x:f>
        <x:v>121.65</x:v>
      </x:c>
      <x:c r="Z206" s="94" t="n">
        <x:f>IFERROR(Y206/W206,0)</x:f>
        <x:v>0.47959787108219987</x:v>
      </x:c>
      <x:c r="AA206" s="84" t="str">
        <x:f>PROPER(TRIM('Raw Sales'!M206))</x:f>
        <x:v>Credit Card</x:v>
      </x:c>
      <x:c r="AB206" s="84" t="str">
        <x:f>PROPER(TRIM('Raw Sales'!N206))</x:f>
        <x:v>Sofia Bennett</x:v>
      </x:c>
      <x:c r="AC206" s="85" t="n">
        <x:f>'Raw Sales'!O206</x:f>
        <x:v>45378</x:v>
      </x:c>
      <x:c r="AD206" s="84" t="n">
        <x:f>AC206-B206</x:f>
        <x:v>4</x:v>
      </x:c>
      <x:c r="AE206" s="84" t="str">
        <x:f>IF(COUNTIF($A$5:A206,A206)&gt;1,"Duplicate","Keep")</x:f>
        <x:v>Keep</x:v>
      </x:c>
      <x:c r="AF206" s="84" t="str">
        <x:f>IF(OR(R206&lt;=0,AC206&lt;B206,H206="Unknown",M206="Unknown Product"),"Review","Valid")</x:f>
        <x:v>Valid</x:v>
      </x:c>
      <x:c r="AG206" s="84" t="n">
        <x:f>IF(AND(AE206="Keep",AF206="Valid"),1,0)</x:f>
        <x:v>1</x:v>
      </x:c>
      <x:c r="AH206" s="84" t="n">
        <x:f>IF(AND(AG206=1,OR('Dashboard'!$B$4="All",I206='Dashboard'!$B$4),OR('Dashboard'!$E$4="All",N206='Dashboard'!$E$4),OR('Dashboard'!$H$4="All",K206='Dashboard'!$H$4),OR('Dashboard'!$K$4="All",C206='Dashboard'!$K$4)),1,0)</x:f>
        <x:v>1</x:v>
      </x:c>
      <x:c r="AI206" s="84" t="n">
        <x:f>IF(AND(AG206=1,OR('Dashboard'!$B$4="All",I206='Dashboard'!$B$4),OR('Dashboard'!$E$4="All",N206='Dashboard'!$E$4),OR('Dashboard'!$H$4="All",K206='Dashboard'!$H$4)),1,0)</x:f>
        <x:v>1</x:v>
      </x:c>
    </x:row>
    <x:row r="207">
      <x:c r="A207" s="84" t="str">
        <x:f>'Raw Sales'!A207</x:f>
        <x:v>ORD-2024-00114</x:v>
      </x:c>
      <x:c r="B207" s="85" t="n">
        <x:f>'Raw Sales'!B207</x:f>
        <x:v>45375</x:v>
      </x:c>
      <x:c r="C207" s="84" t="n">
        <x:f>YEAR(B207)</x:f>
        <x:v>2024</x:v>
      </x:c>
      <x:c r="D207" s="91" t="n">
        <x:f>DATE(YEAR(B207),MONTH(B207),1)</x:f>
        <x:v>45352</x:v>
      </x:c>
      <x:c r="E207" s="84" t="str">
        <x:f>TEXT(B207,"mmm")</x:f>
        <x:v>Mar</x:v>
      </x:c>
      <x:c r="F207" s="84" t="str">
        <x:f>'Raw Sales'!C207</x:f>
        <x:v>CUST-0193</x:v>
      </x:c>
      <x:c r="G207" s="84" t="str">
        <x:f>PROPER(TRIM('Raw Sales'!D207))</x:f>
        <x:v>Marcus Davis</x:v>
      </x:c>
      <x:c r="H207" s="84" t="str">
        <x:f>IF(TRIM('Raw Sales'!E207)="","Unknown",PROPER(TRIM('Raw Sales'!E207)))</x:f>
        <x:v>Corporate</x:v>
      </x:c>
      <x:c r="I207" s="84" t="str">
        <x:f>PROPER(TRIM('Raw Sales'!F207))</x:f>
        <x:v>Midwest</x:v>
      </x:c>
      <x:c r="J207" s="84" t="str">
        <x:f>PROPER(TRIM('Raw Sales'!G207))</x:f>
        <x:v>Columbus</x:v>
      </x:c>
      <x:c r="K207" s="84" t="str">
        <x:f>PROPER(TRIM('Raw Sales'!H207))</x:f>
        <x:v>Marketplace</x:v>
      </x:c>
      <x:c r="L207" s="84" t="str">
        <x:f>'Raw Sales'!I207</x:f>
        <x:v>FITN-002</x:v>
      </x:c>
      <x:c r="M207" s="84" t="str">
        <x:f>IFERROR(VLOOKUP(L207,'Reference Data'!$A$5:$F$40,2,FALSE),"Unknown Product")</x:f>
        <x:v>Adjustable Dumbbell Set</x:v>
      </x:c>
      <x:c r="N207" s="84" t="str">
        <x:f>IFERROR(VLOOKUP(L207,'Reference Data'!$A$5:$F$40,3,FALSE),"Unknown")</x:f>
        <x:v>Fitness</x:v>
      </x:c>
      <x:c r="O207" s="84" t="str">
        <x:f>IFERROR(VLOOKUP(L207,'Reference Data'!$A$5:$F$40,4,FALSE),"Unknown")</x:f>
        <x:v>Strength</x:v>
      </x:c>
      <x:c r="P207" s="92" t="n">
        <x:f>IFERROR(VLOOKUP(L207,'Reference Data'!$A$5:$F$40,5,FALSE),0)</x:f>
        <x:v>99</x:v>
      </x:c>
      <x:c r="Q207" s="92" t="n">
        <x:f>IFERROR(VLOOKUP(L207,'Reference Data'!$A$5:$F$40,6,FALSE),0)</x:f>
        <x:v>57</x:v>
      </x:c>
      <x:c r="R207" s="84" t="n">
        <x:f>'Raw Sales'!J207</x:f>
        <x:v>2</x:v>
      </x:c>
      <x:c r="S207" s="87" t="n">
        <x:f>'Raw Sales'!K207</x:f>
        <x:v>0.1</x:v>
      </x:c>
      <x:c r="T207" s="93" t="n">
        <x:f>P207*R207</x:f>
        <x:v>198</x:v>
      </x:c>
      <x:c r="U207" s="93" t="n">
        <x:f>T207*S207</x:f>
        <x:v>19.8</x:v>
      </x:c>
      <x:c r="V207" s="93" t="str">
        <x:f>PROPER(TRIM('Raw Sales'!L207))</x:f>
        <x:v>Completed</x:v>
      </x:c>
      <x:c r="W207" s="93" t="n">
        <x:f>IF(V207="Returned",0,T207-U207)</x:f>
        <x:v>178.2</x:v>
      </x:c>
      <x:c r="X207" s="93" t="n">
        <x:f>IF(V207="Returned",Q207*R207*10%,Q207*R207)</x:f>
        <x:v>114</x:v>
      </x:c>
      <x:c r="Y207" s="93" t="n">
        <x:f>W207-X207</x:f>
        <x:v>64.19999999999999</x:v>
      </x:c>
      <x:c r="Z207" s="94" t="n">
        <x:f>IFERROR(Y207/W207,0)</x:f>
        <x:v>0.36026936026936024</x:v>
      </x:c>
      <x:c r="AA207" s="84" t="str">
        <x:f>PROPER(TRIM('Raw Sales'!M207))</x:f>
        <x:v>Mobile Wallet</x:v>
      </x:c>
      <x:c r="AB207" s="84" t="str">
        <x:f>PROPER(TRIM('Raw Sales'!N207))</x:f>
        <x:v>Emma Hayes</x:v>
      </x:c>
      <x:c r="AC207" s="85" t="n">
        <x:f>'Raw Sales'!O207</x:f>
        <x:v>45379</x:v>
      </x:c>
      <x:c r="AD207" s="84" t="n">
        <x:f>AC207-B207</x:f>
        <x:v>4</x:v>
      </x:c>
      <x:c r="AE207" s="84" t="str">
        <x:f>IF(COUNTIF($A$5:A207,A207)&gt;1,"Duplicate","Keep")</x:f>
        <x:v>Keep</x:v>
      </x:c>
      <x:c r="AF207" s="84" t="str">
        <x:f>IF(OR(R207&lt;=0,AC207&lt;B207,H207="Unknown",M207="Unknown Product"),"Review","Valid")</x:f>
        <x:v>Valid</x:v>
      </x:c>
      <x:c r="AG207" s="84" t="n">
        <x:f>IF(AND(AE207="Keep",AF207="Valid"),1,0)</x:f>
        <x:v>1</x:v>
      </x:c>
      <x:c r="AH207" s="84" t="n">
        <x:f>IF(AND(AG207=1,OR('Dashboard'!$B$4="All",I207='Dashboard'!$B$4),OR('Dashboard'!$E$4="All",N207='Dashboard'!$E$4),OR('Dashboard'!$H$4="All",K207='Dashboard'!$H$4),OR('Dashboard'!$K$4="All",C207='Dashboard'!$K$4)),1,0)</x:f>
        <x:v>1</x:v>
      </x:c>
      <x:c r="AI207" s="84" t="n">
        <x:f>IF(AND(AG207=1,OR('Dashboard'!$B$4="All",I207='Dashboard'!$B$4),OR('Dashboard'!$E$4="All",N207='Dashboard'!$E$4),OR('Dashboard'!$H$4="All",K207='Dashboard'!$H$4)),1,0)</x:f>
        <x:v>1</x:v>
      </x:c>
    </x:row>
    <x:row r="208">
      <x:c r="A208" s="84" t="str">
        <x:f>'Raw Sales'!A208</x:f>
        <x:v>ORD-2024-00500</x:v>
      </x:c>
      <x:c r="B208" s="85" t="n">
        <x:f>'Raw Sales'!B208</x:f>
        <x:v>45375</x:v>
      </x:c>
      <x:c r="C208" s="84" t="n">
        <x:f>YEAR(B208)</x:f>
        <x:v>2024</x:v>
      </x:c>
      <x:c r="D208" s="91" t="n">
        <x:f>DATE(YEAR(B208),MONTH(B208),1)</x:f>
        <x:v>45352</x:v>
      </x:c>
      <x:c r="E208" s="84" t="str">
        <x:f>TEXT(B208,"mmm")</x:f>
        <x:v>Mar</x:v>
      </x:c>
      <x:c r="F208" s="84" t="str">
        <x:f>'Raw Sales'!C208</x:f>
        <x:v>CUST-0153</x:v>
      </x:c>
      <x:c r="G208" s="84" t="str">
        <x:f>PROPER(TRIM('Raw Sales'!D208))</x:f>
        <x:v>Marcus Evans</x:v>
      </x:c>
      <x:c r="H208" s="84" t="str">
        <x:f>IF(TRIM('Raw Sales'!E208)="","Unknown",PROPER(TRIM('Raw Sales'!E208)))</x:f>
        <x:v>Corporate</x:v>
      </x:c>
      <x:c r="I208" s="84" t="str">
        <x:f>PROPER(TRIM('Raw Sales'!F208))</x:f>
        <x:v>Northeast</x:v>
      </x:c>
      <x:c r="J208" s="84" t="str">
        <x:f>PROPER(TRIM('Raw Sales'!G208))</x:f>
        <x:v>Philadelphia</x:v>
      </x:c>
      <x:c r="K208" s="84" t="str">
        <x:f>PROPER(TRIM('Raw Sales'!H208))</x:f>
        <x:v>Marketplace</x:v>
      </x:c>
      <x:c r="L208" s="84" t="str">
        <x:f>'Raw Sales'!I208</x:f>
        <x:v>ELEC-005</x:v>
      </x:c>
      <x:c r="M208" s="84" t="str">
        <x:f>IFERROR(VLOOKUP(L208,'Reference Data'!$A$5:$F$40,2,FALSE),"Unknown Product")</x:f>
        <x:v>HD Webcam</x:v>
      </x:c>
      <x:c r="N208" s="84" t="str">
        <x:f>IFERROR(VLOOKUP(L208,'Reference Data'!$A$5:$F$40,3,FALSE),"Unknown")</x:f>
        <x:v>Electronics</x:v>
      </x:c>
      <x:c r="O208" s="84" t="str">
        <x:f>IFERROR(VLOOKUP(L208,'Reference Data'!$A$5:$F$40,4,FALSE),"Unknown")</x:f>
        <x:v>Computer Accessories</x:v>
      </x:c>
      <x:c r="P208" s="92" t="n">
        <x:f>IFERROR(VLOOKUP(L208,'Reference Data'!$A$5:$F$40,5,FALSE),0)</x:f>
        <x:v>79</x:v>
      </x:c>
      <x:c r="Q208" s="92" t="n">
        <x:f>IFERROR(VLOOKUP(L208,'Reference Data'!$A$5:$F$40,6,FALSE),0)</x:f>
        <x:v>37</x:v>
      </x:c>
      <x:c r="R208" s="84" t="n">
        <x:f>'Raw Sales'!J208</x:f>
        <x:v>2</x:v>
      </x:c>
      <x:c r="S208" s="87" t="n">
        <x:f>'Raw Sales'!K208</x:f>
        <x:v>0.05</x:v>
      </x:c>
      <x:c r="T208" s="93" t="n">
        <x:f>P208*R208</x:f>
        <x:v>158</x:v>
      </x:c>
      <x:c r="U208" s="93" t="n">
        <x:f>T208*S208</x:f>
        <x:v>7.9</x:v>
      </x:c>
      <x:c r="V208" s="93" t="str">
        <x:f>PROPER(TRIM('Raw Sales'!L208))</x:f>
        <x:v>Completed</x:v>
      </x:c>
      <x:c r="W208" s="93" t="n">
        <x:f>IF(V208="Returned",0,T208-U208)</x:f>
        <x:v>150.1</x:v>
      </x:c>
      <x:c r="X208" s="93" t="n">
        <x:f>IF(V208="Returned",Q208*R208*10%,Q208*R208)</x:f>
        <x:v>74</x:v>
      </x:c>
      <x:c r="Y208" s="93" t="n">
        <x:f>W208-X208</x:f>
        <x:v>76.1</x:v>
      </x:c>
      <x:c r="Z208" s="94" t="n">
        <x:f>IFERROR(Y208/W208,0)</x:f>
        <x:v>0.5069953364423717</x:v>
      </x:c>
      <x:c r="AA208" s="84" t="str">
        <x:f>PROPER(TRIM('Raw Sales'!M208))</x:f>
        <x:v>Paypal</x:v>
      </x:c>
      <x:c r="AB208" s="84" t="str">
        <x:f>PROPER(TRIM('Raw Sales'!N208))</x:f>
        <x:v>Sofia Bennett</x:v>
      </x:c>
      <x:c r="AC208" s="85" t="n">
        <x:f>'Raw Sales'!O208</x:f>
        <x:v>45378</x:v>
      </x:c>
      <x:c r="AD208" s="84" t="n">
        <x:f>AC208-B208</x:f>
        <x:v>3</x:v>
      </x:c>
      <x:c r="AE208" s="84" t="str">
        <x:f>IF(COUNTIF($A$5:A208,A208)&gt;1,"Duplicate","Keep")</x:f>
        <x:v>Keep</x:v>
      </x:c>
      <x:c r="AF208" s="84" t="str">
        <x:f>IF(OR(R208&lt;=0,AC208&lt;B208,H208="Unknown",M208="Unknown Product"),"Review","Valid")</x:f>
        <x:v>Valid</x:v>
      </x:c>
      <x:c r="AG208" s="84" t="n">
        <x:f>IF(AND(AE208="Keep",AF208="Valid"),1,0)</x:f>
        <x:v>1</x:v>
      </x:c>
      <x:c r="AH208" s="84" t="n">
        <x:f>IF(AND(AG208=1,OR('Dashboard'!$B$4="All",I208='Dashboard'!$B$4),OR('Dashboard'!$E$4="All",N208='Dashboard'!$E$4),OR('Dashboard'!$H$4="All",K208='Dashboard'!$H$4),OR('Dashboard'!$K$4="All",C208='Dashboard'!$K$4)),1,0)</x:f>
        <x:v>1</x:v>
      </x:c>
      <x:c r="AI208" s="84" t="n">
        <x:f>IF(AND(AG208=1,OR('Dashboard'!$B$4="All",I208='Dashboard'!$B$4),OR('Dashboard'!$E$4="All",N208='Dashboard'!$E$4),OR('Dashboard'!$H$4="All",K208='Dashboard'!$H$4)),1,0)</x:f>
        <x:v>1</x:v>
      </x:c>
    </x:row>
    <x:row r="209">
      <x:c r="A209" s="84" t="str">
        <x:f>'Raw Sales'!A209</x:f>
        <x:v>ORD-2024-00784</x:v>
      </x:c>
      <x:c r="B209" s="85" t="n">
        <x:f>'Raw Sales'!B209</x:f>
        <x:v>45375</x:v>
      </x:c>
      <x:c r="C209" s="84" t="n">
        <x:f>YEAR(B209)</x:f>
        <x:v>2024</x:v>
      </x:c>
      <x:c r="D209" s="91" t="n">
        <x:f>DATE(YEAR(B209),MONTH(B209),1)</x:f>
        <x:v>45352</x:v>
      </x:c>
      <x:c r="E209" s="84" t="str">
        <x:f>TEXT(B209,"mmm")</x:f>
        <x:v>Mar</x:v>
      </x:c>
      <x:c r="F209" s="84" t="str">
        <x:f>'Raw Sales'!C209</x:f>
        <x:v>CUST-0132</x:v>
      </x:c>
      <x:c r="G209" s="84" t="str">
        <x:f>PROPER(TRIM('Raw Sales'!D209))</x:f>
        <x:v>Chloe Taylor</x:v>
      </x:c>
      <x:c r="H209" s="84" t="str">
        <x:f>IF(TRIM('Raw Sales'!E209)="","Unknown",PROPER(TRIM('Raw Sales'!E209)))</x:f>
        <x:v>Corporate</x:v>
      </x:c>
      <x:c r="I209" s="84" t="str">
        <x:f>PROPER(TRIM('Raw Sales'!F209))</x:f>
        <x:v>Southeast</x:v>
      </x:c>
      <x:c r="J209" s="84" t="str">
        <x:f>PROPER(TRIM('Raw Sales'!G209))</x:f>
        <x:v>Atlanta</x:v>
      </x:c>
      <x:c r="K209" s="84" t="str">
        <x:f>PROPER(TRIM('Raw Sales'!H209))</x:f>
        <x:v>Retail Store</x:v>
      </x:c>
      <x:c r="L209" s="84" t="str">
        <x:f>'Raw Sales'!I209</x:f>
        <x:v>HOME-005</x:v>
      </x:c>
      <x:c r="M209" s="84" t="str">
        <x:f>IFERROR(VLOOKUP(L209,'Reference Data'!$A$5:$F$40,2,FALSE),"Unknown Product")</x:f>
        <x:v>Cordless Vacuum</x:v>
      </x:c>
      <x:c r="N209" s="84" t="str">
        <x:f>IFERROR(VLOOKUP(L209,'Reference Data'!$A$5:$F$40,3,FALSE),"Unknown")</x:f>
        <x:v>Home &amp; Kitchen</x:v>
      </x:c>
      <x:c r="O209" s="84" t="str">
        <x:f>IFERROR(VLOOKUP(L209,'Reference Data'!$A$5:$F$40,4,FALSE),"Unknown")</x:f>
        <x:v>Cleaning</x:v>
      </x:c>
      <x:c r="P209" s="92" t="n">
        <x:f>IFERROR(VLOOKUP(L209,'Reference Data'!$A$5:$F$40,5,FALSE),0)</x:f>
        <x:v>179</x:v>
      </x:c>
      <x:c r="Q209" s="92" t="n">
        <x:f>IFERROR(VLOOKUP(L209,'Reference Data'!$A$5:$F$40,6,FALSE),0)</x:f>
        <x:v>102</x:v>
      </x:c>
      <x:c r="R209" s="84" t="n">
        <x:f>'Raw Sales'!J209</x:f>
        <x:v>2</x:v>
      </x:c>
      <x:c r="S209" s="87" t="n">
        <x:f>'Raw Sales'!K209</x:f>
        <x:v>0.1</x:v>
      </x:c>
      <x:c r="T209" s="93" t="n">
        <x:f>P209*R209</x:f>
        <x:v>358</x:v>
      </x:c>
      <x:c r="U209" s="93" t="n">
        <x:f>T209*S209</x:f>
        <x:v>35.800000000000004</x:v>
      </x:c>
      <x:c r="V209" s="93" t="str">
        <x:f>PROPER(TRIM('Raw Sales'!L209))</x:f>
        <x:v>Completed</x:v>
      </x:c>
      <x:c r="W209" s="93" t="n">
        <x:f>IF(V209="Returned",0,T209-U209)</x:f>
        <x:v>322.2</x:v>
      </x:c>
      <x:c r="X209" s="93" t="n">
        <x:f>IF(V209="Returned",Q209*R209*10%,Q209*R209)</x:f>
        <x:v>204</x:v>
      </x:c>
      <x:c r="Y209" s="93" t="n">
        <x:f>W209-X209</x:f>
        <x:v>118.19999999999999</x:v>
      </x:c>
      <x:c r="Z209" s="94" t="n">
        <x:f>IFERROR(Y209/W209,0)</x:f>
        <x:v>0.36685288640595903</x:v>
      </x:c>
      <x:c r="AA209" s="84" t="str">
        <x:f>PROPER(TRIM('Raw Sales'!M209))</x:f>
        <x:v>Credit Card</x:v>
      </x:c>
      <x:c r="AB209" s="84" t="str">
        <x:f>PROPER(TRIM('Raw Sales'!N209))</x:f>
        <x:v>Ava Mitchell</x:v>
      </x:c>
      <x:c r="AC209" s="85" t="n">
        <x:f>'Raw Sales'!O209</x:f>
        <x:v>45375</x:v>
      </x:c>
      <x:c r="AD209" s="84" t="n">
        <x:f>AC209-B209</x:f>
        <x:v>0</x:v>
      </x:c>
      <x:c r="AE209" s="84" t="str">
        <x:f>IF(COUNTIF($A$5:A209,A209)&gt;1,"Duplicate","Keep")</x:f>
        <x:v>Keep</x:v>
      </x:c>
      <x:c r="AF209" s="84" t="str">
        <x:f>IF(OR(R209&lt;=0,AC209&lt;B209,H209="Unknown",M209="Unknown Product"),"Review","Valid")</x:f>
        <x:v>Valid</x:v>
      </x:c>
      <x:c r="AG209" s="84" t="n">
        <x:f>IF(AND(AE209="Keep",AF209="Valid"),1,0)</x:f>
        <x:v>1</x:v>
      </x:c>
      <x:c r="AH209" s="84" t="n">
        <x:f>IF(AND(AG209=1,OR('Dashboard'!$B$4="All",I209='Dashboard'!$B$4),OR('Dashboard'!$E$4="All",N209='Dashboard'!$E$4),OR('Dashboard'!$H$4="All",K209='Dashboard'!$H$4),OR('Dashboard'!$K$4="All",C209='Dashboard'!$K$4)),1,0)</x:f>
        <x:v>1</x:v>
      </x:c>
      <x:c r="AI209" s="84" t="n">
        <x:f>IF(AND(AG209=1,OR('Dashboard'!$B$4="All",I209='Dashboard'!$B$4),OR('Dashboard'!$E$4="All",N209='Dashboard'!$E$4),OR('Dashboard'!$H$4="All",K209='Dashboard'!$H$4)),1,0)</x:f>
        <x:v>1</x:v>
      </x:c>
    </x:row>
    <x:row r="210">
      <x:c r="A210" s="84" t="str">
        <x:f>'Raw Sales'!A210</x:f>
        <x:v>ORD-2024-01264</x:v>
      </x:c>
      <x:c r="B210" s="85" t="n">
        <x:f>'Raw Sales'!B210</x:f>
        <x:v>45375</x:v>
      </x:c>
      <x:c r="C210" s="84" t="n">
        <x:f>YEAR(B210)</x:f>
        <x:v>2024</x:v>
      </x:c>
      <x:c r="D210" s="91" t="n">
        <x:f>DATE(YEAR(B210),MONTH(B210),1)</x:f>
        <x:v>45352</x:v>
      </x:c>
      <x:c r="E210" s="84" t="str">
        <x:f>TEXT(B210,"mmm")</x:f>
        <x:v>Mar</x:v>
      </x:c>
      <x:c r="F210" s="84" t="str">
        <x:f>'Raw Sales'!C210</x:f>
        <x:v>CUST-0455</x:v>
      </x:c>
      <x:c r="G210" s="84" t="str">
        <x:f>PROPER(TRIM('Raw Sales'!D210))</x:f>
        <x:v>Nathan Carter</x:v>
      </x:c>
      <x:c r="H210" s="84" t="str">
        <x:f>IF(TRIM('Raw Sales'!E210)="","Unknown",PROPER(TRIM('Raw Sales'!E210)))</x:f>
        <x:v>Consumer</x:v>
      </x:c>
      <x:c r="I210" s="84" t="str">
        <x:f>PROPER(TRIM('Raw Sales'!F210))</x:f>
        <x:v>West</x:v>
      </x:c>
      <x:c r="J210" s="84" t="str">
        <x:f>PROPER(TRIM('Raw Sales'!G210))</x:f>
        <x:v>Seattle</x:v>
      </x:c>
      <x:c r="K210" s="84" t="str">
        <x:f>PROPER(TRIM('Raw Sales'!H210))</x:f>
        <x:v>Online</x:v>
      </x:c>
      <x:c r="L210" s="84" t="str">
        <x:f>'Raw Sales'!I210</x:f>
        <x:v>HOME-005</x:v>
      </x:c>
      <x:c r="M210" s="84" t="str">
        <x:f>IFERROR(VLOOKUP(L210,'Reference Data'!$A$5:$F$40,2,FALSE),"Unknown Product")</x:f>
        <x:v>Cordless Vacuum</x:v>
      </x:c>
      <x:c r="N210" s="84" t="str">
        <x:f>IFERROR(VLOOKUP(L210,'Reference Data'!$A$5:$F$40,3,FALSE),"Unknown")</x:f>
        <x:v>Home &amp; Kitchen</x:v>
      </x:c>
      <x:c r="O210" s="84" t="str">
        <x:f>IFERROR(VLOOKUP(L210,'Reference Data'!$A$5:$F$40,4,FALSE),"Unknown")</x:f>
        <x:v>Cleaning</x:v>
      </x:c>
      <x:c r="P210" s="92" t="n">
        <x:f>IFERROR(VLOOKUP(L210,'Reference Data'!$A$5:$F$40,5,FALSE),0)</x:f>
        <x:v>179</x:v>
      </x:c>
      <x:c r="Q210" s="92" t="n">
        <x:f>IFERROR(VLOOKUP(L210,'Reference Data'!$A$5:$F$40,6,FALSE),0)</x:f>
        <x:v>102</x:v>
      </x:c>
      <x:c r="R210" s="84" t="n">
        <x:f>'Raw Sales'!J210</x:f>
        <x:v>1</x:v>
      </x:c>
      <x:c r="S210" s="87" t="n">
        <x:f>'Raw Sales'!K210</x:f>
        <x:v>0</x:v>
      </x:c>
      <x:c r="T210" s="93" t="n">
        <x:f>P210*R210</x:f>
        <x:v>179</x:v>
      </x:c>
      <x:c r="U210" s="93" t="n">
        <x:f>T210*S210</x:f>
        <x:v>0</x:v>
      </x:c>
      <x:c r="V210" s="93" t="str">
        <x:f>PROPER(TRIM('Raw Sales'!L210))</x:f>
        <x:v>Completed</x:v>
      </x:c>
      <x:c r="W210" s="93" t="n">
        <x:f>IF(V210="Returned",0,T210-U210)</x:f>
        <x:v>179</x:v>
      </x:c>
      <x:c r="X210" s="93" t="n">
        <x:f>IF(V210="Returned",Q210*R210*10%,Q210*R210)</x:f>
        <x:v>102</x:v>
      </x:c>
      <x:c r="Y210" s="93" t="n">
        <x:f>W210-X210</x:f>
        <x:v>77</x:v>
      </x:c>
      <x:c r="Z210" s="94" t="n">
        <x:f>IFERROR(Y210/W210,0)</x:f>
        <x:v>0.4301675977653631</x:v>
      </x:c>
      <x:c r="AA210" s="84" t="str">
        <x:f>PROPER(TRIM('Raw Sales'!M210))</x:f>
        <x:v>Credit Card</x:v>
      </x:c>
      <x:c r="AB210" s="84" t="str">
        <x:f>PROPER(TRIM('Raw Sales'!N210))</x:f>
        <x:v>Leo Martinez</x:v>
      </x:c>
      <x:c r="AC210" s="85" t="n">
        <x:f>'Raw Sales'!O210</x:f>
        <x:v>45377</x:v>
      </x:c>
      <x:c r="AD210" s="84" t="n">
        <x:f>AC210-B210</x:f>
        <x:v>2</x:v>
      </x:c>
      <x:c r="AE210" s="84" t="str">
        <x:f>IF(COUNTIF($A$5:A210,A210)&gt;1,"Duplicate","Keep")</x:f>
        <x:v>Keep</x:v>
      </x:c>
      <x:c r="AF210" s="84" t="str">
        <x:f>IF(OR(R210&lt;=0,AC210&lt;B210,H210="Unknown",M210="Unknown Product"),"Review","Valid")</x:f>
        <x:v>Valid</x:v>
      </x:c>
      <x:c r="AG210" s="84" t="n">
        <x:f>IF(AND(AE210="Keep",AF210="Valid"),1,0)</x:f>
        <x:v>1</x:v>
      </x:c>
      <x:c r="AH210" s="84" t="n">
        <x:f>IF(AND(AG210=1,OR('Dashboard'!$B$4="All",I210='Dashboard'!$B$4),OR('Dashboard'!$E$4="All",N210='Dashboard'!$E$4),OR('Dashboard'!$H$4="All",K210='Dashboard'!$H$4),OR('Dashboard'!$K$4="All",C210='Dashboard'!$K$4)),1,0)</x:f>
        <x:v>1</x:v>
      </x:c>
      <x:c r="AI210" s="84" t="n">
        <x:f>IF(AND(AG210=1,OR('Dashboard'!$B$4="All",I210='Dashboard'!$B$4),OR('Dashboard'!$E$4="All",N210='Dashboard'!$E$4),OR('Dashboard'!$H$4="All",K210='Dashboard'!$H$4)),1,0)</x:f>
        <x:v>1</x:v>
      </x:c>
    </x:row>
    <x:row r="211">
      <x:c r="A211" s="84" t="str">
        <x:f>'Raw Sales'!A211</x:f>
        <x:v>ORD-2024-01897</x:v>
      </x:c>
      <x:c r="B211" s="85" t="n">
        <x:f>'Raw Sales'!B211</x:f>
        <x:v>45375</x:v>
      </x:c>
      <x:c r="C211" s="84" t="n">
        <x:f>YEAR(B211)</x:f>
        <x:v>2024</x:v>
      </x:c>
      <x:c r="D211" s="91" t="n">
        <x:f>DATE(YEAR(B211),MONTH(B211),1)</x:f>
        <x:v>45352</x:v>
      </x:c>
      <x:c r="E211" s="84" t="str">
        <x:f>TEXT(B211,"mmm")</x:f>
        <x:v>Mar</x:v>
      </x:c>
      <x:c r="F211" s="84" t="str">
        <x:f>'Raw Sales'!C211</x:f>
        <x:v>CUST-0283</x:v>
      </x:c>
      <x:c r="G211" s="84" t="str">
        <x:f>PROPER(TRIM('Raw Sales'!D211))</x:f>
        <x:v>Priya Adams</x:v>
      </x:c>
      <x:c r="H211" s="84" t="str">
        <x:f>IF(TRIM('Raw Sales'!E211)="","Unknown",PROPER(TRIM('Raw Sales'!E211)))</x:f>
        <x:v>Consumer</x:v>
      </x:c>
      <x:c r="I211" s="84" t="str">
        <x:f>PROPER(TRIM('Raw Sales'!F211))</x:f>
        <x:v>West</x:v>
      </x:c>
      <x:c r="J211" s="84" t="str">
        <x:f>PROPER(TRIM('Raw Sales'!G211))</x:f>
        <x:v>Denver</x:v>
      </x:c>
      <x:c r="K211" s="84" t="str">
        <x:f>PROPER(TRIM('Raw Sales'!H211))</x:f>
        <x:v>Marketplace</x:v>
      </x:c>
      <x:c r="L211" s="84" t="str">
        <x:f>'Raw Sales'!I211</x:f>
        <x:v>ACCS-002</x:v>
      </x:c>
      <x:c r="M211" s="84" t="str">
        <x:f>IFERROR(VLOOKUP(L211,'Reference Data'!$A$5:$F$40,2,FALSE),"Unknown Product")</x:f>
        <x:v>Travel Backpack</x:v>
      </x:c>
      <x:c r="N211" s="84" t="str">
        <x:f>IFERROR(VLOOKUP(L211,'Reference Data'!$A$5:$F$40,3,FALSE),"Unknown")</x:f>
        <x:v>Accessories</x:v>
      </x:c>
      <x:c r="O211" s="84" t="str">
        <x:f>IFERROR(VLOOKUP(L211,'Reference Data'!$A$5:$F$40,4,FALSE),"Unknown")</x:f>
        <x:v>Bags</x:v>
      </x:c>
      <x:c r="P211" s="92" t="n">
        <x:f>IFERROR(VLOOKUP(L211,'Reference Data'!$A$5:$F$40,5,FALSE),0)</x:f>
        <x:v>89</x:v>
      </x:c>
      <x:c r="Q211" s="92" t="n">
        <x:f>IFERROR(VLOOKUP(L211,'Reference Data'!$A$5:$F$40,6,FALSE),0)</x:f>
        <x:v>36</x:v>
      </x:c>
      <x:c r="R211" s="84" t="n">
        <x:f>'Raw Sales'!J211</x:f>
        <x:v>1</x:v>
      </x:c>
      <x:c r="S211" s="87" t="n">
        <x:f>'Raw Sales'!K211</x:f>
        <x:v>0.1</x:v>
      </x:c>
      <x:c r="T211" s="93" t="n">
        <x:f>P211*R211</x:f>
        <x:v>89</x:v>
      </x:c>
      <x:c r="U211" s="93" t="n">
        <x:f>T211*S211</x:f>
        <x:v>8.9</x:v>
      </x:c>
      <x:c r="V211" s="93" t="str">
        <x:f>PROPER(TRIM('Raw Sales'!L211))</x:f>
        <x:v>Completed</x:v>
      </x:c>
      <x:c r="W211" s="93" t="n">
        <x:f>IF(V211="Returned",0,T211-U211)</x:f>
        <x:v>80.1</x:v>
      </x:c>
      <x:c r="X211" s="93" t="n">
        <x:f>IF(V211="Returned",Q211*R211*10%,Q211*R211)</x:f>
        <x:v>36</x:v>
      </x:c>
      <x:c r="Y211" s="93" t="n">
        <x:f>W211-X211</x:f>
        <x:v>44.099999999999994</x:v>
      </x:c>
      <x:c r="Z211" s="94" t="n">
        <x:f>IFERROR(Y211/W211,0)</x:f>
        <x:v>0.550561797752809</x:v>
      </x:c>
      <x:c r="AA211" s="84" t="str">
        <x:f>PROPER(TRIM('Raw Sales'!M211))</x:f>
        <x:v>Mobile Wallet</x:v>
      </x:c>
      <x:c r="AB211" s="84" t="str">
        <x:f>PROPER(TRIM('Raw Sales'!N211))</x:f>
        <x:v>Mia Chen</x:v>
      </x:c>
      <x:c r="AC211" s="85" t="n">
        <x:f>'Raw Sales'!O211</x:f>
        <x:v>45382</x:v>
      </x:c>
      <x:c r="AD211" s="84" t="n">
        <x:f>AC211-B211</x:f>
        <x:v>7</x:v>
      </x:c>
      <x:c r="AE211" s="84" t="str">
        <x:f>IF(COUNTIF($A$5:A211,A211)&gt;1,"Duplicate","Keep")</x:f>
        <x:v>Keep</x:v>
      </x:c>
      <x:c r="AF211" s="84" t="str">
        <x:f>IF(OR(R211&lt;=0,AC211&lt;B211,H211="Unknown",M211="Unknown Product"),"Review","Valid")</x:f>
        <x:v>Valid</x:v>
      </x:c>
      <x:c r="AG211" s="84" t="n">
        <x:f>IF(AND(AE211="Keep",AF211="Valid"),1,0)</x:f>
        <x:v>1</x:v>
      </x:c>
      <x:c r="AH211" s="84" t="n">
        <x:f>IF(AND(AG211=1,OR('Dashboard'!$B$4="All",I211='Dashboard'!$B$4),OR('Dashboard'!$E$4="All",N211='Dashboard'!$E$4),OR('Dashboard'!$H$4="All",K211='Dashboard'!$H$4),OR('Dashboard'!$K$4="All",C211='Dashboard'!$K$4)),1,0)</x:f>
        <x:v>1</x:v>
      </x:c>
      <x:c r="AI211" s="84" t="n">
        <x:f>IF(AND(AG211=1,OR('Dashboard'!$B$4="All",I211='Dashboard'!$B$4),OR('Dashboard'!$E$4="All",N211='Dashboard'!$E$4),OR('Dashboard'!$H$4="All",K211='Dashboard'!$H$4)),1,0)</x:f>
        <x:v>1</x:v>
      </x:c>
    </x:row>
    <x:row r="212">
      <x:c r="A212" s="84" t="str">
        <x:f>'Raw Sales'!A212</x:f>
        <x:v>ORD-2024-00346</x:v>
      </x:c>
      <x:c r="B212" s="85" t="n">
        <x:f>'Raw Sales'!B212</x:f>
        <x:v>45376</x:v>
      </x:c>
      <x:c r="C212" s="84" t="n">
        <x:f>YEAR(B212)</x:f>
        <x:v>2024</x:v>
      </x:c>
      <x:c r="D212" s="91" t="n">
        <x:f>DATE(YEAR(B212),MONTH(B212),1)</x:f>
        <x:v>45352</x:v>
      </x:c>
      <x:c r="E212" s="84" t="str">
        <x:f>TEXT(B212,"mmm")</x:f>
        <x:v>Mar</x:v>
      </x:c>
      <x:c r="F212" s="84" t="str">
        <x:f>'Raw Sales'!C212</x:f>
        <x:v>CUST-0586</x:v>
      </x:c>
      <x:c r="G212" s="84" t="str">
        <x:f>PROPER(TRIM('Raw Sales'!D212))</x:f>
        <x:v>Isaac Adams</x:v>
      </x:c>
      <x:c r="H212" s="84" t="str">
        <x:f>IF(TRIM('Raw Sales'!E212)="","Unknown",PROPER(TRIM('Raw Sales'!E212)))</x:f>
        <x:v>Small Business</x:v>
      </x:c>
      <x:c r="I212" s="84" t="str">
        <x:f>PROPER(TRIM('Raw Sales'!F212))</x:f>
        <x:v>Midwest</x:v>
      </x:c>
      <x:c r="J212" s="84" t="str">
        <x:f>PROPER(TRIM('Raw Sales'!G212))</x:f>
        <x:v>Detroit</x:v>
      </x:c>
      <x:c r="K212" s="84" t="str">
        <x:f>PROPER(TRIM('Raw Sales'!H212))</x:f>
        <x:v>Marketplace</x:v>
      </x:c>
      <x:c r="L212" s="84" t="str">
        <x:f>'Raw Sales'!I212</x:f>
        <x:v>HOME-001</x:v>
      </x:c>
      <x:c r="M212" s="84" t="str">
        <x:f>IFERROR(VLOOKUP(L212,'Reference Data'!$A$5:$F$40,2,FALSE),"Unknown Product")</x:f>
        <x:v>Air Fryer</x:v>
      </x:c>
      <x:c r="N212" s="84" t="str">
        <x:f>IFERROR(VLOOKUP(L212,'Reference Data'!$A$5:$F$40,3,FALSE),"Unknown")</x:f>
        <x:v>Home &amp; Kitchen</x:v>
      </x:c>
      <x:c r="O212" s="84" t="str">
        <x:f>IFERROR(VLOOKUP(L212,'Reference Data'!$A$5:$F$40,4,FALSE),"Unknown")</x:f>
        <x:v>Small Appliances</x:v>
      </x:c>
      <x:c r="P212" s="92" t="n">
        <x:f>IFERROR(VLOOKUP(L212,'Reference Data'!$A$5:$F$40,5,FALSE),0)</x:f>
        <x:v>119</x:v>
      </x:c>
      <x:c r="Q212" s="92" t="n">
        <x:f>IFERROR(VLOOKUP(L212,'Reference Data'!$A$5:$F$40,6,FALSE),0)</x:f>
        <x:v>68</x:v>
      </x:c>
      <x:c r="R212" s="84" t="n">
        <x:f>'Raw Sales'!J212</x:f>
        <x:v>4</x:v>
      </x:c>
      <x:c r="S212" s="87" t="n">
        <x:f>'Raw Sales'!K212</x:f>
        <x:v>0.1</x:v>
      </x:c>
      <x:c r="T212" s="93" t="n">
        <x:f>P212*R212</x:f>
        <x:v>476</x:v>
      </x:c>
      <x:c r="U212" s="93" t="n">
        <x:f>T212*S212</x:f>
        <x:v>47.6</x:v>
      </x:c>
      <x:c r="V212" s="93" t="str">
        <x:f>PROPER(TRIM('Raw Sales'!L212))</x:f>
        <x:v>Completed</x:v>
      </x:c>
      <x:c r="W212" s="93" t="n">
        <x:f>IF(V212="Returned",0,T212-U212)</x:f>
        <x:v>428.4</x:v>
      </x:c>
      <x:c r="X212" s="93" t="n">
        <x:f>IF(V212="Returned",Q212*R212*10%,Q212*R212)</x:f>
        <x:v>272</x:v>
      </x:c>
      <x:c r="Y212" s="93" t="n">
        <x:f>W212-X212</x:f>
        <x:v>156.39999999999998</x:v>
      </x:c>
      <x:c r="Z212" s="94" t="n">
        <x:f>IFERROR(Y212/W212,0)</x:f>
        <x:v>0.36507936507936506</x:v>
      </x:c>
      <x:c r="AA212" s="84" t="str">
        <x:f>PROPER(TRIM('Raw Sales'!M212))</x:f>
        <x:v>Mobile Wallet</x:v>
      </x:c>
      <x:c r="AB212" s="84" t="str">
        <x:f>PROPER(TRIM('Raw Sales'!N212))</x:f>
        <x:v>Zoe Turner</x:v>
      </x:c>
      <x:c r="AC212" s="85" t="n">
        <x:f>'Raw Sales'!O212</x:f>
        <x:v>45384</x:v>
      </x:c>
      <x:c r="AD212" s="84" t="n">
        <x:f>AC212-B212</x:f>
        <x:v>8</x:v>
      </x:c>
      <x:c r="AE212" s="84" t="str">
        <x:f>IF(COUNTIF($A$5:A212,A212)&gt;1,"Duplicate","Keep")</x:f>
        <x:v>Keep</x:v>
      </x:c>
      <x:c r="AF212" s="84" t="str">
        <x:f>IF(OR(R212&lt;=0,AC212&lt;B212,H212="Unknown",M212="Unknown Product"),"Review","Valid")</x:f>
        <x:v>Valid</x:v>
      </x:c>
      <x:c r="AG212" s="84" t="n">
        <x:f>IF(AND(AE212="Keep",AF212="Valid"),1,0)</x:f>
        <x:v>1</x:v>
      </x:c>
      <x:c r="AH212" s="84" t="n">
        <x:f>IF(AND(AG212=1,OR('Dashboard'!$B$4="All",I212='Dashboard'!$B$4),OR('Dashboard'!$E$4="All",N212='Dashboard'!$E$4),OR('Dashboard'!$H$4="All",K212='Dashboard'!$H$4),OR('Dashboard'!$K$4="All",C212='Dashboard'!$K$4)),1,0)</x:f>
        <x:v>1</x:v>
      </x:c>
      <x:c r="AI212" s="84" t="n">
        <x:f>IF(AND(AG212=1,OR('Dashboard'!$B$4="All",I212='Dashboard'!$B$4),OR('Dashboard'!$E$4="All",N212='Dashboard'!$E$4),OR('Dashboard'!$H$4="All",K212='Dashboard'!$H$4)),1,0)</x:f>
        <x:v>1</x:v>
      </x:c>
    </x:row>
    <x:row r="213">
      <x:c r="A213" s="84" t="str">
        <x:f>'Raw Sales'!A213</x:f>
        <x:v>ORD-2024-00874</x:v>
      </x:c>
      <x:c r="B213" s="85" t="n">
        <x:f>'Raw Sales'!B213</x:f>
        <x:v>45376</x:v>
      </x:c>
      <x:c r="C213" s="84" t="n">
        <x:f>YEAR(B213)</x:f>
        <x:v>2024</x:v>
      </x:c>
      <x:c r="D213" s="91" t="n">
        <x:f>DATE(YEAR(B213),MONTH(B213),1)</x:f>
        <x:v>45352</x:v>
      </x:c>
      <x:c r="E213" s="84" t="str">
        <x:f>TEXT(B213,"mmm")</x:f>
        <x:v>Mar</x:v>
      </x:c>
      <x:c r="F213" s="84" t="str">
        <x:f>'Raw Sales'!C213</x:f>
        <x:v>CUST-0053</x:v>
      </x:c>
      <x:c r="G213" s="84" t="str">
        <x:f>PROPER(TRIM('Raw Sales'!D213))</x:f>
        <x:v>Theo Patel</x:v>
      </x:c>
      <x:c r="H213" s="84" t="str">
        <x:f>IF(TRIM('Raw Sales'!E213)="","Unknown",PROPER(TRIM('Raw Sales'!E213)))</x:f>
        <x:v>Small Business</x:v>
      </x:c>
      <x:c r="I213" s="84" t="str">
        <x:f>PROPER(TRIM('Raw Sales'!F213))</x:f>
        <x:v>West</x:v>
      </x:c>
      <x:c r="J213" s="84" t="str">
        <x:f>PROPER(TRIM('Raw Sales'!G213))</x:f>
        <x:v>Los Angeles</x:v>
      </x:c>
      <x:c r="K213" s="84" t="str">
        <x:f>PROPER(TRIM('Raw Sales'!H213))</x:f>
        <x:v>Retail Store</x:v>
      </x:c>
      <x:c r="L213" s="84" t="str">
        <x:f>'Raw Sales'!I213</x:f>
        <x:v>HOME-003</x:v>
      </x:c>
      <x:c r="M213" s="84" t="str">
        <x:f>IFERROR(VLOOKUP(L213,'Reference Data'!$A$5:$F$40,2,FALSE),"Unknown Product")</x:f>
        <x:v>Countertop Blender</x:v>
      </x:c>
      <x:c r="N213" s="84" t="str">
        <x:f>IFERROR(VLOOKUP(L213,'Reference Data'!$A$5:$F$40,3,FALSE),"Unknown")</x:f>
        <x:v>Home &amp; Kitchen</x:v>
      </x:c>
      <x:c r="O213" s="84" t="str">
        <x:f>IFERROR(VLOOKUP(L213,'Reference Data'!$A$5:$F$40,4,FALSE),"Unknown")</x:f>
        <x:v>Small Appliances</x:v>
      </x:c>
      <x:c r="P213" s="92" t="n">
        <x:f>IFERROR(VLOOKUP(L213,'Reference Data'!$A$5:$F$40,5,FALSE),0)</x:f>
        <x:v>89</x:v>
      </x:c>
      <x:c r="Q213" s="92" t="n">
        <x:f>IFERROR(VLOOKUP(L213,'Reference Data'!$A$5:$F$40,6,FALSE),0)</x:f>
        <x:v>46</x:v>
      </x:c>
      <x:c r="R213" s="84" t="n">
        <x:f>'Raw Sales'!J213</x:f>
        <x:v>1</x:v>
      </x:c>
      <x:c r="S213" s="87" t="n">
        <x:f>'Raw Sales'!K213</x:f>
        <x:v>0.05</x:v>
      </x:c>
      <x:c r="T213" s="93" t="n">
        <x:f>P213*R213</x:f>
        <x:v>89</x:v>
      </x:c>
      <x:c r="U213" s="93" t="n">
        <x:f>T213*S213</x:f>
        <x:v>4.45</x:v>
      </x:c>
      <x:c r="V213" s="93" t="str">
        <x:f>PROPER(TRIM('Raw Sales'!L213))</x:f>
        <x:v>Completed</x:v>
      </x:c>
      <x:c r="W213" s="93" t="n">
        <x:f>IF(V213="Returned",0,T213-U213)</x:f>
        <x:v>84.55</x:v>
      </x:c>
      <x:c r="X213" s="93" t="n">
        <x:f>IF(V213="Returned",Q213*R213*10%,Q213*R213)</x:f>
        <x:v>46</x:v>
      </x:c>
      <x:c r="Y213" s="93" t="n">
        <x:f>W213-X213</x:f>
        <x:v>38.55</x:v>
      </x:c>
      <x:c r="Z213" s="94" t="n">
        <x:f>IFERROR(Y213/W213,0)</x:f>
        <x:v>0.4559432288586635</x:v>
      </x:c>
      <x:c r="AA213" s="84" t="str">
        <x:f>PROPER(TRIM('Raw Sales'!M213))</x:f>
        <x:v>Debit Card</x:v>
      </x:c>
      <x:c r="AB213" s="84" t="str">
        <x:f>PROPER(TRIM('Raw Sales'!N213))</x:f>
        <x:v>Nora Kim</x:v>
      </x:c>
      <x:c r="AC213" s="85" t="n">
        <x:f>'Raw Sales'!O213</x:f>
        <x:v>45376</x:v>
      </x:c>
      <x:c r="AD213" s="84" t="n">
        <x:f>AC213-B213</x:f>
        <x:v>0</x:v>
      </x:c>
      <x:c r="AE213" s="84" t="str">
        <x:f>IF(COUNTIF($A$5:A213,A213)&gt;1,"Duplicate","Keep")</x:f>
        <x:v>Keep</x:v>
      </x:c>
      <x:c r="AF213" s="84" t="str">
        <x:f>IF(OR(R213&lt;=0,AC213&lt;B213,H213="Unknown",M213="Unknown Product"),"Review","Valid")</x:f>
        <x:v>Valid</x:v>
      </x:c>
      <x:c r="AG213" s="84" t="n">
        <x:f>IF(AND(AE213="Keep",AF213="Valid"),1,0)</x:f>
        <x:v>1</x:v>
      </x:c>
      <x:c r="AH213" s="84" t="n">
        <x:f>IF(AND(AG213=1,OR('Dashboard'!$B$4="All",I213='Dashboard'!$B$4),OR('Dashboard'!$E$4="All",N213='Dashboard'!$E$4),OR('Dashboard'!$H$4="All",K213='Dashboard'!$H$4),OR('Dashboard'!$K$4="All",C213='Dashboard'!$K$4)),1,0)</x:f>
        <x:v>1</x:v>
      </x:c>
      <x:c r="AI213" s="84" t="n">
        <x:f>IF(AND(AG213=1,OR('Dashboard'!$B$4="All",I213='Dashboard'!$B$4),OR('Dashboard'!$E$4="All",N213='Dashboard'!$E$4),OR('Dashboard'!$H$4="All",K213='Dashboard'!$H$4)),1,0)</x:f>
        <x:v>1</x:v>
      </x:c>
    </x:row>
    <x:row r="214">
      <x:c r="A214" s="84" t="str">
        <x:f>'Raw Sales'!A214</x:f>
        <x:v>ORD-2024-01030</x:v>
      </x:c>
      <x:c r="B214" s="85" t="n">
        <x:f>'Raw Sales'!B214</x:f>
        <x:v>45376</x:v>
      </x:c>
      <x:c r="C214" s="84" t="n">
        <x:f>YEAR(B214)</x:f>
        <x:v>2024</x:v>
      </x:c>
      <x:c r="D214" s="91" t="n">
        <x:f>DATE(YEAR(B214),MONTH(B214),1)</x:f>
        <x:v>45352</x:v>
      </x:c>
      <x:c r="E214" s="84" t="str">
        <x:f>TEXT(B214,"mmm")</x:f>
        <x:v>Mar</x:v>
      </x:c>
      <x:c r="F214" s="84" t="str">
        <x:f>'Raw Sales'!C214</x:f>
        <x:v>CUST-0114</x:v>
      </x:c>
      <x:c r="G214" s="84" t="str">
        <x:f>PROPER(TRIM('Raw Sales'!D214))</x:f>
        <x:v>Amelia Smith</x:v>
      </x:c>
      <x:c r="H214" s="84" t="str">
        <x:f>IF(TRIM('Raw Sales'!E214)="","Unknown",PROPER(TRIM('Raw Sales'!E214)))</x:f>
        <x:v>Corporate</x:v>
      </x:c>
      <x:c r="I214" s="84" t="str">
        <x:f>PROPER(TRIM('Raw Sales'!F214))</x:f>
        <x:v>Midwest</x:v>
      </x:c>
      <x:c r="J214" s="84" t="str">
        <x:f>PROPER(TRIM('Raw Sales'!G214))</x:f>
        <x:v>Minneapolis</x:v>
      </x:c>
      <x:c r="K214" s="84" t="str">
        <x:f>PROPER(TRIM('Raw Sales'!H214))</x:f>
        <x:v>Online</x:v>
      </x:c>
      <x:c r="L214" s="84" t="str">
        <x:f>'Raw Sales'!I214</x:f>
        <x:v>CARE-003</x:v>
      </x:c>
      <x:c r="M214" s="84" t="str">
        <x:f>IFERROR(VLOOKUP(L214,'Reference Data'!$A$5:$F$40,2,FALSE),"Unknown Product")</x:f>
        <x:v>Facial Cleanser</x:v>
      </x:c>
      <x:c r="N214" s="84" t="str">
        <x:f>IFERROR(VLOOKUP(L214,'Reference Data'!$A$5:$F$40,3,FALSE),"Unknown")</x:f>
        <x:v>Personal Care</x:v>
      </x:c>
      <x:c r="O214" s="84" t="str">
        <x:f>IFERROR(VLOOKUP(L214,'Reference Data'!$A$5:$F$40,4,FALSE),"Unknown")</x:f>
        <x:v>Skin Care</x:v>
      </x:c>
      <x:c r="P214" s="92" t="n">
        <x:f>IFERROR(VLOOKUP(L214,'Reference Data'!$A$5:$F$40,5,FALSE),0)</x:f>
        <x:v>18</x:v>
      </x:c>
      <x:c r="Q214" s="92" t="n">
        <x:f>IFERROR(VLOOKUP(L214,'Reference Data'!$A$5:$F$40,6,FALSE),0)</x:f>
        <x:v>6</x:v>
      </x:c>
      <x:c r="R214" s="84" t="n">
        <x:f>'Raw Sales'!J214</x:f>
        <x:v>3</x:v>
      </x:c>
      <x:c r="S214" s="87" t="n">
        <x:f>'Raw Sales'!K214</x:f>
        <x:v>0.1</x:v>
      </x:c>
      <x:c r="T214" s="93" t="n">
        <x:f>P214*R214</x:f>
        <x:v>54</x:v>
      </x:c>
      <x:c r="U214" s="93" t="n">
        <x:f>T214*S214</x:f>
        <x:v>5.4</x:v>
      </x:c>
      <x:c r="V214" s="93" t="str">
        <x:f>PROPER(TRIM('Raw Sales'!L214))</x:f>
        <x:v>Completed</x:v>
      </x:c>
      <x:c r="W214" s="93" t="n">
        <x:f>IF(V214="Returned",0,T214-U214)</x:f>
        <x:v>48.6</x:v>
      </x:c>
      <x:c r="X214" s="93" t="n">
        <x:f>IF(V214="Returned",Q214*R214*10%,Q214*R214)</x:f>
        <x:v>18</x:v>
      </x:c>
      <x:c r="Y214" s="93" t="n">
        <x:f>W214-X214</x:f>
        <x:v>30.6</x:v>
      </x:c>
      <x:c r="Z214" s="94" t="n">
        <x:f>IFERROR(Y214/W214,0)</x:f>
        <x:v>0.6296296296296297</x:v>
      </x:c>
      <x:c r="AA214" s="84" t="str">
        <x:f>PROPER(TRIM('Raw Sales'!M214))</x:f>
        <x:v>Debit Card</x:v>
      </x:c>
      <x:c r="AB214" s="84" t="str">
        <x:f>PROPER(TRIM('Raw Sales'!N214))</x:f>
        <x:v>Emma Hayes</x:v>
      </x:c>
      <x:c r="AC214" s="85" t="n">
        <x:f>'Raw Sales'!O214</x:f>
        <x:v>45382</x:v>
      </x:c>
      <x:c r="AD214" s="84" t="n">
        <x:f>AC214-B214</x:f>
        <x:v>6</x:v>
      </x:c>
      <x:c r="AE214" s="84" t="str">
        <x:f>IF(COUNTIF($A$5:A214,A214)&gt;1,"Duplicate","Keep")</x:f>
        <x:v>Keep</x:v>
      </x:c>
      <x:c r="AF214" s="84" t="str">
        <x:f>IF(OR(R214&lt;=0,AC214&lt;B214,H214="Unknown",M214="Unknown Product"),"Review","Valid")</x:f>
        <x:v>Valid</x:v>
      </x:c>
      <x:c r="AG214" s="84" t="n">
        <x:f>IF(AND(AE214="Keep",AF214="Valid"),1,0)</x:f>
        <x:v>1</x:v>
      </x:c>
      <x:c r="AH214" s="84" t="n">
        <x:f>IF(AND(AG214=1,OR('Dashboard'!$B$4="All",I214='Dashboard'!$B$4),OR('Dashboard'!$E$4="All",N214='Dashboard'!$E$4),OR('Dashboard'!$H$4="All",K214='Dashboard'!$H$4),OR('Dashboard'!$K$4="All",C214='Dashboard'!$K$4)),1,0)</x:f>
        <x:v>1</x:v>
      </x:c>
      <x:c r="AI214" s="84" t="n">
        <x:f>IF(AND(AG214=1,OR('Dashboard'!$B$4="All",I214='Dashboard'!$B$4),OR('Dashboard'!$E$4="All",N214='Dashboard'!$E$4),OR('Dashboard'!$H$4="All",K214='Dashboard'!$H$4)),1,0)</x:f>
        <x:v>1</x:v>
      </x:c>
    </x:row>
    <x:row r="215">
      <x:c r="A215" s="84" t="str">
        <x:f>'Raw Sales'!A215</x:f>
        <x:v>ORD-2024-01584</x:v>
      </x:c>
      <x:c r="B215" s="85" t="n">
        <x:f>'Raw Sales'!B215</x:f>
        <x:v>45377</x:v>
      </x:c>
      <x:c r="C215" s="84" t="n">
        <x:f>YEAR(B215)</x:f>
        <x:v>2024</x:v>
      </x:c>
      <x:c r="D215" s="91" t="n">
        <x:f>DATE(YEAR(B215),MONTH(B215),1)</x:f>
        <x:v>45352</x:v>
      </x:c>
      <x:c r="E215" s="84" t="str">
        <x:f>TEXT(B215,"mmm")</x:f>
        <x:v>Mar</x:v>
      </x:c>
      <x:c r="F215" s="84" t="str">
        <x:f>'Raw Sales'!C215</x:f>
        <x:v>CUST-0052</x:v>
      </x:c>
      <x:c r="G215" s="84" t="str">
        <x:f>PROPER(TRIM('Raw Sales'!D215))</x:f>
        <x:v>Elias Adams</x:v>
      </x:c>
      <x:c r="H215" s="84" t="str">
        <x:f>IF(TRIM('Raw Sales'!E215)="","Unknown",PROPER(TRIM('Raw Sales'!E215)))</x:f>
        <x:v>Consumer</x:v>
      </x:c>
      <x:c r="I215" s="84" t="str">
        <x:f>PROPER(TRIM('Raw Sales'!F215))</x:f>
        <x:v>Southeast</x:v>
      </x:c>
      <x:c r="J215" s="84" t="str">
        <x:f>PROPER(TRIM('Raw Sales'!G215))</x:f>
        <x:v>Atlanta</x:v>
      </x:c>
      <x:c r="K215" s="84" t="str">
        <x:f>PROPER(TRIM('Raw Sales'!H215))</x:f>
        <x:v>Online</x:v>
      </x:c>
      <x:c r="L215" s="84" t="str">
        <x:f>'Raw Sales'!I215</x:f>
        <x:v>CARE-004</x:v>
      </x:c>
      <x:c r="M215" s="84" t="str">
        <x:f>IFERROR(VLOOKUP(L215,'Reference Data'!$A$5:$F$40,2,FALSE),"Unknown Product")</x:f>
        <x:v>Electric Toothbrush</x:v>
      </x:c>
      <x:c r="N215" s="84" t="str">
        <x:f>IFERROR(VLOOKUP(L215,'Reference Data'!$A$5:$F$40,3,FALSE),"Unknown")</x:f>
        <x:v>Personal Care</x:v>
      </x:c>
      <x:c r="O215" s="84" t="str">
        <x:f>IFERROR(VLOOKUP(L215,'Reference Data'!$A$5:$F$40,4,FALSE),"Unknown")</x:f>
        <x:v>Oral Care</x:v>
      </x:c>
      <x:c r="P215" s="92" t="n">
        <x:f>IFERROR(VLOOKUP(L215,'Reference Data'!$A$5:$F$40,5,FALSE),0)</x:f>
        <x:v>69</x:v>
      </x:c>
      <x:c r="Q215" s="92" t="n">
        <x:f>IFERROR(VLOOKUP(L215,'Reference Data'!$A$5:$F$40,6,FALSE),0)</x:f>
        <x:v>31</x:v>
      </x:c>
      <x:c r="R215" s="84" t="n">
        <x:f>'Raw Sales'!J215</x:f>
        <x:v>1</x:v>
      </x:c>
      <x:c r="S215" s="87" t="n">
        <x:f>'Raw Sales'!K215</x:f>
        <x:v>0</x:v>
      </x:c>
      <x:c r="T215" s="93" t="n">
        <x:f>P215*R215</x:f>
        <x:v>69</x:v>
      </x:c>
      <x:c r="U215" s="93" t="n">
        <x:f>T215*S215</x:f>
        <x:v>0</x:v>
      </x:c>
      <x:c r="V215" s="93" t="str">
        <x:f>PROPER(TRIM('Raw Sales'!L215))</x:f>
        <x:v>Completed</x:v>
      </x:c>
      <x:c r="W215" s="93" t="n">
        <x:f>IF(V215="Returned",0,T215-U215)</x:f>
        <x:v>69</x:v>
      </x:c>
      <x:c r="X215" s="93" t="n">
        <x:f>IF(V215="Returned",Q215*R215*10%,Q215*R215)</x:f>
        <x:v>31</x:v>
      </x:c>
      <x:c r="Y215" s="93" t="n">
        <x:f>W215-X215</x:f>
        <x:v>38</x:v>
      </x:c>
      <x:c r="Z215" s="94" t="n">
        <x:f>IFERROR(Y215/W215,0)</x:f>
        <x:v>0.5507246376811594</x:v>
      </x:c>
      <x:c r="AA215" s="84" t="str">
        <x:f>PROPER(TRIM('Raw Sales'!M215))</x:f>
        <x:v>Mobile Wallet</x:v>
      </x:c>
      <x:c r="AB215" s="84" t="str">
        <x:f>PROPER(TRIM('Raw Sales'!N215))</x:f>
        <x:v>Liam Parker</x:v>
      </x:c>
      <x:c r="AC215" s="85" t="n">
        <x:f>'Raw Sales'!O215</x:f>
        <x:v>45380</x:v>
      </x:c>
      <x:c r="AD215" s="84" t="n">
        <x:f>AC215-B215</x:f>
        <x:v>3</x:v>
      </x:c>
      <x:c r="AE215" s="84" t="str">
        <x:f>IF(COUNTIF($A$5:A215,A215)&gt;1,"Duplicate","Keep")</x:f>
        <x:v>Keep</x:v>
      </x:c>
      <x:c r="AF215" s="84" t="str">
        <x:f>IF(OR(R215&lt;=0,AC215&lt;B215,H215="Unknown",M215="Unknown Product"),"Review","Valid")</x:f>
        <x:v>Valid</x:v>
      </x:c>
      <x:c r="AG215" s="84" t="n">
        <x:f>IF(AND(AE215="Keep",AF215="Valid"),1,0)</x:f>
        <x:v>1</x:v>
      </x:c>
      <x:c r="AH215" s="84" t="n">
        <x:f>IF(AND(AG215=1,OR('Dashboard'!$B$4="All",I215='Dashboard'!$B$4),OR('Dashboard'!$E$4="All",N215='Dashboard'!$E$4),OR('Dashboard'!$H$4="All",K215='Dashboard'!$H$4),OR('Dashboard'!$K$4="All",C215='Dashboard'!$K$4)),1,0)</x:f>
        <x:v>1</x:v>
      </x:c>
      <x:c r="AI215" s="84" t="n">
        <x:f>IF(AND(AG215=1,OR('Dashboard'!$B$4="All",I215='Dashboard'!$B$4),OR('Dashboard'!$E$4="All",N215='Dashboard'!$E$4),OR('Dashboard'!$H$4="All",K215='Dashboard'!$H$4)),1,0)</x:f>
        <x:v>1</x:v>
      </x:c>
    </x:row>
    <x:row r="216">
      <x:c r="A216" s="84" t="str">
        <x:f>'Raw Sales'!A216</x:f>
        <x:v>ORD-2024-01736</x:v>
      </x:c>
      <x:c r="B216" s="85" t="n">
        <x:f>'Raw Sales'!B216</x:f>
        <x:v>45377</x:v>
      </x:c>
      <x:c r="C216" s="84" t="n">
        <x:f>YEAR(B216)</x:f>
        <x:v>2024</x:v>
      </x:c>
      <x:c r="D216" s="91" t="n">
        <x:f>DATE(YEAR(B216),MONTH(B216),1)</x:f>
        <x:v>45352</x:v>
      </x:c>
      <x:c r="E216" s="84" t="str">
        <x:f>TEXT(B216,"mmm")</x:f>
        <x:v>Mar</x:v>
      </x:c>
      <x:c r="F216" s="84" t="str">
        <x:f>'Raw Sales'!C216</x:f>
        <x:v>CUST-0523</x:v>
      </x:c>
      <x:c r="G216" s="84" t="str">
        <x:f>PROPER(TRIM('Raw Sales'!D216))</x:f>
        <x:v>Chloe Foster</x:v>
      </x:c>
      <x:c r="H216" s="84" t="str">
        <x:f>IF(TRIM('Raw Sales'!E216)="","Unknown",PROPER(TRIM('Raw Sales'!E216)))</x:f>
        <x:v>Consumer</x:v>
      </x:c>
      <x:c r="I216" s="84" t="str">
        <x:f>PROPER(TRIM('Raw Sales'!F216))</x:f>
        <x:v>Northeast</x:v>
      </x:c>
      <x:c r="J216" s="84" t="str">
        <x:f>PROPER(TRIM('Raw Sales'!G216))</x:f>
        <x:v>Boston</x:v>
      </x:c>
      <x:c r="K216" s="84" t="str">
        <x:f>PROPER(TRIM('Raw Sales'!H216))</x:f>
        <x:v>Online</x:v>
      </x:c>
      <x:c r="L216" s="84" t="str">
        <x:f>'Raw Sales'!I216</x:f>
        <x:v>HOME-002</x:v>
      </x:c>
      <x:c r="M216" s="84" t="str">
        <x:f>IFERROR(VLOOKUP(L216,'Reference Data'!$A$5:$F$40,2,FALSE),"Unknown Product")</x:f>
        <x:v>Electric Kettle</x:v>
      </x:c>
      <x:c r="N216" s="84" t="str">
        <x:f>IFERROR(VLOOKUP(L216,'Reference Data'!$A$5:$F$40,3,FALSE),"Unknown")</x:f>
        <x:v>Home &amp; Kitchen</x:v>
      </x:c>
      <x:c r="O216" s="84" t="str">
        <x:f>IFERROR(VLOOKUP(L216,'Reference Data'!$A$5:$F$40,4,FALSE),"Unknown")</x:f>
        <x:v>Small Appliances</x:v>
      </x:c>
      <x:c r="P216" s="92" t="n">
        <x:f>IFERROR(VLOOKUP(L216,'Reference Data'!$A$5:$F$40,5,FALSE),0)</x:f>
        <x:v>49</x:v>
      </x:c>
      <x:c r="Q216" s="92" t="n">
        <x:f>IFERROR(VLOOKUP(L216,'Reference Data'!$A$5:$F$40,6,FALSE),0)</x:f>
        <x:v>23</x:v>
      </x:c>
      <x:c r="R216" s="84" t="n">
        <x:f>'Raw Sales'!J216</x:f>
        <x:v>1</x:v>
      </x:c>
      <x:c r="S216" s="87" t="n">
        <x:f>'Raw Sales'!K216</x:f>
        <x:v>0.15</x:v>
      </x:c>
      <x:c r="T216" s="93" t="n">
        <x:f>P216*R216</x:f>
        <x:v>49</x:v>
      </x:c>
      <x:c r="U216" s="93" t="n">
        <x:f>T216*S216</x:f>
        <x:v>7.35</x:v>
      </x:c>
      <x:c r="V216" s="93" t="str">
        <x:f>PROPER(TRIM('Raw Sales'!L216))</x:f>
        <x:v>Completed</x:v>
      </x:c>
      <x:c r="W216" s="93" t="n">
        <x:f>IF(V216="Returned",0,T216-U216)</x:f>
        <x:v>41.65</x:v>
      </x:c>
      <x:c r="X216" s="93" t="n">
        <x:f>IF(V216="Returned",Q216*R216*10%,Q216*R216)</x:f>
        <x:v>23</x:v>
      </x:c>
      <x:c r="Y216" s="93" t="n">
        <x:f>W216-X216</x:f>
        <x:v>18.65</x:v>
      </x:c>
      <x:c r="Z216" s="94" t="n">
        <x:f>IFERROR(Y216/W216,0)</x:f>
        <x:v>0.44777911164465783</x:v>
      </x:c>
      <x:c r="AA216" s="84" t="str">
        <x:f>PROPER(TRIM('Raw Sales'!M216))</x:f>
        <x:v>Debit Card</x:v>
      </x:c>
      <x:c r="AB216" s="84" t="str">
        <x:f>PROPER(TRIM('Raw Sales'!N216))</x:f>
        <x:v>Ethan Cole</x:v>
      </x:c>
      <x:c r="AC216" s="85" t="n">
        <x:f>'Raw Sales'!O216</x:f>
        <x:v>45379</x:v>
      </x:c>
      <x:c r="AD216" s="84" t="n">
        <x:f>AC216-B216</x:f>
        <x:v>2</x:v>
      </x:c>
      <x:c r="AE216" s="84" t="str">
        <x:f>IF(COUNTIF($A$5:A216,A216)&gt;1,"Duplicate","Keep")</x:f>
        <x:v>Keep</x:v>
      </x:c>
      <x:c r="AF216" s="84" t="str">
        <x:f>IF(OR(R216&lt;=0,AC216&lt;B216,H216="Unknown",M216="Unknown Product"),"Review","Valid")</x:f>
        <x:v>Valid</x:v>
      </x:c>
      <x:c r="AG216" s="84" t="n">
        <x:f>IF(AND(AE216="Keep",AF216="Valid"),1,0)</x:f>
        <x:v>1</x:v>
      </x:c>
      <x:c r="AH216" s="84" t="n">
        <x:f>IF(AND(AG216=1,OR('Dashboard'!$B$4="All",I216='Dashboard'!$B$4),OR('Dashboard'!$E$4="All",N216='Dashboard'!$E$4),OR('Dashboard'!$H$4="All",K216='Dashboard'!$H$4),OR('Dashboard'!$K$4="All",C216='Dashboard'!$K$4)),1,0)</x:f>
        <x:v>1</x:v>
      </x:c>
      <x:c r="AI216" s="84" t="n">
        <x:f>IF(AND(AG216=1,OR('Dashboard'!$B$4="All",I216='Dashboard'!$B$4),OR('Dashboard'!$E$4="All",N216='Dashboard'!$E$4),OR('Dashboard'!$H$4="All",K216='Dashboard'!$H$4)),1,0)</x:f>
        <x:v>1</x:v>
      </x:c>
    </x:row>
    <x:row r="217">
      <x:c r="A217" s="84" t="str">
        <x:f>'Raw Sales'!A217</x:f>
        <x:v>ORD-2024-01840</x:v>
      </x:c>
      <x:c r="B217" s="85" t="n">
        <x:f>'Raw Sales'!B217</x:f>
        <x:v>45377</x:v>
      </x:c>
      <x:c r="C217" s="84" t="n">
        <x:f>YEAR(B217)</x:f>
        <x:v>2024</x:v>
      </x:c>
      <x:c r="D217" s="91" t="n">
        <x:f>DATE(YEAR(B217),MONTH(B217),1)</x:f>
        <x:v>45352</x:v>
      </x:c>
      <x:c r="E217" s="84" t="str">
        <x:f>TEXT(B217,"mmm")</x:f>
        <x:v>Mar</x:v>
      </x:c>
      <x:c r="F217" s="84" t="str">
        <x:f>'Raw Sales'!C217</x:f>
        <x:v>CUST-0146</x:v>
      </x:c>
      <x:c r="G217" s="84" t="str">
        <x:f>PROPER(TRIM('Raw Sales'!D217))</x:f>
        <x:v>Elena Quinn</x:v>
      </x:c>
      <x:c r="H217" s="84" t="str">
        <x:f>IF(TRIM('Raw Sales'!E217)="","Unknown",PROPER(TRIM('Raw Sales'!E217)))</x:f>
        <x:v>Consumer</x:v>
      </x:c>
      <x:c r="I217" s="84" t="str">
        <x:f>PROPER(TRIM('Raw Sales'!F217))</x:f>
        <x:v>West</x:v>
      </x:c>
      <x:c r="J217" s="84" t="str">
        <x:f>PROPER(TRIM('Raw Sales'!G217))</x:f>
        <x:v>Seattle</x:v>
      </x:c>
      <x:c r="K217" s="84" t="str">
        <x:f>PROPER(TRIM('Raw Sales'!H217))</x:f>
        <x:v>Marketplace</x:v>
      </x:c>
      <x:c r="L217" s="84" t="str">
        <x:f>'Raw Sales'!I217</x:f>
        <x:v>OFFC-005</x:v>
      </x:c>
      <x:c r="M217" s="84" t="str">
        <x:f>IFERROR(VLOOKUP(L217,'Reference Data'!$A$5:$F$40,2,FALSE),"Unknown Product")</x:f>
        <x:v>Wireless Keyboard</x:v>
      </x:c>
      <x:c r="N217" s="84" t="str">
        <x:f>IFERROR(VLOOKUP(L217,'Reference Data'!$A$5:$F$40,3,FALSE),"Unknown")</x:f>
        <x:v>Office</x:v>
      </x:c>
      <x:c r="O217" s="84" t="str">
        <x:f>IFERROR(VLOOKUP(L217,'Reference Data'!$A$5:$F$40,4,FALSE),"Unknown")</x:f>
        <x:v>Computer Accessories</x:v>
      </x:c>
      <x:c r="P217" s="92" t="n">
        <x:f>IFERROR(VLOOKUP(L217,'Reference Data'!$A$5:$F$40,5,FALSE),0)</x:f>
        <x:v>59</x:v>
      </x:c>
      <x:c r="Q217" s="92" t="n">
        <x:f>IFERROR(VLOOKUP(L217,'Reference Data'!$A$5:$F$40,6,FALSE),0)</x:f>
        <x:v>28</x:v>
      </x:c>
      <x:c r="R217" s="84" t="n">
        <x:f>'Raw Sales'!J217</x:f>
        <x:v>2</x:v>
      </x:c>
      <x:c r="S217" s="87" t="n">
        <x:f>'Raw Sales'!K217</x:f>
        <x:v>0.05</x:v>
      </x:c>
      <x:c r="T217" s="93" t="n">
        <x:f>P217*R217</x:f>
        <x:v>118</x:v>
      </x:c>
      <x:c r="U217" s="93" t="n">
        <x:f>T217*S217</x:f>
        <x:v>5.9</x:v>
      </x:c>
      <x:c r="V217" s="93" t="str">
        <x:f>PROPER(TRIM('Raw Sales'!L217))</x:f>
        <x:v>Completed</x:v>
      </x:c>
      <x:c r="W217" s="93" t="n">
        <x:f>IF(V217="Returned",0,T217-U217)</x:f>
        <x:v>112.1</x:v>
      </x:c>
      <x:c r="X217" s="93" t="n">
        <x:f>IF(V217="Returned",Q217*R217*10%,Q217*R217)</x:f>
        <x:v>56</x:v>
      </x:c>
      <x:c r="Y217" s="93" t="n">
        <x:f>W217-X217</x:f>
        <x:v>56.099999999999994</x:v>
      </x:c>
      <x:c r="Z217" s="94" t="n">
        <x:f>IFERROR(Y217/W217,0)</x:f>
        <x:v>0.5004460303300624</x:v>
      </x:c>
      <x:c r="AA217" s="84" t="str">
        <x:f>PROPER(TRIM('Raw Sales'!M217))</x:f>
        <x:v>Paypal</x:v>
      </x:c>
      <x:c r="AB217" s="84" t="str">
        <x:f>PROPER(TRIM('Raw Sales'!N217))</x:f>
        <x:v>Mia Chen</x:v>
      </x:c>
      <x:c r="AC217" s="85" t="n">
        <x:f>'Raw Sales'!O217</x:f>
        <x:v>45382</x:v>
      </x:c>
      <x:c r="AD217" s="84" t="n">
        <x:f>AC217-B217</x:f>
        <x:v>5</x:v>
      </x:c>
      <x:c r="AE217" s="84" t="str">
        <x:f>IF(COUNTIF($A$5:A217,A217)&gt;1,"Duplicate","Keep")</x:f>
        <x:v>Keep</x:v>
      </x:c>
      <x:c r="AF217" s="84" t="str">
        <x:f>IF(OR(R217&lt;=0,AC217&lt;B217,H217="Unknown",M217="Unknown Product"),"Review","Valid")</x:f>
        <x:v>Valid</x:v>
      </x:c>
      <x:c r="AG217" s="84" t="n">
        <x:f>IF(AND(AE217="Keep",AF217="Valid"),1,0)</x:f>
        <x:v>1</x:v>
      </x:c>
      <x:c r="AH217" s="84" t="n">
        <x:f>IF(AND(AG217=1,OR('Dashboard'!$B$4="All",I217='Dashboard'!$B$4),OR('Dashboard'!$E$4="All",N217='Dashboard'!$E$4),OR('Dashboard'!$H$4="All",K217='Dashboard'!$H$4),OR('Dashboard'!$K$4="All",C217='Dashboard'!$K$4)),1,0)</x:f>
        <x:v>1</x:v>
      </x:c>
      <x:c r="AI217" s="84" t="n">
        <x:f>IF(AND(AG217=1,OR('Dashboard'!$B$4="All",I217='Dashboard'!$B$4),OR('Dashboard'!$E$4="All",N217='Dashboard'!$E$4),OR('Dashboard'!$H$4="All",K217='Dashboard'!$H$4)),1,0)</x:f>
        <x:v>1</x:v>
      </x:c>
    </x:row>
    <x:row r="218">
      <x:c r="A218" s="84" t="str">
        <x:f>'Raw Sales'!A218</x:f>
        <x:v>ORD-2024-00840</x:v>
      </x:c>
      <x:c r="B218" s="85" t="n">
        <x:f>'Raw Sales'!B218</x:f>
        <x:v>45378</x:v>
      </x:c>
      <x:c r="C218" s="84" t="n">
        <x:f>YEAR(B218)</x:f>
        <x:v>2024</x:v>
      </x:c>
      <x:c r="D218" s="91" t="n">
        <x:f>DATE(YEAR(B218),MONTH(B218),1)</x:f>
        <x:v>45352</x:v>
      </x:c>
      <x:c r="E218" s="84" t="str">
        <x:f>TEXT(B218,"mmm")</x:f>
        <x:v>Mar</x:v>
      </x:c>
      <x:c r="F218" s="84" t="str">
        <x:f>'Raw Sales'!C218</x:f>
        <x:v>CUST-0394</x:v>
      </x:c>
      <x:c r="G218" s="84" t="str">
        <x:f>PROPER(TRIM('Raw Sales'!D218))</x:f>
        <x:v>Priya Nelson</x:v>
      </x:c>
      <x:c r="H218" s="84" t="str">
        <x:f>IF(TRIM('Raw Sales'!E218)="","Unknown",PROPER(TRIM('Raw Sales'!E218)))</x:f>
        <x:v>Corporate</x:v>
      </x:c>
      <x:c r="I218" s="84" t="str">
        <x:f>PROPER(TRIM('Raw Sales'!F218))</x:f>
        <x:v>West</x:v>
      </x:c>
      <x:c r="J218" s="84" t="str">
        <x:f>PROPER(TRIM('Raw Sales'!G218))</x:f>
        <x:v>Denver</x:v>
      </x:c>
      <x:c r="K218" s="84" t="str">
        <x:f>PROPER(TRIM('Raw Sales'!H218))</x:f>
        <x:v>Online</x:v>
      </x:c>
      <x:c r="L218" s="84" t="str">
        <x:f>'Raw Sales'!I218</x:f>
        <x:v>OFFC-002</x:v>
      </x:c>
      <x:c r="M218" s="84" t="str">
        <x:f>IFERROR(VLOOKUP(L218,'Reference Data'!$A$5:$F$40,2,FALSE),"Unknown Product")</x:f>
        <x:v>Standing Desk</x:v>
      </x:c>
      <x:c r="N218" s="84" t="str">
        <x:f>IFERROR(VLOOKUP(L218,'Reference Data'!$A$5:$F$40,3,FALSE),"Unknown")</x:f>
        <x:v>Office</x:v>
      </x:c>
      <x:c r="O218" s="84" t="str">
        <x:f>IFERROR(VLOOKUP(L218,'Reference Data'!$A$5:$F$40,4,FALSE),"Unknown")</x:f>
        <x:v>Furniture</x:v>
      </x:c>
      <x:c r="P218" s="92" t="n">
        <x:f>IFERROR(VLOOKUP(L218,'Reference Data'!$A$5:$F$40,5,FALSE),0)</x:f>
        <x:v>399</x:v>
      </x:c>
      <x:c r="Q218" s="92" t="n">
        <x:f>IFERROR(VLOOKUP(L218,'Reference Data'!$A$5:$F$40,6,FALSE),0)</x:f>
        <x:v>235</x:v>
      </x:c>
      <x:c r="R218" s="84" t="n">
        <x:f>'Raw Sales'!J218</x:f>
        <x:v>2</x:v>
      </x:c>
      <x:c r="S218" s="87" t="n">
        <x:f>'Raw Sales'!K218</x:f>
        <x:v>0.05</x:v>
      </x:c>
      <x:c r="T218" s="93" t="n">
        <x:f>P218*R218</x:f>
        <x:v>798</x:v>
      </x:c>
      <x:c r="U218" s="93" t="n">
        <x:f>T218*S218</x:f>
        <x:v>39.900000000000006</x:v>
      </x:c>
      <x:c r="V218" s="93" t="str">
        <x:f>PROPER(TRIM('Raw Sales'!L218))</x:f>
        <x:v>Completed</x:v>
      </x:c>
      <x:c r="W218" s="93" t="n">
        <x:f>IF(V218="Returned",0,T218-U218)</x:f>
        <x:v>758.1</x:v>
      </x:c>
      <x:c r="X218" s="93" t="n">
        <x:f>IF(V218="Returned",Q218*R218*10%,Q218*R218)</x:f>
        <x:v>470</x:v>
      </x:c>
      <x:c r="Y218" s="93" t="n">
        <x:f>W218-X218</x:f>
        <x:v>288.1</x:v>
      </x:c>
      <x:c r="Z218" s="94" t="n">
        <x:f>IFERROR(Y218/W218,0)</x:f>
        <x:v>0.38002901991821664</x:v>
      </x:c>
      <x:c r="AA218" s="84" t="str">
        <x:f>PROPER(TRIM('Raw Sales'!M218))</x:f>
        <x:v>Debit Card</x:v>
      </x:c>
      <x:c r="AB218" s="84" t="str">
        <x:f>PROPER(TRIM('Raw Sales'!N218))</x:f>
        <x:v>Nora Kim</x:v>
      </x:c>
      <x:c r="AC218" s="85" t="n">
        <x:f>'Raw Sales'!O218</x:f>
        <x:v>45380</x:v>
      </x:c>
      <x:c r="AD218" s="84" t="n">
        <x:f>AC218-B218</x:f>
        <x:v>2</x:v>
      </x:c>
      <x:c r="AE218" s="84" t="str">
        <x:f>IF(COUNTIF($A$5:A218,A218)&gt;1,"Duplicate","Keep")</x:f>
        <x:v>Keep</x:v>
      </x:c>
      <x:c r="AF218" s="84" t="str">
        <x:f>IF(OR(R218&lt;=0,AC218&lt;B218,H218="Unknown",M218="Unknown Product"),"Review","Valid")</x:f>
        <x:v>Valid</x:v>
      </x:c>
      <x:c r="AG218" s="84" t="n">
        <x:f>IF(AND(AE218="Keep",AF218="Valid"),1,0)</x:f>
        <x:v>1</x:v>
      </x:c>
      <x:c r="AH218" s="84" t="n">
        <x:f>IF(AND(AG218=1,OR('Dashboard'!$B$4="All",I218='Dashboard'!$B$4),OR('Dashboard'!$E$4="All",N218='Dashboard'!$E$4),OR('Dashboard'!$H$4="All",K218='Dashboard'!$H$4),OR('Dashboard'!$K$4="All",C218='Dashboard'!$K$4)),1,0)</x:f>
        <x:v>1</x:v>
      </x:c>
      <x:c r="AI218" s="84" t="n">
        <x:f>IF(AND(AG218=1,OR('Dashboard'!$B$4="All",I218='Dashboard'!$B$4),OR('Dashboard'!$E$4="All",N218='Dashboard'!$E$4),OR('Dashboard'!$H$4="All",K218='Dashboard'!$H$4)),1,0)</x:f>
        <x:v>1</x:v>
      </x:c>
    </x:row>
    <x:row r="219">
      <x:c r="A219" s="84" t="str">
        <x:f>'Raw Sales'!A219</x:f>
        <x:v>ORD-2024-01139</x:v>
      </x:c>
      <x:c r="B219" s="85" t="n">
        <x:f>'Raw Sales'!B219</x:f>
        <x:v>45378</x:v>
      </x:c>
      <x:c r="C219" s="84" t="n">
        <x:f>YEAR(B219)</x:f>
        <x:v>2024</x:v>
      </x:c>
      <x:c r="D219" s="91" t="n">
        <x:f>DATE(YEAR(B219),MONTH(B219),1)</x:f>
        <x:v>45352</x:v>
      </x:c>
      <x:c r="E219" s="84" t="str">
        <x:f>TEXT(B219,"mmm")</x:f>
        <x:v>Mar</x:v>
      </x:c>
      <x:c r="F219" s="84" t="str">
        <x:f>'Raw Sales'!C219</x:f>
        <x:v>CUST-0002</x:v>
      </x:c>
      <x:c r="G219" s="84" t="str">
        <x:f>PROPER(TRIM('Raw Sales'!D219))</x:f>
        <x:v>Isaac Ortiz</x:v>
      </x:c>
      <x:c r="H219" s="84" t="str">
        <x:f>IF(TRIM('Raw Sales'!E219)="","Unknown",PROPER(TRIM('Raw Sales'!E219)))</x:f>
        <x:v>Corporate</x:v>
      </x:c>
      <x:c r="I219" s="84" t="str">
        <x:f>PROPER(TRIM('Raw Sales'!F219))</x:f>
        <x:v>Northeast</x:v>
      </x:c>
      <x:c r="J219" s="84" t="str">
        <x:f>PROPER(TRIM('Raw Sales'!G219))</x:f>
        <x:v>New York</x:v>
      </x:c>
      <x:c r="K219" s="84" t="str">
        <x:f>PROPER(TRIM('Raw Sales'!H219))</x:f>
        <x:v>Marketplace</x:v>
      </x:c>
      <x:c r="L219" s="84" t="str">
        <x:f>'Raw Sales'!I219</x:f>
        <x:v>ACCS-001</x:v>
      </x:c>
      <x:c r="M219" s="84" t="str">
        <x:f>IFERROR(VLOOKUP(L219,'Reference Data'!$A$5:$F$40,2,FALSE),"Unknown Product")</x:f>
        <x:v>Canvas Tote Bag</x:v>
      </x:c>
      <x:c r="N219" s="84" t="str">
        <x:f>IFERROR(VLOOKUP(L219,'Reference Data'!$A$5:$F$40,3,FALSE),"Unknown")</x:f>
        <x:v>Accessories</x:v>
      </x:c>
      <x:c r="O219" s="84" t="str">
        <x:f>IFERROR(VLOOKUP(L219,'Reference Data'!$A$5:$F$40,4,FALSE),"Unknown")</x:f>
        <x:v>Bags</x:v>
      </x:c>
      <x:c r="P219" s="92" t="n">
        <x:f>IFERROR(VLOOKUP(L219,'Reference Data'!$A$5:$F$40,5,FALSE),0)</x:f>
        <x:v>39</x:v>
      </x:c>
      <x:c r="Q219" s="92" t="n">
        <x:f>IFERROR(VLOOKUP(L219,'Reference Data'!$A$5:$F$40,6,FALSE),0)</x:f>
        <x:v>14</x:v>
      </x:c>
      <x:c r="R219" s="84" t="n">
        <x:f>'Raw Sales'!J219</x:f>
        <x:v>8</x:v>
      </x:c>
      <x:c r="S219" s="87" t="n">
        <x:f>'Raw Sales'!K219</x:f>
        <x:v>0.2</x:v>
      </x:c>
      <x:c r="T219" s="93" t="n">
        <x:f>P219*R219</x:f>
        <x:v>312</x:v>
      </x:c>
      <x:c r="U219" s="93" t="n">
        <x:f>T219*S219</x:f>
        <x:v>62.400000000000006</x:v>
      </x:c>
      <x:c r="V219" s="93" t="str">
        <x:f>PROPER(TRIM('Raw Sales'!L219))</x:f>
        <x:v>Completed</x:v>
      </x:c>
      <x:c r="W219" s="93" t="n">
        <x:f>IF(V219="Returned",0,T219-U219)</x:f>
        <x:v>249.6</x:v>
      </x:c>
      <x:c r="X219" s="93" t="n">
        <x:f>IF(V219="Returned",Q219*R219*10%,Q219*R219)</x:f>
        <x:v>112</x:v>
      </x:c>
      <x:c r="Y219" s="93" t="n">
        <x:f>W219-X219</x:f>
        <x:v>137.6</x:v>
      </x:c>
      <x:c r="Z219" s="94" t="n">
        <x:f>IFERROR(Y219/W219,0)</x:f>
        <x:v>0.5512820512820513</x:v>
      </x:c>
      <x:c r="AA219" s="84" t="str">
        <x:f>PROPER(TRIM('Raw Sales'!M219))</x:f>
        <x:v>Credit Card</x:v>
      </x:c>
      <x:c r="AB219" s="84" t="str">
        <x:f>PROPER(TRIM('Raw Sales'!N219))</x:f>
        <x:v>Ethan Cole</x:v>
      </x:c>
      <x:c r="AC219" s="85" t="n">
        <x:f>'Raw Sales'!O219</x:f>
        <x:v>45384</x:v>
      </x:c>
      <x:c r="AD219" s="84" t="n">
        <x:f>AC219-B219</x:f>
        <x:v>6</x:v>
      </x:c>
      <x:c r="AE219" s="84" t="str">
        <x:f>IF(COUNTIF($A$5:A219,A219)&gt;1,"Duplicate","Keep")</x:f>
        <x:v>Keep</x:v>
      </x:c>
      <x:c r="AF219" s="84" t="str">
        <x:f>IF(OR(R219&lt;=0,AC219&lt;B219,H219="Unknown",M219="Unknown Product"),"Review","Valid")</x:f>
        <x:v>Valid</x:v>
      </x:c>
      <x:c r="AG219" s="84" t="n">
        <x:f>IF(AND(AE219="Keep",AF219="Valid"),1,0)</x:f>
        <x:v>1</x:v>
      </x:c>
      <x:c r="AH219" s="84" t="n">
        <x:f>IF(AND(AG219=1,OR('Dashboard'!$B$4="All",I219='Dashboard'!$B$4),OR('Dashboard'!$E$4="All",N219='Dashboard'!$E$4),OR('Dashboard'!$H$4="All",K219='Dashboard'!$H$4),OR('Dashboard'!$K$4="All",C219='Dashboard'!$K$4)),1,0)</x:f>
        <x:v>1</x:v>
      </x:c>
      <x:c r="AI219" s="84" t="n">
        <x:f>IF(AND(AG219=1,OR('Dashboard'!$B$4="All",I219='Dashboard'!$B$4),OR('Dashboard'!$E$4="All",N219='Dashboard'!$E$4),OR('Dashboard'!$H$4="All",K219='Dashboard'!$H$4)),1,0)</x:f>
        <x:v>1</x:v>
      </x:c>
    </x:row>
    <x:row r="220">
      <x:c r="A220" s="84" t="str">
        <x:f>'Raw Sales'!A220</x:f>
        <x:v>ORD-2024-01334</x:v>
      </x:c>
      <x:c r="B220" s="85" t="n">
        <x:f>'Raw Sales'!B220</x:f>
        <x:v>45378</x:v>
      </x:c>
      <x:c r="C220" s="84" t="n">
        <x:f>YEAR(B220)</x:f>
        <x:v>2024</x:v>
      </x:c>
      <x:c r="D220" s="91" t="n">
        <x:f>DATE(YEAR(B220),MONTH(B220),1)</x:f>
        <x:v>45352</x:v>
      </x:c>
      <x:c r="E220" s="84" t="str">
        <x:f>TEXT(B220,"mmm")</x:f>
        <x:v>Mar</x:v>
      </x:c>
      <x:c r="F220" s="84" t="str">
        <x:f>'Raw Sales'!C220</x:f>
        <x:v>CUST-0163</x:v>
      </x:c>
      <x:c r="G220" s="84" t="str">
        <x:f>PROPER(TRIM('Raw Sales'!D220))</x:f>
        <x:v>Aiden Davis</x:v>
      </x:c>
      <x:c r="H220" s="84" t="str">
        <x:f>IF(TRIM('Raw Sales'!E220)="","Unknown",PROPER(TRIM('Raw Sales'!E220)))</x:f>
        <x:v>Consumer</x:v>
      </x:c>
      <x:c r="I220" s="84" t="str">
        <x:f>PROPER(TRIM('Raw Sales'!F220))</x:f>
        <x:v>Midwest</x:v>
      </x:c>
      <x:c r="J220" s="84" t="str">
        <x:f>PROPER(TRIM('Raw Sales'!G220))</x:f>
        <x:v>Chicago</x:v>
      </x:c>
      <x:c r="K220" s="84" t="str">
        <x:f>PROPER(TRIM('Raw Sales'!H220))</x:f>
        <x:v>Retail Store</x:v>
      </x:c>
      <x:c r="L220" s="84" t="str">
        <x:f>'Raw Sales'!I220</x:f>
        <x:v>HOME-003</x:v>
      </x:c>
      <x:c r="M220" s="84" t="str">
        <x:f>IFERROR(VLOOKUP(L220,'Reference Data'!$A$5:$F$40,2,FALSE),"Unknown Product")</x:f>
        <x:v>Countertop Blender</x:v>
      </x:c>
      <x:c r="N220" s="84" t="str">
        <x:f>IFERROR(VLOOKUP(L220,'Reference Data'!$A$5:$F$40,3,FALSE),"Unknown")</x:f>
        <x:v>Home &amp; Kitchen</x:v>
      </x:c>
      <x:c r="O220" s="84" t="str">
        <x:f>IFERROR(VLOOKUP(L220,'Reference Data'!$A$5:$F$40,4,FALSE),"Unknown")</x:f>
        <x:v>Small Appliances</x:v>
      </x:c>
      <x:c r="P220" s="92" t="n">
        <x:f>IFERROR(VLOOKUP(L220,'Reference Data'!$A$5:$F$40,5,FALSE),0)</x:f>
        <x:v>89</x:v>
      </x:c>
      <x:c r="Q220" s="92" t="n">
        <x:f>IFERROR(VLOOKUP(L220,'Reference Data'!$A$5:$F$40,6,FALSE),0)</x:f>
        <x:v>46</x:v>
      </x:c>
      <x:c r="R220" s="84" t="n">
        <x:f>'Raw Sales'!J220</x:f>
        <x:v>1</x:v>
      </x:c>
      <x:c r="S220" s="87" t="n">
        <x:f>'Raw Sales'!K220</x:f>
        <x:v>0.1</x:v>
      </x:c>
      <x:c r="T220" s="93" t="n">
        <x:f>P220*R220</x:f>
        <x:v>89</x:v>
      </x:c>
      <x:c r="U220" s="93" t="n">
        <x:f>T220*S220</x:f>
        <x:v>8.9</x:v>
      </x:c>
      <x:c r="V220" s="93" t="str">
        <x:f>PROPER(TRIM('Raw Sales'!L220))</x:f>
        <x:v>Completed</x:v>
      </x:c>
      <x:c r="W220" s="93" t="n">
        <x:f>IF(V220="Returned",0,T220-U220)</x:f>
        <x:v>80.1</x:v>
      </x:c>
      <x:c r="X220" s="93" t="n">
        <x:f>IF(V220="Returned",Q220*R220*10%,Q220*R220)</x:f>
        <x:v>46</x:v>
      </x:c>
      <x:c r="Y220" s="93" t="n">
        <x:f>W220-X220</x:f>
        <x:v>34.099999999999994</x:v>
      </x:c>
      <x:c r="Z220" s="94" t="n">
        <x:f>IFERROR(Y220/W220,0)</x:f>
        <x:v>0.4257178526841448</x:v>
      </x:c>
      <x:c r="AA220" s="84" t="str">
        <x:f>PROPER(TRIM('Raw Sales'!M220))</x:f>
        <x:v>Cash</x:v>
      </x:c>
      <x:c r="AB220" s="84" t="str">
        <x:f>PROPER(TRIM('Raw Sales'!N220))</x:f>
        <x:v>Zoe Turner</x:v>
      </x:c>
      <x:c r="AC220" s="85" t="n">
        <x:f>'Raw Sales'!O220</x:f>
        <x:v>45378</x:v>
      </x:c>
      <x:c r="AD220" s="84" t="n">
        <x:f>AC220-B220</x:f>
        <x:v>0</x:v>
      </x:c>
      <x:c r="AE220" s="84" t="str">
        <x:f>IF(COUNTIF($A$5:A220,A220)&gt;1,"Duplicate","Keep")</x:f>
        <x:v>Keep</x:v>
      </x:c>
      <x:c r="AF220" s="84" t="str">
        <x:f>IF(OR(R220&lt;=0,AC220&lt;B220,H220="Unknown",M220="Unknown Product"),"Review","Valid")</x:f>
        <x:v>Valid</x:v>
      </x:c>
      <x:c r="AG220" s="84" t="n">
        <x:f>IF(AND(AE220="Keep",AF220="Valid"),1,0)</x:f>
        <x:v>1</x:v>
      </x:c>
      <x:c r="AH220" s="84" t="n">
        <x:f>IF(AND(AG220=1,OR('Dashboard'!$B$4="All",I220='Dashboard'!$B$4),OR('Dashboard'!$E$4="All",N220='Dashboard'!$E$4),OR('Dashboard'!$H$4="All",K220='Dashboard'!$H$4),OR('Dashboard'!$K$4="All",C220='Dashboard'!$K$4)),1,0)</x:f>
        <x:v>1</x:v>
      </x:c>
      <x:c r="AI220" s="84" t="n">
        <x:f>IF(AND(AG220=1,OR('Dashboard'!$B$4="All",I220='Dashboard'!$B$4),OR('Dashboard'!$E$4="All",N220='Dashboard'!$E$4),OR('Dashboard'!$H$4="All",K220='Dashboard'!$H$4)),1,0)</x:f>
        <x:v>1</x:v>
      </x:c>
    </x:row>
    <x:row r="221">
      <x:c r="A221" s="84" t="str">
        <x:f>'Raw Sales'!A221</x:f>
        <x:v>ORD-2024-00426</x:v>
      </x:c>
      <x:c r="B221" s="85" t="n">
        <x:f>'Raw Sales'!B221</x:f>
        <x:v>45379</x:v>
      </x:c>
      <x:c r="C221" s="84" t="n">
        <x:f>YEAR(B221)</x:f>
        <x:v>2024</x:v>
      </x:c>
      <x:c r="D221" s="91" t="n">
        <x:f>DATE(YEAR(B221),MONTH(B221),1)</x:f>
        <x:v>45352</x:v>
      </x:c>
      <x:c r="E221" s="84" t="str">
        <x:f>TEXT(B221,"mmm")</x:f>
        <x:v>Mar</x:v>
      </x:c>
      <x:c r="F221" s="84" t="str">
        <x:f>'Raw Sales'!C221</x:f>
        <x:v>CUST-0136</x:v>
      </x:c>
      <x:c r="G221" s="84" t="str">
        <x:f>PROPER(TRIM('Raw Sales'!D221))</x:f>
        <x:v>Elena Roberts</x:v>
      </x:c>
      <x:c r="H221" s="84" t="str">
        <x:f>IF(TRIM('Raw Sales'!E221)="","Unknown",PROPER(TRIM('Raw Sales'!E221)))</x:f>
        <x:v>Consumer</x:v>
      </x:c>
      <x:c r="I221" s="84" t="str">
        <x:f>PROPER(TRIM('Raw Sales'!F221))</x:f>
        <x:v>Southeast</x:v>
      </x:c>
      <x:c r="J221" s="84" t="str">
        <x:f>PROPER(TRIM('Raw Sales'!G221))</x:f>
        <x:v>Atlanta</x:v>
      </x:c>
      <x:c r="K221" s="84" t="str">
        <x:f>PROPER(TRIM('Raw Sales'!H221))</x:f>
        <x:v>Online</x:v>
      </x:c>
      <x:c r="L221" s="84" t="str">
        <x:f>'Raw Sales'!I221</x:f>
        <x:v>HOME-003</x:v>
      </x:c>
      <x:c r="M221" s="84" t="str">
        <x:f>IFERROR(VLOOKUP(L221,'Reference Data'!$A$5:$F$40,2,FALSE),"Unknown Product")</x:f>
        <x:v>Countertop Blender</x:v>
      </x:c>
      <x:c r="N221" s="84" t="str">
        <x:f>IFERROR(VLOOKUP(L221,'Reference Data'!$A$5:$F$40,3,FALSE),"Unknown")</x:f>
        <x:v>Home &amp; Kitchen</x:v>
      </x:c>
      <x:c r="O221" s="84" t="str">
        <x:f>IFERROR(VLOOKUP(L221,'Reference Data'!$A$5:$F$40,4,FALSE),"Unknown")</x:f>
        <x:v>Small Appliances</x:v>
      </x:c>
      <x:c r="P221" s="92" t="n">
        <x:f>IFERROR(VLOOKUP(L221,'Reference Data'!$A$5:$F$40,5,FALSE),0)</x:f>
        <x:v>89</x:v>
      </x:c>
      <x:c r="Q221" s="92" t="n">
        <x:f>IFERROR(VLOOKUP(L221,'Reference Data'!$A$5:$F$40,6,FALSE),0)</x:f>
        <x:v>46</x:v>
      </x:c>
      <x:c r="R221" s="84" t="n">
        <x:f>'Raw Sales'!J221</x:f>
        <x:v>1</x:v>
      </x:c>
      <x:c r="S221" s="87" t="n">
        <x:f>'Raw Sales'!K221</x:f>
        <x:v>0</x:v>
      </x:c>
      <x:c r="T221" s="93" t="n">
        <x:f>P221*R221</x:f>
        <x:v>89</x:v>
      </x:c>
      <x:c r="U221" s="93" t="n">
        <x:f>T221*S221</x:f>
        <x:v>0</x:v>
      </x:c>
      <x:c r="V221" s="93" t="str">
        <x:f>PROPER(TRIM('Raw Sales'!L221))</x:f>
        <x:v>Completed</x:v>
      </x:c>
      <x:c r="W221" s="93" t="n">
        <x:f>IF(V221="Returned",0,T221-U221)</x:f>
        <x:v>89</x:v>
      </x:c>
      <x:c r="X221" s="93" t="n">
        <x:f>IF(V221="Returned",Q221*R221*10%,Q221*R221)</x:f>
        <x:v>46</x:v>
      </x:c>
      <x:c r="Y221" s="93" t="n">
        <x:f>W221-X221</x:f>
        <x:v>43</x:v>
      </x:c>
      <x:c r="Z221" s="94" t="n">
        <x:f>IFERROR(Y221/W221,0)</x:f>
        <x:v>0.48314606741573035</x:v>
      </x:c>
      <x:c r="AA221" s="84" t="str">
        <x:f>PROPER(TRIM('Raw Sales'!M221))</x:f>
        <x:v>Debit Card</x:v>
      </x:c>
      <x:c r="AB221" s="84" t="str">
        <x:f>PROPER(TRIM('Raw Sales'!N221))</x:f>
        <x:v>Liam Parker</x:v>
      </x:c>
      <x:c r="AC221" s="85" t="n">
        <x:f>'Raw Sales'!O221</x:f>
        <x:v>45382</x:v>
      </x:c>
      <x:c r="AD221" s="84" t="n">
        <x:f>AC221-B221</x:f>
        <x:v>3</x:v>
      </x:c>
      <x:c r="AE221" s="84" t="str">
        <x:f>IF(COUNTIF($A$5:A221,A221)&gt;1,"Duplicate","Keep")</x:f>
        <x:v>Keep</x:v>
      </x:c>
      <x:c r="AF221" s="84" t="str">
        <x:f>IF(OR(R221&lt;=0,AC221&lt;B221,H221="Unknown",M221="Unknown Product"),"Review","Valid")</x:f>
        <x:v>Valid</x:v>
      </x:c>
      <x:c r="AG221" s="84" t="n">
        <x:f>IF(AND(AE221="Keep",AF221="Valid"),1,0)</x:f>
        <x:v>1</x:v>
      </x:c>
      <x:c r="AH221" s="84" t="n">
        <x:f>IF(AND(AG221=1,OR('Dashboard'!$B$4="All",I221='Dashboard'!$B$4),OR('Dashboard'!$E$4="All",N221='Dashboard'!$E$4),OR('Dashboard'!$H$4="All",K221='Dashboard'!$H$4),OR('Dashboard'!$K$4="All",C221='Dashboard'!$K$4)),1,0)</x:f>
        <x:v>1</x:v>
      </x:c>
      <x:c r="AI221" s="84" t="n">
        <x:f>IF(AND(AG221=1,OR('Dashboard'!$B$4="All",I221='Dashboard'!$B$4),OR('Dashboard'!$E$4="All",N221='Dashboard'!$E$4),OR('Dashboard'!$H$4="All",K221='Dashboard'!$H$4)),1,0)</x:f>
        <x:v>1</x:v>
      </x:c>
    </x:row>
    <x:row r="222">
      <x:c r="A222" s="84" t="str">
        <x:f>'Raw Sales'!A222</x:f>
        <x:v>ORD-2024-01687</x:v>
      </x:c>
      <x:c r="B222" s="85" t="n">
        <x:f>'Raw Sales'!B222</x:f>
        <x:v>45379</x:v>
      </x:c>
      <x:c r="C222" s="84" t="n">
        <x:f>YEAR(B222)</x:f>
        <x:v>2024</x:v>
      </x:c>
      <x:c r="D222" s="91" t="n">
        <x:f>DATE(YEAR(B222),MONTH(B222),1)</x:f>
        <x:v>45352</x:v>
      </x:c>
      <x:c r="E222" s="84" t="str">
        <x:f>TEXT(B222,"mmm")</x:f>
        <x:v>Mar</x:v>
      </x:c>
      <x:c r="F222" s="84" t="str">
        <x:f>'Raw Sales'!C222</x:f>
        <x:v>CUST-0145</x:v>
      </x:c>
      <x:c r="G222" s="84" t="str">
        <x:f>PROPER(TRIM('Raw Sales'!D222))</x:f>
        <x:v>Samuel Adams</x:v>
      </x:c>
      <x:c r="H222" s="84" t="str">
        <x:f>IF(TRIM('Raw Sales'!E222)="","Unknown",PROPER(TRIM('Raw Sales'!E222)))</x:f>
        <x:v>Consumer</x:v>
      </x:c>
      <x:c r="I222" s="84" t="str">
        <x:f>PROPER(TRIM('Raw Sales'!F222))</x:f>
        <x:v>Southeast</x:v>
      </x:c>
      <x:c r="J222" s="84" t="str">
        <x:f>PROPER(TRIM('Raw Sales'!G222))</x:f>
        <x:v>Nashville</x:v>
      </x:c>
      <x:c r="K222" s="84" t="str">
        <x:f>PROPER(TRIM('Raw Sales'!H222))</x:f>
        <x:v>Online</x:v>
      </x:c>
      <x:c r="L222" s="84" t="str">
        <x:f>'Raw Sales'!I222</x:f>
        <x:v>ACCS-005</x:v>
      </x:c>
      <x:c r="M222" s="84" t="str">
        <x:f>IFERROR(VLOOKUP(L222,'Reference Data'!$A$5:$F$40,2,FALSE),"Unknown Product")</x:f>
        <x:v>Protective Phone Case</x:v>
      </x:c>
      <x:c r="N222" s="84" t="str">
        <x:f>IFERROR(VLOOKUP(L222,'Reference Data'!$A$5:$F$40,3,FALSE),"Unknown")</x:f>
        <x:v>Accessories</x:v>
      </x:c>
      <x:c r="O222" s="84" t="str">
        <x:f>IFERROR(VLOOKUP(L222,'Reference Data'!$A$5:$F$40,4,FALSE),"Unknown")</x:f>
        <x:v>Mobile Accessories</x:v>
      </x:c>
      <x:c r="P222" s="92" t="n">
        <x:f>IFERROR(VLOOKUP(L222,'Reference Data'!$A$5:$F$40,5,FALSE),0)</x:f>
        <x:v>24</x:v>
      </x:c>
      <x:c r="Q222" s="92" t="n">
        <x:f>IFERROR(VLOOKUP(L222,'Reference Data'!$A$5:$F$40,6,FALSE),0)</x:f>
        <x:v>5</x:v>
      </x:c>
      <x:c r="R222" s="84" t="n">
        <x:f>'Raw Sales'!J222</x:f>
        <x:v>4</x:v>
      </x:c>
      <x:c r="S222" s="87" t="n">
        <x:f>'Raw Sales'!K222</x:f>
        <x:v>0</x:v>
      </x:c>
      <x:c r="T222" s="93" t="n">
        <x:f>P222*R222</x:f>
        <x:v>96</x:v>
      </x:c>
      <x:c r="U222" s="93" t="n">
        <x:f>T222*S222</x:f>
        <x:v>0</x:v>
      </x:c>
      <x:c r="V222" s="93" t="str">
        <x:f>PROPER(TRIM('Raw Sales'!L222))</x:f>
        <x:v>Completed</x:v>
      </x:c>
      <x:c r="W222" s="93" t="n">
        <x:f>IF(V222="Returned",0,T222-U222)</x:f>
        <x:v>96</x:v>
      </x:c>
      <x:c r="X222" s="93" t="n">
        <x:f>IF(V222="Returned",Q222*R222*10%,Q222*R222)</x:f>
        <x:v>20</x:v>
      </x:c>
      <x:c r="Y222" s="93" t="n">
        <x:f>W222-X222</x:f>
        <x:v>76</x:v>
      </x:c>
      <x:c r="Z222" s="94" t="n">
        <x:f>IFERROR(Y222/W222,0)</x:f>
        <x:v>0.7916666666666666</x:v>
      </x:c>
      <x:c r="AA222" s="84" t="str">
        <x:f>PROPER(TRIM('Raw Sales'!M222))</x:f>
        <x:v>Paypal</x:v>
      </x:c>
      <x:c r="AB222" s="84" t="str">
        <x:f>PROPER(TRIM('Raw Sales'!N222))</x:f>
        <x:v>Liam Parker</x:v>
      </x:c>
      <x:c r="AC222" s="85" t="n">
        <x:f>'Raw Sales'!O222</x:f>
        <x:v>45383</x:v>
      </x:c>
      <x:c r="AD222" s="84" t="n">
        <x:f>AC222-B222</x:f>
        <x:v>4</x:v>
      </x:c>
      <x:c r="AE222" s="84" t="str">
        <x:f>IF(COUNTIF($A$5:A222,A222)&gt;1,"Duplicate","Keep")</x:f>
        <x:v>Keep</x:v>
      </x:c>
      <x:c r="AF222" s="84" t="str">
        <x:f>IF(OR(R222&lt;=0,AC222&lt;B222,H222="Unknown",M222="Unknown Product"),"Review","Valid")</x:f>
        <x:v>Valid</x:v>
      </x:c>
      <x:c r="AG222" s="84" t="n">
        <x:f>IF(AND(AE222="Keep",AF222="Valid"),1,0)</x:f>
        <x:v>1</x:v>
      </x:c>
      <x:c r="AH222" s="84" t="n">
        <x:f>IF(AND(AG222=1,OR('Dashboard'!$B$4="All",I222='Dashboard'!$B$4),OR('Dashboard'!$E$4="All",N222='Dashboard'!$E$4),OR('Dashboard'!$H$4="All",K222='Dashboard'!$H$4),OR('Dashboard'!$K$4="All",C222='Dashboard'!$K$4)),1,0)</x:f>
        <x:v>1</x:v>
      </x:c>
      <x:c r="AI222" s="84" t="n">
        <x:f>IF(AND(AG222=1,OR('Dashboard'!$B$4="All",I222='Dashboard'!$B$4),OR('Dashboard'!$E$4="All",N222='Dashboard'!$E$4),OR('Dashboard'!$H$4="All",K222='Dashboard'!$H$4)),1,0)</x:f>
        <x:v>1</x:v>
      </x:c>
    </x:row>
    <x:row r="223">
      <x:c r="A223" s="84" t="str">
        <x:f>'Raw Sales'!A223</x:f>
        <x:v>ORD-2024-02268</x:v>
      </x:c>
      <x:c r="B223" s="85" t="n">
        <x:f>'Raw Sales'!B223</x:f>
        <x:v>45379</x:v>
      </x:c>
      <x:c r="C223" s="84" t="n">
        <x:f>YEAR(B223)</x:f>
        <x:v>2024</x:v>
      </x:c>
      <x:c r="D223" s="91" t="n">
        <x:f>DATE(YEAR(B223),MONTH(B223),1)</x:f>
        <x:v>45352</x:v>
      </x:c>
      <x:c r="E223" s="84" t="str">
        <x:f>TEXT(B223,"mmm")</x:f>
        <x:v>Mar</x:v>
      </x:c>
      <x:c r="F223" s="84" t="str">
        <x:f>'Raw Sales'!C223</x:f>
        <x:v>CUST-0629</x:v>
      </x:c>
      <x:c r="G223" s="84" t="str">
        <x:f>PROPER(TRIM('Raw Sales'!D223))</x:f>
        <x:v>Nina Garcia</x:v>
      </x:c>
      <x:c r="H223" s="84" t="str">
        <x:f>IF(TRIM('Raw Sales'!E223)="","Unknown",PROPER(TRIM('Raw Sales'!E223)))</x:f>
        <x:v>Consumer</x:v>
      </x:c>
      <x:c r="I223" s="84" t="str">
        <x:f>PROPER(TRIM('Raw Sales'!F223))</x:f>
        <x:v>Southeast</x:v>
      </x:c>
      <x:c r="J223" s="84" t="str">
        <x:f>PROPER(TRIM('Raw Sales'!G223))</x:f>
        <x:v>Charlotte</x:v>
      </x:c>
      <x:c r="K223" s="84" t="str">
        <x:f>PROPER(TRIM('Raw Sales'!H223))</x:f>
        <x:v>Online</x:v>
      </x:c>
      <x:c r="L223" s="84" t="str">
        <x:f>'Raw Sales'!I223</x:f>
        <x:v>FITN-001</x:v>
      </x:c>
      <x:c r="M223" s="84" t="str">
        <x:f>IFERROR(VLOOKUP(L223,'Reference Data'!$A$5:$F$40,2,FALSE),"Unknown Product")</x:f>
        <x:v>Yoga Mat</x:v>
      </x:c>
      <x:c r="N223" s="84" t="str">
        <x:f>IFERROR(VLOOKUP(L223,'Reference Data'!$A$5:$F$40,3,FALSE),"Unknown")</x:f>
        <x:v>Fitness</x:v>
      </x:c>
      <x:c r="O223" s="84" t="str">
        <x:f>IFERROR(VLOOKUP(L223,'Reference Data'!$A$5:$F$40,4,FALSE),"Unknown")</x:f>
        <x:v>Yoga</x:v>
      </x:c>
      <x:c r="P223" s="92" t="n">
        <x:f>IFERROR(VLOOKUP(L223,'Reference Data'!$A$5:$F$40,5,FALSE),0)</x:f>
        <x:v>35</x:v>
      </x:c>
      <x:c r="Q223" s="92" t="n">
        <x:f>IFERROR(VLOOKUP(L223,'Reference Data'!$A$5:$F$40,6,FALSE),0)</x:f>
        <x:v>13</x:v>
      </x:c>
      <x:c r="R223" s="84" t="n">
        <x:f>'Raw Sales'!J223</x:f>
        <x:v>1</x:v>
      </x:c>
      <x:c r="S223" s="87" t="n">
        <x:f>'Raw Sales'!K223</x:f>
        <x:v>0.05</x:v>
      </x:c>
      <x:c r="T223" s="93" t="n">
        <x:f>P223*R223</x:f>
        <x:v>35</x:v>
      </x:c>
      <x:c r="U223" s="93" t="n">
        <x:f>T223*S223</x:f>
        <x:v>1.75</x:v>
      </x:c>
      <x:c r="V223" s="93" t="str">
        <x:f>PROPER(TRIM('Raw Sales'!L223))</x:f>
        <x:v>Completed</x:v>
      </x:c>
      <x:c r="W223" s="93" t="n">
        <x:f>IF(V223="Returned",0,T223-U223)</x:f>
        <x:v>33.25</x:v>
      </x:c>
      <x:c r="X223" s="93" t="n">
        <x:f>IF(V223="Returned",Q223*R223*10%,Q223*R223)</x:f>
        <x:v>13</x:v>
      </x:c>
      <x:c r="Y223" s="93" t="n">
        <x:f>W223-X223</x:f>
        <x:v>20.25</x:v>
      </x:c>
      <x:c r="Z223" s="94" t="n">
        <x:f>IFERROR(Y223/W223,0)</x:f>
        <x:v>0.6090225563909775</x:v>
      </x:c>
      <x:c r="AA223" s="84" t="str">
        <x:f>PROPER(TRIM('Raw Sales'!M223))</x:f>
        <x:v>Paypal</x:v>
      </x:c>
      <x:c r="AB223" s="84" t="str">
        <x:f>PROPER(TRIM('Raw Sales'!N223))</x:f>
        <x:v>Liam Parker</x:v>
      </x:c>
      <x:c r="AC223" s="85" t="n">
        <x:f>'Raw Sales'!O223</x:f>
        <x:v>45382</x:v>
      </x:c>
      <x:c r="AD223" s="84" t="n">
        <x:f>AC223-B223</x:f>
        <x:v>3</x:v>
      </x:c>
      <x:c r="AE223" s="84" t="str">
        <x:f>IF(COUNTIF($A$5:A223,A223)&gt;1,"Duplicate","Keep")</x:f>
        <x:v>Keep</x:v>
      </x:c>
      <x:c r="AF223" s="84" t="str">
        <x:f>IF(OR(R223&lt;=0,AC223&lt;B223,H223="Unknown",M223="Unknown Product"),"Review","Valid")</x:f>
        <x:v>Valid</x:v>
      </x:c>
      <x:c r="AG223" s="84" t="n">
        <x:f>IF(AND(AE223="Keep",AF223="Valid"),1,0)</x:f>
        <x:v>1</x:v>
      </x:c>
      <x:c r="AH223" s="84" t="n">
        <x:f>IF(AND(AG223=1,OR('Dashboard'!$B$4="All",I223='Dashboard'!$B$4),OR('Dashboard'!$E$4="All",N223='Dashboard'!$E$4),OR('Dashboard'!$H$4="All",K223='Dashboard'!$H$4),OR('Dashboard'!$K$4="All",C223='Dashboard'!$K$4)),1,0)</x:f>
        <x:v>1</x:v>
      </x:c>
      <x:c r="AI223" s="84" t="n">
        <x:f>IF(AND(AG223=1,OR('Dashboard'!$B$4="All",I223='Dashboard'!$B$4),OR('Dashboard'!$E$4="All",N223='Dashboard'!$E$4),OR('Dashboard'!$H$4="All",K223='Dashboard'!$H$4)),1,0)</x:f>
        <x:v>1</x:v>
      </x:c>
    </x:row>
    <x:row r="224">
      <x:c r="A224" s="84" t="str">
        <x:f>'Raw Sales'!A224</x:f>
        <x:v>ORD-2024-00184</x:v>
      </x:c>
      <x:c r="B224" s="85" t="n">
        <x:f>'Raw Sales'!B224</x:f>
        <x:v>45380</x:v>
      </x:c>
      <x:c r="C224" s="84" t="n">
        <x:f>YEAR(B224)</x:f>
        <x:v>2024</x:v>
      </x:c>
      <x:c r="D224" s="91" t="n">
        <x:f>DATE(YEAR(B224),MONTH(B224),1)</x:f>
        <x:v>45352</x:v>
      </x:c>
      <x:c r="E224" s="84" t="str">
        <x:f>TEXT(B224,"mmm")</x:f>
        <x:v>Mar</x:v>
      </x:c>
      <x:c r="F224" s="84" t="str">
        <x:f>'Raw Sales'!C224</x:f>
        <x:v>CUST-0628</x:v>
      </x:c>
      <x:c r="G224" s="84" t="str">
        <x:f>PROPER(TRIM('Raw Sales'!D224))</x:f>
        <x:v>Isaac Young</x:v>
      </x:c>
      <x:c r="H224" s="84" t="str">
        <x:f>IF(TRIM('Raw Sales'!E224)="","Unknown",PROPER(TRIM('Raw Sales'!E224)))</x:f>
        <x:v>Small Business</x:v>
      </x:c>
      <x:c r="I224" s="84" t="str">
        <x:f>PROPER(TRIM('Raw Sales'!F224))</x:f>
        <x:v>West</x:v>
      </x:c>
      <x:c r="J224" s="84" t="str">
        <x:f>PROPER(TRIM('Raw Sales'!G224))</x:f>
        <x:v>Denver</x:v>
      </x:c>
      <x:c r="K224" s="84" t="str">
        <x:f>PROPER(TRIM('Raw Sales'!H224))</x:f>
        <x:v>Marketplace</x:v>
      </x:c>
      <x:c r="L224" s="84" t="str">
        <x:f>'Raw Sales'!I224</x:f>
        <x:v>HOME-004</x:v>
      </x:c>
      <x:c r="M224" s="84" t="str">
        <x:f>IFERROR(VLOOKUP(L224,'Reference Data'!$A$5:$F$40,2,FALSE),"Unknown Product")</x:f>
        <x:v>Coffee Maker</x:v>
      </x:c>
      <x:c r="N224" s="84" t="str">
        <x:f>IFERROR(VLOOKUP(L224,'Reference Data'!$A$5:$F$40,3,FALSE),"Unknown")</x:f>
        <x:v>Home &amp; Kitchen</x:v>
      </x:c>
      <x:c r="O224" s="84" t="str">
        <x:f>IFERROR(VLOOKUP(L224,'Reference Data'!$A$5:$F$40,4,FALSE),"Unknown")</x:f>
        <x:v>Small Appliances</x:v>
      </x:c>
      <x:c r="P224" s="92" t="n">
        <x:f>IFERROR(VLOOKUP(L224,'Reference Data'!$A$5:$F$40,5,FALSE),0)</x:f>
        <x:v>99</x:v>
      </x:c>
      <x:c r="Q224" s="92" t="n">
        <x:f>IFERROR(VLOOKUP(L224,'Reference Data'!$A$5:$F$40,6,FALSE),0)</x:f>
        <x:v>51</x:v>
      </x:c>
      <x:c r="R224" s="84" t="n">
        <x:f>'Raw Sales'!J224</x:f>
        <x:v>3</x:v>
      </x:c>
      <x:c r="S224" s="87" t="n">
        <x:f>'Raw Sales'!K224</x:f>
        <x:v>0.05</x:v>
      </x:c>
      <x:c r="T224" s="93" t="n">
        <x:f>P224*R224</x:f>
        <x:v>297</x:v>
      </x:c>
      <x:c r="U224" s="93" t="n">
        <x:f>T224*S224</x:f>
        <x:v>14.850000000000001</x:v>
      </x:c>
      <x:c r="V224" s="93" t="str">
        <x:f>PROPER(TRIM('Raw Sales'!L224))</x:f>
        <x:v>Completed</x:v>
      </x:c>
      <x:c r="W224" s="93" t="n">
        <x:f>IF(V224="Returned",0,T224-U224)</x:f>
        <x:v>282.15</x:v>
      </x:c>
      <x:c r="X224" s="93" t="n">
        <x:f>IF(V224="Returned",Q224*R224*10%,Q224*R224)</x:f>
        <x:v>153</x:v>
      </x:c>
      <x:c r="Y224" s="93" t="n">
        <x:f>W224-X224</x:f>
        <x:v>129.14999999999998</x:v>
      </x:c>
      <x:c r="Z224" s="94" t="n">
        <x:f>IFERROR(Y224/W224,0)</x:f>
        <x:v>0.4577352472089314</x:v>
      </x:c>
      <x:c r="AA224" s="84" t="str">
        <x:f>PROPER(TRIM('Raw Sales'!M224))</x:f>
        <x:v>Debit Card</x:v>
      </x:c>
      <x:c r="AB224" s="84" t="str">
        <x:f>PROPER(TRIM('Raw Sales'!N224))</x:f>
        <x:v>Leo Martinez</x:v>
      </x:c>
      <x:c r="AC224" s="85" t="n">
        <x:f>'Raw Sales'!O224</x:f>
        <x:v>45388</x:v>
      </x:c>
      <x:c r="AD224" s="84" t="n">
        <x:f>AC224-B224</x:f>
        <x:v>8</x:v>
      </x:c>
      <x:c r="AE224" s="84" t="str">
        <x:f>IF(COUNTIF($A$5:A224,A224)&gt;1,"Duplicate","Keep")</x:f>
        <x:v>Keep</x:v>
      </x:c>
      <x:c r="AF224" s="84" t="str">
        <x:f>IF(OR(R224&lt;=0,AC224&lt;B224,H224="Unknown",M224="Unknown Product"),"Review","Valid")</x:f>
        <x:v>Valid</x:v>
      </x:c>
      <x:c r="AG224" s="84" t="n">
        <x:f>IF(AND(AE224="Keep",AF224="Valid"),1,0)</x:f>
        <x:v>1</x:v>
      </x:c>
      <x:c r="AH224" s="84" t="n">
        <x:f>IF(AND(AG224=1,OR('Dashboard'!$B$4="All",I224='Dashboard'!$B$4),OR('Dashboard'!$E$4="All",N224='Dashboard'!$E$4),OR('Dashboard'!$H$4="All",K224='Dashboard'!$H$4),OR('Dashboard'!$K$4="All",C224='Dashboard'!$K$4)),1,0)</x:f>
        <x:v>1</x:v>
      </x:c>
      <x:c r="AI224" s="84" t="n">
        <x:f>IF(AND(AG224=1,OR('Dashboard'!$B$4="All",I224='Dashboard'!$B$4),OR('Dashboard'!$E$4="All",N224='Dashboard'!$E$4),OR('Dashboard'!$H$4="All",K224='Dashboard'!$H$4)),1,0)</x:f>
        <x:v>1</x:v>
      </x:c>
    </x:row>
    <x:row r="225">
      <x:c r="A225" s="84" t="str">
        <x:f>'Raw Sales'!A225</x:f>
        <x:v>ORD-2024-00265</x:v>
      </x:c>
      <x:c r="B225" s="85" t="n">
        <x:f>'Raw Sales'!B225</x:f>
        <x:v>45380</x:v>
      </x:c>
      <x:c r="C225" s="84" t="n">
        <x:f>YEAR(B225)</x:f>
        <x:v>2024</x:v>
      </x:c>
      <x:c r="D225" s="91" t="n">
        <x:f>DATE(YEAR(B225),MONTH(B225),1)</x:f>
        <x:v>45352</x:v>
      </x:c>
      <x:c r="E225" s="84" t="str">
        <x:f>TEXT(B225,"mmm")</x:f>
        <x:v>Mar</x:v>
      </x:c>
      <x:c r="F225" s="84" t="str">
        <x:f>'Raw Sales'!C225</x:f>
        <x:v>CUST-0427</x:v>
      </x:c>
      <x:c r="G225" s="84" t="str">
        <x:f>PROPER(TRIM('Raw Sales'!D225))</x:f>
        <x:v>Aiden Ortiz</x:v>
      </x:c>
      <x:c r="H225" s="84" t="str">
        <x:f>IF(TRIM('Raw Sales'!E225)="","Unknown",PROPER(TRIM('Raw Sales'!E225)))</x:f>
        <x:v>Consumer</x:v>
      </x:c>
      <x:c r="I225" s="84" t="str">
        <x:f>PROPER(TRIM('Raw Sales'!F225))</x:f>
        <x:v>West</x:v>
      </x:c>
      <x:c r="J225" s="84" t="str">
        <x:f>PROPER(TRIM('Raw Sales'!G225))</x:f>
        <x:v>Los Angeles</x:v>
      </x:c>
      <x:c r="K225" s="84" t="str">
        <x:f>PROPER(TRIM('Raw Sales'!H225))</x:f>
        <x:v>Retail Store</x:v>
      </x:c>
      <x:c r="L225" s="84" t="str">
        <x:f>'Raw Sales'!I225</x:f>
        <x:v>OFFC-006</x:v>
      </x:c>
      <x:c r="M225" s="84" t="str">
        <x:f>IFERROR(VLOOKUP(L225,'Reference Data'!$A$5:$F$40,2,FALSE),"Unknown Product")</x:f>
        <x:v>Monitor Stand</x:v>
      </x:c>
      <x:c r="N225" s="84" t="str">
        <x:f>IFERROR(VLOOKUP(L225,'Reference Data'!$A$5:$F$40,3,FALSE),"Unknown")</x:f>
        <x:v>Office</x:v>
      </x:c>
      <x:c r="O225" s="84" t="str">
        <x:f>IFERROR(VLOOKUP(L225,'Reference Data'!$A$5:$F$40,4,FALSE),"Unknown")</x:f>
        <x:v>Desk Accessories</x:v>
      </x:c>
      <x:c r="P225" s="92" t="n">
        <x:f>IFERROR(VLOOKUP(L225,'Reference Data'!$A$5:$F$40,5,FALSE),0)</x:f>
        <x:v>49</x:v>
      </x:c>
      <x:c r="Q225" s="92" t="n">
        <x:f>IFERROR(VLOOKUP(L225,'Reference Data'!$A$5:$F$40,6,FALSE),0)</x:f>
        <x:v>21</x:v>
      </x:c>
      <x:c r="R225" s="84" t="n">
        <x:f>'Raw Sales'!J225</x:f>
        <x:v>1</x:v>
      </x:c>
      <x:c r="S225" s="87" t="n">
        <x:f>'Raw Sales'!K225</x:f>
        <x:v>0</x:v>
      </x:c>
      <x:c r="T225" s="93" t="n">
        <x:f>P225*R225</x:f>
        <x:v>49</x:v>
      </x:c>
      <x:c r="U225" s="93" t="n">
        <x:f>T225*S225</x:f>
        <x:v>0</x:v>
      </x:c>
      <x:c r="V225" s="93" t="str">
        <x:f>PROPER(TRIM('Raw Sales'!L225))</x:f>
        <x:v>Completed</x:v>
      </x:c>
      <x:c r="W225" s="93" t="n">
        <x:f>IF(V225="Returned",0,T225-U225)</x:f>
        <x:v>49</x:v>
      </x:c>
      <x:c r="X225" s="93" t="n">
        <x:f>IF(V225="Returned",Q225*R225*10%,Q225*R225)</x:f>
        <x:v>21</x:v>
      </x:c>
      <x:c r="Y225" s="93" t="n">
        <x:f>W225-X225</x:f>
        <x:v>28</x:v>
      </x:c>
      <x:c r="Z225" s="94" t="n">
        <x:f>IFERROR(Y225/W225,0)</x:f>
        <x:v>0.5714285714285714</x:v>
      </x:c>
      <x:c r="AA225" s="84" t="str">
        <x:f>PROPER(TRIM('Raw Sales'!M225))</x:f>
        <x:v>Cash</x:v>
      </x:c>
      <x:c r="AB225" s="84" t="str">
        <x:f>PROPER(TRIM('Raw Sales'!N225))</x:f>
        <x:v>Leo Martinez</x:v>
      </x:c>
      <x:c r="AC225" s="85" t="n">
        <x:f>'Raw Sales'!O225</x:f>
        <x:v>45381</x:v>
      </x:c>
      <x:c r="AD225" s="84" t="n">
        <x:f>AC225-B225</x:f>
        <x:v>1</x:v>
      </x:c>
      <x:c r="AE225" s="84" t="str">
        <x:f>IF(COUNTIF($A$5:A225,A225)&gt;1,"Duplicate","Keep")</x:f>
        <x:v>Keep</x:v>
      </x:c>
      <x:c r="AF225" s="84" t="str">
        <x:f>IF(OR(R225&lt;=0,AC225&lt;B225,H225="Unknown",M225="Unknown Product"),"Review","Valid")</x:f>
        <x:v>Valid</x:v>
      </x:c>
      <x:c r="AG225" s="84" t="n">
        <x:f>IF(AND(AE225="Keep",AF225="Valid"),1,0)</x:f>
        <x:v>1</x:v>
      </x:c>
      <x:c r="AH225" s="84" t="n">
        <x:f>IF(AND(AG225=1,OR('Dashboard'!$B$4="All",I225='Dashboard'!$B$4),OR('Dashboard'!$E$4="All",N225='Dashboard'!$E$4),OR('Dashboard'!$H$4="All",K225='Dashboard'!$H$4),OR('Dashboard'!$K$4="All",C225='Dashboard'!$K$4)),1,0)</x:f>
        <x:v>1</x:v>
      </x:c>
      <x:c r="AI225" s="84" t="n">
        <x:f>IF(AND(AG225=1,OR('Dashboard'!$B$4="All",I225='Dashboard'!$B$4),OR('Dashboard'!$E$4="All",N225='Dashboard'!$E$4),OR('Dashboard'!$H$4="All",K225='Dashboard'!$H$4)),1,0)</x:f>
        <x:v>1</x:v>
      </x:c>
    </x:row>
    <x:row r="226">
      <x:c r="A226" s="84" t="str">
        <x:f>'Raw Sales'!A226</x:f>
        <x:v>ORD-2024-02367</x:v>
      </x:c>
      <x:c r="B226" s="85" t="n">
        <x:f>'Raw Sales'!B226</x:f>
        <x:v>45380</x:v>
      </x:c>
      <x:c r="C226" s="84" t="n">
        <x:f>YEAR(B226)</x:f>
        <x:v>2024</x:v>
      </x:c>
      <x:c r="D226" s="91" t="n">
        <x:f>DATE(YEAR(B226),MONTH(B226),1)</x:f>
        <x:v>45352</x:v>
      </x:c>
      <x:c r="E226" s="84" t="str">
        <x:f>TEXT(B226,"mmm")</x:f>
        <x:v>Mar</x:v>
      </x:c>
      <x:c r="F226" s="84" t="str">
        <x:f>'Raw Sales'!C226</x:f>
        <x:v>CUST-0209</x:v>
      </x:c>
      <x:c r="G226" s="84" t="str">
        <x:f>PROPER(TRIM('Raw Sales'!D226))</x:f>
        <x:v>Sara Walker</x:v>
      </x:c>
      <x:c r="H226" s="84" t="str">
        <x:f>IF(TRIM('Raw Sales'!E226)="","Unknown",PROPER(TRIM('Raw Sales'!E226)))</x:f>
        <x:v>Consumer</x:v>
      </x:c>
      <x:c r="I226" s="84" t="str">
        <x:f>PROPER(TRIM('Raw Sales'!F226))</x:f>
        <x:v>Midwest</x:v>
      </x:c>
      <x:c r="J226" s="84" t="str">
        <x:f>PROPER(TRIM('Raw Sales'!G226))</x:f>
        <x:v>Chicago</x:v>
      </x:c>
      <x:c r="K226" s="84" t="str">
        <x:f>PROPER(TRIM('Raw Sales'!H226))</x:f>
        <x:v>Online</x:v>
      </x:c>
      <x:c r="L226" s="84" t="str">
        <x:f>'Raw Sales'!I226</x:f>
        <x:v>FITN-002</x:v>
      </x:c>
      <x:c r="M226" s="84" t="str">
        <x:f>IFERROR(VLOOKUP(L226,'Reference Data'!$A$5:$F$40,2,FALSE),"Unknown Product")</x:f>
        <x:v>Adjustable Dumbbell Set</x:v>
      </x:c>
      <x:c r="N226" s="84" t="str">
        <x:f>IFERROR(VLOOKUP(L226,'Reference Data'!$A$5:$F$40,3,FALSE),"Unknown")</x:f>
        <x:v>Fitness</x:v>
      </x:c>
      <x:c r="O226" s="84" t="str">
        <x:f>IFERROR(VLOOKUP(L226,'Reference Data'!$A$5:$F$40,4,FALSE),"Unknown")</x:f>
        <x:v>Strength</x:v>
      </x:c>
      <x:c r="P226" s="92" t="n">
        <x:f>IFERROR(VLOOKUP(L226,'Reference Data'!$A$5:$F$40,5,FALSE),0)</x:f>
        <x:v>99</x:v>
      </x:c>
      <x:c r="Q226" s="92" t="n">
        <x:f>IFERROR(VLOOKUP(L226,'Reference Data'!$A$5:$F$40,6,FALSE),0)</x:f>
        <x:v>57</x:v>
      </x:c>
      <x:c r="R226" s="84" t="n">
        <x:f>'Raw Sales'!J226</x:f>
        <x:v>2</x:v>
      </x:c>
      <x:c r="S226" s="87" t="n">
        <x:f>'Raw Sales'!K226</x:f>
        <x:v>0.05</x:v>
      </x:c>
      <x:c r="T226" s="93" t="n">
        <x:f>P226*R226</x:f>
        <x:v>198</x:v>
      </x:c>
      <x:c r="U226" s="93" t="n">
        <x:f>T226*S226</x:f>
        <x:v>9.9</x:v>
      </x:c>
      <x:c r="V226" s="93" t="str">
        <x:f>PROPER(TRIM('Raw Sales'!L226))</x:f>
        <x:v>Returned</x:v>
      </x:c>
      <x:c r="W226" s="93" t="n">
        <x:f>IF(V226="Returned",0,T226-U226)</x:f>
        <x:v>0</x:v>
      </x:c>
      <x:c r="X226" s="93" t="n">
        <x:f>IF(V226="Returned",Q226*R226*10%,Q226*R226)</x:f>
        <x:v>11.4</x:v>
      </x:c>
      <x:c r="Y226" s="93" t="n">
        <x:f>W226-X226</x:f>
        <x:v>-11.4</x:v>
      </x:c>
      <x:c r="Z226" s="94" t="n">
        <x:f>IFERROR(Y226/W226,0)</x:f>
        <x:v>0</x:v>
      </x:c>
      <x:c r="AA226" s="84" t="str">
        <x:f>PROPER(TRIM('Raw Sales'!M226))</x:f>
        <x:v>Credit Card</x:v>
      </x:c>
      <x:c r="AB226" s="84" t="str">
        <x:f>PROPER(TRIM('Raw Sales'!N226))</x:f>
        <x:v>Zoe Turner</x:v>
      </x:c>
      <x:c r="AC226" s="85" t="n">
        <x:f>'Raw Sales'!O226</x:f>
        <x:v>45383</x:v>
      </x:c>
      <x:c r="AD226" s="84" t="n">
        <x:f>AC226-B226</x:f>
        <x:v>3</x:v>
      </x:c>
      <x:c r="AE226" s="84" t="str">
        <x:f>IF(COUNTIF($A$5:A226,A226)&gt;1,"Duplicate","Keep")</x:f>
        <x:v>Keep</x:v>
      </x:c>
      <x:c r="AF226" s="84" t="str">
        <x:f>IF(OR(R226&lt;=0,AC226&lt;B226,H226="Unknown",M226="Unknown Product"),"Review","Valid")</x:f>
        <x:v>Valid</x:v>
      </x:c>
      <x:c r="AG226" s="84" t="n">
        <x:f>IF(AND(AE226="Keep",AF226="Valid"),1,0)</x:f>
        <x:v>1</x:v>
      </x:c>
      <x:c r="AH226" s="84" t="n">
        <x:f>IF(AND(AG226=1,OR('Dashboard'!$B$4="All",I226='Dashboard'!$B$4),OR('Dashboard'!$E$4="All",N226='Dashboard'!$E$4),OR('Dashboard'!$H$4="All",K226='Dashboard'!$H$4),OR('Dashboard'!$K$4="All",C226='Dashboard'!$K$4)),1,0)</x:f>
        <x:v>1</x:v>
      </x:c>
      <x:c r="AI226" s="84" t="n">
        <x:f>IF(AND(AG226=1,OR('Dashboard'!$B$4="All",I226='Dashboard'!$B$4),OR('Dashboard'!$E$4="All",N226='Dashboard'!$E$4),OR('Dashboard'!$H$4="All",K226='Dashboard'!$H$4)),1,0)</x:f>
        <x:v>1</x:v>
      </x:c>
    </x:row>
    <x:row r="227">
      <x:c r="A227" s="84" t="str">
        <x:f>'Raw Sales'!A227</x:f>
        <x:v>ORD-2024-00063</x:v>
      </x:c>
      <x:c r="B227" s="85" t="n">
        <x:f>'Raw Sales'!B227</x:f>
        <x:v>45381</x:v>
      </x:c>
      <x:c r="C227" s="84" t="n">
        <x:f>YEAR(B227)</x:f>
        <x:v>2024</x:v>
      </x:c>
      <x:c r="D227" s="91" t="n">
        <x:f>DATE(YEAR(B227),MONTH(B227),1)</x:f>
        <x:v>45352</x:v>
      </x:c>
      <x:c r="E227" s="84" t="str">
        <x:f>TEXT(B227,"mmm")</x:f>
        <x:v>Mar</x:v>
      </x:c>
      <x:c r="F227" s="84" t="str">
        <x:f>'Raw Sales'!C227</x:f>
        <x:v>CUST-0610</x:v>
      </x:c>
      <x:c r="G227" s="84" t="str">
        <x:f>PROPER(TRIM('Raw Sales'!D227))</x:f>
        <x:v>Grace Taylor</x:v>
      </x:c>
      <x:c r="H227" s="84" t="str">
        <x:f>IF(TRIM('Raw Sales'!E227)="","Unknown",PROPER(TRIM('Raw Sales'!E227)))</x:f>
        <x:v>Consumer</x:v>
      </x:c>
      <x:c r="I227" s="84" t="str">
        <x:f>PROPER(TRIM('Raw Sales'!F227))</x:f>
        <x:v>Southeast</x:v>
      </x:c>
      <x:c r="J227" s="84" t="str">
        <x:f>PROPER(TRIM('Raw Sales'!G227))</x:f>
        <x:v>Miami</x:v>
      </x:c>
      <x:c r="K227" s="84" t="str">
        <x:f>PROPER(TRIM('Raw Sales'!H227))</x:f>
        <x:v>Marketplace</x:v>
      </x:c>
      <x:c r="L227" s="84" t="str">
        <x:f>'Raw Sales'!I227</x:f>
        <x:v>FITN-001</x:v>
      </x:c>
      <x:c r="M227" s="84" t="str">
        <x:f>IFERROR(VLOOKUP(L227,'Reference Data'!$A$5:$F$40,2,FALSE),"Unknown Product")</x:f>
        <x:v>Yoga Mat</x:v>
      </x:c>
      <x:c r="N227" s="84" t="str">
        <x:f>IFERROR(VLOOKUP(L227,'Reference Data'!$A$5:$F$40,3,FALSE),"Unknown")</x:f>
        <x:v>Fitness</x:v>
      </x:c>
      <x:c r="O227" s="84" t="str">
        <x:f>IFERROR(VLOOKUP(L227,'Reference Data'!$A$5:$F$40,4,FALSE),"Unknown")</x:f>
        <x:v>Yoga</x:v>
      </x:c>
      <x:c r="P227" s="92" t="n">
        <x:f>IFERROR(VLOOKUP(L227,'Reference Data'!$A$5:$F$40,5,FALSE),0)</x:f>
        <x:v>35</x:v>
      </x:c>
      <x:c r="Q227" s="92" t="n">
        <x:f>IFERROR(VLOOKUP(L227,'Reference Data'!$A$5:$F$40,6,FALSE),0)</x:f>
        <x:v>13</x:v>
      </x:c>
      <x:c r="R227" s="84" t="n">
        <x:f>'Raw Sales'!J227</x:f>
        <x:v>1</x:v>
      </x:c>
      <x:c r="S227" s="87" t="n">
        <x:f>'Raw Sales'!K227</x:f>
        <x:v>0</x:v>
      </x:c>
      <x:c r="T227" s="93" t="n">
        <x:f>P227*R227</x:f>
        <x:v>35</x:v>
      </x:c>
      <x:c r="U227" s="93" t="n">
        <x:f>T227*S227</x:f>
        <x:v>0</x:v>
      </x:c>
      <x:c r="V227" s="93" t="str">
        <x:f>PROPER(TRIM('Raw Sales'!L227))</x:f>
        <x:v>Completed</x:v>
      </x:c>
      <x:c r="W227" s="93" t="n">
        <x:f>IF(V227="Returned",0,T227-U227)</x:f>
        <x:v>35</x:v>
      </x:c>
      <x:c r="X227" s="93" t="n">
        <x:f>IF(V227="Returned",Q227*R227*10%,Q227*R227)</x:f>
        <x:v>13</x:v>
      </x:c>
      <x:c r="Y227" s="93" t="n">
        <x:f>W227-X227</x:f>
        <x:v>22</x:v>
      </x:c>
      <x:c r="Z227" s="94" t="n">
        <x:f>IFERROR(Y227/W227,0)</x:f>
        <x:v>0.6285714285714286</x:v>
      </x:c>
      <x:c r="AA227" s="84" t="str">
        <x:f>PROPER(TRIM('Raw Sales'!M227))</x:f>
        <x:v>Mobile Wallet</x:v>
      </x:c>
      <x:c r="AB227" s="84" t="str">
        <x:f>PROPER(TRIM('Raw Sales'!N227))</x:f>
        <x:v>Liam Parker</x:v>
      </x:c>
      <x:c r="AC227" s="85" t="n">
        <x:f>'Raw Sales'!O227</x:f>
        <x:v>45386</x:v>
      </x:c>
      <x:c r="AD227" s="84" t="n">
        <x:f>AC227-B227</x:f>
        <x:v>5</x:v>
      </x:c>
      <x:c r="AE227" s="84" t="str">
        <x:f>IF(COUNTIF($A$5:A227,A227)&gt;1,"Duplicate","Keep")</x:f>
        <x:v>Keep</x:v>
      </x:c>
      <x:c r="AF227" s="84" t="str">
        <x:f>IF(OR(R227&lt;=0,AC227&lt;B227,H227="Unknown",M227="Unknown Product"),"Review","Valid")</x:f>
        <x:v>Valid</x:v>
      </x:c>
      <x:c r="AG227" s="84" t="n">
        <x:f>IF(AND(AE227="Keep",AF227="Valid"),1,0)</x:f>
        <x:v>1</x:v>
      </x:c>
      <x:c r="AH227" s="84" t="n">
        <x:f>IF(AND(AG227=1,OR('Dashboard'!$B$4="All",I227='Dashboard'!$B$4),OR('Dashboard'!$E$4="All",N227='Dashboard'!$E$4),OR('Dashboard'!$H$4="All",K227='Dashboard'!$H$4),OR('Dashboard'!$K$4="All",C227='Dashboard'!$K$4)),1,0)</x:f>
        <x:v>1</x:v>
      </x:c>
      <x:c r="AI227" s="84" t="n">
        <x:f>IF(AND(AG227=1,OR('Dashboard'!$B$4="All",I227='Dashboard'!$B$4),OR('Dashboard'!$E$4="All",N227='Dashboard'!$E$4),OR('Dashboard'!$H$4="All",K227='Dashboard'!$H$4)),1,0)</x:f>
        <x:v>1</x:v>
      </x:c>
    </x:row>
    <x:row r="228">
      <x:c r="A228" s="84" t="str">
        <x:f>'Raw Sales'!A228</x:f>
        <x:v>ORD-2024-02400</x:v>
      </x:c>
      <x:c r="B228" s="85" t="n">
        <x:f>'Raw Sales'!B228</x:f>
        <x:v>45381</x:v>
      </x:c>
      <x:c r="C228" s="84" t="n">
        <x:f>YEAR(B228)</x:f>
        <x:v>2024</x:v>
      </x:c>
      <x:c r="D228" s="91" t="n">
        <x:f>DATE(YEAR(B228),MONTH(B228),1)</x:f>
        <x:v>45352</x:v>
      </x:c>
      <x:c r="E228" s="84" t="str">
        <x:f>TEXT(B228,"mmm")</x:f>
        <x:v>Mar</x:v>
      </x:c>
      <x:c r="F228" s="84" t="str">
        <x:f>'Raw Sales'!C228</x:f>
        <x:v>CUST-0523</x:v>
      </x:c>
      <x:c r="G228" s="84" t="str">
        <x:f>PROPER(TRIM('Raw Sales'!D228))</x:f>
        <x:v>Chloe Foster</x:v>
      </x:c>
      <x:c r="H228" s="84" t="str">
        <x:f>IF(TRIM('Raw Sales'!E228)="","Unknown",PROPER(TRIM('Raw Sales'!E228)))</x:f>
        <x:v>Consumer</x:v>
      </x:c>
      <x:c r="I228" s="84" t="str">
        <x:f>PROPER(TRIM('Raw Sales'!F228))</x:f>
        <x:v>Northeast</x:v>
      </x:c>
      <x:c r="J228" s="84" t="str">
        <x:f>PROPER(TRIM('Raw Sales'!G228))</x:f>
        <x:v>Boston</x:v>
      </x:c>
      <x:c r="K228" s="84" t="str">
        <x:f>PROPER(TRIM('Raw Sales'!H228))</x:f>
        <x:v>Retail Store</x:v>
      </x:c>
      <x:c r="L228" s="84" t="str">
        <x:f>'Raw Sales'!I228</x:f>
        <x:v>HOME-004</x:v>
      </x:c>
      <x:c r="M228" s="84" t="str">
        <x:f>IFERROR(VLOOKUP(L228,'Reference Data'!$A$5:$F$40,2,FALSE),"Unknown Product")</x:f>
        <x:v>Coffee Maker</x:v>
      </x:c>
      <x:c r="N228" s="84" t="str">
        <x:f>IFERROR(VLOOKUP(L228,'Reference Data'!$A$5:$F$40,3,FALSE),"Unknown")</x:f>
        <x:v>Home &amp; Kitchen</x:v>
      </x:c>
      <x:c r="O228" s="84" t="str">
        <x:f>IFERROR(VLOOKUP(L228,'Reference Data'!$A$5:$F$40,4,FALSE),"Unknown")</x:f>
        <x:v>Small Appliances</x:v>
      </x:c>
      <x:c r="P228" s="92" t="n">
        <x:f>IFERROR(VLOOKUP(L228,'Reference Data'!$A$5:$F$40,5,FALSE),0)</x:f>
        <x:v>99</x:v>
      </x:c>
      <x:c r="Q228" s="92" t="n">
        <x:f>IFERROR(VLOOKUP(L228,'Reference Data'!$A$5:$F$40,6,FALSE),0)</x:f>
        <x:v>51</x:v>
      </x:c>
      <x:c r="R228" s="84" t="n">
        <x:f>'Raw Sales'!J228</x:f>
        <x:v>1</x:v>
      </x:c>
      <x:c r="S228" s="87" t="n">
        <x:f>'Raw Sales'!K228</x:f>
        <x:v>0.05</x:v>
      </x:c>
      <x:c r="T228" s="93" t="n">
        <x:f>P228*R228</x:f>
        <x:v>99</x:v>
      </x:c>
      <x:c r="U228" s="93" t="n">
        <x:f>T228*S228</x:f>
        <x:v>4.95</x:v>
      </x:c>
      <x:c r="V228" s="93" t="str">
        <x:f>PROPER(TRIM('Raw Sales'!L228))</x:f>
        <x:v>Completed</x:v>
      </x:c>
      <x:c r="W228" s="93" t="n">
        <x:f>IF(V228="Returned",0,T228-U228)</x:f>
        <x:v>94.05</x:v>
      </x:c>
      <x:c r="X228" s="93" t="n">
        <x:f>IF(V228="Returned",Q228*R228*10%,Q228*R228)</x:f>
        <x:v>51</x:v>
      </x:c>
      <x:c r="Y228" s="93" t="n">
        <x:f>W228-X228</x:f>
        <x:v>43.05</x:v>
      </x:c>
      <x:c r="Z228" s="94" t="n">
        <x:f>IFERROR(Y228/W228,0)</x:f>
        <x:v>0.4577352472089314</x:v>
      </x:c>
      <x:c r="AA228" s="84" t="str">
        <x:f>PROPER(TRIM('Raw Sales'!M228))</x:f>
        <x:v>Mobile Wallet</x:v>
      </x:c>
      <x:c r="AB228" s="84" t="str">
        <x:f>PROPER(TRIM('Raw Sales'!N228))</x:f>
        <x:v>Sofia Bennett</x:v>
      </x:c>
      <x:c r="AC228" s="85" t="n">
        <x:f>'Raw Sales'!O228</x:f>
        <x:v>45381</x:v>
      </x:c>
      <x:c r="AD228" s="84" t="n">
        <x:f>AC228-B228</x:f>
        <x:v>0</x:v>
      </x:c>
      <x:c r="AE228" s="84" t="str">
        <x:f>IF(COUNTIF($A$5:A228,A228)&gt;1,"Duplicate","Keep")</x:f>
        <x:v>Keep</x:v>
      </x:c>
      <x:c r="AF228" s="84" t="str">
        <x:f>IF(OR(R228&lt;=0,AC228&lt;B228,H228="Unknown",M228="Unknown Product"),"Review","Valid")</x:f>
        <x:v>Valid</x:v>
      </x:c>
      <x:c r="AG228" s="84" t="n">
        <x:f>IF(AND(AE228="Keep",AF228="Valid"),1,0)</x:f>
        <x:v>1</x:v>
      </x:c>
      <x:c r="AH228" s="84" t="n">
        <x:f>IF(AND(AG228=1,OR('Dashboard'!$B$4="All",I228='Dashboard'!$B$4),OR('Dashboard'!$E$4="All",N228='Dashboard'!$E$4),OR('Dashboard'!$H$4="All",K228='Dashboard'!$H$4),OR('Dashboard'!$K$4="All",C228='Dashboard'!$K$4)),1,0)</x:f>
        <x:v>1</x:v>
      </x:c>
      <x:c r="AI228" s="84" t="n">
        <x:f>IF(AND(AG228=1,OR('Dashboard'!$B$4="All",I228='Dashboard'!$B$4),OR('Dashboard'!$E$4="All",N228='Dashboard'!$E$4),OR('Dashboard'!$H$4="All",K228='Dashboard'!$H$4)),1,0)</x:f>
        <x:v>1</x:v>
      </x:c>
    </x:row>
    <x:row r="229">
      <x:c r="A229" s="84" t="str">
        <x:f>'Raw Sales'!A229</x:f>
        <x:v>ORD-2024-01649</x:v>
      </x:c>
      <x:c r="B229" s="85" t="n">
        <x:f>'Raw Sales'!B229</x:f>
        <x:v>45382</x:v>
      </x:c>
      <x:c r="C229" s="84" t="n">
        <x:f>YEAR(B229)</x:f>
        <x:v>2024</x:v>
      </x:c>
      <x:c r="D229" s="91" t="n">
        <x:f>DATE(YEAR(B229),MONTH(B229),1)</x:f>
        <x:v>45352</x:v>
      </x:c>
      <x:c r="E229" s="84" t="str">
        <x:f>TEXT(B229,"mmm")</x:f>
        <x:v>Mar</x:v>
      </x:c>
      <x:c r="F229" s="84" t="str">
        <x:f>'Raw Sales'!C229</x:f>
        <x:v>CUST-0401</x:v>
      </x:c>
      <x:c r="G229" s="84" t="str">
        <x:f>PROPER(TRIM('Raw Sales'!D229))</x:f>
        <x:v>Priya Hall</x:v>
      </x:c>
      <x:c r="H229" s="84" t="str">
        <x:f>IF(TRIM('Raw Sales'!E229)="","Unknown",PROPER(TRIM('Raw Sales'!E229)))</x:f>
        <x:v>Consumer</x:v>
      </x:c>
      <x:c r="I229" s="84" t="str">
        <x:f>PROPER(TRIM('Raw Sales'!F229))</x:f>
        <x:v>Northeast</x:v>
      </x:c>
      <x:c r="J229" s="84" t="str">
        <x:f>PROPER(TRIM('Raw Sales'!G229))</x:f>
        <x:v>Newark</x:v>
      </x:c>
      <x:c r="K229" s="84" t="str">
        <x:f>PROPER(TRIM('Raw Sales'!H229))</x:f>
        <x:v>Retail Store</x:v>
      </x:c>
      <x:c r="L229" s="84" t="str">
        <x:f>'Raw Sales'!I229</x:f>
        <x:v>ACCS-003</x:v>
      </x:c>
      <x:c r="M229" s="84" t="str">
        <x:f>IFERROR(VLOOKUP(L229,'Reference Data'!$A$5:$F$40,2,FALSE),"Unknown Product")</x:f>
        <x:v>Polarized Sunglasses</x:v>
      </x:c>
      <x:c r="N229" s="84" t="str">
        <x:f>IFERROR(VLOOKUP(L229,'Reference Data'!$A$5:$F$40,3,FALSE),"Unknown")</x:f>
        <x:v>Accessories</x:v>
      </x:c>
      <x:c r="O229" s="84" t="str">
        <x:f>IFERROR(VLOOKUP(L229,'Reference Data'!$A$5:$F$40,4,FALSE),"Unknown")</x:f>
        <x:v>Eyewear</x:v>
      </x:c>
      <x:c r="P229" s="92" t="n">
        <x:f>IFERROR(VLOOKUP(L229,'Reference Data'!$A$5:$F$40,5,FALSE),0)</x:f>
        <x:v>59</x:v>
      </x:c>
      <x:c r="Q229" s="92" t="n">
        <x:f>IFERROR(VLOOKUP(L229,'Reference Data'!$A$5:$F$40,6,FALSE),0)</x:f>
        <x:v>17</x:v>
      </x:c>
      <x:c r="R229" s="84" t="n">
        <x:f>'Raw Sales'!J229</x:f>
        <x:v>1</x:v>
      </x:c>
      <x:c r="S229" s="87" t="n">
        <x:f>'Raw Sales'!K229</x:f>
        <x:v>0.05</x:v>
      </x:c>
      <x:c r="T229" s="93" t="n">
        <x:f>P229*R229</x:f>
        <x:v>59</x:v>
      </x:c>
      <x:c r="U229" s="93" t="n">
        <x:f>T229*S229</x:f>
        <x:v>2.95</x:v>
      </x:c>
      <x:c r="V229" s="93" t="str">
        <x:f>PROPER(TRIM('Raw Sales'!L229))</x:f>
        <x:v>Completed</x:v>
      </x:c>
      <x:c r="W229" s="93" t="n">
        <x:f>IF(V229="Returned",0,T229-U229)</x:f>
        <x:v>56.05</x:v>
      </x:c>
      <x:c r="X229" s="93" t="n">
        <x:f>IF(V229="Returned",Q229*R229*10%,Q229*R229)</x:f>
        <x:v>17</x:v>
      </x:c>
      <x:c r="Y229" s="93" t="n">
        <x:f>W229-X229</x:f>
        <x:v>39.05</x:v>
      </x:c>
      <x:c r="Z229" s="94" t="n">
        <x:f>IFERROR(Y229/W229,0)</x:f>
        <x:v>0.6966993755575379</x:v>
      </x:c>
      <x:c r="AA229" s="84" t="str">
        <x:f>PROPER(TRIM('Raw Sales'!M229))</x:f>
        <x:v>Cash</x:v>
      </x:c>
      <x:c r="AB229" s="84" t="str">
        <x:f>PROPER(TRIM('Raw Sales'!N229))</x:f>
        <x:v>Maya Brooks</x:v>
      </x:c>
      <x:c r="AC229" s="85" t="n">
        <x:f>'Raw Sales'!O229</x:f>
        <x:v>45382</x:v>
      </x:c>
      <x:c r="AD229" s="84" t="n">
        <x:f>AC229-B229</x:f>
        <x:v>0</x:v>
      </x:c>
      <x:c r="AE229" s="84" t="str">
        <x:f>IF(COUNTIF($A$5:A229,A229)&gt;1,"Duplicate","Keep")</x:f>
        <x:v>Keep</x:v>
      </x:c>
      <x:c r="AF229" s="84" t="str">
        <x:f>IF(OR(R229&lt;=0,AC229&lt;B229,H229="Unknown",M229="Unknown Product"),"Review","Valid")</x:f>
        <x:v>Valid</x:v>
      </x:c>
      <x:c r="AG229" s="84" t="n">
        <x:f>IF(AND(AE229="Keep",AF229="Valid"),1,0)</x:f>
        <x:v>1</x:v>
      </x:c>
      <x:c r="AH229" s="84" t="n">
        <x:f>IF(AND(AG229=1,OR('Dashboard'!$B$4="All",I229='Dashboard'!$B$4),OR('Dashboard'!$E$4="All",N229='Dashboard'!$E$4),OR('Dashboard'!$H$4="All",K229='Dashboard'!$H$4),OR('Dashboard'!$K$4="All",C229='Dashboard'!$K$4)),1,0)</x:f>
        <x:v>1</x:v>
      </x:c>
      <x:c r="AI229" s="84" t="n">
        <x:f>IF(AND(AG229=1,OR('Dashboard'!$B$4="All",I229='Dashboard'!$B$4),OR('Dashboard'!$E$4="All",N229='Dashboard'!$E$4),OR('Dashboard'!$H$4="All",K229='Dashboard'!$H$4)),1,0)</x:f>
        <x:v>1</x:v>
      </x:c>
    </x:row>
    <x:row r="230">
      <x:c r="A230" s="84" t="str">
        <x:f>'Raw Sales'!A230</x:f>
        <x:v>ORD-2024-00458</x:v>
      </x:c>
      <x:c r="B230" s="85" t="n">
        <x:f>'Raw Sales'!B230</x:f>
        <x:v>45383</x:v>
      </x:c>
      <x:c r="C230" s="84" t="n">
        <x:f>YEAR(B230)</x:f>
        <x:v>2024</x:v>
      </x:c>
      <x:c r="D230" s="91" t="n">
        <x:f>DATE(YEAR(B230),MONTH(B230),1)</x:f>
        <x:v>45383</x:v>
      </x:c>
      <x:c r="E230" s="84" t="str">
        <x:f>TEXT(B230,"mmm")</x:f>
        <x:v>Apr</x:v>
      </x:c>
      <x:c r="F230" s="84" t="str">
        <x:f>'Raw Sales'!C230</x:f>
        <x:v>CUST-0566</x:v>
      </x:c>
      <x:c r="G230" s="84" t="str">
        <x:f>PROPER(TRIM('Raw Sales'!D230))</x:f>
        <x:v>Jonah Quinn</x:v>
      </x:c>
      <x:c r="H230" s="84" t="str">
        <x:f>IF(TRIM('Raw Sales'!E230)="","Unknown",PROPER(TRIM('Raw Sales'!E230)))</x:f>
        <x:v>Small Business</x:v>
      </x:c>
      <x:c r="I230" s="84" t="str">
        <x:f>PROPER(TRIM('Raw Sales'!F230))</x:f>
        <x:v>Northeast</x:v>
      </x:c>
      <x:c r="J230" s="84" t="str">
        <x:f>PROPER(TRIM('Raw Sales'!G230))</x:f>
        <x:v>New York</x:v>
      </x:c>
      <x:c r="K230" s="84" t="str">
        <x:f>PROPER(TRIM('Raw Sales'!H230))</x:f>
        <x:v>Retail Store</x:v>
      </x:c>
      <x:c r="L230" s="84" t="str">
        <x:f>'Raw Sales'!I230</x:f>
        <x:v>ELEC-001</x:v>
      </x:c>
      <x:c r="M230" s="84" t="str">
        <x:f>IFERROR(VLOOKUP(L230,'Reference Data'!$A$5:$F$40,2,FALSE),"Unknown Product")</x:f>
        <x:v>Wireless Earbuds</x:v>
      </x:c>
      <x:c r="N230" s="84" t="str">
        <x:f>IFERROR(VLOOKUP(L230,'Reference Data'!$A$5:$F$40,3,FALSE),"Unknown")</x:f>
        <x:v>Electronics</x:v>
      </x:c>
      <x:c r="O230" s="84" t="str">
        <x:f>IFERROR(VLOOKUP(L230,'Reference Data'!$A$5:$F$40,4,FALSE),"Unknown")</x:f>
        <x:v>Audio</x:v>
      </x:c>
      <x:c r="P230" s="92" t="n">
        <x:f>IFERROR(VLOOKUP(L230,'Reference Data'!$A$5:$F$40,5,FALSE),0)</x:f>
        <x:v>69</x:v>
      </x:c>
      <x:c r="Q230" s="92" t="n">
        <x:f>IFERROR(VLOOKUP(L230,'Reference Data'!$A$5:$F$40,6,FALSE),0)</x:f>
        <x:v>36</x:v>
      </x:c>
      <x:c r="R230" s="84" t="n">
        <x:f>'Raw Sales'!J230</x:f>
        <x:v>1</x:v>
      </x:c>
      <x:c r="S230" s="87" t="n">
        <x:f>'Raw Sales'!K230</x:f>
        <x:v>0.15</x:v>
      </x:c>
      <x:c r="T230" s="93" t="n">
        <x:f>P230*R230</x:f>
        <x:v>69</x:v>
      </x:c>
      <x:c r="U230" s="93" t="n">
        <x:f>T230*S230</x:f>
        <x:v>10.35</x:v>
      </x:c>
      <x:c r="V230" s="93" t="str">
        <x:f>PROPER(TRIM('Raw Sales'!L230))</x:f>
        <x:v>Completed</x:v>
      </x:c>
      <x:c r="W230" s="93" t="n">
        <x:f>IF(V230="Returned",0,T230-U230)</x:f>
        <x:v>58.65</x:v>
      </x:c>
      <x:c r="X230" s="93" t="n">
        <x:f>IF(V230="Returned",Q230*R230*10%,Q230*R230)</x:f>
        <x:v>36</x:v>
      </x:c>
      <x:c r="Y230" s="93" t="n">
        <x:f>W230-X230</x:f>
        <x:v>22.65</x:v>
      </x:c>
      <x:c r="Z230" s="94" t="n">
        <x:f>IFERROR(Y230/W230,0)</x:f>
        <x:v>0.38618925831202044</x:v>
      </x:c>
      <x:c r="AA230" s="84" t="str">
        <x:f>PROPER(TRIM('Raw Sales'!M230))</x:f>
        <x:v>Cash</x:v>
      </x:c>
      <x:c r="AB230" s="84" t="str">
        <x:f>PROPER(TRIM('Raw Sales'!N230))</x:f>
        <x:v>Maya Brooks</x:v>
      </x:c>
      <x:c r="AC230" s="85" t="n">
        <x:f>'Raw Sales'!O230</x:f>
        <x:v>45383</x:v>
      </x:c>
      <x:c r="AD230" s="84" t="n">
        <x:f>AC230-B230</x:f>
        <x:v>0</x:v>
      </x:c>
      <x:c r="AE230" s="84" t="str">
        <x:f>IF(COUNTIF($A$5:A230,A230)&gt;1,"Duplicate","Keep")</x:f>
        <x:v>Keep</x:v>
      </x:c>
      <x:c r="AF230" s="84" t="str">
        <x:f>IF(OR(R230&lt;=0,AC230&lt;B230,H230="Unknown",M230="Unknown Product"),"Review","Valid")</x:f>
        <x:v>Valid</x:v>
      </x:c>
      <x:c r="AG230" s="84" t="n">
        <x:f>IF(AND(AE230="Keep",AF230="Valid"),1,0)</x:f>
        <x:v>1</x:v>
      </x:c>
      <x:c r="AH230" s="84" t="n">
        <x:f>IF(AND(AG230=1,OR('Dashboard'!$B$4="All",I230='Dashboard'!$B$4),OR('Dashboard'!$E$4="All",N230='Dashboard'!$E$4),OR('Dashboard'!$H$4="All",K230='Dashboard'!$H$4),OR('Dashboard'!$K$4="All",C230='Dashboard'!$K$4)),1,0)</x:f>
        <x:v>1</x:v>
      </x:c>
      <x:c r="AI230" s="84" t="n">
        <x:f>IF(AND(AG230=1,OR('Dashboard'!$B$4="All",I230='Dashboard'!$B$4),OR('Dashboard'!$E$4="All",N230='Dashboard'!$E$4),OR('Dashboard'!$H$4="All",K230='Dashboard'!$H$4)),1,0)</x:f>
        <x:v>1</x:v>
      </x:c>
    </x:row>
    <x:row r="231">
      <x:c r="A231" s="84" t="str">
        <x:f>'Raw Sales'!A231</x:f>
        <x:v>ORD-2024-00995</x:v>
      </x:c>
      <x:c r="B231" s="85" t="n">
        <x:f>'Raw Sales'!B231</x:f>
        <x:v>45383</x:v>
      </x:c>
      <x:c r="C231" s="84" t="n">
        <x:f>YEAR(B231)</x:f>
        <x:v>2024</x:v>
      </x:c>
      <x:c r="D231" s="91" t="n">
        <x:f>DATE(YEAR(B231),MONTH(B231),1)</x:f>
        <x:v>45383</x:v>
      </x:c>
      <x:c r="E231" s="84" t="str">
        <x:f>TEXT(B231,"mmm")</x:f>
        <x:v>Apr</x:v>
      </x:c>
      <x:c r="F231" s="84" t="str">
        <x:f>'Raw Sales'!C231</x:f>
        <x:v>CUST-0085</x:v>
      </x:c>
      <x:c r="G231" s="84" t="str">
        <x:f>PROPER(TRIM('Raw Sales'!D231))</x:f>
        <x:v>Amelia Adams</x:v>
      </x:c>
      <x:c r="H231" s="84" t="str">
        <x:f>IF(TRIM('Raw Sales'!E231)="","Unknown",PROPER(TRIM('Raw Sales'!E231)))</x:f>
        <x:v>Small Business</x:v>
      </x:c>
      <x:c r="I231" s="84" t="str">
        <x:f>PROPER(TRIM('Raw Sales'!F231))</x:f>
        <x:v>West</x:v>
      </x:c>
      <x:c r="J231" s="84" t="str">
        <x:f>PROPER(TRIM('Raw Sales'!G231))</x:f>
        <x:v>Phoenix</x:v>
      </x:c>
      <x:c r="K231" s="84" t="str">
        <x:f>PROPER(TRIM('Raw Sales'!H231))</x:f>
        <x:v>Retail Store</x:v>
      </x:c>
      <x:c r="L231" s="84" t="str">
        <x:f>'Raw Sales'!I231</x:f>
        <x:v>CARE-002</x:v>
      </x:c>
      <x:c r="M231" s="84" t="str">
        <x:f>IFERROR(VLOOKUP(L231,'Reference Data'!$A$5:$F$40,2,FALSE),"Unknown Product")</x:f>
        <x:v>Rechargeable Trimmer</x:v>
      </x:c>
      <x:c r="N231" s="84" t="str">
        <x:f>IFERROR(VLOOKUP(L231,'Reference Data'!$A$5:$F$40,3,FALSE),"Unknown")</x:f>
        <x:v>Personal Care</x:v>
      </x:c>
      <x:c r="O231" s="84" t="str">
        <x:f>IFERROR(VLOOKUP(L231,'Reference Data'!$A$5:$F$40,4,FALSE),"Unknown")</x:f>
        <x:v>Grooming</x:v>
      </x:c>
      <x:c r="P231" s="92" t="n">
        <x:f>IFERROR(VLOOKUP(L231,'Reference Data'!$A$5:$F$40,5,FALSE),0)</x:f>
        <x:v>45</x:v>
      </x:c>
      <x:c r="Q231" s="92" t="n">
        <x:f>IFERROR(VLOOKUP(L231,'Reference Data'!$A$5:$F$40,6,FALSE),0)</x:f>
        <x:v>19</x:v>
      </x:c>
      <x:c r="R231" s="84" t="n">
        <x:f>'Raw Sales'!J231</x:f>
        <x:v>1</x:v>
      </x:c>
      <x:c r="S231" s="87" t="n">
        <x:f>'Raw Sales'!K231</x:f>
        <x:v>0.05</x:v>
      </x:c>
      <x:c r="T231" s="93" t="n">
        <x:f>P231*R231</x:f>
        <x:v>45</x:v>
      </x:c>
      <x:c r="U231" s="93" t="n">
        <x:f>T231*S231</x:f>
        <x:v>2.25</x:v>
      </x:c>
      <x:c r="V231" s="93" t="str">
        <x:f>PROPER(TRIM('Raw Sales'!L231))</x:f>
        <x:v>Returned</x:v>
      </x:c>
      <x:c r="W231" s="93" t="n">
        <x:f>IF(V231="Returned",0,T231-U231)</x:f>
        <x:v>0</x:v>
      </x:c>
      <x:c r="X231" s="93" t="n">
        <x:f>IF(V231="Returned",Q231*R231*10%,Q231*R231)</x:f>
        <x:v>1.9000000000000001</x:v>
      </x:c>
      <x:c r="Y231" s="93" t="n">
        <x:f>W231-X231</x:f>
        <x:v>-1.9000000000000001</x:v>
      </x:c>
      <x:c r="Z231" s="94" t="n">
        <x:f>IFERROR(Y231/W231,0)</x:f>
        <x:v>0</x:v>
      </x:c>
      <x:c r="AA231" s="84" t="str">
        <x:f>PROPER(TRIM('Raw Sales'!M231))</x:f>
        <x:v>Cash</x:v>
      </x:c>
      <x:c r="AB231" s="84" t="str">
        <x:f>PROPER(TRIM('Raw Sales'!N231))</x:f>
        <x:v>Nora Kim</x:v>
      </x:c>
      <x:c r="AC231" s="85" t="n">
        <x:f>'Raw Sales'!O231</x:f>
        <x:v>45384</x:v>
      </x:c>
      <x:c r="AD231" s="84" t="n">
        <x:f>AC231-B231</x:f>
        <x:v>1</x:v>
      </x:c>
      <x:c r="AE231" s="84" t="str">
        <x:f>IF(COUNTIF($A$5:A231,A231)&gt;1,"Duplicate","Keep")</x:f>
        <x:v>Keep</x:v>
      </x:c>
      <x:c r="AF231" s="84" t="str">
        <x:f>IF(OR(R231&lt;=0,AC231&lt;B231,H231="Unknown",M231="Unknown Product"),"Review","Valid")</x:f>
        <x:v>Valid</x:v>
      </x:c>
      <x:c r="AG231" s="84" t="n">
        <x:f>IF(AND(AE231="Keep",AF231="Valid"),1,0)</x:f>
        <x:v>1</x:v>
      </x:c>
      <x:c r="AH231" s="84" t="n">
        <x:f>IF(AND(AG231=1,OR('Dashboard'!$B$4="All",I231='Dashboard'!$B$4),OR('Dashboard'!$E$4="All",N231='Dashboard'!$E$4),OR('Dashboard'!$H$4="All",K231='Dashboard'!$H$4),OR('Dashboard'!$K$4="All",C231='Dashboard'!$K$4)),1,0)</x:f>
        <x:v>1</x:v>
      </x:c>
      <x:c r="AI231" s="84" t="n">
        <x:f>IF(AND(AG231=1,OR('Dashboard'!$B$4="All",I231='Dashboard'!$B$4),OR('Dashboard'!$E$4="All",N231='Dashboard'!$E$4),OR('Dashboard'!$H$4="All",K231='Dashboard'!$H$4)),1,0)</x:f>
        <x:v>1</x:v>
      </x:c>
    </x:row>
    <x:row r="232">
      <x:c r="A232" s="84" t="str">
        <x:f>'Raw Sales'!A232</x:f>
        <x:v>ORD-2024-01453</x:v>
      </x:c>
      <x:c r="B232" s="85" t="n">
        <x:f>'Raw Sales'!B232</x:f>
        <x:v>45383</x:v>
      </x:c>
      <x:c r="C232" s="84" t="n">
        <x:f>YEAR(B232)</x:f>
        <x:v>2024</x:v>
      </x:c>
      <x:c r="D232" s="91" t="n">
        <x:f>DATE(YEAR(B232),MONTH(B232),1)</x:f>
        <x:v>45383</x:v>
      </x:c>
      <x:c r="E232" s="84" t="str">
        <x:f>TEXT(B232,"mmm")</x:f>
        <x:v>Apr</x:v>
      </x:c>
      <x:c r="F232" s="84" t="str">
        <x:f>'Raw Sales'!C232</x:f>
        <x:v>CUST-0434</x:v>
      </x:c>
      <x:c r="G232" s="84" t="str">
        <x:f>PROPER(TRIM('Raw Sales'!D232))</x:f>
        <x:v>Aiden Smith</x:v>
      </x:c>
      <x:c r="H232" s="84" t="str">
        <x:f>IF(TRIM('Raw Sales'!E232)="","Unknown",PROPER(TRIM('Raw Sales'!E232)))</x:f>
        <x:v>Corporate</x:v>
      </x:c>
      <x:c r="I232" s="84" t="str">
        <x:f>PROPER(TRIM('Raw Sales'!F232))</x:f>
        <x:v>Northeast</x:v>
      </x:c>
      <x:c r="J232" s="84" t="str">
        <x:f>PROPER(TRIM('Raw Sales'!G232))</x:f>
        <x:v>New York</x:v>
      </x:c>
      <x:c r="K232" s="84" t="str">
        <x:f>PROPER(TRIM('Raw Sales'!H232))</x:f>
        <x:v>Online</x:v>
      </x:c>
      <x:c r="L232" s="84" t="str">
        <x:f>'Raw Sales'!I232</x:f>
        <x:v>HOME-001</x:v>
      </x:c>
      <x:c r="M232" s="84" t="str">
        <x:f>IFERROR(VLOOKUP(L232,'Reference Data'!$A$5:$F$40,2,FALSE),"Unknown Product")</x:f>
        <x:v>Air Fryer</x:v>
      </x:c>
      <x:c r="N232" s="84" t="str">
        <x:f>IFERROR(VLOOKUP(L232,'Reference Data'!$A$5:$F$40,3,FALSE),"Unknown")</x:f>
        <x:v>Home &amp; Kitchen</x:v>
      </x:c>
      <x:c r="O232" s="84" t="str">
        <x:f>IFERROR(VLOOKUP(L232,'Reference Data'!$A$5:$F$40,4,FALSE),"Unknown")</x:f>
        <x:v>Small Appliances</x:v>
      </x:c>
      <x:c r="P232" s="92" t="n">
        <x:f>IFERROR(VLOOKUP(L232,'Reference Data'!$A$5:$F$40,5,FALSE),0)</x:f>
        <x:v>119</x:v>
      </x:c>
      <x:c r="Q232" s="92" t="n">
        <x:f>IFERROR(VLOOKUP(L232,'Reference Data'!$A$5:$F$40,6,FALSE),0)</x:f>
        <x:v>68</x:v>
      </x:c>
      <x:c r="R232" s="84" t="n">
        <x:f>'Raw Sales'!J232</x:f>
        <x:v>2</x:v>
      </x:c>
      <x:c r="S232" s="87" t="n">
        <x:f>'Raw Sales'!K232</x:f>
        <x:v>0</x:v>
      </x:c>
      <x:c r="T232" s="93" t="n">
        <x:f>P232*R232</x:f>
        <x:v>238</x:v>
      </x:c>
      <x:c r="U232" s="93" t="n">
        <x:f>T232*S232</x:f>
        <x:v>0</x:v>
      </x:c>
      <x:c r="V232" s="93" t="str">
        <x:f>PROPER(TRIM('Raw Sales'!L232))</x:f>
        <x:v>Completed</x:v>
      </x:c>
      <x:c r="W232" s="93" t="n">
        <x:f>IF(V232="Returned",0,T232-U232)</x:f>
        <x:v>238</x:v>
      </x:c>
      <x:c r="X232" s="93" t="n">
        <x:f>IF(V232="Returned",Q232*R232*10%,Q232*R232)</x:f>
        <x:v>136</x:v>
      </x:c>
      <x:c r="Y232" s="93" t="n">
        <x:f>W232-X232</x:f>
        <x:v>102</x:v>
      </x:c>
      <x:c r="Z232" s="94" t="n">
        <x:f>IFERROR(Y232/W232,0)</x:f>
        <x:v>0.42857142857142855</x:v>
      </x:c>
      <x:c r="AA232" s="84" t="str">
        <x:f>PROPER(TRIM('Raw Sales'!M232))</x:f>
        <x:v>Credit Card</x:v>
      </x:c>
      <x:c r="AB232" s="84" t="str">
        <x:f>PROPER(TRIM('Raw Sales'!N232))</x:f>
        <x:v>Sofia Bennett</x:v>
      </x:c>
      <x:c r="AC232" s="85" t="n">
        <x:f>'Raw Sales'!O232</x:f>
        <x:v>45389</x:v>
      </x:c>
      <x:c r="AD232" s="84" t="n">
        <x:f>AC232-B232</x:f>
        <x:v>6</x:v>
      </x:c>
      <x:c r="AE232" s="84" t="str">
        <x:f>IF(COUNTIF($A$5:A232,A232)&gt;1,"Duplicate","Keep")</x:f>
        <x:v>Keep</x:v>
      </x:c>
      <x:c r="AF232" s="84" t="str">
        <x:f>IF(OR(R232&lt;=0,AC232&lt;B232,H232="Unknown",M232="Unknown Product"),"Review","Valid")</x:f>
        <x:v>Valid</x:v>
      </x:c>
      <x:c r="AG232" s="84" t="n">
        <x:f>IF(AND(AE232="Keep",AF232="Valid"),1,0)</x:f>
        <x:v>1</x:v>
      </x:c>
      <x:c r="AH232" s="84" t="n">
        <x:f>IF(AND(AG232=1,OR('Dashboard'!$B$4="All",I232='Dashboard'!$B$4),OR('Dashboard'!$E$4="All",N232='Dashboard'!$E$4),OR('Dashboard'!$H$4="All",K232='Dashboard'!$H$4),OR('Dashboard'!$K$4="All",C232='Dashboard'!$K$4)),1,0)</x:f>
        <x:v>1</x:v>
      </x:c>
      <x:c r="AI232" s="84" t="n">
        <x:f>IF(AND(AG232=1,OR('Dashboard'!$B$4="All",I232='Dashboard'!$B$4),OR('Dashboard'!$E$4="All",N232='Dashboard'!$E$4),OR('Dashboard'!$H$4="All",K232='Dashboard'!$H$4)),1,0)</x:f>
        <x:v>1</x:v>
      </x:c>
    </x:row>
    <x:row r="233">
      <x:c r="A233" s="84" t="str">
        <x:f>'Raw Sales'!A233</x:f>
        <x:v>ORD-2024-01714</x:v>
      </x:c>
      <x:c r="B233" s="85" t="n">
        <x:f>'Raw Sales'!B233</x:f>
        <x:v>45383</x:v>
      </x:c>
      <x:c r="C233" s="84" t="n">
        <x:f>YEAR(B233)</x:f>
        <x:v>2024</x:v>
      </x:c>
      <x:c r="D233" s="91" t="n">
        <x:f>DATE(YEAR(B233),MONTH(B233),1)</x:f>
        <x:v>45383</x:v>
      </x:c>
      <x:c r="E233" s="84" t="str">
        <x:f>TEXT(B233,"mmm")</x:f>
        <x:v>Apr</x:v>
      </x:c>
      <x:c r="F233" s="84" t="str">
        <x:f>'Raw Sales'!C233</x:f>
        <x:v>CUST-0118</x:v>
      </x:c>
      <x:c r="G233" s="84" t="str">
        <x:f>PROPER(TRIM('Raw Sales'!D233))</x:f>
        <x:v>Daniel Davis</x:v>
      </x:c>
      <x:c r="H233" s="84" t="str">
        <x:f>IF(TRIM('Raw Sales'!E233)="","Unknown",PROPER(TRIM('Raw Sales'!E233)))</x:f>
        <x:v>Consumer</x:v>
      </x:c>
      <x:c r="I233" s="84" t="str">
        <x:f>PROPER(TRIM('Raw Sales'!F233))</x:f>
        <x:v>Midwest</x:v>
      </x:c>
      <x:c r="J233" s="84" t="str">
        <x:f>PROPER(TRIM('Raw Sales'!G233))</x:f>
        <x:v>Minneapolis</x:v>
      </x:c>
      <x:c r="K233" s="84" t="str">
        <x:f>PROPER(TRIM('Raw Sales'!H233))</x:f>
        <x:v>Online</x:v>
      </x:c>
      <x:c r="L233" s="84" t="str">
        <x:f>'Raw Sales'!I233</x:f>
        <x:v>FITN-006</x:v>
      </x:c>
      <x:c r="M233" s="84" t="str">
        <x:f>IFERROR(VLOOKUP(L233,'Reference Data'!$A$5:$F$40,2,FALSE),"Unknown Product")</x:f>
        <x:v>Foam Roller</x:v>
      </x:c>
      <x:c r="N233" s="84" t="str">
        <x:f>IFERROR(VLOOKUP(L233,'Reference Data'!$A$5:$F$40,3,FALSE),"Unknown")</x:f>
        <x:v>Fitness</x:v>
      </x:c>
      <x:c r="O233" s="84" t="str">
        <x:f>IFERROR(VLOOKUP(L233,'Reference Data'!$A$5:$F$40,4,FALSE),"Unknown")</x:f>
        <x:v>Recovery</x:v>
      </x:c>
      <x:c r="P233" s="92" t="n">
        <x:f>IFERROR(VLOOKUP(L233,'Reference Data'!$A$5:$F$40,5,FALSE),0)</x:f>
        <x:v>31</x:v>
      </x:c>
      <x:c r="Q233" s="92" t="n">
        <x:f>IFERROR(VLOOKUP(L233,'Reference Data'!$A$5:$F$40,6,FALSE),0)</x:f>
        <x:v>12</x:v>
      </x:c>
      <x:c r="R233" s="84" t="n">
        <x:f>'Raw Sales'!J233</x:f>
        <x:v>1</x:v>
      </x:c>
      <x:c r="S233" s="87" t="n">
        <x:f>'Raw Sales'!K233</x:f>
        <x:v>0.1</x:v>
      </x:c>
      <x:c r="T233" s="93" t="n">
        <x:f>P233*R233</x:f>
        <x:v>31</x:v>
      </x:c>
      <x:c r="U233" s="93" t="n">
        <x:f>T233*S233</x:f>
        <x:v>3.1</x:v>
      </x:c>
      <x:c r="V233" s="93" t="str">
        <x:f>PROPER(TRIM('Raw Sales'!L233))</x:f>
        <x:v>Completed</x:v>
      </x:c>
      <x:c r="W233" s="93" t="n">
        <x:f>IF(V233="Returned",0,T233-U233)</x:f>
        <x:v>27.9</x:v>
      </x:c>
      <x:c r="X233" s="93" t="n">
        <x:f>IF(V233="Returned",Q233*R233*10%,Q233*R233)</x:f>
        <x:v>12</x:v>
      </x:c>
      <x:c r="Y233" s="93" t="n">
        <x:f>W233-X233</x:f>
        <x:v>15.899999999999999</x:v>
      </x:c>
      <x:c r="Z233" s="94" t="n">
        <x:f>IFERROR(Y233/W233,0)</x:f>
        <x:v>0.5698924731182795</x:v>
      </x:c>
      <x:c r="AA233" s="84" t="str">
        <x:f>PROPER(TRIM('Raw Sales'!M233))</x:f>
        <x:v>Credit Card</x:v>
      </x:c>
      <x:c r="AB233" s="84" t="str">
        <x:f>PROPER(TRIM('Raw Sales'!N233))</x:f>
        <x:v>Lucas Grant</x:v>
      </x:c>
      <x:c r="AC233" s="85" t="n">
        <x:f>'Raw Sales'!O233</x:f>
        <x:v>45389</x:v>
      </x:c>
      <x:c r="AD233" s="84" t="n">
        <x:f>AC233-B233</x:f>
        <x:v>6</x:v>
      </x:c>
      <x:c r="AE233" s="84" t="str">
        <x:f>IF(COUNTIF($A$5:A233,A233)&gt;1,"Duplicate","Keep")</x:f>
        <x:v>Keep</x:v>
      </x:c>
      <x:c r="AF233" s="84" t="str">
        <x:f>IF(OR(R233&lt;=0,AC233&lt;B233,H233="Unknown",M233="Unknown Product"),"Review","Valid")</x:f>
        <x:v>Valid</x:v>
      </x:c>
      <x:c r="AG233" s="84" t="n">
        <x:f>IF(AND(AE233="Keep",AF233="Valid"),1,0)</x:f>
        <x:v>1</x:v>
      </x:c>
      <x:c r="AH233" s="84" t="n">
        <x:f>IF(AND(AG233=1,OR('Dashboard'!$B$4="All",I233='Dashboard'!$B$4),OR('Dashboard'!$E$4="All",N233='Dashboard'!$E$4),OR('Dashboard'!$H$4="All",K233='Dashboard'!$H$4),OR('Dashboard'!$K$4="All",C233='Dashboard'!$K$4)),1,0)</x:f>
        <x:v>1</x:v>
      </x:c>
      <x:c r="AI233" s="84" t="n">
        <x:f>IF(AND(AG233=1,OR('Dashboard'!$B$4="All",I233='Dashboard'!$B$4),OR('Dashboard'!$E$4="All",N233='Dashboard'!$E$4),OR('Dashboard'!$H$4="All",K233='Dashboard'!$H$4)),1,0)</x:f>
        <x:v>1</x:v>
      </x:c>
    </x:row>
    <x:row r="234">
      <x:c r="A234" s="84" t="str">
        <x:f>'Raw Sales'!A234</x:f>
        <x:v>ORD-2024-01029</x:v>
      </x:c>
      <x:c r="B234" s="85" t="n">
        <x:f>'Raw Sales'!B234</x:f>
        <x:v>45384</x:v>
      </x:c>
      <x:c r="C234" s="84" t="n">
        <x:f>YEAR(B234)</x:f>
        <x:v>2024</x:v>
      </x:c>
      <x:c r="D234" s="91" t="n">
        <x:f>DATE(YEAR(B234),MONTH(B234),1)</x:f>
        <x:v>45383</x:v>
      </x:c>
      <x:c r="E234" s="84" t="str">
        <x:f>TEXT(B234,"mmm")</x:f>
        <x:v>Apr</x:v>
      </x:c>
      <x:c r="F234" s="84" t="str">
        <x:f>'Raw Sales'!C234</x:f>
        <x:v>CUST-0170</x:v>
      </x:c>
      <x:c r="G234" s="84" t="str">
        <x:f>PROPER(TRIM('Raw Sales'!D234))</x:f>
        <x:v>Victoria Garcia</x:v>
      </x:c>
      <x:c r="H234" s="84" t="str">
        <x:f>IF(TRIM('Raw Sales'!E234)="","Unknown",PROPER(TRIM('Raw Sales'!E234)))</x:f>
        <x:v>Small Business</x:v>
      </x:c>
      <x:c r="I234" s="84" t="str">
        <x:f>PROPER(TRIM('Raw Sales'!F234))</x:f>
        <x:v>West</x:v>
      </x:c>
      <x:c r="J234" s="84" t="str">
        <x:f>PROPER(TRIM('Raw Sales'!G234))</x:f>
        <x:v>Seattle</x:v>
      </x:c>
      <x:c r="K234" s="84" t="str">
        <x:f>PROPER(TRIM('Raw Sales'!H234))</x:f>
        <x:v>Online</x:v>
      </x:c>
      <x:c r="L234" s="84" t="str">
        <x:f>'Raw Sales'!I234</x:f>
        <x:v>ELEC-001</x:v>
      </x:c>
      <x:c r="M234" s="84" t="str">
        <x:f>IFERROR(VLOOKUP(L234,'Reference Data'!$A$5:$F$40,2,FALSE),"Unknown Product")</x:f>
        <x:v>Wireless Earbuds</x:v>
      </x:c>
      <x:c r="N234" s="84" t="str">
        <x:f>IFERROR(VLOOKUP(L234,'Reference Data'!$A$5:$F$40,3,FALSE),"Unknown")</x:f>
        <x:v>Electronics</x:v>
      </x:c>
      <x:c r="O234" s="84" t="str">
        <x:f>IFERROR(VLOOKUP(L234,'Reference Data'!$A$5:$F$40,4,FALSE),"Unknown")</x:f>
        <x:v>Audio</x:v>
      </x:c>
      <x:c r="P234" s="92" t="n">
        <x:f>IFERROR(VLOOKUP(L234,'Reference Data'!$A$5:$F$40,5,FALSE),0)</x:f>
        <x:v>69</x:v>
      </x:c>
      <x:c r="Q234" s="92" t="n">
        <x:f>IFERROR(VLOOKUP(L234,'Reference Data'!$A$5:$F$40,6,FALSE),0)</x:f>
        <x:v>36</x:v>
      </x:c>
      <x:c r="R234" s="84" t="n">
        <x:f>'Raw Sales'!J234</x:f>
        <x:v>3</x:v>
      </x:c>
      <x:c r="S234" s="87" t="n">
        <x:f>'Raw Sales'!K234</x:f>
        <x:v>0.1</x:v>
      </x:c>
      <x:c r="T234" s="93" t="n">
        <x:f>P234*R234</x:f>
        <x:v>207</x:v>
      </x:c>
      <x:c r="U234" s="93" t="n">
        <x:f>T234*S234</x:f>
        <x:v>20.700000000000003</x:v>
      </x:c>
      <x:c r="V234" s="93" t="str">
        <x:f>PROPER(TRIM('Raw Sales'!L234))</x:f>
        <x:v>Completed</x:v>
      </x:c>
      <x:c r="W234" s="93" t="n">
        <x:f>IF(V234="Returned",0,T234-U234)</x:f>
        <x:v>186.3</x:v>
      </x:c>
      <x:c r="X234" s="93" t="n">
        <x:f>IF(V234="Returned",Q234*R234*10%,Q234*R234)</x:f>
        <x:v>108</x:v>
      </x:c>
      <x:c r="Y234" s="93" t="n">
        <x:f>W234-X234</x:f>
        <x:v>78.30000000000001</x:v>
      </x:c>
      <x:c r="Z234" s="94" t="n">
        <x:f>IFERROR(Y234/W234,0)</x:f>
        <x:v>0.4202898550724638</x:v>
      </x:c>
      <x:c r="AA234" s="84" t="str">
        <x:f>PROPER(TRIM('Raw Sales'!M234))</x:f>
        <x:v>Credit Card</x:v>
      </x:c>
      <x:c r="AB234" s="84" t="str">
        <x:f>PROPER(TRIM('Raw Sales'!N234))</x:f>
        <x:v>Leo Martinez</x:v>
      </x:c>
      <x:c r="AC234" s="85" t="n">
        <x:f>'Raw Sales'!O234</x:f>
        <x:v>45389</x:v>
      </x:c>
      <x:c r="AD234" s="84" t="n">
        <x:f>AC234-B234</x:f>
        <x:v>5</x:v>
      </x:c>
      <x:c r="AE234" s="84" t="str">
        <x:f>IF(COUNTIF($A$5:A234,A234)&gt;1,"Duplicate","Keep")</x:f>
        <x:v>Keep</x:v>
      </x:c>
      <x:c r="AF234" s="84" t="str">
        <x:f>IF(OR(R234&lt;=0,AC234&lt;B234,H234="Unknown",M234="Unknown Product"),"Review","Valid")</x:f>
        <x:v>Valid</x:v>
      </x:c>
      <x:c r="AG234" s="84" t="n">
        <x:f>IF(AND(AE234="Keep",AF234="Valid"),1,0)</x:f>
        <x:v>1</x:v>
      </x:c>
      <x:c r="AH234" s="84" t="n">
        <x:f>IF(AND(AG234=1,OR('Dashboard'!$B$4="All",I234='Dashboard'!$B$4),OR('Dashboard'!$E$4="All",N234='Dashboard'!$E$4),OR('Dashboard'!$H$4="All",K234='Dashboard'!$H$4),OR('Dashboard'!$K$4="All",C234='Dashboard'!$K$4)),1,0)</x:f>
        <x:v>1</x:v>
      </x:c>
      <x:c r="AI234" s="84" t="n">
        <x:f>IF(AND(AG234=1,OR('Dashboard'!$B$4="All",I234='Dashboard'!$B$4),OR('Dashboard'!$E$4="All",N234='Dashboard'!$E$4),OR('Dashboard'!$H$4="All",K234='Dashboard'!$H$4)),1,0)</x:f>
        <x:v>1</x:v>
      </x:c>
    </x:row>
    <x:row r="235">
      <x:c r="A235" s="84" t="str">
        <x:f>'Raw Sales'!A235</x:f>
        <x:v>ORD-2024-00110</x:v>
      </x:c>
      <x:c r="B235" s="85" t="n">
        <x:f>'Raw Sales'!B235</x:f>
        <x:v>45385</x:v>
      </x:c>
      <x:c r="C235" s="84" t="n">
        <x:f>YEAR(B235)</x:f>
        <x:v>2024</x:v>
      </x:c>
      <x:c r="D235" s="91" t="n">
        <x:f>DATE(YEAR(B235),MONTH(B235),1)</x:f>
        <x:v>45383</x:v>
      </x:c>
      <x:c r="E235" s="84" t="str">
        <x:f>TEXT(B235,"mmm")</x:f>
        <x:v>Apr</x:v>
      </x:c>
      <x:c r="F235" s="84" t="str">
        <x:f>'Raw Sales'!C235</x:f>
        <x:v>CUST-0425</x:v>
      </x:c>
      <x:c r="G235" s="84" t="str">
        <x:f>PROPER(TRIM('Raw Sales'!D235))</x:f>
        <x:v>Elena Baker</x:v>
      </x:c>
      <x:c r="H235" s="84" t="str">
        <x:f>IF(TRIM('Raw Sales'!E235)="","Unknown",PROPER(TRIM('Raw Sales'!E235)))</x:f>
        <x:v>Corporate</x:v>
      </x:c>
      <x:c r="I235" s="84" t="str">
        <x:f>PROPER(TRIM('Raw Sales'!F235))</x:f>
        <x:v>Midwest</x:v>
      </x:c>
      <x:c r="J235" s="84" t="str">
        <x:f>PROPER(TRIM('Raw Sales'!G235))</x:f>
        <x:v>Chicago</x:v>
      </x:c>
      <x:c r="K235" s="84" t="str">
        <x:f>PROPER(TRIM('Raw Sales'!H235))</x:f>
        <x:v>Retail Store</x:v>
      </x:c>
      <x:c r="L235" s="84" t="str">
        <x:f>'Raw Sales'!I235</x:f>
        <x:v>HOME-001</x:v>
      </x:c>
      <x:c r="M235" s="84" t="str">
        <x:f>IFERROR(VLOOKUP(L235,'Reference Data'!$A$5:$F$40,2,FALSE),"Unknown Product")</x:f>
        <x:v>Air Fryer</x:v>
      </x:c>
      <x:c r="N235" s="84" t="str">
        <x:f>IFERROR(VLOOKUP(L235,'Reference Data'!$A$5:$F$40,3,FALSE),"Unknown")</x:f>
        <x:v>Home &amp; Kitchen</x:v>
      </x:c>
      <x:c r="O235" s="84" t="str">
        <x:f>IFERROR(VLOOKUP(L235,'Reference Data'!$A$5:$F$40,4,FALSE),"Unknown")</x:f>
        <x:v>Small Appliances</x:v>
      </x:c>
      <x:c r="P235" s="92" t="n">
        <x:f>IFERROR(VLOOKUP(L235,'Reference Data'!$A$5:$F$40,5,FALSE),0)</x:f>
        <x:v>119</x:v>
      </x:c>
      <x:c r="Q235" s="92" t="n">
        <x:f>IFERROR(VLOOKUP(L235,'Reference Data'!$A$5:$F$40,6,FALSE),0)</x:f>
        <x:v>68</x:v>
      </x:c>
      <x:c r="R235" s="84" t="n">
        <x:f>'Raw Sales'!J235</x:f>
        <x:v>3</x:v>
      </x:c>
      <x:c r="S235" s="87" t="n">
        <x:f>'Raw Sales'!K235</x:f>
        <x:v>0.15</x:v>
      </x:c>
      <x:c r="T235" s="93" t="n">
        <x:f>P235*R235</x:f>
        <x:v>357</x:v>
      </x:c>
      <x:c r="U235" s="93" t="n">
        <x:f>T235*S235</x:f>
        <x:v>53.55</x:v>
      </x:c>
      <x:c r="V235" s="93" t="str">
        <x:f>PROPER(TRIM('Raw Sales'!L235))</x:f>
        <x:v>Completed</x:v>
      </x:c>
      <x:c r="W235" s="93" t="n">
        <x:f>IF(V235="Returned",0,T235-U235)</x:f>
        <x:v>303.45</x:v>
      </x:c>
      <x:c r="X235" s="93" t="n">
        <x:f>IF(V235="Returned",Q235*R235*10%,Q235*R235)</x:f>
        <x:v>204</x:v>
      </x:c>
      <x:c r="Y235" s="93" t="n">
        <x:f>W235-X235</x:f>
        <x:v>99.44999999999999</x:v>
      </x:c>
      <x:c r="Z235" s="94" t="n">
        <x:f>IFERROR(Y235/W235,0)</x:f>
        <x:v>0.3277310924369748</x:v>
      </x:c>
      <x:c r="AA235" s="84" t="str">
        <x:f>PROPER(TRIM('Raw Sales'!M235))</x:f>
        <x:v>Credit Card</x:v>
      </x:c>
      <x:c r="AB235" s="84" t="str">
        <x:f>PROPER(TRIM('Raw Sales'!N235))</x:f>
        <x:v>Lucas Grant</x:v>
      </x:c>
      <x:c r="AC235" s="85" t="n">
        <x:f>'Raw Sales'!O235</x:f>
        <x:v>45385</x:v>
      </x:c>
      <x:c r="AD235" s="84" t="n">
        <x:f>AC235-B235</x:f>
        <x:v>0</x:v>
      </x:c>
      <x:c r="AE235" s="84" t="str">
        <x:f>IF(COUNTIF($A$5:A235,A235)&gt;1,"Duplicate","Keep")</x:f>
        <x:v>Keep</x:v>
      </x:c>
      <x:c r="AF235" s="84" t="str">
        <x:f>IF(OR(R235&lt;=0,AC235&lt;B235,H235="Unknown",M235="Unknown Product"),"Review","Valid")</x:f>
        <x:v>Valid</x:v>
      </x:c>
      <x:c r="AG235" s="84" t="n">
        <x:f>IF(AND(AE235="Keep",AF235="Valid"),1,0)</x:f>
        <x:v>1</x:v>
      </x:c>
      <x:c r="AH235" s="84" t="n">
        <x:f>IF(AND(AG235=1,OR('Dashboard'!$B$4="All",I235='Dashboard'!$B$4),OR('Dashboard'!$E$4="All",N235='Dashboard'!$E$4),OR('Dashboard'!$H$4="All",K235='Dashboard'!$H$4),OR('Dashboard'!$K$4="All",C235='Dashboard'!$K$4)),1,0)</x:f>
        <x:v>1</x:v>
      </x:c>
      <x:c r="AI235" s="84" t="n">
        <x:f>IF(AND(AG235=1,OR('Dashboard'!$B$4="All",I235='Dashboard'!$B$4),OR('Dashboard'!$E$4="All",N235='Dashboard'!$E$4),OR('Dashboard'!$H$4="All",K235='Dashboard'!$H$4)),1,0)</x:f>
        <x:v>1</x:v>
      </x:c>
    </x:row>
    <x:row r="236">
      <x:c r="A236" s="84" t="str">
        <x:f>'Raw Sales'!A236</x:f>
        <x:v>ORD-2024-02144</x:v>
      </x:c>
      <x:c r="B236" s="85" t="n">
        <x:f>'Raw Sales'!B236</x:f>
        <x:v>45385</x:v>
      </x:c>
      <x:c r="C236" s="84" t="n">
        <x:f>YEAR(B236)</x:f>
        <x:v>2024</x:v>
      </x:c>
      <x:c r="D236" s="91" t="n">
        <x:f>DATE(YEAR(B236),MONTH(B236),1)</x:f>
        <x:v>45383</x:v>
      </x:c>
      <x:c r="E236" s="84" t="str">
        <x:f>TEXT(B236,"mmm")</x:f>
        <x:v>Apr</x:v>
      </x:c>
      <x:c r="F236" s="84" t="str">
        <x:f>'Raw Sales'!C236</x:f>
        <x:v>CUST-0467</x:v>
      </x:c>
      <x:c r="G236" s="84" t="str">
        <x:f>PROPER(TRIM('Raw Sales'!D236))</x:f>
        <x:v>Owen Khan</x:v>
      </x:c>
      <x:c r="H236" s="84" t="str">
        <x:f>IF(TRIM('Raw Sales'!E236)="","Unknown",PROPER(TRIM('Raw Sales'!E236)))</x:f>
        <x:v>Consumer</x:v>
      </x:c>
      <x:c r="I236" s="84" t="str">
        <x:f>PROPER(TRIM('Raw Sales'!F236))</x:f>
        <x:v>Northeast</x:v>
      </x:c>
      <x:c r="J236" s="84" t="str">
        <x:f>PROPER(TRIM('Raw Sales'!G236))</x:f>
        <x:v>New York</x:v>
      </x:c>
      <x:c r="K236" s="84" t="str">
        <x:f>PROPER(TRIM('Raw Sales'!H236))</x:f>
        <x:v>Retail Store</x:v>
      </x:c>
      <x:c r="L236" s="84" t="str">
        <x:f>'Raw Sales'!I236</x:f>
        <x:v>OFFC-002</x:v>
      </x:c>
      <x:c r="M236" s="84" t="str">
        <x:f>IFERROR(VLOOKUP(L236,'Reference Data'!$A$5:$F$40,2,FALSE),"Unknown Product")</x:f>
        <x:v>Standing Desk</x:v>
      </x:c>
      <x:c r="N236" s="84" t="str">
        <x:f>IFERROR(VLOOKUP(L236,'Reference Data'!$A$5:$F$40,3,FALSE),"Unknown")</x:f>
        <x:v>Office</x:v>
      </x:c>
      <x:c r="O236" s="84" t="str">
        <x:f>IFERROR(VLOOKUP(L236,'Reference Data'!$A$5:$F$40,4,FALSE),"Unknown")</x:f>
        <x:v>Furniture</x:v>
      </x:c>
      <x:c r="P236" s="92" t="n">
        <x:f>IFERROR(VLOOKUP(L236,'Reference Data'!$A$5:$F$40,5,FALSE),0)</x:f>
        <x:v>399</x:v>
      </x:c>
      <x:c r="Q236" s="92" t="n">
        <x:f>IFERROR(VLOOKUP(L236,'Reference Data'!$A$5:$F$40,6,FALSE),0)</x:f>
        <x:v>235</x:v>
      </x:c>
      <x:c r="R236" s="84" t="n">
        <x:f>'Raw Sales'!J236</x:f>
        <x:v>1</x:v>
      </x:c>
      <x:c r="S236" s="87" t="n">
        <x:f>'Raw Sales'!K236</x:f>
        <x:v>0.05</x:v>
      </x:c>
      <x:c r="T236" s="93" t="n">
        <x:f>P236*R236</x:f>
        <x:v>399</x:v>
      </x:c>
      <x:c r="U236" s="93" t="n">
        <x:f>T236*S236</x:f>
        <x:v>19.950000000000003</x:v>
      </x:c>
      <x:c r="V236" s="93" t="str">
        <x:f>PROPER(TRIM('Raw Sales'!L236))</x:f>
        <x:v>Completed</x:v>
      </x:c>
      <x:c r="W236" s="93" t="n">
        <x:f>IF(V236="Returned",0,T236-U236)</x:f>
        <x:v>379.05</x:v>
      </x:c>
      <x:c r="X236" s="93" t="n">
        <x:f>IF(V236="Returned",Q236*R236*10%,Q236*R236)</x:f>
        <x:v>235</x:v>
      </x:c>
      <x:c r="Y236" s="93" t="n">
        <x:f>W236-X236</x:f>
        <x:v>144.05</x:v>
      </x:c>
      <x:c r="Z236" s="94" t="n">
        <x:f>IFERROR(Y236/W236,0)</x:f>
        <x:v>0.38002901991821664</x:v>
      </x:c>
      <x:c r="AA236" s="84" t="str">
        <x:f>PROPER(TRIM('Raw Sales'!M236))</x:f>
        <x:v>Credit Card</x:v>
      </x:c>
      <x:c r="AB236" s="84" t="str">
        <x:f>PROPER(TRIM('Raw Sales'!N236))</x:f>
        <x:v>Maya Brooks</x:v>
      </x:c>
      <x:c r="AC236" s="85" t="n">
        <x:f>'Raw Sales'!O236</x:f>
        <x:v>45386</x:v>
      </x:c>
      <x:c r="AD236" s="84" t="n">
        <x:f>AC236-B236</x:f>
        <x:v>1</x:v>
      </x:c>
      <x:c r="AE236" s="84" t="str">
        <x:f>IF(COUNTIF($A$5:A236,A236)&gt;1,"Duplicate","Keep")</x:f>
        <x:v>Keep</x:v>
      </x:c>
      <x:c r="AF236" s="84" t="str">
        <x:f>IF(OR(R236&lt;=0,AC236&lt;B236,H236="Unknown",M236="Unknown Product"),"Review","Valid")</x:f>
        <x:v>Valid</x:v>
      </x:c>
      <x:c r="AG236" s="84" t="n">
        <x:f>IF(AND(AE236="Keep",AF236="Valid"),1,0)</x:f>
        <x:v>1</x:v>
      </x:c>
      <x:c r="AH236" s="84" t="n">
        <x:f>IF(AND(AG236=1,OR('Dashboard'!$B$4="All",I236='Dashboard'!$B$4),OR('Dashboard'!$E$4="All",N236='Dashboard'!$E$4),OR('Dashboard'!$H$4="All",K236='Dashboard'!$H$4),OR('Dashboard'!$K$4="All",C236='Dashboard'!$K$4)),1,0)</x:f>
        <x:v>1</x:v>
      </x:c>
      <x:c r="AI236" s="84" t="n">
        <x:f>IF(AND(AG236=1,OR('Dashboard'!$B$4="All",I236='Dashboard'!$B$4),OR('Dashboard'!$E$4="All",N236='Dashboard'!$E$4),OR('Dashboard'!$H$4="All",K236='Dashboard'!$H$4)),1,0)</x:f>
        <x:v>1</x:v>
      </x:c>
    </x:row>
    <x:row r="237">
      <x:c r="A237" s="84" t="str">
        <x:f>'Raw Sales'!A237</x:f>
        <x:v>ORD-2024-00677</x:v>
      </x:c>
      <x:c r="B237" s="85" t="n">
        <x:f>'Raw Sales'!B237</x:f>
        <x:v>45386</x:v>
      </x:c>
      <x:c r="C237" s="84" t="n">
        <x:f>YEAR(B237)</x:f>
        <x:v>2024</x:v>
      </x:c>
      <x:c r="D237" s="91" t="n">
        <x:f>DATE(YEAR(B237),MONTH(B237),1)</x:f>
        <x:v>45383</x:v>
      </x:c>
      <x:c r="E237" s="84" t="str">
        <x:f>TEXT(B237,"mmm")</x:f>
        <x:v>Apr</x:v>
      </x:c>
      <x:c r="F237" s="84" t="str">
        <x:f>'Raw Sales'!C237</x:f>
        <x:v>CUST-0321</x:v>
      </x:c>
      <x:c r="G237" s="84" t="str">
        <x:f>PROPER(TRIM('Raw Sales'!D237))</x:f>
        <x:v>Grace Smith</x:v>
      </x:c>
      <x:c r="H237" s="84" t="str">
        <x:f>IF(TRIM('Raw Sales'!E237)="","Unknown",PROPER(TRIM('Raw Sales'!E237)))</x:f>
        <x:v>Corporate</x:v>
      </x:c>
      <x:c r="I237" s="84" t="str">
        <x:f>PROPER(TRIM('Raw Sales'!F237))</x:f>
        <x:v>Southeast</x:v>
      </x:c>
      <x:c r="J237" s="84" t="str">
        <x:f>PROPER(TRIM('Raw Sales'!G237))</x:f>
        <x:v>Miami</x:v>
      </x:c>
      <x:c r="K237" s="84" t="str">
        <x:f>PROPER(TRIM('Raw Sales'!H237))</x:f>
        <x:v>Marketplace</x:v>
      </x:c>
      <x:c r="L237" s="84" t="str">
        <x:f>'Raw Sales'!I237</x:f>
        <x:v>ELEC-006</x:v>
      </x:c>
      <x:c r="M237" s="84" t="str">
        <x:f>IFERROR(VLOOKUP(L237,'Reference Data'!$A$5:$F$40,2,FALSE),"Unknown Product")</x:f>
        <x:v>Portable SSD</x:v>
      </x:c>
      <x:c r="N237" s="84" t="str">
        <x:f>IFERROR(VLOOKUP(L237,'Reference Data'!$A$5:$F$40,3,FALSE),"Unknown")</x:f>
        <x:v>Electronics</x:v>
      </x:c>
      <x:c r="O237" s="84" t="str">
        <x:f>IFERROR(VLOOKUP(L237,'Reference Data'!$A$5:$F$40,4,FALSE),"Unknown")</x:f>
        <x:v>Storage</x:v>
      </x:c>
      <x:c r="P237" s="92" t="n">
        <x:f>IFERROR(VLOOKUP(L237,'Reference Data'!$A$5:$F$40,5,FALSE),0)</x:f>
        <x:v>129</x:v>
      </x:c>
      <x:c r="Q237" s="92" t="n">
        <x:f>IFERROR(VLOOKUP(L237,'Reference Data'!$A$5:$F$40,6,FALSE),0)</x:f>
        <x:v>75</x:v>
      </x:c>
      <x:c r="R237" s="84" t="n">
        <x:f>'Raw Sales'!J237</x:f>
        <x:v>8</x:v>
      </x:c>
      <x:c r="S237" s="87" t="n">
        <x:f>'Raw Sales'!K237</x:f>
        <x:v>0.05</x:v>
      </x:c>
      <x:c r="T237" s="93" t="n">
        <x:f>P237*R237</x:f>
        <x:v>1032</x:v>
      </x:c>
      <x:c r="U237" s="93" t="n">
        <x:f>T237*S237</x:f>
        <x:v>51.6</x:v>
      </x:c>
      <x:c r="V237" s="93" t="str">
        <x:f>PROPER(TRIM('Raw Sales'!L237))</x:f>
        <x:v>Completed</x:v>
      </x:c>
      <x:c r="W237" s="93" t="n">
        <x:f>IF(V237="Returned",0,T237-U237)</x:f>
        <x:v>980.4</x:v>
      </x:c>
      <x:c r="X237" s="93" t="n">
        <x:f>IF(V237="Returned",Q237*R237*10%,Q237*R237)</x:f>
        <x:v>600</x:v>
      </x:c>
      <x:c r="Y237" s="93" t="n">
        <x:f>W237-X237</x:f>
        <x:v>380.4</x:v>
      </x:c>
      <x:c r="Z237" s="94" t="n">
        <x:f>IFERROR(Y237/W237,0)</x:f>
        <x:v>0.3880048959608323</x:v>
      </x:c>
      <x:c r="AA237" s="84" t="str">
        <x:f>PROPER(TRIM('Raw Sales'!M237))</x:f>
        <x:v>Credit Card</x:v>
      </x:c>
      <x:c r="AB237" s="84" t="str">
        <x:f>PROPER(TRIM('Raw Sales'!N237))</x:f>
        <x:v>Ava Mitchell</x:v>
      </x:c>
      <x:c r="AC237" s="85" t="n">
        <x:f>'Raw Sales'!O237</x:f>
        <x:v>45391</x:v>
      </x:c>
      <x:c r="AD237" s="84" t="n">
        <x:f>AC237-B237</x:f>
        <x:v>5</x:v>
      </x:c>
      <x:c r="AE237" s="84" t="str">
        <x:f>IF(COUNTIF($A$5:A237,A237)&gt;1,"Duplicate","Keep")</x:f>
        <x:v>Keep</x:v>
      </x:c>
      <x:c r="AF237" s="84" t="str">
        <x:f>IF(OR(R237&lt;=0,AC237&lt;B237,H237="Unknown",M237="Unknown Product"),"Review","Valid")</x:f>
        <x:v>Valid</x:v>
      </x:c>
      <x:c r="AG237" s="84" t="n">
        <x:f>IF(AND(AE237="Keep",AF237="Valid"),1,0)</x:f>
        <x:v>1</x:v>
      </x:c>
      <x:c r="AH237" s="84" t="n">
        <x:f>IF(AND(AG237=1,OR('Dashboard'!$B$4="All",I237='Dashboard'!$B$4),OR('Dashboard'!$E$4="All",N237='Dashboard'!$E$4),OR('Dashboard'!$H$4="All",K237='Dashboard'!$H$4),OR('Dashboard'!$K$4="All",C237='Dashboard'!$K$4)),1,0)</x:f>
        <x:v>1</x:v>
      </x:c>
      <x:c r="AI237" s="84" t="n">
        <x:f>IF(AND(AG237=1,OR('Dashboard'!$B$4="All",I237='Dashboard'!$B$4),OR('Dashboard'!$E$4="All",N237='Dashboard'!$E$4),OR('Dashboard'!$H$4="All",K237='Dashboard'!$H$4)),1,0)</x:f>
        <x:v>1</x:v>
      </x:c>
    </x:row>
    <x:row r="238">
      <x:c r="A238" s="84" t="str">
        <x:f>'Raw Sales'!A238</x:f>
        <x:v>ORD-2024-01601</x:v>
      </x:c>
      <x:c r="B238" s="85" t="n">
        <x:f>'Raw Sales'!B238</x:f>
        <x:v>45386</x:v>
      </x:c>
      <x:c r="C238" s="84" t="n">
        <x:f>YEAR(B238)</x:f>
        <x:v>2024</x:v>
      </x:c>
      <x:c r="D238" s="91" t="n">
        <x:f>DATE(YEAR(B238),MONTH(B238),1)</x:f>
        <x:v>45383</x:v>
      </x:c>
      <x:c r="E238" s="84" t="str">
        <x:f>TEXT(B238,"mmm")</x:f>
        <x:v>Apr</x:v>
      </x:c>
      <x:c r="F238" s="84" t="str">
        <x:f>'Raw Sales'!C238</x:f>
        <x:v>CUST-0118</x:v>
      </x:c>
      <x:c r="G238" s="84" t="str">
        <x:f>PROPER(TRIM('Raw Sales'!D238))</x:f>
        <x:v>Daniel Davis</x:v>
      </x:c>
      <x:c r="H238" s="84" t="str">
        <x:f>IF(TRIM('Raw Sales'!E238)="","Unknown",PROPER(TRIM('Raw Sales'!E238)))</x:f>
        <x:v>Consumer</x:v>
      </x:c>
      <x:c r="I238" s="84" t="str">
        <x:f>PROPER(TRIM('Raw Sales'!F238))</x:f>
        <x:v>Midwest</x:v>
      </x:c>
      <x:c r="J238" s="84" t="str">
        <x:f>PROPER(TRIM('Raw Sales'!G238))</x:f>
        <x:v>Minneapolis</x:v>
      </x:c>
      <x:c r="K238" s="84" t="str">
        <x:f>PROPER(TRIM('Raw Sales'!H238))</x:f>
        <x:v>Marketplace</x:v>
      </x:c>
      <x:c r="L238" s="84" t="str">
        <x:f>'Raw Sales'!I238</x:f>
        <x:v>OFFC-004</x:v>
      </x:c>
      <x:c r="M238" s="84" t="str">
        <x:f>IFERROR(VLOOKUP(L238,'Reference Data'!$A$5:$F$40,2,FALSE),"Unknown Product")</x:f>
        <x:v>Premium Notebook Pack</x:v>
      </x:c>
      <x:c r="N238" s="84" t="str">
        <x:f>IFERROR(VLOOKUP(L238,'Reference Data'!$A$5:$F$40,3,FALSE),"Unknown")</x:f>
        <x:v>Office</x:v>
      </x:c>
      <x:c r="O238" s="84" t="str">
        <x:f>IFERROR(VLOOKUP(L238,'Reference Data'!$A$5:$F$40,4,FALSE),"Unknown")</x:f>
        <x:v>Stationery</x:v>
      </x:c>
      <x:c r="P238" s="92" t="n">
        <x:f>IFERROR(VLOOKUP(L238,'Reference Data'!$A$5:$F$40,5,FALSE),0)</x:f>
        <x:v>18</x:v>
      </x:c>
      <x:c r="Q238" s="92" t="n">
        <x:f>IFERROR(VLOOKUP(L238,'Reference Data'!$A$5:$F$40,6,FALSE),0)</x:f>
        <x:v>6.5</x:v>
      </x:c>
      <x:c r="R238" s="84" t="n">
        <x:f>'Raw Sales'!J238</x:f>
        <x:v>2</x:v>
      </x:c>
      <x:c r="S238" s="87" t="n">
        <x:f>'Raw Sales'!K238</x:f>
        <x:v>0.1</x:v>
      </x:c>
      <x:c r="T238" s="93" t="n">
        <x:f>P238*R238</x:f>
        <x:v>36</x:v>
      </x:c>
      <x:c r="U238" s="93" t="n">
        <x:f>T238*S238</x:f>
        <x:v>3.6</x:v>
      </x:c>
      <x:c r="V238" s="93" t="str">
        <x:f>PROPER(TRIM('Raw Sales'!L238))</x:f>
        <x:v>Completed</x:v>
      </x:c>
      <x:c r="W238" s="93" t="n">
        <x:f>IF(V238="Returned",0,T238-U238)</x:f>
        <x:v>32.4</x:v>
      </x:c>
      <x:c r="X238" s="93" t="n">
        <x:f>IF(V238="Returned",Q238*R238*10%,Q238*R238)</x:f>
        <x:v>13</x:v>
      </x:c>
      <x:c r="Y238" s="93" t="n">
        <x:f>W238-X238</x:f>
        <x:v>19.4</x:v>
      </x:c>
      <x:c r="Z238" s="94" t="n">
        <x:f>IFERROR(Y238/W238,0)</x:f>
        <x:v>0.5987654320987654</x:v>
      </x:c>
      <x:c r="AA238" s="84" t="str">
        <x:f>PROPER(TRIM('Raw Sales'!M238))</x:f>
        <x:v>Credit Card</x:v>
      </x:c>
      <x:c r="AB238" s="84" t="str">
        <x:f>PROPER(TRIM('Raw Sales'!N238))</x:f>
        <x:v>Zoe Turner</x:v>
      </x:c>
      <x:c r="AC238" s="85" t="n">
        <x:f>'Raw Sales'!O238</x:f>
        <x:v>45391</x:v>
      </x:c>
      <x:c r="AD238" s="84" t="n">
        <x:f>AC238-B238</x:f>
        <x:v>5</x:v>
      </x:c>
      <x:c r="AE238" s="84" t="str">
        <x:f>IF(COUNTIF($A$5:A238,A238)&gt;1,"Duplicate","Keep")</x:f>
        <x:v>Keep</x:v>
      </x:c>
      <x:c r="AF238" s="84" t="str">
        <x:f>IF(OR(R238&lt;=0,AC238&lt;B238,H238="Unknown",M238="Unknown Product"),"Review","Valid")</x:f>
        <x:v>Valid</x:v>
      </x:c>
      <x:c r="AG238" s="84" t="n">
        <x:f>IF(AND(AE238="Keep",AF238="Valid"),1,0)</x:f>
        <x:v>1</x:v>
      </x:c>
      <x:c r="AH238" s="84" t="n">
        <x:f>IF(AND(AG238=1,OR('Dashboard'!$B$4="All",I238='Dashboard'!$B$4),OR('Dashboard'!$E$4="All",N238='Dashboard'!$E$4),OR('Dashboard'!$H$4="All",K238='Dashboard'!$H$4),OR('Dashboard'!$K$4="All",C238='Dashboard'!$K$4)),1,0)</x:f>
        <x:v>1</x:v>
      </x:c>
      <x:c r="AI238" s="84" t="n">
        <x:f>IF(AND(AG238=1,OR('Dashboard'!$B$4="All",I238='Dashboard'!$B$4),OR('Dashboard'!$E$4="All",N238='Dashboard'!$E$4),OR('Dashboard'!$H$4="All",K238='Dashboard'!$H$4)),1,0)</x:f>
        <x:v>1</x:v>
      </x:c>
    </x:row>
    <x:row r="239">
      <x:c r="A239" s="84" t="str">
        <x:f>'Raw Sales'!A239</x:f>
        <x:v>ORD-2024-00026</x:v>
      </x:c>
      <x:c r="B239" s="85" t="n">
        <x:f>'Raw Sales'!B239</x:f>
        <x:v>45387</x:v>
      </x:c>
      <x:c r="C239" s="84" t="n">
        <x:f>YEAR(B239)</x:f>
        <x:v>2024</x:v>
      </x:c>
      <x:c r="D239" s="91" t="n">
        <x:f>DATE(YEAR(B239),MONTH(B239),1)</x:f>
        <x:v>45383</x:v>
      </x:c>
      <x:c r="E239" s="84" t="str">
        <x:f>TEXT(B239,"mmm")</x:f>
        <x:v>Apr</x:v>
      </x:c>
      <x:c r="F239" s="84" t="str">
        <x:f>'Raw Sales'!C239</x:f>
        <x:v>CUST-0543</x:v>
      </x:c>
      <x:c r="G239" s="84" t="str">
        <x:f>PROPER(TRIM('Raw Sales'!D239))</x:f>
        <x:v>Marcus Quinn</x:v>
      </x:c>
      <x:c r="H239" s="84" t="str">
        <x:f>IF(TRIM('Raw Sales'!E239)="","Unknown",PROPER(TRIM('Raw Sales'!E239)))</x:f>
        <x:v>Consumer</x:v>
      </x:c>
      <x:c r="I239" s="84" t="str">
        <x:f>PROPER(TRIM('Raw Sales'!F239))</x:f>
        <x:v>Southeast</x:v>
      </x:c>
      <x:c r="J239" s="84" t="str">
        <x:f>PROPER(TRIM('Raw Sales'!G239))</x:f>
        <x:v>Charlotte</x:v>
      </x:c>
      <x:c r="K239" s="84" t="str">
        <x:f>PROPER(TRIM('Raw Sales'!H239))</x:f>
        <x:v>Online</x:v>
      </x:c>
      <x:c r="L239" s="84" t="str">
        <x:f>'Raw Sales'!I239</x:f>
        <x:v>HOME-005</x:v>
      </x:c>
      <x:c r="M239" s="84" t="str">
        <x:f>IFERROR(VLOOKUP(L239,'Reference Data'!$A$5:$F$40,2,FALSE),"Unknown Product")</x:f>
        <x:v>Cordless Vacuum</x:v>
      </x:c>
      <x:c r="N239" s="84" t="str">
        <x:f>IFERROR(VLOOKUP(L239,'Reference Data'!$A$5:$F$40,3,FALSE),"Unknown")</x:f>
        <x:v>Home &amp; Kitchen</x:v>
      </x:c>
      <x:c r="O239" s="84" t="str">
        <x:f>IFERROR(VLOOKUP(L239,'Reference Data'!$A$5:$F$40,4,FALSE),"Unknown")</x:f>
        <x:v>Cleaning</x:v>
      </x:c>
      <x:c r="P239" s="92" t="n">
        <x:f>IFERROR(VLOOKUP(L239,'Reference Data'!$A$5:$F$40,5,FALSE),0)</x:f>
        <x:v>179</x:v>
      </x:c>
      <x:c r="Q239" s="92" t="n">
        <x:f>IFERROR(VLOOKUP(L239,'Reference Data'!$A$5:$F$40,6,FALSE),0)</x:f>
        <x:v>102</x:v>
      </x:c>
      <x:c r="R239" s="84" t="n">
        <x:f>'Raw Sales'!J239</x:f>
        <x:v>2</x:v>
      </x:c>
      <x:c r="S239" s="87" t="n">
        <x:f>'Raw Sales'!K239</x:f>
        <x:v>0.05</x:v>
      </x:c>
      <x:c r="T239" s="93" t="n">
        <x:f>P239*R239</x:f>
        <x:v>358</x:v>
      </x:c>
      <x:c r="U239" s="93" t="n">
        <x:f>T239*S239</x:f>
        <x:v>17.900000000000002</x:v>
      </x:c>
      <x:c r="V239" s="93" t="str">
        <x:f>PROPER(TRIM('Raw Sales'!L239))</x:f>
        <x:v>Completed</x:v>
      </x:c>
      <x:c r="W239" s="93" t="n">
        <x:f>IF(V239="Returned",0,T239-U239)</x:f>
        <x:v>340.1</x:v>
      </x:c>
      <x:c r="X239" s="93" t="n">
        <x:f>IF(V239="Returned",Q239*R239*10%,Q239*R239)</x:f>
        <x:v>204</x:v>
      </x:c>
      <x:c r="Y239" s="93" t="n">
        <x:f>W239-X239</x:f>
        <x:v>136.10000000000002</x:v>
      </x:c>
      <x:c r="Z239" s="94" t="n">
        <x:f>IFERROR(Y239/W239,0)</x:f>
        <x:v>0.4001764187003823</x:v>
      </x:c>
      <x:c r="AA239" s="84" t="str">
        <x:f>PROPER(TRIM('Raw Sales'!M239))</x:f>
        <x:v>Paypal</x:v>
      </x:c>
      <x:c r="AB239" s="84" t="str">
        <x:f>PROPER(TRIM('Raw Sales'!N239))</x:f>
        <x:v>Liam Parker</x:v>
      </x:c>
      <x:c r="AC239" s="85" t="n">
        <x:f>'Raw Sales'!O239</x:f>
        <x:v>45390</x:v>
      </x:c>
      <x:c r="AD239" s="84" t="n">
        <x:f>AC239-B239</x:f>
        <x:v>3</x:v>
      </x:c>
      <x:c r="AE239" s="84" t="str">
        <x:f>IF(COUNTIF($A$5:A239,A239)&gt;1,"Duplicate","Keep")</x:f>
        <x:v>Keep</x:v>
      </x:c>
      <x:c r="AF239" s="84" t="str">
        <x:f>IF(OR(R239&lt;=0,AC239&lt;B239,H239="Unknown",M239="Unknown Product"),"Review","Valid")</x:f>
        <x:v>Valid</x:v>
      </x:c>
      <x:c r="AG239" s="84" t="n">
        <x:f>IF(AND(AE239="Keep",AF239="Valid"),1,0)</x:f>
        <x:v>1</x:v>
      </x:c>
      <x:c r="AH239" s="84" t="n">
        <x:f>IF(AND(AG239=1,OR('Dashboard'!$B$4="All",I239='Dashboard'!$B$4),OR('Dashboard'!$E$4="All",N239='Dashboard'!$E$4),OR('Dashboard'!$H$4="All",K239='Dashboard'!$H$4),OR('Dashboard'!$K$4="All",C239='Dashboard'!$K$4)),1,0)</x:f>
        <x:v>1</x:v>
      </x:c>
      <x:c r="AI239" s="84" t="n">
        <x:f>IF(AND(AG239=1,OR('Dashboard'!$B$4="All",I239='Dashboard'!$B$4),OR('Dashboard'!$E$4="All",N239='Dashboard'!$E$4),OR('Dashboard'!$H$4="All",K239='Dashboard'!$H$4)),1,0)</x:f>
        <x:v>1</x:v>
      </x:c>
    </x:row>
    <x:row r="240">
      <x:c r="A240" s="84" t="str">
        <x:f>'Raw Sales'!A240</x:f>
        <x:v>ORD-2024-00936</x:v>
      </x:c>
      <x:c r="B240" s="85" t="n">
        <x:f>'Raw Sales'!B240</x:f>
        <x:v>45389</x:v>
      </x:c>
      <x:c r="C240" s="84" t="n">
        <x:f>YEAR(B240)</x:f>
        <x:v>2024</x:v>
      </x:c>
      <x:c r="D240" s="91" t="n">
        <x:f>DATE(YEAR(B240),MONTH(B240),1)</x:f>
        <x:v>45383</x:v>
      </x:c>
      <x:c r="E240" s="84" t="str">
        <x:f>TEXT(B240,"mmm")</x:f>
        <x:v>Apr</x:v>
      </x:c>
      <x:c r="F240" s="84" t="str">
        <x:f>'Raw Sales'!C240</x:f>
        <x:v>CUST-0294</x:v>
      </x:c>
      <x:c r="G240" s="84" t="str">
        <x:f>PROPER(TRIM('Raw Sales'!D240))</x:f>
        <x:v>Aiden Evans</x:v>
      </x:c>
      <x:c r="H240" s="84" t="str">
        <x:f>IF(TRIM('Raw Sales'!E240)="","Unknown",PROPER(TRIM('Raw Sales'!E240)))</x:f>
        <x:v>Consumer</x:v>
      </x:c>
      <x:c r="I240" s="84" t="str">
        <x:f>PROPER(TRIM('Raw Sales'!F240))</x:f>
        <x:v>Northeast</x:v>
      </x:c>
      <x:c r="J240" s="84" t="str">
        <x:f>PROPER(TRIM('Raw Sales'!G240))</x:f>
        <x:v>Newark</x:v>
      </x:c>
      <x:c r="K240" s="84" t="str">
        <x:f>PROPER(TRIM('Raw Sales'!H240))</x:f>
        <x:v>Online</x:v>
      </x:c>
      <x:c r="L240" s="84" t="str">
        <x:f>'Raw Sales'!I240</x:f>
        <x:v>OFFC-001</x:v>
      </x:c>
      <x:c r="M240" s="84" t="str">
        <x:f>IFERROR(VLOOKUP(L240,'Reference Data'!$A$5:$F$40,2,FALSE),"Unknown Product")</x:f>
        <x:v>Ergonomic Chair</x:v>
      </x:c>
      <x:c r="N240" s="84" t="str">
        <x:f>IFERROR(VLOOKUP(L240,'Reference Data'!$A$5:$F$40,3,FALSE),"Unknown")</x:f>
        <x:v>Office</x:v>
      </x:c>
      <x:c r="O240" s="84" t="str">
        <x:f>IFERROR(VLOOKUP(L240,'Reference Data'!$A$5:$F$40,4,FALSE),"Unknown")</x:f>
        <x:v>Furniture</x:v>
      </x:c>
      <x:c r="P240" s="92" t="n">
        <x:f>IFERROR(VLOOKUP(L240,'Reference Data'!$A$5:$F$40,5,FALSE),0)</x:f>
        <x:v>249</x:v>
      </x:c>
      <x:c r="Q240" s="92" t="n">
        <x:f>IFERROR(VLOOKUP(L240,'Reference Data'!$A$5:$F$40,6,FALSE),0)</x:f>
        <x:v>145</x:v>
      </x:c>
      <x:c r="R240" s="84" t="n">
        <x:f>'Raw Sales'!J240</x:f>
        <x:v>1</x:v>
      </x:c>
      <x:c r="S240" s="87" t="n">
        <x:f>'Raw Sales'!K240</x:f>
        <x:v>0.15</x:v>
      </x:c>
      <x:c r="T240" s="93" t="n">
        <x:f>P240*R240</x:f>
        <x:v>249</x:v>
      </x:c>
      <x:c r="U240" s="93" t="n">
        <x:f>T240*S240</x:f>
        <x:v>37.35</x:v>
      </x:c>
      <x:c r="V240" s="93" t="str">
        <x:f>PROPER(TRIM('Raw Sales'!L240))</x:f>
        <x:v>Completed</x:v>
      </x:c>
      <x:c r="W240" s="93" t="n">
        <x:f>IF(V240="Returned",0,T240-U240)</x:f>
        <x:v>211.65</x:v>
      </x:c>
      <x:c r="X240" s="93" t="n">
        <x:f>IF(V240="Returned",Q240*R240*10%,Q240*R240)</x:f>
        <x:v>145</x:v>
      </x:c>
      <x:c r="Y240" s="93" t="n">
        <x:f>W240-X240</x:f>
        <x:v>66.65</x:v>
      </x:c>
      <x:c r="Z240" s="94" t="n">
        <x:f>IFERROR(Y240/W240,0)</x:f>
        <x:v>0.3149066855657926</x:v>
      </x:c>
      <x:c r="AA240" s="84" t="str">
        <x:f>PROPER(TRIM('Raw Sales'!M240))</x:f>
        <x:v>Credit Card</x:v>
      </x:c>
      <x:c r="AB240" s="84" t="str">
        <x:f>PROPER(TRIM('Raw Sales'!N240))</x:f>
        <x:v>Maya Brooks</x:v>
      </x:c>
      <x:c r="AC240" s="85" t="n">
        <x:f>'Raw Sales'!O240</x:f>
        <x:v>45394</x:v>
      </x:c>
      <x:c r="AD240" s="84" t="n">
        <x:f>AC240-B240</x:f>
        <x:v>5</x:v>
      </x:c>
      <x:c r="AE240" s="84" t="str">
        <x:f>IF(COUNTIF($A$5:A240,A240)&gt;1,"Duplicate","Keep")</x:f>
        <x:v>Keep</x:v>
      </x:c>
      <x:c r="AF240" s="84" t="str">
        <x:f>IF(OR(R240&lt;=0,AC240&lt;B240,H240="Unknown",M240="Unknown Product"),"Review","Valid")</x:f>
        <x:v>Valid</x:v>
      </x:c>
      <x:c r="AG240" s="84" t="n">
        <x:f>IF(AND(AE240="Keep",AF240="Valid"),1,0)</x:f>
        <x:v>1</x:v>
      </x:c>
      <x:c r="AH240" s="84" t="n">
        <x:f>IF(AND(AG240=1,OR('Dashboard'!$B$4="All",I240='Dashboard'!$B$4),OR('Dashboard'!$E$4="All",N240='Dashboard'!$E$4),OR('Dashboard'!$H$4="All",K240='Dashboard'!$H$4),OR('Dashboard'!$K$4="All",C240='Dashboard'!$K$4)),1,0)</x:f>
        <x:v>1</x:v>
      </x:c>
      <x:c r="AI240" s="84" t="n">
        <x:f>IF(AND(AG240=1,OR('Dashboard'!$B$4="All",I240='Dashboard'!$B$4),OR('Dashboard'!$E$4="All",N240='Dashboard'!$E$4),OR('Dashboard'!$H$4="All",K240='Dashboard'!$H$4)),1,0)</x:f>
        <x:v>1</x:v>
      </x:c>
    </x:row>
    <x:row r="241">
      <x:c r="A241" s="84" t="str">
        <x:f>'Raw Sales'!A241</x:f>
        <x:v>ORD-2024-01052</x:v>
      </x:c>
      <x:c r="B241" s="85" t="n">
        <x:f>'Raw Sales'!B241</x:f>
        <x:v>45389</x:v>
      </x:c>
      <x:c r="C241" s="84" t="n">
        <x:f>YEAR(B241)</x:f>
        <x:v>2024</x:v>
      </x:c>
      <x:c r="D241" s="91" t="n">
        <x:f>DATE(YEAR(B241),MONTH(B241),1)</x:f>
        <x:v>45383</x:v>
      </x:c>
      <x:c r="E241" s="84" t="str">
        <x:f>TEXT(B241,"mmm")</x:f>
        <x:v>Apr</x:v>
      </x:c>
      <x:c r="F241" s="84" t="str">
        <x:f>'Raw Sales'!C241</x:f>
        <x:v>CUST-0207</x:v>
      </x:c>
      <x:c r="G241" s="84" t="str">
        <x:f>PROPER(TRIM('Raw Sales'!D241))</x:f>
        <x:v>Marcus Khan</x:v>
      </x:c>
      <x:c r="H241" s="84" t="str">
        <x:f>IF(TRIM('Raw Sales'!E241)="","Unknown",PROPER(TRIM('Raw Sales'!E241)))</x:f>
        <x:v>Consumer</x:v>
      </x:c>
      <x:c r="I241" s="84" t="str">
        <x:f>PROPER(TRIM('Raw Sales'!F241))</x:f>
        <x:v>Southeast</x:v>
      </x:c>
      <x:c r="J241" s="84" t="str">
        <x:f>PROPER(TRIM('Raw Sales'!G241))</x:f>
        <x:v>Atlanta</x:v>
      </x:c>
      <x:c r="K241" s="84" t="str">
        <x:f>PROPER(TRIM('Raw Sales'!H241))</x:f>
        <x:v>Marketplace</x:v>
      </x:c>
      <x:c r="L241" s="84" t="str">
        <x:f>'Raw Sales'!I241</x:f>
        <x:v>OFFC-006</x:v>
      </x:c>
      <x:c r="M241" s="84" t="str">
        <x:f>IFERROR(VLOOKUP(L241,'Reference Data'!$A$5:$F$40,2,FALSE),"Unknown Product")</x:f>
        <x:v>Monitor Stand</x:v>
      </x:c>
      <x:c r="N241" s="84" t="str">
        <x:f>IFERROR(VLOOKUP(L241,'Reference Data'!$A$5:$F$40,3,FALSE),"Unknown")</x:f>
        <x:v>Office</x:v>
      </x:c>
      <x:c r="O241" s="84" t="str">
        <x:f>IFERROR(VLOOKUP(L241,'Reference Data'!$A$5:$F$40,4,FALSE),"Unknown")</x:f>
        <x:v>Desk Accessories</x:v>
      </x:c>
      <x:c r="P241" s="92" t="n">
        <x:f>IFERROR(VLOOKUP(L241,'Reference Data'!$A$5:$F$40,5,FALSE),0)</x:f>
        <x:v>49</x:v>
      </x:c>
      <x:c r="Q241" s="92" t="n">
        <x:f>IFERROR(VLOOKUP(L241,'Reference Data'!$A$5:$F$40,6,FALSE),0)</x:f>
        <x:v>21</x:v>
      </x:c>
      <x:c r="R241" s="84" t="n">
        <x:f>'Raw Sales'!J241</x:f>
        <x:v>1</x:v>
      </x:c>
      <x:c r="S241" s="87" t="n">
        <x:f>'Raw Sales'!K241</x:f>
        <x:v>0.15</x:v>
      </x:c>
      <x:c r="T241" s="93" t="n">
        <x:f>P241*R241</x:f>
        <x:v>49</x:v>
      </x:c>
      <x:c r="U241" s="93" t="n">
        <x:f>T241*S241</x:f>
        <x:v>7.35</x:v>
      </x:c>
      <x:c r="V241" s="93" t="str">
        <x:f>PROPER(TRIM('Raw Sales'!L241))</x:f>
        <x:v>Completed</x:v>
      </x:c>
      <x:c r="W241" s="93" t="n">
        <x:f>IF(V241="Returned",0,T241-U241)</x:f>
        <x:v>41.65</x:v>
      </x:c>
      <x:c r="X241" s="93" t="n">
        <x:f>IF(V241="Returned",Q241*R241*10%,Q241*R241)</x:f>
        <x:v>21</x:v>
      </x:c>
      <x:c r="Y241" s="93" t="n">
        <x:f>W241-X241</x:f>
        <x:v>20.65</x:v>
      </x:c>
      <x:c r="Z241" s="94" t="n">
        <x:f>IFERROR(Y241/W241,0)</x:f>
        <x:v>0.49579831932773105</x:v>
      </x:c>
      <x:c r="AA241" s="84" t="str">
        <x:f>PROPER(TRIM('Raw Sales'!M241))</x:f>
        <x:v>Credit Card</x:v>
      </x:c>
      <x:c r="AB241" s="84" t="str">
        <x:f>PROPER(TRIM('Raw Sales'!N241))</x:f>
        <x:v>Liam Parker</x:v>
      </x:c>
      <x:c r="AC241" s="85" t="n">
        <x:f>'Raw Sales'!O241</x:f>
        <x:v>45396</x:v>
      </x:c>
      <x:c r="AD241" s="84" t="n">
        <x:f>AC241-B241</x:f>
        <x:v>7</x:v>
      </x:c>
      <x:c r="AE241" s="84" t="str">
        <x:f>IF(COUNTIF($A$5:A241,A241)&gt;1,"Duplicate","Keep")</x:f>
        <x:v>Keep</x:v>
      </x:c>
      <x:c r="AF241" s="84" t="str">
        <x:f>IF(OR(R241&lt;=0,AC241&lt;B241,H241="Unknown",M241="Unknown Product"),"Review","Valid")</x:f>
        <x:v>Valid</x:v>
      </x:c>
      <x:c r="AG241" s="84" t="n">
        <x:f>IF(AND(AE241="Keep",AF241="Valid"),1,0)</x:f>
        <x:v>1</x:v>
      </x:c>
      <x:c r="AH241" s="84" t="n">
        <x:f>IF(AND(AG241=1,OR('Dashboard'!$B$4="All",I241='Dashboard'!$B$4),OR('Dashboard'!$E$4="All",N241='Dashboard'!$E$4),OR('Dashboard'!$H$4="All",K241='Dashboard'!$H$4),OR('Dashboard'!$K$4="All",C241='Dashboard'!$K$4)),1,0)</x:f>
        <x:v>1</x:v>
      </x:c>
      <x:c r="AI241" s="84" t="n">
        <x:f>IF(AND(AG241=1,OR('Dashboard'!$B$4="All",I241='Dashboard'!$B$4),OR('Dashboard'!$E$4="All",N241='Dashboard'!$E$4),OR('Dashboard'!$H$4="All",K241='Dashboard'!$H$4)),1,0)</x:f>
        <x:v>1</x:v>
      </x:c>
    </x:row>
    <x:row r="242">
      <x:c r="A242" s="84" t="str">
        <x:f>'Raw Sales'!A242</x:f>
        <x:v>ORD-2024-01518</x:v>
      </x:c>
      <x:c r="B242" s="85" t="n">
        <x:f>'Raw Sales'!B242</x:f>
        <x:v>45389</x:v>
      </x:c>
      <x:c r="C242" s="84" t="n">
        <x:f>YEAR(B242)</x:f>
        <x:v>2024</x:v>
      </x:c>
      <x:c r="D242" s="91" t="n">
        <x:f>DATE(YEAR(B242),MONTH(B242),1)</x:f>
        <x:v>45383</x:v>
      </x:c>
      <x:c r="E242" s="84" t="str">
        <x:f>TEXT(B242,"mmm")</x:f>
        <x:v>Apr</x:v>
      </x:c>
      <x:c r="F242" s="84" t="str">
        <x:f>'Raw Sales'!C242</x:f>
        <x:v>CUST-0287</x:v>
      </x:c>
      <x:c r="G242" s="84" t="str">
        <x:f>PROPER(TRIM('Raw Sales'!D242))</x:f>
        <x:v>Chloe Patel</x:v>
      </x:c>
      <x:c r="H242" s="84" t="str">
        <x:f>IF(TRIM('Raw Sales'!E242)="","Unknown",PROPER(TRIM('Raw Sales'!E242)))</x:f>
        <x:v>Small Business</x:v>
      </x:c>
      <x:c r="I242" s="84" t="str">
        <x:f>PROPER(TRIM('Raw Sales'!F242))</x:f>
        <x:v>West</x:v>
      </x:c>
      <x:c r="J242" s="84" t="str">
        <x:f>PROPER(TRIM('Raw Sales'!G242))</x:f>
        <x:v>Denver</x:v>
      </x:c>
      <x:c r="K242" s="84" t="str">
        <x:f>PROPER(TRIM('Raw Sales'!H242))</x:f>
        <x:v>Marketplace</x:v>
      </x:c>
      <x:c r="L242" s="84" t="str">
        <x:f>'Raw Sales'!I242</x:f>
        <x:v>ELEC-004</x:v>
      </x:c>
      <x:c r="M242" s="84" t="str">
        <x:f>IFERROR(VLOOKUP(L242,'Reference Data'!$A$5:$F$40,2,FALSE),"Unknown Product")</x:f>
        <x:v>Power Bank</x:v>
      </x:c>
      <x:c r="N242" s="84" t="str">
        <x:f>IFERROR(VLOOKUP(L242,'Reference Data'!$A$5:$F$40,3,FALSE),"Unknown")</x:f>
        <x:v>Electronics</x:v>
      </x:c>
      <x:c r="O242" s="84" t="str">
        <x:f>IFERROR(VLOOKUP(L242,'Reference Data'!$A$5:$F$40,4,FALSE),"Unknown")</x:f>
        <x:v>Mobile Accessories</x:v>
      </x:c>
      <x:c r="P242" s="92" t="n">
        <x:f>IFERROR(VLOOKUP(L242,'Reference Data'!$A$5:$F$40,5,FALSE),0)</x:f>
        <x:v>39</x:v>
      </x:c>
      <x:c r="Q242" s="92" t="n">
        <x:f>IFERROR(VLOOKUP(L242,'Reference Data'!$A$5:$F$40,6,FALSE),0)</x:f>
        <x:v>18</x:v>
      </x:c>
      <x:c r="R242" s="84" t="n">
        <x:f>'Raw Sales'!J242</x:f>
        <x:v>3</x:v>
      </x:c>
      <x:c r="S242" s="87" t="n">
        <x:f>'Raw Sales'!K242</x:f>
        <x:v>0.15</x:v>
      </x:c>
      <x:c r="T242" s="93" t="n">
        <x:f>P242*R242</x:f>
        <x:v>117</x:v>
      </x:c>
      <x:c r="U242" s="93" t="n">
        <x:f>T242*S242</x:f>
        <x:v>17.55</x:v>
      </x:c>
      <x:c r="V242" s="93" t="str">
        <x:f>PROPER(TRIM('Raw Sales'!L242))</x:f>
        <x:v>Completed</x:v>
      </x:c>
      <x:c r="W242" s="93" t="n">
        <x:f>IF(V242="Returned",0,T242-U242)</x:f>
        <x:v>99.45</x:v>
      </x:c>
      <x:c r="X242" s="93" t="n">
        <x:f>IF(V242="Returned",Q242*R242*10%,Q242*R242)</x:f>
        <x:v>54</x:v>
      </x:c>
      <x:c r="Y242" s="93" t="n">
        <x:f>W242-X242</x:f>
        <x:v>45.45</x:v>
      </x:c>
      <x:c r="Z242" s="94" t="n">
        <x:f>IFERROR(Y242/W242,0)</x:f>
        <x:v>0.4570135746606335</x:v>
      </x:c>
      <x:c r="AA242" s="84" t="str">
        <x:f>PROPER(TRIM('Raw Sales'!M242))</x:f>
        <x:v>Mobile Wallet</x:v>
      </x:c>
      <x:c r="AB242" s="84" t="str">
        <x:f>PROPER(TRIM('Raw Sales'!N242))</x:f>
        <x:v>Mia Chen</x:v>
      </x:c>
      <x:c r="AC242" s="85" t="n">
        <x:f>'Raw Sales'!O242</x:f>
        <x:v>45394</x:v>
      </x:c>
      <x:c r="AD242" s="84" t="n">
        <x:f>AC242-B242</x:f>
        <x:v>5</x:v>
      </x:c>
      <x:c r="AE242" s="84" t="str">
        <x:f>IF(COUNTIF($A$5:A242,A242)&gt;1,"Duplicate","Keep")</x:f>
        <x:v>Keep</x:v>
      </x:c>
      <x:c r="AF242" s="84" t="str">
        <x:f>IF(OR(R242&lt;=0,AC242&lt;B242,H242="Unknown",M242="Unknown Product"),"Review","Valid")</x:f>
        <x:v>Valid</x:v>
      </x:c>
      <x:c r="AG242" s="84" t="n">
        <x:f>IF(AND(AE242="Keep",AF242="Valid"),1,0)</x:f>
        <x:v>1</x:v>
      </x:c>
      <x:c r="AH242" s="84" t="n">
        <x:f>IF(AND(AG242=1,OR('Dashboard'!$B$4="All",I242='Dashboard'!$B$4),OR('Dashboard'!$E$4="All",N242='Dashboard'!$E$4),OR('Dashboard'!$H$4="All",K242='Dashboard'!$H$4),OR('Dashboard'!$K$4="All",C242='Dashboard'!$K$4)),1,0)</x:f>
        <x:v>1</x:v>
      </x:c>
      <x:c r="AI242" s="84" t="n">
        <x:f>IF(AND(AG242=1,OR('Dashboard'!$B$4="All",I242='Dashboard'!$B$4),OR('Dashboard'!$E$4="All",N242='Dashboard'!$E$4),OR('Dashboard'!$H$4="All",K242='Dashboard'!$H$4)),1,0)</x:f>
        <x:v>1</x:v>
      </x:c>
    </x:row>
    <x:row r="243">
      <x:c r="A243" s="84" t="str">
        <x:f>'Raw Sales'!A243</x:f>
        <x:v>ORD-2024-02133</x:v>
      </x:c>
      <x:c r="B243" s="85" t="n">
        <x:f>'Raw Sales'!B243</x:f>
        <x:v>45389</x:v>
      </x:c>
      <x:c r="C243" s="84" t="n">
        <x:f>YEAR(B243)</x:f>
        <x:v>2024</x:v>
      </x:c>
      <x:c r="D243" s="91" t="n">
        <x:f>DATE(YEAR(B243),MONTH(B243),1)</x:f>
        <x:v>45383</x:v>
      </x:c>
      <x:c r="E243" s="84" t="str">
        <x:f>TEXT(B243,"mmm")</x:f>
        <x:v>Apr</x:v>
      </x:c>
      <x:c r="F243" s="84" t="str">
        <x:f>'Raw Sales'!C243</x:f>
        <x:v>CUST-0141</x:v>
      </x:c>
      <x:c r="G243" s="84" t="str">
        <x:f>PROPER(TRIM('Raw Sales'!D243))</x:f>
        <x:v>Victoria Taylor</x:v>
      </x:c>
      <x:c r="H243" s="84" t="str">
        <x:f>IF(TRIM('Raw Sales'!E243)="","Unknown",PROPER(TRIM('Raw Sales'!E243)))</x:f>
        <x:v>Consumer</x:v>
      </x:c>
      <x:c r="I243" s="84" t="str">
        <x:f>PROPER(TRIM('Raw Sales'!F243))</x:f>
        <x:v>Midwest</x:v>
      </x:c>
      <x:c r="J243" s="84" t="str">
        <x:f>PROPER(TRIM('Raw Sales'!G243))</x:f>
        <x:v>Minneapolis</x:v>
      </x:c>
      <x:c r="K243" s="84" t="str">
        <x:f>PROPER(TRIM('Raw Sales'!H243))</x:f>
        <x:v>Online</x:v>
      </x:c>
      <x:c r="L243" s="84" t="str">
        <x:f>'Raw Sales'!I243</x:f>
        <x:v>CARE-001</x:v>
      </x:c>
      <x:c r="M243" s="84" t="str">
        <x:f>IFERROR(VLOOKUP(L243,'Reference Data'!$A$5:$F$40,2,FALSE),"Unknown Product")</x:f>
        <x:v>Ionic Hair Dryer</x:v>
      </x:c>
      <x:c r="N243" s="84" t="str">
        <x:f>IFERROR(VLOOKUP(L243,'Reference Data'!$A$5:$F$40,3,FALSE),"Unknown")</x:f>
        <x:v>Personal Care</x:v>
      </x:c>
      <x:c r="O243" s="84" t="str">
        <x:f>IFERROR(VLOOKUP(L243,'Reference Data'!$A$5:$F$40,4,FALSE),"Unknown")</x:f>
        <x:v>Hair Care</x:v>
      </x:c>
      <x:c r="P243" s="92" t="n">
        <x:f>IFERROR(VLOOKUP(L243,'Reference Data'!$A$5:$F$40,5,FALSE),0)</x:f>
        <x:v>54</x:v>
      </x:c>
      <x:c r="Q243" s="92" t="n">
        <x:f>IFERROR(VLOOKUP(L243,'Reference Data'!$A$5:$F$40,6,FALSE),0)</x:f>
        <x:v>25</x:v>
      </x:c>
      <x:c r="R243" s="84" t="n">
        <x:f>'Raw Sales'!J243</x:f>
        <x:v>1</x:v>
      </x:c>
      <x:c r="S243" s="87" t="n">
        <x:f>'Raw Sales'!K243</x:f>
        <x:v>0</x:v>
      </x:c>
      <x:c r="T243" s="93" t="n">
        <x:f>P243*R243</x:f>
        <x:v>54</x:v>
      </x:c>
      <x:c r="U243" s="93" t="n">
        <x:f>T243*S243</x:f>
        <x:v>0</x:v>
      </x:c>
      <x:c r="V243" s="93" t="str">
        <x:f>PROPER(TRIM('Raw Sales'!L243))</x:f>
        <x:v>Completed</x:v>
      </x:c>
      <x:c r="W243" s="93" t="n">
        <x:f>IF(V243="Returned",0,T243-U243)</x:f>
        <x:v>54</x:v>
      </x:c>
      <x:c r="X243" s="93" t="n">
        <x:f>IF(V243="Returned",Q243*R243*10%,Q243*R243)</x:f>
        <x:v>25</x:v>
      </x:c>
      <x:c r="Y243" s="93" t="n">
        <x:f>W243-X243</x:f>
        <x:v>29</x:v>
      </x:c>
      <x:c r="Z243" s="94" t="n">
        <x:f>IFERROR(Y243/W243,0)</x:f>
        <x:v>0.5370370370370371</x:v>
      </x:c>
      <x:c r="AA243" s="84" t="str">
        <x:f>PROPER(TRIM('Raw Sales'!M243))</x:f>
        <x:v>Paypal</x:v>
      </x:c>
      <x:c r="AB243" s="84" t="str">
        <x:f>PROPER(TRIM('Raw Sales'!N243))</x:f>
        <x:v>Zoe Turner</x:v>
      </x:c>
      <x:c r="AC243" s="85" t="n">
        <x:f>'Raw Sales'!O243</x:f>
        <x:v>45392</x:v>
      </x:c>
      <x:c r="AD243" s="84" t="n">
        <x:f>AC243-B243</x:f>
        <x:v>3</x:v>
      </x:c>
      <x:c r="AE243" s="84" t="str">
        <x:f>IF(COUNTIF($A$5:A243,A243)&gt;1,"Duplicate","Keep")</x:f>
        <x:v>Keep</x:v>
      </x:c>
      <x:c r="AF243" s="84" t="str">
        <x:f>IF(OR(R243&lt;=0,AC243&lt;B243,H243="Unknown",M243="Unknown Product"),"Review","Valid")</x:f>
        <x:v>Valid</x:v>
      </x:c>
      <x:c r="AG243" s="84" t="n">
        <x:f>IF(AND(AE243="Keep",AF243="Valid"),1,0)</x:f>
        <x:v>1</x:v>
      </x:c>
      <x:c r="AH243" s="84" t="n">
        <x:f>IF(AND(AG243=1,OR('Dashboard'!$B$4="All",I243='Dashboard'!$B$4),OR('Dashboard'!$E$4="All",N243='Dashboard'!$E$4),OR('Dashboard'!$H$4="All",K243='Dashboard'!$H$4),OR('Dashboard'!$K$4="All",C243='Dashboard'!$K$4)),1,0)</x:f>
        <x:v>1</x:v>
      </x:c>
      <x:c r="AI243" s="84" t="n">
        <x:f>IF(AND(AG243=1,OR('Dashboard'!$B$4="All",I243='Dashboard'!$B$4),OR('Dashboard'!$E$4="All",N243='Dashboard'!$E$4),OR('Dashboard'!$H$4="All",K243='Dashboard'!$H$4)),1,0)</x:f>
        <x:v>1</x:v>
      </x:c>
    </x:row>
    <x:row r="244">
      <x:c r="A244" s="84" t="str">
        <x:f>'Raw Sales'!A244</x:f>
        <x:v>ORD-2024-01159</x:v>
      </x:c>
      <x:c r="B244" s="85" t="n">
        <x:f>'Raw Sales'!B244</x:f>
        <x:v>45390</x:v>
      </x:c>
      <x:c r="C244" s="84" t="n">
        <x:f>YEAR(B244)</x:f>
        <x:v>2024</x:v>
      </x:c>
      <x:c r="D244" s="91" t="n">
        <x:f>DATE(YEAR(B244),MONTH(B244),1)</x:f>
        <x:v>45383</x:v>
      </x:c>
      <x:c r="E244" s="84" t="str">
        <x:f>TEXT(B244,"mmm")</x:f>
        <x:v>Apr</x:v>
      </x:c>
      <x:c r="F244" s="84" t="str">
        <x:f>'Raw Sales'!C244</x:f>
        <x:v>CUST-0542</x:v>
      </x:c>
      <x:c r="G244" s="84" t="str">
        <x:f>PROPER(TRIM('Raw Sales'!D244))</x:f>
        <x:v>Zara Roberts</x:v>
      </x:c>
      <x:c r="H244" s="84" t="str">
        <x:f>IF(TRIM('Raw Sales'!E244)="","Unknown",PROPER(TRIM('Raw Sales'!E244)))</x:f>
        <x:v>Unknown</x:v>
      </x:c>
      <x:c r="I244" s="84" t="str">
        <x:f>PROPER(TRIM('Raw Sales'!F244))</x:f>
        <x:v>Northeast</x:v>
      </x:c>
      <x:c r="J244" s="84" t="str">
        <x:f>PROPER(TRIM('Raw Sales'!G244))</x:f>
        <x:v>New York</x:v>
      </x:c>
      <x:c r="K244" s="84" t="str">
        <x:f>PROPER(TRIM('Raw Sales'!H244))</x:f>
        <x:v>Retail Store</x:v>
      </x:c>
      <x:c r="L244" s="84" t="str">
        <x:f>'Raw Sales'!I244</x:f>
        <x:v>ELEC-002</x:v>
      </x:c>
      <x:c r="M244" s="84" t="str">
        <x:f>IFERROR(VLOOKUP(L244,'Reference Data'!$A$5:$F$40,2,FALSE),"Unknown Product")</x:f>
        <x:v>Smartwatch</x:v>
      </x:c>
      <x:c r="N244" s="84" t="str">
        <x:f>IFERROR(VLOOKUP(L244,'Reference Data'!$A$5:$F$40,3,FALSE),"Unknown")</x:f>
        <x:v>Electronics</x:v>
      </x:c>
      <x:c r="O244" s="84" t="str">
        <x:f>IFERROR(VLOOKUP(L244,'Reference Data'!$A$5:$F$40,4,FALSE),"Unknown")</x:f>
        <x:v>Wearables</x:v>
      </x:c>
      <x:c r="P244" s="92" t="n">
        <x:f>IFERROR(VLOOKUP(L244,'Reference Data'!$A$5:$F$40,5,FALSE),0)</x:f>
        <x:v>159</x:v>
      </x:c>
      <x:c r="Q244" s="92" t="n">
        <x:f>IFERROR(VLOOKUP(L244,'Reference Data'!$A$5:$F$40,6,FALSE),0)</x:f>
        <x:v>92</x:v>
      </x:c>
      <x:c r="R244" s="84" t="n">
        <x:f>'Raw Sales'!J244</x:f>
        <x:v>3</x:v>
      </x:c>
      <x:c r="S244" s="87" t="n">
        <x:f>'Raw Sales'!K244</x:f>
        <x:v>0</x:v>
      </x:c>
      <x:c r="T244" s="93" t="n">
        <x:f>P244*R244</x:f>
        <x:v>477</x:v>
      </x:c>
      <x:c r="U244" s="93" t="n">
        <x:f>T244*S244</x:f>
        <x:v>0</x:v>
      </x:c>
      <x:c r="V244" s="93" t="str">
        <x:f>PROPER(TRIM('Raw Sales'!L244))</x:f>
        <x:v>Completed</x:v>
      </x:c>
      <x:c r="W244" s="93" t="n">
        <x:f>IF(V244="Returned",0,T244-U244)</x:f>
        <x:v>477</x:v>
      </x:c>
      <x:c r="X244" s="93" t="n">
        <x:f>IF(V244="Returned",Q244*R244*10%,Q244*R244)</x:f>
        <x:v>276</x:v>
      </x:c>
      <x:c r="Y244" s="93" t="n">
        <x:f>W244-X244</x:f>
        <x:v>201</x:v>
      </x:c>
      <x:c r="Z244" s="94" t="n">
        <x:f>IFERROR(Y244/W244,0)</x:f>
        <x:v>0.42138364779874216</x:v>
      </x:c>
      <x:c r="AA244" s="84" t="str">
        <x:f>PROPER(TRIM('Raw Sales'!M244))</x:f>
        <x:v>Cash</x:v>
      </x:c>
      <x:c r="AB244" s="84" t="str">
        <x:f>PROPER(TRIM('Raw Sales'!N244))</x:f>
        <x:v>Sofia Bennett</x:v>
      </x:c>
      <x:c r="AC244" s="85" t="n">
        <x:f>'Raw Sales'!O244</x:f>
        <x:v>45390</x:v>
      </x:c>
      <x:c r="AD244" s="84" t="n">
        <x:f>AC244-B244</x:f>
        <x:v>0</x:v>
      </x:c>
      <x:c r="AE244" s="84" t="str">
        <x:f>IF(COUNTIF($A$5:A244,A244)&gt;1,"Duplicate","Keep")</x:f>
        <x:v>Keep</x:v>
      </x:c>
      <x:c r="AF244" s="84" t="str">
        <x:f>IF(OR(R244&lt;=0,AC244&lt;B244,H244="Unknown",M244="Unknown Product"),"Review","Valid")</x:f>
        <x:v>Review</x:v>
      </x:c>
      <x:c r="AG244" s="84" t="n">
        <x:f>IF(AND(AE244="Keep",AF244="Valid"),1,0)</x:f>
        <x:v>0</x:v>
      </x:c>
      <x:c r="AH244" s="84" t="n">
        <x:f>IF(AND(AG244=1,OR('Dashboard'!$B$4="All",I244='Dashboard'!$B$4),OR('Dashboard'!$E$4="All",N244='Dashboard'!$E$4),OR('Dashboard'!$H$4="All",K244='Dashboard'!$H$4),OR('Dashboard'!$K$4="All",C244='Dashboard'!$K$4)),1,0)</x:f>
        <x:v>0</x:v>
      </x:c>
      <x:c r="AI244" s="84" t="n">
        <x:f>IF(AND(AG244=1,OR('Dashboard'!$B$4="All",I244='Dashboard'!$B$4),OR('Dashboard'!$E$4="All",N244='Dashboard'!$E$4),OR('Dashboard'!$H$4="All",K244='Dashboard'!$H$4)),1,0)</x:f>
        <x:v>0</x:v>
      </x:c>
    </x:row>
    <x:row r="245">
      <x:c r="A245" s="84" t="str">
        <x:f>'Raw Sales'!A245</x:f>
        <x:v>ORD-2024-01782</x:v>
      </x:c>
      <x:c r="B245" s="85" t="n">
        <x:f>'Raw Sales'!B245</x:f>
        <x:v>45390</x:v>
      </x:c>
      <x:c r="C245" s="84" t="n">
        <x:f>YEAR(B245)</x:f>
        <x:v>2024</x:v>
      </x:c>
      <x:c r="D245" s="91" t="n">
        <x:f>DATE(YEAR(B245),MONTH(B245),1)</x:f>
        <x:v>45383</x:v>
      </x:c>
      <x:c r="E245" s="84" t="str">
        <x:f>TEXT(B245,"mmm")</x:f>
        <x:v>Apr</x:v>
      </x:c>
      <x:c r="F245" s="84" t="str">
        <x:f>'Raw Sales'!C245</x:f>
        <x:v>CUST-0423</x:v>
      </x:c>
      <x:c r="G245" s="84" t="str">
        <x:f>PROPER(TRIM('Raw Sales'!D245))</x:f>
        <x:v>Marcus Smith</x:v>
      </x:c>
      <x:c r="H245" s="84" t="str">
        <x:f>IF(TRIM('Raw Sales'!E245)="","Unknown",PROPER(TRIM('Raw Sales'!E245)))</x:f>
        <x:v>Small Business</x:v>
      </x:c>
      <x:c r="I245" s="84" t="str">
        <x:f>PROPER(TRIM('Raw Sales'!F245))</x:f>
        <x:v>Northeast</x:v>
      </x:c>
      <x:c r="J245" s="84" t="str">
        <x:f>PROPER(TRIM('Raw Sales'!G245))</x:f>
        <x:v>Philadelphia</x:v>
      </x:c>
      <x:c r="K245" s="84" t="str">
        <x:f>PROPER(TRIM('Raw Sales'!H245))</x:f>
        <x:v>Online</x:v>
      </x:c>
      <x:c r="L245" s="84" t="str">
        <x:f>'Raw Sales'!I245</x:f>
        <x:v>HOME-001</x:v>
      </x:c>
      <x:c r="M245" s="84" t="str">
        <x:f>IFERROR(VLOOKUP(L245,'Reference Data'!$A$5:$F$40,2,FALSE),"Unknown Product")</x:f>
        <x:v>Air Fryer</x:v>
      </x:c>
      <x:c r="N245" s="84" t="str">
        <x:f>IFERROR(VLOOKUP(L245,'Reference Data'!$A$5:$F$40,3,FALSE),"Unknown")</x:f>
        <x:v>Home &amp; Kitchen</x:v>
      </x:c>
      <x:c r="O245" s="84" t="str">
        <x:f>IFERROR(VLOOKUP(L245,'Reference Data'!$A$5:$F$40,4,FALSE),"Unknown")</x:f>
        <x:v>Small Appliances</x:v>
      </x:c>
      <x:c r="P245" s="92" t="n">
        <x:f>IFERROR(VLOOKUP(L245,'Reference Data'!$A$5:$F$40,5,FALSE),0)</x:f>
        <x:v>119</x:v>
      </x:c>
      <x:c r="Q245" s="92" t="n">
        <x:f>IFERROR(VLOOKUP(L245,'Reference Data'!$A$5:$F$40,6,FALSE),0)</x:f>
        <x:v>68</x:v>
      </x:c>
      <x:c r="R245" s="84" t="n">
        <x:f>'Raw Sales'!J245</x:f>
        <x:v>1</x:v>
      </x:c>
      <x:c r="S245" s="87" t="n">
        <x:f>'Raw Sales'!K245</x:f>
        <x:v>0.15</x:v>
      </x:c>
      <x:c r="T245" s="93" t="n">
        <x:f>P245*R245</x:f>
        <x:v>119</x:v>
      </x:c>
      <x:c r="U245" s="93" t="n">
        <x:f>T245*S245</x:f>
        <x:v>17.849999999999998</x:v>
      </x:c>
      <x:c r="V245" s="93" t="str">
        <x:f>PROPER(TRIM('Raw Sales'!L245))</x:f>
        <x:v>Completed</x:v>
      </x:c>
      <x:c r="W245" s="93" t="n">
        <x:f>IF(V245="Returned",0,T245-U245)</x:f>
        <x:v>101.15</x:v>
      </x:c>
      <x:c r="X245" s="93" t="n">
        <x:f>IF(V245="Returned",Q245*R245*10%,Q245*R245)</x:f>
        <x:v>68</x:v>
      </x:c>
      <x:c r="Y245" s="93" t="n">
        <x:f>W245-X245</x:f>
        <x:v>33.150000000000006</x:v>
      </x:c>
      <x:c r="Z245" s="94" t="n">
        <x:f>IFERROR(Y245/W245,0)</x:f>
        <x:v>0.32773109243697485</x:v>
      </x:c>
      <x:c r="AA245" s="84" t="str">
        <x:f>PROPER(TRIM('Raw Sales'!M245))</x:f>
        <x:v>Mobile Wallet</x:v>
      </x:c>
      <x:c r="AB245" s="84" t="str">
        <x:f>PROPER(TRIM('Raw Sales'!N245))</x:f>
        <x:v>Maya Brooks</x:v>
      </x:c>
      <x:c r="AC245" s="85" t="n">
        <x:f>'Raw Sales'!O245</x:f>
        <x:v>45396</x:v>
      </x:c>
      <x:c r="AD245" s="84" t="n">
        <x:f>AC245-B245</x:f>
        <x:v>6</x:v>
      </x:c>
      <x:c r="AE245" s="84" t="str">
        <x:f>IF(COUNTIF($A$5:A245,A245)&gt;1,"Duplicate","Keep")</x:f>
        <x:v>Keep</x:v>
      </x:c>
      <x:c r="AF245" s="84" t="str">
        <x:f>IF(OR(R245&lt;=0,AC245&lt;B245,H245="Unknown",M245="Unknown Product"),"Review","Valid")</x:f>
        <x:v>Valid</x:v>
      </x:c>
      <x:c r="AG245" s="84" t="n">
        <x:f>IF(AND(AE245="Keep",AF245="Valid"),1,0)</x:f>
        <x:v>1</x:v>
      </x:c>
      <x:c r="AH245" s="84" t="n">
        <x:f>IF(AND(AG245=1,OR('Dashboard'!$B$4="All",I245='Dashboard'!$B$4),OR('Dashboard'!$E$4="All",N245='Dashboard'!$E$4),OR('Dashboard'!$H$4="All",K245='Dashboard'!$H$4),OR('Dashboard'!$K$4="All",C245='Dashboard'!$K$4)),1,0)</x:f>
        <x:v>1</x:v>
      </x:c>
      <x:c r="AI245" s="84" t="n">
        <x:f>IF(AND(AG245=1,OR('Dashboard'!$B$4="All",I245='Dashboard'!$B$4),OR('Dashboard'!$E$4="All",N245='Dashboard'!$E$4),OR('Dashboard'!$H$4="All",K245='Dashboard'!$H$4)),1,0)</x:f>
        <x:v>1</x:v>
      </x:c>
    </x:row>
    <x:row r="246">
      <x:c r="A246" s="84" t="str">
        <x:f>'Raw Sales'!A246</x:f>
        <x:v>ORD-2024-02009</x:v>
      </x:c>
      <x:c r="B246" s="85" t="n">
        <x:f>'Raw Sales'!B246</x:f>
        <x:v>45390</x:v>
      </x:c>
      <x:c r="C246" s="84" t="n">
        <x:f>YEAR(B246)</x:f>
        <x:v>2024</x:v>
      </x:c>
      <x:c r="D246" s="91" t="n">
        <x:f>DATE(YEAR(B246),MONTH(B246),1)</x:f>
        <x:v>45383</x:v>
      </x:c>
      <x:c r="E246" s="84" t="str">
        <x:f>TEXT(B246,"mmm")</x:f>
        <x:v>Apr</x:v>
      </x:c>
      <x:c r="F246" s="84" t="str">
        <x:f>'Raw Sales'!C246</x:f>
        <x:v>CUST-0392</x:v>
      </x:c>
      <x:c r="G246" s="84" t="str">
        <x:f>PROPER(TRIM('Raw Sales'!D246))</x:f>
        <x:v>Elias Nelson</x:v>
      </x:c>
      <x:c r="H246" s="84" t="str">
        <x:f>IF(TRIM('Raw Sales'!E246)="","Unknown",PROPER(TRIM('Raw Sales'!E246)))</x:f>
        <x:v>Consumer</x:v>
      </x:c>
      <x:c r="I246" s="84" t="str">
        <x:f>PROPER(TRIM('Raw Sales'!F246))</x:f>
        <x:v>Northeast</x:v>
      </x:c>
      <x:c r="J246" s="84" t="str">
        <x:f>PROPER(TRIM('Raw Sales'!G246))</x:f>
        <x:v>Newark</x:v>
      </x:c>
      <x:c r="K246" s="84" t="str">
        <x:f>PROPER(TRIM('Raw Sales'!H246))</x:f>
        <x:v>Retail Store</x:v>
      </x:c>
      <x:c r="L246" s="84" t="str">
        <x:f>'Raw Sales'!I246</x:f>
        <x:v>OFFC-005</x:v>
      </x:c>
      <x:c r="M246" s="84" t="str">
        <x:f>IFERROR(VLOOKUP(L246,'Reference Data'!$A$5:$F$40,2,FALSE),"Unknown Product")</x:f>
        <x:v>Wireless Keyboard</x:v>
      </x:c>
      <x:c r="N246" s="84" t="str">
        <x:f>IFERROR(VLOOKUP(L246,'Reference Data'!$A$5:$F$40,3,FALSE),"Unknown")</x:f>
        <x:v>Office</x:v>
      </x:c>
      <x:c r="O246" s="84" t="str">
        <x:f>IFERROR(VLOOKUP(L246,'Reference Data'!$A$5:$F$40,4,FALSE),"Unknown")</x:f>
        <x:v>Computer Accessories</x:v>
      </x:c>
      <x:c r="P246" s="92" t="n">
        <x:f>IFERROR(VLOOKUP(L246,'Reference Data'!$A$5:$F$40,5,FALSE),0)</x:f>
        <x:v>59</x:v>
      </x:c>
      <x:c r="Q246" s="92" t="n">
        <x:f>IFERROR(VLOOKUP(L246,'Reference Data'!$A$5:$F$40,6,FALSE),0)</x:f>
        <x:v>28</x:v>
      </x:c>
      <x:c r="R246" s="84" t="n">
        <x:f>'Raw Sales'!J246</x:f>
        <x:v>1</x:v>
      </x:c>
      <x:c r="S246" s="87" t="n">
        <x:f>'Raw Sales'!K246</x:f>
        <x:v>0</x:v>
      </x:c>
      <x:c r="T246" s="93" t="n">
        <x:f>P246*R246</x:f>
        <x:v>59</x:v>
      </x:c>
      <x:c r="U246" s="93" t="n">
        <x:f>T246*S246</x:f>
        <x:v>0</x:v>
      </x:c>
      <x:c r="V246" s="93" t="str">
        <x:f>PROPER(TRIM('Raw Sales'!L246))</x:f>
        <x:v>Completed</x:v>
      </x:c>
      <x:c r="W246" s="93" t="n">
        <x:f>IF(V246="Returned",0,T246-U246)</x:f>
        <x:v>59</x:v>
      </x:c>
      <x:c r="X246" s="93" t="n">
        <x:f>IF(V246="Returned",Q246*R246*10%,Q246*R246)</x:f>
        <x:v>28</x:v>
      </x:c>
      <x:c r="Y246" s="93" t="n">
        <x:f>W246-X246</x:f>
        <x:v>31</x:v>
      </x:c>
      <x:c r="Z246" s="94" t="n">
        <x:f>IFERROR(Y246/W246,0)</x:f>
        <x:v>0.5254237288135594</x:v>
      </x:c>
      <x:c r="AA246" s="84" t="str">
        <x:f>PROPER(TRIM('Raw Sales'!M246))</x:f>
        <x:v>Credit Card</x:v>
      </x:c>
      <x:c r="AB246" s="84" t="str">
        <x:f>PROPER(TRIM('Raw Sales'!N246))</x:f>
        <x:v>Maya Brooks</x:v>
      </x:c>
      <x:c r="AC246" s="85" t="n">
        <x:f>'Raw Sales'!O246</x:f>
        <x:v>45390</x:v>
      </x:c>
      <x:c r="AD246" s="84" t="n">
        <x:f>AC246-B246</x:f>
        <x:v>0</x:v>
      </x:c>
      <x:c r="AE246" s="84" t="str">
        <x:f>IF(COUNTIF($A$5:A246,A246)&gt;1,"Duplicate","Keep")</x:f>
        <x:v>Keep</x:v>
      </x:c>
      <x:c r="AF246" s="84" t="str">
        <x:f>IF(OR(R246&lt;=0,AC246&lt;B246,H246="Unknown",M246="Unknown Product"),"Review","Valid")</x:f>
        <x:v>Valid</x:v>
      </x:c>
      <x:c r="AG246" s="84" t="n">
        <x:f>IF(AND(AE246="Keep",AF246="Valid"),1,0)</x:f>
        <x:v>1</x:v>
      </x:c>
      <x:c r="AH246" s="84" t="n">
        <x:f>IF(AND(AG246=1,OR('Dashboard'!$B$4="All",I246='Dashboard'!$B$4),OR('Dashboard'!$E$4="All",N246='Dashboard'!$E$4),OR('Dashboard'!$H$4="All",K246='Dashboard'!$H$4),OR('Dashboard'!$K$4="All",C246='Dashboard'!$K$4)),1,0)</x:f>
        <x:v>1</x:v>
      </x:c>
      <x:c r="AI246" s="84" t="n">
        <x:f>IF(AND(AG246=1,OR('Dashboard'!$B$4="All",I246='Dashboard'!$B$4),OR('Dashboard'!$E$4="All",N246='Dashboard'!$E$4),OR('Dashboard'!$H$4="All",K246='Dashboard'!$H$4)),1,0)</x:f>
        <x:v>1</x:v>
      </x:c>
    </x:row>
    <x:row r="247">
      <x:c r="A247" s="84" t="str">
        <x:f>'Raw Sales'!A247</x:f>
        <x:v>ORD-2024-00093</x:v>
      </x:c>
      <x:c r="B247" s="85" t="n">
        <x:f>'Raw Sales'!B247</x:f>
        <x:v>45391</x:v>
      </x:c>
      <x:c r="C247" s="84" t="n">
        <x:f>YEAR(B247)</x:f>
        <x:v>2024</x:v>
      </x:c>
      <x:c r="D247" s="91" t="n">
        <x:f>DATE(YEAR(B247),MONTH(B247),1)</x:f>
        <x:v>45383</x:v>
      </x:c>
      <x:c r="E247" s="84" t="str">
        <x:f>TEXT(B247,"mmm")</x:f>
        <x:v>Apr</x:v>
      </x:c>
      <x:c r="F247" s="84" t="str">
        <x:f>'Raw Sales'!C247</x:f>
        <x:v>CUST-0284</x:v>
      </x:c>
      <x:c r="G247" s="84" t="str">
        <x:f>PROPER(TRIM('Raw Sales'!D247))</x:f>
        <x:v>Marcus Foster</x:v>
      </x:c>
      <x:c r="H247" s="84" t="str">
        <x:f>IF(TRIM('Raw Sales'!E247)="","Unknown",PROPER(TRIM('Raw Sales'!E247)))</x:f>
        <x:v>Consumer</x:v>
      </x:c>
      <x:c r="I247" s="84" t="str">
        <x:f>PROPER(TRIM('Raw Sales'!F247))</x:f>
        <x:v>Midwest</x:v>
      </x:c>
      <x:c r="J247" s="84" t="str">
        <x:f>PROPER(TRIM('Raw Sales'!G247))</x:f>
        <x:v>Detroit</x:v>
      </x:c>
      <x:c r="K247" s="84" t="str">
        <x:f>PROPER(TRIM('Raw Sales'!H247))</x:f>
        <x:v>Marketplace</x:v>
      </x:c>
      <x:c r="L247" s="84" t="str">
        <x:f>'Raw Sales'!I247</x:f>
        <x:v>ELEC-001</x:v>
      </x:c>
      <x:c r="M247" s="84" t="str">
        <x:f>IFERROR(VLOOKUP(L247,'Reference Data'!$A$5:$F$40,2,FALSE),"Unknown Product")</x:f>
        <x:v>Wireless Earbuds</x:v>
      </x:c>
      <x:c r="N247" s="84" t="str">
        <x:f>IFERROR(VLOOKUP(L247,'Reference Data'!$A$5:$F$40,3,FALSE),"Unknown")</x:f>
        <x:v>Electronics</x:v>
      </x:c>
      <x:c r="O247" s="84" t="str">
        <x:f>IFERROR(VLOOKUP(L247,'Reference Data'!$A$5:$F$40,4,FALSE),"Unknown")</x:f>
        <x:v>Audio</x:v>
      </x:c>
      <x:c r="P247" s="92" t="n">
        <x:f>IFERROR(VLOOKUP(L247,'Reference Data'!$A$5:$F$40,5,FALSE),0)</x:f>
        <x:v>69</x:v>
      </x:c>
      <x:c r="Q247" s="92" t="n">
        <x:f>IFERROR(VLOOKUP(L247,'Reference Data'!$A$5:$F$40,6,FALSE),0)</x:f>
        <x:v>36</x:v>
      </x:c>
      <x:c r="R247" s="84" t="n">
        <x:f>'Raw Sales'!J247</x:f>
        <x:v>2</x:v>
      </x:c>
      <x:c r="S247" s="87" t="n">
        <x:f>'Raw Sales'!K247</x:f>
        <x:v>0.2</x:v>
      </x:c>
      <x:c r="T247" s="93" t="n">
        <x:f>P247*R247</x:f>
        <x:v>138</x:v>
      </x:c>
      <x:c r="U247" s="93" t="n">
        <x:f>T247*S247</x:f>
        <x:v>27.6</x:v>
      </x:c>
      <x:c r="V247" s="93" t="str">
        <x:f>PROPER(TRIM('Raw Sales'!L247))</x:f>
        <x:v>Completed</x:v>
      </x:c>
      <x:c r="W247" s="93" t="n">
        <x:f>IF(V247="Returned",0,T247-U247)</x:f>
        <x:v>110.4</x:v>
      </x:c>
      <x:c r="X247" s="93" t="n">
        <x:f>IF(V247="Returned",Q247*R247*10%,Q247*R247)</x:f>
        <x:v>72</x:v>
      </x:c>
      <x:c r="Y247" s="93" t="n">
        <x:f>W247-X247</x:f>
        <x:v>38.400000000000006</x:v>
      </x:c>
      <x:c r="Z247" s="94" t="n">
        <x:f>IFERROR(Y247/W247,0)</x:f>
        <x:v>0.3478260869565218</x:v>
      </x:c>
      <x:c r="AA247" s="84" t="str">
        <x:f>PROPER(TRIM('Raw Sales'!M247))</x:f>
        <x:v>Mobile Wallet</x:v>
      </x:c>
      <x:c r="AB247" s="84" t="str">
        <x:f>PROPER(TRIM('Raw Sales'!N247))</x:f>
        <x:v>Emma Hayes</x:v>
      </x:c>
      <x:c r="AC247" s="85" t="n">
        <x:f>'Raw Sales'!O247</x:f>
        <x:v>45397</x:v>
      </x:c>
      <x:c r="AD247" s="84" t="n">
        <x:f>AC247-B247</x:f>
        <x:v>6</x:v>
      </x:c>
      <x:c r="AE247" s="84" t="str">
        <x:f>IF(COUNTIF($A$5:A247,A247)&gt;1,"Duplicate","Keep")</x:f>
        <x:v>Keep</x:v>
      </x:c>
      <x:c r="AF247" s="84" t="str">
        <x:f>IF(OR(R247&lt;=0,AC247&lt;B247,H247="Unknown",M247="Unknown Product"),"Review","Valid")</x:f>
        <x:v>Valid</x:v>
      </x:c>
      <x:c r="AG247" s="84" t="n">
        <x:f>IF(AND(AE247="Keep",AF247="Valid"),1,0)</x:f>
        <x:v>1</x:v>
      </x:c>
      <x:c r="AH247" s="84" t="n">
        <x:f>IF(AND(AG247=1,OR('Dashboard'!$B$4="All",I247='Dashboard'!$B$4),OR('Dashboard'!$E$4="All",N247='Dashboard'!$E$4),OR('Dashboard'!$H$4="All",K247='Dashboard'!$H$4),OR('Dashboard'!$K$4="All",C247='Dashboard'!$K$4)),1,0)</x:f>
        <x:v>1</x:v>
      </x:c>
      <x:c r="AI247" s="84" t="n">
        <x:f>IF(AND(AG247=1,OR('Dashboard'!$B$4="All",I247='Dashboard'!$B$4),OR('Dashboard'!$E$4="All",N247='Dashboard'!$E$4),OR('Dashboard'!$H$4="All",K247='Dashboard'!$H$4)),1,0)</x:f>
        <x:v>1</x:v>
      </x:c>
    </x:row>
    <x:row r="248">
      <x:c r="A248" s="84" t="str">
        <x:f>'Raw Sales'!A248</x:f>
        <x:v>ORD-2024-00392</x:v>
      </x:c>
      <x:c r="B248" s="85" t="n">
        <x:f>'Raw Sales'!B248</x:f>
        <x:v>45392</x:v>
      </x:c>
      <x:c r="C248" s="84" t="n">
        <x:f>YEAR(B248)</x:f>
        <x:v>2024</x:v>
      </x:c>
      <x:c r="D248" s="91" t="n">
        <x:f>DATE(YEAR(B248),MONTH(B248),1)</x:f>
        <x:v>45383</x:v>
      </x:c>
      <x:c r="E248" s="84" t="str">
        <x:f>TEXT(B248,"mmm")</x:f>
        <x:v>Apr</x:v>
      </x:c>
      <x:c r="F248" s="84" t="str">
        <x:f>'Raw Sales'!C248</x:f>
        <x:v>CUST-0380</x:v>
      </x:c>
      <x:c r="G248" s="84" t="str">
        <x:f>PROPER(TRIM('Raw Sales'!D248))</x:f>
        <x:v>Caleb Patel</x:v>
      </x:c>
      <x:c r="H248" s="84" t="str">
        <x:f>IF(TRIM('Raw Sales'!E248)="","Unknown",PROPER(TRIM('Raw Sales'!E248)))</x:f>
        <x:v>Consumer</x:v>
      </x:c>
      <x:c r="I248" s="84" t="str">
        <x:f>PROPER(TRIM('Raw Sales'!F248))</x:f>
        <x:v>Southeast</x:v>
      </x:c>
      <x:c r="J248" s="84" t="str">
        <x:f>PROPER(TRIM('Raw Sales'!G248))</x:f>
        <x:v>Nashville</x:v>
      </x:c>
      <x:c r="K248" s="84" t="str">
        <x:f>PROPER(TRIM('Raw Sales'!H248))</x:f>
        <x:v>Online</x:v>
      </x:c>
      <x:c r="L248" s="84" t="str">
        <x:f>'Raw Sales'!I248</x:f>
        <x:v>ELEC-001</x:v>
      </x:c>
      <x:c r="M248" s="84" t="str">
        <x:f>IFERROR(VLOOKUP(L248,'Reference Data'!$A$5:$F$40,2,FALSE),"Unknown Product")</x:f>
        <x:v>Wireless Earbuds</x:v>
      </x:c>
      <x:c r="N248" s="84" t="str">
        <x:f>IFERROR(VLOOKUP(L248,'Reference Data'!$A$5:$F$40,3,FALSE),"Unknown")</x:f>
        <x:v>Electronics</x:v>
      </x:c>
      <x:c r="O248" s="84" t="str">
        <x:f>IFERROR(VLOOKUP(L248,'Reference Data'!$A$5:$F$40,4,FALSE),"Unknown")</x:f>
        <x:v>Audio</x:v>
      </x:c>
      <x:c r="P248" s="92" t="n">
        <x:f>IFERROR(VLOOKUP(L248,'Reference Data'!$A$5:$F$40,5,FALSE),0)</x:f>
        <x:v>69</x:v>
      </x:c>
      <x:c r="Q248" s="92" t="n">
        <x:f>IFERROR(VLOOKUP(L248,'Reference Data'!$A$5:$F$40,6,FALSE),0)</x:f>
        <x:v>36</x:v>
      </x:c>
      <x:c r="R248" s="84" t="n">
        <x:f>'Raw Sales'!J248</x:f>
        <x:v>1</x:v>
      </x:c>
      <x:c r="S248" s="87" t="n">
        <x:f>'Raw Sales'!K248</x:f>
        <x:v>0.1</x:v>
      </x:c>
      <x:c r="T248" s="93" t="n">
        <x:f>P248*R248</x:f>
        <x:v>69</x:v>
      </x:c>
      <x:c r="U248" s="93" t="n">
        <x:f>T248*S248</x:f>
        <x:v>6.9</x:v>
      </x:c>
      <x:c r="V248" s="93" t="str">
        <x:f>PROPER(TRIM('Raw Sales'!L248))</x:f>
        <x:v>Completed</x:v>
      </x:c>
      <x:c r="W248" s="93" t="n">
        <x:f>IF(V248="Returned",0,T248-U248)</x:f>
        <x:v>62.1</x:v>
      </x:c>
      <x:c r="X248" s="93" t="n">
        <x:f>IF(V248="Returned",Q248*R248*10%,Q248*R248)</x:f>
        <x:v>36</x:v>
      </x:c>
      <x:c r="Y248" s="93" t="n">
        <x:f>W248-X248</x:f>
        <x:v>26.1</x:v>
      </x:c>
      <x:c r="Z248" s="94" t="n">
        <x:f>IFERROR(Y248/W248,0)</x:f>
        <x:v>0.4202898550724638</x:v>
      </x:c>
      <x:c r="AA248" s="84" t="str">
        <x:f>PROPER(TRIM('Raw Sales'!M248))</x:f>
        <x:v>Credit Card</x:v>
      </x:c>
      <x:c r="AB248" s="84" t="str">
        <x:f>PROPER(TRIM('Raw Sales'!N248))</x:f>
        <x:v>Ava Mitchell</x:v>
      </x:c>
      <x:c r="AC248" s="85" t="n">
        <x:f>'Raw Sales'!O248</x:f>
        <x:v>45394</x:v>
      </x:c>
      <x:c r="AD248" s="84" t="n">
        <x:f>AC248-B248</x:f>
        <x:v>2</x:v>
      </x:c>
      <x:c r="AE248" s="84" t="str">
        <x:f>IF(COUNTIF($A$5:A248,A248)&gt;1,"Duplicate","Keep")</x:f>
        <x:v>Keep</x:v>
      </x:c>
      <x:c r="AF248" s="84" t="str">
        <x:f>IF(OR(R248&lt;=0,AC248&lt;B248,H248="Unknown",M248="Unknown Product"),"Review","Valid")</x:f>
        <x:v>Valid</x:v>
      </x:c>
      <x:c r="AG248" s="84" t="n">
        <x:f>IF(AND(AE248="Keep",AF248="Valid"),1,0)</x:f>
        <x:v>1</x:v>
      </x:c>
      <x:c r="AH248" s="84" t="n">
        <x:f>IF(AND(AG248=1,OR('Dashboard'!$B$4="All",I248='Dashboard'!$B$4),OR('Dashboard'!$E$4="All",N248='Dashboard'!$E$4),OR('Dashboard'!$H$4="All",K248='Dashboard'!$H$4),OR('Dashboard'!$K$4="All",C248='Dashboard'!$K$4)),1,0)</x:f>
        <x:v>1</x:v>
      </x:c>
      <x:c r="AI248" s="84" t="n">
        <x:f>IF(AND(AG248=1,OR('Dashboard'!$B$4="All",I248='Dashboard'!$B$4),OR('Dashboard'!$E$4="All",N248='Dashboard'!$E$4),OR('Dashboard'!$H$4="All",K248='Dashboard'!$H$4)),1,0)</x:f>
        <x:v>1</x:v>
      </x:c>
    </x:row>
    <x:row r="249">
      <x:c r="A249" s="84" t="str">
        <x:f>'Raw Sales'!A249</x:f>
        <x:v>ORD-2024-00440</x:v>
      </x:c>
      <x:c r="B249" s="85" t="n">
        <x:f>'Raw Sales'!B249</x:f>
        <x:v>45392</x:v>
      </x:c>
      <x:c r="C249" s="84" t="n">
        <x:f>YEAR(B249)</x:f>
        <x:v>2024</x:v>
      </x:c>
      <x:c r="D249" s="91" t="n">
        <x:f>DATE(YEAR(B249),MONTH(B249),1)</x:f>
        <x:v>45383</x:v>
      </x:c>
      <x:c r="E249" s="84" t="str">
        <x:f>TEXT(B249,"mmm")</x:f>
        <x:v>Apr</x:v>
      </x:c>
      <x:c r="F249" s="84" t="str">
        <x:f>'Raw Sales'!C249</x:f>
        <x:v>CUST-0635</x:v>
      </x:c>
      <x:c r="G249" s="84" t="str">
        <x:f>PROPER(TRIM('Raw Sales'!D249))</x:f>
        <x:v>Owen Patel</x:v>
      </x:c>
      <x:c r="H249" s="84" t="str">
        <x:f>IF(TRIM('Raw Sales'!E249)="","Unknown",PROPER(TRIM('Raw Sales'!E249)))</x:f>
        <x:v>Consumer</x:v>
      </x:c>
      <x:c r="I249" s="84" t="str">
        <x:f>PROPER(TRIM('Raw Sales'!F249))</x:f>
        <x:v>Northeast</x:v>
      </x:c>
      <x:c r="J249" s="84" t="str">
        <x:f>PROPER(TRIM('Raw Sales'!G249))</x:f>
        <x:v>Philadelphia</x:v>
      </x:c>
      <x:c r="K249" s="84" t="str">
        <x:f>PROPER(TRIM('Raw Sales'!H249))</x:f>
        <x:v>Marketplace</x:v>
      </x:c>
      <x:c r="L249" s="84" t="str">
        <x:f>'Raw Sales'!I249</x:f>
        <x:v>ELEC-004</x:v>
      </x:c>
      <x:c r="M249" s="84" t="str">
        <x:f>IFERROR(VLOOKUP(L249,'Reference Data'!$A$5:$F$40,2,FALSE),"Unknown Product")</x:f>
        <x:v>Power Bank</x:v>
      </x:c>
      <x:c r="N249" s="84" t="str">
        <x:f>IFERROR(VLOOKUP(L249,'Reference Data'!$A$5:$F$40,3,FALSE),"Unknown")</x:f>
        <x:v>Electronics</x:v>
      </x:c>
      <x:c r="O249" s="84" t="str">
        <x:f>IFERROR(VLOOKUP(L249,'Reference Data'!$A$5:$F$40,4,FALSE),"Unknown")</x:f>
        <x:v>Mobile Accessories</x:v>
      </x:c>
      <x:c r="P249" s="92" t="n">
        <x:f>IFERROR(VLOOKUP(L249,'Reference Data'!$A$5:$F$40,5,FALSE),0)</x:f>
        <x:v>39</x:v>
      </x:c>
      <x:c r="Q249" s="92" t="n">
        <x:f>IFERROR(VLOOKUP(L249,'Reference Data'!$A$5:$F$40,6,FALSE),0)</x:f>
        <x:v>18</x:v>
      </x:c>
      <x:c r="R249" s="84" t="n">
        <x:f>'Raw Sales'!J249</x:f>
        <x:v>1</x:v>
      </x:c>
      <x:c r="S249" s="87" t="n">
        <x:f>'Raw Sales'!K249</x:f>
        <x:v>0.2</x:v>
      </x:c>
      <x:c r="T249" s="93" t="n">
        <x:f>P249*R249</x:f>
        <x:v>39</x:v>
      </x:c>
      <x:c r="U249" s="93" t="n">
        <x:f>T249*S249</x:f>
        <x:v>7.800000000000001</x:v>
      </x:c>
      <x:c r="V249" s="93" t="str">
        <x:f>PROPER(TRIM('Raw Sales'!L249))</x:f>
        <x:v>Completed</x:v>
      </x:c>
      <x:c r="W249" s="93" t="n">
        <x:f>IF(V249="Returned",0,T249-U249)</x:f>
        <x:v>31.2</x:v>
      </x:c>
      <x:c r="X249" s="93" t="n">
        <x:f>IF(V249="Returned",Q249*R249*10%,Q249*R249)</x:f>
        <x:v>18</x:v>
      </x:c>
      <x:c r="Y249" s="93" t="n">
        <x:f>W249-X249</x:f>
        <x:v>13.2</x:v>
      </x:c>
      <x:c r="Z249" s="94" t="n">
        <x:f>IFERROR(Y249/W249,0)</x:f>
        <x:v>0.4230769230769231</x:v>
      </x:c>
      <x:c r="AA249" s="84" t="str">
        <x:f>PROPER(TRIM('Raw Sales'!M249))</x:f>
        <x:v>Debit Card</x:v>
      </x:c>
      <x:c r="AB249" s="84" t="str">
        <x:f>PROPER(TRIM('Raw Sales'!N249))</x:f>
        <x:v>Ethan Cole</x:v>
      </x:c>
      <x:c r="AC249" s="85" t="n">
        <x:f>'Raw Sales'!O249</x:f>
        <x:v>45396</x:v>
      </x:c>
      <x:c r="AD249" s="84" t="n">
        <x:f>AC249-B249</x:f>
        <x:v>4</x:v>
      </x:c>
      <x:c r="AE249" s="84" t="str">
        <x:f>IF(COUNTIF($A$5:A249,A249)&gt;1,"Duplicate","Keep")</x:f>
        <x:v>Keep</x:v>
      </x:c>
      <x:c r="AF249" s="84" t="str">
        <x:f>IF(OR(R249&lt;=0,AC249&lt;B249,H249="Unknown",M249="Unknown Product"),"Review","Valid")</x:f>
        <x:v>Valid</x:v>
      </x:c>
      <x:c r="AG249" s="84" t="n">
        <x:f>IF(AND(AE249="Keep",AF249="Valid"),1,0)</x:f>
        <x:v>1</x:v>
      </x:c>
      <x:c r="AH249" s="84" t="n">
        <x:f>IF(AND(AG249=1,OR('Dashboard'!$B$4="All",I249='Dashboard'!$B$4),OR('Dashboard'!$E$4="All",N249='Dashboard'!$E$4),OR('Dashboard'!$H$4="All",K249='Dashboard'!$H$4),OR('Dashboard'!$K$4="All",C249='Dashboard'!$K$4)),1,0)</x:f>
        <x:v>1</x:v>
      </x:c>
      <x:c r="AI249" s="84" t="n">
        <x:f>IF(AND(AG249=1,OR('Dashboard'!$B$4="All",I249='Dashboard'!$B$4),OR('Dashboard'!$E$4="All",N249='Dashboard'!$E$4),OR('Dashboard'!$H$4="All",K249='Dashboard'!$H$4)),1,0)</x:f>
        <x:v>1</x:v>
      </x:c>
    </x:row>
    <x:row r="250">
      <x:c r="A250" s="84" t="str">
        <x:f>'Raw Sales'!A250</x:f>
        <x:v>ORD-2024-00909</x:v>
      </x:c>
      <x:c r="B250" s="85" t="n">
        <x:f>'Raw Sales'!B250</x:f>
        <x:v>45392</x:v>
      </x:c>
      <x:c r="C250" s="84" t="n">
        <x:f>YEAR(B250)</x:f>
        <x:v>2024</x:v>
      </x:c>
      <x:c r="D250" s="91" t="n">
        <x:f>DATE(YEAR(B250),MONTH(B250),1)</x:f>
        <x:v>45383</x:v>
      </x:c>
      <x:c r="E250" s="84" t="str">
        <x:f>TEXT(B250,"mmm")</x:f>
        <x:v>Apr</x:v>
      </x:c>
      <x:c r="F250" s="84" t="str">
        <x:f>'Raw Sales'!C250</x:f>
        <x:v>CUST-0159</x:v>
      </x:c>
      <x:c r="G250" s="84" t="str">
        <x:f>PROPER(TRIM('Raw Sales'!D250))</x:f>
        <x:v>Caleb Khan</x:v>
      </x:c>
      <x:c r="H250" s="84" t="str">
        <x:f>IF(TRIM('Raw Sales'!E250)="","Unknown",PROPER(TRIM('Raw Sales'!E250)))</x:f>
        <x:v>Consumer</x:v>
      </x:c>
      <x:c r="I250" s="84" t="str">
        <x:f>PROPER(TRIM('Raw Sales'!F250))</x:f>
        <x:v>Southeast</x:v>
      </x:c>
      <x:c r="J250" s="84" t="str">
        <x:f>PROPER(TRIM('Raw Sales'!G250))</x:f>
        <x:v>Nashville</x:v>
      </x:c>
      <x:c r="K250" s="84" t="str">
        <x:f>PROPER(TRIM('Raw Sales'!H250))</x:f>
        <x:v>Retail Store</x:v>
      </x:c>
      <x:c r="L250" s="84" t="str">
        <x:f>'Raw Sales'!I250</x:f>
        <x:v>ACCS-006</x:v>
      </x:c>
      <x:c r="M250" s="84" t="str">
        <x:f>IFERROR(VLOOKUP(L250,'Reference Data'!$A$5:$F$40,2,FALSE),"Unknown Product")</x:f>
        <x:v>Insulated Lunch Bag</x:v>
      </x:c>
      <x:c r="N250" s="84" t="str">
        <x:f>IFERROR(VLOOKUP(L250,'Reference Data'!$A$5:$F$40,3,FALSE),"Unknown")</x:f>
        <x:v>Accessories</x:v>
      </x:c>
      <x:c r="O250" s="84" t="str">
        <x:f>IFERROR(VLOOKUP(L250,'Reference Data'!$A$5:$F$40,4,FALSE),"Unknown")</x:f>
        <x:v>Bags</x:v>
      </x:c>
      <x:c r="P250" s="92" t="n">
        <x:f>IFERROR(VLOOKUP(L250,'Reference Data'!$A$5:$F$40,5,FALSE),0)</x:f>
        <x:v>29</x:v>
      </x:c>
      <x:c r="Q250" s="92" t="n">
        <x:f>IFERROR(VLOOKUP(L250,'Reference Data'!$A$5:$F$40,6,FALSE),0)</x:f>
        <x:v>10</x:v>
      </x:c>
      <x:c r="R250" s="84" t="n">
        <x:f>'Raw Sales'!J250</x:f>
        <x:v>3</x:v>
      </x:c>
      <x:c r="S250" s="87" t="n">
        <x:f>'Raw Sales'!K250</x:f>
        <x:v>0</x:v>
      </x:c>
      <x:c r="T250" s="93" t="n">
        <x:f>P250*R250</x:f>
        <x:v>87</x:v>
      </x:c>
      <x:c r="U250" s="93" t="n">
        <x:f>T250*S250</x:f>
        <x:v>0</x:v>
      </x:c>
      <x:c r="V250" s="93" t="str">
        <x:f>PROPER(TRIM('Raw Sales'!L250))</x:f>
        <x:v>Completed</x:v>
      </x:c>
      <x:c r="W250" s="93" t="n">
        <x:f>IF(V250="Returned",0,T250-U250)</x:f>
        <x:v>87</x:v>
      </x:c>
      <x:c r="X250" s="93" t="n">
        <x:f>IF(V250="Returned",Q250*R250*10%,Q250*R250)</x:f>
        <x:v>30</x:v>
      </x:c>
      <x:c r="Y250" s="93" t="n">
        <x:f>W250-X250</x:f>
        <x:v>57</x:v>
      </x:c>
      <x:c r="Z250" s="94" t="n">
        <x:f>IFERROR(Y250/W250,0)</x:f>
        <x:v>0.6551724137931034</x:v>
      </x:c>
      <x:c r="AA250" s="84" t="str">
        <x:f>PROPER(TRIM('Raw Sales'!M250))</x:f>
        <x:v>Credit Card</x:v>
      </x:c>
      <x:c r="AB250" s="84" t="str">
        <x:f>PROPER(TRIM('Raw Sales'!N250))</x:f>
        <x:v>Ava Mitchell</x:v>
      </x:c>
      <x:c r="AC250" s="85" t="n">
        <x:f>'Raw Sales'!O250</x:f>
        <x:v>45393</x:v>
      </x:c>
      <x:c r="AD250" s="84" t="n">
        <x:f>AC250-B250</x:f>
        <x:v>1</x:v>
      </x:c>
      <x:c r="AE250" s="84" t="str">
        <x:f>IF(COUNTIF($A$5:A250,A250)&gt;1,"Duplicate","Keep")</x:f>
        <x:v>Keep</x:v>
      </x:c>
      <x:c r="AF250" s="84" t="str">
        <x:f>IF(OR(R250&lt;=0,AC250&lt;B250,H250="Unknown",M250="Unknown Product"),"Review","Valid")</x:f>
        <x:v>Valid</x:v>
      </x:c>
      <x:c r="AG250" s="84" t="n">
        <x:f>IF(AND(AE250="Keep",AF250="Valid"),1,0)</x:f>
        <x:v>1</x:v>
      </x:c>
      <x:c r="AH250" s="84" t="n">
        <x:f>IF(AND(AG250=1,OR('Dashboard'!$B$4="All",I250='Dashboard'!$B$4),OR('Dashboard'!$E$4="All",N250='Dashboard'!$E$4),OR('Dashboard'!$H$4="All",K250='Dashboard'!$H$4),OR('Dashboard'!$K$4="All",C250='Dashboard'!$K$4)),1,0)</x:f>
        <x:v>1</x:v>
      </x:c>
      <x:c r="AI250" s="84" t="n">
        <x:f>IF(AND(AG250=1,OR('Dashboard'!$B$4="All",I250='Dashboard'!$B$4),OR('Dashboard'!$E$4="All",N250='Dashboard'!$E$4),OR('Dashboard'!$H$4="All",K250='Dashboard'!$H$4)),1,0)</x:f>
        <x:v>1</x:v>
      </x:c>
    </x:row>
    <x:row r="251">
      <x:c r="A251" s="84" t="str">
        <x:f>'Raw Sales'!A251</x:f>
        <x:v>ORD-2024-01283</x:v>
      </x:c>
      <x:c r="B251" s="85" t="n">
        <x:f>'Raw Sales'!B251</x:f>
        <x:v>45392</x:v>
      </x:c>
      <x:c r="C251" s="84" t="n">
        <x:f>YEAR(B251)</x:f>
        <x:v>2024</x:v>
      </x:c>
      <x:c r="D251" s="91" t="n">
        <x:f>DATE(YEAR(B251),MONTH(B251),1)</x:f>
        <x:v>45383</x:v>
      </x:c>
      <x:c r="E251" s="84" t="str">
        <x:f>TEXT(B251,"mmm")</x:f>
        <x:v>Apr</x:v>
      </x:c>
      <x:c r="F251" s="84" t="str">
        <x:f>'Raw Sales'!C251</x:f>
        <x:v>CUST-0296</x:v>
      </x:c>
      <x:c r="G251" s="84" t="str">
        <x:f>PROPER(TRIM('Raw Sales'!D251))</x:f>
        <x:v>Sara Irwin</x:v>
      </x:c>
      <x:c r="H251" s="84" t="str">
        <x:f>IF(TRIM('Raw Sales'!E251)="","Unknown",PROPER(TRIM('Raw Sales'!E251)))</x:f>
        <x:v>Corporate</x:v>
      </x:c>
      <x:c r="I251" s="84" t="str">
        <x:f>PROPER(TRIM('Raw Sales'!F251))</x:f>
        <x:v>Midwest</x:v>
      </x:c>
      <x:c r="J251" s="84" t="str">
        <x:f>PROPER(TRIM('Raw Sales'!G251))</x:f>
        <x:v>Columbus</x:v>
      </x:c>
      <x:c r="K251" s="84" t="str">
        <x:f>PROPER(TRIM('Raw Sales'!H251))</x:f>
        <x:v>Online</x:v>
      </x:c>
      <x:c r="L251" s="84" t="str">
        <x:f>'Raw Sales'!I251</x:f>
        <x:v>HOME-005</x:v>
      </x:c>
      <x:c r="M251" s="84" t="str">
        <x:f>IFERROR(VLOOKUP(L251,'Reference Data'!$A$5:$F$40,2,FALSE),"Unknown Product")</x:f>
        <x:v>Cordless Vacuum</x:v>
      </x:c>
      <x:c r="N251" s="84" t="str">
        <x:f>IFERROR(VLOOKUP(L251,'Reference Data'!$A$5:$F$40,3,FALSE),"Unknown")</x:f>
        <x:v>Home &amp; Kitchen</x:v>
      </x:c>
      <x:c r="O251" s="84" t="str">
        <x:f>IFERROR(VLOOKUP(L251,'Reference Data'!$A$5:$F$40,4,FALSE),"Unknown")</x:f>
        <x:v>Cleaning</x:v>
      </x:c>
      <x:c r="P251" s="92" t="n">
        <x:f>IFERROR(VLOOKUP(L251,'Reference Data'!$A$5:$F$40,5,FALSE),0)</x:f>
        <x:v>179</x:v>
      </x:c>
      <x:c r="Q251" s="92" t="n">
        <x:f>IFERROR(VLOOKUP(L251,'Reference Data'!$A$5:$F$40,6,FALSE),0)</x:f>
        <x:v>102</x:v>
      </x:c>
      <x:c r="R251" s="84" t="n">
        <x:f>'Raw Sales'!J251</x:f>
        <x:v>5</x:v>
      </x:c>
      <x:c r="S251" s="87" t="n">
        <x:f>'Raw Sales'!K251</x:f>
        <x:v>0</x:v>
      </x:c>
      <x:c r="T251" s="93" t="n">
        <x:f>P251*R251</x:f>
        <x:v>895</x:v>
      </x:c>
      <x:c r="U251" s="93" t="n">
        <x:f>T251*S251</x:f>
        <x:v>0</x:v>
      </x:c>
      <x:c r="V251" s="93" t="str">
        <x:f>PROPER(TRIM('Raw Sales'!L251))</x:f>
        <x:v>Completed</x:v>
      </x:c>
      <x:c r="W251" s="93" t="n">
        <x:f>IF(V251="Returned",0,T251-U251)</x:f>
        <x:v>895</x:v>
      </x:c>
      <x:c r="X251" s="93" t="n">
        <x:f>IF(V251="Returned",Q251*R251*10%,Q251*R251)</x:f>
        <x:v>510</x:v>
      </x:c>
      <x:c r="Y251" s="93" t="n">
        <x:f>W251-X251</x:f>
        <x:v>385</x:v>
      </x:c>
      <x:c r="Z251" s="94" t="n">
        <x:f>IFERROR(Y251/W251,0)</x:f>
        <x:v>0.4301675977653631</x:v>
      </x:c>
      <x:c r="AA251" s="84" t="str">
        <x:f>PROPER(TRIM('Raw Sales'!M251))</x:f>
        <x:v>Debit Card</x:v>
      </x:c>
      <x:c r="AB251" s="84" t="str">
        <x:f>PROPER(TRIM('Raw Sales'!N251))</x:f>
        <x:v>Lucas Grant</x:v>
      </x:c>
      <x:c r="AC251" s="85" t="n">
        <x:f>'Raw Sales'!O251</x:f>
        <x:v>45396</x:v>
      </x:c>
      <x:c r="AD251" s="84" t="n">
        <x:f>AC251-B251</x:f>
        <x:v>4</x:v>
      </x:c>
      <x:c r="AE251" s="84" t="str">
        <x:f>IF(COUNTIF($A$5:A251,A251)&gt;1,"Duplicate","Keep")</x:f>
        <x:v>Keep</x:v>
      </x:c>
      <x:c r="AF251" s="84" t="str">
        <x:f>IF(OR(R251&lt;=0,AC251&lt;B251,H251="Unknown",M251="Unknown Product"),"Review","Valid")</x:f>
        <x:v>Valid</x:v>
      </x:c>
      <x:c r="AG251" s="84" t="n">
        <x:f>IF(AND(AE251="Keep",AF251="Valid"),1,0)</x:f>
        <x:v>1</x:v>
      </x:c>
      <x:c r="AH251" s="84" t="n">
        <x:f>IF(AND(AG251=1,OR('Dashboard'!$B$4="All",I251='Dashboard'!$B$4),OR('Dashboard'!$E$4="All",N251='Dashboard'!$E$4),OR('Dashboard'!$H$4="All",K251='Dashboard'!$H$4),OR('Dashboard'!$K$4="All",C251='Dashboard'!$K$4)),1,0)</x:f>
        <x:v>1</x:v>
      </x:c>
      <x:c r="AI251" s="84" t="n">
        <x:f>IF(AND(AG251=1,OR('Dashboard'!$B$4="All",I251='Dashboard'!$B$4),OR('Dashboard'!$E$4="All",N251='Dashboard'!$E$4),OR('Dashboard'!$H$4="All",K251='Dashboard'!$H$4)),1,0)</x:f>
        <x:v>1</x:v>
      </x:c>
    </x:row>
    <x:row r="252">
      <x:c r="A252" s="84" t="str">
        <x:f>'Raw Sales'!A252</x:f>
        <x:v>ORD-2024-02323</x:v>
      </x:c>
      <x:c r="B252" s="85" t="n">
        <x:f>'Raw Sales'!B252</x:f>
        <x:v>45392</x:v>
      </x:c>
      <x:c r="C252" s="84" t="n">
        <x:f>YEAR(B252)</x:f>
        <x:v>2024</x:v>
      </x:c>
      <x:c r="D252" s="91" t="n">
        <x:f>DATE(YEAR(B252),MONTH(B252),1)</x:f>
        <x:v>45383</x:v>
      </x:c>
      <x:c r="E252" s="84" t="str">
        <x:f>TEXT(B252,"mmm")</x:f>
        <x:v>Apr</x:v>
      </x:c>
      <x:c r="F252" s="84" t="str">
        <x:f>'Raw Sales'!C252</x:f>
        <x:v>CUST-0059</x:v>
      </x:c>
      <x:c r="G252" s="84" t="str">
        <x:f>PROPER(TRIM('Raw Sales'!D252))</x:f>
        <x:v>Samuel Lewis</x:v>
      </x:c>
      <x:c r="H252" s="84" t="str">
        <x:f>IF(TRIM('Raw Sales'!E252)="","Unknown",PROPER(TRIM('Raw Sales'!E252)))</x:f>
        <x:v>Consumer</x:v>
      </x:c>
      <x:c r="I252" s="84" t="str">
        <x:f>PROPER(TRIM('Raw Sales'!F252))</x:f>
        <x:v>Midwest</x:v>
      </x:c>
      <x:c r="J252" s="84" t="str">
        <x:f>PROPER(TRIM('Raw Sales'!G252))</x:f>
        <x:v>Minneapolis</x:v>
      </x:c>
      <x:c r="K252" s="84" t="str">
        <x:f>PROPER(TRIM('Raw Sales'!H252))</x:f>
        <x:v>Marketplace</x:v>
      </x:c>
      <x:c r="L252" s="84" t="str">
        <x:f>'Raw Sales'!I252</x:f>
        <x:v>ACCS-003</x:v>
      </x:c>
      <x:c r="M252" s="84" t="str">
        <x:f>IFERROR(VLOOKUP(L252,'Reference Data'!$A$5:$F$40,2,FALSE),"Unknown Product")</x:f>
        <x:v>Polarized Sunglasses</x:v>
      </x:c>
      <x:c r="N252" s="84" t="str">
        <x:f>IFERROR(VLOOKUP(L252,'Reference Data'!$A$5:$F$40,3,FALSE),"Unknown")</x:f>
        <x:v>Accessories</x:v>
      </x:c>
      <x:c r="O252" s="84" t="str">
        <x:f>IFERROR(VLOOKUP(L252,'Reference Data'!$A$5:$F$40,4,FALSE),"Unknown")</x:f>
        <x:v>Eyewear</x:v>
      </x:c>
      <x:c r="P252" s="92" t="n">
        <x:f>IFERROR(VLOOKUP(L252,'Reference Data'!$A$5:$F$40,5,FALSE),0)</x:f>
        <x:v>59</x:v>
      </x:c>
      <x:c r="Q252" s="92" t="n">
        <x:f>IFERROR(VLOOKUP(L252,'Reference Data'!$A$5:$F$40,6,FALSE),0)</x:f>
        <x:v>17</x:v>
      </x:c>
      <x:c r="R252" s="84" t="n">
        <x:f>'Raw Sales'!J252</x:f>
        <x:v>1</x:v>
      </x:c>
      <x:c r="S252" s="87" t="n">
        <x:f>'Raw Sales'!K252</x:f>
        <x:v>0</x:v>
      </x:c>
      <x:c r="T252" s="93" t="n">
        <x:f>P252*R252</x:f>
        <x:v>59</x:v>
      </x:c>
      <x:c r="U252" s="93" t="n">
        <x:f>T252*S252</x:f>
        <x:v>0</x:v>
      </x:c>
      <x:c r="V252" s="93" t="str">
        <x:f>PROPER(TRIM('Raw Sales'!L252))</x:f>
        <x:v>Completed</x:v>
      </x:c>
      <x:c r="W252" s="93" t="n">
        <x:f>IF(V252="Returned",0,T252-U252)</x:f>
        <x:v>59</x:v>
      </x:c>
      <x:c r="X252" s="93" t="n">
        <x:f>IF(V252="Returned",Q252*R252*10%,Q252*R252)</x:f>
        <x:v>17</x:v>
      </x:c>
      <x:c r="Y252" s="93" t="n">
        <x:f>W252-X252</x:f>
        <x:v>42</x:v>
      </x:c>
      <x:c r="Z252" s="94" t="n">
        <x:f>IFERROR(Y252/W252,0)</x:f>
        <x:v>0.711864406779661</x:v>
      </x:c>
      <x:c r="AA252" s="84" t="str">
        <x:f>PROPER(TRIM('Raw Sales'!M252))</x:f>
        <x:v>Paypal</x:v>
      </x:c>
      <x:c r="AB252" s="84" t="str">
        <x:f>PROPER(TRIM('Raw Sales'!N252))</x:f>
        <x:v>Emma Hayes</x:v>
      </x:c>
      <x:c r="AC252" s="85" t="n">
        <x:f>'Raw Sales'!O252</x:f>
        <x:v>45398</x:v>
      </x:c>
      <x:c r="AD252" s="84" t="n">
        <x:f>AC252-B252</x:f>
        <x:v>6</x:v>
      </x:c>
      <x:c r="AE252" s="84" t="str">
        <x:f>IF(COUNTIF($A$5:A252,A252)&gt;1,"Duplicate","Keep")</x:f>
        <x:v>Keep</x:v>
      </x:c>
      <x:c r="AF252" s="84" t="str">
        <x:f>IF(OR(R252&lt;=0,AC252&lt;B252,H252="Unknown",M252="Unknown Product"),"Review","Valid")</x:f>
        <x:v>Valid</x:v>
      </x:c>
      <x:c r="AG252" s="84" t="n">
        <x:f>IF(AND(AE252="Keep",AF252="Valid"),1,0)</x:f>
        <x:v>1</x:v>
      </x:c>
      <x:c r="AH252" s="84" t="n">
        <x:f>IF(AND(AG252=1,OR('Dashboard'!$B$4="All",I252='Dashboard'!$B$4),OR('Dashboard'!$E$4="All",N252='Dashboard'!$E$4),OR('Dashboard'!$H$4="All",K252='Dashboard'!$H$4),OR('Dashboard'!$K$4="All",C252='Dashboard'!$K$4)),1,0)</x:f>
        <x:v>1</x:v>
      </x:c>
      <x:c r="AI252" s="84" t="n">
        <x:f>IF(AND(AG252=1,OR('Dashboard'!$B$4="All",I252='Dashboard'!$B$4),OR('Dashboard'!$E$4="All",N252='Dashboard'!$E$4),OR('Dashboard'!$H$4="All",K252='Dashboard'!$H$4)),1,0)</x:f>
        <x:v>1</x:v>
      </x:c>
    </x:row>
    <x:row r="253">
      <x:c r="A253" s="84" t="str">
        <x:f>'Raw Sales'!A253</x:f>
        <x:v>ORD-2024-00082</x:v>
      </x:c>
      <x:c r="B253" s="85" t="n">
        <x:f>'Raw Sales'!B253</x:f>
        <x:v>45393</x:v>
      </x:c>
      <x:c r="C253" s="84" t="n">
        <x:f>YEAR(B253)</x:f>
        <x:v>2024</x:v>
      </x:c>
      <x:c r="D253" s="91" t="n">
        <x:f>DATE(YEAR(B253),MONTH(B253),1)</x:f>
        <x:v>45383</x:v>
      </x:c>
      <x:c r="E253" s="84" t="str">
        <x:f>TEXT(B253,"mmm")</x:f>
        <x:v>Apr</x:v>
      </x:c>
      <x:c r="F253" s="84" t="str">
        <x:f>'Raw Sales'!C253</x:f>
        <x:v>CUST-0063</x:v>
      </x:c>
      <x:c r="G253" s="84" t="str">
        <x:f>PROPER(TRIM('Raw Sales'!D253))</x:f>
        <x:v>Jonah Irwin</x:v>
      </x:c>
      <x:c r="H253" s="84" t="str">
        <x:f>IF(TRIM('Raw Sales'!E253)="","Unknown",PROPER(TRIM('Raw Sales'!E253)))</x:f>
        <x:v>Small Business</x:v>
      </x:c>
      <x:c r="I253" s="84" t="str">
        <x:f>PROPER(TRIM('Raw Sales'!F253))</x:f>
        <x:v>Midwest</x:v>
      </x:c>
      <x:c r="J253" s="84" t="str">
        <x:f>PROPER(TRIM('Raw Sales'!G253))</x:f>
        <x:v>Detroit</x:v>
      </x:c>
      <x:c r="K253" s="84" t="str">
        <x:f>PROPER(TRIM('Raw Sales'!H253))</x:f>
        <x:v>Online</x:v>
      </x:c>
      <x:c r="L253" s="84" t="str">
        <x:f>'Raw Sales'!I253</x:f>
        <x:v>OFFC-004</x:v>
      </x:c>
      <x:c r="M253" s="84" t="str">
        <x:f>IFERROR(VLOOKUP(L253,'Reference Data'!$A$5:$F$40,2,FALSE),"Unknown Product")</x:f>
        <x:v>Premium Notebook Pack</x:v>
      </x:c>
      <x:c r="N253" s="84" t="str">
        <x:f>IFERROR(VLOOKUP(L253,'Reference Data'!$A$5:$F$40,3,FALSE),"Unknown")</x:f>
        <x:v>Office</x:v>
      </x:c>
      <x:c r="O253" s="84" t="str">
        <x:f>IFERROR(VLOOKUP(L253,'Reference Data'!$A$5:$F$40,4,FALSE),"Unknown")</x:f>
        <x:v>Stationery</x:v>
      </x:c>
      <x:c r="P253" s="92" t="n">
        <x:f>IFERROR(VLOOKUP(L253,'Reference Data'!$A$5:$F$40,5,FALSE),0)</x:f>
        <x:v>18</x:v>
      </x:c>
      <x:c r="Q253" s="92" t="n">
        <x:f>IFERROR(VLOOKUP(L253,'Reference Data'!$A$5:$F$40,6,FALSE),0)</x:f>
        <x:v>6.5</x:v>
      </x:c>
      <x:c r="R253" s="84" t="n">
        <x:f>'Raw Sales'!J253</x:f>
        <x:v>1</x:v>
      </x:c>
      <x:c r="S253" s="87" t="n">
        <x:f>'Raw Sales'!K253</x:f>
        <x:v>0.1</x:v>
      </x:c>
      <x:c r="T253" s="93" t="n">
        <x:f>P253*R253</x:f>
        <x:v>18</x:v>
      </x:c>
      <x:c r="U253" s="93" t="n">
        <x:f>T253*S253</x:f>
        <x:v>1.8</x:v>
      </x:c>
      <x:c r="V253" s="93" t="str">
        <x:f>PROPER(TRIM('Raw Sales'!L253))</x:f>
        <x:v>Completed</x:v>
      </x:c>
      <x:c r="W253" s="93" t="n">
        <x:f>IF(V253="Returned",0,T253-U253)</x:f>
        <x:v>16.2</x:v>
      </x:c>
      <x:c r="X253" s="93" t="n">
        <x:f>IF(V253="Returned",Q253*R253*10%,Q253*R253)</x:f>
        <x:v>6.5</x:v>
      </x:c>
      <x:c r="Y253" s="93" t="n">
        <x:f>W253-X253</x:f>
        <x:v>9.7</x:v>
      </x:c>
      <x:c r="Z253" s="94" t="n">
        <x:f>IFERROR(Y253/W253,0)</x:f>
        <x:v>0.5987654320987654</x:v>
      </x:c>
      <x:c r="AA253" s="84" t="str">
        <x:f>PROPER(TRIM('Raw Sales'!M253))</x:f>
        <x:v>Credit Card</x:v>
      </x:c>
      <x:c r="AB253" s="84" t="str">
        <x:f>PROPER(TRIM('Raw Sales'!N253))</x:f>
        <x:v>Lucas Grant</x:v>
      </x:c>
      <x:c r="AC253" s="85" t="n">
        <x:f>'Raw Sales'!O253</x:f>
        <x:v>45399</x:v>
      </x:c>
      <x:c r="AD253" s="84" t="n">
        <x:f>AC253-B253</x:f>
        <x:v>6</x:v>
      </x:c>
      <x:c r="AE253" s="84" t="str">
        <x:f>IF(COUNTIF($A$5:A253,A253)&gt;1,"Duplicate","Keep")</x:f>
        <x:v>Keep</x:v>
      </x:c>
      <x:c r="AF253" s="84" t="str">
        <x:f>IF(OR(R253&lt;=0,AC253&lt;B253,H253="Unknown",M253="Unknown Product"),"Review","Valid")</x:f>
        <x:v>Valid</x:v>
      </x:c>
      <x:c r="AG253" s="84" t="n">
        <x:f>IF(AND(AE253="Keep",AF253="Valid"),1,0)</x:f>
        <x:v>1</x:v>
      </x:c>
      <x:c r="AH253" s="84" t="n">
        <x:f>IF(AND(AG253=1,OR('Dashboard'!$B$4="All",I253='Dashboard'!$B$4),OR('Dashboard'!$E$4="All",N253='Dashboard'!$E$4),OR('Dashboard'!$H$4="All",K253='Dashboard'!$H$4),OR('Dashboard'!$K$4="All",C253='Dashboard'!$K$4)),1,0)</x:f>
        <x:v>1</x:v>
      </x:c>
      <x:c r="AI253" s="84" t="n">
        <x:f>IF(AND(AG253=1,OR('Dashboard'!$B$4="All",I253='Dashboard'!$B$4),OR('Dashboard'!$E$4="All",N253='Dashboard'!$E$4),OR('Dashboard'!$H$4="All",K253='Dashboard'!$H$4)),1,0)</x:f>
        <x:v>1</x:v>
      </x:c>
    </x:row>
    <x:row r="254">
      <x:c r="A254" s="84" t="str">
        <x:f>'Raw Sales'!A254</x:f>
        <x:v>ORD-2024-00766</x:v>
      </x:c>
      <x:c r="B254" s="85" t="n">
        <x:f>'Raw Sales'!B254</x:f>
        <x:v>45393</x:v>
      </x:c>
      <x:c r="C254" s="84" t="n">
        <x:f>YEAR(B254)</x:f>
        <x:v>2024</x:v>
      </x:c>
      <x:c r="D254" s="91" t="n">
        <x:f>DATE(YEAR(B254),MONTH(B254),1)</x:f>
        <x:v>45383</x:v>
      </x:c>
      <x:c r="E254" s="84" t="str">
        <x:f>TEXT(B254,"mmm")</x:f>
        <x:v>Apr</x:v>
      </x:c>
      <x:c r="F254" s="84" t="str">
        <x:f>'Raw Sales'!C254</x:f>
        <x:v>CUST-0240</x:v>
      </x:c>
      <x:c r="G254" s="84" t="str">
        <x:f>PROPER(TRIM('Raw Sales'!D254))</x:f>
        <x:v>Elena Garcia</x:v>
      </x:c>
      <x:c r="H254" s="84" t="str">
        <x:f>IF(TRIM('Raw Sales'!E254)="","Unknown",PROPER(TRIM('Raw Sales'!E254)))</x:f>
        <x:v>Consumer</x:v>
      </x:c>
      <x:c r="I254" s="84" t="str">
        <x:f>PROPER(TRIM('Raw Sales'!F254))</x:f>
        <x:v>Midwest</x:v>
      </x:c>
      <x:c r="J254" s="84" t="str">
        <x:f>PROPER(TRIM('Raw Sales'!G254))</x:f>
        <x:v>Detroit</x:v>
      </x:c>
      <x:c r="K254" s="84" t="str">
        <x:f>PROPER(TRIM('Raw Sales'!H254))</x:f>
        <x:v>Online</x:v>
      </x:c>
      <x:c r="L254" s="84" t="str">
        <x:f>'Raw Sales'!I254</x:f>
        <x:v>OFFC-001</x:v>
      </x:c>
      <x:c r="M254" s="84" t="str">
        <x:f>IFERROR(VLOOKUP(L254,'Reference Data'!$A$5:$F$40,2,FALSE),"Unknown Product")</x:f>
        <x:v>Ergonomic Chair</x:v>
      </x:c>
      <x:c r="N254" s="84" t="str">
        <x:f>IFERROR(VLOOKUP(L254,'Reference Data'!$A$5:$F$40,3,FALSE),"Unknown")</x:f>
        <x:v>Office</x:v>
      </x:c>
      <x:c r="O254" s="84" t="str">
        <x:f>IFERROR(VLOOKUP(L254,'Reference Data'!$A$5:$F$40,4,FALSE),"Unknown")</x:f>
        <x:v>Furniture</x:v>
      </x:c>
      <x:c r="P254" s="92" t="n">
        <x:f>IFERROR(VLOOKUP(L254,'Reference Data'!$A$5:$F$40,5,FALSE),0)</x:f>
        <x:v>249</x:v>
      </x:c>
      <x:c r="Q254" s="92" t="n">
        <x:f>IFERROR(VLOOKUP(L254,'Reference Data'!$A$5:$F$40,6,FALSE),0)</x:f>
        <x:v>145</x:v>
      </x:c>
      <x:c r="R254" s="84" t="n">
        <x:f>'Raw Sales'!J254</x:f>
        <x:v>1</x:v>
      </x:c>
      <x:c r="S254" s="87" t="n">
        <x:f>'Raw Sales'!K254</x:f>
        <x:v>0.15</x:v>
      </x:c>
      <x:c r="T254" s="93" t="n">
        <x:f>P254*R254</x:f>
        <x:v>249</x:v>
      </x:c>
      <x:c r="U254" s="93" t="n">
        <x:f>T254*S254</x:f>
        <x:v>37.35</x:v>
      </x:c>
      <x:c r="V254" s="93" t="str">
        <x:f>PROPER(TRIM('Raw Sales'!L254))</x:f>
        <x:v>Completed</x:v>
      </x:c>
      <x:c r="W254" s="93" t="n">
        <x:f>IF(V254="Returned",0,T254-U254)</x:f>
        <x:v>211.65</x:v>
      </x:c>
      <x:c r="X254" s="93" t="n">
        <x:f>IF(V254="Returned",Q254*R254*10%,Q254*R254)</x:f>
        <x:v>145</x:v>
      </x:c>
      <x:c r="Y254" s="93" t="n">
        <x:f>W254-X254</x:f>
        <x:v>66.65</x:v>
      </x:c>
      <x:c r="Z254" s="94" t="n">
        <x:f>IFERROR(Y254/W254,0)</x:f>
        <x:v>0.3149066855657926</x:v>
      </x:c>
      <x:c r="AA254" s="84" t="str">
        <x:f>PROPER(TRIM('Raw Sales'!M254))</x:f>
        <x:v>Credit Card</x:v>
      </x:c>
      <x:c r="AB254" s="84" t="str">
        <x:f>PROPER(TRIM('Raw Sales'!N254))</x:f>
        <x:v>Lucas Grant</x:v>
      </x:c>
      <x:c r="AC254" s="85" t="n">
        <x:f>'Raw Sales'!O254</x:f>
        <x:v>45395</x:v>
      </x:c>
      <x:c r="AD254" s="84" t="n">
        <x:f>AC254-B254</x:f>
        <x:v>2</x:v>
      </x:c>
      <x:c r="AE254" s="84" t="str">
        <x:f>IF(COUNTIF($A$5:A254,A254)&gt;1,"Duplicate","Keep")</x:f>
        <x:v>Keep</x:v>
      </x:c>
      <x:c r="AF254" s="84" t="str">
        <x:f>IF(OR(R254&lt;=0,AC254&lt;B254,H254="Unknown",M254="Unknown Product"),"Review","Valid")</x:f>
        <x:v>Valid</x:v>
      </x:c>
      <x:c r="AG254" s="84" t="n">
        <x:f>IF(AND(AE254="Keep",AF254="Valid"),1,0)</x:f>
        <x:v>1</x:v>
      </x:c>
      <x:c r="AH254" s="84" t="n">
        <x:f>IF(AND(AG254=1,OR('Dashboard'!$B$4="All",I254='Dashboard'!$B$4),OR('Dashboard'!$E$4="All",N254='Dashboard'!$E$4),OR('Dashboard'!$H$4="All",K254='Dashboard'!$H$4),OR('Dashboard'!$K$4="All",C254='Dashboard'!$K$4)),1,0)</x:f>
        <x:v>1</x:v>
      </x:c>
      <x:c r="AI254" s="84" t="n">
        <x:f>IF(AND(AG254=1,OR('Dashboard'!$B$4="All",I254='Dashboard'!$B$4),OR('Dashboard'!$E$4="All",N254='Dashboard'!$E$4),OR('Dashboard'!$H$4="All",K254='Dashboard'!$H$4)),1,0)</x:f>
        <x:v>1</x:v>
      </x:c>
    </x:row>
    <x:row r="255">
      <x:c r="A255" s="84" t="str">
        <x:f>'Raw Sales'!A255</x:f>
        <x:v>ORD-2024-01474</x:v>
      </x:c>
      <x:c r="B255" s="85" t="n">
        <x:f>'Raw Sales'!B255</x:f>
        <x:v>45393</x:v>
      </x:c>
      <x:c r="C255" s="84" t="n">
        <x:f>YEAR(B255)</x:f>
        <x:v>2024</x:v>
      </x:c>
      <x:c r="D255" s="91" t="n">
        <x:f>DATE(YEAR(B255),MONTH(B255),1)</x:f>
        <x:v>45383</x:v>
      </x:c>
      <x:c r="E255" s="84" t="str">
        <x:f>TEXT(B255,"mmm")</x:f>
        <x:v>Apr</x:v>
      </x:c>
      <x:c r="F255" s="84" t="str">
        <x:f>'Raw Sales'!C255</x:f>
        <x:v>CUST-0371</x:v>
      </x:c>
      <x:c r="G255" s="84" t="str">
        <x:f>PROPER(TRIM('Raw Sales'!D255))</x:f>
        <x:v>Sara Moore</x:v>
      </x:c>
      <x:c r="H255" s="84" t="str">
        <x:f>IF(TRIM('Raw Sales'!E255)="","Unknown",PROPER(TRIM('Raw Sales'!E255)))</x:f>
        <x:v>Small Business</x:v>
      </x:c>
      <x:c r="I255" s="84" t="str">
        <x:f>PROPER(TRIM('Raw Sales'!F255))</x:f>
        <x:v>West</x:v>
      </x:c>
      <x:c r="J255" s="84" t="str">
        <x:f>PROPER(TRIM('Raw Sales'!G255))</x:f>
        <x:v>Seattle</x:v>
      </x:c>
      <x:c r="K255" s="84" t="str">
        <x:f>PROPER(TRIM('Raw Sales'!H255))</x:f>
        <x:v>Online</x:v>
      </x:c>
      <x:c r="L255" s="84" t="str">
        <x:f>'Raw Sales'!I255</x:f>
        <x:v>OFFC-004</x:v>
      </x:c>
      <x:c r="M255" s="84" t="str">
        <x:f>IFERROR(VLOOKUP(L255,'Reference Data'!$A$5:$F$40,2,FALSE),"Unknown Product")</x:f>
        <x:v>Premium Notebook Pack</x:v>
      </x:c>
      <x:c r="N255" s="84" t="str">
        <x:f>IFERROR(VLOOKUP(L255,'Reference Data'!$A$5:$F$40,3,FALSE),"Unknown")</x:f>
        <x:v>Office</x:v>
      </x:c>
      <x:c r="O255" s="84" t="str">
        <x:f>IFERROR(VLOOKUP(L255,'Reference Data'!$A$5:$F$40,4,FALSE),"Unknown")</x:f>
        <x:v>Stationery</x:v>
      </x:c>
      <x:c r="P255" s="92" t="n">
        <x:f>IFERROR(VLOOKUP(L255,'Reference Data'!$A$5:$F$40,5,FALSE),0)</x:f>
        <x:v>18</x:v>
      </x:c>
      <x:c r="Q255" s="92" t="n">
        <x:f>IFERROR(VLOOKUP(L255,'Reference Data'!$A$5:$F$40,6,FALSE),0)</x:f>
        <x:v>6.5</x:v>
      </x:c>
      <x:c r="R255" s="84" t="n">
        <x:f>'Raw Sales'!J255</x:f>
        <x:v>2</x:v>
      </x:c>
      <x:c r="S255" s="87" t="n">
        <x:f>'Raw Sales'!K255</x:f>
        <x:v>0.2</x:v>
      </x:c>
      <x:c r="T255" s="93" t="n">
        <x:f>P255*R255</x:f>
        <x:v>36</x:v>
      </x:c>
      <x:c r="U255" s="93" t="n">
        <x:f>T255*S255</x:f>
        <x:v>7.2</x:v>
      </x:c>
      <x:c r="V255" s="93" t="str">
        <x:f>PROPER(TRIM('Raw Sales'!L255))</x:f>
        <x:v>Completed</x:v>
      </x:c>
      <x:c r="W255" s="93" t="n">
        <x:f>IF(V255="Returned",0,T255-U255)</x:f>
        <x:v>28.8</x:v>
      </x:c>
      <x:c r="X255" s="93" t="n">
        <x:f>IF(V255="Returned",Q255*R255*10%,Q255*R255)</x:f>
        <x:v>13</x:v>
      </x:c>
      <x:c r="Y255" s="93" t="n">
        <x:f>W255-X255</x:f>
        <x:v>15.8</x:v>
      </x:c>
      <x:c r="Z255" s="94" t="n">
        <x:f>IFERROR(Y255/W255,0)</x:f>
        <x:v>0.5486111111111112</x:v>
      </x:c>
      <x:c r="AA255" s="84" t="str">
        <x:f>PROPER(TRIM('Raw Sales'!M255))</x:f>
        <x:v>Debit Card</x:v>
      </x:c>
      <x:c r="AB255" s="84" t="str">
        <x:f>PROPER(TRIM('Raw Sales'!N255))</x:f>
        <x:v>Leo Martinez</x:v>
      </x:c>
      <x:c r="AC255" s="85" t="n">
        <x:f>'Raw Sales'!O255</x:f>
        <x:v>45396</x:v>
      </x:c>
      <x:c r="AD255" s="84" t="n">
        <x:f>AC255-B255</x:f>
        <x:v>3</x:v>
      </x:c>
      <x:c r="AE255" s="84" t="str">
        <x:f>IF(COUNTIF($A$5:A255,A255)&gt;1,"Duplicate","Keep")</x:f>
        <x:v>Keep</x:v>
      </x:c>
      <x:c r="AF255" s="84" t="str">
        <x:f>IF(OR(R255&lt;=0,AC255&lt;B255,H255="Unknown",M255="Unknown Product"),"Review","Valid")</x:f>
        <x:v>Valid</x:v>
      </x:c>
      <x:c r="AG255" s="84" t="n">
        <x:f>IF(AND(AE255="Keep",AF255="Valid"),1,0)</x:f>
        <x:v>1</x:v>
      </x:c>
      <x:c r="AH255" s="84" t="n">
        <x:f>IF(AND(AG255=1,OR('Dashboard'!$B$4="All",I255='Dashboard'!$B$4),OR('Dashboard'!$E$4="All",N255='Dashboard'!$E$4),OR('Dashboard'!$H$4="All",K255='Dashboard'!$H$4),OR('Dashboard'!$K$4="All",C255='Dashboard'!$K$4)),1,0)</x:f>
        <x:v>1</x:v>
      </x:c>
      <x:c r="AI255" s="84" t="n">
        <x:f>IF(AND(AG255=1,OR('Dashboard'!$B$4="All",I255='Dashboard'!$B$4),OR('Dashboard'!$E$4="All",N255='Dashboard'!$E$4),OR('Dashboard'!$H$4="All",K255='Dashboard'!$H$4)),1,0)</x:f>
        <x:v>1</x:v>
      </x:c>
    </x:row>
    <x:row r="256">
      <x:c r="A256" s="84" t="str">
        <x:f>'Raw Sales'!A256</x:f>
        <x:v>ORD-2024-00832</x:v>
      </x:c>
      <x:c r="B256" s="85" t="n">
        <x:f>'Raw Sales'!B256</x:f>
        <x:v>45394</x:v>
      </x:c>
      <x:c r="C256" s="84" t="n">
        <x:f>YEAR(B256)</x:f>
        <x:v>2024</x:v>
      </x:c>
      <x:c r="D256" s="91" t="n">
        <x:f>DATE(YEAR(B256),MONTH(B256),1)</x:f>
        <x:v>45383</x:v>
      </x:c>
      <x:c r="E256" s="84" t="str">
        <x:f>TEXT(B256,"mmm")</x:f>
        <x:v>Apr</x:v>
      </x:c>
      <x:c r="F256" s="84" t="str">
        <x:f>'Raw Sales'!C256</x:f>
        <x:v>CUST-0354</x:v>
      </x:c>
      <x:c r="G256" s="84" t="str">
        <x:f>PROPER(TRIM('Raw Sales'!D256))</x:f>
        <x:v>Jasmine Quinn</x:v>
      </x:c>
      <x:c r="H256" s="84" t="str">
        <x:f>IF(TRIM('Raw Sales'!E256)="","Unknown",PROPER(TRIM('Raw Sales'!E256)))</x:f>
        <x:v>Consumer</x:v>
      </x:c>
      <x:c r="I256" s="84" t="str">
        <x:f>PROPER(TRIM('Raw Sales'!F256))</x:f>
        <x:v>Northeast</x:v>
      </x:c>
      <x:c r="J256" s="84" t="str">
        <x:f>PROPER(TRIM('Raw Sales'!G256))</x:f>
        <x:v>Philadelphia</x:v>
      </x:c>
      <x:c r="K256" s="84" t="str">
        <x:f>PROPER(TRIM('Raw Sales'!H256))</x:f>
        <x:v>Online</x:v>
      </x:c>
      <x:c r="L256" s="84" t="str">
        <x:f>'Raw Sales'!I256</x:f>
        <x:v>HOME-005</x:v>
      </x:c>
      <x:c r="M256" s="84" t="str">
        <x:f>IFERROR(VLOOKUP(L256,'Reference Data'!$A$5:$F$40,2,FALSE),"Unknown Product")</x:f>
        <x:v>Cordless Vacuum</x:v>
      </x:c>
      <x:c r="N256" s="84" t="str">
        <x:f>IFERROR(VLOOKUP(L256,'Reference Data'!$A$5:$F$40,3,FALSE),"Unknown")</x:f>
        <x:v>Home &amp; Kitchen</x:v>
      </x:c>
      <x:c r="O256" s="84" t="str">
        <x:f>IFERROR(VLOOKUP(L256,'Reference Data'!$A$5:$F$40,4,FALSE),"Unknown")</x:f>
        <x:v>Cleaning</x:v>
      </x:c>
      <x:c r="P256" s="92" t="n">
        <x:f>IFERROR(VLOOKUP(L256,'Reference Data'!$A$5:$F$40,5,FALSE),0)</x:f>
        <x:v>179</x:v>
      </x:c>
      <x:c r="Q256" s="92" t="n">
        <x:f>IFERROR(VLOOKUP(L256,'Reference Data'!$A$5:$F$40,6,FALSE),0)</x:f>
        <x:v>102</x:v>
      </x:c>
      <x:c r="R256" s="84" t="n">
        <x:f>'Raw Sales'!J256</x:f>
        <x:v>1</x:v>
      </x:c>
      <x:c r="S256" s="87" t="n">
        <x:f>'Raw Sales'!K256</x:f>
        <x:v>0</x:v>
      </x:c>
      <x:c r="T256" s="93" t="n">
        <x:f>P256*R256</x:f>
        <x:v>179</x:v>
      </x:c>
      <x:c r="U256" s="93" t="n">
        <x:f>T256*S256</x:f>
        <x:v>0</x:v>
      </x:c>
      <x:c r="V256" s="93" t="str">
        <x:f>PROPER(TRIM('Raw Sales'!L256))</x:f>
        <x:v>Completed</x:v>
      </x:c>
      <x:c r="W256" s="93" t="n">
        <x:f>IF(V256="Returned",0,T256-U256)</x:f>
        <x:v>179</x:v>
      </x:c>
      <x:c r="X256" s="93" t="n">
        <x:f>IF(V256="Returned",Q256*R256*10%,Q256*R256)</x:f>
        <x:v>102</x:v>
      </x:c>
      <x:c r="Y256" s="93" t="n">
        <x:f>W256-X256</x:f>
        <x:v>77</x:v>
      </x:c>
      <x:c r="Z256" s="94" t="n">
        <x:f>IFERROR(Y256/W256,0)</x:f>
        <x:v>0.4301675977653631</x:v>
      </x:c>
      <x:c r="AA256" s="84" t="str">
        <x:f>PROPER(TRIM('Raw Sales'!M256))</x:f>
        <x:v>Credit Card</x:v>
      </x:c>
      <x:c r="AB256" s="84" t="str">
        <x:f>PROPER(TRIM('Raw Sales'!N256))</x:f>
        <x:v>Sofia Bennett</x:v>
      </x:c>
      <x:c r="AC256" s="85" t="n">
        <x:f>'Raw Sales'!O256</x:f>
        <x:v>45396</x:v>
      </x:c>
      <x:c r="AD256" s="84" t="n">
        <x:f>AC256-B256</x:f>
        <x:v>2</x:v>
      </x:c>
      <x:c r="AE256" s="84" t="str">
        <x:f>IF(COUNTIF($A$5:A256,A256)&gt;1,"Duplicate","Keep")</x:f>
        <x:v>Keep</x:v>
      </x:c>
      <x:c r="AF256" s="84" t="str">
        <x:f>IF(OR(R256&lt;=0,AC256&lt;B256,H256="Unknown",M256="Unknown Product"),"Review","Valid")</x:f>
        <x:v>Valid</x:v>
      </x:c>
      <x:c r="AG256" s="84" t="n">
        <x:f>IF(AND(AE256="Keep",AF256="Valid"),1,0)</x:f>
        <x:v>1</x:v>
      </x:c>
      <x:c r="AH256" s="84" t="n">
        <x:f>IF(AND(AG256=1,OR('Dashboard'!$B$4="All",I256='Dashboard'!$B$4),OR('Dashboard'!$E$4="All",N256='Dashboard'!$E$4),OR('Dashboard'!$H$4="All",K256='Dashboard'!$H$4),OR('Dashboard'!$K$4="All",C256='Dashboard'!$K$4)),1,0)</x:f>
        <x:v>1</x:v>
      </x:c>
      <x:c r="AI256" s="84" t="n">
        <x:f>IF(AND(AG256=1,OR('Dashboard'!$B$4="All",I256='Dashboard'!$B$4),OR('Dashboard'!$E$4="All",N256='Dashboard'!$E$4),OR('Dashboard'!$H$4="All",K256='Dashboard'!$H$4)),1,0)</x:f>
        <x:v>1</x:v>
      </x:c>
    </x:row>
    <x:row r="257">
      <x:c r="A257" s="84" t="str">
        <x:f>'Raw Sales'!A257</x:f>
        <x:v>ORD-2024-00852</x:v>
      </x:c>
      <x:c r="B257" s="85" t="n">
        <x:f>'Raw Sales'!B257</x:f>
        <x:v>45394</x:v>
      </x:c>
      <x:c r="C257" s="84" t="n">
        <x:f>YEAR(B257)</x:f>
        <x:v>2024</x:v>
      </x:c>
      <x:c r="D257" s="91" t="n">
        <x:f>DATE(YEAR(B257),MONTH(B257),1)</x:f>
        <x:v>45383</x:v>
      </x:c>
      <x:c r="E257" s="84" t="str">
        <x:f>TEXT(B257,"mmm")</x:f>
        <x:v>Apr</x:v>
      </x:c>
      <x:c r="F257" s="84" t="str">
        <x:f>'Raw Sales'!C257</x:f>
        <x:v>CUST-0198</x:v>
      </x:c>
      <x:c r="G257" s="84" t="str">
        <x:f>PROPER(TRIM('Raw Sales'!D257))</x:f>
        <x:v>Jonah Baker</x:v>
      </x:c>
      <x:c r="H257" s="84" t="str">
        <x:f>IF(TRIM('Raw Sales'!E257)="","Unknown",PROPER(TRIM('Raw Sales'!E257)))</x:f>
        <x:v>Consumer</x:v>
      </x:c>
      <x:c r="I257" s="84" t="str">
        <x:f>PROPER(TRIM('Raw Sales'!F257))</x:f>
        <x:v>Southeast</x:v>
      </x:c>
      <x:c r="J257" s="84" t="str">
        <x:f>PROPER(TRIM('Raw Sales'!G257))</x:f>
        <x:v>Atlanta</x:v>
      </x:c>
      <x:c r="K257" s="84" t="str">
        <x:f>PROPER(TRIM('Raw Sales'!H257))</x:f>
        <x:v>Online</x:v>
      </x:c>
      <x:c r="L257" s="84" t="str">
        <x:f>'Raw Sales'!I257</x:f>
        <x:v>ELEC-004</x:v>
      </x:c>
      <x:c r="M257" s="84" t="str">
        <x:f>IFERROR(VLOOKUP(L257,'Reference Data'!$A$5:$F$40,2,FALSE),"Unknown Product")</x:f>
        <x:v>Power Bank</x:v>
      </x:c>
      <x:c r="N257" s="84" t="str">
        <x:f>IFERROR(VLOOKUP(L257,'Reference Data'!$A$5:$F$40,3,FALSE),"Unknown")</x:f>
        <x:v>Electronics</x:v>
      </x:c>
      <x:c r="O257" s="84" t="str">
        <x:f>IFERROR(VLOOKUP(L257,'Reference Data'!$A$5:$F$40,4,FALSE),"Unknown")</x:f>
        <x:v>Mobile Accessories</x:v>
      </x:c>
      <x:c r="P257" s="92" t="n">
        <x:f>IFERROR(VLOOKUP(L257,'Reference Data'!$A$5:$F$40,5,FALSE),0)</x:f>
        <x:v>39</x:v>
      </x:c>
      <x:c r="Q257" s="92" t="n">
        <x:f>IFERROR(VLOOKUP(L257,'Reference Data'!$A$5:$F$40,6,FALSE),0)</x:f>
        <x:v>18</x:v>
      </x:c>
      <x:c r="R257" s="84" t="n">
        <x:f>'Raw Sales'!J257</x:f>
        <x:v>4</x:v>
      </x:c>
      <x:c r="S257" s="87" t="n">
        <x:f>'Raw Sales'!K257</x:f>
        <x:v>0.05</x:v>
      </x:c>
      <x:c r="T257" s="93" t="n">
        <x:f>P257*R257</x:f>
        <x:v>156</x:v>
      </x:c>
      <x:c r="U257" s="93" t="n">
        <x:f>T257*S257</x:f>
        <x:v>7.800000000000001</x:v>
      </x:c>
      <x:c r="V257" s="93" t="str">
        <x:f>PROPER(TRIM('Raw Sales'!L257))</x:f>
        <x:v>Completed</x:v>
      </x:c>
      <x:c r="W257" s="93" t="n">
        <x:f>IF(V257="Returned",0,T257-U257)</x:f>
        <x:v>148.2</x:v>
      </x:c>
      <x:c r="X257" s="93" t="n">
        <x:f>IF(V257="Returned",Q257*R257*10%,Q257*R257)</x:f>
        <x:v>72</x:v>
      </x:c>
      <x:c r="Y257" s="93" t="n">
        <x:f>W257-X257</x:f>
        <x:v>76.19999999999999</x:v>
      </x:c>
      <x:c r="Z257" s="94" t="n">
        <x:f>IFERROR(Y257/W257,0)</x:f>
        <x:v>0.5141700404858299</x:v>
      </x:c>
      <x:c r="AA257" s="84" t="str">
        <x:f>PROPER(TRIM('Raw Sales'!M257))</x:f>
        <x:v>Debit Card</x:v>
      </x:c>
      <x:c r="AB257" s="84" t="str">
        <x:f>PROPER(TRIM('Raw Sales'!N257))</x:f>
        <x:v>Liam Parker</x:v>
      </x:c>
      <x:c r="AC257" s="85" t="n">
        <x:f>'Raw Sales'!O257</x:f>
        <x:v>45398</x:v>
      </x:c>
      <x:c r="AD257" s="84" t="n">
        <x:f>AC257-B257</x:f>
        <x:v>4</x:v>
      </x:c>
      <x:c r="AE257" s="84" t="str">
        <x:f>IF(COUNTIF($A$5:A257,A257)&gt;1,"Duplicate","Keep")</x:f>
        <x:v>Keep</x:v>
      </x:c>
      <x:c r="AF257" s="84" t="str">
        <x:f>IF(OR(R257&lt;=0,AC257&lt;B257,H257="Unknown",M257="Unknown Product"),"Review","Valid")</x:f>
        <x:v>Valid</x:v>
      </x:c>
      <x:c r="AG257" s="84" t="n">
        <x:f>IF(AND(AE257="Keep",AF257="Valid"),1,0)</x:f>
        <x:v>1</x:v>
      </x:c>
      <x:c r="AH257" s="84" t="n">
        <x:f>IF(AND(AG257=1,OR('Dashboard'!$B$4="All",I257='Dashboard'!$B$4),OR('Dashboard'!$E$4="All",N257='Dashboard'!$E$4),OR('Dashboard'!$H$4="All",K257='Dashboard'!$H$4),OR('Dashboard'!$K$4="All",C257='Dashboard'!$K$4)),1,0)</x:f>
        <x:v>1</x:v>
      </x:c>
      <x:c r="AI257" s="84" t="n">
        <x:f>IF(AND(AG257=1,OR('Dashboard'!$B$4="All",I257='Dashboard'!$B$4),OR('Dashboard'!$E$4="All",N257='Dashboard'!$E$4),OR('Dashboard'!$H$4="All",K257='Dashboard'!$H$4)),1,0)</x:f>
        <x:v>1</x:v>
      </x:c>
    </x:row>
    <x:row r="258">
      <x:c r="A258" s="84" t="str">
        <x:f>'Raw Sales'!A258</x:f>
        <x:v>ORD-2024-02233</x:v>
      </x:c>
      <x:c r="B258" s="85" t="n">
        <x:f>'Raw Sales'!B258</x:f>
        <x:v>45394</x:v>
      </x:c>
      <x:c r="C258" s="84" t="n">
        <x:f>YEAR(B258)</x:f>
        <x:v>2024</x:v>
      </x:c>
      <x:c r="D258" s="91" t="n">
        <x:f>DATE(YEAR(B258),MONTH(B258),1)</x:f>
        <x:v>45383</x:v>
      </x:c>
      <x:c r="E258" s="84" t="str">
        <x:f>TEXT(B258,"mmm")</x:f>
        <x:v>Apr</x:v>
      </x:c>
      <x:c r="F258" s="84" t="str">
        <x:f>'Raw Sales'!C258</x:f>
        <x:v>CUST-0446</x:v>
      </x:c>
      <x:c r="G258" s="84" t="str">
        <x:f>PROPER(TRIM('Raw Sales'!D258))</x:f>
        <x:v>Nathan Davis</x:v>
      </x:c>
      <x:c r="H258" s="84" t="str">
        <x:f>IF(TRIM('Raw Sales'!E258)="","Unknown",PROPER(TRIM('Raw Sales'!E258)))</x:f>
        <x:v>Consumer</x:v>
      </x:c>
      <x:c r="I258" s="84" t="str">
        <x:f>PROPER(TRIM('Raw Sales'!F258))</x:f>
        <x:v>Southeast</x:v>
      </x:c>
      <x:c r="J258" s="84" t="str">
        <x:f>PROPER(TRIM('Raw Sales'!G258))</x:f>
        <x:v>Nashville</x:v>
      </x:c>
      <x:c r="K258" s="84" t="str">
        <x:f>PROPER(TRIM('Raw Sales'!H258))</x:f>
        <x:v>Retail Store</x:v>
      </x:c>
      <x:c r="L258" s="84" t="str">
        <x:f>'Raw Sales'!I258</x:f>
        <x:v>ELEC-003</x:v>
      </x:c>
      <x:c r="M258" s="84" t="str">
        <x:f>IFERROR(VLOOKUP(L258,'Reference Data'!$A$5:$F$40,2,FALSE),"Unknown Product")</x:f>
        <x:v>Bluetooth Speaker</x:v>
      </x:c>
      <x:c r="N258" s="84" t="str">
        <x:f>IFERROR(VLOOKUP(L258,'Reference Data'!$A$5:$F$40,3,FALSE),"Unknown")</x:f>
        <x:v>Electronics</x:v>
      </x:c>
      <x:c r="O258" s="84" t="str">
        <x:f>IFERROR(VLOOKUP(L258,'Reference Data'!$A$5:$F$40,4,FALSE),"Unknown")</x:f>
        <x:v>Audio</x:v>
      </x:c>
      <x:c r="P258" s="92" t="n">
        <x:f>IFERROR(VLOOKUP(L258,'Reference Data'!$A$5:$F$40,5,FALSE),0)</x:f>
        <x:v>89</x:v>
      </x:c>
      <x:c r="Q258" s="92" t="n">
        <x:f>IFERROR(VLOOKUP(L258,'Reference Data'!$A$5:$F$40,6,FALSE),0)</x:f>
        <x:v>44</x:v>
      </x:c>
      <x:c r="R258" s="84" t="n">
        <x:f>'Raw Sales'!J258</x:f>
        <x:v>1</x:v>
      </x:c>
      <x:c r="S258" s="87" t="n">
        <x:f>'Raw Sales'!K258</x:f>
        <x:v>0.1</x:v>
      </x:c>
      <x:c r="T258" s="93" t="n">
        <x:f>P258*R258</x:f>
        <x:v>89</x:v>
      </x:c>
      <x:c r="U258" s="93" t="n">
        <x:f>T258*S258</x:f>
        <x:v>8.9</x:v>
      </x:c>
      <x:c r="V258" s="93" t="str">
        <x:f>PROPER(TRIM('Raw Sales'!L258))</x:f>
        <x:v>Completed</x:v>
      </x:c>
      <x:c r="W258" s="93" t="n">
        <x:f>IF(V258="Returned",0,T258-U258)</x:f>
        <x:v>80.1</x:v>
      </x:c>
      <x:c r="X258" s="93" t="n">
        <x:f>IF(V258="Returned",Q258*R258*10%,Q258*R258)</x:f>
        <x:v>44</x:v>
      </x:c>
      <x:c r="Y258" s="93" t="n">
        <x:f>W258-X258</x:f>
        <x:v>36.099999999999994</x:v>
      </x:c>
      <x:c r="Z258" s="94" t="n">
        <x:f>IFERROR(Y258/W258,0)</x:f>
        <x:v>0.4506866416978776</x:v>
      </x:c>
      <x:c r="AA258" s="84" t="str">
        <x:f>PROPER(TRIM('Raw Sales'!M258))</x:f>
        <x:v>Cash</x:v>
      </x:c>
      <x:c r="AB258" s="84" t="str">
        <x:f>PROPER(TRIM('Raw Sales'!N258))</x:f>
        <x:v>Liam Parker</x:v>
      </x:c>
      <x:c r="AC258" s="85" t="n">
        <x:f>'Raw Sales'!O258</x:f>
        <x:v>45394</x:v>
      </x:c>
      <x:c r="AD258" s="84" t="n">
        <x:f>AC258-B258</x:f>
        <x:v>0</x:v>
      </x:c>
      <x:c r="AE258" s="84" t="str">
        <x:f>IF(COUNTIF($A$5:A258,A258)&gt;1,"Duplicate","Keep")</x:f>
        <x:v>Keep</x:v>
      </x:c>
      <x:c r="AF258" s="84" t="str">
        <x:f>IF(OR(R258&lt;=0,AC258&lt;B258,H258="Unknown",M258="Unknown Product"),"Review","Valid")</x:f>
        <x:v>Valid</x:v>
      </x:c>
      <x:c r="AG258" s="84" t="n">
        <x:f>IF(AND(AE258="Keep",AF258="Valid"),1,0)</x:f>
        <x:v>1</x:v>
      </x:c>
      <x:c r="AH258" s="84" t="n">
        <x:f>IF(AND(AG258=1,OR('Dashboard'!$B$4="All",I258='Dashboard'!$B$4),OR('Dashboard'!$E$4="All",N258='Dashboard'!$E$4),OR('Dashboard'!$H$4="All",K258='Dashboard'!$H$4),OR('Dashboard'!$K$4="All",C258='Dashboard'!$K$4)),1,0)</x:f>
        <x:v>1</x:v>
      </x:c>
      <x:c r="AI258" s="84" t="n">
        <x:f>IF(AND(AG258=1,OR('Dashboard'!$B$4="All",I258='Dashboard'!$B$4),OR('Dashboard'!$E$4="All",N258='Dashboard'!$E$4),OR('Dashboard'!$H$4="All",K258='Dashboard'!$H$4)),1,0)</x:f>
        <x:v>1</x:v>
      </x:c>
    </x:row>
    <x:row r="259">
      <x:c r="A259" s="84" t="str">
        <x:f>'Raw Sales'!A259</x:f>
        <x:v>ORD-2024-00967</x:v>
      </x:c>
      <x:c r="B259" s="85" t="n">
        <x:f>'Raw Sales'!B259</x:f>
        <x:v>45395</x:v>
      </x:c>
      <x:c r="C259" s="84" t="n">
        <x:f>YEAR(B259)</x:f>
        <x:v>2024</x:v>
      </x:c>
      <x:c r="D259" s="91" t="n">
        <x:f>DATE(YEAR(B259),MONTH(B259),1)</x:f>
        <x:v>45383</x:v>
      </x:c>
      <x:c r="E259" s="84" t="str">
        <x:f>TEXT(B259,"mmm")</x:f>
        <x:v>Apr</x:v>
      </x:c>
      <x:c r="F259" s="84" t="str">
        <x:f>'Raw Sales'!C259</x:f>
        <x:v>CUST-0329</x:v>
      </x:c>
      <x:c r="G259" s="84" t="str">
        <x:f>PROPER(TRIM('Raw Sales'!D259))</x:f>
        <x:v>Theo Nelson</x:v>
      </x:c>
      <x:c r="H259" s="84" t="str">
        <x:f>IF(TRIM('Raw Sales'!E259)="","Unknown",PROPER(TRIM('Raw Sales'!E259)))</x:f>
        <x:v>Consumer</x:v>
      </x:c>
      <x:c r="I259" s="84" t="str">
        <x:f>PROPER(TRIM('Raw Sales'!F259))</x:f>
        <x:v>Southeast</x:v>
      </x:c>
      <x:c r="J259" s="84" t="str">
        <x:f>PROPER(TRIM('Raw Sales'!G259))</x:f>
        <x:v>Atlanta</x:v>
      </x:c>
      <x:c r="K259" s="84" t="str">
        <x:f>PROPER(TRIM('Raw Sales'!H259))</x:f>
        <x:v>Online</x:v>
      </x:c>
      <x:c r="L259" s="84" t="str">
        <x:f>'Raw Sales'!I259</x:f>
        <x:v>ELEC-004</x:v>
      </x:c>
      <x:c r="M259" s="84" t="str">
        <x:f>IFERROR(VLOOKUP(L259,'Reference Data'!$A$5:$F$40,2,FALSE),"Unknown Product")</x:f>
        <x:v>Power Bank</x:v>
      </x:c>
      <x:c r="N259" s="84" t="str">
        <x:f>IFERROR(VLOOKUP(L259,'Reference Data'!$A$5:$F$40,3,FALSE),"Unknown")</x:f>
        <x:v>Electronics</x:v>
      </x:c>
      <x:c r="O259" s="84" t="str">
        <x:f>IFERROR(VLOOKUP(L259,'Reference Data'!$A$5:$F$40,4,FALSE),"Unknown")</x:f>
        <x:v>Mobile Accessories</x:v>
      </x:c>
      <x:c r="P259" s="92" t="n">
        <x:f>IFERROR(VLOOKUP(L259,'Reference Data'!$A$5:$F$40,5,FALSE),0)</x:f>
        <x:v>39</x:v>
      </x:c>
      <x:c r="Q259" s="92" t="n">
        <x:f>IFERROR(VLOOKUP(L259,'Reference Data'!$A$5:$F$40,6,FALSE),0)</x:f>
        <x:v>18</x:v>
      </x:c>
      <x:c r="R259" s="84" t="n">
        <x:f>'Raw Sales'!J259</x:f>
        <x:v>1</x:v>
      </x:c>
      <x:c r="S259" s="87" t="n">
        <x:f>'Raw Sales'!K259</x:f>
        <x:v>0.05</x:v>
      </x:c>
      <x:c r="T259" s="93" t="n">
        <x:f>P259*R259</x:f>
        <x:v>39</x:v>
      </x:c>
      <x:c r="U259" s="93" t="n">
        <x:f>T259*S259</x:f>
        <x:v>1.9500000000000002</x:v>
      </x:c>
      <x:c r="V259" s="93" t="str">
        <x:f>PROPER(TRIM('Raw Sales'!L259))</x:f>
        <x:v>Completed</x:v>
      </x:c>
      <x:c r="W259" s="93" t="n">
        <x:f>IF(V259="Returned",0,T259-U259)</x:f>
        <x:v>37.05</x:v>
      </x:c>
      <x:c r="X259" s="93" t="n">
        <x:f>IF(V259="Returned",Q259*R259*10%,Q259*R259)</x:f>
        <x:v>18</x:v>
      </x:c>
      <x:c r="Y259" s="93" t="n">
        <x:f>W259-X259</x:f>
        <x:v>19.049999999999997</x:v>
      </x:c>
      <x:c r="Z259" s="94" t="n">
        <x:f>IFERROR(Y259/W259,0)</x:f>
        <x:v>0.5141700404858299</x:v>
      </x:c>
      <x:c r="AA259" s="84" t="str">
        <x:f>PROPER(TRIM('Raw Sales'!M259))</x:f>
        <x:v>Credit Card</x:v>
      </x:c>
      <x:c r="AB259" s="84" t="str">
        <x:f>PROPER(TRIM('Raw Sales'!N259))</x:f>
        <x:v>Noah Reed</x:v>
      </x:c>
      <x:c r="AC259" s="85" t="n">
        <x:f>'Raw Sales'!O259</x:f>
        <x:v>45398</x:v>
      </x:c>
      <x:c r="AD259" s="84" t="n">
        <x:f>AC259-B259</x:f>
        <x:v>3</x:v>
      </x:c>
      <x:c r="AE259" s="84" t="str">
        <x:f>IF(COUNTIF($A$5:A259,A259)&gt;1,"Duplicate","Keep")</x:f>
        <x:v>Keep</x:v>
      </x:c>
      <x:c r="AF259" s="84" t="str">
        <x:f>IF(OR(R259&lt;=0,AC259&lt;B259,H259="Unknown",M259="Unknown Product"),"Review","Valid")</x:f>
        <x:v>Valid</x:v>
      </x:c>
      <x:c r="AG259" s="84" t="n">
        <x:f>IF(AND(AE259="Keep",AF259="Valid"),1,0)</x:f>
        <x:v>1</x:v>
      </x:c>
      <x:c r="AH259" s="84" t="n">
        <x:f>IF(AND(AG259=1,OR('Dashboard'!$B$4="All",I259='Dashboard'!$B$4),OR('Dashboard'!$E$4="All",N259='Dashboard'!$E$4),OR('Dashboard'!$H$4="All",K259='Dashboard'!$H$4),OR('Dashboard'!$K$4="All",C259='Dashboard'!$K$4)),1,0)</x:f>
        <x:v>1</x:v>
      </x:c>
      <x:c r="AI259" s="84" t="n">
        <x:f>IF(AND(AG259=1,OR('Dashboard'!$B$4="All",I259='Dashboard'!$B$4),OR('Dashboard'!$E$4="All",N259='Dashboard'!$E$4),OR('Dashboard'!$H$4="All",K259='Dashboard'!$H$4)),1,0)</x:f>
        <x:v>1</x:v>
      </x:c>
    </x:row>
    <x:row r="260">
      <x:c r="A260" s="84" t="str">
        <x:f>'Raw Sales'!A260</x:f>
        <x:v>ORD-2024-01129</x:v>
      </x:c>
      <x:c r="B260" s="85" t="n">
        <x:f>'Raw Sales'!B260</x:f>
        <x:v>45395</x:v>
      </x:c>
      <x:c r="C260" s="84" t="n">
        <x:f>YEAR(B260)</x:f>
        <x:v>2024</x:v>
      </x:c>
      <x:c r="D260" s="91" t="n">
        <x:f>DATE(YEAR(B260),MONTH(B260),1)</x:f>
        <x:v>45383</x:v>
      </x:c>
      <x:c r="E260" s="84" t="str">
        <x:f>TEXT(B260,"mmm")</x:f>
        <x:v>Apr</x:v>
      </x:c>
      <x:c r="F260" s="84" t="str">
        <x:f>'Raw Sales'!C260</x:f>
        <x:v>CUST-0564</x:v>
      </x:c>
      <x:c r="G260" s="84" t="str">
        <x:f>PROPER(TRIM('Raw Sales'!D260))</x:f>
        <x:v>Amelia Khan</x:v>
      </x:c>
      <x:c r="H260" s="84" t="str">
        <x:f>IF(TRIM('Raw Sales'!E260)="","Unknown",PROPER(TRIM('Raw Sales'!E260)))</x:f>
        <x:v>Corporate</x:v>
      </x:c>
      <x:c r="I260" s="84" t="str">
        <x:f>PROPER(TRIM('Raw Sales'!F260))</x:f>
        <x:v>Southeast</x:v>
      </x:c>
      <x:c r="J260" s="84" t="str">
        <x:f>PROPER(TRIM('Raw Sales'!G260))</x:f>
        <x:v>Miami</x:v>
      </x:c>
      <x:c r="K260" s="84" t="str">
        <x:f>PROPER(TRIM('Raw Sales'!H260))</x:f>
        <x:v>Retail Store</x:v>
      </x:c>
      <x:c r="L260" s="84" t="str">
        <x:f>'Raw Sales'!I260</x:f>
        <x:v>FITN-001</x:v>
      </x:c>
      <x:c r="M260" s="84" t="str">
        <x:f>IFERROR(VLOOKUP(L260,'Reference Data'!$A$5:$F$40,2,FALSE),"Unknown Product")</x:f>
        <x:v>Yoga Mat</x:v>
      </x:c>
      <x:c r="N260" s="84" t="str">
        <x:f>IFERROR(VLOOKUP(L260,'Reference Data'!$A$5:$F$40,3,FALSE),"Unknown")</x:f>
        <x:v>Fitness</x:v>
      </x:c>
      <x:c r="O260" s="84" t="str">
        <x:f>IFERROR(VLOOKUP(L260,'Reference Data'!$A$5:$F$40,4,FALSE),"Unknown")</x:f>
        <x:v>Yoga</x:v>
      </x:c>
      <x:c r="P260" s="92" t="n">
        <x:f>IFERROR(VLOOKUP(L260,'Reference Data'!$A$5:$F$40,5,FALSE),0)</x:f>
        <x:v>35</x:v>
      </x:c>
      <x:c r="Q260" s="92" t="n">
        <x:f>IFERROR(VLOOKUP(L260,'Reference Data'!$A$5:$F$40,6,FALSE),0)</x:f>
        <x:v>13</x:v>
      </x:c>
      <x:c r="R260" s="84" t="n">
        <x:f>'Raw Sales'!J260</x:f>
        <x:v>2</x:v>
      </x:c>
      <x:c r="S260" s="87" t="n">
        <x:f>'Raw Sales'!K260</x:f>
        <x:v>0</x:v>
      </x:c>
      <x:c r="T260" s="93" t="n">
        <x:f>P260*R260</x:f>
        <x:v>70</x:v>
      </x:c>
      <x:c r="U260" s="93" t="n">
        <x:f>T260*S260</x:f>
        <x:v>0</x:v>
      </x:c>
      <x:c r="V260" s="93" t="str">
        <x:f>PROPER(TRIM('Raw Sales'!L260))</x:f>
        <x:v>Completed</x:v>
      </x:c>
      <x:c r="W260" s="93" t="n">
        <x:f>IF(V260="Returned",0,T260-U260)</x:f>
        <x:v>70</x:v>
      </x:c>
      <x:c r="X260" s="93" t="n">
        <x:f>IF(V260="Returned",Q260*R260*10%,Q260*R260)</x:f>
        <x:v>26</x:v>
      </x:c>
      <x:c r="Y260" s="93" t="n">
        <x:f>W260-X260</x:f>
        <x:v>44</x:v>
      </x:c>
      <x:c r="Z260" s="94" t="n">
        <x:f>IFERROR(Y260/W260,0)</x:f>
        <x:v>0.6285714285714286</x:v>
      </x:c>
      <x:c r="AA260" s="84" t="str">
        <x:f>PROPER(TRIM('Raw Sales'!M260))</x:f>
        <x:v>Debit Card</x:v>
      </x:c>
      <x:c r="AB260" s="84" t="str">
        <x:f>PROPER(TRIM('Raw Sales'!N260))</x:f>
        <x:v>Ava Mitchell</x:v>
      </x:c>
      <x:c r="AC260" s="85" t="n">
        <x:f>'Raw Sales'!O260</x:f>
        <x:v>45395</x:v>
      </x:c>
      <x:c r="AD260" s="84" t="n">
        <x:f>AC260-B260</x:f>
        <x:v>0</x:v>
      </x:c>
      <x:c r="AE260" s="84" t="str">
        <x:f>IF(COUNTIF($A$5:A260,A260)&gt;1,"Duplicate","Keep")</x:f>
        <x:v>Keep</x:v>
      </x:c>
      <x:c r="AF260" s="84" t="str">
        <x:f>IF(OR(R260&lt;=0,AC260&lt;B260,H260="Unknown",M260="Unknown Product"),"Review","Valid")</x:f>
        <x:v>Valid</x:v>
      </x:c>
      <x:c r="AG260" s="84" t="n">
        <x:f>IF(AND(AE260="Keep",AF260="Valid"),1,0)</x:f>
        <x:v>1</x:v>
      </x:c>
      <x:c r="AH260" s="84" t="n">
        <x:f>IF(AND(AG260=1,OR('Dashboard'!$B$4="All",I260='Dashboard'!$B$4),OR('Dashboard'!$E$4="All",N260='Dashboard'!$E$4),OR('Dashboard'!$H$4="All",K260='Dashboard'!$H$4),OR('Dashboard'!$K$4="All",C260='Dashboard'!$K$4)),1,0)</x:f>
        <x:v>1</x:v>
      </x:c>
      <x:c r="AI260" s="84" t="n">
        <x:f>IF(AND(AG260=1,OR('Dashboard'!$B$4="All",I260='Dashboard'!$B$4),OR('Dashboard'!$E$4="All",N260='Dashboard'!$E$4),OR('Dashboard'!$H$4="All",K260='Dashboard'!$H$4)),1,0)</x:f>
        <x:v>1</x:v>
      </x:c>
    </x:row>
    <x:row r="261">
      <x:c r="A261" s="84" t="str">
        <x:f>'Raw Sales'!A261</x:f>
        <x:v>ORD-2024-01129</x:v>
      </x:c>
      <x:c r="B261" s="85" t="n">
        <x:f>'Raw Sales'!B261</x:f>
        <x:v>45395</x:v>
      </x:c>
      <x:c r="C261" s="84" t="n">
        <x:f>YEAR(B261)</x:f>
        <x:v>2024</x:v>
      </x:c>
      <x:c r="D261" s="91" t="n">
        <x:f>DATE(YEAR(B261),MONTH(B261),1)</x:f>
        <x:v>45383</x:v>
      </x:c>
      <x:c r="E261" s="84" t="str">
        <x:f>TEXT(B261,"mmm")</x:f>
        <x:v>Apr</x:v>
      </x:c>
      <x:c r="F261" s="84" t="str">
        <x:f>'Raw Sales'!C261</x:f>
        <x:v>CUST-0564</x:v>
      </x:c>
      <x:c r="G261" s="84" t="str">
        <x:f>PROPER(TRIM('Raw Sales'!D261))</x:f>
        <x:v>Amelia Khan</x:v>
      </x:c>
      <x:c r="H261" s="84" t="str">
        <x:f>IF(TRIM('Raw Sales'!E261)="","Unknown",PROPER(TRIM('Raw Sales'!E261)))</x:f>
        <x:v>Corporate</x:v>
      </x:c>
      <x:c r="I261" s="84" t="str">
        <x:f>PROPER(TRIM('Raw Sales'!F261))</x:f>
        <x:v>Southeast</x:v>
      </x:c>
      <x:c r="J261" s="84" t="str">
        <x:f>PROPER(TRIM('Raw Sales'!G261))</x:f>
        <x:v>Miami</x:v>
      </x:c>
      <x:c r="K261" s="84" t="str">
        <x:f>PROPER(TRIM('Raw Sales'!H261))</x:f>
        <x:v>Retail Store</x:v>
      </x:c>
      <x:c r="L261" s="84" t="str">
        <x:f>'Raw Sales'!I261</x:f>
        <x:v>FITN-001</x:v>
      </x:c>
      <x:c r="M261" s="84" t="str">
        <x:f>IFERROR(VLOOKUP(L261,'Reference Data'!$A$5:$F$40,2,FALSE),"Unknown Product")</x:f>
        <x:v>Yoga Mat</x:v>
      </x:c>
      <x:c r="N261" s="84" t="str">
        <x:f>IFERROR(VLOOKUP(L261,'Reference Data'!$A$5:$F$40,3,FALSE),"Unknown")</x:f>
        <x:v>Fitness</x:v>
      </x:c>
      <x:c r="O261" s="84" t="str">
        <x:f>IFERROR(VLOOKUP(L261,'Reference Data'!$A$5:$F$40,4,FALSE),"Unknown")</x:f>
        <x:v>Yoga</x:v>
      </x:c>
      <x:c r="P261" s="92" t="n">
        <x:f>IFERROR(VLOOKUP(L261,'Reference Data'!$A$5:$F$40,5,FALSE),0)</x:f>
        <x:v>35</x:v>
      </x:c>
      <x:c r="Q261" s="92" t="n">
        <x:f>IFERROR(VLOOKUP(L261,'Reference Data'!$A$5:$F$40,6,FALSE),0)</x:f>
        <x:v>13</x:v>
      </x:c>
      <x:c r="R261" s="84" t="n">
        <x:f>'Raw Sales'!J261</x:f>
        <x:v>2</x:v>
      </x:c>
      <x:c r="S261" s="87" t="n">
        <x:f>'Raw Sales'!K261</x:f>
        <x:v>0</x:v>
      </x:c>
      <x:c r="T261" s="93" t="n">
        <x:f>P261*R261</x:f>
        <x:v>70</x:v>
      </x:c>
      <x:c r="U261" s="93" t="n">
        <x:f>T261*S261</x:f>
        <x:v>0</x:v>
      </x:c>
      <x:c r="V261" s="93" t="str">
        <x:f>PROPER(TRIM('Raw Sales'!L261))</x:f>
        <x:v>Completed</x:v>
      </x:c>
      <x:c r="W261" s="93" t="n">
        <x:f>IF(V261="Returned",0,T261-U261)</x:f>
        <x:v>70</x:v>
      </x:c>
      <x:c r="X261" s="93" t="n">
        <x:f>IF(V261="Returned",Q261*R261*10%,Q261*R261)</x:f>
        <x:v>26</x:v>
      </x:c>
      <x:c r="Y261" s="93" t="n">
        <x:f>W261-X261</x:f>
        <x:v>44</x:v>
      </x:c>
      <x:c r="Z261" s="94" t="n">
        <x:f>IFERROR(Y261/W261,0)</x:f>
        <x:v>0.6285714285714286</x:v>
      </x:c>
      <x:c r="AA261" s="84" t="str">
        <x:f>PROPER(TRIM('Raw Sales'!M261))</x:f>
        <x:v>Debit Card</x:v>
      </x:c>
      <x:c r="AB261" s="84" t="str">
        <x:f>PROPER(TRIM('Raw Sales'!N261))</x:f>
        <x:v>Ava Mitchell</x:v>
      </x:c>
      <x:c r="AC261" s="85" t="n">
        <x:f>'Raw Sales'!O261</x:f>
        <x:v>45395</x:v>
      </x:c>
      <x:c r="AD261" s="84" t="n">
        <x:f>AC261-B261</x:f>
        <x:v>0</x:v>
      </x:c>
      <x:c r="AE261" s="84" t="str">
        <x:f>IF(COUNTIF($A$5:A261,A261)&gt;1,"Duplicate","Keep")</x:f>
        <x:v>Duplicate</x:v>
      </x:c>
      <x:c r="AF261" s="84" t="str">
        <x:f>IF(OR(R261&lt;=0,AC261&lt;B261,H261="Unknown",M261="Unknown Product"),"Review","Valid")</x:f>
        <x:v>Valid</x:v>
      </x:c>
      <x:c r="AG261" s="84" t="n">
        <x:f>IF(AND(AE261="Keep",AF261="Valid"),1,0)</x:f>
        <x:v>0</x:v>
      </x:c>
      <x:c r="AH261" s="84" t="n">
        <x:f>IF(AND(AG261=1,OR('Dashboard'!$B$4="All",I261='Dashboard'!$B$4),OR('Dashboard'!$E$4="All",N261='Dashboard'!$E$4),OR('Dashboard'!$H$4="All",K261='Dashboard'!$H$4),OR('Dashboard'!$K$4="All",C261='Dashboard'!$K$4)),1,0)</x:f>
        <x:v>0</x:v>
      </x:c>
      <x:c r="AI261" s="84" t="n">
        <x:f>IF(AND(AG261=1,OR('Dashboard'!$B$4="All",I261='Dashboard'!$B$4),OR('Dashboard'!$E$4="All",N261='Dashboard'!$E$4),OR('Dashboard'!$H$4="All",K261='Dashboard'!$H$4)),1,0)</x:f>
        <x:v>0</x:v>
      </x:c>
    </x:row>
    <x:row r="262">
      <x:c r="A262" s="84" t="str">
        <x:f>'Raw Sales'!A262</x:f>
        <x:v>ORD-2024-01501</x:v>
      </x:c>
      <x:c r="B262" s="85" t="n">
        <x:f>'Raw Sales'!B262</x:f>
        <x:v>45395</x:v>
      </x:c>
      <x:c r="C262" s="84" t="n">
        <x:f>YEAR(B262)</x:f>
        <x:v>2024</x:v>
      </x:c>
      <x:c r="D262" s="91" t="n">
        <x:f>DATE(YEAR(B262),MONTH(B262),1)</x:f>
        <x:v>45383</x:v>
      </x:c>
      <x:c r="E262" s="84" t="str">
        <x:f>TEXT(B262,"mmm")</x:f>
        <x:v>Apr</x:v>
      </x:c>
      <x:c r="F262" s="84" t="str">
        <x:f>'Raw Sales'!C262</x:f>
        <x:v>CUST-0298</x:v>
      </x:c>
      <x:c r="G262" s="84" t="str">
        <x:f>PROPER(TRIM('Raw Sales'!D262))</x:f>
        <x:v>Jasmine Roberts</x:v>
      </x:c>
      <x:c r="H262" s="84" t="str">
        <x:f>IF(TRIM('Raw Sales'!E262)="","Unknown",PROPER(TRIM('Raw Sales'!E262)))</x:f>
        <x:v>Consumer</x:v>
      </x:c>
      <x:c r="I262" s="84" t="str">
        <x:f>PROPER(TRIM('Raw Sales'!F262))</x:f>
        <x:v>West</x:v>
      </x:c>
      <x:c r="J262" s="84" t="str">
        <x:f>PROPER(TRIM('Raw Sales'!G262))</x:f>
        <x:v>Los Angeles</x:v>
      </x:c>
      <x:c r="K262" s="84" t="str">
        <x:f>PROPER(TRIM('Raw Sales'!H262))</x:f>
        <x:v>Retail Store</x:v>
      </x:c>
      <x:c r="L262" s="84" t="str">
        <x:f>'Raw Sales'!I262</x:f>
        <x:v>ELEC-002</x:v>
      </x:c>
      <x:c r="M262" s="84" t="str">
        <x:f>IFERROR(VLOOKUP(L262,'Reference Data'!$A$5:$F$40,2,FALSE),"Unknown Product")</x:f>
        <x:v>Smartwatch</x:v>
      </x:c>
      <x:c r="N262" s="84" t="str">
        <x:f>IFERROR(VLOOKUP(L262,'Reference Data'!$A$5:$F$40,3,FALSE),"Unknown")</x:f>
        <x:v>Electronics</x:v>
      </x:c>
      <x:c r="O262" s="84" t="str">
        <x:f>IFERROR(VLOOKUP(L262,'Reference Data'!$A$5:$F$40,4,FALSE),"Unknown")</x:f>
        <x:v>Wearables</x:v>
      </x:c>
      <x:c r="P262" s="92" t="n">
        <x:f>IFERROR(VLOOKUP(L262,'Reference Data'!$A$5:$F$40,5,FALSE),0)</x:f>
        <x:v>159</x:v>
      </x:c>
      <x:c r="Q262" s="92" t="n">
        <x:f>IFERROR(VLOOKUP(L262,'Reference Data'!$A$5:$F$40,6,FALSE),0)</x:f>
        <x:v>92</x:v>
      </x:c>
      <x:c r="R262" s="84" t="n">
        <x:f>'Raw Sales'!J262</x:f>
        <x:v>1</x:v>
      </x:c>
      <x:c r="S262" s="87" t="n">
        <x:f>'Raw Sales'!K262</x:f>
        <x:v>0.05</x:v>
      </x:c>
      <x:c r="T262" s="93" t="n">
        <x:f>P262*R262</x:f>
        <x:v>159</x:v>
      </x:c>
      <x:c r="U262" s="93" t="n">
        <x:f>T262*S262</x:f>
        <x:v>7.95</x:v>
      </x:c>
      <x:c r="V262" s="93" t="str">
        <x:f>PROPER(TRIM('Raw Sales'!L262))</x:f>
        <x:v>Completed</x:v>
      </x:c>
      <x:c r="W262" s="93" t="n">
        <x:f>IF(V262="Returned",0,T262-U262)</x:f>
        <x:v>151.05</x:v>
      </x:c>
      <x:c r="X262" s="93" t="n">
        <x:f>IF(V262="Returned",Q262*R262*10%,Q262*R262)</x:f>
        <x:v>92</x:v>
      </x:c>
      <x:c r="Y262" s="93" t="n">
        <x:f>W262-X262</x:f>
        <x:v>59.05000000000001</x:v>
      </x:c>
      <x:c r="Z262" s="94" t="n">
        <x:f>IFERROR(Y262/W262,0)</x:f>
        <x:v>0.39093015557762334</x:v>
      </x:c>
      <x:c r="AA262" s="84" t="str">
        <x:f>PROPER(TRIM('Raw Sales'!M262))</x:f>
        <x:v>Debit Card</x:v>
      </x:c>
      <x:c r="AB262" s="84" t="str">
        <x:f>PROPER(TRIM('Raw Sales'!N262))</x:f>
        <x:v>Mia Chen</x:v>
      </x:c>
      <x:c r="AC262" s="85" t="n">
        <x:f>'Raw Sales'!O262</x:f>
        <x:v>45395</x:v>
      </x:c>
      <x:c r="AD262" s="84" t="n">
        <x:f>AC262-B262</x:f>
        <x:v>0</x:v>
      </x:c>
      <x:c r="AE262" s="84" t="str">
        <x:f>IF(COUNTIF($A$5:A262,A262)&gt;1,"Duplicate","Keep")</x:f>
        <x:v>Keep</x:v>
      </x:c>
      <x:c r="AF262" s="84" t="str">
        <x:f>IF(OR(R262&lt;=0,AC262&lt;B262,H262="Unknown",M262="Unknown Product"),"Review","Valid")</x:f>
        <x:v>Valid</x:v>
      </x:c>
      <x:c r="AG262" s="84" t="n">
        <x:f>IF(AND(AE262="Keep",AF262="Valid"),1,0)</x:f>
        <x:v>1</x:v>
      </x:c>
      <x:c r="AH262" s="84" t="n">
        <x:f>IF(AND(AG262=1,OR('Dashboard'!$B$4="All",I262='Dashboard'!$B$4),OR('Dashboard'!$E$4="All",N262='Dashboard'!$E$4),OR('Dashboard'!$H$4="All",K262='Dashboard'!$H$4),OR('Dashboard'!$K$4="All",C262='Dashboard'!$K$4)),1,0)</x:f>
        <x:v>1</x:v>
      </x:c>
      <x:c r="AI262" s="84" t="n">
        <x:f>IF(AND(AG262=1,OR('Dashboard'!$B$4="All",I262='Dashboard'!$B$4),OR('Dashboard'!$E$4="All",N262='Dashboard'!$E$4),OR('Dashboard'!$H$4="All",K262='Dashboard'!$H$4)),1,0)</x:f>
        <x:v>1</x:v>
      </x:c>
    </x:row>
    <x:row r="263">
      <x:c r="A263" s="84" t="str">
        <x:f>'Raw Sales'!A263</x:f>
        <x:v>ORD-2024-02235</x:v>
      </x:c>
      <x:c r="B263" s="85" t="n">
        <x:f>'Raw Sales'!B263</x:f>
        <x:v>45395</x:v>
      </x:c>
      <x:c r="C263" s="84" t="n">
        <x:f>YEAR(B263)</x:f>
        <x:v>2024</x:v>
      </x:c>
      <x:c r="D263" s="91" t="n">
        <x:f>DATE(YEAR(B263),MONTH(B263),1)</x:f>
        <x:v>45383</x:v>
      </x:c>
      <x:c r="E263" s="84" t="str">
        <x:f>TEXT(B263,"mmm")</x:f>
        <x:v>Apr</x:v>
      </x:c>
      <x:c r="F263" s="84" t="str">
        <x:f>'Raw Sales'!C263</x:f>
        <x:v>CUST-0474</x:v>
      </x:c>
      <x:c r="G263" s="84" t="str">
        <x:f>PROPER(TRIM('Raw Sales'!D263))</x:f>
        <x:v>Aiden Foster</x:v>
      </x:c>
      <x:c r="H263" s="84" t="str">
        <x:f>IF(TRIM('Raw Sales'!E263)="","Unknown",PROPER(TRIM('Raw Sales'!E263)))</x:f>
        <x:v>Consumer</x:v>
      </x:c>
      <x:c r="I263" s="84" t="str">
        <x:f>PROPER(TRIM('Raw Sales'!F263))</x:f>
        <x:v>Southeast</x:v>
      </x:c>
      <x:c r="J263" s="84" t="str">
        <x:f>PROPER(TRIM('Raw Sales'!G263))</x:f>
        <x:v>Miami</x:v>
      </x:c>
      <x:c r="K263" s="84" t="str">
        <x:f>PROPER(TRIM('Raw Sales'!H263))</x:f>
        <x:v>Online</x:v>
      </x:c>
      <x:c r="L263" s="84" t="str">
        <x:f>'Raw Sales'!I263</x:f>
        <x:v>FITN-004</x:v>
      </x:c>
      <x:c r="M263" s="84" t="str">
        <x:f>IFERROR(VLOOKUP(L263,'Reference Data'!$A$5:$F$40,2,FALSE),"Unknown Product")</x:f>
        <x:v>Fitness Tracker</x:v>
      </x:c>
      <x:c r="N263" s="84" t="str">
        <x:f>IFERROR(VLOOKUP(L263,'Reference Data'!$A$5:$F$40,3,FALSE),"Unknown")</x:f>
        <x:v>Fitness</x:v>
      </x:c>
      <x:c r="O263" s="84" t="str">
        <x:f>IFERROR(VLOOKUP(L263,'Reference Data'!$A$5:$F$40,4,FALSE),"Unknown")</x:f>
        <x:v>Wearables</x:v>
      </x:c>
      <x:c r="P263" s="92" t="n">
        <x:f>IFERROR(VLOOKUP(L263,'Reference Data'!$A$5:$F$40,5,FALSE),0)</x:f>
        <x:v>89</x:v>
      </x:c>
      <x:c r="Q263" s="92" t="n">
        <x:f>IFERROR(VLOOKUP(L263,'Reference Data'!$A$5:$F$40,6,FALSE),0)</x:f>
        <x:v>44</x:v>
      </x:c>
      <x:c r="R263" s="84" t="n">
        <x:f>'Raw Sales'!J263</x:f>
        <x:v>2</x:v>
      </x:c>
      <x:c r="S263" s="87" t="n">
        <x:f>'Raw Sales'!K263</x:f>
        <x:v>0</x:v>
      </x:c>
      <x:c r="T263" s="93" t="n">
        <x:f>P263*R263</x:f>
        <x:v>178</x:v>
      </x:c>
      <x:c r="U263" s="93" t="n">
        <x:f>T263*S263</x:f>
        <x:v>0</x:v>
      </x:c>
      <x:c r="V263" s="93" t="str">
        <x:f>PROPER(TRIM('Raw Sales'!L263))</x:f>
        <x:v>Completed</x:v>
      </x:c>
      <x:c r="W263" s="93" t="n">
        <x:f>IF(V263="Returned",0,T263-U263)</x:f>
        <x:v>178</x:v>
      </x:c>
      <x:c r="X263" s="93" t="n">
        <x:f>IF(V263="Returned",Q263*R263*10%,Q263*R263)</x:f>
        <x:v>88</x:v>
      </x:c>
      <x:c r="Y263" s="93" t="n">
        <x:f>W263-X263</x:f>
        <x:v>90</x:v>
      </x:c>
      <x:c r="Z263" s="94" t="n">
        <x:f>IFERROR(Y263/W263,0)</x:f>
        <x:v>0.5056179775280899</x:v>
      </x:c>
      <x:c r="AA263" s="84" t="str">
        <x:f>PROPER(TRIM('Raw Sales'!M263))</x:f>
        <x:v>Debit Card</x:v>
      </x:c>
      <x:c r="AB263" s="84" t="str">
        <x:f>PROPER(TRIM('Raw Sales'!N263))</x:f>
        <x:v>Ava Mitchell</x:v>
      </x:c>
      <x:c r="AC263" s="85" t="n">
        <x:f>'Raw Sales'!O263</x:f>
        <x:v>45399</x:v>
      </x:c>
      <x:c r="AD263" s="84" t="n">
        <x:f>AC263-B263</x:f>
        <x:v>4</x:v>
      </x:c>
      <x:c r="AE263" s="84" t="str">
        <x:f>IF(COUNTIF($A$5:A263,A263)&gt;1,"Duplicate","Keep")</x:f>
        <x:v>Keep</x:v>
      </x:c>
      <x:c r="AF263" s="84" t="str">
        <x:f>IF(OR(R263&lt;=0,AC263&lt;B263,H263="Unknown",M263="Unknown Product"),"Review","Valid")</x:f>
        <x:v>Valid</x:v>
      </x:c>
      <x:c r="AG263" s="84" t="n">
        <x:f>IF(AND(AE263="Keep",AF263="Valid"),1,0)</x:f>
        <x:v>1</x:v>
      </x:c>
      <x:c r="AH263" s="84" t="n">
        <x:f>IF(AND(AG263=1,OR('Dashboard'!$B$4="All",I263='Dashboard'!$B$4),OR('Dashboard'!$E$4="All",N263='Dashboard'!$E$4),OR('Dashboard'!$H$4="All",K263='Dashboard'!$H$4),OR('Dashboard'!$K$4="All",C263='Dashboard'!$K$4)),1,0)</x:f>
        <x:v>1</x:v>
      </x:c>
      <x:c r="AI263" s="84" t="n">
        <x:f>IF(AND(AG263=1,OR('Dashboard'!$B$4="All",I263='Dashboard'!$B$4),OR('Dashboard'!$E$4="All",N263='Dashboard'!$E$4),OR('Dashboard'!$H$4="All",K263='Dashboard'!$H$4)),1,0)</x:f>
        <x:v>1</x:v>
      </x:c>
    </x:row>
    <x:row r="264">
      <x:c r="A264" s="84" t="str">
        <x:f>'Raw Sales'!A264</x:f>
        <x:v>ORD-2024-00080</x:v>
      </x:c>
      <x:c r="B264" s="85" t="n">
        <x:f>'Raw Sales'!B264</x:f>
        <x:v>45396</x:v>
      </x:c>
      <x:c r="C264" s="84" t="n">
        <x:f>YEAR(B264)</x:f>
        <x:v>2024</x:v>
      </x:c>
      <x:c r="D264" s="91" t="n">
        <x:f>DATE(YEAR(B264),MONTH(B264),1)</x:f>
        <x:v>45383</x:v>
      </x:c>
      <x:c r="E264" s="84" t="str">
        <x:f>TEXT(B264,"mmm")</x:f>
        <x:v>Apr</x:v>
      </x:c>
      <x:c r="F264" s="84" t="str">
        <x:f>'Raw Sales'!C264</x:f>
        <x:v>CUST-0008</x:v>
      </x:c>
      <x:c r="G264" s="84" t="str">
        <x:f>PROPER(TRIM('Raw Sales'!D264))</x:f>
        <x:v>Nathan Foster</x:v>
      </x:c>
      <x:c r="H264" s="84" t="str">
        <x:f>IF(TRIM('Raw Sales'!E264)="","Unknown",PROPER(TRIM('Raw Sales'!E264)))</x:f>
        <x:v>Consumer</x:v>
      </x:c>
      <x:c r="I264" s="84" t="str">
        <x:f>PROPER(TRIM('Raw Sales'!F264))</x:f>
        <x:v>West</x:v>
      </x:c>
      <x:c r="J264" s="84" t="str">
        <x:f>PROPER(TRIM('Raw Sales'!G264))</x:f>
        <x:v>Denver</x:v>
      </x:c>
      <x:c r="K264" s="84" t="str">
        <x:f>PROPER(TRIM('Raw Sales'!H264))</x:f>
        <x:v>Online</x:v>
      </x:c>
      <x:c r="L264" s="84" t="str">
        <x:f>'Raw Sales'!I264</x:f>
        <x:v>HOME-001</x:v>
      </x:c>
      <x:c r="M264" s="84" t="str">
        <x:f>IFERROR(VLOOKUP(L264,'Reference Data'!$A$5:$F$40,2,FALSE),"Unknown Product")</x:f>
        <x:v>Air Fryer</x:v>
      </x:c>
      <x:c r="N264" s="84" t="str">
        <x:f>IFERROR(VLOOKUP(L264,'Reference Data'!$A$5:$F$40,3,FALSE),"Unknown")</x:f>
        <x:v>Home &amp; Kitchen</x:v>
      </x:c>
      <x:c r="O264" s="84" t="str">
        <x:f>IFERROR(VLOOKUP(L264,'Reference Data'!$A$5:$F$40,4,FALSE),"Unknown")</x:f>
        <x:v>Small Appliances</x:v>
      </x:c>
      <x:c r="P264" s="92" t="n">
        <x:f>IFERROR(VLOOKUP(L264,'Reference Data'!$A$5:$F$40,5,FALSE),0)</x:f>
        <x:v>119</x:v>
      </x:c>
      <x:c r="Q264" s="92" t="n">
        <x:f>IFERROR(VLOOKUP(L264,'Reference Data'!$A$5:$F$40,6,FALSE),0)</x:f>
        <x:v>68</x:v>
      </x:c>
      <x:c r="R264" s="84" t="n">
        <x:f>'Raw Sales'!J264</x:f>
        <x:v>1</x:v>
      </x:c>
      <x:c r="S264" s="87" t="n">
        <x:f>'Raw Sales'!K264</x:f>
        <x:v>0.1</x:v>
      </x:c>
      <x:c r="T264" s="93" t="n">
        <x:f>P264*R264</x:f>
        <x:v>119</x:v>
      </x:c>
      <x:c r="U264" s="93" t="n">
        <x:f>T264*S264</x:f>
        <x:v>11.9</x:v>
      </x:c>
      <x:c r="V264" s="93" t="str">
        <x:f>PROPER(TRIM('Raw Sales'!L264))</x:f>
        <x:v>Completed</x:v>
      </x:c>
      <x:c r="W264" s="93" t="n">
        <x:f>IF(V264="Returned",0,T264-U264)</x:f>
        <x:v>107.1</x:v>
      </x:c>
      <x:c r="X264" s="93" t="n">
        <x:f>IF(V264="Returned",Q264*R264*10%,Q264*R264)</x:f>
        <x:v>68</x:v>
      </x:c>
      <x:c r="Y264" s="93" t="n">
        <x:f>W264-X264</x:f>
        <x:v>39.099999999999994</x:v>
      </x:c>
      <x:c r="Z264" s="94" t="n">
        <x:f>IFERROR(Y264/W264,0)</x:f>
        <x:v>0.36507936507936506</x:v>
      </x:c>
      <x:c r="AA264" s="84" t="str">
        <x:f>PROPER(TRIM('Raw Sales'!M264))</x:f>
        <x:v>Mobile Wallet</x:v>
      </x:c>
      <x:c r="AB264" s="84" t="str">
        <x:f>PROPER(TRIM('Raw Sales'!N264))</x:f>
        <x:v>Nora Kim</x:v>
      </x:c>
      <x:c r="AC264" s="85" t="n">
        <x:f>'Raw Sales'!O264</x:f>
        <x:v>45401</x:v>
      </x:c>
      <x:c r="AD264" s="84" t="n">
        <x:f>AC264-B264</x:f>
        <x:v>5</x:v>
      </x:c>
      <x:c r="AE264" s="84" t="str">
        <x:f>IF(COUNTIF($A$5:A264,A264)&gt;1,"Duplicate","Keep")</x:f>
        <x:v>Keep</x:v>
      </x:c>
      <x:c r="AF264" s="84" t="str">
        <x:f>IF(OR(R264&lt;=0,AC264&lt;B264,H264="Unknown",M264="Unknown Product"),"Review","Valid")</x:f>
        <x:v>Valid</x:v>
      </x:c>
      <x:c r="AG264" s="84" t="n">
        <x:f>IF(AND(AE264="Keep",AF264="Valid"),1,0)</x:f>
        <x:v>1</x:v>
      </x:c>
      <x:c r="AH264" s="84" t="n">
        <x:f>IF(AND(AG264=1,OR('Dashboard'!$B$4="All",I264='Dashboard'!$B$4),OR('Dashboard'!$E$4="All",N264='Dashboard'!$E$4),OR('Dashboard'!$H$4="All",K264='Dashboard'!$H$4),OR('Dashboard'!$K$4="All",C264='Dashboard'!$K$4)),1,0)</x:f>
        <x:v>1</x:v>
      </x:c>
      <x:c r="AI264" s="84" t="n">
        <x:f>IF(AND(AG264=1,OR('Dashboard'!$B$4="All",I264='Dashboard'!$B$4),OR('Dashboard'!$E$4="All",N264='Dashboard'!$E$4),OR('Dashboard'!$H$4="All",K264='Dashboard'!$H$4)),1,0)</x:f>
        <x:v>1</x:v>
      </x:c>
    </x:row>
    <x:row r="265">
      <x:c r="A265" s="84" t="str">
        <x:f>'Raw Sales'!A265</x:f>
        <x:v>ORD-2024-00733</x:v>
      </x:c>
      <x:c r="B265" s="85" t="n">
        <x:f>'Raw Sales'!B265</x:f>
        <x:v>45396</x:v>
      </x:c>
      <x:c r="C265" s="84" t="n">
        <x:f>YEAR(B265)</x:f>
        <x:v>2024</x:v>
      </x:c>
      <x:c r="D265" s="91" t="n">
        <x:f>DATE(YEAR(B265),MONTH(B265),1)</x:f>
        <x:v>45383</x:v>
      </x:c>
      <x:c r="E265" s="84" t="str">
        <x:f>TEXT(B265,"mmm")</x:f>
        <x:v>Apr</x:v>
      </x:c>
      <x:c r="F265" s="84" t="str">
        <x:f>'Raw Sales'!C265</x:f>
        <x:v>CUST-0179</x:v>
      </x:c>
      <x:c r="G265" s="84" t="str">
        <x:f>PROPER(TRIM('Raw Sales'!D265))</x:f>
        <x:v>Jasmine Garcia</x:v>
      </x:c>
      <x:c r="H265" s="84" t="str">
        <x:f>IF(TRIM('Raw Sales'!E265)="","Unknown",PROPER(TRIM('Raw Sales'!E265)))</x:f>
        <x:v>Consumer</x:v>
      </x:c>
      <x:c r="I265" s="84" t="str">
        <x:f>PROPER(TRIM('Raw Sales'!F265))</x:f>
        <x:v>West</x:v>
      </x:c>
      <x:c r="J265" s="84" t="str">
        <x:f>PROPER(TRIM('Raw Sales'!G265))</x:f>
        <x:v>Phoenix</x:v>
      </x:c>
      <x:c r="K265" s="84" t="str">
        <x:f>PROPER(TRIM('Raw Sales'!H265))</x:f>
        <x:v>Marketplace</x:v>
      </x:c>
      <x:c r="L265" s="84" t="str">
        <x:f>'Raw Sales'!I265</x:f>
        <x:v>OFFC-003</x:v>
      </x:c>
      <x:c r="M265" s="84" t="str">
        <x:f>IFERROR(VLOOKUP(L265,'Reference Data'!$A$5:$F$40,2,FALSE),"Unknown Product")</x:f>
        <x:v>LED Desk Lamp</x:v>
      </x:c>
      <x:c r="N265" s="84" t="str">
        <x:f>IFERROR(VLOOKUP(L265,'Reference Data'!$A$5:$F$40,3,FALSE),"Unknown")</x:f>
        <x:v>Office</x:v>
      </x:c>
      <x:c r="O265" s="84" t="str">
        <x:f>IFERROR(VLOOKUP(L265,'Reference Data'!$A$5:$F$40,4,FALSE),"Unknown")</x:f>
        <x:v>Desk Accessories</x:v>
      </x:c>
      <x:c r="P265" s="92" t="n">
        <x:f>IFERROR(VLOOKUP(L265,'Reference Data'!$A$5:$F$40,5,FALSE),0)</x:f>
        <x:v>45</x:v>
      </x:c>
      <x:c r="Q265" s="92" t="n">
        <x:f>IFERROR(VLOOKUP(L265,'Reference Data'!$A$5:$F$40,6,FALSE),0)</x:f>
        <x:v>20</x:v>
      </x:c>
      <x:c r="R265" s="84" t="n">
        <x:f>'Raw Sales'!J265</x:f>
        <x:v>1</x:v>
      </x:c>
      <x:c r="S265" s="87" t="n">
        <x:f>'Raw Sales'!K265</x:f>
        <x:v>0.05</x:v>
      </x:c>
      <x:c r="T265" s="93" t="n">
        <x:f>P265*R265</x:f>
        <x:v>45</x:v>
      </x:c>
      <x:c r="U265" s="93" t="n">
        <x:f>T265*S265</x:f>
        <x:v>2.25</x:v>
      </x:c>
      <x:c r="V265" s="93" t="str">
        <x:f>PROPER(TRIM('Raw Sales'!L265))</x:f>
        <x:v>Completed</x:v>
      </x:c>
      <x:c r="W265" s="93" t="n">
        <x:f>IF(V265="Returned",0,T265-U265)</x:f>
        <x:v>42.75</x:v>
      </x:c>
      <x:c r="X265" s="93" t="n">
        <x:f>IF(V265="Returned",Q265*R265*10%,Q265*R265)</x:f>
        <x:v>20</x:v>
      </x:c>
      <x:c r="Y265" s="93" t="n">
        <x:f>W265-X265</x:f>
        <x:v>22.75</x:v>
      </x:c>
      <x:c r="Z265" s="94" t="n">
        <x:f>IFERROR(Y265/W265,0)</x:f>
        <x:v>0.5321637426900585</x:v>
      </x:c>
      <x:c r="AA265" s="84" t="str">
        <x:f>PROPER(TRIM('Raw Sales'!M265))</x:f>
        <x:v>Paypal</x:v>
      </x:c>
      <x:c r="AB265" s="84" t="str">
        <x:f>PROPER(TRIM('Raw Sales'!N265))</x:f>
        <x:v>Leo Martinez</x:v>
      </x:c>
      <x:c r="AC265" s="85" t="n">
        <x:f>'Raw Sales'!O265</x:f>
        <x:v>45403</x:v>
      </x:c>
      <x:c r="AD265" s="84" t="n">
        <x:f>AC265-B265</x:f>
        <x:v>7</x:v>
      </x:c>
      <x:c r="AE265" s="84" t="str">
        <x:f>IF(COUNTIF($A$5:A265,A265)&gt;1,"Duplicate","Keep")</x:f>
        <x:v>Keep</x:v>
      </x:c>
      <x:c r="AF265" s="84" t="str">
        <x:f>IF(OR(R265&lt;=0,AC265&lt;B265,H265="Unknown",M265="Unknown Product"),"Review","Valid")</x:f>
        <x:v>Valid</x:v>
      </x:c>
      <x:c r="AG265" s="84" t="n">
        <x:f>IF(AND(AE265="Keep",AF265="Valid"),1,0)</x:f>
        <x:v>1</x:v>
      </x:c>
      <x:c r="AH265" s="84" t="n">
        <x:f>IF(AND(AG265=1,OR('Dashboard'!$B$4="All",I265='Dashboard'!$B$4),OR('Dashboard'!$E$4="All",N265='Dashboard'!$E$4),OR('Dashboard'!$H$4="All",K265='Dashboard'!$H$4),OR('Dashboard'!$K$4="All",C265='Dashboard'!$K$4)),1,0)</x:f>
        <x:v>1</x:v>
      </x:c>
      <x:c r="AI265" s="84" t="n">
        <x:f>IF(AND(AG265=1,OR('Dashboard'!$B$4="All",I265='Dashboard'!$B$4),OR('Dashboard'!$E$4="All",N265='Dashboard'!$E$4),OR('Dashboard'!$H$4="All",K265='Dashboard'!$H$4)),1,0)</x:f>
        <x:v>1</x:v>
      </x:c>
    </x:row>
    <x:row r="266">
      <x:c r="A266" s="84" t="str">
        <x:f>'Raw Sales'!A266</x:f>
        <x:v>ORD-2024-00906</x:v>
      </x:c>
      <x:c r="B266" s="85" t="n">
        <x:f>'Raw Sales'!B266</x:f>
        <x:v>45396</x:v>
      </x:c>
      <x:c r="C266" s="84" t="n">
        <x:f>YEAR(B266)</x:f>
        <x:v>2024</x:v>
      </x:c>
      <x:c r="D266" s="91" t="n">
        <x:f>DATE(YEAR(B266),MONTH(B266),1)</x:f>
        <x:v>45383</x:v>
      </x:c>
      <x:c r="E266" s="84" t="str">
        <x:f>TEXT(B266,"mmm")</x:f>
        <x:v>Apr</x:v>
      </x:c>
      <x:c r="F266" s="84" t="str">
        <x:f>'Raw Sales'!C266</x:f>
        <x:v>CUST-0203</x:v>
      </x:c>
      <x:c r="G266" s="84" t="str">
        <x:f>PROPER(TRIM('Raw Sales'!D266))</x:f>
        <x:v>Jasmine Carter</x:v>
      </x:c>
      <x:c r="H266" s="84" t="str">
        <x:f>IF(TRIM('Raw Sales'!E266)="","Unknown",PROPER(TRIM('Raw Sales'!E266)))</x:f>
        <x:v>Consumer</x:v>
      </x:c>
      <x:c r="I266" s="84" t="str">
        <x:f>PROPER(TRIM('Raw Sales'!F266))</x:f>
        <x:v>Midwest</x:v>
      </x:c>
      <x:c r="J266" s="84" t="str">
        <x:f>PROPER(TRIM('Raw Sales'!G266))</x:f>
        <x:v>Detroit</x:v>
      </x:c>
      <x:c r="K266" s="84" t="str">
        <x:f>PROPER(TRIM('Raw Sales'!H266))</x:f>
        <x:v>Retail Store</x:v>
      </x:c>
      <x:c r="L266" s="84" t="str">
        <x:f>'Raw Sales'!I266</x:f>
        <x:v>ACCS-003</x:v>
      </x:c>
      <x:c r="M266" s="84" t="str">
        <x:f>IFERROR(VLOOKUP(L266,'Reference Data'!$A$5:$F$40,2,FALSE),"Unknown Product")</x:f>
        <x:v>Polarized Sunglasses</x:v>
      </x:c>
      <x:c r="N266" s="84" t="str">
        <x:f>IFERROR(VLOOKUP(L266,'Reference Data'!$A$5:$F$40,3,FALSE),"Unknown")</x:f>
        <x:v>Accessories</x:v>
      </x:c>
      <x:c r="O266" s="84" t="str">
        <x:f>IFERROR(VLOOKUP(L266,'Reference Data'!$A$5:$F$40,4,FALSE),"Unknown")</x:f>
        <x:v>Eyewear</x:v>
      </x:c>
      <x:c r="P266" s="92" t="n">
        <x:f>IFERROR(VLOOKUP(L266,'Reference Data'!$A$5:$F$40,5,FALSE),0)</x:f>
        <x:v>59</x:v>
      </x:c>
      <x:c r="Q266" s="92" t="n">
        <x:f>IFERROR(VLOOKUP(L266,'Reference Data'!$A$5:$F$40,6,FALSE),0)</x:f>
        <x:v>17</x:v>
      </x:c>
      <x:c r="R266" s="84" t="n">
        <x:f>'Raw Sales'!J266</x:f>
        <x:v>1</x:v>
      </x:c>
      <x:c r="S266" s="87" t="n">
        <x:f>'Raw Sales'!K266</x:f>
        <x:v>0</x:v>
      </x:c>
      <x:c r="T266" s="93" t="n">
        <x:f>P266*R266</x:f>
        <x:v>59</x:v>
      </x:c>
      <x:c r="U266" s="93" t="n">
        <x:f>T266*S266</x:f>
        <x:v>0</x:v>
      </x:c>
      <x:c r="V266" s="93" t="str">
        <x:f>PROPER(TRIM('Raw Sales'!L266))</x:f>
        <x:v>Completed</x:v>
      </x:c>
      <x:c r="W266" s="93" t="n">
        <x:f>IF(V266="Returned",0,T266-U266)</x:f>
        <x:v>59</x:v>
      </x:c>
      <x:c r="X266" s="93" t="n">
        <x:f>IF(V266="Returned",Q266*R266*10%,Q266*R266)</x:f>
        <x:v>17</x:v>
      </x:c>
      <x:c r="Y266" s="93" t="n">
        <x:f>W266-X266</x:f>
        <x:v>42</x:v>
      </x:c>
      <x:c r="Z266" s="94" t="n">
        <x:f>IFERROR(Y266/W266,0)</x:f>
        <x:v>0.711864406779661</x:v>
      </x:c>
      <x:c r="AA266" s="84" t="str">
        <x:f>PROPER(TRIM('Raw Sales'!M266))</x:f>
        <x:v>Credit Card</x:v>
      </x:c>
      <x:c r="AB266" s="84" t="str">
        <x:f>PROPER(TRIM('Raw Sales'!N266))</x:f>
        <x:v>Lucas Grant</x:v>
      </x:c>
      <x:c r="AC266" s="85" t="n">
        <x:f>'Raw Sales'!O266</x:f>
        <x:v>45396</x:v>
      </x:c>
      <x:c r="AD266" s="84" t="n">
        <x:f>AC266-B266</x:f>
        <x:v>0</x:v>
      </x:c>
      <x:c r="AE266" s="84" t="str">
        <x:f>IF(COUNTIF($A$5:A266,A266)&gt;1,"Duplicate","Keep")</x:f>
        <x:v>Keep</x:v>
      </x:c>
      <x:c r="AF266" s="84" t="str">
        <x:f>IF(OR(R266&lt;=0,AC266&lt;B266,H266="Unknown",M266="Unknown Product"),"Review","Valid")</x:f>
        <x:v>Valid</x:v>
      </x:c>
      <x:c r="AG266" s="84" t="n">
        <x:f>IF(AND(AE266="Keep",AF266="Valid"),1,0)</x:f>
        <x:v>1</x:v>
      </x:c>
      <x:c r="AH266" s="84" t="n">
        <x:f>IF(AND(AG266=1,OR('Dashboard'!$B$4="All",I266='Dashboard'!$B$4),OR('Dashboard'!$E$4="All",N266='Dashboard'!$E$4),OR('Dashboard'!$H$4="All",K266='Dashboard'!$H$4),OR('Dashboard'!$K$4="All",C266='Dashboard'!$K$4)),1,0)</x:f>
        <x:v>1</x:v>
      </x:c>
      <x:c r="AI266" s="84" t="n">
        <x:f>IF(AND(AG266=1,OR('Dashboard'!$B$4="All",I266='Dashboard'!$B$4),OR('Dashboard'!$E$4="All",N266='Dashboard'!$E$4),OR('Dashboard'!$H$4="All",K266='Dashboard'!$H$4)),1,0)</x:f>
        <x:v>1</x:v>
      </x:c>
    </x:row>
    <x:row r="267">
      <x:c r="A267" s="84" t="str">
        <x:f>'Raw Sales'!A267</x:f>
        <x:v>ORD-2024-00436</x:v>
      </x:c>
      <x:c r="B267" s="85" t="n">
        <x:f>'Raw Sales'!B267</x:f>
        <x:v>45398</x:v>
      </x:c>
      <x:c r="C267" s="84" t="n">
        <x:f>YEAR(B267)</x:f>
        <x:v>2024</x:v>
      </x:c>
      <x:c r="D267" s="91" t="n">
        <x:f>DATE(YEAR(B267),MONTH(B267),1)</x:f>
        <x:v>45383</x:v>
      </x:c>
      <x:c r="E267" s="84" t="str">
        <x:f>TEXT(B267,"mmm")</x:f>
        <x:v>Apr</x:v>
      </x:c>
      <x:c r="F267" s="84" t="str">
        <x:f>'Raw Sales'!C267</x:f>
        <x:v>CUST-0029</x:v>
      </x:c>
      <x:c r="G267" s="84" t="str">
        <x:f>PROPER(TRIM('Raw Sales'!D267))</x:f>
        <x:v>Theo Ortiz</x:v>
      </x:c>
      <x:c r="H267" s="84" t="str">
        <x:f>IF(TRIM('Raw Sales'!E267)="","Unknown",PROPER(TRIM('Raw Sales'!E267)))</x:f>
        <x:v>Corporate</x:v>
      </x:c>
      <x:c r="I267" s="84" t="str">
        <x:f>PROPER(TRIM('Raw Sales'!F267))</x:f>
        <x:v>Northeast</x:v>
      </x:c>
      <x:c r="J267" s="84" t="str">
        <x:f>PROPER(TRIM('Raw Sales'!G267))</x:f>
        <x:v>Philadelphia</x:v>
      </x:c>
      <x:c r="K267" s="84" t="str">
        <x:f>PROPER(TRIM('Raw Sales'!H267))</x:f>
        <x:v>Retail Store</x:v>
      </x:c>
      <x:c r="L267" s="84" t="str">
        <x:f>'Raw Sales'!I267</x:f>
        <x:v>CARE-001</x:v>
      </x:c>
      <x:c r="M267" s="84" t="str">
        <x:f>IFERROR(VLOOKUP(L267,'Reference Data'!$A$5:$F$40,2,FALSE),"Unknown Product")</x:f>
        <x:v>Ionic Hair Dryer</x:v>
      </x:c>
      <x:c r="N267" s="84" t="str">
        <x:f>IFERROR(VLOOKUP(L267,'Reference Data'!$A$5:$F$40,3,FALSE),"Unknown")</x:f>
        <x:v>Personal Care</x:v>
      </x:c>
      <x:c r="O267" s="84" t="str">
        <x:f>IFERROR(VLOOKUP(L267,'Reference Data'!$A$5:$F$40,4,FALSE),"Unknown")</x:f>
        <x:v>Hair Care</x:v>
      </x:c>
      <x:c r="P267" s="92" t="n">
        <x:f>IFERROR(VLOOKUP(L267,'Reference Data'!$A$5:$F$40,5,FALSE),0)</x:f>
        <x:v>54</x:v>
      </x:c>
      <x:c r="Q267" s="92" t="n">
        <x:f>IFERROR(VLOOKUP(L267,'Reference Data'!$A$5:$F$40,6,FALSE),0)</x:f>
        <x:v>25</x:v>
      </x:c>
      <x:c r="R267" s="84" t="n">
        <x:f>'Raw Sales'!J267</x:f>
        <x:v>3</x:v>
      </x:c>
      <x:c r="S267" s="87" t="n">
        <x:f>'Raw Sales'!K267</x:f>
        <x:v>0.1</x:v>
      </x:c>
      <x:c r="T267" s="93" t="n">
        <x:f>P267*R267</x:f>
        <x:v>162</x:v>
      </x:c>
      <x:c r="U267" s="93" t="n">
        <x:f>T267*S267</x:f>
        <x:v>16.2</x:v>
      </x:c>
      <x:c r="V267" s="93" t="str">
        <x:f>PROPER(TRIM('Raw Sales'!L267))</x:f>
        <x:v>Completed</x:v>
      </x:c>
      <x:c r="W267" s="93" t="n">
        <x:f>IF(V267="Returned",0,T267-U267)</x:f>
        <x:v>145.8</x:v>
      </x:c>
      <x:c r="X267" s="93" t="n">
        <x:f>IF(V267="Returned",Q267*R267*10%,Q267*R267)</x:f>
        <x:v>75</x:v>
      </x:c>
      <x:c r="Y267" s="93" t="n">
        <x:f>W267-X267</x:f>
        <x:v>70.80000000000001</x:v>
      </x:c>
      <x:c r="Z267" s="94" t="n">
        <x:f>IFERROR(Y267/W267,0)</x:f>
        <x:v>0.4855967078189301</x:v>
      </x:c>
      <x:c r="AA267" s="84" t="str">
        <x:f>PROPER(TRIM('Raw Sales'!M267))</x:f>
        <x:v>Debit Card</x:v>
      </x:c>
      <x:c r="AB267" s="84" t="str">
        <x:f>PROPER(TRIM('Raw Sales'!N267))</x:f>
        <x:v>Maya Brooks</x:v>
      </x:c>
      <x:c r="AC267" s="85" t="n">
        <x:f>'Raw Sales'!O267</x:f>
        <x:v>45398</x:v>
      </x:c>
      <x:c r="AD267" s="84" t="n">
        <x:f>AC267-B267</x:f>
        <x:v>0</x:v>
      </x:c>
      <x:c r="AE267" s="84" t="str">
        <x:f>IF(COUNTIF($A$5:A267,A267)&gt;1,"Duplicate","Keep")</x:f>
        <x:v>Keep</x:v>
      </x:c>
      <x:c r="AF267" s="84" t="str">
        <x:f>IF(OR(R267&lt;=0,AC267&lt;B267,H267="Unknown",M267="Unknown Product"),"Review","Valid")</x:f>
        <x:v>Valid</x:v>
      </x:c>
      <x:c r="AG267" s="84" t="n">
        <x:f>IF(AND(AE267="Keep",AF267="Valid"),1,0)</x:f>
        <x:v>1</x:v>
      </x:c>
      <x:c r="AH267" s="84" t="n">
        <x:f>IF(AND(AG267=1,OR('Dashboard'!$B$4="All",I267='Dashboard'!$B$4),OR('Dashboard'!$E$4="All",N267='Dashboard'!$E$4),OR('Dashboard'!$H$4="All",K267='Dashboard'!$H$4),OR('Dashboard'!$K$4="All",C267='Dashboard'!$K$4)),1,0)</x:f>
        <x:v>1</x:v>
      </x:c>
      <x:c r="AI267" s="84" t="n">
        <x:f>IF(AND(AG267=1,OR('Dashboard'!$B$4="All",I267='Dashboard'!$B$4),OR('Dashboard'!$E$4="All",N267='Dashboard'!$E$4),OR('Dashboard'!$H$4="All",K267='Dashboard'!$H$4)),1,0)</x:f>
        <x:v>1</x:v>
      </x:c>
    </x:row>
    <x:row r="268">
      <x:c r="A268" s="84" t="str">
        <x:f>'Raw Sales'!A268</x:f>
        <x:v>ORD-2024-00448</x:v>
      </x:c>
      <x:c r="B268" s="85" t="n">
        <x:f>'Raw Sales'!B268</x:f>
        <x:v>45400</x:v>
      </x:c>
      <x:c r="C268" s="84" t="n">
        <x:f>YEAR(B268)</x:f>
        <x:v>2024</x:v>
      </x:c>
      <x:c r="D268" s="91" t="n">
        <x:f>DATE(YEAR(B268),MONTH(B268),1)</x:f>
        <x:v>45383</x:v>
      </x:c>
      <x:c r="E268" s="84" t="str">
        <x:f>TEXT(B268,"mmm")</x:f>
        <x:v>Apr</x:v>
      </x:c>
      <x:c r="F268" s="84" t="str">
        <x:f>'Raw Sales'!C268</x:f>
        <x:v>CUST-0510</x:v>
      </x:c>
      <x:c r="G268" s="84" t="str">
        <x:f>PROPER(TRIM('Raw Sales'!D268))</x:f>
        <x:v>Theo Smith</x:v>
      </x:c>
      <x:c r="H268" s="84" t="str">
        <x:f>IF(TRIM('Raw Sales'!E268)="","Unknown",PROPER(TRIM('Raw Sales'!E268)))</x:f>
        <x:v>Consumer</x:v>
      </x:c>
      <x:c r="I268" s="84" t="str">
        <x:f>PROPER(TRIM('Raw Sales'!F268))</x:f>
        <x:v>West</x:v>
      </x:c>
      <x:c r="J268" s="84" t="str">
        <x:f>PROPER(TRIM('Raw Sales'!G268))</x:f>
        <x:v>Seattle</x:v>
      </x:c>
      <x:c r="K268" s="84" t="str">
        <x:f>PROPER(TRIM('Raw Sales'!H268))</x:f>
        <x:v>Online</x:v>
      </x:c>
      <x:c r="L268" s="84" t="str">
        <x:f>'Raw Sales'!I268</x:f>
        <x:v>ELEC-006</x:v>
      </x:c>
      <x:c r="M268" s="84" t="str">
        <x:f>IFERROR(VLOOKUP(L268,'Reference Data'!$A$5:$F$40,2,FALSE),"Unknown Product")</x:f>
        <x:v>Portable SSD</x:v>
      </x:c>
      <x:c r="N268" s="84" t="str">
        <x:f>IFERROR(VLOOKUP(L268,'Reference Data'!$A$5:$F$40,3,FALSE),"Unknown")</x:f>
        <x:v>Electronics</x:v>
      </x:c>
      <x:c r="O268" s="84" t="str">
        <x:f>IFERROR(VLOOKUP(L268,'Reference Data'!$A$5:$F$40,4,FALSE),"Unknown")</x:f>
        <x:v>Storage</x:v>
      </x:c>
      <x:c r="P268" s="92" t="n">
        <x:f>IFERROR(VLOOKUP(L268,'Reference Data'!$A$5:$F$40,5,FALSE),0)</x:f>
        <x:v>129</x:v>
      </x:c>
      <x:c r="Q268" s="92" t="n">
        <x:f>IFERROR(VLOOKUP(L268,'Reference Data'!$A$5:$F$40,6,FALSE),0)</x:f>
        <x:v>75</x:v>
      </x:c>
      <x:c r="R268" s="84" t="n">
        <x:f>'Raw Sales'!J268</x:f>
        <x:v>2</x:v>
      </x:c>
      <x:c r="S268" s="87" t="n">
        <x:f>'Raw Sales'!K268</x:f>
        <x:v>0.05</x:v>
      </x:c>
      <x:c r="T268" s="93" t="n">
        <x:f>P268*R268</x:f>
        <x:v>258</x:v>
      </x:c>
      <x:c r="U268" s="93" t="n">
        <x:f>T268*S268</x:f>
        <x:v>12.9</x:v>
      </x:c>
      <x:c r="V268" s="93" t="str">
        <x:f>PROPER(TRIM('Raw Sales'!L268))</x:f>
        <x:v>Completed</x:v>
      </x:c>
      <x:c r="W268" s="93" t="n">
        <x:f>IF(V268="Returned",0,T268-U268)</x:f>
        <x:v>245.1</x:v>
      </x:c>
      <x:c r="X268" s="93" t="n">
        <x:f>IF(V268="Returned",Q268*R268*10%,Q268*R268)</x:f>
        <x:v>150</x:v>
      </x:c>
      <x:c r="Y268" s="93" t="n">
        <x:f>W268-X268</x:f>
        <x:v>95.1</x:v>
      </x:c>
      <x:c r="Z268" s="94" t="n">
        <x:f>IFERROR(Y268/W268,0)</x:f>
        <x:v>0.3880048959608323</x:v>
      </x:c>
      <x:c r="AA268" s="84" t="str">
        <x:f>PROPER(TRIM('Raw Sales'!M268))</x:f>
        <x:v>Debit Card</x:v>
      </x:c>
      <x:c r="AB268" s="84" t="str">
        <x:f>PROPER(TRIM('Raw Sales'!N268))</x:f>
        <x:v>Mia Chen</x:v>
      </x:c>
      <x:c r="AC268" s="85" t="n">
        <x:f>'Raw Sales'!O268</x:f>
        <x:v>45403</x:v>
      </x:c>
      <x:c r="AD268" s="84" t="n">
        <x:f>AC268-B268</x:f>
        <x:v>3</x:v>
      </x:c>
      <x:c r="AE268" s="84" t="str">
        <x:f>IF(COUNTIF($A$5:A268,A268)&gt;1,"Duplicate","Keep")</x:f>
        <x:v>Keep</x:v>
      </x:c>
      <x:c r="AF268" s="84" t="str">
        <x:f>IF(OR(R268&lt;=0,AC268&lt;B268,H268="Unknown",M268="Unknown Product"),"Review","Valid")</x:f>
        <x:v>Valid</x:v>
      </x:c>
      <x:c r="AG268" s="84" t="n">
        <x:f>IF(AND(AE268="Keep",AF268="Valid"),1,0)</x:f>
        <x:v>1</x:v>
      </x:c>
      <x:c r="AH268" s="84" t="n">
        <x:f>IF(AND(AG268=1,OR('Dashboard'!$B$4="All",I268='Dashboard'!$B$4),OR('Dashboard'!$E$4="All",N268='Dashboard'!$E$4),OR('Dashboard'!$H$4="All",K268='Dashboard'!$H$4),OR('Dashboard'!$K$4="All",C268='Dashboard'!$K$4)),1,0)</x:f>
        <x:v>1</x:v>
      </x:c>
      <x:c r="AI268" s="84" t="n">
        <x:f>IF(AND(AG268=1,OR('Dashboard'!$B$4="All",I268='Dashboard'!$B$4),OR('Dashboard'!$E$4="All",N268='Dashboard'!$E$4),OR('Dashboard'!$H$4="All",K268='Dashboard'!$H$4)),1,0)</x:f>
        <x:v>1</x:v>
      </x:c>
    </x:row>
    <x:row r="269">
      <x:c r="A269" s="84" t="str">
        <x:f>'Raw Sales'!A269</x:f>
        <x:v>ORD-2024-00778</x:v>
      </x:c>
      <x:c r="B269" s="85" t="n">
        <x:f>'Raw Sales'!B269</x:f>
        <x:v>45400</x:v>
      </x:c>
      <x:c r="C269" s="84" t="n">
        <x:f>YEAR(B269)</x:f>
        <x:v>2024</x:v>
      </x:c>
      <x:c r="D269" s="91" t="n">
        <x:f>DATE(YEAR(B269),MONTH(B269),1)</x:f>
        <x:v>45383</x:v>
      </x:c>
      <x:c r="E269" s="84" t="str">
        <x:f>TEXT(B269,"mmm")</x:f>
        <x:v>Apr</x:v>
      </x:c>
      <x:c r="F269" s="84" t="str">
        <x:f>'Raw Sales'!C269</x:f>
        <x:v>CUST-0303</x:v>
      </x:c>
      <x:c r="G269" s="84" t="str">
        <x:f>PROPER(TRIM('Raw Sales'!D269))</x:f>
        <x:v>Caleb Roberts</x:v>
      </x:c>
      <x:c r="H269" s="84" t="str">
        <x:f>IF(TRIM('Raw Sales'!E269)="","Unknown",PROPER(TRIM('Raw Sales'!E269)))</x:f>
        <x:v>Corporate</x:v>
      </x:c>
      <x:c r="I269" s="84" t="str">
        <x:f>PROPER(TRIM('Raw Sales'!F269))</x:f>
        <x:v>West</x:v>
      </x:c>
      <x:c r="J269" s="84" t="str">
        <x:f>PROPER(TRIM('Raw Sales'!G269))</x:f>
        <x:v>Seattle</x:v>
      </x:c>
      <x:c r="K269" s="84" t="str">
        <x:f>PROPER(TRIM('Raw Sales'!H269))</x:f>
        <x:v>Retail Store</x:v>
      </x:c>
      <x:c r="L269" s="84" t="str">
        <x:f>'Raw Sales'!I269</x:f>
        <x:v>HOME-004</x:v>
      </x:c>
      <x:c r="M269" s="84" t="str">
        <x:f>IFERROR(VLOOKUP(L269,'Reference Data'!$A$5:$F$40,2,FALSE),"Unknown Product")</x:f>
        <x:v>Coffee Maker</x:v>
      </x:c>
      <x:c r="N269" s="84" t="str">
        <x:f>IFERROR(VLOOKUP(L269,'Reference Data'!$A$5:$F$40,3,FALSE),"Unknown")</x:f>
        <x:v>Home &amp; Kitchen</x:v>
      </x:c>
      <x:c r="O269" s="84" t="str">
        <x:f>IFERROR(VLOOKUP(L269,'Reference Data'!$A$5:$F$40,4,FALSE),"Unknown")</x:f>
        <x:v>Small Appliances</x:v>
      </x:c>
      <x:c r="P269" s="92" t="n">
        <x:f>IFERROR(VLOOKUP(L269,'Reference Data'!$A$5:$F$40,5,FALSE),0)</x:f>
        <x:v>99</x:v>
      </x:c>
      <x:c r="Q269" s="92" t="n">
        <x:f>IFERROR(VLOOKUP(L269,'Reference Data'!$A$5:$F$40,6,FALSE),0)</x:f>
        <x:v>51</x:v>
      </x:c>
      <x:c r="R269" s="84" t="n">
        <x:f>'Raw Sales'!J269</x:f>
        <x:v>2</x:v>
      </x:c>
      <x:c r="S269" s="87" t="n">
        <x:f>'Raw Sales'!K269</x:f>
        <x:v>0.1</x:v>
      </x:c>
      <x:c r="T269" s="93" t="n">
        <x:f>P269*R269</x:f>
        <x:v>198</x:v>
      </x:c>
      <x:c r="U269" s="93" t="n">
        <x:f>T269*S269</x:f>
        <x:v>19.8</x:v>
      </x:c>
      <x:c r="V269" s="93" t="str">
        <x:f>PROPER(TRIM('Raw Sales'!L269))</x:f>
        <x:v>Completed</x:v>
      </x:c>
      <x:c r="W269" s="93" t="n">
        <x:f>IF(V269="Returned",0,T269-U269)</x:f>
        <x:v>178.2</x:v>
      </x:c>
      <x:c r="X269" s="93" t="n">
        <x:f>IF(V269="Returned",Q269*R269*10%,Q269*R269)</x:f>
        <x:v>102</x:v>
      </x:c>
      <x:c r="Y269" s="93" t="n">
        <x:f>W269-X269</x:f>
        <x:v>76.19999999999999</x:v>
      </x:c>
      <x:c r="Z269" s="94" t="n">
        <x:f>IFERROR(Y269/W269,0)</x:f>
        <x:v>0.42760942760942755</x:v>
      </x:c>
      <x:c r="AA269" s="84" t="str">
        <x:f>PROPER(TRIM('Raw Sales'!M269))</x:f>
        <x:v>Mobile Wallet</x:v>
      </x:c>
      <x:c r="AB269" s="84" t="str">
        <x:f>PROPER(TRIM('Raw Sales'!N269))</x:f>
        <x:v>Mia Chen</x:v>
      </x:c>
      <x:c r="AC269" s="85" t="n">
        <x:f>'Raw Sales'!O269</x:f>
        <x:v>45400</x:v>
      </x:c>
      <x:c r="AD269" s="84" t="n">
        <x:f>AC269-B269</x:f>
        <x:v>0</x:v>
      </x:c>
      <x:c r="AE269" s="84" t="str">
        <x:f>IF(COUNTIF($A$5:A269,A269)&gt;1,"Duplicate","Keep")</x:f>
        <x:v>Keep</x:v>
      </x:c>
      <x:c r="AF269" s="84" t="str">
        <x:f>IF(OR(R269&lt;=0,AC269&lt;B269,H269="Unknown",M269="Unknown Product"),"Review","Valid")</x:f>
        <x:v>Valid</x:v>
      </x:c>
      <x:c r="AG269" s="84" t="n">
        <x:f>IF(AND(AE269="Keep",AF269="Valid"),1,0)</x:f>
        <x:v>1</x:v>
      </x:c>
      <x:c r="AH269" s="84" t="n">
        <x:f>IF(AND(AG269=1,OR('Dashboard'!$B$4="All",I269='Dashboard'!$B$4),OR('Dashboard'!$E$4="All",N269='Dashboard'!$E$4),OR('Dashboard'!$H$4="All",K269='Dashboard'!$H$4),OR('Dashboard'!$K$4="All",C269='Dashboard'!$K$4)),1,0)</x:f>
        <x:v>1</x:v>
      </x:c>
      <x:c r="AI269" s="84" t="n">
        <x:f>IF(AND(AG269=1,OR('Dashboard'!$B$4="All",I269='Dashboard'!$B$4),OR('Dashboard'!$E$4="All",N269='Dashboard'!$E$4),OR('Dashboard'!$H$4="All",K269='Dashboard'!$H$4)),1,0)</x:f>
        <x:v>1</x:v>
      </x:c>
    </x:row>
    <x:row r="270">
      <x:c r="A270" s="84" t="str">
        <x:f>'Raw Sales'!A270</x:f>
        <x:v>ORD-2024-01268</x:v>
      </x:c>
      <x:c r="B270" s="85" t="n">
        <x:f>'Raw Sales'!B270</x:f>
        <x:v>45400</x:v>
      </x:c>
      <x:c r="C270" s="84" t="n">
        <x:f>YEAR(B270)</x:f>
        <x:v>2024</x:v>
      </x:c>
      <x:c r="D270" s="91" t="n">
        <x:f>DATE(YEAR(B270),MONTH(B270),1)</x:f>
        <x:v>45383</x:v>
      </x:c>
      <x:c r="E270" s="84" t="str">
        <x:f>TEXT(B270,"mmm")</x:f>
        <x:v>Apr</x:v>
      </x:c>
      <x:c r="F270" s="84" t="str">
        <x:f>'Raw Sales'!C270</x:f>
        <x:v>CUST-0477</x:v>
      </x:c>
      <x:c r="G270" s="84" t="str">
        <x:f>PROPER(TRIM('Raw Sales'!D270))</x:f>
        <x:v>William Adams</x:v>
      </x:c>
      <x:c r="H270" s="84" t="str">
        <x:f>IF(TRIM('Raw Sales'!E270)="","Unknown",PROPER(TRIM('Raw Sales'!E270)))</x:f>
        <x:v>Small Business</x:v>
      </x:c>
      <x:c r="I270" s="84" t="str">
        <x:f>PROPER(TRIM('Raw Sales'!F270))</x:f>
        <x:v>Southeast</x:v>
      </x:c>
      <x:c r="J270" s="84" t="str">
        <x:f>PROPER(TRIM('Raw Sales'!G270))</x:f>
        <x:v>Nashville</x:v>
      </x:c>
      <x:c r="K270" s="84" t="str">
        <x:f>PROPER(TRIM('Raw Sales'!H270))</x:f>
        <x:v>Marketplace</x:v>
      </x:c>
      <x:c r="L270" s="84" t="str">
        <x:f>'Raw Sales'!I270</x:f>
        <x:v>HOME-002</x:v>
      </x:c>
      <x:c r="M270" s="84" t="str">
        <x:f>IFERROR(VLOOKUP(L270,'Reference Data'!$A$5:$F$40,2,FALSE),"Unknown Product")</x:f>
        <x:v>Electric Kettle</x:v>
      </x:c>
      <x:c r="N270" s="84" t="str">
        <x:f>IFERROR(VLOOKUP(L270,'Reference Data'!$A$5:$F$40,3,FALSE),"Unknown")</x:f>
        <x:v>Home &amp; Kitchen</x:v>
      </x:c>
      <x:c r="O270" s="84" t="str">
        <x:f>IFERROR(VLOOKUP(L270,'Reference Data'!$A$5:$F$40,4,FALSE),"Unknown")</x:f>
        <x:v>Small Appliances</x:v>
      </x:c>
      <x:c r="P270" s="92" t="n">
        <x:f>IFERROR(VLOOKUP(L270,'Reference Data'!$A$5:$F$40,5,FALSE),0)</x:f>
        <x:v>49</x:v>
      </x:c>
      <x:c r="Q270" s="92" t="n">
        <x:f>IFERROR(VLOOKUP(L270,'Reference Data'!$A$5:$F$40,6,FALSE),0)</x:f>
        <x:v>23</x:v>
      </x:c>
      <x:c r="R270" s="84" t="n">
        <x:f>'Raw Sales'!J270</x:f>
        <x:v>1</x:v>
      </x:c>
      <x:c r="S270" s="87" t="n">
        <x:f>'Raw Sales'!K270</x:f>
        <x:v>0.1</x:v>
      </x:c>
      <x:c r="T270" s="93" t="n">
        <x:f>P270*R270</x:f>
        <x:v>49</x:v>
      </x:c>
      <x:c r="U270" s="93" t="n">
        <x:f>T270*S270</x:f>
        <x:v>4.9</x:v>
      </x:c>
      <x:c r="V270" s="93" t="str">
        <x:f>PROPER(TRIM('Raw Sales'!L270))</x:f>
        <x:v>Completed</x:v>
      </x:c>
      <x:c r="W270" s="93" t="n">
        <x:f>IF(V270="Returned",0,T270-U270)</x:f>
        <x:v>44.1</x:v>
      </x:c>
      <x:c r="X270" s="93" t="n">
        <x:f>IF(V270="Returned",Q270*R270*10%,Q270*R270)</x:f>
        <x:v>23</x:v>
      </x:c>
      <x:c r="Y270" s="93" t="n">
        <x:f>W270-X270</x:f>
        <x:v>21.1</x:v>
      </x:c>
      <x:c r="Z270" s="94" t="n">
        <x:f>IFERROR(Y270/W270,0)</x:f>
        <x:v>0.47845804988662133</x:v>
      </x:c>
      <x:c r="AA270" s="84" t="str">
        <x:f>PROPER(TRIM('Raw Sales'!M270))</x:f>
        <x:v>Paypal</x:v>
      </x:c>
      <x:c r="AB270" s="84" t="str">
        <x:f>PROPER(TRIM('Raw Sales'!N270))</x:f>
        <x:v>Ava Mitchell</x:v>
      </x:c>
      <x:c r="AC270" s="85" t="n">
        <x:f>'Raw Sales'!O270</x:f>
        <x:v>45405</x:v>
      </x:c>
      <x:c r="AD270" s="84" t="n">
        <x:f>AC270-B270</x:f>
        <x:v>5</x:v>
      </x:c>
      <x:c r="AE270" s="84" t="str">
        <x:f>IF(COUNTIF($A$5:A270,A270)&gt;1,"Duplicate","Keep")</x:f>
        <x:v>Keep</x:v>
      </x:c>
      <x:c r="AF270" s="84" t="str">
        <x:f>IF(OR(R270&lt;=0,AC270&lt;B270,H270="Unknown",M270="Unknown Product"),"Review","Valid")</x:f>
        <x:v>Valid</x:v>
      </x:c>
      <x:c r="AG270" s="84" t="n">
        <x:f>IF(AND(AE270="Keep",AF270="Valid"),1,0)</x:f>
        <x:v>1</x:v>
      </x:c>
      <x:c r="AH270" s="84" t="n">
        <x:f>IF(AND(AG270=1,OR('Dashboard'!$B$4="All",I270='Dashboard'!$B$4),OR('Dashboard'!$E$4="All",N270='Dashboard'!$E$4),OR('Dashboard'!$H$4="All",K270='Dashboard'!$H$4),OR('Dashboard'!$K$4="All",C270='Dashboard'!$K$4)),1,0)</x:f>
        <x:v>1</x:v>
      </x:c>
      <x:c r="AI270" s="84" t="n">
        <x:f>IF(AND(AG270=1,OR('Dashboard'!$B$4="All",I270='Dashboard'!$B$4),OR('Dashboard'!$E$4="All",N270='Dashboard'!$E$4),OR('Dashboard'!$H$4="All",K270='Dashboard'!$H$4)),1,0)</x:f>
        <x:v>1</x:v>
      </x:c>
    </x:row>
    <x:row r="271">
      <x:c r="A271" s="84" t="str">
        <x:f>'Raw Sales'!A271</x:f>
        <x:v>ORD-2024-01617</x:v>
      </x:c>
      <x:c r="B271" s="85" t="n">
        <x:f>'Raw Sales'!B271</x:f>
        <x:v>45400</x:v>
      </x:c>
      <x:c r="C271" s="84" t="n">
        <x:f>YEAR(B271)</x:f>
        <x:v>2024</x:v>
      </x:c>
      <x:c r="D271" s="91" t="n">
        <x:f>DATE(YEAR(B271),MONTH(B271),1)</x:f>
        <x:v>45383</x:v>
      </x:c>
      <x:c r="E271" s="84" t="str">
        <x:f>TEXT(B271,"mmm")</x:f>
        <x:v>Apr</x:v>
      </x:c>
      <x:c r="F271" s="84" t="str">
        <x:f>'Raw Sales'!C271</x:f>
        <x:v>CUST-0541</x:v>
      </x:c>
      <x:c r="G271" s="84" t="str">
        <x:f>PROPER(TRIM('Raw Sales'!D271))</x:f>
        <x:v>Caleb Adams</x:v>
      </x:c>
      <x:c r="H271" s="84" t="str">
        <x:f>IF(TRIM('Raw Sales'!E271)="","Unknown",PROPER(TRIM('Raw Sales'!E271)))</x:f>
        <x:v>Small Business</x:v>
      </x:c>
      <x:c r="I271" s="84" t="str">
        <x:f>PROPER(TRIM('Raw Sales'!F271))</x:f>
        <x:v>Northeast</x:v>
      </x:c>
      <x:c r="J271" s="84" t="str">
        <x:f>PROPER(TRIM('Raw Sales'!G271))</x:f>
        <x:v>Newark</x:v>
      </x:c>
      <x:c r="K271" s="84" t="str">
        <x:f>PROPER(TRIM('Raw Sales'!H271))</x:f>
        <x:v>Online</x:v>
      </x:c>
      <x:c r="L271" s="84" t="str">
        <x:f>'Raw Sales'!I271</x:f>
        <x:v>ELEC-004</x:v>
      </x:c>
      <x:c r="M271" s="84" t="str">
        <x:f>IFERROR(VLOOKUP(L271,'Reference Data'!$A$5:$F$40,2,FALSE),"Unknown Product")</x:f>
        <x:v>Power Bank</x:v>
      </x:c>
      <x:c r="N271" s="84" t="str">
        <x:f>IFERROR(VLOOKUP(L271,'Reference Data'!$A$5:$F$40,3,FALSE),"Unknown")</x:f>
        <x:v>Electronics</x:v>
      </x:c>
      <x:c r="O271" s="84" t="str">
        <x:f>IFERROR(VLOOKUP(L271,'Reference Data'!$A$5:$F$40,4,FALSE),"Unknown")</x:f>
        <x:v>Mobile Accessories</x:v>
      </x:c>
      <x:c r="P271" s="92" t="n">
        <x:f>IFERROR(VLOOKUP(L271,'Reference Data'!$A$5:$F$40,5,FALSE),0)</x:f>
        <x:v>39</x:v>
      </x:c>
      <x:c r="Q271" s="92" t="n">
        <x:f>IFERROR(VLOOKUP(L271,'Reference Data'!$A$5:$F$40,6,FALSE),0)</x:f>
        <x:v>18</x:v>
      </x:c>
      <x:c r="R271" s="84" t="n">
        <x:f>'Raw Sales'!J271</x:f>
        <x:v>1</x:v>
      </x:c>
      <x:c r="S271" s="87" t="n">
        <x:f>'Raw Sales'!K271</x:f>
        <x:v>0.15</x:v>
      </x:c>
      <x:c r="T271" s="93" t="n">
        <x:f>P271*R271</x:f>
        <x:v>39</x:v>
      </x:c>
      <x:c r="U271" s="93" t="n">
        <x:f>T271*S271</x:f>
        <x:v>5.85</x:v>
      </x:c>
      <x:c r="V271" s="93" t="str">
        <x:f>PROPER(TRIM('Raw Sales'!L271))</x:f>
        <x:v>Completed</x:v>
      </x:c>
      <x:c r="W271" s="93" t="n">
        <x:f>IF(V271="Returned",0,T271-U271)</x:f>
        <x:v>33.15</x:v>
      </x:c>
      <x:c r="X271" s="93" t="n">
        <x:f>IF(V271="Returned",Q271*R271*10%,Q271*R271)</x:f>
        <x:v>18</x:v>
      </x:c>
      <x:c r="Y271" s="93" t="n">
        <x:f>W271-X271</x:f>
        <x:v>15.149999999999999</x:v>
      </x:c>
      <x:c r="Z271" s="94" t="n">
        <x:f>IFERROR(Y271/W271,0)</x:f>
        <x:v>0.45701357466063347</x:v>
      </x:c>
      <x:c r="AA271" s="84" t="str">
        <x:f>PROPER(TRIM('Raw Sales'!M271))</x:f>
        <x:v>Paypal</x:v>
      </x:c>
      <x:c r="AB271" s="84" t="str">
        <x:f>PROPER(TRIM('Raw Sales'!N271))</x:f>
        <x:v>Sofia Bennett</x:v>
      </x:c>
      <x:c r="AC271" s="85" t="n">
        <x:f>'Raw Sales'!O271</x:f>
        <x:v>45403</x:v>
      </x:c>
      <x:c r="AD271" s="84" t="n">
        <x:f>AC271-B271</x:f>
        <x:v>3</x:v>
      </x:c>
      <x:c r="AE271" s="84" t="str">
        <x:f>IF(COUNTIF($A$5:A271,A271)&gt;1,"Duplicate","Keep")</x:f>
        <x:v>Keep</x:v>
      </x:c>
      <x:c r="AF271" s="84" t="str">
        <x:f>IF(OR(R271&lt;=0,AC271&lt;B271,H271="Unknown",M271="Unknown Product"),"Review","Valid")</x:f>
        <x:v>Valid</x:v>
      </x:c>
      <x:c r="AG271" s="84" t="n">
        <x:f>IF(AND(AE271="Keep",AF271="Valid"),1,0)</x:f>
        <x:v>1</x:v>
      </x:c>
      <x:c r="AH271" s="84" t="n">
        <x:f>IF(AND(AG271=1,OR('Dashboard'!$B$4="All",I271='Dashboard'!$B$4),OR('Dashboard'!$E$4="All",N271='Dashboard'!$E$4),OR('Dashboard'!$H$4="All",K271='Dashboard'!$H$4),OR('Dashboard'!$K$4="All",C271='Dashboard'!$K$4)),1,0)</x:f>
        <x:v>1</x:v>
      </x:c>
      <x:c r="AI271" s="84" t="n">
        <x:f>IF(AND(AG271=1,OR('Dashboard'!$B$4="All",I271='Dashboard'!$B$4),OR('Dashboard'!$E$4="All",N271='Dashboard'!$E$4),OR('Dashboard'!$H$4="All",K271='Dashboard'!$H$4)),1,0)</x:f>
        <x:v>1</x:v>
      </x:c>
    </x:row>
    <x:row r="272">
      <x:c r="A272" s="84" t="str">
        <x:f>'Raw Sales'!A272</x:f>
        <x:v>ORD-2024-01807</x:v>
      </x:c>
      <x:c r="B272" s="85" t="n">
        <x:f>'Raw Sales'!B272</x:f>
        <x:v>45400</x:v>
      </x:c>
      <x:c r="C272" s="84" t="n">
        <x:f>YEAR(B272)</x:f>
        <x:v>2024</x:v>
      </x:c>
      <x:c r="D272" s="91" t="n">
        <x:f>DATE(YEAR(B272),MONTH(B272),1)</x:f>
        <x:v>45383</x:v>
      </x:c>
      <x:c r="E272" s="84" t="str">
        <x:f>TEXT(B272,"mmm")</x:f>
        <x:v>Apr</x:v>
      </x:c>
      <x:c r="F272" s="84" t="str">
        <x:f>'Raw Sales'!C272</x:f>
        <x:v>CUST-0225</x:v>
      </x:c>
      <x:c r="G272" s="84" t="str">
        <x:f>PROPER(TRIM('Raw Sales'!D272))</x:f>
        <x:v>Sara Ortiz</x:v>
      </x:c>
      <x:c r="H272" s="84" t="str">
        <x:f>IF(TRIM('Raw Sales'!E272)="","Unknown",PROPER(TRIM('Raw Sales'!E272)))</x:f>
        <x:v>Small Business</x:v>
      </x:c>
      <x:c r="I272" s="84" t="str">
        <x:f>PROPER(TRIM('Raw Sales'!F272))</x:f>
        <x:v>Southeast</x:v>
      </x:c>
      <x:c r="J272" s="84" t="str">
        <x:f>PROPER(TRIM('Raw Sales'!G272))</x:f>
        <x:v>Atlanta</x:v>
      </x:c>
      <x:c r="K272" s="84" t="str">
        <x:f>PROPER(TRIM('Raw Sales'!H272))</x:f>
        <x:v>Online</x:v>
      </x:c>
      <x:c r="L272" s="84" t="str">
        <x:f>'Raw Sales'!I272</x:f>
        <x:v>HOME-005</x:v>
      </x:c>
      <x:c r="M272" s="84" t="str">
        <x:f>IFERROR(VLOOKUP(L272,'Reference Data'!$A$5:$F$40,2,FALSE),"Unknown Product")</x:f>
        <x:v>Cordless Vacuum</x:v>
      </x:c>
      <x:c r="N272" s="84" t="str">
        <x:f>IFERROR(VLOOKUP(L272,'Reference Data'!$A$5:$F$40,3,FALSE),"Unknown")</x:f>
        <x:v>Home &amp; Kitchen</x:v>
      </x:c>
      <x:c r="O272" s="84" t="str">
        <x:f>IFERROR(VLOOKUP(L272,'Reference Data'!$A$5:$F$40,4,FALSE),"Unknown")</x:f>
        <x:v>Cleaning</x:v>
      </x:c>
      <x:c r="P272" s="92" t="n">
        <x:f>IFERROR(VLOOKUP(L272,'Reference Data'!$A$5:$F$40,5,FALSE),0)</x:f>
        <x:v>179</x:v>
      </x:c>
      <x:c r="Q272" s="92" t="n">
        <x:f>IFERROR(VLOOKUP(L272,'Reference Data'!$A$5:$F$40,6,FALSE),0)</x:f>
        <x:v>102</x:v>
      </x:c>
      <x:c r="R272" s="84" t="n">
        <x:f>'Raw Sales'!J272</x:f>
        <x:v>1</x:v>
      </x:c>
      <x:c r="S272" s="87" t="n">
        <x:f>'Raw Sales'!K272</x:f>
        <x:v>0.15</x:v>
      </x:c>
      <x:c r="T272" s="93" t="n">
        <x:f>P272*R272</x:f>
        <x:v>179</x:v>
      </x:c>
      <x:c r="U272" s="93" t="n">
        <x:f>T272*S272</x:f>
        <x:v>26.849999999999998</x:v>
      </x:c>
      <x:c r="V272" s="93" t="str">
        <x:f>PROPER(TRIM('Raw Sales'!L272))</x:f>
        <x:v>Completed</x:v>
      </x:c>
      <x:c r="W272" s="93" t="n">
        <x:f>IF(V272="Returned",0,T272-U272)</x:f>
        <x:v>152.15</x:v>
      </x:c>
      <x:c r="X272" s="93" t="n">
        <x:f>IF(V272="Returned",Q272*R272*10%,Q272*R272)</x:f>
        <x:v>102</x:v>
      </x:c>
      <x:c r="Y272" s="93" t="n">
        <x:f>W272-X272</x:f>
        <x:v>50.150000000000006</x:v>
      </x:c>
      <x:c r="Z272" s="94" t="n">
        <x:f>IFERROR(Y272/W272,0)</x:f>
        <x:v>0.3296089385474861</x:v>
      </x:c>
      <x:c r="AA272" s="84" t="str">
        <x:f>PROPER(TRIM('Raw Sales'!M272))</x:f>
        <x:v>Debit Card</x:v>
      </x:c>
      <x:c r="AB272" s="84" t="str">
        <x:f>PROPER(TRIM('Raw Sales'!N272))</x:f>
        <x:v>Liam Parker</x:v>
      </x:c>
      <x:c r="AC272" s="85" t="n">
        <x:f>'Raw Sales'!O272</x:f>
        <x:v>45402</x:v>
      </x:c>
      <x:c r="AD272" s="84" t="n">
        <x:f>AC272-B272</x:f>
        <x:v>2</x:v>
      </x:c>
      <x:c r="AE272" s="84" t="str">
        <x:f>IF(COUNTIF($A$5:A272,A272)&gt;1,"Duplicate","Keep")</x:f>
        <x:v>Keep</x:v>
      </x:c>
      <x:c r="AF272" s="84" t="str">
        <x:f>IF(OR(R272&lt;=0,AC272&lt;B272,H272="Unknown",M272="Unknown Product"),"Review","Valid")</x:f>
        <x:v>Valid</x:v>
      </x:c>
      <x:c r="AG272" s="84" t="n">
        <x:f>IF(AND(AE272="Keep",AF272="Valid"),1,0)</x:f>
        <x:v>1</x:v>
      </x:c>
      <x:c r="AH272" s="84" t="n">
        <x:f>IF(AND(AG272=1,OR('Dashboard'!$B$4="All",I272='Dashboard'!$B$4),OR('Dashboard'!$E$4="All",N272='Dashboard'!$E$4),OR('Dashboard'!$H$4="All",K272='Dashboard'!$H$4),OR('Dashboard'!$K$4="All",C272='Dashboard'!$K$4)),1,0)</x:f>
        <x:v>1</x:v>
      </x:c>
      <x:c r="AI272" s="84" t="n">
        <x:f>IF(AND(AG272=1,OR('Dashboard'!$B$4="All",I272='Dashboard'!$B$4),OR('Dashboard'!$E$4="All",N272='Dashboard'!$E$4),OR('Dashboard'!$H$4="All",K272='Dashboard'!$H$4)),1,0)</x:f>
        <x:v>1</x:v>
      </x:c>
    </x:row>
    <x:row r="273">
      <x:c r="A273" s="84" t="str">
        <x:f>'Raw Sales'!A273</x:f>
        <x:v>ORD-2024-02263</x:v>
      </x:c>
      <x:c r="B273" s="85" t="n">
        <x:f>'Raw Sales'!B273</x:f>
        <x:v>45400</x:v>
      </x:c>
      <x:c r="C273" s="84" t="n">
        <x:f>YEAR(B273)</x:f>
        <x:v>2024</x:v>
      </x:c>
      <x:c r="D273" s="91" t="n">
        <x:f>DATE(YEAR(B273),MONTH(B273),1)</x:f>
        <x:v>45383</x:v>
      </x:c>
      <x:c r="E273" s="84" t="str">
        <x:f>TEXT(B273,"mmm")</x:f>
        <x:v>Apr</x:v>
      </x:c>
      <x:c r="F273" s="84" t="str">
        <x:f>'Raw Sales'!C273</x:f>
        <x:v>CUST-0094</x:v>
      </x:c>
      <x:c r="G273" s="84" t="str">
        <x:f>PROPER(TRIM('Raw Sales'!D273))</x:f>
        <x:v>William Patel</x:v>
      </x:c>
      <x:c r="H273" s="84" t="str">
        <x:f>IF(TRIM('Raw Sales'!E273)="","Unknown",PROPER(TRIM('Raw Sales'!E273)))</x:f>
        <x:v>Consumer</x:v>
      </x:c>
      <x:c r="I273" s="84" t="str">
        <x:f>PROPER(TRIM('Raw Sales'!F273))</x:f>
        <x:v>West</x:v>
      </x:c>
      <x:c r="J273" s="84" t="str">
        <x:f>PROPER(TRIM('Raw Sales'!G273))</x:f>
        <x:v>Denver</x:v>
      </x:c>
      <x:c r="K273" s="84" t="str">
        <x:f>PROPER(TRIM('Raw Sales'!H273))</x:f>
        <x:v>Marketplace</x:v>
      </x:c>
      <x:c r="L273" s="84" t="str">
        <x:f>'Raw Sales'!I273</x:f>
        <x:v>CARE-001</x:v>
      </x:c>
      <x:c r="M273" s="84" t="str">
        <x:f>IFERROR(VLOOKUP(L273,'Reference Data'!$A$5:$F$40,2,FALSE),"Unknown Product")</x:f>
        <x:v>Ionic Hair Dryer</x:v>
      </x:c>
      <x:c r="N273" s="84" t="str">
        <x:f>IFERROR(VLOOKUP(L273,'Reference Data'!$A$5:$F$40,3,FALSE),"Unknown")</x:f>
        <x:v>Personal Care</x:v>
      </x:c>
      <x:c r="O273" s="84" t="str">
        <x:f>IFERROR(VLOOKUP(L273,'Reference Data'!$A$5:$F$40,4,FALSE),"Unknown")</x:f>
        <x:v>Hair Care</x:v>
      </x:c>
      <x:c r="P273" s="92" t="n">
        <x:f>IFERROR(VLOOKUP(L273,'Reference Data'!$A$5:$F$40,5,FALSE),0)</x:f>
        <x:v>54</x:v>
      </x:c>
      <x:c r="Q273" s="92" t="n">
        <x:f>IFERROR(VLOOKUP(L273,'Reference Data'!$A$5:$F$40,6,FALSE),0)</x:f>
        <x:v>25</x:v>
      </x:c>
      <x:c r="R273" s="84" t="n">
        <x:f>'Raw Sales'!J273</x:f>
        <x:v>1</x:v>
      </x:c>
      <x:c r="S273" s="87" t="n">
        <x:f>'Raw Sales'!K273</x:f>
        <x:v>0.15</x:v>
      </x:c>
      <x:c r="T273" s="93" t="n">
        <x:f>P273*R273</x:f>
        <x:v>54</x:v>
      </x:c>
      <x:c r="U273" s="93" t="n">
        <x:f>T273*S273</x:f>
        <x:v>8.1</x:v>
      </x:c>
      <x:c r="V273" s="93" t="str">
        <x:f>PROPER(TRIM('Raw Sales'!L273))</x:f>
        <x:v>Completed</x:v>
      </x:c>
      <x:c r="W273" s="93" t="n">
        <x:f>IF(V273="Returned",0,T273-U273)</x:f>
        <x:v>45.9</x:v>
      </x:c>
      <x:c r="X273" s="93" t="n">
        <x:f>IF(V273="Returned",Q273*R273*10%,Q273*R273)</x:f>
        <x:v>25</x:v>
      </x:c>
      <x:c r="Y273" s="93" t="n">
        <x:f>W273-X273</x:f>
        <x:v>20.9</x:v>
      </x:c>
      <x:c r="Z273" s="94" t="n">
        <x:f>IFERROR(Y273/W273,0)</x:f>
        <x:v>0.4553376906318083</x:v>
      </x:c>
      <x:c r="AA273" s="84" t="str">
        <x:f>PROPER(TRIM('Raw Sales'!M273))</x:f>
        <x:v>Credit Card</x:v>
      </x:c>
      <x:c r="AB273" s="84" t="str">
        <x:f>PROPER(TRIM('Raw Sales'!N273))</x:f>
        <x:v>Mia Chen</x:v>
      </x:c>
      <x:c r="AC273" s="85" t="n">
        <x:f>'Raw Sales'!O273</x:f>
        <x:v>45404</x:v>
      </x:c>
      <x:c r="AD273" s="84" t="n">
        <x:f>AC273-B273</x:f>
        <x:v>4</x:v>
      </x:c>
      <x:c r="AE273" s="84" t="str">
        <x:f>IF(COUNTIF($A$5:A273,A273)&gt;1,"Duplicate","Keep")</x:f>
        <x:v>Keep</x:v>
      </x:c>
      <x:c r="AF273" s="84" t="str">
        <x:f>IF(OR(R273&lt;=0,AC273&lt;B273,H273="Unknown",M273="Unknown Product"),"Review","Valid")</x:f>
        <x:v>Valid</x:v>
      </x:c>
      <x:c r="AG273" s="84" t="n">
        <x:f>IF(AND(AE273="Keep",AF273="Valid"),1,0)</x:f>
        <x:v>1</x:v>
      </x:c>
      <x:c r="AH273" s="84" t="n">
        <x:f>IF(AND(AG273=1,OR('Dashboard'!$B$4="All",I273='Dashboard'!$B$4),OR('Dashboard'!$E$4="All",N273='Dashboard'!$E$4),OR('Dashboard'!$H$4="All",K273='Dashboard'!$H$4),OR('Dashboard'!$K$4="All",C273='Dashboard'!$K$4)),1,0)</x:f>
        <x:v>1</x:v>
      </x:c>
      <x:c r="AI273" s="84" t="n">
        <x:f>IF(AND(AG273=1,OR('Dashboard'!$B$4="All",I273='Dashboard'!$B$4),OR('Dashboard'!$E$4="All",N273='Dashboard'!$E$4),OR('Dashboard'!$H$4="All",K273='Dashboard'!$H$4)),1,0)</x:f>
        <x:v>1</x:v>
      </x:c>
    </x:row>
    <x:row r="274">
      <x:c r="A274" s="84" t="str">
        <x:f>'Raw Sales'!A274</x:f>
        <x:v>ORD-2024-00057</x:v>
      </x:c>
      <x:c r="B274" s="85" t="n">
        <x:f>'Raw Sales'!B274</x:f>
        <x:v>45401</x:v>
      </x:c>
      <x:c r="C274" s="84" t="n">
        <x:f>YEAR(B274)</x:f>
        <x:v>2024</x:v>
      </x:c>
      <x:c r="D274" s="91" t="n">
        <x:f>DATE(YEAR(B274),MONTH(B274),1)</x:f>
        <x:v>45383</x:v>
      </x:c>
      <x:c r="E274" s="84" t="str">
        <x:f>TEXT(B274,"mmm")</x:f>
        <x:v>Apr</x:v>
      </x:c>
      <x:c r="F274" s="84" t="str">
        <x:f>'Raw Sales'!C274</x:f>
        <x:v>CUST-0204</x:v>
      </x:c>
      <x:c r="G274" s="84" t="str">
        <x:f>PROPER(TRIM('Raw Sales'!D274))</x:f>
        <x:v>Jasmine Nelson</x:v>
      </x:c>
      <x:c r="H274" s="84" t="str">
        <x:f>IF(TRIM('Raw Sales'!E274)="","Unknown",PROPER(TRIM('Raw Sales'!E274)))</x:f>
        <x:v>Consumer</x:v>
      </x:c>
      <x:c r="I274" s="84" t="str">
        <x:f>PROPER(TRIM('Raw Sales'!F274))</x:f>
        <x:v>Midwest</x:v>
      </x:c>
      <x:c r="J274" s="84" t="str">
        <x:f>PROPER(TRIM('Raw Sales'!G274))</x:f>
        <x:v>Minneapolis</x:v>
      </x:c>
      <x:c r="K274" s="84" t="str">
        <x:f>PROPER(TRIM('Raw Sales'!H274))</x:f>
        <x:v>Retail Store</x:v>
      </x:c>
      <x:c r="L274" s="84" t="str">
        <x:f>'Raw Sales'!I274</x:f>
        <x:v>HOME-004</x:v>
      </x:c>
      <x:c r="M274" s="84" t="str">
        <x:f>IFERROR(VLOOKUP(L274,'Reference Data'!$A$5:$F$40,2,FALSE),"Unknown Product")</x:f>
        <x:v>Coffee Maker</x:v>
      </x:c>
      <x:c r="N274" s="84" t="str">
        <x:f>IFERROR(VLOOKUP(L274,'Reference Data'!$A$5:$F$40,3,FALSE),"Unknown")</x:f>
        <x:v>Home &amp; Kitchen</x:v>
      </x:c>
      <x:c r="O274" s="84" t="str">
        <x:f>IFERROR(VLOOKUP(L274,'Reference Data'!$A$5:$F$40,4,FALSE),"Unknown")</x:f>
        <x:v>Small Appliances</x:v>
      </x:c>
      <x:c r="P274" s="92" t="n">
        <x:f>IFERROR(VLOOKUP(L274,'Reference Data'!$A$5:$F$40,5,FALSE),0)</x:f>
        <x:v>99</x:v>
      </x:c>
      <x:c r="Q274" s="92" t="n">
        <x:f>IFERROR(VLOOKUP(L274,'Reference Data'!$A$5:$F$40,6,FALSE),0)</x:f>
        <x:v>51</x:v>
      </x:c>
      <x:c r="R274" s="84" t="n">
        <x:f>'Raw Sales'!J274</x:f>
        <x:v>2</x:v>
      </x:c>
      <x:c r="S274" s="87" t="n">
        <x:f>'Raw Sales'!K274</x:f>
        <x:v>0.1</x:v>
      </x:c>
      <x:c r="T274" s="93" t="n">
        <x:f>P274*R274</x:f>
        <x:v>198</x:v>
      </x:c>
      <x:c r="U274" s="93" t="n">
        <x:f>T274*S274</x:f>
        <x:v>19.8</x:v>
      </x:c>
      <x:c r="V274" s="93" t="str">
        <x:f>PROPER(TRIM('Raw Sales'!L274))</x:f>
        <x:v>Returned</x:v>
      </x:c>
      <x:c r="W274" s="93" t="n">
        <x:f>IF(V274="Returned",0,T274-U274)</x:f>
        <x:v>0</x:v>
      </x:c>
      <x:c r="X274" s="93" t="n">
        <x:f>IF(V274="Returned",Q274*R274*10%,Q274*R274)</x:f>
        <x:v>10.200000000000001</x:v>
      </x:c>
      <x:c r="Y274" s="93" t="n">
        <x:f>W274-X274</x:f>
        <x:v>-10.200000000000001</x:v>
      </x:c>
      <x:c r="Z274" s="94" t="n">
        <x:f>IFERROR(Y274/W274,0)</x:f>
        <x:v>0</x:v>
      </x:c>
      <x:c r="AA274" s="84" t="str">
        <x:f>PROPER(TRIM('Raw Sales'!M274))</x:f>
        <x:v>Cash</x:v>
      </x:c>
      <x:c r="AB274" s="84" t="str">
        <x:f>PROPER(TRIM('Raw Sales'!N274))</x:f>
        <x:v>Emma Hayes</x:v>
      </x:c>
      <x:c r="AC274" s="85" t="n">
        <x:f>'Raw Sales'!O274</x:f>
        <x:v>45401</x:v>
      </x:c>
      <x:c r="AD274" s="84" t="n">
        <x:f>AC274-B274</x:f>
        <x:v>0</x:v>
      </x:c>
      <x:c r="AE274" s="84" t="str">
        <x:f>IF(COUNTIF($A$5:A274,A274)&gt;1,"Duplicate","Keep")</x:f>
        <x:v>Keep</x:v>
      </x:c>
      <x:c r="AF274" s="84" t="str">
        <x:f>IF(OR(R274&lt;=0,AC274&lt;B274,H274="Unknown",M274="Unknown Product"),"Review","Valid")</x:f>
        <x:v>Valid</x:v>
      </x:c>
      <x:c r="AG274" s="84" t="n">
        <x:f>IF(AND(AE274="Keep",AF274="Valid"),1,0)</x:f>
        <x:v>1</x:v>
      </x:c>
      <x:c r="AH274" s="84" t="n">
        <x:f>IF(AND(AG274=1,OR('Dashboard'!$B$4="All",I274='Dashboard'!$B$4),OR('Dashboard'!$E$4="All",N274='Dashboard'!$E$4),OR('Dashboard'!$H$4="All",K274='Dashboard'!$H$4),OR('Dashboard'!$K$4="All",C274='Dashboard'!$K$4)),1,0)</x:f>
        <x:v>1</x:v>
      </x:c>
      <x:c r="AI274" s="84" t="n">
        <x:f>IF(AND(AG274=1,OR('Dashboard'!$B$4="All",I274='Dashboard'!$B$4),OR('Dashboard'!$E$4="All",N274='Dashboard'!$E$4),OR('Dashboard'!$H$4="All",K274='Dashboard'!$H$4)),1,0)</x:f>
        <x:v>1</x:v>
      </x:c>
    </x:row>
    <x:row r="275">
      <x:c r="A275" s="84" t="str">
        <x:f>'Raw Sales'!A275</x:f>
        <x:v>ORD-2024-00534</x:v>
      </x:c>
      <x:c r="B275" s="85" t="n">
        <x:f>'Raw Sales'!B275</x:f>
        <x:v>45401</x:v>
      </x:c>
      <x:c r="C275" s="84" t="n">
        <x:f>YEAR(B275)</x:f>
        <x:v>2024</x:v>
      </x:c>
      <x:c r="D275" s="91" t="n">
        <x:f>DATE(YEAR(B275),MONTH(B275),1)</x:f>
        <x:v>45383</x:v>
      </x:c>
      <x:c r="E275" s="84" t="str">
        <x:f>TEXT(B275,"mmm")</x:f>
        <x:v>Apr</x:v>
      </x:c>
      <x:c r="F275" s="84" t="str">
        <x:f>'Raw Sales'!C275</x:f>
        <x:v>CUST-0548</x:v>
      </x:c>
      <x:c r="G275" s="84" t="str">
        <x:f>PROPER(TRIM('Raw Sales'!D275))</x:f>
        <x:v>Maya Foster</x:v>
      </x:c>
      <x:c r="H275" s="84" t="str">
        <x:f>IF(TRIM('Raw Sales'!E275)="","Unknown",PROPER(TRIM('Raw Sales'!E275)))</x:f>
        <x:v>Consumer</x:v>
      </x:c>
      <x:c r="I275" s="84" t="str">
        <x:f>PROPER(TRIM('Raw Sales'!F275))</x:f>
        <x:v>Southeast</x:v>
      </x:c>
      <x:c r="J275" s="84" t="str">
        <x:f>PROPER(TRIM('Raw Sales'!G275))</x:f>
        <x:v>Miami</x:v>
      </x:c>
      <x:c r="K275" s="84" t="str">
        <x:f>PROPER(TRIM('Raw Sales'!H275))</x:f>
        <x:v>Retail Store</x:v>
      </x:c>
      <x:c r="L275" s="84" t="str">
        <x:f>'Raw Sales'!I275</x:f>
        <x:v>HOME-006</x:v>
      </x:c>
      <x:c r="M275" s="84" t="str">
        <x:f>IFERROR(VLOOKUP(L275,'Reference Data'!$A$5:$F$40,2,FALSE),"Unknown Product")</x:f>
        <x:v>Food Storage Set</x:v>
      </x:c>
      <x:c r="N275" s="84" t="str">
        <x:f>IFERROR(VLOOKUP(L275,'Reference Data'!$A$5:$F$40,3,FALSE),"Unknown")</x:f>
        <x:v>Home &amp; Kitchen</x:v>
      </x:c>
      <x:c r="O275" s="84" t="str">
        <x:f>IFERROR(VLOOKUP(L275,'Reference Data'!$A$5:$F$40,4,FALSE),"Unknown")</x:f>
        <x:v>Kitchenware</x:v>
      </x:c>
      <x:c r="P275" s="92" t="n">
        <x:f>IFERROR(VLOOKUP(L275,'Reference Data'!$A$5:$F$40,5,FALSE),0)</x:f>
        <x:v>34</x:v>
      </x:c>
      <x:c r="Q275" s="92" t="n">
        <x:f>IFERROR(VLOOKUP(L275,'Reference Data'!$A$5:$F$40,6,FALSE),0)</x:f>
        <x:v>15</x:v>
      </x:c>
      <x:c r="R275" s="84" t="n">
        <x:f>'Raw Sales'!J275</x:f>
        <x:v>2</x:v>
      </x:c>
      <x:c r="S275" s="87" t="n">
        <x:f>'Raw Sales'!K275</x:f>
        <x:v>0</x:v>
      </x:c>
      <x:c r="T275" s="93" t="n">
        <x:f>P275*R275</x:f>
        <x:v>68</x:v>
      </x:c>
      <x:c r="U275" s="93" t="n">
        <x:f>T275*S275</x:f>
        <x:v>0</x:v>
      </x:c>
      <x:c r="V275" s="93" t="str">
        <x:f>PROPER(TRIM('Raw Sales'!L275))</x:f>
        <x:v>Returned</x:v>
      </x:c>
      <x:c r="W275" s="93" t="n">
        <x:f>IF(V275="Returned",0,T275-U275)</x:f>
        <x:v>0</x:v>
      </x:c>
      <x:c r="X275" s="93" t="n">
        <x:f>IF(V275="Returned",Q275*R275*10%,Q275*R275)</x:f>
        <x:v>3</x:v>
      </x:c>
      <x:c r="Y275" s="93" t="n">
        <x:f>W275-X275</x:f>
        <x:v>-3</x:v>
      </x:c>
      <x:c r="Z275" s="94" t="n">
        <x:f>IFERROR(Y275/W275,0)</x:f>
        <x:v>0</x:v>
      </x:c>
      <x:c r="AA275" s="84" t="str">
        <x:f>PROPER(TRIM('Raw Sales'!M275))</x:f>
        <x:v>Cash</x:v>
      </x:c>
      <x:c r="AB275" s="84" t="str">
        <x:f>PROPER(TRIM('Raw Sales'!N275))</x:f>
        <x:v>Ava Mitchell</x:v>
      </x:c>
      <x:c r="AC275" s="85" t="n">
        <x:f>'Raw Sales'!O275</x:f>
        <x:v>45401</x:v>
      </x:c>
      <x:c r="AD275" s="84" t="n">
        <x:f>AC275-B275</x:f>
        <x:v>0</x:v>
      </x:c>
      <x:c r="AE275" s="84" t="str">
        <x:f>IF(COUNTIF($A$5:A275,A275)&gt;1,"Duplicate","Keep")</x:f>
        <x:v>Keep</x:v>
      </x:c>
      <x:c r="AF275" s="84" t="str">
        <x:f>IF(OR(R275&lt;=0,AC275&lt;B275,H275="Unknown",M275="Unknown Product"),"Review","Valid")</x:f>
        <x:v>Valid</x:v>
      </x:c>
      <x:c r="AG275" s="84" t="n">
        <x:f>IF(AND(AE275="Keep",AF275="Valid"),1,0)</x:f>
        <x:v>1</x:v>
      </x:c>
      <x:c r="AH275" s="84" t="n">
        <x:f>IF(AND(AG275=1,OR('Dashboard'!$B$4="All",I275='Dashboard'!$B$4),OR('Dashboard'!$E$4="All",N275='Dashboard'!$E$4),OR('Dashboard'!$H$4="All",K275='Dashboard'!$H$4),OR('Dashboard'!$K$4="All",C275='Dashboard'!$K$4)),1,0)</x:f>
        <x:v>1</x:v>
      </x:c>
      <x:c r="AI275" s="84" t="n">
        <x:f>IF(AND(AG275=1,OR('Dashboard'!$B$4="All",I275='Dashboard'!$B$4),OR('Dashboard'!$E$4="All",N275='Dashboard'!$E$4),OR('Dashboard'!$H$4="All",K275='Dashboard'!$H$4)),1,0)</x:f>
        <x:v>1</x:v>
      </x:c>
    </x:row>
    <x:row r="276">
      <x:c r="A276" s="84" t="str">
        <x:f>'Raw Sales'!A276</x:f>
        <x:v>ORD-2024-00737</x:v>
      </x:c>
      <x:c r="B276" s="85" t="n">
        <x:f>'Raw Sales'!B276</x:f>
        <x:v>45401</x:v>
      </x:c>
      <x:c r="C276" s="84" t="n">
        <x:f>YEAR(B276)</x:f>
        <x:v>2024</x:v>
      </x:c>
      <x:c r="D276" s="91" t="n">
        <x:f>DATE(YEAR(B276),MONTH(B276),1)</x:f>
        <x:v>45383</x:v>
      </x:c>
      <x:c r="E276" s="84" t="str">
        <x:f>TEXT(B276,"mmm")</x:f>
        <x:v>Apr</x:v>
      </x:c>
      <x:c r="F276" s="84" t="str">
        <x:f>'Raw Sales'!C276</x:f>
        <x:v>CUST-0035</x:v>
      </x:c>
      <x:c r="G276" s="84" t="str">
        <x:f>PROPER(TRIM('Raw Sales'!D276))</x:f>
        <x:v>Nathan Ortiz</x:v>
      </x:c>
      <x:c r="H276" s="84" t="str">
        <x:f>IF(TRIM('Raw Sales'!E276)="","Unknown",PROPER(TRIM('Raw Sales'!E276)))</x:f>
        <x:v>Corporate</x:v>
      </x:c>
      <x:c r="I276" s="84" t="str">
        <x:f>PROPER(TRIM('Raw Sales'!F276))</x:f>
        <x:v>Southeast</x:v>
      </x:c>
      <x:c r="J276" s="84" t="str">
        <x:f>PROPER(TRIM('Raw Sales'!G276))</x:f>
        <x:v>Charlotte</x:v>
      </x:c>
      <x:c r="K276" s="84" t="str">
        <x:f>PROPER(TRIM('Raw Sales'!H276))</x:f>
        <x:v>Marketplace</x:v>
      </x:c>
      <x:c r="L276" s="84" t="str">
        <x:f>'Raw Sales'!I276</x:f>
        <x:v>OFFC-001</x:v>
      </x:c>
      <x:c r="M276" s="84" t="str">
        <x:f>IFERROR(VLOOKUP(L276,'Reference Data'!$A$5:$F$40,2,FALSE),"Unknown Product")</x:f>
        <x:v>Ergonomic Chair</x:v>
      </x:c>
      <x:c r="N276" s="84" t="str">
        <x:f>IFERROR(VLOOKUP(L276,'Reference Data'!$A$5:$F$40,3,FALSE),"Unknown")</x:f>
        <x:v>Office</x:v>
      </x:c>
      <x:c r="O276" s="84" t="str">
        <x:f>IFERROR(VLOOKUP(L276,'Reference Data'!$A$5:$F$40,4,FALSE),"Unknown")</x:f>
        <x:v>Furniture</x:v>
      </x:c>
      <x:c r="P276" s="92" t="n">
        <x:f>IFERROR(VLOOKUP(L276,'Reference Data'!$A$5:$F$40,5,FALSE),0)</x:f>
        <x:v>249</x:v>
      </x:c>
      <x:c r="Q276" s="92" t="n">
        <x:f>IFERROR(VLOOKUP(L276,'Reference Data'!$A$5:$F$40,6,FALSE),0)</x:f>
        <x:v>145</x:v>
      </x:c>
      <x:c r="R276" s="84" t="n">
        <x:f>'Raw Sales'!J276</x:f>
        <x:v>6</x:v>
      </x:c>
      <x:c r="S276" s="87" t="n">
        <x:f>'Raw Sales'!K276</x:f>
        <x:v>0.15</x:v>
      </x:c>
      <x:c r="T276" s="93" t="n">
        <x:f>P276*R276</x:f>
        <x:v>1494</x:v>
      </x:c>
      <x:c r="U276" s="93" t="n">
        <x:f>T276*S276</x:f>
        <x:v>224.1</x:v>
      </x:c>
      <x:c r="V276" s="93" t="str">
        <x:f>PROPER(TRIM('Raw Sales'!L276))</x:f>
        <x:v>Completed</x:v>
      </x:c>
      <x:c r="W276" s="93" t="n">
        <x:f>IF(V276="Returned",0,T276-U276)</x:f>
        <x:v>1269.9</x:v>
      </x:c>
      <x:c r="X276" s="93" t="n">
        <x:f>IF(V276="Returned",Q276*R276*10%,Q276*R276)</x:f>
        <x:v>870</x:v>
      </x:c>
      <x:c r="Y276" s="93" t="n">
        <x:f>W276-X276</x:f>
        <x:v>399.9000000000001</x:v>
      </x:c>
      <x:c r="Z276" s="94" t="n">
        <x:f>IFERROR(Y276/W276,0)</x:f>
        <x:v>0.31490668556579265</x:v>
      </x:c>
      <x:c r="AA276" s="84" t="str">
        <x:f>PROPER(TRIM('Raw Sales'!M276))</x:f>
        <x:v>Paypal</x:v>
      </x:c>
      <x:c r="AB276" s="84" t="str">
        <x:f>PROPER(TRIM('Raw Sales'!N276))</x:f>
        <x:v>Liam Parker</x:v>
      </x:c>
      <x:c r="AC276" s="85" t="n">
        <x:f>'Raw Sales'!O276</x:f>
        <x:v>45407</x:v>
      </x:c>
      <x:c r="AD276" s="84" t="n">
        <x:f>AC276-B276</x:f>
        <x:v>6</x:v>
      </x:c>
      <x:c r="AE276" s="84" t="str">
        <x:f>IF(COUNTIF($A$5:A276,A276)&gt;1,"Duplicate","Keep")</x:f>
        <x:v>Keep</x:v>
      </x:c>
      <x:c r="AF276" s="84" t="str">
        <x:f>IF(OR(R276&lt;=0,AC276&lt;B276,H276="Unknown",M276="Unknown Product"),"Review","Valid")</x:f>
        <x:v>Valid</x:v>
      </x:c>
      <x:c r="AG276" s="84" t="n">
        <x:f>IF(AND(AE276="Keep",AF276="Valid"),1,0)</x:f>
        <x:v>1</x:v>
      </x:c>
      <x:c r="AH276" s="84" t="n">
        <x:f>IF(AND(AG276=1,OR('Dashboard'!$B$4="All",I276='Dashboard'!$B$4),OR('Dashboard'!$E$4="All",N276='Dashboard'!$E$4),OR('Dashboard'!$H$4="All",K276='Dashboard'!$H$4),OR('Dashboard'!$K$4="All",C276='Dashboard'!$K$4)),1,0)</x:f>
        <x:v>1</x:v>
      </x:c>
      <x:c r="AI276" s="84" t="n">
        <x:f>IF(AND(AG276=1,OR('Dashboard'!$B$4="All",I276='Dashboard'!$B$4),OR('Dashboard'!$E$4="All",N276='Dashboard'!$E$4),OR('Dashboard'!$H$4="All",K276='Dashboard'!$H$4)),1,0)</x:f>
        <x:v>1</x:v>
      </x:c>
    </x:row>
    <x:row r="277">
      <x:c r="A277" s="84" t="str">
        <x:f>'Raw Sales'!A277</x:f>
        <x:v>ORD-2024-02252</x:v>
      </x:c>
      <x:c r="B277" s="85" t="n">
        <x:f>'Raw Sales'!B277</x:f>
        <x:v>45401</x:v>
      </x:c>
      <x:c r="C277" s="84" t="n">
        <x:f>YEAR(B277)</x:f>
        <x:v>2024</x:v>
      </x:c>
      <x:c r="D277" s="91" t="n">
        <x:f>DATE(YEAR(B277),MONTH(B277),1)</x:f>
        <x:v>45383</x:v>
      </x:c>
      <x:c r="E277" s="84" t="str">
        <x:f>TEXT(B277,"mmm")</x:f>
        <x:v>Apr</x:v>
      </x:c>
      <x:c r="F277" s="84" t="str">
        <x:f>'Raw Sales'!C277</x:f>
        <x:v>CUST-0036</x:v>
      </x:c>
      <x:c r="G277" s="84" t="str">
        <x:f>PROPER(TRIM('Raw Sales'!D277))</x:f>
        <x:v>Victoria Ortiz</x:v>
      </x:c>
      <x:c r="H277" s="84" t="str">
        <x:f>IF(TRIM('Raw Sales'!E277)="","Unknown",PROPER(TRIM('Raw Sales'!E277)))</x:f>
        <x:v>Small Business</x:v>
      </x:c>
      <x:c r="I277" s="84" t="str">
        <x:f>PROPER(TRIM('Raw Sales'!F277))</x:f>
        <x:v>Northeast</x:v>
      </x:c>
      <x:c r="J277" s="84" t="str">
        <x:f>PROPER(TRIM('Raw Sales'!G277))</x:f>
        <x:v>Philadelphia</x:v>
      </x:c>
      <x:c r="K277" s="84" t="str">
        <x:f>PROPER(TRIM('Raw Sales'!H277))</x:f>
        <x:v>Retail Store</x:v>
      </x:c>
      <x:c r="L277" s="84" t="str">
        <x:f>'Raw Sales'!I277</x:f>
        <x:v>ACCS-006</x:v>
      </x:c>
      <x:c r="M277" s="84" t="str">
        <x:f>IFERROR(VLOOKUP(L277,'Reference Data'!$A$5:$F$40,2,FALSE),"Unknown Product")</x:f>
        <x:v>Insulated Lunch Bag</x:v>
      </x:c>
      <x:c r="N277" s="84" t="str">
        <x:f>IFERROR(VLOOKUP(L277,'Reference Data'!$A$5:$F$40,3,FALSE),"Unknown")</x:f>
        <x:v>Accessories</x:v>
      </x:c>
      <x:c r="O277" s="84" t="str">
        <x:f>IFERROR(VLOOKUP(L277,'Reference Data'!$A$5:$F$40,4,FALSE),"Unknown")</x:f>
        <x:v>Bags</x:v>
      </x:c>
      <x:c r="P277" s="92" t="n">
        <x:f>IFERROR(VLOOKUP(L277,'Reference Data'!$A$5:$F$40,5,FALSE),0)</x:f>
        <x:v>29</x:v>
      </x:c>
      <x:c r="Q277" s="92" t="n">
        <x:f>IFERROR(VLOOKUP(L277,'Reference Data'!$A$5:$F$40,6,FALSE),0)</x:f>
        <x:v>10</x:v>
      </x:c>
      <x:c r="R277" s="84" t="n">
        <x:f>'Raw Sales'!J277</x:f>
        <x:v>2</x:v>
      </x:c>
      <x:c r="S277" s="87" t="n">
        <x:f>'Raw Sales'!K277</x:f>
        <x:v>0.05</x:v>
      </x:c>
      <x:c r="T277" s="93" t="n">
        <x:f>P277*R277</x:f>
        <x:v>58</x:v>
      </x:c>
      <x:c r="U277" s="93" t="n">
        <x:f>T277*S277</x:f>
        <x:v>2.9000000000000004</x:v>
      </x:c>
      <x:c r="V277" s="93" t="str">
        <x:f>PROPER(TRIM('Raw Sales'!L277))</x:f>
        <x:v>Completed</x:v>
      </x:c>
      <x:c r="W277" s="93" t="n">
        <x:f>IF(V277="Returned",0,T277-U277)</x:f>
        <x:v>55.1</x:v>
      </x:c>
      <x:c r="X277" s="93" t="n">
        <x:f>IF(V277="Returned",Q277*R277*10%,Q277*R277)</x:f>
        <x:v>20</x:v>
      </x:c>
      <x:c r="Y277" s="93" t="n">
        <x:f>W277-X277</x:f>
        <x:v>35.1</x:v>
      </x:c>
      <x:c r="Z277" s="94" t="n">
        <x:f>IFERROR(Y277/W277,0)</x:f>
        <x:v>0.6370235934664247</x:v>
      </x:c>
      <x:c r="AA277" s="84" t="str">
        <x:f>PROPER(TRIM('Raw Sales'!M277))</x:f>
        <x:v>Credit Card</x:v>
      </x:c>
      <x:c r="AB277" s="84" t="str">
        <x:f>PROPER(TRIM('Raw Sales'!N277))</x:f>
        <x:v>Ethan Cole</x:v>
      </x:c>
      <x:c r="AC277" s="85" t="n">
        <x:f>'Raw Sales'!O277</x:f>
        <x:v>45401</x:v>
      </x:c>
      <x:c r="AD277" s="84" t="n">
        <x:f>AC277-B277</x:f>
        <x:v>0</x:v>
      </x:c>
      <x:c r="AE277" s="84" t="str">
        <x:f>IF(COUNTIF($A$5:A277,A277)&gt;1,"Duplicate","Keep")</x:f>
        <x:v>Keep</x:v>
      </x:c>
      <x:c r="AF277" s="84" t="str">
        <x:f>IF(OR(R277&lt;=0,AC277&lt;B277,H277="Unknown",M277="Unknown Product"),"Review","Valid")</x:f>
        <x:v>Valid</x:v>
      </x:c>
      <x:c r="AG277" s="84" t="n">
        <x:f>IF(AND(AE277="Keep",AF277="Valid"),1,0)</x:f>
        <x:v>1</x:v>
      </x:c>
      <x:c r="AH277" s="84" t="n">
        <x:f>IF(AND(AG277=1,OR('Dashboard'!$B$4="All",I277='Dashboard'!$B$4),OR('Dashboard'!$E$4="All",N277='Dashboard'!$E$4),OR('Dashboard'!$H$4="All",K277='Dashboard'!$H$4),OR('Dashboard'!$K$4="All",C277='Dashboard'!$K$4)),1,0)</x:f>
        <x:v>1</x:v>
      </x:c>
      <x:c r="AI277" s="84" t="n">
        <x:f>IF(AND(AG277=1,OR('Dashboard'!$B$4="All",I277='Dashboard'!$B$4),OR('Dashboard'!$E$4="All",N277='Dashboard'!$E$4),OR('Dashboard'!$H$4="All",K277='Dashboard'!$H$4)),1,0)</x:f>
        <x:v>1</x:v>
      </x:c>
    </x:row>
    <x:row r="278">
      <x:c r="A278" s="84" t="str">
        <x:f>'Raw Sales'!A278</x:f>
        <x:v>ORD-2024-00298</x:v>
      </x:c>
      <x:c r="B278" s="85" t="n">
        <x:f>'Raw Sales'!B278</x:f>
        <x:v>45402</x:v>
      </x:c>
      <x:c r="C278" s="84" t="n">
        <x:f>YEAR(B278)</x:f>
        <x:v>2024</x:v>
      </x:c>
      <x:c r="D278" s="91" t="n">
        <x:f>DATE(YEAR(B278),MONTH(B278),1)</x:f>
        <x:v>45383</x:v>
      </x:c>
      <x:c r="E278" s="84" t="str">
        <x:f>TEXT(B278,"mmm")</x:f>
        <x:v>Apr</x:v>
      </x:c>
      <x:c r="F278" s="84" t="str">
        <x:f>'Raw Sales'!C278</x:f>
        <x:v>CUST-0043</x:v>
      </x:c>
      <x:c r="G278" s="84" t="str">
        <x:f>PROPER(TRIM('Raw Sales'!D278))</x:f>
        <x:v>Nina Hall</x:v>
      </x:c>
      <x:c r="H278" s="84" t="str">
        <x:f>IF(TRIM('Raw Sales'!E278)="","Unknown",PROPER(TRIM('Raw Sales'!E278)))</x:f>
        <x:v>Consumer</x:v>
      </x:c>
      <x:c r="I278" s="84" t="str">
        <x:f>PROPER(TRIM('Raw Sales'!F278))</x:f>
        <x:v>Northeast</x:v>
      </x:c>
      <x:c r="J278" s="84" t="str">
        <x:f>PROPER(TRIM('Raw Sales'!G278))</x:f>
        <x:v>Philadelphia</x:v>
      </x:c>
      <x:c r="K278" s="84" t="str">
        <x:f>PROPER(TRIM('Raw Sales'!H278))</x:f>
        <x:v>Online</x:v>
      </x:c>
      <x:c r="L278" s="84" t="str">
        <x:f>'Raw Sales'!I278</x:f>
        <x:v>OFFC-003</x:v>
      </x:c>
      <x:c r="M278" s="84" t="str">
        <x:f>IFERROR(VLOOKUP(L278,'Reference Data'!$A$5:$F$40,2,FALSE),"Unknown Product")</x:f>
        <x:v>LED Desk Lamp</x:v>
      </x:c>
      <x:c r="N278" s="84" t="str">
        <x:f>IFERROR(VLOOKUP(L278,'Reference Data'!$A$5:$F$40,3,FALSE),"Unknown")</x:f>
        <x:v>Office</x:v>
      </x:c>
      <x:c r="O278" s="84" t="str">
        <x:f>IFERROR(VLOOKUP(L278,'Reference Data'!$A$5:$F$40,4,FALSE),"Unknown")</x:f>
        <x:v>Desk Accessories</x:v>
      </x:c>
      <x:c r="P278" s="92" t="n">
        <x:f>IFERROR(VLOOKUP(L278,'Reference Data'!$A$5:$F$40,5,FALSE),0)</x:f>
        <x:v>45</x:v>
      </x:c>
      <x:c r="Q278" s="92" t="n">
        <x:f>IFERROR(VLOOKUP(L278,'Reference Data'!$A$5:$F$40,6,FALSE),0)</x:f>
        <x:v>20</x:v>
      </x:c>
      <x:c r="R278" s="84" t="n">
        <x:f>'Raw Sales'!J278</x:f>
        <x:v>3</x:v>
      </x:c>
      <x:c r="S278" s="87" t="n">
        <x:f>'Raw Sales'!K278</x:f>
        <x:v>0</x:v>
      </x:c>
      <x:c r="T278" s="93" t="n">
        <x:f>P278*R278</x:f>
        <x:v>135</x:v>
      </x:c>
      <x:c r="U278" s="93" t="n">
        <x:f>T278*S278</x:f>
        <x:v>0</x:v>
      </x:c>
      <x:c r="V278" s="93" t="str">
        <x:f>PROPER(TRIM('Raw Sales'!L278))</x:f>
        <x:v>Completed</x:v>
      </x:c>
      <x:c r="W278" s="93" t="n">
        <x:f>IF(V278="Returned",0,T278-U278)</x:f>
        <x:v>135</x:v>
      </x:c>
      <x:c r="X278" s="93" t="n">
        <x:f>IF(V278="Returned",Q278*R278*10%,Q278*R278)</x:f>
        <x:v>60</x:v>
      </x:c>
      <x:c r="Y278" s="93" t="n">
        <x:f>W278-X278</x:f>
        <x:v>75</x:v>
      </x:c>
      <x:c r="Z278" s="94" t="n">
        <x:f>IFERROR(Y278/W278,0)</x:f>
        <x:v>0.5555555555555556</x:v>
      </x:c>
      <x:c r="AA278" s="84" t="str">
        <x:f>PROPER(TRIM('Raw Sales'!M278))</x:f>
        <x:v>Debit Card</x:v>
      </x:c>
      <x:c r="AB278" s="84" t="str">
        <x:f>PROPER(TRIM('Raw Sales'!N278))</x:f>
        <x:v>Sofia Bennett</x:v>
      </x:c>
      <x:c r="AC278" s="85" t="n">
        <x:f>'Raw Sales'!O278</x:f>
        <x:v>45404</x:v>
      </x:c>
      <x:c r="AD278" s="84" t="n">
        <x:f>AC278-B278</x:f>
        <x:v>2</x:v>
      </x:c>
      <x:c r="AE278" s="84" t="str">
        <x:f>IF(COUNTIF($A$5:A278,A278)&gt;1,"Duplicate","Keep")</x:f>
        <x:v>Keep</x:v>
      </x:c>
      <x:c r="AF278" s="84" t="str">
        <x:f>IF(OR(R278&lt;=0,AC278&lt;B278,H278="Unknown",M278="Unknown Product"),"Review","Valid")</x:f>
        <x:v>Valid</x:v>
      </x:c>
      <x:c r="AG278" s="84" t="n">
        <x:f>IF(AND(AE278="Keep",AF278="Valid"),1,0)</x:f>
        <x:v>1</x:v>
      </x:c>
      <x:c r="AH278" s="84" t="n">
        <x:f>IF(AND(AG278=1,OR('Dashboard'!$B$4="All",I278='Dashboard'!$B$4),OR('Dashboard'!$E$4="All",N278='Dashboard'!$E$4),OR('Dashboard'!$H$4="All",K278='Dashboard'!$H$4),OR('Dashboard'!$K$4="All",C278='Dashboard'!$K$4)),1,0)</x:f>
        <x:v>1</x:v>
      </x:c>
      <x:c r="AI278" s="84" t="n">
        <x:f>IF(AND(AG278=1,OR('Dashboard'!$B$4="All",I278='Dashboard'!$B$4),OR('Dashboard'!$E$4="All",N278='Dashboard'!$E$4),OR('Dashboard'!$H$4="All",K278='Dashboard'!$H$4)),1,0)</x:f>
        <x:v>1</x:v>
      </x:c>
    </x:row>
    <x:row r="279">
      <x:c r="A279" s="84" t="str">
        <x:f>'Raw Sales'!A279</x:f>
        <x:v>ORD-2024-01587</x:v>
      </x:c>
      <x:c r="B279" s="85" t="n">
        <x:f>'Raw Sales'!B279</x:f>
        <x:v>45402</x:v>
      </x:c>
      <x:c r="C279" s="84" t="n">
        <x:f>YEAR(B279)</x:f>
        <x:v>2024</x:v>
      </x:c>
      <x:c r="D279" s="91" t="n">
        <x:f>DATE(YEAR(B279),MONTH(B279),1)</x:f>
        <x:v>45383</x:v>
      </x:c>
      <x:c r="E279" s="84" t="str">
        <x:f>TEXT(B279,"mmm")</x:f>
        <x:v>Apr</x:v>
      </x:c>
      <x:c r="F279" s="84" t="str">
        <x:f>'Raw Sales'!C279</x:f>
        <x:v>CUST-0039</x:v>
      </x:c>
      <x:c r="G279" s="84" t="str">
        <x:f>PROPER(TRIM('Raw Sales'!D279))</x:f>
        <x:v>Amelia Patel</x:v>
      </x:c>
      <x:c r="H279" s="84" t="str">
        <x:f>IF(TRIM('Raw Sales'!E279)="","Unknown",PROPER(TRIM('Raw Sales'!E279)))</x:f>
        <x:v>Consumer</x:v>
      </x:c>
      <x:c r="I279" s="84" t="str">
        <x:f>PROPER(TRIM('Raw Sales'!F279))</x:f>
        <x:v>West</x:v>
      </x:c>
      <x:c r="J279" s="84" t="str">
        <x:f>PROPER(TRIM('Raw Sales'!G279))</x:f>
        <x:v>Denver</x:v>
      </x:c>
      <x:c r="K279" s="84" t="str">
        <x:f>PROPER(TRIM('Raw Sales'!H279))</x:f>
        <x:v>Marketplace</x:v>
      </x:c>
      <x:c r="L279" s="84" t="str">
        <x:f>'Raw Sales'!I279</x:f>
        <x:v>HOME-004</x:v>
      </x:c>
      <x:c r="M279" s="84" t="str">
        <x:f>IFERROR(VLOOKUP(L279,'Reference Data'!$A$5:$F$40,2,FALSE),"Unknown Product")</x:f>
        <x:v>Coffee Maker</x:v>
      </x:c>
      <x:c r="N279" s="84" t="str">
        <x:f>IFERROR(VLOOKUP(L279,'Reference Data'!$A$5:$F$40,3,FALSE),"Unknown")</x:f>
        <x:v>Home &amp; Kitchen</x:v>
      </x:c>
      <x:c r="O279" s="84" t="str">
        <x:f>IFERROR(VLOOKUP(L279,'Reference Data'!$A$5:$F$40,4,FALSE),"Unknown")</x:f>
        <x:v>Small Appliances</x:v>
      </x:c>
      <x:c r="P279" s="92" t="n">
        <x:f>IFERROR(VLOOKUP(L279,'Reference Data'!$A$5:$F$40,5,FALSE),0)</x:f>
        <x:v>99</x:v>
      </x:c>
      <x:c r="Q279" s="92" t="n">
        <x:f>IFERROR(VLOOKUP(L279,'Reference Data'!$A$5:$F$40,6,FALSE),0)</x:f>
        <x:v>51</x:v>
      </x:c>
      <x:c r="R279" s="84" t="n">
        <x:f>'Raw Sales'!J279</x:f>
        <x:v>2</x:v>
      </x:c>
      <x:c r="S279" s="87" t="n">
        <x:f>'Raw Sales'!K279</x:f>
        <x:v>0.2</x:v>
      </x:c>
      <x:c r="T279" s="93" t="n">
        <x:f>P279*R279</x:f>
        <x:v>198</x:v>
      </x:c>
      <x:c r="U279" s="93" t="n">
        <x:f>T279*S279</x:f>
        <x:v>39.6</x:v>
      </x:c>
      <x:c r="V279" s="93" t="str">
        <x:f>PROPER(TRIM('Raw Sales'!L279))</x:f>
        <x:v>Completed</x:v>
      </x:c>
      <x:c r="W279" s="93" t="n">
        <x:f>IF(V279="Returned",0,T279-U279)</x:f>
        <x:v>158.4</x:v>
      </x:c>
      <x:c r="X279" s="93" t="n">
        <x:f>IF(V279="Returned",Q279*R279*10%,Q279*R279)</x:f>
        <x:v>102</x:v>
      </x:c>
      <x:c r="Y279" s="93" t="n">
        <x:f>W279-X279</x:f>
        <x:v>56.400000000000006</x:v>
      </x:c>
      <x:c r="Z279" s="94" t="n">
        <x:f>IFERROR(Y279/W279,0)</x:f>
        <x:v>0.3560606060606061</x:v>
      </x:c>
      <x:c r="AA279" s="84" t="str">
        <x:f>PROPER(TRIM('Raw Sales'!M279))</x:f>
        <x:v>Paypal</x:v>
      </x:c>
      <x:c r="AB279" s="84" t="str">
        <x:f>PROPER(TRIM('Raw Sales'!N279))</x:f>
        <x:v>Mia Chen</x:v>
      </x:c>
      <x:c r="AC279" s="85" t="n">
        <x:f>'Raw Sales'!O279</x:f>
        <x:v>45406</x:v>
      </x:c>
      <x:c r="AD279" s="84" t="n">
        <x:f>AC279-B279</x:f>
        <x:v>4</x:v>
      </x:c>
      <x:c r="AE279" s="84" t="str">
        <x:f>IF(COUNTIF($A$5:A279,A279)&gt;1,"Duplicate","Keep")</x:f>
        <x:v>Keep</x:v>
      </x:c>
      <x:c r="AF279" s="84" t="str">
        <x:f>IF(OR(R279&lt;=0,AC279&lt;B279,H279="Unknown",M279="Unknown Product"),"Review","Valid")</x:f>
        <x:v>Valid</x:v>
      </x:c>
      <x:c r="AG279" s="84" t="n">
        <x:f>IF(AND(AE279="Keep",AF279="Valid"),1,0)</x:f>
        <x:v>1</x:v>
      </x:c>
      <x:c r="AH279" s="84" t="n">
        <x:f>IF(AND(AG279=1,OR('Dashboard'!$B$4="All",I279='Dashboard'!$B$4),OR('Dashboard'!$E$4="All",N279='Dashboard'!$E$4),OR('Dashboard'!$H$4="All",K279='Dashboard'!$H$4),OR('Dashboard'!$K$4="All",C279='Dashboard'!$K$4)),1,0)</x:f>
        <x:v>1</x:v>
      </x:c>
      <x:c r="AI279" s="84" t="n">
        <x:f>IF(AND(AG279=1,OR('Dashboard'!$B$4="All",I279='Dashboard'!$B$4),OR('Dashboard'!$E$4="All",N279='Dashboard'!$E$4),OR('Dashboard'!$H$4="All",K279='Dashboard'!$H$4)),1,0)</x:f>
        <x:v>1</x:v>
      </x:c>
    </x:row>
    <x:row r="280">
      <x:c r="A280" s="84" t="str">
        <x:f>'Raw Sales'!A280</x:f>
        <x:v>ORD-2024-01862</x:v>
      </x:c>
      <x:c r="B280" s="85" t="n">
        <x:f>'Raw Sales'!B280</x:f>
        <x:v>45402</x:v>
      </x:c>
      <x:c r="C280" s="84" t="n">
        <x:f>YEAR(B280)</x:f>
        <x:v>2024</x:v>
      </x:c>
      <x:c r="D280" s="91" t="n">
        <x:f>DATE(YEAR(B280),MONTH(B280),1)</x:f>
        <x:v>45383</x:v>
      </x:c>
      <x:c r="E280" s="84" t="str">
        <x:f>TEXT(B280,"mmm")</x:f>
        <x:v>Apr</x:v>
      </x:c>
      <x:c r="F280" s="84" t="str">
        <x:f>'Raw Sales'!C280</x:f>
        <x:v>CUST-0483</x:v>
      </x:c>
      <x:c r="G280" s="84" t="str">
        <x:f>PROPER(TRIM('Raw Sales'!D280))</x:f>
        <x:v>Daniel Carter</x:v>
      </x:c>
      <x:c r="H280" s="84" t="str">
        <x:f>IF(TRIM('Raw Sales'!E280)="","Unknown",PROPER(TRIM('Raw Sales'!E280)))</x:f>
        <x:v>Consumer</x:v>
      </x:c>
      <x:c r="I280" s="84" t="str">
        <x:f>PROPER(TRIM('Raw Sales'!F280))</x:f>
        <x:v>West</x:v>
      </x:c>
      <x:c r="J280" s="84" t="str">
        <x:f>PROPER(TRIM('Raw Sales'!G280))</x:f>
        <x:v>Denver</x:v>
      </x:c>
      <x:c r="K280" s="84" t="str">
        <x:f>PROPER(TRIM('Raw Sales'!H280))</x:f>
        <x:v>Retail Store</x:v>
      </x:c>
      <x:c r="L280" s="84" t="str">
        <x:f>'Raw Sales'!I280</x:f>
        <x:v>OFFC-004</x:v>
      </x:c>
      <x:c r="M280" s="84" t="str">
        <x:f>IFERROR(VLOOKUP(L280,'Reference Data'!$A$5:$F$40,2,FALSE),"Unknown Product")</x:f>
        <x:v>Premium Notebook Pack</x:v>
      </x:c>
      <x:c r="N280" s="84" t="str">
        <x:f>IFERROR(VLOOKUP(L280,'Reference Data'!$A$5:$F$40,3,FALSE),"Unknown")</x:f>
        <x:v>Office</x:v>
      </x:c>
      <x:c r="O280" s="84" t="str">
        <x:f>IFERROR(VLOOKUP(L280,'Reference Data'!$A$5:$F$40,4,FALSE),"Unknown")</x:f>
        <x:v>Stationery</x:v>
      </x:c>
      <x:c r="P280" s="92" t="n">
        <x:f>IFERROR(VLOOKUP(L280,'Reference Data'!$A$5:$F$40,5,FALSE),0)</x:f>
        <x:v>18</x:v>
      </x:c>
      <x:c r="Q280" s="92" t="n">
        <x:f>IFERROR(VLOOKUP(L280,'Reference Data'!$A$5:$F$40,6,FALSE),0)</x:f>
        <x:v>6.5</x:v>
      </x:c>
      <x:c r="R280" s="84" t="n">
        <x:f>'Raw Sales'!J280</x:f>
        <x:v>2</x:v>
      </x:c>
      <x:c r="S280" s="87" t="n">
        <x:f>'Raw Sales'!K280</x:f>
        <x:v>0</x:v>
      </x:c>
      <x:c r="T280" s="93" t="n">
        <x:f>P280*R280</x:f>
        <x:v>36</x:v>
      </x:c>
      <x:c r="U280" s="93" t="n">
        <x:f>T280*S280</x:f>
        <x:v>0</x:v>
      </x:c>
      <x:c r="V280" s="93" t="str">
        <x:f>PROPER(TRIM('Raw Sales'!L280))</x:f>
        <x:v>Completed</x:v>
      </x:c>
      <x:c r="W280" s="93" t="n">
        <x:f>IF(V280="Returned",0,T280-U280)</x:f>
        <x:v>36</x:v>
      </x:c>
      <x:c r="X280" s="93" t="n">
        <x:f>IF(V280="Returned",Q280*R280*10%,Q280*R280)</x:f>
        <x:v>13</x:v>
      </x:c>
      <x:c r="Y280" s="93" t="n">
        <x:f>W280-X280</x:f>
        <x:v>23</x:v>
      </x:c>
      <x:c r="Z280" s="94" t="n">
        <x:f>IFERROR(Y280/W280,0)</x:f>
        <x:v>0.6388888888888888</x:v>
      </x:c>
      <x:c r="AA280" s="84" t="str">
        <x:f>PROPER(TRIM('Raw Sales'!M280))</x:f>
        <x:v>Credit Card</x:v>
      </x:c>
      <x:c r="AB280" s="84" t="str">
        <x:f>PROPER(TRIM('Raw Sales'!N280))</x:f>
        <x:v>Mia Chen</x:v>
      </x:c>
      <x:c r="AC280" s="85" t="n">
        <x:f>'Raw Sales'!O280</x:f>
        <x:v>45402</x:v>
      </x:c>
      <x:c r="AD280" s="84" t="n">
        <x:f>AC280-B280</x:f>
        <x:v>0</x:v>
      </x:c>
      <x:c r="AE280" s="84" t="str">
        <x:f>IF(COUNTIF($A$5:A280,A280)&gt;1,"Duplicate","Keep")</x:f>
        <x:v>Keep</x:v>
      </x:c>
      <x:c r="AF280" s="84" t="str">
        <x:f>IF(OR(R280&lt;=0,AC280&lt;B280,H280="Unknown",M280="Unknown Product"),"Review","Valid")</x:f>
        <x:v>Valid</x:v>
      </x:c>
      <x:c r="AG280" s="84" t="n">
        <x:f>IF(AND(AE280="Keep",AF280="Valid"),1,0)</x:f>
        <x:v>1</x:v>
      </x:c>
      <x:c r="AH280" s="84" t="n">
        <x:f>IF(AND(AG280=1,OR('Dashboard'!$B$4="All",I280='Dashboard'!$B$4),OR('Dashboard'!$E$4="All",N280='Dashboard'!$E$4),OR('Dashboard'!$H$4="All",K280='Dashboard'!$H$4),OR('Dashboard'!$K$4="All",C280='Dashboard'!$K$4)),1,0)</x:f>
        <x:v>1</x:v>
      </x:c>
      <x:c r="AI280" s="84" t="n">
        <x:f>IF(AND(AG280=1,OR('Dashboard'!$B$4="All",I280='Dashboard'!$B$4),OR('Dashboard'!$E$4="All",N280='Dashboard'!$E$4),OR('Dashboard'!$H$4="All",K280='Dashboard'!$H$4)),1,0)</x:f>
        <x:v>1</x:v>
      </x:c>
    </x:row>
    <x:row r="281">
      <x:c r="A281" s="84" t="str">
        <x:f>'Raw Sales'!A281</x:f>
        <x:v>ORD-2024-02081</x:v>
      </x:c>
      <x:c r="B281" s="85" t="n">
        <x:f>'Raw Sales'!B281</x:f>
        <x:v>45402</x:v>
      </x:c>
      <x:c r="C281" s="84" t="n">
        <x:f>YEAR(B281)</x:f>
        <x:v>2024</x:v>
      </x:c>
      <x:c r="D281" s="91" t="n">
        <x:f>DATE(YEAR(B281),MONTH(B281),1)</x:f>
        <x:v>45383</x:v>
      </x:c>
      <x:c r="E281" s="84" t="str">
        <x:f>TEXT(B281,"mmm")</x:f>
        <x:v>Apr</x:v>
      </x:c>
      <x:c r="F281" s="84" t="str">
        <x:f>'Raw Sales'!C281</x:f>
        <x:v>CUST-0118</x:v>
      </x:c>
      <x:c r="G281" s="84" t="str">
        <x:f>PROPER(TRIM('Raw Sales'!D281))</x:f>
        <x:v>Daniel Davis</x:v>
      </x:c>
      <x:c r="H281" s="84" t="str">
        <x:f>IF(TRIM('Raw Sales'!E281)="","Unknown",PROPER(TRIM('Raw Sales'!E281)))</x:f>
        <x:v>Consumer</x:v>
      </x:c>
      <x:c r="I281" s="84" t="str">
        <x:f>PROPER(TRIM('Raw Sales'!F281))</x:f>
        <x:v>Midwest</x:v>
      </x:c>
      <x:c r="J281" s="84" t="str">
        <x:f>PROPER(TRIM('Raw Sales'!G281))</x:f>
        <x:v>Minneapolis</x:v>
      </x:c>
      <x:c r="K281" s="84" t="str">
        <x:f>PROPER(TRIM('Raw Sales'!H281))</x:f>
        <x:v>Online</x:v>
      </x:c>
      <x:c r="L281" s="84" t="str">
        <x:f>'Raw Sales'!I281</x:f>
        <x:v>ELEC-003</x:v>
      </x:c>
      <x:c r="M281" s="84" t="str">
        <x:f>IFERROR(VLOOKUP(L281,'Reference Data'!$A$5:$F$40,2,FALSE),"Unknown Product")</x:f>
        <x:v>Bluetooth Speaker</x:v>
      </x:c>
      <x:c r="N281" s="84" t="str">
        <x:f>IFERROR(VLOOKUP(L281,'Reference Data'!$A$5:$F$40,3,FALSE),"Unknown")</x:f>
        <x:v>Electronics</x:v>
      </x:c>
      <x:c r="O281" s="84" t="str">
        <x:f>IFERROR(VLOOKUP(L281,'Reference Data'!$A$5:$F$40,4,FALSE),"Unknown")</x:f>
        <x:v>Audio</x:v>
      </x:c>
      <x:c r="P281" s="92" t="n">
        <x:f>IFERROR(VLOOKUP(L281,'Reference Data'!$A$5:$F$40,5,FALSE),0)</x:f>
        <x:v>89</x:v>
      </x:c>
      <x:c r="Q281" s="92" t="n">
        <x:f>IFERROR(VLOOKUP(L281,'Reference Data'!$A$5:$F$40,6,FALSE),0)</x:f>
        <x:v>44</x:v>
      </x:c>
      <x:c r="R281" s="84" t="n">
        <x:f>'Raw Sales'!J281</x:f>
        <x:v>1</x:v>
      </x:c>
      <x:c r="S281" s="87" t="n">
        <x:f>'Raw Sales'!K281</x:f>
        <x:v>0</x:v>
      </x:c>
      <x:c r="T281" s="93" t="n">
        <x:f>P281*R281</x:f>
        <x:v>89</x:v>
      </x:c>
      <x:c r="U281" s="93" t="n">
        <x:f>T281*S281</x:f>
        <x:v>0</x:v>
      </x:c>
      <x:c r="V281" s="93" t="str">
        <x:f>PROPER(TRIM('Raw Sales'!L281))</x:f>
        <x:v>Completed</x:v>
      </x:c>
      <x:c r="W281" s="93" t="n">
        <x:f>IF(V281="Returned",0,T281-U281)</x:f>
        <x:v>89</x:v>
      </x:c>
      <x:c r="X281" s="93" t="n">
        <x:f>IF(V281="Returned",Q281*R281*10%,Q281*R281)</x:f>
        <x:v>44</x:v>
      </x:c>
      <x:c r="Y281" s="93" t="n">
        <x:f>W281-X281</x:f>
        <x:v>45</x:v>
      </x:c>
      <x:c r="Z281" s="94" t="n">
        <x:f>IFERROR(Y281/W281,0)</x:f>
        <x:v>0.5056179775280899</x:v>
      </x:c>
      <x:c r="AA281" s="84" t="str">
        <x:f>PROPER(TRIM('Raw Sales'!M281))</x:f>
        <x:v>Paypal</x:v>
      </x:c>
      <x:c r="AB281" s="84" t="str">
        <x:f>PROPER(TRIM('Raw Sales'!N281))</x:f>
        <x:v>Lucas Grant</x:v>
      </x:c>
      <x:c r="AC281" s="85" t="n">
        <x:f>'Raw Sales'!O281</x:f>
        <x:v>45406</x:v>
      </x:c>
      <x:c r="AD281" s="84" t="n">
        <x:f>AC281-B281</x:f>
        <x:v>4</x:v>
      </x:c>
      <x:c r="AE281" s="84" t="str">
        <x:f>IF(COUNTIF($A$5:A281,A281)&gt;1,"Duplicate","Keep")</x:f>
        <x:v>Keep</x:v>
      </x:c>
      <x:c r="AF281" s="84" t="str">
        <x:f>IF(OR(R281&lt;=0,AC281&lt;B281,H281="Unknown",M281="Unknown Product"),"Review","Valid")</x:f>
        <x:v>Valid</x:v>
      </x:c>
      <x:c r="AG281" s="84" t="n">
        <x:f>IF(AND(AE281="Keep",AF281="Valid"),1,0)</x:f>
        <x:v>1</x:v>
      </x:c>
      <x:c r="AH281" s="84" t="n">
        <x:f>IF(AND(AG281=1,OR('Dashboard'!$B$4="All",I281='Dashboard'!$B$4),OR('Dashboard'!$E$4="All",N281='Dashboard'!$E$4),OR('Dashboard'!$H$4="All",K281='Dashboard'!$H$4),OR('Dashboard'!$K$4="All",C281='Dashboard'!$K$4)),1,0)</x:f>
        <x:v>1</x:v>
      </x:c>
      <x:c r="AI281" s="84" t="n">
        <x:f>IF(AND(AG281=1,OR('Dashboard'!$B$4="All",I281='Dashboard'!$B$4),OR('Dashboard'!$E$4="All",N281='Dashboard'!$E$4),OR('Dashboard'!$H$4="All",K281='Dashboard'!$H$4)),1,0)</x:f>
        <x:v>1</x:v>
      </x:c>
    </x:row>
    <x:row r="282">
      <x:c r="A282" s="84" t="str">
        <x:f>'Raw Sales'!A282</x:f>
        <x:v>ORD-2024-02241</x:v>
      </x:c>
      <x:c r="B282" s="85" t="n">
        <x:f>'Raw Sales'!B282</x:f>
        <x:v>45402</x:v>
      </x:c>
      <x:c r="C282" s="84" t="n">
        <x:f>YEAR(B282)</x:f>
        <x:v>2024</x:v>
      </x:c>
      <x:c r="D282" s="91" t="n">
        <x:f>DATE(YEAR(B282),MONTH(B282),1)</x:f>
        <x:v>45383</x:v>
      </x:c>
      <x:c r="E282" s="84" t="str">
        <x:f>TEXT(B282,"mmm")</x:f>
        <x:v>Apr</x:v>
      </x:c>
      <x:c r="F282" s="84" t="str">
        <x:f>'Raw Sales'!C282</x:f>
        <x:v>CUST-0598</x:v>
      </x:c>
      <x:c r="G282" s="84" t="str">
        <x:f>PROPER(TRIM('Raw Sales'!D282))</x:f>
        <x:v>Amelia Evans</x:v>
      </x:c>
      <x:c r="H282" s="84" t="str">
        <x:f>IF(TRIM('Raw Sales'!E282)="","Unknown",PROPER(TRIM('Raw Sales'!E282)))</x:f>
        <x:v>Corporate</x:v>
      </x:c>
      <x:c r="I282" s="84" t="str">
        <x:f>PROPER(TRIM('Raw Sales'!F282))</x:f>
        <x:v>Southeast</x:v>
      </x:c>
      <x:c r="J282" s="84" t="str">
        <x:f>PROPER(TRIM('Raw Sales'!G282))</x:f>
        <x:v>Nashville</x:v>
      </x:c>
      <x:c r="K282" s="84" t="str">
        <x:f>PROPER(TRIM('Raw Sales'!H282))</x:f>
        <x:v>Retail Store</x:v>
      </x:c>
      <x:c r="L282" s="84" t="str">
        <x:f>'Raw Sales'!I282</x:f>
        <x:v>HOME-001</x:v>
      </x:c>
      <x:c r="M282" s="84" t="str">
        <x:f>IFERROR(VLOOKUP(L282,'Reference Data'!$A$5:$F$40,2,FALSE),"Unknown Product")</x:f>
        <x:v>Air Fryer</x:v>
      </x:c>
      <x:c r="N282" s="84" t="str">
        <x:f>IFERROR(VLOOKUP(L282,'Reference Data'!$A$5:$F$40,3,FALSE),"Unknown")</x:f>
        <x:v>Home &amp; Kitchen</x:v>
      </x:c>
      <x:c r="O282" s="84" t="str">
        <x:f>IFERROR(VLOOKUP(L282,'Reference Data'!$A$5:$F$40,4,FALSE),"Unknown")</x:f>
        <x:v>Small Appliances</x:v>
      </x:c>
      <x:c r="P282" s="92" t="n">
        <x:f>IFERROR(VLOOKUP(L282,'Reference Data'!$A$5:$F$40,5,FALSE),0)</x:f>
        <x:v>119</x:v>
      </x:c>
      <x:c r="Q282" s="92" t="n">
        <x:f>IFERROR(VLOOKUP(L282,'Reference Data'!$A$5:$F$40,6,FALSE),0)</x:f>
        <x:v>68</x:v>
      </x:c>
      <x:c r="R282" s="84" t="n">
        <x:f>'Raw Sales'!J282</x:f>
        <x:v>5</x:v>
      </x:c>
      <x:c r="S282" s="87" t="n">
        <x:f>'Raw Sales'!K282</x:f>
        <x:v>0.05</x:v>
      </x:c>
      <x:c r="T282" s="93" t="n">
        <x:f>P282*R282</x:f>
        <x:v>595</x:v>
      </x:c>
      <x:c r="U282" s="93" t="n">
        <x:f>T282*S282</x:f>
        <x:v>29.75</x:v>
      </x:c>
      <x:c r="V282" s="93" t="str">
        <x:f>PROPER(TRIM('Raw Sales'!L282))</x:f>
        <x:v>Completed</x:v>
      </x:c>
      <x:c r="W282" s="93" t="n">
        <x:f>IF(V282="Returned",0,T282-U282)</x:f>
        <x:v>565.25</x:v>
      </x:c>
      <x:c r="X282" s="93" t="n">
        <x:f>IF(V282="Returned",Q282*R282*10%,Q282*R282)</x:f>
        <x:v>340</x:v>
      </x:c>
      <x:c r="Y282" s="93" t="n">
        <x:f>W282-X282</x:f>
        <x:v>225.25</x:v>
      </x:c>
      <x:c r="Z282" s="94" t="n">
        <x:f>IFERROR(Y282/W282,0)</x:f>
        <x:v>0.39849624060150374</x:v>
      </x:c>
      <x:c r="AA282" s="84" t="str">
        <x:f>PROPER(TRIM('Raw Sales'!M282))</x:f>
        <x:v>Cash</x:v>
      </x:c>
      <x:c r="AB282" s="84" t="str">
        <x:f>PROPER(TRIM('Raw Sales'!N282))</x:f>
        <x:v>Noah Reed</x:v>
      </x:c>
      <x:c r="AC282" s="85" t="n">
        <x:f>'Raw Sales'!O282</x:f>
        <x:v>45402</x:v>
      </x:c>
      <x:c r="AD282" s="84" t="n">
        <x:f>AC282-B282</x:f>
        <x:v>0</x:v>
      </x:c>
      <x:c r="AE282" s="84" t="str">
        <x:f>IF(COUNTIF($A$5:A282,A282)&gt;1,"Duplicate","Keep")</x:f>
        <x:v>Keep</x:v>
      </x:c>
      <x:c r="AF282" s="84" t="str">
        <x:f>IF(OR(R282&lt;=0,AC282&lt;B282,H282="Unknown",M282="Unknown Product"),"Review","Valid")</x:f>
        <x:v>Valid</x:v>
      </x:c>
      <x:c r="AG282" s="84" t="n">
        <x:f>IF(AND(AE282="Keep",AF282="Valid"),1,0)</x:f>
        <x:v>1</x:v>
      </x:c>
      <x:c r="AH282" s="84" t="n">
        <x:f>IF(AND(AG282=1,OR('Dashboard'!$B$4="All",I282='Dashboard'!$B$4),OR('Dashboard'!$E$4="All",N282='Dashboard'!$E$4),OR('Dashboard'!$H$4="All",K282='Dashboard'!$H$4),OR('Dashboard'!$K$4="All",C282='Dashboard'!$K$4)),1,0)</x:f>
        <x:v>1</x:v>
      </x:c>
      <x:c r="AI282" s="84" t="n">
        <x:f>IF(AND(AG282=1,OR('Dashboard'!$B$4="All",I282='Dashboard'!$B$4),OR('Dashboard'!$E$4="All",N282='Dashboard'!$E$4),OR('Dashboard'!$H$4="All",K282='Dashboard'!$H$4)),1,0)</x:f>
        <x:v>1</x:v>
      </x:c>
    </x:row>
    <x:row r="283">
      <x:c r="A283" s="84" t="str">
        <x:f>'Raw Sales'!A283</x:f>
        <x:v>ORD-2024-00971</x:v>
      </x:c>
      <x:c r="B283" s="85" t="n">
        <x:f>'Raw Sales'!B283</x:f>
        <x:v>45403</x:v>
      </x:c>
      <x:c r="C283" s="84" t="n">
        <x:f>YEAR(B283)</x:f>
        <x:v>2024</x:v>
      </x:c>
      <x:c r="D283" s="91" t="n">
        <x:f>DATE(YEAR(B283),MONTH(B283),1)</x:f>
        <x:v>45383</x:v>
      </x:c>
      <x:c r="E283" s="84" t="str">
        <x:f>TEXT(B283,"mmm")</x:f>
        <x:v>Apr</x:v>
      </x:c>
      <x:c r="F283" s="84" t="str">
        <x:f>'Raw Sales'!C283</x:f>
        <x:v>CUST-0629</x:v>
      </x:c>
      <x:c r="G283" s="84" t="str">
        <x:f>PROPER(TRIM('Raw Sales'!D283))</x:f>
        <x:v>Nina Garcia</x:v>
      </x:c>
      <x:c r="H283" s="84" t="str">
        <x:f>IF(TRIM('Raw Sales'!E283)="","Unknown",PROPER(TRIM('Raw Sales'!E283)))</x:f>
        <x:v>Consumer</x:v>
      </x:c>
      <x:c r="I283" s="84" t="str">
        <x:f>PROPER(TRIM('Raw Sales'!F283))</x:f>
        <x:v>Southeast</x:v>
      </x:c>
      <x:c r="J283" s="84" t="str">
        <x:f>PROPER(TRIM('Raw Sales'!G283))</x:f>
        <x:v>Charlotte</x:v>
      </x:c>
      <x:c r="K283" s="84" t="str">
        <x:f>PROPER(TRIM('Raw Sales'!H283))</x:f>
        <x:v>Online</x:v>
      </x:c>
      <x:c r="L283" s="84" t="str">
        <x:f>'Raw Sales'!I283</x:f>
        <x:v>FITN-001</x:v>
      </x:c>
      <x:c r="M283" s="84" t="str">
        <x:f>IFERROR(VLOOKUP(L283,'Reference Data'!$A$5:$F$40,2,FALSE),"Unknown Product")</x:f>
        <x:v>Yoga Mat</x:v>
      </x:c>
      <x:c r="N283" s="84" t="str">
        <x:f>IFERROR(VLOOKUP(L283,'Reference Data'!$A$5:$F$40,3,FALSE),"Unknown")</x:f>
        <x:v>Fitness</x:v>
      </x:c>
      <x:c r="O283" s="84" t="str">
        <x:f>IFERROR(VLOOKUP(L283,'Reference Data'!$A$5:$F$40,4,FALSE),"Unknown")</x:f>
        <x:v>Yoga</x:v>
      </x:c>
      <x:c r="P283" s="92" t="n">
        <x:f>IFERROR(VLOOKUP(L283,'Reference Data'!$A$5:$F$40,5,FALSE),0)</x:f>
        <x:v>35</x:v>
      </x:c>
      <x:c r="Q283" s="92" t="n">
        <x:f>IFERROR(VLOOKUP(L283,'Reference Data'!$A$5:$F$40,6,FALSE),0)</x:f>
        <x:v>13</x:v>
      </x:c>
      <x:c r="R283" s="84" t="n">
        <x:f>'Raw Sales'!J283</x:f>
        <x:v>1</x:v>
      </x:c>
      <x:c r="S283" s="87" t="n">
        <x:f>'Raw Sales'!K283</x:f>
        <x:v>0.05</x:v>
      </x:c>
      <x:c r="T283" s="93" t="n">
        <x:f>P283*R283</x:f>
        <x:v>35</x:v>
      </x:c>
      <x:c r="U283" s="93" t="n">
        <x:f>T283*S283</x:f>
        <x:v>1.75</x:v>
      </x:c>
      <x:c r="V283" s="93" t="str">
        <x:f>PROPER(TRIM('Raw Sales'!L283))</x:f>
        <x:v>Completed</x:v>
      </x:c>
      <x:c r="W283" s="93" t="n">
        <x:f>IF(V283="Returned",0,T283-U283)</x:f>
        <x:v>33.25</x:v>
      </x:c>
      <x:c r="X283" s="93" t="n">
        <x:f>IF(V283="Returned",Q283*R283*10%,Q283*R283)</x:f>
        <x:v>13</x:v>
      </x:c>
      <x:c r="Y283" s="93" t="n">
        <x:f>W283-X283</x:f>
        <x:v>20.25</x:v>
      </x:c>
      <x:c r="Z283" s="94" t="n">
        <x:f>IFERROR(Y283/W283,0)</x:f>
        <x:v>0.6090225563909775</x:v>
      </x:c>
      <x:c r="AA283" s="84" t="str">
        <x:f>PROPER(TRIM('Raw Sales'!M283))</x:f>
        <x:v>Credit Card</x:v>
      </x:c>
      <x:c r="AB283" s="84" t="str">
        <x:f>PROPER(TRIM('Raw Sales'!N283))</x:f>
        <x:v>Ava Mitchell</x:v>
      </x:c>
      <x:c r="AC283" s="85" t="n">
        <x:f>'Raw Sales'!O283</x:f>
        <x:v>45407</x:v>
      </x:c>
      <x:c r="AD283" s="84" t="n">
        <x:f>AC283-B283</x:f>
        <x:v>4</x:v>
      </x:c>
      <x:c r="AE283" s="84" t="str">
        <x:f>IF(COUNTIF($A$5:A283,A283)&gt;1,"Duplicate","Keep")</x:f>
        <x:v>Keep</x:v>
      </x:c>
      <x:c r="AF283" s="84" t="str">
        <x:f>IF(OR(R283&lt;=0,AC283&lt;B283,H283="Unknown",M283="Unknown Product"),"Review","Valid")</x:f>
        <x:v>Valid</x:v>
      </x:c>
      <x:c r="AG283" s="84" t="n">
        <x:f>IF(AND(AE283="Keep",AF283="Valid"),1,0)</x:f>
        <x:v>1</x:v>
      </x:c>
      <x:c r="AH283" s="84" t="n">
        <x:f>IF(AND(AG283=1,OR('Dashboard'!$B$4="All",I283='Dashboard'!$B$4),OR('Dashboard'!$E$4="All",N283='Dashboard'!$E$4),OR('Dashboard'!$H$4="All",K283='Dashboard'!$H$4),OR('Dashboard'!$K$4="All",C283='Dashboard'!$K$4)),1,0)</x:f>
        <x:v>1</x:v>
      </x:c>
      <x:c r="AI283" s="84" t="n">
        <x:f>IF(AND(AG283=1,OR('Dashboard'!$B$4="All",I283='Dashboard'!$B$4),OR('Dashboard'!$E$4="All",N283='Dashboard'!$E$4),OR('Dashboard'!$H$4="All",K283='Dashboard'!$H$4)),1,0)</x:f>
        <x:v>1</x:v>
      </x:c>
    </x:row>
    <x:row r="284">
      <x:c r="A284" s="84" t="str">
        <x:f>'Raw Sales'!A284</x:f>
        <x:v>ORD-2024-01366</x:v>
      </x:c>
      <x:c r="B284" s="85" t="n">
        <x:f>'Raw Sales'!B284</x:f>
        <x:v>45403</x:v>
      </x:c>
      <x:c r="C284" s="84" t="n">
        <x:f>YEAR(B284)</x:f>
        <x:v>2024</x:v>
      </x:c>
      <x:c r="D284" s="91" t="n">
        <x:f>DATE(YEAR(B284),MONTH(B284),1)</x:f>
        <x:v>45383</x:v>
      </x:c>
      <x:c r="E284" s="84" t="str">
        <x:f>TEXT(B284,"mmm")</x:f>
        <x:v>Apr</x:v>
      </x:c>
      <x:c r="F284" s="84" t="str">
        <x:f>'Raw Sales'!C284</x:f>
        <x:v>CUST-0494</x:v>
      </x:c>
      <x:c r="G284" s="84" t="str">
        <x:f>PROPER(TRIM('Raw Sales'!D284))</x:f>
        <x:v>Zara Taylor</x:v>
      </x:c>
      <x:c r="H284" s="84" t="str">
        <x:f>IF(TRIM('Raw Sales'!E284)="","Unknown",PROPER(TRIM('Raw Sales'!E284)))</x:f>
        <x:v>Consumer</x:v>
      </x:c>
      <x:c r="I284" s="84" t="str">
        <x:f>PROPER(TRIM('Raw Sales'!F284))</x:f>
        <x:v>Southeast</x:v>
      </x:c>
      <x:c r="J284" s="84" t="str">
        <x:f>PROPER(TRIM('Raw Sales'!G284))</x:f>
        <x:v>Atlanta</x:v>
      </x:c>
      <x:c r="K284" s="84" t="str">
        <x:f>PROPER(TRIM('Raw Sales'!H284))</x:f>
        <x:v>Online</x:v>
      </x:c>
      <x:c r="L284" s="84" t="str">
        <x:f>'Raw Sales'!I284</x:f>
        <x:v>ACCS-004</x:v>
      </x:c>
      <x:c r="M284" s="84" t="str">
        <x:f>IFERROR(VLOOKUP(L284,'Reference Data'!$A$5:$F$40,2,FALSE),"Unknown Product")</x:f>
        <x:v>Leather Wallet</x:v>
      </x:c>
      <x:c r="N284" s="84" t="str">
        <x:f>IFERROR(VLOOKUP(L284,'Reference Data'!$A$5:$F$40,3,FALSE),"Unknown")</x:f>
        <x:v>Accessories</x:v>
      </x:c>
      <x:c r="O284" s="84" t="str">
        <x:f>IFERROR(VLOOKUP(L284,'Reference Data'!$A$5:$F$40,4,FALSE),"Unknown")</x:f>
        <x:v>Wallets</x:v>
      </x:c>
      <x:c r="P284" s="92" t="n">
        <x:f>IFERROR(VLOOKUP(L284,'Reference Data'!$A$5:$F$40,5,FALSE),0)</x:f>
        <x:v>49</x:v>
      </x:c>
      <x:c r="Q284" s="92" t="n">
        <x:f>IFERROR(VLOOKUP(L284,'Reference Data'!$A$5:$F$40,6,FALSE),0)</x:f>
        <x:v>18</x:v>
      </x:c>
      <x:c r="R284" s="84" t="n">
        <x:f>'Raw Sales'!J284</x:f>
        <x:v>1</x:v>
      </x:c>
      <x:c r="S284" s="87" t="n">
        <x:f>'Raw Sales'!K284</x:f>
        <x:v>0</x:v>
      </x:c>
      <x:c r="T284" s="93" t="n">
        <x:f>P284*R284</x:f>
        <x:v>49</x:v>
      </x:c>
      <x:c r="U284" s="93" t="n">
        <x:f>T284*S284</x:f>
        <x:v>0</x:v>
      </x:c>
      <x:c r="V284" s="93" t="str">
        <x:f>PROPER(TRIM('Raw Sales'!L284))</x:f>
        <x:v>Completed</x:v>
      </x:c>
      <x:c r="W284" s="93" t="n">
        <x:f>IF(V284="Returned",0,T284-U284)</x:f>
        <x:v>49</x:v>
      </x:c>
      <x:c r="X284" s="93" t="n">
        <x:f>IF(V284="Returned",Q284*R284*10%,Q284*R284)</x:f>
        <x:v>18</x:v>
      </x:c>
      <x:c r="Y284" s="93" t="n">
        <x:f>W284-X284</x:f>
        <x:v>31</x:v>
      </x:c>
      <x:c r="Z284" s="94" t="n">
        <x:f>IFERROR(Y284/W284,0)</x:f>
        <x:v>0.6326530612244898</x:v>
      </x:c>
      <x:c r="AA284" s="84" t="str">
        <x:f>PROPER(TRIM('Raw Sales'!M284))</x:f>
        <x:v>Credit Card</x:v>
      </x:c>
      <x:c r="AB284" s="84" t="str">
        <x:f>PROPER(TRIM('Raw Sales'!N284))</x:f>
        <x:v>Ava Mitchell</x:v>
      </x:c>
      <x:c r="AC284" s="85" t="n">
        <x:f>'Raw Sales'!O284</x:f>
        <x:v>45407</x:v>
      </x:c>
      <x:c r="AD284" s="84" t="n">
        <x:f>AC284-B284</x:f>
        <x:v>4</x:v>
      </x:c>
      <x:c r="AE284" s="84" t="str">
        <x:f>IF(COUNTIF($A$5:A284,A284)&gt;1,"Duplicate","Keep")</x:f>
        <x:v>Keep</x:v>
      </x:c>
      <x:c r="AF284" s="84" t="str">
        <x:f>IF(OR(R284&lt;=0,AC284&lt;B284,H284="Unknown",M284="Unknown Product"),"Review","Valid")</x:f>
        <x:v>Valid</x:v>
      </x:c>
      <x:c r="AG284" s="84" t="n">
        <x:f>IF(AND(AE284="Keep",AF284="Valid"),1,0)</x:f>
        <x:v>1</x:v>
      </x:c>
      <x:c r="AH284" s="84" t="n">
        <x:f>IF(AND(AG284=1,OR('Dashboard'!$B$4="All",I284='Dashboard'!$B$4),OR('Dashboard'!$E$4="All",N284='Dashboard'!$E$4),OR('Dashboard'!$H$4="All",K284='Dashboard'!$H$4),OR('Dashboard'!$K$4="All",C284='Dashboard'!$K$4)),1,0)</x:f>
        <x:v>1</x:v>
      </x:c>
      <x:c r="AI284" s="84" t="n">
        <x:f>IF(AND(AG284=1,OR('Dashboard'!$B$4="All",I284='Dashboard'!$B$4),OR('Dashboard'!$E$4="All",N284='Dashboard'!$E$4),OR('Dashboard'!$H$4="All",K284='Dashboard'!$H$4)),1,0)</x:f>
        <x:v>1</x:v>
      </x:c>
    </x:row>
    <x:row r="285">
      <x:c r="A285" s="84" t="str">
        <x:f>'Raw Sales'!A285</x:f>
        <x:v>ORD-2024-02280</x:v>
      </x:c>
      <x:c r="B285" s="85" t="n">
        <x:f>'Raw Sales'!B285</x:f>
        <x:v>45403</x:v>
      </x:c>
      <x:c r="C285" s="84" t="n">
        <x:f>YEAR(B285)</x:f>
        <x:v>2024</x:v>
      </x:c>
      <x:c r="D285" s="91" t="n">
        <x:f>DATE(YEAR(B285),MONTH(B285),1)</x:f>
        <x:v>45383</x:v>
      </x:c>
      <x:c r="E285" s="84" t="str">
        <x:f>TEXT(B285,"mmm")</x:f>
        <x:v>Apr</x:v>
      </x:c>
      <x:c r="F285" s="84" t="str">
        <x:f>'Raw Sales'!C285</x:f>
        <x:v>CUST-0395</x:v>
      </x:c>
      <x:c r="G285" s="84" t="str">
        <x:f>PROPER(TRIM('Raw Sales'!D285))</x:f>
        <x:v>Sara Baker</x:v>
      </x:c>
      <x:c r="H285" s="84" t="str">
        <x:f>IF(TRIM('Raw Sales'!E285)="","Unknown",PROPER(TRIM('Raw Sales'!E285)))</x:f>
        <x:v>Consumer</x:v>
      </x:c>
      <x:c r="I285" s="84" t="str">
        <x:f>PROPER(TRIM('Raw Sales'!F285))</x:f>
        <x:v>West</x:v>
      </x:c>
      <x:c r="J285" s="84" t="str">
        <x:f>PROPER(TRIM('Raw Sales'!G285))</x:f>
        <x:v>Denver</x:v>
      </x:c>
      <x:c r="K285" s="84" t="str">
        <x:f>PROPER(TRIM('Raw Sales'!H285))</x:f>
        <x:v>Online</x:v>
      </x:c>
      <x:c r="L285" s="84" t="str">
        <x:f>'Raw Sales'!I285</x:f>
        <x:v>ACCS-002</x:v>
      </x:c>
      <x:c r="M285" s="84" t="str">
        <x:f>IFERROR(VLOOKUP(L285,'Reference Data'!$A$5:$F$40,2,FALSE),"Unknown Product")</x:f>
        <x:v>Travel Backpack</x:v>
      </x:c>
      <x:c r="N285" s="84" t="str">
        <x:f>IFERROR(VLOOKUP(L285,'Reference Data'!$A$5:$F$40,3,FALSE),"Unknown")</x:f>
        <x:v>Accessories</x:v>
      </x:c>
      <x:c r="O285" s="84" t="str">
        <x:f>IFERROR(VLOOKUP(L285,'Reference Data'!$A$5:$F$40,4,FALSE),"Unknown")</x:f>
        <x:v>Bags</x:v>
      </x:c>
      <x:c r="P285" s="92" t="n">
        <x:f>IFERROR(VLOOKUP(L285,'Reference Data'!$A$5:$F$40,5,FALSE),0)</x:f>
        <x:v>89</x:v>
      </x:c>
      <x:c r="Q285" s="92" t="n">
        <x:f>IFERROR(VLOOKUP(L285,'Reference Data'!$A$5:$F$40,6,FALSE),0)</x:f>
        <x:v>36</x:v>
      </x:c>
      <x:c r="R285" s="84" t="n">
        <x:f>'Raw Sales'!J285</x:f>
        <x:v>1</x:v>
      </x:c>
      <x:c r="S285" s="87" t="n">
        <x:f>'Raw Sales'!K285</x:f>
        <x:v>0</x:v>
      </x:c>
      <x:c r="T285" s="93" t="n">
        <x:f>P285*R285</x:f>
        <x:v>89</x:v>
      </x:c>
      <x:c r="U285" s="93" t="n">
        <x:f>T285*S285</x:f>
        <x:v>0</x:v>
      </x:c>
      <x:c r="V285" s="93" t="str">
        <x:f>PROPER(TRIM('Raw Sales'!L285))</x:f>
        <x:v>Completed</x:v>
      </x:c>
      <x:c r="W285" s="93" t="n">
        <x:f>IF(V285="Returned",0,T285-U285)</x:f>
        <x:v>89</x:v>
      </x:c>
      <x:c r="X285" s="93" t="n">
        <x:f>IF(V285="Returned",Q285*R285*10%,Q285*R285)</x:f>
        <x:v>36</x:v>
      </x:c>
      <x:c r="Y285" s="93" t="n">
        <x:f>W285-X285</x:f>
        <x:v>53</x:v>
      </x:c>
      <x:c r="Z285" s="94" t="n">
        <x:f>IFERROR(Y285/W285,0)</x:f>
        <x:v>0.5955056179775281</x:v>
      </x:c>
      <x:c r="AA285" s="84" t="str">
        <x:f>PROPER(TRIM('Raw Sales'!M285))</x:f>
        <x:v>Debit Card</x:v>
      </x:c>
      <x:c r="AB285" s="84" t="str">
        <x:f>PROPER(TRIM('Raw Sales'!N285))</x:f>
        <x:v>Mia Chen</x:v>
      </x:c>
      <x:c r="AC285" s="85" t="n">
        <x:f>'Raw Sales'!O285</x:f>
        <x:v>45406</x:v>
      </x:c>
      <x:c r="AD285" s="84" t="n">
        <x:f>AC285-B285</x:f>
        <x:v>3</x:v>
      </x:c>
      <x:c r="AE285" s="84" t="str">
        <x:f>IF(COUNTIF($A$5:A285,A285)&gt;1,"Duplicate","Keep")</x:f>
        <x:v>Keep</x:v>
      </x:c>
      <x:c r="AF285" s="84" t="str">
        <x:f>IF(OR(R285&lt;=0,AC285&lt;B285,H285="Unknown",M285="Unknown Product"),"Review","Valid")</x:f>
        <x:v>Valid</x:v>
      </x:c>
      <x:c r="AG285" s="84" t="n">
        <x:f>IF(AND(AE285="Keep",AF285="Valid"),1,0)</x:f>
        <x:v>1</x:v>
      </x:c>
      <x:c r="AH285" s="84" t="n">
        <x:f>IF(AND(AG285=1,OR('Dashboard'!$B$4="All",I285='Dashboard'!$B$4),OR('Dashboard'!$E$4="All",N285='Dashboard'!$E$4),OR('Dashboard'!$H$4="All",K285='Dashboard'!$H$4),OR('Dashboard'!$K$4="All",C285='Dashboard'!$K$4)),1,0)</x:f>
        <x:v>1</x:v>
      </x:c>
      <x:c r="AI285" s="84" t="n">
        <x:f>IF(AND(AG285=1,OR('Dashboard'!$B$4="All",I285='Dashboard'!$B$4),OR('Dashboard'!$E$4="All",N285='Dashboard'!$E$4),OR('Dashboard'!$H$4="All",K285='Dashboard'!$H$4)),1,0)</x:f>
        <x:v>1</x:v>
      </x:c>
    </x:row>
    <x:row r="286">
      <x:c r="A286" s="84" t="str">
        <x:f>'Raw Sales'!A286</x:f>
        <x:v>ORD-2024-02368</x:v>
      </x:c>
      <x:c r="B286" s="85" t="n">
        <x:f>'Raw Sales'!B286</x:f>
        <x:v>45403</x:v>
      </x:c>
      <x:c r="C286" s="84" t="n">
        <x:f>YEAR(B286)</x:f>
        <x:v>2024</x:v>
      </x:c>
      <x:c r="D286" s="91" t="n">
        <x:f>DATE(YEAR(B286),MONTH(B286),1)</x:f>
        <x:v>45383</x:v>
      </x:c>
      <x:c r="E286" s="84" t="str">
        <x:f>TEXT(B286,"mmm")</x:f>
        <x:v>Apr</x:v>
      </x:c>
      <x:c r="F286" s="84" t="str">
        <x:f>'Raw Sales'!C286</x:f>
        <x:v>CUST-0549</x:v>
      </x:c>
      <x:c r="G286" s="84" t="str">
        <x:f>PROPER(TRIM('Raw Sales'!D286))</x:f>
        <x:v>Marcus Patel</x:v>
      </x:c>
      <x:c r="H286" s="84" t="str">
        <x:f>IF(TRIM('Raw Sales'!E286)="","Unknown",PROPER(TRIM('Raw Sales'!E286)))</x:f>
        <x:v>Small Business</x:v>
      </x:c>
      <x:c r="I286" s="84" t="str">
        <x:f>PROPER(TRIM('Raw Sales'!F286))</x:f>
        <x:v>Northeast</x:v>
      </x:c>
      <x:c r="J286" s="84" t="str">
        <x:f>PROPER(TRIM('Raw Sales'!G286))</x:f>
        <x:v>Boston</x:v>
      </x:c>
      <x:c r="K286" s="84" t="str">
        <x:f>PROPER(TRIM('Raw Sales'!H286))</x:f>
        <x:v>Online</x:v>
      </x:c>
      <x:c r="L286" s="84" t="str">
        <x:f>'Raw Sales'!I286</x:f>
        <x:v>ACCS-003</x:v>
      </x:c>
      <x:c r="M286" s="84" t="str">
        <x:f>IFERROR(VLOOKUP(L286,'Reference Data'!$A$5:$F$40,2,FALSE),"Unknown Product")</x:f>
        <x:v>Polarized Sunglasses</x:v>
      </x:c>
      <x:c r="N286" s="84" t="str">
        <x:f>IFERROR(VLOOKUP(L286,'Reference Data'!$A$5:$F$40,3,FALSE),"Unknown")</x:f>
        <x:v>Accessories</x:v>
      </x:c>
      <x:c r="O286" s="84" t="str">
        <x:f>IFERROR(VLOOKUP(L286,'Reference Data'!$A$5:$F$40,4,FALSE),"Unknown")</x:f>
        <x:v>Eyewear</x:v>
      </x:c>
      <x:c r="P286" s="92" t="n">
        <x:f>IFERROR(VLOOKUP(L286,'Reference Data'!$A$5:$F$40,5,FALSE),0)</x:f>
        <x:v>59</x:v>
      </x:c>
      <x:c r="Q286" s="92" t="n">
        <x:f>IFERROR(VLOOKUP(L286,'Reference Data'!$A$5:$F$40,6,FALSE),0)</x:f>
        <x:v>17</x:v>
      </x:c>
      <x:c r="R286" s="84" t="n">
        <x:f>'Raw Sales'!J286</x:f>
        <x:v>1</x:v>
      </x:c>
      <x:c r="S286" s="87" t="n">
        <x:f>'Raw Sales'!K286</x:f>
        <x:v>0</x:v>
      </x:c>
      <x:c r="T286" s="93" t="n">
        <x:f>P286*R286</x:f>
        <x:v>59</x:v>
      </x:c>
      <x:c r="U286" s="93" t="n">
        <x:f>T286*S286</x:f>
        <x:v>0</x:v>
      </x:c>
      <x:c r="V286" s="93" t="str">
        <x:f>PROPER(TRIM('Raw Sales'!L286))</x:f>
        <x:v>Completed</x:v>
      </x:c>
      <x:c r="W286" s="93" t="n">
        <x:f>IF(V286="Returned",0,T286-U286)</x:f>
        <x:v>59</x:v>
      </x:c>
      <x:c r="X286" s="93" t="n">
        <x:f>IF(V286="Returned",Q286*R286*10%,Q286*R286)</x:f>
        <x:v>17</x:v>
      </x:c>
      <x:c r="Y286" s="93" t="n">
        <x:f>W286-X286</x:f>
        <x:v>42</x:v>
      </x:c>
      <x:c r="Z286" s="94" t="n">
        <x:f>IFERROR(Y286/W286,0)</x:f>
        <x:v>0.711864406779661</x:v>
      </x:c>
      <x:c r="AA286" s="84" t="str">
        <x:f>PROPER(TRIM('Raw Sales'!M286))</x:f>
        <x:v>Credit Card</x:v>
      </x:c>
      <x:c r="AB286" s="84" t="str">
        <x:f>PROPER(TRIM('Raw Sales'!N286))</x:f>
        <x:v>Ethan Cole</x:v>
      </x:c>
      <x:c r="AC286" s="85" t="n">
        <x:f>'Raw Sales'!O286</x:f>
        <x:v>45407</x:v>
      </x:c>
      <x:c r="AD286" s="84" t="n">
        <x:f>AC286-B286</x:f>
        <x:v>4</x:v>
      </x:c>
      <x:c r="AE286" s="84" t="str">
        <x:f>IF(COUNTIF($A$5:A286,A286)&gt;1,"Duplicate","Keep")</x:f>
        <x:v>Keep</x:v>
      </x:c>
      <x:c r="AF286" s="84" t="str">
        <x:f>IF(OR(R286&lt;=0,AC286&lt;B286,H286="Unknown",M286="Unknown Product"),"Review","Valid")</x:f>
        <x:v>Valid</x:v>
      </x:c>
      <x:c r="AG286" s="84" t="n">
        <x:f>IF(AND(AE286="Keep",AF286="Valid"),1,0)</x:f>
        <x:v>1</x:v>
      </x:c>
      <x:c r="AH286" s="84" t="n">
        <x:f>IF(AND(AG286=1,OR('Dashboard'!$B$4="All",I286='Dashboard'!$B$4),OR('Dashboard'!$E$4="All",N286='Dashboard'!$E$4),OR('Dashboard'!$H$4="All",K286='Dashboard'!$H$4),OR('Dashboard'!$K$4="All",C286='Dashboard'!$K$4)),1,0)</x:f>
        <x:v>1</x:v>
      </x:c>
      <x:c r="AI286" s="84" t="n">
        <x:f>IF(AND(AG286=1,OR('Dashboard'!$B$4="All",I286='Dashboard'!$B$4),OR('Dashboard'!$E$4="All",N286='Dashboard'!$E$4),OR('Dashboard'!$H$4="All",K286='Dashboard'!$H$4)),1,0)</x:f>
        <x:v>1</x:v>
      </x:c>
    </x:row>
    <x:row r="287">
      <x:c r="A287" s="84" t="str">
        <x:f>'Raw Sales'!A287</x:f>
        <x:v>ORD-2024-01107</x:v>
      </x:c>
      <x:c r="B287" s="85" t="n">
        <x:f>'Raw Sales'!B287</x:f>
        <x:v>45404</x:v>
      </x:c>
      <x:c r="C287" s="84" t="n">
        <x:f>YEAR(B287)</x:f>
        <x:v>2024</x:v>
      </x:c>
      <x:c r="D287" s="91" t="n">
        <x:f>DATE(YEAR(B287),MONTH(B287),1)</x:f>
        <x:v>45383</x:v>
      </x:c>
      <x:c r="E287" s="84" t="str">
        <x:f>TEXT(B287,"mmm")</x:f>
        <x:v>Apr</x:v>
      </x:c>
      <x:c r="F287" s="84" t="str">
        <x:f>'Raw Sales'!C287</x:f>
        <x:v>CUST-0534</x:v>
      </x:c>
      <x:c r="G287" s="84" t="str">
        <x:f>PROPER(TRIM('Raw Sales'!D287))</x:f>
        <x:v>Chloe Evans</x:v>
      </x:c>
      <x:c r="H287" s="84" t="str">
        <x:f>IF(TRIM('Raw Sales'!E287)="","Unknown",PROPER(TRIM('Raw Sales'!E287)))</x:f>
        <x:v>Corporate</x:v>
      </x:c>
      <x:c r="I287" s="84" t="str">
        <x:f>PROPER(TRIM('Raw Sales'!F287))</x:f>
        <x:v>West</x:v>
      </x:c>
      <x:c r="J287" s="84" t="str">
        <x:f>PROPER(TRIM('Raw Sales'!G287))</x:f>
        <x:v>Phoenix</x:v>
      </x:c>
      <x:c r="K287" s="84" t="str">
        <x:f>PROPER(TRIM('Raw Sales'!H287))</x:f>
        <x:v>Marketplace</x:v>
      </x:c>
      <x:c r="L287" s="84" t="str">
        <x:f>'Raw Sales'!I287</x:f>
        <x:v>ELEC-005</x:v>
      </x:c>
      <x:c r="M287" s="84" t="str">
        <x:f>IFERROR(VLOOKUP(L287,'Reference Data'!$A$5:$F$40,2,FALSE),"Unknown Product")</x:f>
        <x:v>HD Webcam</x:v>
      </x:c>
      <x:c r="N287" s="84" t="str">
        <x:f>IFERROR(VLOOKUP(L287,'Reference Data'!$A$5:$F$40,3,FALSE),"Unknown")</x:f>
        <x:v>Electronics</x:v>
      </x:c>
      <x:c r="O287" s="84" t="str">
        <x:f>IFERROR(VLOOKUP(L287,'Reference Data'!$A$5:$F$40,4,FALSE),"Unknown")</x:f>
        <x:v>Computer Accessories</x:v>
      </x:c>
      <x:c r="P287" s="92" t="n">
        <x:f>IFERROR(VLOOKUP(L287,'Reference Data'!$A$5:$F$40,5,FALSE),0)</x:f>
        <x:v>79</x:v>
      </x:c>
      <x:c r="Q287" s="92" t="n">
        <x:f>IFERROR(VLOOKUP(L287,'Reference Data'!$A$5:$F$40,6,FALSE),0)</x:f>
        <x:v>37</x:v>
      </x:c>
      <x:c r="R287" s="84" t="n">
        <x:f>'Raw Sales'!J287</x:f>
        <x:v>3</x:v>
      </x:c>
      <x:c r="S287" s="87" t="n">
        <x:f>'Raw Sales'!K287</x:f>
        <x:v>0.15</x:v>
      </x:c>
      <x:c r="T287" s="93" t="n">
        <x:f>P287*R287</x:f>
        <x:v>237</x:v>
      </x:c>
      <x:c r="U287" s="93" t="n">
        <x:f>T287*S287</x:f>
        <x:v>35.55</x:v>
      </x:c>
      <x:c r="V287" s="93" t="str">
        <x:f>PROPER(TRIM('Raw Sales'!L287))</x:f>
        <x:v>Completed</x:v>
      </x:c>
      <x:c r="W287" s="93" t="n">
        <x:f>IF(V287="Returned",0,T287-U287)</x:f>
        <x:v>201.45</x:v>
      </x:c>
      <x:c r="X287" s="93" t="n">
        <x:f>IF(V287="Returned",Q287*R287*10%,Q287*R287)</x:f>
        <x:v>111</x:v>
      </x:c>
      <x:c r="Y287" s="93" t="n">
        <x:f>W287-X287</x:f>
        <x:v>90.44999999999999</x:v>
      </x:c>
      <x:c r="Z287" s="94" t="n">
        <x:f>IFERROR(Y287/W287,0)</x:f>
        <x:v>0.4489947877885331</x:v>
      </x:c>
      <x:c r="AA287" s="84" t="str">
        <x:f>PROPER(TRIM('Raw Sales'!M287))</x:f>
        <x:v>Credit Card</x:v>
      </x:c>
      <x:c r="AB287" s="84" t="str">
        <x:f>PROPER(TRIM('Raw Sales'!N287))</x:f>
        <x:v>Leo Martinez</x:v>
      </x:c>
      <x:c r="AC287" s="85" t="n">
        <x:f>'Raw Sales'!O287</x:f>
        <x:v>45410</x:v>
      </x:c>
      <x:c r="AD287" s="84" t="n">
        <x:f>AC287-B287</x:f>
        <x:v>6</x:v>
      </x:c>
      <x:c r="AE287" s="84" t="str">
        <x:f>IF(COUNTIF($A$5:A287,A287)&gt;1,"Duplicate","Keep")</x:f>
        <x:v>Keep</x:v>
      </x:c>
      <x:c r="AF287" s="84" t="str">
        <x:f>IF(OR(R287&lt;=0,AC287&lt;B287,H287="Unknown",M287="Unknown Product"),"Review","Valid")</x:f>
        <x:v>Valid</x:v>
      </x:c>
      <x:c r="AG287" s="84" t="n">
        <x:f>IF(AND(AE287="Keep",AF287="Valid"),1,0)</x:f>
        <x:v>1</x:v>
      </x:c>
      <x:c r="AH287" s="84" t="n">
        <x:f>IF(AND(AG287=1,OR('Dashboard'!$B$4="All",I287='Dashboard'!$B$4),OR('Dashboard'!$E$4="All",N287='Dashboard'!$E$4),OR('Dashboard'!$H$4="All",K287='Dashboard'!$H$4),OR('Dashboard'!$K$4="All",C287='Dashboard'!$K$4)),1,0)</x:f>
        <x:v>1</x:v>
      </x:c>
      <x:c r="AI287" s="84" t="n">
        <x:f>IF(AND(AG287=1,OR('Dashboard'!$B$4="All",I287='Dashboard'!$B$4),OR('Dashboard'!$E$4="All",N287='Dashboard'!$E$4),OR('Dashboard'!$H$4="All",K287='Dashboard'!$H$4)),1,0)</x:f>
        <x:v>1</x:v>
      </x:c>
    </x:row>
    <x:row r="288">
      <x:c r="A288" s="84" t="str">
        <x:f>'Raw Sales'!A288</x:f>
        <x:v>ORD-2024-01696</x:v>
      </x:c>
      <x:c r="B288" s="85" t="n">
        <x:f>'Raw Sales'!B288</x:f>
        <x:v>45405</x:v>
      </x:c>
      <x:c r="C288" s="84" t="n">
        <x:f>YEAR(B288)</x:f>
        <x:v>2024</x:v>
      </x:c>
      <x:c r="D288" s="91" t="n">
        <x:f>DATE(YEAR(B288),MONTH(B288),1)</x:f>
        <x:v>45383</x:v>
      </x:c>
      <x:c r="E288" s="84" t="str">
        <x:f>TEXT(B288,"mmm")</x:f>
        <x:v>Apr</x:v>
      </x:c>
      <x:c r="F288" s="84" t="str">
        <x:f>'Raw Sales'!C288</x:f>
        <x:v>CUST-0157</x:v>
      </x:c>
      <x:c r="G288" s="84" t="str">
        <x:f>PROPER(TRIM('Raw Sales'!D288))</x:f>
        <x:v>Isaac Smith</x:v>
      </x:c>
      <x:c r="H288" s="84" t="str">
        <x:f>IF(TRIM('Raw Sales'!E288)="","Unknown",PROPER(TRIM('Raw Sales'!E288)))</x:f>
        <x:v>Corporate</x:v>
      </x:c>
      <x:c r="I288" s="84" t="str">
        <x:f>PROPER(TRIM('Raw Sales'!F288))</x:f>
        <x:v>West</x:v>
      </x:c>
      <x:c r="J288" s="84" t="str">
        <x:f>PROPER(TRIM('Raw Sales'!G288))</x:f>
        <x:v>Los Angeles</x:v>
      </x:c>
      <x:c r="K288" s="84" t="str">
        <x:f>PROPER(TRIM('Raw Sales'!H288))</x:f>
        <x:v>Retail Store</x:v>
      </x:c>
      <x:c r="L288" s="84" t="str">
        <x:f>'Raw Sales'!I288</x:f>
        <x:v>ELEC-004</x:v>
      </x:c>
      <x:c r="M288" s="84" t="str">
        <x:f>IFERROR(VLOOKUP(L288,'Reference Data'!$A$5:$F$40,2,FALSE),"Unknown Product")</x:f>
        <x:v>Power Bank</x:v>
      </x:c>
      <x:c r="N288" s="84" t="str">
        <x:f>IFERROR(VLOOKUP(L288,'Reference Data'!$A$5:$F$40,3,FALSE),"Unknown")</x:f>
        <x:v>Electronics</x:v>
      </x:c>
      <x:c r="O288" s="84" t="str">
        <x:f>IFERROR(VLOOKUP(L288,'Reference Data'!$A$5:$F$40,4,FALSE),"Unknown")</x:f>
        <x:v>Mobile Accessories</x:v>
      </x:c>
      <x:c r="P288" s="92" t="n">
        <x:f>IFERROR(VLOOKUP(L288,'Reference Data'!$A$5:$F$40,5,FALSE),0)</x:f>
        <x:v>39</x:v>
      </x:c>
      <x:c r="Q288" s="92" t="n">
        <x:f>IFERROR(VLOOKUP(L288,'Reference Data'!$A$5:$F$40,6,FALSE),0)</x:f>
        <x:v>18</x:v>
      </x:c>
      <x:c r="R288" s="84" t="n">
        <x:f>'Raw Sales'!J288</x:f>
        <x:v>3</x:v>
      </x:c>
      <x:c r="S288" s="87" t="n">
        <x:f>'Raw Sales'!K288</x:f>
        <x:v>0</x:v>
      </x:c>
      <x:c r="T288" s="93" t="n">
        <x:f>P288*R288</x:f>
        <x:v>117</x:v>
      </x:c>
      <x:c r="U288" s="93" t="n">
        <x:f>T288*S288</x:f>
        <x:v>0</x:v>
      </x:c>
      <x:c r="V288" s="93" t="str">
        <x:f>PROPER(TRIM('Raw Sales'!L288))</x:f>
        <x:v>Completed</x:v>
      </x:c>
      <x:c r="W288" s="93" t="n">
        <x:f>IF(V288="Returned",0,T288-U288)</x:f>
        <x:v>117</x:v>
      </x:c>
      <x:c r="X288" s="93" t="n">
        <x:f>IF(V288="Returned",Q288*R288*10%,Q288*R288)</x:f>
        <x:v>54</x:v>
      </x:c>
      <x:c r="Y288" s="93" t="n">
        <x:f>W288-X288</x:f>
        <x:v>63</x:v>
      </x:c>
      <x:c r="Z288" s="94" t="n">
        <x:f>IFERROR(Y288/W288,0)</x:f>
        <x:v>0.5384615384615384</x:v>
      </x:c>
      <x:c r="AA288" s="84" t="str">
        <x:f>PROPER(TRIM('Raw Sales'!M288))</x:f>
        <x:v>Credit Card</x:v>
      </x:c>
      <x:c r="AB288" s="84" t="str">
        <x:f>PROPER(TRIM('Raw Sales'!N288))</x:f>
        <x:v>Leo Martinez</x:v>
      </x:c>
      <x:c r="AC288" s="85" t="n">
        <x:f>'Raw Sales'!O288</x:f>
        <x:v>45405</x:v>
      </x:c>
      <x:c r="AD288" s="84" t="n">
        <x:f>AC288-B288</x:f>
        <x:v>0</x:v>
      </x:c>
      <x:c r="AE288" s="84" t="str">
        <x:f>IF(COUNTIF($A$5:A288,A288)&gt;1,"Duplicate","Keep")</x:f>
        <x:v>Keep</x:v>
      </x:c>
      <x:c r="AF288" s="84" t="str">
        <x:f>IF(OR(R288&lt;=0,AC288&lt;B288,H288="Unknown",M288="Unknown Product"),"Review","Valid")</x:f>
        <x:v>Valid</x:v>
      </x:c>
      <x:c r="AG288" s="84" t="n">
        <x:f>IF(AND(AE288="Keep",AF288="Valid"),1,0)</x:f>
        <x:v>1</x:v>
      </x:c>
      <x:c r="AH288" s="84" t="n">
        <x:f>IF(AND(AG288=1,OR('Dashboard'!$B$4="All",I288='Dashboard'!$B$4),OR('Dashboard'!$E$4="All",N288='Dashboard'!$E$4),OR('Dashboard'!$H$4="All",K288='Dashboard'!$H$4),OR('Dashboard'!$K$4="All",C288='Dashboard'!$K$4)),1,0)</x:f>
        <x:v>1</x:v>
      </x:c>
      <x:c r="AI288" s="84" t="n">
        <x:f>IF(AND(AG288=1,OR('Dashboard'!$B$4="All",I288='Dashboard'!$B$4),OR('Dashboard'!$E$4="All",N288='Dashboard'!$E$4),OR('Dashboard'!$H$4="All",K288='Dashboard'!$H$4)),1,0)</x:f>
        <x:v>1</x:v>
      </x:c>
    </x:row>
    <x:row r="289">
      <x:c r="A289" s="84" t="str">
        <x:f>'Raw Sales'!A289</x:f>
        <x:v>ORD-2024-02008</x:v>
      </x:c>
      <x:c r="B289" s="85" t="n">
        <x:f>'Raw Sales'!B289</x:f>
        <x:v>45405</x:v>
      </x:c>
      <x:c r="C289" s="84" t="n">
        <x:f>YEAR(B289)</x:f>
        <x:v>2024</x:v>
      </x:c>
      <x:c r="D289" s="91" t="n">
        <x:f>DATE(YEAR(B289),MONTH(B289),1)</x:f>
        <x:v>45383</x:v>
      </x:c>
      <x:c r="E289" s="84" t="str">
        <x:f>TEXT(B289,"mmm")</x:f>
        <x:v>Apr</x:v>
      </x:c>
      <x:c r="F289" s="84" t="str">
        <x:f>'Raw Sales'!C289</x:f>
        <x:v>CUST-0628</x:v>
      </x:c>
      <x:c r="G289" s="84" t="str">
        <x:f>PROPER(TRIM('Raw Sales'!D289))</x:f>
        <x:v>Isaac Young</x:v>
      </x:c>
      <x:c r="H289" s="84" t="str">
        <x:f>IF(TRIM('Raw Sales'!E289)="","Unknown",PROPER(TRIM('Raw Sales'!E289)))</x:f>
        <x:v>Small Business</x:v>
      </x:c>
      <x:c r="I289" s="84" t="str">
        <x:f>PROPER(TRIM('Raw Sales'!F289))</x:f>
        <x:v>West</x:v>
      </x:c>
      <x:c r="J289" s="84" t="str">
        <x:f>PROPER(TRIM('Raw Sales'!G289))</x:f>
        <x:v>Denver</x:v>
      </x:c>
      <x:c r="K289" s="84" t="str">
        <x:f>PROPER(TRIM('Raw Sales'!H289))</x:f>
        <x:v>Retail Store</x:v>
      </x:c>
      <x:c r="L289" s="84" t="str">
        <x:f>'Raw Sales'!I289</x:f>
        <x:v>HOME-005</x:v>
      </x:c>
      <x:c r="M289" s="84" t="str">
        <x:f>IFERROR(VLOOKUP(L289,'Reference Data'!$A$5:$F$40,2,FALSE),"Unknown Product")</x:f>
        <x:v>Cordless Vacuum</x:v>
      </x:c>
      <x:c r="N289" s="84" t="str">
        <x:f>IFERROR(VLOOKUP(L289,'Reference Data'!$A$5:$F$40,3,FALSE),"Unknown")</x:f>
        <x:v>Home &amp; Kitchen</x:v>
      </x:c>
      <x:c r="O289" s="84" t="str">
        <x:f>IFERROR(VLOOKUP(L289,'Reference Data'!$A$5:$F$40,4,FALSE),"Unknown")</x:f>
        <x:v>Cleaning</x:v>
      </x:c>
      <x:c r="P289" s="92" t="n">
        <x:f>IFERROR(VLOOKUP(L289,'Reference Data'!$A$5:$F$40,5,FALSE),0)</x:f>
        <x:v>179</x:v>
      </x:c>
      <x:c r="Q289" s="92" t="n">
        <x:f>IFERROR(VLOOKUP(L289,'Reference Data'!$A$5:$F$40,6,FALSE),0)</x:f>
        <x:v>102</x:v>
      </x:c>
      <x:c r="R289" s="84" t="n">
        <x:f>'Raw Sales'!J289</x:f>
        <x:v>1</x:v>
      </x:c>
      <x:c r="S289" s="87" t="n">
        <x:f>'Raw Sales'!K289</x:f>
        <x:v>0.15</x:v>
      </x:c>
      <x:c r="T289" s="93" t="n">
        <x:f>P289*R289</x:f>
        <x:v>179</x:v>
      </x:c>
      <x:c r="U289" s="93" t="n">
        <x:f>T289*S289</x:f>
        <x:v>26.849999999999998</x:v>
      </x:c>
      <x:c r="V289" s="93" t="str">
        <x:f>PROPER(TRIM('Raw Sales'!L289))</x:f>
        <x:v>Completed</x:v>
      </x:c>
      <x:c r="W289" s="93" t="n">
        <x:f>IF(V289="Returned",0,T289-U289)</x:f>
        <x:v>152.15</x:v>
      </x:c>
      <x:c r="X289" s="93" t="n">
        <x:f>IF(V289="Returned",Q289*R289*10%,Q289*R289)</x:f>
        <x:v>102</x:v>
      </x:c>
      <x:c r="Y289" s="93" t="n">
        <x:f>W289-X289</x:f>
        <x:v>50.150000000000006</x:v>
      </x:c>
      <x:c r="Z289" s="94" t="n">
        <x:f>IFERROR(Y289/W289,0)</x:f>
        <x:v>0.3296089385474861</x:v>
      </x:c>
      <x:c r="AA289" s="84" t="str">
        <x:f>PROPER(TRIM('Raw Sales'!M289))</x:f>
        <x:v>Credit Card</x:v>
      </x:c>
      <x:c r="AB289" s="84" t="str">
        <x:f>PROPER(TRIM('Raw Sales'!N289))</x:f>
        <x:v>Leo Martinez</x:v>
      </x:c>
      <x:c r="AC289" s="85" t="n">
        <x:f>'Raw Sales'!O289</x:f>
        <x:v>45406</x:v>
      </x:c>
      <x:c r="AD289" s="84" t="n">
        <x:f>AC289-B289</x:f>
        <x:v>1</x:v>
      </x:c>
      <x:c r="AE289" s="84" t="str">
        <x:f>IF(COUNTIF($A$5:A289,A289)&gt;1,"Duplicate","Keep")</x:f>
        <x:v>Keep</x:v>
      </x:c>
      <x:c r="AF289" s="84" t="str">
        <x:f>IF(OR(R289&lt;=0,AC289&lt;B289,H289="Unknown",M289="Unknown Product"),"Review","Valid")</x:f>
        <x:v>Valid</x:v>
      </x:c>
      <x:c r="AG289" s="84" t="n">
        <x:f>IF(AND(AE289="Keep",AF289="Valid"),1,0)</x:f>
        <x:v>1</x:v>
      </x:c>
      <x:c r="AH289" s="84" t="n">
        <x:f>IF(AND(AG289=1,OR('Dashboard'!$B$4="All",I289='Dashboard'!$B$4),OR('Dashboard'!$E$4="All",N289='Dashboard'!$E$4),OR('Dashboard'!$H$4="All",K289='Dashboard'!$H$4),OR('Dashboard'!$K$4="All",C289='Dashboard'!$K$4)),1,0)</x:f>
        <x:v>1</x:v>
      </x:c>
      <x:c r="AI289" s="84" t="n">
        <x:f>IF(AND(AG289=1,OR('Dashboard'!$B$4="All",I289='Dashboard'!$B$4),OR('Dashboard'!$E$4="All",N289='Dashboard'!$E$4),OR('Dashboard'!$H$4="All",K289='Dashboard'!$H$4)),1,0)</x:f>
        <x:v>1</x:v>
      </x:c>
    </x:row>
    <x:row r="290">
      <x:c r="A290" s="84" t="str">
        <x:f>'Raw Sales'!A290</x:f>
        <x:v>ORD-2024-01023</x:v>
      </x:c>
      <x:c r="B290" s="85" t="n">
        <x:f>'Raw Sales'!B290</x:f>
        <x:v>45406</x:v>
      </x:c>
      <x:c r="C290" s="84" t="n">
        <x:f>YEAR(B290)</x:f>
        <x:v>2024</x:v>
      </x:c>
      <x:c r="D290" s="91" t="n">
        <x:f>DATE(YEAR(B290),MONTH(B290),1)</x:f>
        <x:v>45383</x:v>
      </x:c>
      <x:c r="E290" s="84" t="str">
        <x:f>TEXT(B290,"mmm")</x:f>
        <x:v>Apr</x:v>
      </x:c>
      <x:c r="F290" s="84" t="str">
        <x:f>'Raw Sales'!C290</x:f>
        <x:v>CUST-0363</x:v>
      </x:c>
      <x:c r="G290" s="84" t="str">
        <x:f>PROPER(TRIM('Raw Sales'!D290))</x:f>
        <x:v>Jasmine Baker</x:v>
      </x:c>
      <x:c r="H290" s="84" t="str">
        <x:f>IF(TRIM('Raw Sales'!E290)="","Unknown",PROPER(TRIM('Raw Sales'!E290)))</x:f>
        <x:v>Corporate</x:v>
      </x:c>
      <x:c r="I290" s="84" t="str">
        <x:f>PROPER(TRIM('Raw Sales'!F290))</x:f>
        <x:v>Midwest</x:v>
      </x:c>
      <x:c r="J290" s="84" t="str">
        <x:f>PROPER(TRIM('Raw Sales'!G290))</x:f>
        <x:v>Minneapolis</x:v>
      </x:c>
      <x:c r="K290" s="84" t="str">
        <x:f>PROPER(TRIM('Raw Sales'!H290))</x:f>
        <x:v>Marketplace</x:v>
      </x:c>
      <x:c r="L290" s="84" t="str">
        <x:f>'Raw Sales'!I290</x:f>
        <x:v>ELEC-004</x:v>
      </x:c>
      <x:c r="M290" s="84" t="str">
        <x:f>IFERROR(VLOOKUP(L290,'Reference Data'!$A$5:$F$40,2,FALSE),"Unknown Product")</x:f>
        <x:v>Power Bank</x:v>
      </x:c>
      <x:c r="N290" s="84" t="str">
        <x:f>IFERROR(VLOOKUP(L290,'Reference Data'!$A$5:$F$40,3,FALSE),"Unknown")</x:f>
        <x:v>Electronics</x:v>
      </x:c>
      <x:c r="O290" s="84" t="str">
        <x:f>IFERROR(VLOOKUP(L290,'Reference Data'!$A$5:$F$40,4,FALSE),"Unknown")</x:f>
        <x:v>Mobile Accessories</x:v>
      </x:c>
      <x:c r="P290" s="92" t="n">
        <x:f>IFERROR(VLOOKUP(L290,'Reference Data'!$A$5:$F$40,5,FALSE),0)</x:f>
        <x:v>39</x:v>
      </x:c>
      <x:c r="Q290" s="92" t="n">
        <x:f>IFERROR(VLOOKUP(L290,'Reference Data'!$A$5:$F$40,6,FALSE),0)</x:f>
        <x:v>18</x:v>
      </x:c>
      <x:c r="R290" s="84" t="n">
        <x:f>'Raw Sales'!J290</x:f>
        <x:v>4</x:v>
      </x:c>
      <x:c r="S290" s="87" t="n">
        <x:f>'Raw Sales'!K290</x:f>
        <x:v>0</x:v>
      </x:c>
      <x:c r="T290" s="93" t="n">
        <x:f>P290*R290</x:f>
        <x:v>156</x:v>
      </x:c>
      <x:c r="U290" s="93" t="n">
        <x:f>T290*S290</x:f>
        <x:v>0</x:v>
      </x:c>
      <x:c r="V290" s="93" t="str">
        <x:f>PROPER(TRIM('Raw Sales'!L290))</x:f>
        <x:v>Completed</x:v>
      </x:c>
      <x:c r="W290" s="93" t="n">
        <x:f>IF(V290="Returned",0,T290-U290)</x:f>
        <x:v>156</x:v>
      </x:c>
      <x:c r="X290" s="93" t="n">
        <x:f>IF(V290="Returned",Q290*R290*10%,Q290*R290)</x:f>
        <x:v>72</x:v>
      </x:c>
      <x:c r="Y290" s="93" t="n">
        <x:f>W290-X290</x:f>
        <x:v>84</x:v>
      </x:c>
      <x:c r="Z290" s="94" t="n">
        <x:f>IFERROR(Y290/W290,0)</x:f>
        <x:v>0.5384615384615384</x:v>
      </x:c>
      <x:c r="AA290" s="84" t="str">
        <x:f>PROPER(TRIM('Raw Sales'!M290))</x:f>
        <x:v>Credit Card</x:v>
      </x:c>
      <x:c r="AB290" s="84" t="str">
        <x:f>PROPER(TRIM('Raw Sales'!N290))</x:f>
        <x:v>Zoe Turner</x:v>
      </x:c>
      <x:c r="AC290" s="85" t="n">
        <x:f>'Raw Sales'!O290</x:f>
        <x:v>45411</x:v>
      </x:c>
      <x:c r="AD290" s="84" t="n">
        <x:f>AC290-B290</x:f>
        <x:v>5</x:v>
      </x:c>
      <x:c r="AE290" s="84" t="str">
        <x:f>IF(COUNTIF($A$5:A290,A290)&gt;1,"Duplicate","Keep")</x:f>
        <x:v>Keep</x:v>
      </x:c>
      <x:c r="AF290" s="84" t="str">
        <x:f>IF(OR(R290&lt;=0,AC290&lt;B290,H290="Unknown",M290="Unknown Product"),"Review","Valid")</x:f>
        <x:v>Valid</x:v>
      </x:c>
      <x:c r="AG290" s="84" t="n">
        <x:f>IF(AND(AE290="Keep",AF290="Valid"),1,0)</x:f>
        <x:v>1</x:v>
      </x:c>
      <x:c r="AH290" s="84" t="n">
        <x:f>IF(AND(AG290=1,OR('Dashboard'!$B$4="All",I290='Dashboard'!$B$4),OR('Dashboard'!$E$4="All",N290='Dashboard'!$E$4),OR('Dashboard'!$H$4="All",K290='Dashboard'!$H$4),OR('Dashboard'!$K$4="All",C290='Dashboard'!$K$4)),1,0)</x:f>
        <x:v>1</x:v>
      </x:c>
      <x:c r="AI290" s="84" t="n">
        <x:f>IF(AND(AG290=1,OR('Dashboard'!$B$4="All",I290='Dashboard'!$B$4),OR('Dashboard'!$E$4="All",N290='Dashboard'!$E$4),OR('Dashboard'!$H$4="All",K290='Dashboard'!$H$4)),1,0)</x:f>
        <x:v>1</x:v>
      </x:c>
    </x:row>
    <x:row r="291">
      <x:c r="A291" s="84" t="str">
        <x:f>'Raw Sales'!A291</x:f>
        <x:v>ORD-2024-01668</x:v>
      </x:c>
      <x:c r="B291" s="85" t="n">
        <x:f>'Raw Sales'!B291</x:f>
        <x:v>45406</x:v>
      </x:c>
      <x:c r="C291" s="84" t="n">
        <x:f>YEAR(B291)</x:f>
        <x:v>2024</x:v>
      </x:c>
      <x:c r="D291" s="91" t="n">
        <x:f>DATE(YEAR(B291),MONTH(B291),1)</x:f>
        <x:v>45383</x:v>
      </x:c>
      <x:c r="E291" s="84" t="str">
        <x:f>TEXT(B291,"mmm")</x:f>
        <x:v>Apr</x:v>
      </x:c>
      <x:c r="F291" s="84" t="str">
        <x:f>'Raw Sales'!C291</x:f>
        <x:v>CUST-0274</x:v>
      </x:c>
      <x:c r="G291" s="84" t="str">
        <x:f>PROPER(TRIM('Raw Sales'!D291))</x:f>
        <x:v>Daniel Nelson</x:v>
      </x:c>
      <x:c r="H291" s="84" t="str">
        <x:f>IF(TRIM('Raw Sales'!E291)="","Unknown",PROPER(TRIM('Raw Sales'!E291)))</x:f>
        <x:v>Corporate</x:v>
      </x:c>
      <x:c r="I291" s="84" t="str">
        <x:f>PROPER(TRIM('Raw Sales'!F291))</x:f>
        <x:v>Northeast</x:v>
      </x:c>
      <x:c r="J291" s="84" t="str">
        <x:f>PROPER(TRIM('Raw Sales'!G291))</x:f>
        <x:v>Boston</x:v>
      </x:c>
      <x:c r="K291" s="84" t="str">
        <x:f>PROPER(TRIM('Raw Sales'!H291))</x:f>
        <x:v>Online</x:v>
      </x:c>
      <x:c r="L291" s="84" t="str">
        <x:f>'Raw Sales'!I291</x:f>
        <x:v>HOME-003</x:v>
      </x:c>
      <x:c r="M291" s="84" t="str">
        <x:f>IFERROR(VLOOKUP(L291,'Reference Data'!$A$5:$F$40,2,FALSE),"Unknown Product")</x:f>
        <x:v>Countertop Blender</x:v>
      </x:c>
      <x:c r="N291" s="84" t="str">
        <x:f>IFERROR(VLOOKUP(L291,'Reference Data'!$A$5:$F$40,3,FALSE),"Unknown")</x:f>
        <x:v>Home &amp; Kitchen</x:v>
      </x:c>
      <x:c r="O291" s="84" t="str">
        <x:f>IFERROR(VLOOKUP(L291,'Reference Data'!$A$5:$F$40,4,FALSE),"Unknown")</x:f>
        <x:v>Small Appliances</x:v>
      </x:c>
      <x:c r="P291" s="92" t="n">
        <x:f>IFERROR(VLOOKUP(L291,'Reference Data'!$A$5:$F$40,5,FALSE),0)</x:f>
        <x:v>89</x:v>
      </x:c>
      <x:c r="Q291" s="92" t="n">
        <x:f>IFERROR(VLOOKUP(L291,'Reference Data'!$A$5:$F$40,6,FALSE),0)</x:f>
        <x:v>46</x:v>
      </x:c>
      <x:c r="R291" s="84" t="n">
        <x:f>'Raw Sales'!J291</x:f>
        <x:v>3</x:v>
      </x:c>
      <x:c r="S291" s="87" t="n">
        <x:f>'Raw Sales'!K291</x:f>
        <x:v>0.1</x:v>
      </x:c>
      <x:c r="T291" s="93" t="n">
        <x:f>P291*R291</x:f>
        <x:v>267</x:v>
      </x:c>
      <x:c r="U291" s="93" t="n">
        <x:f>T291*S291</x:f>
        <x:v>26.700000000000003</x:v>
      </x:c>
      <x:c r="V291" s="93" t="str">
        <x:f>PROPER(TRIM('Raw Sales'!L291))</x:f>
        <x:v>Completed</x:v>
      </x:c>
      <x:c r="W291" s="93" t="n">
        <x:f>IF(V291="Returned",0,T291-U291)</x:f>
        <x:v>240.3</x:v>
      </x:c>
      <x:c r="X291" s="93" t="n">
        <x:f>IF(V291="Returned",Q291*R291*10%,Q291*R291)</x:f>
        <x:v>138</x:v>
      </x:c>
      <x:c r="Y291" s="93" t="n">
        <x:f>W291-X291</x:f>
        <x:v>102.30000000000001</x:v>
      </x:c>
      <x:c r="Z291" s="94" t="n">
        <x:f>IFERROR(Y291/W291,0)</x:f>
        <x:v>0.42571785268414486</x:v>
      </x:c>
      <x:c r="AA291" s="84" t="str">
        <x:f>PROPER(TRIM('Raw Sales'!M291))</x:f>
        <x:v>Mobile Wallet</x:v>
      </x:c>
      <x:c r="AB291" s="84" t="str">
        <x:f>PROPER(TRIM('Raw Sales'!N291))</x:f>
        <x:v>Ethan Cole</x:v>
      </x:c>
      <x:c r="AC291" s="85" t="n">
        <x:f>'Raw Sales'!O291</x:f>
        <x:v>45409</x:v>
      </x:c>
      <x:c r="AD291" s="84" t="n">
        <x:f>AC291-B291</x:f>
        <x:v>3</x:v>
      </x:c>
      <x:c r="AE291" s="84" t="str">
        <x:f>IF(COUNTIF($A$5:A291,A291)&gt;1,"Duplicate","Keep")</x:f>
        <x:v>Keep</x:v>
      </x:c>
      <x:c r="AF291" s="84" t="str">
        <x:f>IF(OR(R291&lt;=0,AC291&lt;B291,H291="Unknown",M291="Unknown Product"),"Review","Valid")</x:f>
        <x:v>Valid</x:v>
      </x:c>
      <x:c r="AG291" s="84" t="n">
        <x:f>IF(AND(AE291="Keep",AF291="Valid"),1,0)</x:f>
        <x:v>1</x:v>
      </x:c>
      <x:c r="AH291" s="84" t="n">
        <x:f>IF(AND(AG291=1,OR('Dashboard'!$B$4="All",I291='Dashboard'!$B$4),OR('Dashboard'!$E$4="All",N291='Dashboard'!$E$4),OR('Dashboard'!$H$4="All",K291='Dashboard'!$H$4),OR('Dashboard'!$K$4="All",C291='Dashboard'!$K$4)),1,0)</x:f>
        <x:v>1</x:v>
      </x:c>
      <x:c r="AI291" s="84" t="n">
        <x:f>IF(AND(AG291=1,OR('Dashboard'!$B$4="All",I291='Dashboard'!$B$4),OR('Dashboard'!$E$4="All",N291='Dashboard'!$E$4),OR('Dashboard'!$H$4="All",K291='Dashboard'!$H$4)),1,0)</x:f>
        <x:v>1</x:v>
      </x:c>
    </x:row>
    <x:row r="292">
      <x:c r="A292" s="84" t="str">
        <x:f>'Raw Sales'!A292</x:f>
        <x:v>ORD-2024-01500</x:v>
      </x:c>
      <x:c r="B292" s="85" t="n">
        <x:f>'Raw Sales'!B292</x:f>
        <x:v>45407</x:v>
      </x:c>
      <x:c r="C292" s="84" t="n">
        <x:f>YEAR(B292)</x:f>
        <x:v>2024</x:v>
      </x:c>
      <x:c r="D292" s="91" t="n">
        <x:f>DATE(YEAR(B292),MONTH(B292),1)</x:f>
        <x:v>45383</x:v>
      </x:c>
      <x:c r="E292" s="84" t="str">
        <x:f>TEXT(B292,"mmm")</x:f>
        <x:v>Apr</x:v>
      </x:c>
      <x:c r="F292" s="84" t="str">
        <x:f>'Raw Sales'!C292</x:f>
        <x:v>CUST-0230</x:v>
      </x:c>
      <x:c r="G292" s="84" t="str">
        <x:f>PROPER(TRIM('Raw Sales'!D292))</x:f>
        <x:v>Elias Evans</x:v>
      </x:c>
      <x:c r="H292" s="84" t="str">
        <x:f>IF(TRIM('Raw Sales'!E292)="","Unknown",PROPER(TRIM('Raw Sales'!E292)))</x:f>
        <x:v>Small Business</x:v>
      </x:c>
      <x:c r="I292" s="84" t="str">
        <x:f>PROPER(TRIM('Raw Sales'!F292))</x:f>
        <x:v>Southeast</x:v>
      </x:c>
      <x:c r="J292" s="84" t="str">
        <x:f>PROPER(TRIM('Raw Sales'!G292))</x:f>
        <x:v>Miami</x:v>
      </x:c>
      <x:c r="K292" s="84" t="str">
        <x:f>PROPER(TRIM('Raw Sales'!H292))</x:f>
        <x:v>Retail Store</x:v>
      </x:c>
      <x:c r="L292" s="84" t="str">
        <x:f>'Raw Sales'!I292</x:f>
        <x:v>ACCS-002</x:v>
      </x:c>
      <x:c r="M292" s="84" t="str">
        <x:f>IFERROR(VLOOKUP(L292,'Reference Data'!$A$5:$F$40,2,FALSE),"Unknown Product")</x:f>
        <x:v>Travel Backpack</x:v>
      </x:c>
      <x:c r="N292" s="84" t="str">
        <x:f>IFERROR(VLOOKUP(L292,'Reference Data'!$A$5:$F$40,3,FALSE),"Unknown")</x:f>
        <x:v>Accessories</x:v>
      </x:c>
      <x:c r="O292" s="84" t="str">
        <x:f>IFERROR(VLOOKUP(L292,'Reference Data'!$A$5:$F$40,4,FALSE),"Unknown")</x:f>
        <x:v>Bags</x:v>
      </x:c>
      <x:c r="P292" s="92" t="n">
        <x:f>IFERROR(VLOOKUP(L292,'Reference Data'!$A$5:$F$40,5,FALSE),0)</x:f>
        <x:v>89</x:v>
      </x:c>
      <x:c r="Q292" s="92" t="n">
        <x:f>IFERROR(VLOOKUP(L292,'Reference Data'!$A$5:$F$40,6,FALSE),0)</x:f>
        <x:v>36</x:v>
      </x:c>
      <x:c r="R292" s="84" t="n">
        <x:f>'Raw Sales'!J292</x:f>
        <x:v>2</x:v>
      </x:c>
      <x:c r="S292" s="87" t="n">
        <x:f>'Raw Sales'!K292</x:f>
        <x:v>0.1</x:v>
      </x:c>
      <x:c r="T292" s="93" t="n">
        <x:f>P292*R292</x:f>
        <x:v>178</x:v>
      </x:c>
      <x:c r="U292" s="93" t="n">
        <x:f>T292*S292</x:f>
        <x:v>17.8</x:v>
      </x:c>
      <x:c r="V292" s="93" t="str">
        <x:f>PROPER(TRIM('Raw Sales'!L292))</x:f>
        <x:v>Completed</x:v>
      </x:c>
      <x:c r="W292" s="93" t="n">
        <x:f>IF(V292="Returned",0,T292-U292)</x:f>
        <x:v>160.2</x:v>
      </x:c>
      <x:c r="X292" s="93" t="n">
        <x:f>IF(V292="Returned",Q292*R292*10%,Q292*R292)</x:f>
        <x:v>72</x:v>
      </x:c>
      <x:c r="Y292" s="93" t="n">
        <x:f>W292-X292</x:f>
        <x:v>88.19999999999999</x:v>
      </x:c>
      <x:c r="Z292" s="94" t="n">
        <x:f>IFERROR(Y292/W292,0)</x:f>
        <x:v>0.550561797752809</x:v>
      </x:c>
      <x:c r="AA292" s="84" t="str">
        <x:f>PROPER(TRIM('Raw Sales'!M292))</x:f>
        <x:v>Debit Card</x:v>
      </x:c>
      <x:c r="AB292" s="84" t="str">
        <x:f>PROPER(TRIM('Raw Sales'!N292))</x:f>
        <x:v>Liam Parker</x:v>
      </x:c>
      <x:c r="AC292" s="85" t="n">
        <x:f>'Raw Sales'!O292</x:f>
        <x:v>45407</x:v>
      </x:c>
      <x:c r="AD292" s="84" t="n">
        <x:f>AC292-B292</x:f>
        <x:v>0</x:v>
      </x:c>
      <x:c r="AE292" s="84" t="str">
        <x:f>IF(COUNTIF($A$5:A292,A292)&gt;1,"Duplicate","Keep")</x:f>
        <x:v>Keep</x:v>
      </x:c>
      <x:c r="AF292" s="84" t="str">
        <x:f>IF(OR(R292&lt;=0,AC292&lt;B292,H292="Unknown",M292="Unknown Product"),"Review","Valid")</x:f>
        <x:v>Valid</x:v>
      </x:c>
      <x:c r="AG292" s="84" t="n">
        <x:f>IF(AND(AE292="Keep",AF292="Valid"),1,0)</x:f>
        <x:v>1</x:v>
      </x:c>
      <x:c r="AH292" s="84" t="n">
        <x:f>IF(AND(AG292=1,OR('Dashboard'!$B$4="All",I292='Dashboard'!$B$4),OR('Dashboard'!$E$4="All",N292='Dashboard'!$E$4),OR('Dashboard'!$H$4="All",K292='Dashboard'!$H$4),OR('Dashboard'!$K$4="All",C292='Dashboard'!$K$4)),1,0)</x:f>
        <x:v>1</x:v>
      </x:c>
      <x:c r="AI292" s="84" t="n">
        <x:f>IF(AND(AG292=1,OR('Dashboard'!$B$4="All",I292='Dashboard'!$B$4),OR('Dashboard'!$E$4="All",N292='Dashboard'!$E$4),OR('Dashboard'!$H$4="All",K292='Dashboard'!$H$4)),1,0)</x:f>
        <x:v>1</x:v>
      </x:c>
    </x:row>
    <x:row r="293">
      <x:c r="A293" s="84" t="str">
        <x:f>'Raw Sales'!A293</x:f>
        <x:v>ORD-2024-02134</x:v>
      </x:c>
      <x:c r="B293" s="85" t="n">
        <x:f>'Raw Sales'!B293</x:f>
        <x:v>45408</x:v>
      </x:c>
      <x:c r="C293" s="84" t="n">
        <x:f>YEAR(B293)</x:f>
        <x:v>2024</x:v>
      </x:c>
      <x:c r="D293" s="91" t="n">
        <x:f>DATE(YEAR(B293),MONTH(B293),1)</x:f>
        <x:v>45383</x:v>
      </x:c>
      <x:c r="E293" s="84" t="str">
        <x:f>TEXT(B293,"mmm")</x:f>
        <x:v>Apr</x:v>
      </x:c>
      <x:c r="F293" s="84" t="str">
        <x:f>'Raw Sales'!C293</x:f>
        <x:v>CUST-0184</x:v>
      </x:c>
      <x:c r="G293" s="84" t="str">
        <x:f>PROPER(TRIM('Raw Sales'!D293))</x:f>
        <x:v>Elena Patel</x:v>
      </x:c>
      <x:c r="H293" s="84" t="str">
        <x:f>IF(TRIM('Raw Sales'!E293)="","Unknown",PROPER(TRIM('Raw Sales'!E293)))</x:f>
        <x:v>Consumer</x:v>
      </x:c>
      <x:c r="I293" s="84" t="str">
        <x:f>PROPER(TRIM('Raw Sales'!F293))</x:f>
        <x:v>Southeast</x:v>
      </x:c>
      <x:c r="J293" s="84" t="str">
        <x:f>PROPER(TRIM('Raw Sales'!G293))</x:f>
        <x:v>Miami</x:v>
      </x:c>
      <x:c r="K293" s="84" t="str">
        <x:f>PROPER(TRIM('Raw Sales'!H293))</x:f>
        <x:v>Retail Store</x:v>
      </x:c>
      <x:c r="L293" s="84" t="str">
        <x:f>'Raw Sales'!I293</x:f>
        <x:v>HOME-005</x:v>
      </x:c>
      <x:c r="M293" s="84" t="str">
        <x:f>IFERROR(VLOOKUP(L293,'Reference Data'!$A$5:$F$40,2,FALSE),"Unknown Product")</x:f>
        <x:v>Cordless Vacuum</x:v>
      </x:c>
      <x:c r="N293" s="84" t="str">
        <x:f>IFERROR(VLOOKUP(L293,'Reference Data'!$A$5:$F$40,3,FALSE),"Unknown")</x:f>
        <x:v>Home &amp; Kitchen</x:v>
      </x:c>
      <x:c r="O293" s="84" t="str">
        <x:f>IFERROR(VLOOKUP(L293,'Reference Data'!$A$5:$F$40,4,FALSE),"Unknown")</x:f>
        <x:v>Cleaning</x:v>
      </x:c>
      <x:c r="P293" s="92" t="n">
        <x:f>IFERROR(VLOOKUP(L293,'Reference Data'!$A$5:$F$40,5,FALSE),0)</x:f>
        <x:v>179</x:v>
      </x:c>
      <x:c r="Q293" s="92" t="n">
        <x:f>IFERROR(VLOOKUP(L293,'Reference Data'!$A$5:$F$40,6,FALSE),0)</x:f>
        <x:v>102</x:v>
      </x:c>
      <x:c r="R293" s="84" t="n">
        <x:f>'Raw Sales'!J293</x:f>
        <x:v>2</x:v>
      </x:c>
      <x:c r="S293" s="87" t="n">
        <x:f>'Raw Sales'!K293</x:f>
        <x:v>0.15</x:v>
      </x:c>
      <x:c r="T293" s="93" t="n">
        <x:f>P293*R293</x:f>
        <x:v>358</x:v>
      </x:c>
      <x:c r="U293" s="93" t="n">
        <x:f>T293*S293</x:f>
        <x:v>53.699999999999996</x:v>
      </x:c>
      <x:c r="V293" s="93" t="str">
        <x:f>PROPER(TRIM('Raw Sales'!L293))</x:f>
        <x:v>Completed</x:v>
      </x:c>
      <x:c r="W293" s="93" t="n">
        <x:f>IF(V293="Returned",0,T293-U293)</x:f>
        <x:v>304.3</x:v>
      </x:c>
      <x:c r="X293" s="93" t="n">
        <x:f>IF(V293="Returned",Q293*R293*10%,Q293*R293)</x:f>
        <x:v>204</x:v>
      </x:c>
      <x:c r="Y293" s="93" t="n">
        <x:f>W293-X293</x:f>
        <x:v>100.30000000000001</x:v>
      </x:c>
      <x:c r="Z293" s="94" t="n">
        <x:f>IFERROR(Y293/W293,0)</x:f>
        <x:v>0.3296089385474861</x:v>
      </x:c>
      <x:c r="AA293" s="84" t="str">
        <x:f>PROPER(TRIM('Raw Sales'!M293))</x:f>
        <x:v>Cash</x:v>
      </x:c>
      <x:c r="AB293" s="84" t="str">
        <x:f>PROPER(TRIM('Raw Sales'!N293))</x:f>
        <x:v>Noah Reed</x:v>
      </x:c>
      <x:c r="AC293" s="85" t="n">
        <x:f>'Raw Sales'!O293</x:f>
        <x:v>45408</x:v>
      </x:c>
      <x:c r="AD293" s="84" t="n">
        <x:f>AC293-B293</x:f>
        <x:v>0</x:v>
      </x:c>
      <x:c r="AE293" s="84" t="str">
        <x:f>IF(COUNTIF($A$5:A293,A293)&gt;1,"Duplicate","Keep")</x:f>
        <x:v>Keep</x:v>
      </x:c>
      <x:c r="AF293" s="84" t="str">
        <x:f>IF(OR(R293&lt;=0,AC293&lt;B293,H293="Unknown",M293="Unknown Product"),"Review","Valid")</x:f>
        <x:v>Valid</x:v>
      </x:c>
      <x:c r="AG293" s="84" t="n">
        <x:f>IF(AND(AE293="Keep",AF293="Valid"),1,0)</x:f>
        <x:v>1</x:v>
      </x:c>
      <x:c r="AH293" s="84" t="n">
        <x:f>IF(AND(AG293=1,OR('Dashboard'!$B$4="All",I293='Dashboard'!$B$4),OR('Dashboard'!$E$4="All",N293='Dashboard'!$E$4),OR('Dashboard'!$H$4="All",K293='Dashboard'!$H$4),OR('Dashboard'!$K$4="All",C293='Dashboard'!$K$4)),1,0)</x:f>
        <x:v>1</x:v>
      </x:c>
      <x:c r="AI293" s="84" t="n">
        <x:f>IF(AND(AG293=1,OR('Dashboard'!$B$4="All",I293='Dashboard'!$B$4),OR('Dashboard'!$E$4="All",N293='Dashboard'!$E$4),OR('Dashboard'!$H$4="All",K293='Dashboard'!$H$4)),1,0)</x:f>
        <x:v>1</x:v>
      </x:c>
    </x:row>
    <x:row r="294">
      <x:c r="A294" s="84" t="str">
        <x:f>'Raw Sales'!A294</x:f>
        <x:v>ORD-2024-01064</x:v>
      </x:c>
      <x:c r="B294" s="85" t="n">
        <x:f>'Raw Sales'!B294</x:f>
        <x:v>45409</x:v>
      </x:c>
      <x:c r="C294" s="84" t="n">
        <x:f>YEAR(B294)</x:f>
        <x:v>2024</x:v>
      </x:c>
      <x:c r="D294" s="91" t="n">
        <x:f>DATE(YEAR(B294),MONTH(B294),1)</x:f>
        <x:v>45383</x:v>
      </x:c>
      <x:c r="E294" s="84" t="str">
        <x:f>TEXT(B294,"mmm")</x:f>
        <x:v>Apr</x:v>
      </x:c>
      <x:c r="F294" s="84" t="str">
        <x:f>'Raw Sales'!C294</x:f>
        <x:v>CUST-0437</x:v>
      </x:c>
      <x:c r="G294" s="84" t="str">
        <x:f>PROPER(TRIM('Raw Sales'!D294))</x:f>
        <x:v>Nathan Garcia</x:v>
      </x:c>
      <x:c r="H294" s="84" t="str">
        <x:f>IF(TRIM('Raw Sales'!E294)="","Unknown",PROPER(TRIM('Raw Sales'!E294)))</x:f>
        <x:v>Corporate</x:v>
      </x:c>
      <x:c r="I294" s="84" t="str">
        <x:f>PROPER(TRIM('Raw Sales'!F294))</x:f>
        <x:v>Northeast</x:v>
      </x:c>
      <x:c r="J294" s="84" t="str">
        <x:f>PROPER(TRIM('Raw Sales'!G294))</x:f>
        <x:v>Philadelphia</x:v>
      </x:c>
      <x:c r="K294" s="84" t="str">
        <x:f>PROPER(TRIM('Raw Sales'!H294))</x:f>
        <x:v>Retail Store</x:v>
      </x:c>
      <x:c r="L294" s="84" t="str">
        <x:f>'Raw Sales'!I294</x:f>
        <x:v>FITN-003</x:v>
      </x:c>
      <x:c r="M294" s="84" t="str">
        <x:f>IFERROR(VLOOKUP(L294,'Reference Data'!$A$5:$F$40,2,FALSE),"Unknown Product")</x:f>
        <x:v>Resistance Band Set</x:v>
      </x:c>
      <x:c r="N294" s="84" t="str">
        <x:f>IFERROR(VLOOKUP(L294,'Reference Data'!$A$5:$F$40,3,FALSE),"Unknown")</x:f>
        <x:v>Fitness</x:v>
      </x:c>
      <x:c r="O294" s="84" t="str">
        <x:f>IFERROR(VLOOKUP(L294,'Reference Data'!$A$5:$F$40,4,FALSE),"Unknown")</x:f>
        <x:v>Strength</x:v>
      </x:c>
      <x:c r="P294" s="92" t="n">
        <x:f>IFERROR(VLOOKUP(L294,'Reference Data'!$A$5:$F$40,5,FALSE),0)</x:f>
        <x:v>24</x:v>
      </x:c>
      <x:c r="Q294" s="92" t="n">
        <x:f>IFERROR(VLOOKUP(L294,'Reference Data'!$A$5:$F$40,6,FALSE),0)</x:f>
        <x:v>8</x:v>
      </x:c>
      <x:c r="R294" s="84" t="n">
        <x:f>'Raw Sales'!J294</x:f>
        <x:v>2</x:v>
      </x:c>
      <x:c r="S294" s="87" t="n">
        <x:f>'Raw Sales'!K294</x:f>
        <x:v>0.05</x:v>
      </x:c>
      <x:c r="T294" s="93" t="n">
        <x:f>P294*R294</x:f>
        <x:v>48</x:v>
      </x:c>
      <x:c r="U294" s="93" t="n">
        <x:f>T294*S294</x:f>
        <x:v>2.4000000000000004</x:v>
      </x:c>
      <x:c r="V294" s="93" t="str">
        <x:f>PROPER(TRIM('Raw Sales'!L294))</x:f>
        <x:v>Completed</x:v>
      </x:c>
      <x:c r="W294" s="93" t="n">
        <x:f>IF(V294="Returned",0,T294-U294)</x:f>
        <x:v>45.6</x:v>
      </x:c>
      <x:c r="X294" s="93" t="n">
        <x:f>IF(V294="Returned",Q294*R294*10%,Q294*R294)</x:f>
        <x:v>16</x:v>
      </x:c>
      <x:c r="Y294" s="93" t="n">
        <x:f>W294-X294</x:f>
        <x:v>29.6</x:v>
      </x:c>
      <x:c r="Z294" s="94" t="n">
        <x:f>IFERROR(Y294/W294,0)</x:f>
        <x:v>0.6491228070175439</x:v>
      </x:c>
      <x:c r="AA294" s="84" t="str">
        <x:f>PROPER(TRIM('Raw Sales'!M294))</x:f>
        <x:v>Credit Card</x:v>
      </x:c>
      <x:c r="AB294" s="84" t="str">
        <x:f>PROPER(TRIM('Raw Sales'!N294))</x:f>
        <x:v>Maya Brooks</x:v>
      </x:c>
      <x:c r="AC294" s="85" t="n">
        <x:f>'Raw Sales'!O294</x:f>
        <x:v>45409</x:v>
      </x:c>
      <x:c r="AD294" s="84" t="n">
        <x:f>AC294-B294</x:f>
        <x:v>0</x:v>
      </x:c>
      <x:c r="AE294" s="84" t="str">
        <x:f>IF(COUNTIF($A$5:A294,A294)&gt;1,"Duplicate","Keep")</x:f>
        <x:v>Keep</x:v>
      </x:c>
      <x:c r="AF294" s="84" t="str">
        <x:f>IF(OR(R294&lt;=0,AC294&lt;B294,H294="Unknown",M294="Unknown Product"),"Review","Valid")</x:f>
        <x:v>Valid</x:v>
      </x:c>
      <x:c r="AG294" s="84" t="n">
        <x:f>IF(AND(AE294="Keep",AF294="Valid"),1,0)</x:f>
        <x:v>1</x:v>
      </x:c>
      <x:c r="AH294" s="84" t="n">
        <x:f>IF(AND(AG294=1,OR('Dashboard'!$B$4="All",I294='Dashboard'!$B$4),OR('Dashboard'!$E$4="All",N294='Dashboard'!$E$4),OR('Dashboard'!$H$4="All",K294='Dashboard'!$H$4),OR('Dashboard'!$K$4="All",C294='Dashboard'!$K$4)),1,0)</x:f>
        <x:v>1</x:v>
      </x:c>
      <x:c r="AI294" s="84" t="n">
        <x:f>IF(AND(AG294=1,OR('Dashboard'!$B$4="All",I294='Dashboard'!$B$4),OR('Dashboard'!$E$4="All",N294='Dashboard'!$E$4),OR('Dashboard'!$H$4="All",K294='Dashboard'!$H$4)),1,0)</x:f>
        <x:v>1</x:v>
      </x:c>
    </x:row>
    <x:row r="295">
      <x:c r="A295" s="84" t="str">
        <x:f>'Raw Sales'!A295</x:f>
        <x:v>ORD-2024-01784</x:v>
      </x:c>
      <x:c r="B295" s="85" t="n">
        <x:f>'Raw Sales'!B295</x:f>
        <x:v>45409</x:v>
      </x:c>
      <x:c r="C295" s="84" t="n">
        <x:f>YEAR(B295)</x:f>
        <x:v>2024</x:v>
      </x:c>
      <x:c r="D295" s="91" t="n">
        <x:f>DATE(YEAR(B295),MONTH(B295),1)</x:f>
        <x:v>45383</x:v>
      </x:c>
      <x:c r="E295" s="84" t="str">
        <x:f>TEXT(B295,"mmm")</x:f>
        <x:v>Apr</x:v>
      </x:c>
      <x:c r="F295" s="84" t="str">
        <x:f>'Raw Sales'!C295</x:f>
        <x:v>CUST-0062</x:v>
      </x:c>
      <x:c r="G295" s="84" t="str">
        <x:f>PROPER(TRIM('Raw Sales'!D295))</x:f>
        <x:v>Caleb Davis</x:v>
      </x:c>
      <x:c r="H295" s="84" t="str">
        <x:f>IF(TRIM('Raw Sales'!E295)="","Unknown",PROPER(TRIM('Raw Sales'!E295)))</x:f>
        <x:v>Consumer</x:v>
      </x:c>
      <x:c r="I295" s="84" t="str">
        <x:f>PROPER(TRIM('Raw Sales'!F295))</x:f>
        <x:v>Northeast</x:v>
      </x:c>
      <x:c r="J295" s="84" t="str">
        <x:f>PROPER(TRIM('Raw Sales'!G295))</x:f>
        <x:v>New York</x:v>
      </x:c>
      <x:c r="K295" s="84" t="str">
        <x:f>PROPER(TRIM('Raw Sales'!H295))</x:f>
        <x:v>Marketplace</x:v>
      </x:c>
      <x:c r="L295" s="84" t="str">
        <x:f>'Raw Sales'!I295</x:f>
        <x:v>HOME-005</x:v>
      </x:c>
      <x:c r="M295" s="84" t="str">
        <x:f>IFERROR(VLOOKUP(L295,'Reference Data'!$A$5:$F$40,2,FALSE),"Unknown Product")</x:f>
        <x:v>Cordless Vacuum</x:v>
      </x:c>
      <x:c r="N295" s="84" t="str">
        <x:f>IFERROR(VLOOKUP(L295,'Reference Data'!$A$5:$F$40,3,FALSE),"Unknown")</x:f>
        <x:v>Home &amp; Kitchen</x:v>
      </x:c>
      <x:c r="O295" s="84" t="str">
        <x:f>IFERROR(VLOOKUP(L295,'Reference Data'!$A$5:$F$40,4,FALSE),"Unknown")</x:f>
        <x:v>Cleaning</x:v>
      </x:c>
      <x:c r="P295" s="92" t="n">
        <x:f>IFERROR(VLOOKUP(L295,'Reference Data'!$A$5:$F$40,5,FALSE),0)</x:f>
        <x:v>179</x:v>
      </x:c>
      <x:c r="Q295" s="92" t="n">
        <x:f>IFERROR(VLOOKUP(L295,'Reference Data'!$A$5:$F$40,6,FALSE),0)</x:f>
        <x:v>102</x:v>
      </x:c>
      <x:c r="R295" s="84" t="n">
        <x:f>'Raw Sales'!J295</x:f>
        <x:v>1</x:v>
      </x:c>
      <x:c r="S295" s="87" t="n">
        <x:f>'Raw Sales'!K295</x:f>
        <x:v>0</x:v>
      </x:c>
      <x:c r="T295" s="93" t="n">
        <x:f>P295*R295</x:f>
        <x:v>179</x:v>
      </x:c>
      <x:c r="U295" s="93" t="n">
        <x:f>T295*S295</x:f>
        <x:v>0</x:v>
      </x:c>
      <x:c r="V295" s="93" t="str">
        <x:f>PROPER(TRIM('Raw Sales'!L295))</x:f>
        <x:v>Completed</x:v>
      </x:c>
      <x:c r="W295" s="93" t="n">
        <x:f>IF(V295="Returned",0,T295-U295)</x:f>
        <x:v>179</x:v>
      </x:c>
      <x:c r="X295" s="93" t="n">
        <x:f>IF(V295="Returned",Q295*R295*10%,Q295*R295)</x:f>
        <x:v>102</x:v>
      </x:c>
      <x:c r="Y295" s="93" t="n">
        <x:f>W295-X295</x:f>
        <x:v>77</x:v>
      </x:c>
      <x:c r="Z295" s="94" t="n">
        <x:f>IFERROR(Y295/W295,0)</x:f>
        <x:v>0.4301675977653631</x:v>
      </x:c>
      <x:c r="AA295" s="84" t="str">
        <x:f>PROPER(TRIM('Raw Sales'!M295))</x:f>
        <x:v>Mobile Wallet</x:v>
      </x:c>
      <x:c r="AB295" s="84" t="str">
        <x:f>PROPER(TRIM('Raw Sales'!N295))</x:f>
        <x:v>Maya Brooks</x:v>
      </x:c>
      <x:c r="AC295" s="85" t="n">
        <x:f>'Raw Sales'!O295</x:f>
        <x:v>45416</x:v>
      </x:c>
      <x:c r="AD295" s="84" t="n">
        <x:f>AC295-B295</x:f>
        <x:v>7</x:v>
      </x:c>
      <x:c r="AE295" s="84" t="str">
        <x:f>IF(COUNTIF($A$5:A295,A295)&gt;1,"Duplicate","Keep")</x:f>
        <x:v>Keep</x:v>
      </x:c>
      <x:c r="AF295" s="84" t="str">
        <x:f>IF(OR(R295&lt;=0,AC295&lt;B295,H295="Unknown",M295="Unknown Product"),"Review","Valid")</x:f>
        <x:v>Valid</x:v>
      </x:c>
      <x:c r="AG295" s="84" t="n">
        <x:f>IF(AND(AE295="Keep",AF295="Valid"),1,0)</x:f>
        <x:v>1</x:v>
      </x:c>
      <x:c r="AH295" s="84" t="n">
        <x:f>IF(AND(AG295=1,OR('Dashboard'!$B$4="All",I295='Dashboard'!$B$4),OR('Dashboard'!$E$4="All",N295='Dashboard'!$E$4),OR('Dashboard'!$H$4="All",K295='Dashboard'!$H$4),OR('Dashboard'!$K$4="All",C295='Dashboard'!$K$4)),1,0)</x:f>
        <x:v>1</x:v>
      </x:c>
      <x:c r="AI295" s="84" t="n">
        <x:f>IF(AND(AG295=1,OR('Dashboard'!$B$4="All",I295='Dashboard'!$B$4),OR('Dashboard'!$E$4="All",N295='Dashboard'!$E$4),OR('Dashboard'!$H$4="All",K295='Dashboard'!$H$4)),1,0)</x:f>
        <x:v>1</x:v>
      </x:c>
    </x:row>
    <x:row r="296">
      <x:c r="A296" s="84" t="str">
        <x:f>'Raw Sales'!A296</x:f>
        <x:v>ORD-2024-02337</x:v>
      </x:c>
      <x:c r="B296" s="85" t="n">
        <x:f>'Raw Sales'!B296</x:f>
        <x:v>45409</x:v>
      </x:c>
      <x:c r="C296" s="84" t="n">
        <x:f>YEAR(B296)</x:f>
        <x:v>2024</x:v>
      </x:c>
      <x:c r="D296" s="91" t="n">
        <x:f>DATE(YEAR(B296),MONTH(B296),1)</x:f>
        <x:v>45383</x:v>
      </x:c>
      <x:c r="E296" s="84" t="str">
        <x:f>TEXT(B296,"mmm")</x:f>
        <x:v>Apr</x:v>
      </x:c>
      <x:c r="F296" s="84" t="str">
        <x:f>'Raw Sales'!C296</x:f>
        <x:v>CUST-0585</x:v>
      </x:c>
      <x:c r="G296" s="84" t="str">
        <x:f>PROPER(TRIM('Raw Sales'!D296))</x:f>
        <x:v>Isaac Patel</x:v>
      </x:c>
      <x:c r="H296" s="84" t="str">
        <x:f>IF(TRIM('Raw Sales'!E296)="","Unknown",PROPER(TRIM('Raw Sales'!E296)))</x:f>
        <x:v>Consumer</x:v>
      </x:c>
      <x:c r="I296" s="84" t="str">
        <x:f>PROPER(TRIM('Raw Sales'!F296))</x:f>
        <x:v>Northeast</x:v>
      </x:c>
      <x:c r="J296" s="84" t="str">
        <x:f>PROPER(TRIM('Raw Sales'!G296))</x:f>
        <x:v>New York</x:v>
      </x:c>
      <x:c r="K296" s="84" t="str">
        <x:f>PROPER(TRIM('Raw Sales'!H296))</x:f>
        <x:v>Online</x:v>
      </x:c>
      <x:c r="L296" s="84" t="str">
        <x:f>'Raw Sales'!I296</x:f>
        <x:v>HOME-005</x:v>
      </x:c>
      <x:c r="M296" s="84" t="str">
        <x:f>IFERROR(VLOOKUP(L296,'Reference Data'!$A$5:$F$40,2,FALSE),"Unknown Product")</x:f>
        <x:v>Cordless Vacuum</x:v>
      </x:c>
      <x:c r="N296" s="84" t="str">
        <x:f>IFERROR(VLOOKUP(L296,'Reference Data'!$A$5:$F$40,3,FALSE),"Unknown")</x:f>
        <x:v>Home &amp; Kitchen</x:v>
      </x:c>
      <x:c r="O296" s="84" t="str">
        <x:f>IFERROR(VLOOKUP(L296,'Reference Data'!$A$5:$F$40,4,FALSE),"Unknown")</x:f>
        <x:v>Cleaning</x:v>
      </x:c>
      <x:c r="P296" s="92" t="n">
        <x:f>IFERROR(VLOOKUP(L296,'Reference Data'!$A$5:$F$40,5,FALSE),0)</x:f>
        <x:v>179</x:v>
      </x:c>
      <x:c r="Q296" s="92" t="n">
        <x:f>IFERROR(VLOOKUP(L296,'Reference Data'!$A$5:$F$40,6,FALSE),0)</x:f>
        <x:v>102</x:v>
      </x:c>
      <x:c r="R296" s="84" t="n">
        <x:f>'Raw Sales'!J296</x:f>
        <x:v>2</x:v>
      </x:c>
      <x:c r="S296" s="87" t="n">
        <x:f>'Raw Sales'!K296</x:f>
        <x:v>0.05</x:v>
      </x:c>
      <x:c r="T296" s="93" t="n">
        <x:f>P296*R296</x:f>
        <x:v>358</x:v>
      </x:c>
      <x:c r="U296" s="93" t="n">
        <x:f>T296*S296</x:f>
        <x:v>17.900000000000002</x:v>
      </x:c>
      <x:c r="V296" s="93" t="str">
        <x:f>PROPER(TRIM('Raw Sales'!L296))</x:f>
        <x:v>Completed</x:v>
      </x:c>
      <x:c r="W296" s="93" t="n">
        <x:f>IF(V296="Returned",0,T296-U296)</x:f>
        <x:v>340.1</x:v>
      </x:c>
      <x:c r="X296" s="93" t="n">
        <x:f>IF(V296="Returned",Q296*R296*10%,Q296*R296)</x:f>
        <x:v>204</x:v>
      </x:c>
      <x:c r="Y296" s="93" t="n">
        <x:f>W296-X296</x:f>
        <x:v>136.10000000000002</x:v>
      </x:c>
      <x:c r="Z296" s="94" t="n">
        <x:f>IFERROR(Y296/W296,0)</x:f>
        <x:v>0.4001764187003823</x:v>
      </x:c>
      <x:c r="AA296" s="84" t="str">
        <x:f>PROPER(TRIM('Raw Sales'!M296))</x:f>
        <x:v>Mobile Wallet</x:v>
      </x:c>
      <x:c r="AB296" s="84" t="str">
        <x:f>PROPER(TRIM('Raw Sales'!N296))</x:f>
        <x:v>Ethan Cole</x:v>
      </x:c>
      <x:c r="AC296" s="85" t="n">
        <x:f>'Raw Sales'!O296</x:f>
        <x:v>45413</x:v>
      </x:c>
      <x:c r="AD296" s="84" t="n">
        <x:f>AC296-B296</x:f>
        <x:v>4</x:v>
      </x:c>
      <x:c r="AE296" s="84" t="str">
        <x:f>IF(COUNTIF($A$5:A296,A296)&gt;1,"Duplicate","Keep")</x:f>
        <x:v>Keep</x:v>
      </x:c>
      <x:c r="AF296" s="84" t="str">
        <x:f>IF(OR(R296&lt;=0,AC296&lt;B296,H296="Unknown",M296="Unknown Product"),"Review","Valid")</x:f>
        <x:v>Valid</x:v>
      </x:c>
      <x:c r="AG296" s="84" t="n">
        <x:f>IF(AND(AE296="Keep",AF296="Valid"),1,0)</x:f>
        <x:v>1</x:v>
      </x:c>
      <x:c r="AH296" s="84" t="n">
        <x:f>IF(AND(AG296=1,OR('Dashboard'!$B$4="All",I296='Dashboard'!$B$4),OR('Dashboard'!$E$4="All",N296='Dashboard'!$E$4),OR('Dashboard'!$H$4="All",K296='Dashboard'!$H$4),OR('Dashboard'!$K$4="All",C296='Dashboard'!$K$4)),1,0)</x:f>
        <x:v>1</x:v>
      </x:c>
      <x:c r="AI296" s="84" t="n">
        <x:f>IF(AND(AG296=1,OR('Dashboard'!$B$4="All",I296='Dashboard'!$B$4),OR('Dashboard'!$E$4="All",N296='Dashboard'!$E$4),OR('Dashboard'!$H$4="All",K296='Dashboard'!$H$4)),1,0)</x:f>
        <x:v>1</x:v>
      </x:c>
    </x:row>
    <x:row r="297">
      <x:c r="A297" s="84" t="str">
        <x:f>'Raw Sales'!A297</x:f>
        <x:v>ORD-2024-00744</x:v>
      </x:c>
      <x:c r="B297" s="85" t="n">
        <x:f>'Raw Sales'!B297</x:f>
        <x:v>45410</x:v>
      </x:c>
      <x:c r="C297" s="84" t="n">
        <x:f>YEAR(B297)</x:f>
        <x:v>2024</x:v>
      </x:c>
      <x:c r="D297" s="91" t="n">
        <x:f>DATE(YEAR(B297),MONTH(B297),1)</x:f>
        <x:v>45383</x:v>
      </x:c>
      <x:c r="E297" s="84" t="str">
        <x:f>TEXT(B297,"mmm")</x:f>
        <x:v>Apr</x:v>
      </x:c>
      <x:c r="F297" s="84" t="str">
        <x:f>'Raw Sales'!C297</x:f>
        <x:v>CUST-0271</x:v>
      </x:c>
      <x:c r="G297" s="84" t="str">
        <x:f>PROPER(TRIM('Raw Sales'!D297))</x:f>
        <x:v>Jonah Nelson</x:v>
      </x:c>
      <x:c r="H297" s="84" t="str">
        <x:f>IF(TRIM('Raw Sales'!E297)="","Unknown",PROPER(TRIM('Raw Sales'!E297)))</x:f>
        <x:v>Consumer</x:v>
      </x:c>
      <x:c r="I297" s="84" t="str">
        <x:f>PROPER(TRIM('Raw Sales'!F297))</x:f>
        <x:v>Midwest</x:v>
      </x:c>
      <x:c r="J297" s="84" t="str">
        <x:f>PROPER(TRIM('Raw Sales'!G297))</x:f>
        <x:v>Detroit</x:v>
      </x:c>
      <x:c r="K297" s="84" t="str">
        <x:f>PROPER(TRIM('Raw Sales'!H297))</x:f>
        <x:v>Retail Store</x:v>
      </x:c>
      <x:c r="L297" s="84" t="str">
        <x:f>'Raw Sales'!I297</x:f>
        <x:v>HOME-003</x:v>
      </x:c>
      <x:c r="M297" s="84" t="str">
        <x:f>IFERROR(VLOOKUP(L297,'Reference Data'!$A$5:$F$40,2,FALSE),"Unknown Product")</x:f>
        <x:v>Countertop Blender</x:v>
      </x:c>
      <x:c r="N297" s="84" t="str">
        <x:f>IFERROR(VLOOKUP(L297,'Reference Data'!$A$5:$F$40,3,FALSE),"Unknown")</x:f>
        <x:v>Home &amp; Kitchen</x:v>
      </x:c>
      <x:c r="O297" s="84" t="str">
        <x:f>IFERROR(VLOOKUP(L297,'Reference Data'!$A$5:$F$40,4,FALSE),"Unknown")</x:f>
        <x:v>Small Appliances</x:v>
      </x:c>
      <x:c r="P297" s="92" t="n">
        <x:f>IFERROR(VLOOKUP(L297,'Reference Data'!$A$5:$F$40,5,FALSE),0)</x:f>
        <x:v>89</x:v>
      </x:c>
      <x:c r="Q297" s="92" t="n">
        <x:f>IFERROR(VLOOKUP(L297,'Reference Data'!$A$5:$F$40,6,FALSE),0)</x:f>
        <x:v>46</x:v>
      </x:c>
      <x:c r="R297" s="84" t="n">
        <x:f>'Raw Sales'!J297</x:f>
        <x:v>1</x:v>
      </x:c>
      <x:c r="S297" s="87" t="n">
        <x:f>'Raw Sales'!K297</x:f>
        <x:v>0</x:v>
      </x:c>
      <x:c r="T297" s="93" t="n">
        <x:f>P297*R297</x:f>
        <x:v>89</x:v>
      </x:c>
      <x:c r="U297" s="93" t="n">
        <x:f>T297*S297</x:f>
        <x:v>0</x:v>
      </x:c>
      <x:c r="V297" s="93" t="str">
        <x:f>PROPER(TRIM('Raw Sales'!L297))</x:f>
        <x:v>Completed</x:v>
      </x:c>
      <x:c r="W297" s="93" t="n">
        <x:f>IF(V297="Returned",0,T297-U297)</x:f>
        <x:v>89</x:v>
      </x:c>
      <x:c r="X297" s="93" t="n">
        <x:f>IF(V297="Returned",Q297*R297*10%,Q297*R297)</x:f>
        <x:v>46</x:v>
      </x:c>
      <x:c r="Y297" s="93" t="n">
        <x:f>W297-X297</x:f>
        <x:v>43</x:v>
      </x:c>
      <x:c r="Z297" s="94" t="n">
        <x:f>IFERROR(Y297/W297,0)</x:f>
        <x:v>0.48314606741573035</x:v>
      </x:c>
      <x:c r="AA297" s="84" t="str">
        <x:f>PROPER(TRIM('Raw Sales'!M297))</x:f>
        <x:v>Mobile Wallet</x:v>
      </x:c>
      <x:c r="AB297" s="84" t="str">
        <x:f>PROPER(TRIM('Raw Sales'!N297))</x:f>
        <x:v>Emma Hayes</x:v>
      </x:c>
      <x:c r="AC297" s="85" t="n">
        <x:f>'Raw Sales'!O297</x:f>
        <x:v>45410</x:v>
      </x:c>
      <x:c r="AD297" s="84" t="n">
        <x:f>AC297-B297</x:f>
        <x:v>0</x:v>
      </x:c>
      <x:c r="AE297" s="84" t="str">
        <x:f>IF(COUNTIF($A$5:A297,A297)&gt;1,"Duplicate","Keep")</x:f>
        <x:v>Keep</x:v>
      </x:c>
      <x:c r="AF297" s="84" t="str">
        <x:f>IF(OR(R297&lt;=0,AC297&lt;B297,H297="Unknown",M297="Unknown Product"),"Review","Valid")</x:f>
        <x:v>Valid</x:v>
      </x:c>
      <x:c r="AG297" s="84" t="n">
        <x:f>IF(AND(AE297="Keep",AF297="Valid"),1,0)</x:f>
        <x:v>1</x:v>
      </x:c>
      <x:c r="AH297" s="84" t="n">
        <x:f>IF(AND(AG297=1,OR('Dashboard'!$B$4="All",I297='Dashboard'!$B$4),OR('Dashboard'!$E$4="All",N297='Dashboard'!$E$4),OR('Dashboard'!$H$4="All",K297='Dashboard'!$H$4),OR('Dashboard'!$K$4="All",C297='Dashboard'!$K$4)),1,0)</x:f>
        <x:v>1</x:v>
      </x:c>
      <x:c r="AI297" s="84" t="n">
        <x:f>IF(AND(AG297=1,OR('Dashboard'!$B$4="All",I297='Dashboard'!$B$4),OR('Dashboard'!$E$4="All",N297='Dashboard'!$E$4),OR('Dashboard'!$H$4="All",K297='Dashboard'!$H$4)),1,0)</x:f>
        <x:v>1</x:v>
      </x:c>
    </x:row>
    <x:row r="298">
      <x:c r="A298" s="84" t="str">
        <x:f>'Raw Sales'!A298</x:f>
        <x:v>ORD-2024-00757</x:v>
      </x:c>
      <x:c r="B298" s="85" t="n">
        <x:f>'Raw Sales'!B298</x:f>
        <x:v>45410</x:v>
      </x:c>
      <x:c r="C298" s="84" t="n">
        <x:f>YEAR(B298)</x:f>
        <x:v>2024</x:v>
      </x:c>
      <x:c r="D298" s="91" t="n">
        <x:f>DATE(YEAR(B298),MONTH(B298),1)</x:f>
        <x:v>45383</x:v>
      </x:c>
      <x:c r="E298" s="84" t="str">
        <x:f>TEXT(B298,"mmm")</x:f>
        <x:v>Apr</x:v>
      </x:c>
      <x:c r="F298" s="84" t="str">
        <x:f>'Raw Sales'!C298</x:f>
        <x:v>CUST-0462</x:v>
      </x:c>
      <x:c r="G298" s="84" t="str">
        <x:f>PROPER(TRIM('Raw Sales'!D298))</x:f>
        <x:v>Grace Johnson</x:v>
      </x:c>
      <x:c r="H298" s="84" t="str">
        <x:f>IF(TRIM('Raw Sales'!E298)="","Unknown",PROPER(TRIM('Raw Sales'!E298)))</x:f>
        <x:v>Consumer</x:v>
      </x:c>
      <x:c r="I298" s="84" t="str">
        <x:f>PROPER(TRIM('Raw Sales'!F298))</x:f>
        <x:v>Northeast</x:v>
      </x:c>
      <x:c r="J298" s="84" t="str">
        <x:f>PROPER(TRIM('Raw Sales'!G298))</x:f>
        <x:v>Philadelphia</x:v>
      </x:c>
      <x:c r="K298" s="84" t="str">
        <x:f>PROPER(TRIM('Raw Sales'!H298))</x:f>
        <x:v>Retail Store</x:v>
      </x:c>
      <x:c r="L298" s="84" t="str">
        <x:f>'Raw Sales'!I298</x:f>
        <x:v>OFFC-003</x:v>
      </x:c>
      <x:c r="M298" s="84" t="str">
        <x:f>IFERROR(VLOOKUP(L298,'Reference Data'!$A$5:$F$40,2,FALSE),"Unknown Product")</x:f>
        <x:v>LED Desk Lamp</x:v>
      </x:c>
      <x:c r="N298" s="84" t="str">
        <x:f>IFERROR(VLOOKUP(L298,'Reference Data'!$A$5:$F$40,3,FALSE),"Unknown")</x:f>
        <x:v>Office</x:v>
      </x:c>
      <x:c r="O298" s="84" t="str">
        <x:f>IFERROR(VLOOKUP(L298,'Reference Data'!$A$5:$F$40,4,FALSE),"Unknown")</x:f>
        <x:v>Desk Accessories</x:v>
      </x:c>
      <x:c r="P298" s="92" t="n">
        <x:f>IFERROR(VLOOKUP(L298,'Reference Data'!$A$5:$F$40,5,FALSE),0)</x:f>
        <x:v>45</x:v>
      </x:c>
      <x:c r="Q298" s="92" t="n">
        <x:f>IFERROR(VLOOKUP(L298,'Reference Data'!$A$5:$F$40,6,FALSE),0)</x:f>
        <x:v>20</x:v>
      </x:c>
      <x:c r="R298" s="84" t="n">
        <x:f>'Raw Sales'!J298</x:f>
        <x:v>1</x:v>
      </x:c>
      <x:c r="S298" s="87" t="n">
        <x:f>'Raw Sales'!K298</x:f>
        <x:v>0.15</x:v>
      </x:c>
      <x:c r="T298" s="93" t="n">
        <x:f>P298*R298</x:f>
        <x:v>45</x:v>
      </x:c>
      <x:c r="U298" s="93" t="n">
        <x:f>T298*S298</x:f>
        <x:v>6.75</x:v>
      </x:c>
      <x:c r="V298" s="93" t="str">
        <x:f>PROPER(TRIM('Raw Sales'!L298))</x:f>
        <x:v>Completed</x:v>
      </x:c>
      <x:c r="W298" s="93" t="n">
        <x:f>IF(V298="Returned",0,T298-U298)</x:f>
        <x:v>38.25</x:v>
      </x:c>
      <x:c r="X298" s="93" t="n">
        <x:f>IF(V298="Returned",Q298*R298*10%,Q298*R298)</x:f>
        <x:v>20</x:v>
      </x:c>
      <x:c r="Y298" s="93" t="n">
        <x:f>W298-X298</x:f>
        <x:v>18.25</x:v>
      </x:c>
      <x:c r="Z298" s="94" t="n">
        <x:f>IFERROR(Y298/W298,0)</x:f>
        <x:v>0.477124183006536</x:v>
      </x:c>
      <x:c r="AA298" s="84" t="str">
        <x:f>PROPER(TRIM('Raw Sales'!M298))</x:f>
        <x:v>Credit Card</x:v>
      </x:c>
      <x:c r="AB298" s="84" t="str">
        <x:f>PROPER(TRIM('Raw Sales'!N298))</x:f>
        <x:v>Sofia Bennett</x:v>
      </x:c>
      <x:c r="AC298" s="85" t="n">
        <x:f>'Raw Sales'!O298</x:f>
        <x:v>45410</x:v>
      </x:c>
      <x:c r="AD298" s="84" t="n">
        <x:f>AC298-B298</x:f>
        <x:v>0</x:v>
      </x:c>
      <x:c r="AE298" s="84" t="str">
        <x:f>IF(COUNTIF($A$5:A298,A298)&gt;1,"Duplicate","Keep")</x:f>
        <x:v>Keep</x:v>
      </x:c>
      <x:c r="AF298" s="84" t="str">
        <x:f>IF(OR(R298&lt;=0,AC298&lt;B298,H298="Unknown",M298="Unknown Product"),"Review","Valid")</x:f>
        <x:v>Valid</x:v>
      </x:c>
      <x:c r="AG298" s="84" t="n">
        <x:f>IF(AND(AE298="Keep",AF298="Valid"),1,0)</x:f>
        <x:v>1</x:v>
      </x:c>
      <x:c r="AH298" s="84" t="n">
        <x:f>IF(AND(AG298=1,OR('Dashboard'!$B$4="All",I298='Dashboard'!$B$4),OR('Dashboard'!$E$4="All",N298='Dashboard'!$E$4),OR('Dashboard'!$H$4="All",K298='Dashboard'!$H$4),OR('Dashboard'!$K$4="All",C298='Dashboard'!$K$4)),1,0)</x:f>
        <x:v>1</x:v>
      </x:c>
      <x:c r="AI298" s="84" t="n">
        <x:f>IF(AND(AG298=1,OR('Dashboard'!$B$4="All",I298='Dashboard'!$B$4),OR('Dashboard'!$E$4="All",N298='Dashboard'!$E$4),OR('Dashboard'!$H$4="All",K298='Dashboard'!$H$4)),1,0)</x:f>
        <x:v>1</x:v>
      </x:c>
    </x:row>
    <x:row r="299">
      <x:c r="A299" s="84" t="str">
        <x:f>'Raw Sales'!A299</x:f>
        <x:v>ORD-2024-00867</x:v>
      </x:c>
      <x:c r="B299" s="85" t="n">
        <x:f>'Raw Sales'!B299</x:f>
        <x:v>45411</x:v>
      </x:c>
      <x:c r="C299" s="84" t="n">
        <x:f>YEAR(B299)</x:f>
        <x:v>2024</x:v>
      </x:c>
      <x:c r="D299" s="91" t="n">
        <x:f>DATE(YEAR(B299),MONTH(B299),1)</x:f>
        <x:v>45383</x:v>
      </x:c>
      <x:c r="E299" s="84" t="str">
        <x:f>TEXT(B299,"mmm")</x:f>
        <x:v>Apr</x:v>
      </x:c>
      <x:c r="F299" s="84" t="str">
        <x:f>'Raw Sales'!C299</x:f>
        <x:v>CUST-0508</x:v>
      </x:c>
      <x:c r="G299" s="84" t="str">
        <x:f>PROPER(TRIM('Raw Sales'!D299))</x:f>
        <x:v>Nina Smith</x:v>
      </x:c>
      <x:c r="H299" s="84" t="str">
        <x:f>IF(TRIM('Raw Sales'!E299)="","Unknown",PROPER(TRIM('Raw Sales'!E299)))</x:f>
        <x:v>Consumer</x:v>
      </x:c>
      <x:c r="I299" s="84" t="str">
        <x:f>PROPER(TRIM('Raw Sales'!F299))</x:f>
        <x:v>West</x:v>
      </x:c>
      <x:c r="J299" s="84" t="str">
        <x:f>PROPER(TRIM('Raw Sales'!G299))</x:f>
        <x:v>Denver</x:v>
      </x:c>
      <x:c r="K299" s="84" t="str">
        <x:f>PROPER(TRIM('Raw Sales'!H299))</x:f>
        <x:v>Online</x:v>
      </x:c>
      <x:c r="L299" s="84" t="str">
        <x:f>'Raw Sales'!I299</x:f>
        <x:v>ELEC-002</x:v>
      </x:c>
      <x:c r="M299" s="84" t="str">
        <x:f>IFERROR(VLOOKUP(L299,'Reference Data'!$A$5:$F$40,2,FALSE),"Unknown Product")</x:f>
        <x:v>Smartwatch</x:v>
      </x:c>
      <x:c r="N299" s="84" t="str">
        <x:f>IFERROR(VLOOKUP(L299,'Reference Data'!$A$5:$F$40,3,FALSE),"Unknown")</x:f>
        <x:v>Electronics</x:v>
      </x:c>
      <x:c r="O299" s="84" t="str">
        <x:f>IFERROR(VLOOKUP(L299,'Reference Data'!$A$5:$F$40,4,FALSE),"Unknown")</x:f>
        <x:v>Wearables</x:v>
      </x:c>
      <x:c r="P299" s="92" t="n">
        <x:f>IFERROR(VLOOKUP(L299,'Reference Data'!$A$5:$F$40,5,FALSE),0)</x:f>
        <x:v>159</x:v>
      </x:c>
      <x:c r="Q299" s="92" t="n">
        <x:f>IFERROR(VLOOKUP(L299,'Reference Data'!$A$5:$F$40,6,FALSE),0)</x:f>
        <x:v>92</x:v>
      </x:c>
      <x:c r="R299" s="84" t="n">
        <x:f>'Raw Sales'!J299</x:f>
        <x:v>3</x:v>
      </x:c>
      <x:c r="S299" s="87" t="n">
        <x:f>'Raw Sales'!K299</x:f>
        <x:v>0</x:v>
      </x:c>
      <x:c r="T299" s="93" t="n">
        <x:f>P299*R299</x:f>
        <x:v>477</x:v>
      </x:c>
      <x:c r="U299" s="93" t="n">
        <x:f>T299*S299</x:f>
        <x:v>0</x:v>
      </x:c>
      <x:c r="V299" s="93" t="str">
        <x:f>PROPER(TRIM('Raw Sales'!L299))</x:f>
        <x:v>Completed</x:v>
      </x:c>
      <x:c r="W299" s="93" t="n">
        <x:f>IF(V299="Returned",0,T299-U299)</x:f>
        <x:v>477</x:v>
      </x:c>
      <x:c r="X299" s="93" t="n">
        <x:f>IF(V299="Returned",Q299*R299*10%,Q299*R299)</x:f>
        <x:v>276</x:v>
      </x:c>
      <x:c r="Y299" s="93" t="n">
        <x:f>W299-X299</x:f>
        <x:v>201</x:v>
      </x:c>
      <x:c r="Z299" s="94" t="n">
        <x:f>IFERROR(Y299/W299,0)</x:f>
        <x:v>0.42138364779874216</x:v>
      </x:c>
      <x:c r="AA299" s="84" t="str">
        <x:f>PROPER(TRIM('Raw Sales'!M299))</x:f>
        <x:v>Debit Card</x:v>
      </x:c>
      <x:c r="AB299" s="84" t="str">
        <x:f>PROPER(TRIM('Raw Sales'!N299))</x:f>
        <x:v>Mia Chen</x:v>
      </x:c>
      <x:c r="AC299" s="85" t="n">
        <x:f>'Raw Sales'!O299</x:f>
        <x:v>45415</x:v>
      </x:c>
      <x:c r="AD299" s="84" t="n">
        <x:f>AC299-B299</x:f>
        <x:v>4</x:v>
      </x:c>
      <x:c r="AE299" s="84" t="str">
        <x:f>IF(COUNTIF($A$5:A299,A299)&gt;1,"Duplicate","Keep")</x:f>
        <x:v>Keep</x:v>
      </x:c>
      <x:c r="AF299" s="84" t="str">
        <x:f>IF(OR(R299&lt;=0,AC299&lt;B299,H299="Unknown",M299="Unknown Product"),"Review","Valid")</x:f>
        <x:v>Valid</x:v>
      </x:c>
      <x:c r="AG299" s="84" t="n">
        <x:f>IF(AND(AE299="Keep",AF299="Valid"),1,0)</x:f>
        <x:v>1</x:v>
      </x:c>
      <x:c r="AH299" s="84" t="n">
        <x:f>IF(AND(AG299=1,OR('Dashboard'!$B$4="All",I299='Dashboard'!$B$4),OR('Dashboard'!$E$4="All",N299='Dashboard'!$E$4),OR('Dashboard'!$H$4="All",K299='Dashboard'!$H$4),OR('Dashboard'!$K$4="All",C299='Dashboard'!$K$4)),1,0)</x:f>
        <x:v>1</x:v>
      </x:c>
      <x:c r="AI299" s="84" t="n">
        <x:f>IF(AND(AG299=1,OR('Dashboard'!$B$4="All",I299='Dashboard'!$B$4),OR('Dashboard'!$E$4="All",N299='Dashboard'!$E$4),OR('Dashboard'!$H$4="All",K299='Dashboard'!$H$4)),1,0)</x:f>
        <x:v>1</x:v>
      </x:c>
    </x:row>
    <x:row r="300">
      <x:c r="A300" s="84" t="str">
        <x:f>'Raw Sales'!A300</x:f>
        <x:v>ORD-2024-01156</x:v>
      </x:c>
      <x:c r="B300" s="85" t="n">
        <x:f>'Raw Sales'!B300</x:f>
        <x:v>45411</x:v>
      </x:c>
      <x:c r="C300" s="84" t="n">
        <x:f>YEAR(B300)</x:f>
        <x:v>2024</x:v>
      </x:c>
      <x:c r="D300" s="91" t="n">
        <x:f>DATE(YEAR(B300),MONTH(B300),1)</x:f>
        <x:v>45383</x:v>
      </x:c>
      <x:c r="E300" s="84" t="str">
        <x:f>TEXT(B300,"mmm")</x:f>
        <x:v>Apr</x:v>
      </x:c>
      <x:c r="F300" s="84" t="str">
        <x:f>'Raw Sales'!C300</x:f>
        <x:v>CUST-0124</x:v>
      </x:c>
      <x:c r="G300" s="84" t="str">
        <x:f>PROPER(TRIM('Raw Sales'!D300))</x:f>
        <x:v>Priya Lewis</x:v>
      </x:c>
      <x:c r="H300" s="84" t="str">
        <x:f>IF(TRIM('Raw Sales'!E300)="","Unknown",PROPER(TRIM('Raw Sales'!E300)))</x:f>
        <x:v>Consumer</x:v>
      </x:c>
      <x:c r="I300" s="84" t="str">
        <x:f>PROPER(TRIM('Raw Sales'!F300))</x:f>
        <x:v>Midwest</x:v>
      </x:c>
      <x:c r="J300" s="84" t="str">
        <x:f>PROPER(TRIM('Raw Sales'!G300))</x:f>
        <x:v>Chicago</x:v>
      </x:c>
      <x:c r="K300" s="84" t="str">
        <x:f>PROPER(TRIM('Raw Sales'!H300))</x:f>
        <x:v>Marketplace</x:v>
      </x:c>
      <x:c r="L300" s="84" t="str">
        <x:f>'Raw Sales'!I300</x:f>
        <x:v>HOME-005</x:v>
      </x:c>
      <x:c r="M300" s="84" t="str">
        <x:f>IFERROR(VLOOKUP(L300,'Reference Data'!$A$5:$F$40,2,FALSE),"Unknown Product")</x:f>
        <x:v>Cordless Vacuum</x:v>
      </x:c>
      <x:c r="N300" s="84" t="str">
        <x:f>IFERROR(VLOOKUP(L300,'Reference Data'!$A$5:$F$40,3,FALSE),"Unknown")</x:f>
        <x:v>Home &amp; Kitchen</x:v>
      </x:c>
      <x:c r="O300" s="84" t="str">
        <x:f>IFERROR(VLOOKUP(L300,'Reference Data'!$A$5:$F$40,4,FALSE),"Unknown")</x:f>
        <x:v>Cleaning</x:v>
      </x:c>
      <x:c r="P300" s="92" t="n">
        <x:f>IFERROR(VLOOKUP(L300,'Reference Data'!$A$5:$F$40,5,FALSE),0)</x:f>
        <x:v>179</x:v>
      </x:c>
      <x:c r="Q300" s="92" t="n">
        <x:f>IFERROR(VLOOKUP(L300,'Reference Data'!$A$5:$F$40,6,FALSE),0)</x:f>
        <x:v>102</x:v>
      </x:c>
      <x:c r="R300" s="84" t="n">
        <x:f>'Raw Sales'!J300</x:f>
        <x:v>1</x:v>
      </x:c>
      <x:c r="S300" s="87" t="n">
        <x:f>'Raw Sales'!K300</x:f>
        <x:v>0</x:v>
      </x:c>
      <x:c r="T300" s="93" t="n">
        <x:f>P300*R300</x:f>
        <x:v>179</x:v>
      </x:c>
      <x:c r="U300" s="93" t="n">
        <x:f>T300*S300</x:f>
        <x:v>0</x:v>
      </x:c>
      <x:c r="V300" s="93" t="str">
        <x:f>PROPER(TRIM('Raw Sales'!L300))</x:f>
        <x:v>Completed</x:v>
      </x:c>
      <x:c r="W300" s="93" t="n">
        <x:f>IF(V300="Returned",0,T300-U300)</x:f>
        <x:v>179</x:v>
      </x:c>
      <x:c r="X300" s="93" t="n">
        <x:f>IF(V300="Returned",Q300*R300*10%,Q300*R300)</x:f>
        <x:v>102</x:v>
      </x:c>
      <x:c r="Y300" s="93" t="n">
        <x:f>W300-X300</x:f>
        <x:v>77</x:v>
      </x:c>
      <x:c r="Z300" s="94" t="n">
        <x:f>IFERROR(Y300/W300,0)</x:f>
        <x:v>0.4301675977653631</x:v>
      </x:c>
      <x:c r="AA300" s="84" t="str">
        <x:f>PROPER(TRIM('Raw Sales'!M300))</x:f>
        <x:v>Mobile Wallet</x:v>
      </x:c>
      <x:c r="AB300" s="84" t="str">
        <x:f>PROPER(TRIM('Raw Sales'!N300))</x:f>
        <x:v>Emma Hayes</x:v>
      </x:c>
      <x:c r="AC300" s="85" t="n">
        <x:f>'Raw Sales'!O300</x:f>
        <x:v>45415</x:v>
      </x:c>
      <x:c r="AD300" s="84" t="n">
        <x:f>AC300-B300</x:f>
        <x:v>4</x:v>
      </x:c>
      <x:c r="AE300" s="84" t="str">
        <x:f>IF(COUNTIF($A$5:A300,A300)&gt;1,"Duplicate","Keep")</x:f>
        <x:v>Keep</x:v>
      </x:c>
      <x:c r="AF300" s="84" t="str">
        <x:f>IF(OR(R300&lt;=0,AC300&lt;B300,H300="Unknown",M300="Unknown Product"),"Review","Valid")</x:f>
        <x:v>Valid</x:v>
      </x:c>
      <x:c r="AG300" s="84" t="n">
        <x:f>IF(AND(AE300="Keep",AF300="Valid"),1,0)</x:f>
        <x:v>1</x:v>
      </x:c>
      <x:c r="AH300" s="84" t="n">
        <x:f>IF(AND(AG300=1,OR('Dashboard'!$B$4="All",I300='Dashboard'!$B$4),OR('Dashboard'!$E$4="All",N300='Dashboard'!$E$4),OR('Dashboard'!$H$4="All",K300='Dashboard'!$H$4),OR('Dashboard'!$K$4="All",C300='Dashboard'!$K$4)),1,0)</x:f>
        <x:v>1</x:v>
      </x:c>
      <x:c r="AI300" s="84" t="n">
        <x:f>IF(AND(AG300=1,OR('Dashboard'!$B$4="All",I300='Dashboard'!$B$4),OR('Dashboard'!$E$4="All",N300='Dashboard'!$E$4),OR('Dashboard'!$H$4="All",K300='Dashboard'!$H$4)),1,0)</x:f>
        <x:v>1</x:v>
      </x:c>
    </x:row>
    <x:row r="301">
      <x:c r="A301" s="84" t="str">
        <x:f>'Raw Sales'!A301</x:f>
        <x:v>ORD-2024-00610</x:v>
      </x:c>
      <x:c r="B301" s="85" t="n">
        <x:f>'Raw Sales'!B301</x:f>
        <x:v>45412</x:v>
      </x:c>
      <x:c r="C301" s="84" t="n">
        <x:f>YEAR(B301)</x:f>
        <x:v>2024</x:v>
      </x:c>
      <x:c r="D301" s="91" t="n">
        <x:f>DATE(YEAR(B301),MONTH(B301),1)</x:f>
        <x:v>45383</x:v>
      </x:c>
      <x:c r="E301" s="84" t="str">
        <x:f>TEXT(B301,"mmm")</x:f>
        <x:v>Apr</x:v>
      </x:c>
      <x:c r="F301" s="84" t="str">
        <x:f>'Raw Sales'!C301</x:f>
        <x:v>CUST-0183</x:v>
      </x:c>
      <x:c r="G301" s="84" t="str">
        <x:f>PROPER(TRIM('Raw Sales'!D301))</x:f>
        <x:v>Jasmine Taylor</x:v>
      </x:c>
      <x:c r="H301" s="84" t="str">
        <x:f>IF(TRIM('Raw Sales'!E301)="","Unknown",PROPER(TRIM('Raw Sales'!E301)))</x:f>
        <x:v>Unknown</x:v>
      </x:c>
      <x:c r="I301" s="84" t="str">
        <x:f>PROPER(TRIM('Raw Sales'!F301))</x:f>
        <x:v>West</x:v>
      </x:c>
      <x:c r="J301" s="84" t="str">
        <x:f>PROPER(TRIM('Raw Sales'!G301))</x:f>
        <x:v>Denver</x:v>
      </x:c>
      <x:c r="K301" s="84" t="str">
        <x:f>PROPER(TRIM('Raw Sales'!H301))</x:f>
        <x:v>Online</x:v>
      </x:c>
      <x:c r="L301" s="84" t="str">
        <x:f>'Raw Sales'!I301</x:f>
        <x:v>FITN-006</x:v>
      </x:c>
      <x:c r="M301" s="84" t="str">
        <x:f>IFERROR(VLOOKUP(L301,'Reference Data'!$A$5:$F$40,2,FALSE),"Unknown Product")</x:f>
        <x:v>Foam Roller</x:v>
      </x:c>
      <x:c r="N301" s="84" t="str">
        <x:f>IFERROR(VLOOKUP(L301,'Reference Data'!$A$5:$F$40,3,FALSE),"Unknown")</x:f>
        <x:v>Fitness</x:v>
      </x:c>
      <x:c r="O301" s="84" t="str">
        <x:f>IFERROR(VLOOKUP(L301,'Reference Data'!$A$5:$F$40,4,FALSE),"Unknown")</x:f>
        <x:v>Recovery</x:v>
      </x:c>
      <x:c r="P301" s="92" t="n">
        <x:f>IFERROR(VLOOKUP(L301,'Reference Data'!$A$5:$F$40,5,FALSE),0)</x:f>
        <x:v>31</x:v>
      </x:c>
      <x:c r="Q301" s="92" t="n">
        <x:f>IFERROR(VLOOKUP(L301,'Reference Data'!$A$5:$F$40,6,FALSE),0)</x:f>
        <x:v>12</x:v>
      </x:c>
      <x:c r="R301" s="84" t="n">
        <x:f>'Raw Sales'!J301</x:f>
        <x:v>2</x:v>
      </x:c>
      <x:c r="S301" s="87" t="n">
        <x:f>'Raw Sales'!K301</x:f>
        <x:v>0.05</x:v>
      </x:c>
      <x:c r="T301" s="93" t="n">
        <x:f>P301*R301</x:f>
        <x:v>62</x:v>
      </x:c>
      <x:c r="U301" s="93" t="n">
        <x:f>T301*S301</x:f>
        <x:v>3.1</x:v>
      </x:c>
      <x:c r="V301" s="93" t="str">
        <x:f>PROPER(TRIM('Raw Sales'!L301))</x:f>
        <x:v>Completed</x:v>
      </x:c>
      <x:c r="W301" s="93" t="n">
        <x:f>IF(V301="Returned",0,T301-U301)</x:f>
        <x:v>58.9</x:v>
      </x:c>
      <x:c r="X301" s="93" t="n">
        <x:f>IF(V301="Returned",Q301*R301*10%,Q301*R301)</x:f>
        <x:v>24</x:v>
      </x:c>
      <x:c r="Y301" s="93" t="n">
        <x:f>W301-X301</x:f>
        <x:v>34.9</x:v>
      </x:c>
      <x:c r="Z301" s="94" t="n">
        <x:f>IFERROR(Y301/W301,0)</x:f>
        <x:v>0.5925297113752123</x:v>
      </x:c>
      <x:c r="AA301" s="84" t="str">
        <x:f>PROPER(TRIM('Raw Sales'!M301))</x:f>
        <x:v>Credit Card</x:v>
      </x:c>
      <x:c r="AB301" s="84" t="str">
        <x:f>PROPER(TRIM('Raw Sales'!N301))</x:f>
        <x:v>Leo Martinez</x:v>
      </x:c>
      <x:c r="AC301" s="85" t="n">
        <x:f>'Raw Sales'!O301</x:f>
        <x:v>45415</x:v>
      </x:c>
      <x:c r="AD301" s="84" t="n">
        <x:f>AC301-B301</x:f>
        <x:v>3</x:v>
      </x:c>
      <x:c r="AE301" s="84" t="str">
        <x:f>IF(COUNTIF($A$5:A301,A301)&gt;1,"Duplicate","Keep")</x:f>
        <x:v>Keep</x:v>
      </x:c>
      <x:c r="AF301" s="84" t="str">
        <x:f>IF(OR(R301&lt;=0,AC301&lt;B301,H301="Unknown",M301="Unknown Product"),"Review","Valid")</x:f>
        <x:v>Review</x:v>
      </x:c>
      <x:c r="AG301" s="84" t="n">
        <x:f>IF(AND(AE301="Keep",AF301="Valid"),1,0)</x:f>
        <x:v>0</x:v>
      </x:c>
      <x:c r="AH301" s="84" t="n">
        <x:f>IF(AND(AG301=1,OR('Dashboard'!$B$4="All",I301='Dashboard'!$B$4),OR('Dashboard'!$E$4="All",N301='Dashboard'!$E$4),OR('Dashboard'!$H$4="All",K301='Dashboard'!$H$4),OR('Dashboard'!$K$4="All",C301='Dashboard'!$K$4)),1,0)</x:f>
        <x:v>0</x:v>
      </x:c>
      <x:c r="AI301" s="84" t="n">
        <x:f>IF(AND(AG301=1,OR('Dashboard'!$B$4="All",I301='Dashboard'!$B$4),OR('Dashboard'!$E$4="All",N301='Dashboard'!$E$4),OR('Dashboard'!$H$4="All",K301='Dashboard'!$H$4)),1,0)</x:f>
        <x:v>0</x:v>
      </x:c>
    </x:row>
    <x:row r="302">
      <x:c r="A302" s="84" t="str">
        <x:f>'Raw Sales'!A302</x:f>
        <x:v>ORD-2024-02187</x:v>
      </x:c>
      <x:c r="B302" s="85" t="n">
        <x:f>'Raw Sales'!B302</x:f>
        <x:v>45412</x:v>
      </x:c>
      <x:c r="C302" s="84" t="n">
        <x:f>YEAR(B302)</x:f>
        <x:v>2024</x:v>
      </x:c>
      <x:c r="D302" s="91" t="n">
        <x:f>DATE(YEAR(B302),MONTH(B302),1)</x:f>
        <x:v>45383</x:v>
      </x:c>
      <x:c r="E302" s="84" t="str">
        <x:f>TEXT(B302,"mmm")</x:f>
        <x:v>Apr</x:v>
      </x:c>
      <x:c r="F302" s="84" t="str">
        <x:f>'Raw Sales'!C302</x:f>
        <x:v>CUST-0078</x:v>
      </x:c>
      <x:c r="G302" s="84" t="str">
        <x:f>PROPER(TRIM('Raw Sales'!D302))</x:f>
        <x:v>Grace Carter</x:v>
      </x:c>
      <x:c r="H302" s="84" t="str">
        <x:f>IF(TRIM('Raw Sales'!E302)="","Unknown",PROPER(TRIM('Raw Sales'!E302)))</x:f>
        <x:v>Small Business</x:v>
      </x:c>
      <x:c r="I302" s="84" t="str">
        <x:f>PROPER(TRIM('Raw Sales'!F302))</x:f>
        <x:v>Southeast</x:v>
      </x:c>
      <x:c r="J302" s="84" t="str">
        <x:f>PROPER(TRIM('Raw Sales'!G302))</x:f>
        <x:v>Atlanta</x:v>
      </x:c>
      <x:c r="K302" s="84" t="str">
        <x:f>PROPER(TRIM('Raw Sales'!H302))</x:f>
        <x:v>Retail Store</x:v>
      </x:c>
      <x:c r="L302" s="84" t="str">
        <x:f>'Raw Sales'!I302</x:f>
        <x:v>HOME-001</x:v>
      </x:c>
      <x:c r="M302" s="84" t="str">
        <x:f>IFERROR(VLOOKUP(L302,'Reference Data'!$A$5:$F$40,2,FALSE),"Unknown Product")</x:f>
        <x:v>Air Fryer</x:v>
      </x:c>
      <x:c r="N302" s="84" t="str">
        <x:f>IFERROR(VLOOKUP(L302,'Reference Data'!$A$5:$F$40,3,FALSE),"Unknown")</x:f>
        <x:v>Home &amp; Kitchen</x:v>
      </x:c>
      <x:c r="O302" s="84" t="str">
        <x:f>IFERROR(VLOOKUP(L302,'Reference Data'!$A$5:$F$40,4,FALSE),"Unknown")</x:f>
        <x:v>Small Appliances</x:v>
      </x:c>
      <x:c r="P302" s="92" t="n">
        <x:f>IFERROR(VLOOKUP(L302,'Reference Data'!$A$5:$F$40,5,FALSE),0)</x:f>
        <x:v>119</x:v>
      </x:c>
      <x:c r="Q302" s="92" t="n">
        <x:f>IFERROR(VLOOKUP(L302,'Reference Data'!$A$5:$F$40,6,FALSE),0)</x:f>
        <x:v>68</x:v>
      </x:c>
      <x:c r="R302" s="84" t="n">
        <x:f>'Raw Sales'!J302</x:f>
        <x:v>1</x:v>
      </x:c>
      <x:c r="S302" s="87" t="n">
        <x:f>'Raw Sales'!K302</x:f>
        <x:v>0</x:v>
      </x:c>
      <x:c r="T302" s="93" t="n">
        <x:f>P302*R302</x:f>
        <x:v>119</x:v>
      </x:c>
      <x:c r="U302" s="93" t="n">
        <x:f>T302*S302</x:f>
        <x:v>0</x:v>
      </x:c>
      <x:c r="V302" s="93" t="str">
        <x:f>PROPER(TRIM('Raw Sales'!L302))</x:f>
        <x:v>Completed</x:v>
      </x:c>
      <x:c r="W302" s="93" t="n">
        <x:f>IF(V302="Returned",0,T302-U302)</x:f>
        <x:v>119</x:v>
      </x:c>
      <x:c r="X302" s="93" t="n">
        <x:f>IF(V302="Returned",Q302*R302*10%,Q302*R302)</x:f>
        <x:v>68</x:v>
      </x:c>
      <x:c r="Y302" s="93" t="n">
        <x:f>W302-X302</x:f>
        <x:v>51</x:v>
      </x:c>
      <x:c r="Z302" s="94" t="n">
        <x:f>IFERROR(Y302/W302,0)</x:f>
        <x:v>0.42857142857142855</x:v>
      </x:c>
      <x:c r="AA302" s="84" t="str">
        <x:f>PROPER(TRIM('Raw Sales'!M302))</x:f>
        <x:v>Debit Card</x:v>
      </x:c>
      <x:c r="AB302" s="84" t="str">
        <x:f>PROPER(TRIM('Raw Sales'!N302))</x:f>
        <x:v>Noah Reed</x:v>
      </x:c>
      <x:c r="AC302" s="85" t="n">
        <x:f>'Raw Sales'!O302</x:f>
        <x:v>45412</x:v>
      </x:c>
      <x:c r="AD302" s="84" t="n">
        <x:f>AC302-B302</x:f>
        <x:v>0</x:v>
      </x:c>
      <x:c r="AE302" s="84" t="str">
        <x:f>IF(COUNTIF($A$5:A302,A302)&gt;1,"Duplicate","Keep")</x:f>
        <x:v>Keep</x:v>
      </x:c>
      <x:c r="AF302" s="84" t="str">
        <x:f>IF(OR(R302&lt;=0,AC302&lt;B302,H302="Unknown",M302="Unknown Product"),"Review","Valid")</x:f>
        <x:v>Valid</x:v>
      </x:c>
      <x:c r="AG302" s="84" t="n">
        <x:f>IF(AND(AE302="Keep",AF302="Valid"),1,0)</x:f>
        <x:v>1</x:v>
      </x:c>
      <x:c r="AH302" s="84" t="n">
        <x:f>IF(AND(AG302=1,OR('Dashboard'!$B$4="All",I302='Dashboard'!$B$4),OR('Dashboard'!$E$4="All",N302='Dashboard'!$E$4),OR('Dashboard'!$H$4="All",K302='Dashboard'!$H$4),OR('Dashboard'!$K$4="All",C302='Dashboard'!$K$4)),1,0)</x:f>
        <x:v>1</x:v>
      </x:c>
      <x:c r="AI302" s="84" t="n">
        <x:f>IF(AND(AG302=1,OR('Dashboard'!$B$4="All",I302='Dashboard'!$B$4),OR('Dashboard'!$E$4="All",N302='Dashboard'!$E$4),OR('Dashboard'!$H$4="All",K302='Dashboard'!$H$4)),1,0)</x:f>
        <x:v>1</x:v>
      </x:c>
    </x:row>
    <x:row r="303">
      <x:c r="A303" s="84" t="str">
        <x:f>'Raw Sales'!A303</x:f>
        <x:v>ORD-2024-00116</x:v>
      </x:c>
      <x:c r="B303" s="85" t="n">
        <x:f>'Raw Sales'!B303</x:f>
        <x:v>45413</x:v>
      </x:c>
      <x:c r="C303" s="84" t="n">
        <x:f>YEAR(B303)</x:f>
        <x:v>2024</x:v>
      </x:c>
      <x:c r="D303" s="91" t="n">
        <x:f>DATE(YEAR(B303),MONTH(B303),1)</x:f>
        <x:v>45413</x:v>
      </x:c>
      <x:c r="E303" s="84" t="str">
        <x:f>TEXT(B303,"mmm")</x:f>
        <x:v>May</x:v>
      </x:c>
      <x:c r="F303" s="84" t="str">
        <x:f>'Raw Sales'!C303</x:f>
        <x:v>CUST-0531</x:v>
      </x:c>
      <x:c r="G303" s="84" t="str">
        <x:f>PROPER(TRIM('Raw Sales'!D303))</x:f>
        <x:v>Grace Ortiz</x:v>
      </x:c>
      <x:c r="H303" s="84" t="str">
        <x:f>IF(TRIM('Raw Sales'!E303)="","Unknown",PROPER(TRIM('Raw Sales'!E303)))</x:f>
        <x:v>Small Business</x:v>
      </x:c>
      <x:c r="I303" s="84" t="str">
        <x:f>PROPER(TRIM('Raw Sales'!F303))</x:f>
        <x:v>Northeast</x:v>
      </x:c>
      <x:c r="J303" s="84" t="str">
        <x:f>PROPER(TRIM('Raw Sales'!G303))</x:f>
        <x:v>Newark</x:v>
      </x:c>
      <x:c r="K303" s="84" t="str">
        <x:f>PROPER(TRIM('Raw Sales'!H303))</x:f>
        <x:v>Online</x:v>
      </x:c>
      <x:c r="L303" s="84" t="str">
        <x:f>'Raw Sales'!I303</x:f>
        <x:v>FITN-002</x:v>
      </x:c>
      <x:c r="M303" s="84" t="str">
        <x:f>IFERROR(VLOOKUP(L303,'Reference Data'!$A$5:$F$40,2,FALSE),"Unknown Product")</x:f>
        <x:v>Adjustable Dumbbell Set</x:v>
      </x:c>
      <x:c r="N303" s="84" t="str">
        <x:f>IFERROR(VLOOKUP(L303,'Reference Data'!$A$5:$F$40,3,FALSE),"Unknown")</x:f>
        <x:v>Fitness</x:v>
      </x:c>
      <x:c r="O303" s="84" t="str">
        <x:f>IFERROR(VLOOKUP(L303,'Reference Data'!$A$5:$F$40,4,FALSE),"Unknown")</x:f>
        <x:v>Strength</x:v>
      </x:c>
      <x:c r="P303" s="92" t="n">
        <x:f>IFERROR(VLOOKUP(L303,'Reference Data'!$A$5:$F$40,5,FALSE),0)</x:f>
        <x:v>99</x:v>
      </x:c>
      <x:c r="Q303" s="92" t="n">
        <x:f>IFERROR(VLOOKUP(L303,'Reference Data'!$A$5:$F$40,6,FALSE),0)</x:f>
        <x:v>57</x:v>
      </x:c>
      <x:c r="R303" s="84" t="n">
        <x:f>'Raw Sales'!J303</x:f>
        <x:v>1</x:v>
      </x:c>
      <x:c r="S303" s="87" t="n">
        <x:f>'Raw Sales'!K303</x:f>
        <x:v>0.05</x:v>
      </x:c>
      <x:c r="T303" s="93" t="n">
        <x:f>P303*R303</x:f>
        <x:v>99</x:v>
      </x:c>
      <x:c r="U303" s="93" t="n">
        <x:f>T303*S303</x:f>
        <x:v>4.95</x:v>
      </x:c>
      <x:c r="V303" s="93" t="str">
        <x:f>PROPER(TRIM('Raw Sales'!L303))</x:f>
        <x:v>Completed</x:v>
      </x:c>
      <x:c r="W303" s="93" t="n">
        <x:f>IF(V303="Returned",0,T303-U303)</x:f>
        <x:v>94.05</x:v>
      </x:c>
      <x:c r="X303" s="93" t="n">
        <x:f>IF(V303="Returned",Q303*R303*10%,Q303*R303)</x:f>
        <x:v>57</x:v>
      </x:c>
      <x:c r="Y303" s="93" t="n">
        <x:f>W303-X303</x:f>
        <x:v>37.05</x:v>
      </x:c>
      <x:c r="Z303" s="94" t="n">
        <x:f>IFERROR(Y303/W303,0)</x:f>
        <x:v>0.3939393939393939</x:v>
      </x:c>
      <x:c r="AA303" s="84" t="str">
        <x:f>PROPER(TRIM('Raw Sales'!M303))</x:f>
        <x:v>Mobile Wallet</x:v>
      </x:c>
      <x:c r="AB303" s="84" t="str">
        <x:f>PROPER(TRIM('Raw Sales'!N303))</x:f>
        <x:v>Maya Brooks</x:v>
      </x:c>
      <x:c r="AC303" s="85" t="n">
        <x:f>'Raw Sales'!O303</x:f>
        <x:v>45416</x:v>
      </x:c>
      <x:c r="AD303" s="84" t="n">
        <x:f>AC303-B303</x:f>
        <x:v>3</x:v>
      </x:c>
      <x:c r="AE303" s="84" t="str">
        <x:f>IF(COUNTIF($A$5:A303,A303)&gt;1,"Duplicate","Keep")</x:f>
        <x:v>Keep</x:v>
      </x:c>
      <x:c r="AF303" s="84" t="str">
        <x:f>IF(OR(R303&lt;=0,AC303&lt;B303,H303="Unknown",M303="Unknown Product"),"Review","Valid")</x:f>
        <x:v>Valid</x:v>
      </x:c>
      <x:c r="AG303" s="84" t="n">
        <x:f>IF(AND(AE303="Keep",AF303="Valid"),1,0)</x:f>
        <x:v>1</x:v>
      </x:c>
      <x:c r="AH303" s="84" t="n">
        <x:f>IF(AND(AG303=1,OR('Dashboard'!$B$4="All",I303='Dashboard'!$B$4),OR('Dashboard'!$E$4="All",N303='Dashboard'!$E$4),OR('Dashboard'!$H$4="All",K303='Dashboard'!$H$4),OR('Dashboard'!$K$4="All",C303='Dashboard'!$K$4)),1,0)</x:f>
        <x:v>1</x:v>
      </x:c>
      <x:c r="AI303" s="84" t="n">
        <x:f>IF(AND(AG303=1,OR('Dashboard'!$B$4="All",I303='Dashboard'!$B$4),OR('Dashboard'!$E$4="All",N303='Dashboard'!$E$4),OR('Dashboard'!$H$4="All",K303='Dashboard'!$H$4)),1,0)</x:f>
        <x:v>1</x:v>
      </x:c>
    </x:row>
    <x:row r="304">
      <x:c r="A304" s="84" t="str">
        <x:f>'Raw Sales'!A304</x:f>
        <x:v>ORD-2024-00593</x:v>
      </x:c>
      <x:c r="B304" s="85" t="n">
        <x:f>'Raw Sales'!B304</x:f>
        <x:v>45413</x:v>
      </x:c>
      <x:c r="C304" s="84" t="n">
        <x:f>YEAR(B304)</x:f>
        <x:v>2024</x:v>
      </x:c>
      <x:c r="D304" s="91" t="n">
        <x:f>DATE(YEAR(B304),MONTH(B304),1)</x:f>
        <x:v>45413</x:v>
      </x:c>
      <x:c r="E304" s="84" t="str">
        <x:f>TEXT(B304,"mmm")</x:f>
        <x:v>May</x:v>
      </x:c>
      <x:c r="F304" s="84" t="str">
        <x:f>'Raw Sales'!C304</x:f>
        <x:v>CUST-0464</x:v>
      </x:c>
      <x:c r="G304" s="84" t="str">
        <x:f>PROPER(TRIM('Raw Sales'!D304))</x:f>
        <x:v>Sara Moore</x:v>
      </x:c>
      <x:c r="H304" s="84" t="str">
        <x:f>IF(TRIM('Raw Sales'!E304)="","Unknown",PROPER(TRIM('Raw Sales'!E304)))</x:f>
        <x:v>Consumer</x:v>
      </x:c>
      <x:c r="I304" s="84" t="str">
        <x:f>PROPER(TRIM('Raw Sales'!F304))</x:f>
        <x:v>Midwest</x:v>
      </x:c>
      <x:c r="J304" s="84" t="str">
        <x:f>PROPER(TRIM('Raw Sales'!G304))</x:f>
        <x:v>Chicago</x:v>
      </x:c>
      <x:c r="K304" s="84" t="str">
        <x:f>PROPER(TRIM('Raw Sales'!H304))</x:f>
        <x:v>Online</x:v>
      </x:c>
      <x:c r="L304" s="84" t="str">
        <x:f>'Raw Sales'!I304</x:f>
        <x:v>FITN-005</x:v>
      </x:c>
      <x:c r="M304" s="84" t="str">
        <x:f>IFERROR(VLOOKUP(L304,'Reference Data'!$A$5:$F$40,2,FALSE),"Unknown Product")</x:f>
        <x:v>Sports Water Bottle</x:v>
      </x:c>
      <x:c r="N304" s="84" t="str">
        <x:f>IFERROR(VLOOKUP(L304,'Reference Data'!$A$5:$F$40,3,FALSE),"Unknown")</x:f>
        <x:v>Fitness</x:v>
      </x:c>
      <x:c r="O304" s="84" t="str">
        <x:f>IFERROR(VLOOKUP(L304,'Reference Data'!$A$5:$F$40,4,FALSE),"Unknown")</x:f>
        <x:v>Accessories</x:v>
      </x:c>
      <x:c r="P304" s="92" t="n">
        <x:f>IFERROR(VLOOKUP(L304,'Reference Data'!$A$5:$F$40,5,FALSE),0)</x:f>
        <x:v>22</x:v>
      </x:c>
      <x:c r="Q304" s="92" t="n">
        <x:f>IFERROR(VLOOKUP(L304,'Reference Data'!$A$5:$F$40,6,FALSE),0)</x:f>
        <x:v>7</x:v>
      </x:c>
      <x:c r="R304" s="84" t="n">
        <x:f>'Raw Sales'!J304</x:f>
        <x:v>1</x:v>
      </x:c>
      <x:c r="S304" s="87" t="n">
        <x:f>'Raw Sales'!K304</x:f>
        <x:v>0</x:v>
      </x:c>
      <x:c r="T304" s="93" t="n">
        <x:f>P304*R304</x:f>
        <x:v>22</x:v>
      </x:c>
      <x:c r="U304" s="93" t="n">
        <x:f>T304*S304</x:f>
        <x:v>0</x:v>
      </x:c>
      <x:c r="V304" s="93" t="str">
        <x:f>PROPER(TRIM('Raw Sales'!L304))</x:f>
        <x:v>Completed</x:v>
      </x:c>
      <x:c r="W304" s="93" t="n">
        <x:f>IF(V304="Returned",0,T304-U304)</x:f>
        <x:v>22</x:v>
      </x:c>
      <x:c r="X304" s="93" t="n">
        <x:f>IF(V304="Returned",Q304*R304*10%,Q304*R304)</x:f>
        <x:v>7</x:v>
      </x:c>
      <x:c r="Y304" s="93" t="n">
        <x:f>W304-X304</x:f>
        <x:v>15</x:v>
      </x:c>
      <x:c r="Z304" s="94" t="n">
        <x:f>IFERROR(Y304/W304,0)</x:f>
        <x:v>0.6818181818181818</x:v>
      </x:c>
      <x:c r="AA304" s="84" t="str">
        <x:f>PROPER(TRIM('Raw Sales'!M304))</x:f>
        <x:v>Mobile Wallet</x:v>
      </x:c>
      <x:c r="AB304" s="84" t="str">
        <x:f>PROPER(TRIM('Raw Sales'!N304))</x:f>
        <x:v>Zoe Turner</x:v>
      </x:c>
      <x:c r="AC304" s="85" t="n">
        <x:f>'Raw Sales'!O304</x:f>
        <x:v>45416</x:v>
      </x:c>
      <x:c r="AD304" s="84" t="n">
        <x:f>AC304-B304</x:f>
        <x:v>3</x:v>
      </x:c>
      <x:c r="AE304" s="84" t="str">
        <x:f>IF(COUNTIF($A$5:A304,A304)&gt;1,"Duplicate","Keep")</x:f>
        <x:v>Keep</x:v>
      </x:c>
      <x:c r="AF304" s="84" t="str">
        <x:f>IF(OR(R304&lt;=0,AC304&lt;B304,H304="Unknown",M304="Unknown Product"),"Review","Valid")</x:f>
        <x:v>Valid</x:v>
      </x:c>
      <x:c r="AG304" s="84" t="n">
        <x:f>IF(AND(AE304="Keep",AF304="Valid"),1,0)</x:f>
        <x:v>1</x:v>
      </x:c>
      <x:c r="AH304" s="84" t="n">
        <x:f>IF(AND(AG304=1,OR('Dashboard'!$B$4="All",I304='Dashboard'!$B$4),OR('Dashboard'!$E$4="All",N304='Dashboard'!$E$4),OR('Dashboard'!$H$4="All",K304='Dashboard'!$H$4),OR('Dashboard'!$K$4="All",C304='Dashboard'!$K$4)),1,0)</x:f>
        <x:v>1</x:v>
      </x:c>
      <x:c r="AI304" s="84" t="n">
        <x:f>IF(AND(AG304=1,OR('Dashboard'!$B$4="All",I304='Dashboard'!$B$4),OR('Dashboard'!$E$4="All",N304='Dashboard'!$E$4),OR('Dashboard'!$H$4="All",K304='Dashboard'!$H$4)),1,0)</x:f>
        <x:v>1</x:v>
      </x:c>
    </x:row>
    <x:row r="305">
      <x:c r="A305" s="84" t="str">
        <x:f>'Raw Sales'!A305</x:f>
        <x:v>ORD-2024-00759</x:v>
      </x:c>
      <x:c r="B305" s="85" t="n">
        <x:f>'Raw Sales'!B305</x:f>
        <x:v>45413</x:v>
      </x:c>
      <x:c r="C305" s="84" t="n">
        <x:f>YEAR(B305)</x:f>
        <x:v>2024</x:v>
      </x:c>
      <x:c r="D305" s="91" t="n">
        <x:f>DATE(YEAR(B305),MONTH(B305),1)</x:f>
        <x:v>45413</x:v>
      </x:c>
      <x:c r="E305" s="84" t="str">
        <x:f>TEXT(B305,"mmm")</x:f>
        <x:v>May</x:v>
      </x:c>
      <x:c r="F305" s="84" t="str">
        <x:f>'Raw Sales'!C305</x:f>
        <x:v>CUST-0475</x:v>
      </x:c>
      <x:c r="G305" s="84" t="str">
        <x:f>PROPER(TRIM('Raw Sales'!D305))</x:f>
        <x:v>Samuel Walker</x:v>
      </x:c>
      <x:c r="H305" s="84" t="str">
        <x:f>IF(TRIM('Raw Sales'!E305)="","Unknown",PROPER(TRIM('Raw Sales'!E305)))</x:f>
        <x:v>Corporate</x:v>
      </x:c>
      <x:c r="I305" s="84" t="str">
        <x:f>PROPER(TRIM('Raw Sales'!F305))</x:f>
        <x:v>Northeast</x:v>
      </x:c>
      <x:c r="J305" s="84" t="str">
        <x:f>PROPER(TRIM('Raw Sales'!G305))</x:f>
        <x:v>Boston</x:v>
      </x:c>
      <x:c r="K305" s="84" t="str">
        <x:f>PROPER(TRIM('Raw Sales'!H305))</x:f>
        <x:v>Marketplace</x:v>
      </x:c>
      <x:c r="L305" s="84" t="str">
        <x:f>'Raw Sales'!I305</x:f>
        <x:v>HOME-001</x:v>
      </x:c>
      <x:c r="M305" s="84" t="str">
        <x:f>IFERROR(VLOOKUP(L305,'Reference Data'!$A$5:$F$40,2,FALSE),"Unknown Product")</x:f>
        <x:v>Air Fryer</x:v>
      </x:c>
      <x:c r="N305" s="84" t="str">
        <x:f>IFERROR(VLOOKUP(L305,'Reference Data'!$A$5:$F$40,3,FALSE),"Unknown")</x:f>
        <x:v>Home &amp; Kitchen</x:v>
      </x:c>
      <x:c r="O305" s="84" t="str">
        <x:f>IFERROR(VLOOKUP(L305,'Reference Data'!$A$5:$F$40,4,FALSE),"Unknown")</x:f>
        <x:v>Small Appliances</x:v>
      </x:c>
      <x:c r="P305" s="92" t="n">
        <x:f>IFERROR(VLOOKUP(L305,'Reference Data'!$A$5:$F$40,5,FALSE),0)</x:f>
        <x:v>119</x:v>
      </x:c>
      <x:c r="Q305" s="92" t="n">
        <x:f>IFERROR(VLOOKUP(L305,'Reference Data'!$A$5:$F$40,6,FALSE),0)</x:f>
        <x:v>68</x:v>
      </x:c>
      <x:c r="R305" s="84" t="n">
        <x:f>'Raw Sales'!J305</x:f>
        <x:v>1</x:v>
      </x:c>
      <x:c r="S305" s="87" t="n">
        <x:f>'Raw Sales'!K305</x:f>
        <x:v>0.05</x:v>
      </x:c>
      <x:c r="T305" s="93" t="n">
        <x:f>P305*R305</x:f>
        <x:v>119</x:v>
      </x:c>
      <x:c r="U305" s="93" t="n">
        <x:f>T305*S305</x:f>
        <x:v>5.95</x:v>
      </x:c>
      <x:c r="V305" s="93" t="str">
        <x:f>PROPER(TRIM('Raw Sales'!L305))</x:f>
        <x:v>Completed</x:v>
      </x:c>
      <x:c r="W305" s="93" t="n">
        <x:f>IF(V305="Returned",0,T305-U305)</x:f>
        <x:v>113.05</x:v>
      </x:c>
      <x:c r="X305" s="93" t="n">
        <x:f>IF(V305="Returned",Q305*R305*10%,Q305*R305)</x:f>
        <x:v>68</x:v>
      </x:c>
      <x:c r="Y305" s="93" t="n">
        <x:f>W305-X305</x:f>
        <x:v>45.05</x:v>
      </x:c>
      <x:c r="Z305" s="94" t="n">
        <x:f>IFERROR(Y305/W305,0)</x:f>
        <x:v>0.39849624060150374</x:v>
      </x:c>
      <x:c r="AA305" s="84" t="str">
        <x:f>PROPER(TRIM('Raw Sales'!M305))</x:f>
        <x:v>Paypal</x:v>
      </x:c>
      <x:c r="AB305" s="84" t="str">
        <x:f>PROPER(TRIM('Raw Sales'!N305))</x:f>
        <x:v>Ethan Cole</x:v>
      </x:c>
      <x:c r="AC305" s="85" t="n">
        <x:f>'Raw Sales'!O305</x:f>
        <x:v>45417</x:v>
      </x:c>
      <x:c r="AD305" s="84" t="n">
        <x:f>AC305-B305</x:f>
        <x:v>4</x:v>
      </x:c>
      <x:c r="AE305" s="84" t="str">
        <x:f>IF(COUNTIF($A$5:A305,A305)&gt;1,"Duplicate","Keep")</x:f>
        <x:v>Keep</x:v>
      </x:c>
      <x:c r="AF305" s="84" t="str">
        <x:f>IF(OR(R305&lt;=0,AC305&lt;B305,H305="Unknown",M305="Unknown Product"),"Review","Valid")</x:f>
        <x:v>Valid</x:v>
      </x:c>
      <x:c r="AG305" s="84" t="n">
        <x:f>IF(AND(AE305="Keep",AF305="Valid"),1,0)</x:f>
        <x:v>1</x:v>
      </x:c>
      <x:c r="AH305" s="84" t="n">
        <x:f>IF(AND(AG305=1,OR('Dashboard'!$B$4="All",I305='Dashboard'!$B$4),OR('Dashboard'!$E$4="All",N305='Dashboard'!$E$4),OR('Dashboard'!$H$4="All",K305='Dashboard'!$H$4),OR('Dashboard'!$K$4="All",C305='Dashboard'!$K$4)),1,0)</x:f>
        <x:v>1</x:v>
      </x:c>
      <x:c r="AI305" s="84" t="n">
        <x:f>IF(AND(AG305=1,OR('Dashboard'!$B$4="All",I305='Dashboard'!$B$4),OR('Dashboard'!$E$4="All",N305='Dashboard'!$E$4),OR('Dashboard'!$H$4="All",K305='Dashboard'!$H$4)),1,0)</x:f>
        <x:v>1</x:v>
      </x:c>
    </x:row>
    <x:row r="306">
      <x:c r="A306" s="84" t="str">
        <x:f>'Raw Sales'!A306</x:f>
        <x:v>ORD-2024-01528</x:v>
      </x:c>
      <x:c r="B306" s="85" t="n">
        <x:f>'Raw Sales'!B306</x:f>
        <x:v>45413</x:v>
      </x:c>
      <x:c r="C306" s="84" t="n">
        <x:f>YEAR(B306)</x:f>
        <x:v>2024</x:v>
      </x:c>
      <x:c r="D306" s="91" t="n">
        <x:f>DATE(YEAR(B306),MONTH(B306),1)</x:f>
        <x:v>45413</x:v>
      </x:c>
      <x:c r="E306" s="84" t="str">
        <x:f>TEXT(B306,"mmm")</x:f>
        <x:v>May</x:v>
      </x:c>
      <x:c r="F306" s="84" t="str">
        <x:f>'Raw Sales'!C306</x:f>
        <x:v>CUST-0381</x:v>
      </x:c>
      <x:c r="G306" s="84" t="str">
        <x:f>PROPER(TRIM('Raw Sales'!D306))</x:f>
        <x:v>William Lewis</x:v>
      </x:c>
      <x:c r="H306" s="84" t="str">
        <x:f>IF(TRIM('Raw Sales'!E306)="","Unknown",PROPER(TRIM('Raw Sales'!E306)))</x:f>
        <x:v>Corporate</x:v>
      </x:c>
      <x:c r="I306" s="84" t="str">
        <x:f>PROPER(TRIM('Raw Sales'!F306))</x:f>
        <x:v>Midwest</x:v>
      </x:c>
      <x:c r="J306" s="84" t="str">
        <x:f>PROPER(TRIM('Raw Sales'!G306))</x:f>
        <x:v>Columbus</x:v>
      </x:c>
      <x:c r="K306" s="84" t="str">
        <x:f>PROPER(TRIM('Raw Sales'!H306))</x:f>
        <x:v>Retail Store</x:v>
      </x:c>
      <x:c r="L306" s="84" t="str">
        <x:f>'Raw Sales'!I306</x:f>
        <x:v>HOME-003</x:v>
      </x:c>
      <x:c r="M306" s="84" t="str">
        <x:f>IFERROR(VLOOKUP(L306,'Reference Data'!$A$5:$F$40,2,FALSE),"Unknown Product")</x:f>
        <x:v>Countertop Blender</x:v>
      </x:c>
      <x:c r="N306" s="84" t="str">
        <x:f>IFERROR(VLOOKUP(L306,'Reference Data'!$A$5:$F$40,3,FALSE),"Unknown")</x:f>
        <x:v>Home &amp; Kitchen</x:v>
      </x:c>
      <x:c r="O306" s="84" t="str">
        <x:f>IFERROR(VLOOKUP(L306,'Reference Data'!$A$5:$F$40,4,FALSE),"Unknown")</x:f>
        <x:v>Small Appliances</x:v>
      </x:c>
      <x:c r="P306" s="92" t="n">
        <x:f>IFERROR(VLOOKUP(L306,'Reference Data'!$A$5:$F$40,5,FALSE),0)</x:f>
        <x:v>89</x:v>
      </x:c>
      <x:c r="Q306" s="92" t="n">
        <x:f>IFERROR(VLOOKUP(L306,'Reference Data'!$A$5:$F$40,6,FALSE),0)</x:f>
        <x:v>46</x:v>
      </x:c>
      <x:c r="R306" s="84" t="n">
        <x:f>'Raw Sales'!J306</x:f>
        <x:v>2</x:v>
      </x:c>
      <x:c r="S306" s="87" t="n">
        <x:f>'Raw Sales'!K306</x:f>
        <x:v>0</x:v>
      </x:c>
      <x:c r="T306" s="93" t="n">
        <x:f>P306*R306</x:f>
        <x:v>178</x:v>
      </x:c>
      <x:c r="U306" s="93" t="n">
        <x:f>T306*S306</x:f>
        <x:v>0</x:v>
      </x:c>
      <x:c r="V306" s="93" t="str">
        <x:f>PROPER(TRIM('Raw Sales'!L306))</x:f>
        <x:v>Completed</x:v>
      </x:c>
      <x:c r="W306" s="93" t="n">
        <x:f>IF(V306="Returned",0,T306-U306)</x:f>
        <x:v>178</x:v>
      </x:c>
      <x:c r="X306" s="93" t="n">
        <x:f>IF(V306="Returned",Q306*R306*10%,Q306*R306)</x:f>
        <x:v>92</x:v>
      </x:c>
      <x:c r="Y306" s="93" t="n">
        <x:f>W306-X306</x:f>
        <x:v>86</x:v>
      </x:c>
      <x:c r="Z306" s="94" t="n">
        <x:f>IFERROR(Y306/W306,0)</x:f>
        <x:v>0.48314606741573035</x:v>
      </x:c>
      <x:c r="AA306" s="84" t="str">
        <x:f>PROPER(TRIM('Raw Sales'!M306))</x:f>
        <x:v>Cash</x:v>
      </x:c>
      <x:c r="AB306" s="84" t="str">
        <x:f>PROPER(TRIM('Raw Sales'!N306))</x:f>
        <x:v>Zoe Turner</x:v>
      </x:c>
      <x:c r="AC306" s="85" t="n">
        <x:f>'Raw Sales'!O306</x:f>
        <x:v>45413</x:v>
      </x:c>
      <x:c r="AD306" s="84" t="n">
        <x:f>AC306-B306</x:f>
        <x:v>0</x:v>
      </x:c>
      <x:c r="AE306" s="84" t="str">
        <x:f>IF(COUNTIF($A$5:A306,A306)&gt;1,"Duplicate","Keep")</x:f>
        <x:v>Keep</x:v>
      </x:c>
      <x:c r="AF306" s="84" t="str">
        <x:f>IF(OR(R306&lt;=0,AC306&lt;B306,H306="Unknown",M306="Unknown Product"),"Review","Valid")</x:f>
        <x:v>Valid</x:v>
      </x:c>
      <x:c r="AG306" s="84" t="n">
        <x:f>IF(AND(AE306="Keep",AF306="Valid"),1,0)</x:f>
        <x:v>1</x:v>
      </x:c>
      <x:c r="AH306" s="84" t="n">
        <x:f>IF(AND(AG306=1,OR('Dashboard'!$B$4="All",I306='Dashboard'!$B$4),OR('Dashboard'!$E$4="All",N306='Dashboard'!$E$4),OR('Dashboard'!$H$4="All",K306='Dashboard'!$H$4),OR('Dashboard'!$K$4="All",C306='Dashboard'!$K$4)),1,0)</x:f>
        <x:v>1</x:v>
      </x:c>
      <x:c r="AI306" s="84" t="n">
        <x:f>IF(AND(AG306=1,OR('Dashboard'!$B$4="All",I306='Dashboard'!$B$4),OR('Dashboard'!$E$4="All",N306='Dashboard'!$E$4),OR('Dashboard'!$H$4="All",K306='Dashboard'!$H$4)),1,0)</x:f>
        <x:v>1</x:v>
      </x:c>
    </x:row>
    <x:row r="307">
      <x:c r="A307" s="84" t="str">
        <x:f>'Raw Sales'!A307</x:f>
        <x:v>ORD-2024-01917</x:v>
      </x:c>
      <x:c r="B307" s="85" t="n">
        <x:f>'Raw Sales'!B307</x:f>
        <x:v>45413</x:v>
      </x:c>
      <x:c r="C307" s="84" t="n">
        <x:f>YEAR(B307)</x:f>
        <x:v>2024</x:v>
      </x:c>
      <x:c r="D307" s="91" t="n">
        <x:f>DATE(YEAR(B307),MONTH(B307),1)</x:f>
        <x:v>45413</x:v>
      </x:c>
      <x:c r="E307" s="84" t="str">
        <x:f>TEXT(B307,"mmm")</x:f>
        <x:v>May</x:v>
      </x:c>
      <x:c r="F307" s="84" t="str">
        <x:f>'Raw Sales'!C307</x:f>
        <x:v>CUST-0480</x:v>
      </x:c>
      <x:c r="G307" s="84" t="str">
        <x:f>PROPER(TRIM('Raw Sales'!D307))</x:f>
        <x:v>Samuel Baker</x:v>
      </x:c>
      <x:c r="H307" s="84" t="str">
        <x:f>IF(TRIM('Raw Sales'!E307)="","Unknown",PROPER(TRIM('Raw Sales'!E307)))</x:f>
        <x:v>Consumer</x:v>
      </x:c>
      <x:c r="I307" s="84" t="str">
        <x:f>PROPER(TRIM('Raw Sales'!F307))</x:f>
        <x:v>West</x:v>
      </x:c>
      <x:c r="J307" s="84" t="str">
        <x:f>PROPER(TRIM('Raw Sales'!G307))</x:f>
        <x:v>Denver</x:v>
      </x:c>
      <x:c r="K307" s="84" t="str">
        <x:f>PROPER(TRIM('Raw Sales'!H307))</x:f>
        <x:v>Online</x:v>
      </x:c>
      <x:c r="L307" s="84" t="str">
        <x:f>'Raw Sales'!I307</x:f>
        <x:v>HOME-003</x:v>
      </x:c>
      <x:c r="M307" s="84" t="str">
        <x:f>IFERROR(VLOOKUP(L307,'Reference Data'!$A$5:$F$40,2,FALSE),"Unknown Product")</x:f>
        <x:v>Countertop Blender</x:v>
      </x:c>
      <x:c r="N307" s="84" t="str">
        <x:f>IFERROR(VLOOKUP(L307,'Reference Data'!$A$5:$F$40,3,FALSE),"Unknown")</x:f>
        <x:v>Home &amp; Kitchen</x:v>
      </x:c>
      <x:c r="O307" s="84" t="str">
        <x:f>IFERROR(VLOOKUP(L307,'Reference Data'!$A$5:$F$40,4,FALSE),"Unknown")</x:f>
        <x:v>Small Appliances</x:v>
      </x:c>
      <x:c r="P307" s="92" t="n">
        <x:f>IFERROR(VLOOKUP(L307,'Reference Data'!$A$5:$F$40,5,FALSE),0)</x:f>
        <x:v>89</x:v>
      </x:c>
      <x:c r="Q307" s="92" t="n">
        <x:f>IFERROR(VLOOKUP(L307,'Reference Data'!$A$5:$F$40,6,FALSE),0)</x:f>
        <x:v>46</x:v>
      </x:c>
      <x:c r="R307" s="84" t="n">
        <x:f>'Raw Sales'!J307</x:f>
        <x:v>1</x:v>
      </x:c>
      <x:c r="S307" s="87" t="n">
        <x:f>'Raw Sales'!K307</x:f>
        <x:v>0</x:v>
      </x:c>
      <x:c r="T307" s="93" t="n">
        <x:f>P307*R307</x:f>
        <x:v>89</x:v>
      </x:c>
      <x:c r="U307" s="93" t="n">
        <x:f>T307*S307</x:f>
        <x:v>0</x:v>
      </x:c>
      <x:c r="V307" s="93" t="str">
        <x:f>PROPER(TRIM('Raw Sales'!L307))</x:f>
        <x:v>Completed</x:v>
      </x:c>
      <x:c r="W307" s="93" t="n">
        <x:f>IF(V307="Returned",0,T307-U307)</x:f>
        <x:v>89</x:v>
      </x:c>
      <x:c r="X307" s="93" t="n">
        <x:f>IF(V307="Returned",Q307*R307*10%,Q307*R307)</x:f>
        <x:v>46</x:v>
      </x:c>
      <x:c r="Y307" s="93" t="n">
        <x:f>W307-X307</x:f>
        <x:v>43</x:v>
      </x:c>
      <x:c r="Z307" s="94" t="n">
        <x:f>IFERROR(Y307/W307,0)</x:f>
        <x:v>0.48314606741573035</x:v>
      </x:c>
      <x:c r="AA307" s="84" t="str">
        <x:f>PROPER(TRIM('Raw Sales'!M307))</x:f>
        <x:v>Mobile Wallet</x:v>
      </x:c>
      <x:c r="AB307" s="84" t="str">
        <x:f>PROPER(TRIM('Raw Sales'!N307))</x:f>
        <x:v>Nora Kim</x:v>
      </x:c>
      <x:c r="AC307" s="85" t="n">
        <x:f>'Raw Sales'!O307</x:f>
        <x:v>45418</x:v>
      </x:c>
      <x:c r="AD307" s="84" t="n">
        <x:f>AC307-B307</x:f>
        <x:v>5</x:v>
      </x:c>
      <x:c r="AE307" s="84" t="str">
        <x:f>IF(COUNTIF($A$5:A307,A307)&gt;1,"Duplicate","Keep")</x:f>
        <x:v>Keep</x:v>
      </x:c>
      <x:c r="AF307" s="84" t="str">
        <x:f>IF(OR(R307&lt;=0,AC307&lt;B307,H307="Unknown",M307="Unknown Product"),"Review","Valid")</x:f>
        <x:v>Valid</x:v>
      </x:c>
      <x:c r="AG307" s="84" t="n">
        <x:f>IF(AND(AE307="Keep",AF307="Valid"),1,0)</x:f>
        <x:v>1</x:v>
      </x:c>
      <x:c r="AH307" s="84" t="n">
        <x:f>IF(AND(AG307=1,OR('Dashboard'!$B$4="All",I307='Dashboard'!$B$4),OR('Dashboard'!$E$4="All",N307='Dashboard'!$E$4),OR('Dashboard'!$H$4="All",K307='Dashboard'!$H$4),OR('Dashboard'!$K$4="All",C307='Dashboard'!$K$4)),1,0)</x:f>
        <x:v>1</x:v>
      </x:c>
      <x:c r="AI307" s="84" t="n">
        <x:f>IF(AND(AG307=1,OR('Dashboard'!$B$4="All",I307='Dashboard'!$B$4),OR('Dashboard'!$E$4="All",N307='Dashboard'!$E$4),OR('Dashboard'!$H$4="All",K307='Dashboard'!$H$4)),1,0)</x:f>
        <x:v>1</x:v>
      </x:c>
    </x:row>
    <x:row r="308">
      <x:c r="A308" s="84" t="str">
        <x:f>'Raw Sales'!A308</x:f>
        <x:v>ORD-2024-02034</x:v>
      </x:c>
      <x:c r="B308" s="85" t="n">
        <x:f>'Raw Sales'!B308</x:f>
        <x:v>45413</x:v>
      </x:c>
      <x:c r="C308" s="84" t="n">
        <x:f>YEAR(B308)</x:f>
        <x:v>2024</x:v>
      </x:c>
      <x:c r="D308" s="91" t="n">
        <x:f>DATE(YEAR(B308),MONTH(B308),1)</x:f>
        <x:v>45413</x:v>
      </x:c>
      <x:c r="E308" s="84" t="str">
        <x:f>TEXT(B308,"mmm")</x:f>
        <x:v>May</x:v>
      </x:c>
      <x:c r="F308" s="84" t="str">
        <x:f>'Raw Sales'!C308</x:f>
        <x:v>CUST-0340</x:v>
      </x:c>
      <x:c r="G308" s="84" t="str">
        <x:f>PROPER(TRIM('Raw Sales'!D308))</x:f>
        <x:v>Nina Moore</x:v>
      </x:c>
      <x:c r="H308" s="84" t="str">
        <x:f>IF(TRIM('Raw Sales'!E308)="","Unknown",PROPER(TRIM('Raw Sales'!E308)))</x:f>
        <x:v>Consumer</x:v>
      </x:c>
      <x:c r="I308" s="84" t="str">
        <x:f>PROPER(TRIM('Raw Sales'!F308))</x:f>
        <x:v>West</x:v>
      </x:c>
      <x:c r="J308" s="84" t="str">
        <x:f>PROPER(TRIM('Raw Sales'!G308))</x:f>
        <x:v>Los Angeles</x:v>
      </x:c>
      <x:c r="K308" s="84" t="str">
        <x:f>PROPER(TRIM('Raw Sales'!H308))</x:f>
        <x:v>Retail Store</x:v>
      </x:c>
      <x:c r="L308" s="84" t="str">
        <x:f>'Raw Sales'!I308</x:f>
        <x:v>ACCS-004</x:v>
      </x:c>
      <x:c r="M308" s="84" t="str">
        <x:f>IFERROR(VLOOKUP(L308,'Reference Data'!$A$5:$F$40,2,FALSE),"Unknown Product")</x:f>
        <x:v>Leather Wallet</x:v>
      </x:c>
      <x:c r="N308" s="84" t="str">
        <x:f>IFERROR(VLOOKUP(L308,'Reference Data'!$A$5:$F$40,3,FALSE),"Unknown")</x:f>
        <x:v>Accessories</x:v>
      </x:c>
      <x:c r="O308" s="84" t="str">
        <x:f>IFERROR(VLOOKUP(L308,'Reference Data'!$A$5:$F$40,4,FALSE),"Unknown")</x:f>
        <x:v>Wallets</x:v>
      </x:c>
      <x:c r="P308" s="92" t="n">
        <x:f>IFERROR(VLOOKUP(L308,'Reference Data'!$A$5:$F$40,5,FALSE),0)</x:f>
        <x:v>49</x:v>
      </x:c>
      <x:c r="Q308" s="92" t="n">
        <x:f>IFERROR(VLOOKUP(L308,'Reference Data'!$A$5:$F$40,6,FALSE),0)</x:f>
        <x:v>18</x:v>
      </x:c>
      <x:c r="R308" s="84" t="n">
        <x:f>'Raw Sales'!J308</x:f>
        <x:v>2</x:v>
      </x:c>
      <x:c r="S308" s="87" t="n">
        <x:f>'Raw Sales'!K308</x:f>
        <x:v>0.1</x:v>
      </x:c>
      <x:c r="T308" s="93" t="n">
        <x:f>P308*R308</x:f>
        <x:v>98</x:v>
      </x:c>
      <x:c r="U308" s="93" t="n">
        <x:f>T308*S308</x:f>
        <x:v>9.8</x:v>
      </x:c>
      <x:c r="V308" s="93" t="str">
        <x:f>PROPER(TRIM('Raw Sales'!L308))</x:f>
        <x:v>Completed</x:v>
      </x:c>
      <x:c r="W308" s="93" t="n">
        <x:f>IF(V308="Returned",0,T308-U308)</x:f>
        <x:v>88.2</x:v>
      </x:c>
      <x:c r="X308" s="93" t="n">
        <x:f>IF(V308="Returned",Q308*R308*10%,Q308*R308)</x:f>
        <x:v>36</x:v>
      </x:c>
      <x:c r="Y308" s="93" t="n">
        <x:f>W308-X308</x:f>
        <x:v>52.2</x:v>
      </x:c>
      <x:c r="Z308" s="94" t="n">
        <x:f>IFERROR(Y308/W308,0)</x:f>
        <x:v>0.5918367346938775</x:v>
      </x:c>
      <x:c r="AA308" s="84" t="str">
        <x:f>PROPER(TRIM('Raw Sales'!M308))</x:f>
        <x:v>Credit Card</x:v>
      </x:c>
      <x:c r="AB308" s="84" t="str">
        <x:f>PROPER(TRIM('Raw Sales'!N308))</x:f>
        <x:v>Mia Chen</x:v>
      </x:c>
      <x:c r="AC308" s="85" t="n">
        <x:f>'Raw Sales'!O308</x:f>
        <x:v>45413</x:v>
      </x:c>
      <x:c r="AD308" s="84" t="n">
        <x:f>AC308-B308</x:f>
        <x:v>0</x:v>
      </x:c>
      <x:c r="AE308" s="84" t="str">
        <x:f>IF(COUNTIF($A$5:A308,A308)&gt;1,"Duplicate","Keep")</x:f>
        <x:v>Keep</x:v>
      </x:c>
      <x:c r="AF308" s="84" t="str">
        <x:f>IF(OR(R308&lt;=0,AC308&lt;B308,H308="Unknown",M308="Unknown Product"),"Review","Valid")</x:f>
        <x:v>Valid</x:v>
      </x:c>
      <x:c r="AG308" s="84" t="n">
        <x:f>IF(AND(AE308="Keep",AF308="Valid"),1,0)</x:f>
        <x:v>1</x:v>
      </x:c>
      <x:c r="AH308" s="84" t="n">
        <x:f>IF(AND(AG308=1,OR('Dashboard'!$B$4="All",I308='Dashboard'!$B$4),OR('Dashboard'!$E$4="All",N308='Dashboard'!$E$4),OR('Dashboard'!$H$4="All",K308='Dashboard'!$H$4),OR('Dashboard'!$K$4="All",C308='Dashboard'!$K$4)),1,0)</x:f>
        <x:v>1</x:v>
      </x:c>
      <x:c r="AI308" s="84" t="n">
        <x:f>IF(AND(AG308=1,OR('Dashboard'!$B$4="All",I308='Dashboard'!$B$4),OR('Dashboard'!$E$4="All",N308='Dashboard'!$E$4),OR('Dashboard'!$H$4="All",K308='Dashboard'!$H$4)),1,0)</x:f>
        <x:v>1</x:v>
      </x:c>
    </x:row>
    <x:row r="309">
      <x:c r="A309" s="84" t="str">
        <x:f>'Raw Sales'!A309</x:f>
        <x:v>ORD-2024-00115</x:v>
      </x:c>
      <x:c r="B309" s="85" t="n">
        <x:f>'Raw Sales'!B309</x:f>
        <x:v>45414</x:v>
      </x:c>
      <x:c r="C309" s="84" t="n">
        <x:f>YEAR(B309)</x:f>
        <x:v>2024</x:v>
      </x:c>
      <x:c r="D309" s="91" t="n">
        <x:f>DATE(YEAR(B309),MONTH(B309),1)</x:f>
        <x:v>45413</x:v>
      </x:c>
      <x:c r="E309" s="84" t="str">
        <x:f>TEXT(B309,"mmm")</x:f>
        <x:v>May</x:v>
      </x:c>
      <x:c r="F309" s="84" t="str">
        <x:f>'Raw Sales'!C309</x:f>
        <x:v>CUST-0022</x:v>
      </x:c>
      <x:c r="G309" s="84" t="str">
        <x:f>PROPER(TRIM('Raw Sales'!D309))</x:f>
        <x:v>Amelia Nelson</x:v>
      </x:c>
      <x:c r="H309" s="84" t="str">
        <x:f>IF(TRIM('Raw Sales'!E309)="","Unknown",PROPER(TRIM('Raw Sales'!E309)))</x:f>
        <x:v>Corporate</x:v>
      </x:c>
      <x:c r="I309" s="84" t="str">
        <x:f>PROPER(TRIM('Raw Sales'!F309))</x:f>
        <x:v>Northeast</x:v>
      </x:c>
      <x:c r="J309" s="84" t="str">
        <x:f>PROPER(TRIM('Raw Sales'!G309))</x:f>
        <x:v>New York</x:v>
      </x:c>
      <x:c r="K309" s="84" t="str">
        <x:f>PROPER(TRIM('Raw Sales'!H309))</x:f>
        <x:v>Retail Store</x:v>
      </x:c>
      <x:c r="L309" s="84" t="str">
        <x:f>'Raw Sales'!I309</x:f>
        <x:v>CARE-001</x:v>
      </x:c>
      <x:c r="M309" s="84" t="str">
        <x:f>IFERROR(VLOOKUP(L309,'Reference Data'!$A$5:$F$40,2,FALSE),"Unknown Product")</x:f>
        <x:v>Ionic Hair Dryer</x:v>
      </x:c>
      <x:c r="N309" s="84" t="str">
        <x:f>IFERROR(VLOOKUP(L309,'Reference Data'!$A$5:$F$40,3,FALSE),"Unknown")</x:f>
        <x:v>Personal Care</x:v>
      </x:c>
      <x:c r="O309" s="84" t="str">
        <x:f>IFERROR(VLOOKUP(L309,'Reference Data'!$A$5:$F$40,4,FALSE),"Unknown")</x:f>
        <x:v>Hair Care</x:v>
      </x:c>
      <x:c r="P309" s="92" t="n">
        <x:f>IFERROR(VLOOKUP(L309,'Reference Data'!$A$5:$F$40,5,FALSE),0)</x:f>
        <x:v>54</x:v>
      </x:c>
      <x:c r="Q309" s="92" t="n">
        <x:f>IFERROR(VLOOKUP(L309,'Reference Data'!$A$5:$F$40,6,FALSE),0)</x:f>
        <x:v>25</x:v>
      </x:c>
      <x:c r="R309" s="84" t="n">
        <x:f>'Raw Sales'!J309</x:f>
        <x:v>2</x:v>
      </x:c>
      <x:c r="S309" s="87" t="n">
        <x:f>'Raw Sales'!K309</x:f>
        <x:v>0</x:v>
      </x:c>
      <x:c r="T309" s="93" t="n">
        <x:f>P309*R309</x:f>
        <x:v>108</x:v>
      </x:c>
      <x:c r="U309" s="93" t="n">
        <x:f>T309*S309</x:f>
        <x:v>0</x:v>
      </x:c>
      <x:c r="V309" s="93" t="str">
        <x:f>PROPER(TRIM('Raw Sales'!L309))</x:f>
        <x:v>Completed</x:v>
      </x:c>
      <x:c r="W309" s="93" t="n">
        <x:f>IF(V309="Returned",0,T309-U309)</x:f>
        <x:v>108</x:v>
      </x:c>
      <x:c r="X309" s="93" t="n">
        <x:f>IF(V309="Returned",Q309*R309*10%,Q309*R309)</x:f>
        <x:v>50</x:v>
      </x:c>
      <x:c r="Y309" s="93" t="n">
        <x:f>W309-X309</x:f>
        <x:v>58</x:v>
      </x:c>
      <x:c r="Z309" s="94" t="n">
        <x:f>IFERROR(Y309/W309,0)</x:f>
        <x:v>0.5370370370370371</x:v>
      </x:c>
      <x:c r="AA309" s="84" t="str">
        <x:f>PROPER(TRIM('Raw Sales'!M309))</x:f>
        <x:v>Debit Card</x:v>
      </x:c>
      <x:c r="AB309" s="84" t="str">
        <x:f>PROPER(TRIM('Raw Sales'!N309))</x:f>
        <x:v>Ethan Cole</x:v>
      </x:c>
      <x:c r="AC309" s="85" t="n">
        <x:f>'Raw Sales'!O309</x:f>
        <x:v>45414</x:v>
      </x:c>
      <x:c r="AD309" s="84" t="n">
        <x:f>AC309-B309</x:f>
        <x:v>0</x:v>
      </x:c>
      <x:c r="AE309" s="84" t="str">
        <x:f>IF(COUNTIF($A$5:A309,A309)&gt;1,"Duplicate","Keep")</x:f>
        <x:v>Keep</x:v>
      </x:c>
      <x:c r="AF309" s="84" t="str">
        <x:f>IF(OR(R309&lt;=0,AC309&lt;B309,H309="Unknown",M309="Unknown Product"),"Review","Valid")</x:f>
        <x:v>Valid</x:v>
      </x:c>
      <x:c r="AG309" s="84" t="n">
        <x:f>IF(AND(AE309="Keep",AF309="Valid"),1,0)</x:f>
        <x:v>1</x:v>
      </x:c>
      <x:c r="AH309" s="84" t="n">
        <x:f>IF(AND(AG309=1,OR('Dashboard'!$B$4="All",I309='Dashboard'!$B$4),OR('Dashboard'!$E$4="All",N309='Dashboard'!$E$4),OR('Dashboard'!$H$4="All",K309='Dashboard'!$H$4),OR('Dashboard'!$K$4="All",C309='Dashboard'!$K$4)),1,0)</x:f>
        <x:v>1</x:v>
      </x:c>
      <x:c r="AI309" s="84" t="n">
        <x:f>IF(AND(AG309=1,OR('Dashboard'!$B$4="All",I309='Dashboard'!$B$4),OR('Dashboard'!$E$4="All",N309='Dashboard'!$E$4),OR('Dashboard'!$H$4="All",K309='Dashboard'!$H$4)),1,0)</x:f>
        <x:v>1</x:v>
      </x:c>
    </x:row>
    <x:row r="310">
      <x:c r="A310" s="84" t="str">
        <x:f>'Raw Sales'!A310</x:f>
        <x:v>ORD-2024-00613</x:v>
      </x:c>
      <x:c r="B310" s="85" t="n">
        <x:f>'Raw Sales'!B310</x:f>
        <x:v>45414</x:v>
      </x:c>
      <x:c r="C310" s="84" t="n">
        <x:f>YEAR(B310)</x:f>
        <x:v>2024</x:v>
      </x:c>
      <x:c r="D310" s="91" t="n">
        <x:f>DATE(YEAR(B310),MONTH(B310),1)</x:f>
        <x:v>45413</x:v>
      </x:c>
      <x:c r="E310" s="84" t="str">
        <x:f>TEXT(B310,"mmm")</x:f>
        <x:v>May</x:v>
      </x:c>
      <x:c r="F310" s="84" t="str">
        <x:f>'Raw Sales'!C310</x:f>
        <x:v>CUST-0391</x:v>
      </x:c>
      <x:c r="G310" s="84" t="str">
        <x:f>PROPER(TRIM('Raw Sales'!D310))</x:f>
        <x:v>Amelia Taylor</x:v>
      </x:c>
      <x:c r="H310" s="84" t="str">
        <x:f>IF(TRIM('Raw Sales'!E310)="","Unknown",PROPER(TRIM('Raw Sales'!E310)))</x:f>
        <x:v>Corporate</x:v>
      </x:c>
      <x:c r="I310" s="84" t="str">
        <x:f>PROPER(TRIM('Raw Sales'!F310))</x:f>
        <x:v>Northeast</x:v>
      </x:c>
      <x:c r="J310" s="84" t="str">
        <x:f>PROPER(TRIM('Raw Sales'!G310))</x:f>
        <x:v>New York</x:v>
      </x:c>
      <x:c r="K310" s="84" t="str">
        <x:f>PROPER(TRIM('Raw Sales'!H310))</x:f>
        <x:v>Retail Store</x:v>
      </x:c>
      <x:c r="L310" s="84" t="str">
        <x:f>'Raw Sales'!I310</x:f>
        <x:v>CARE-006</x:v>
      </x:c>
      <x:c r="M310" s="84" t="str">
        <x:f>IFERROR(VLOOKUP(L310,'Reference Data'!$A$5:$F$40,2,FALSE),"Unknown Product")</x:f>
        <x:v>Percussion Massage Gun</x:v>
      </x:c>
      <x:c r="N310" s="84" t="str">
        <x:f>IFERROR(VLOOKUP(L310,'Reference Data'!$A$5:$F$40,3,FALSE),"Unknown")</x:f>
        <x:v>Personal Care</x:v>
      </x:c>
      <x:c r="O310" s="84" t="str">
        <x:f>IFERROR(VLOOKUP(L310,'Reference Data'!$A$5:$F$40,4,FALSE),"Unknown")</x:f>
        <x:v>Wellness</x:v>
      </x:c>
      <x:c r="P310" s="92" t="n">
        <x:f>IFERROR(VLOOKUP(L310,'Reference Data'!$A$5:$F$40,5,FALSE),0)</x:f>
        <x:v>129</x:v>
      </x:c>
      <x:c r="Q310" s="92" t="n">
        <x:f>IFERROR(VLOOKUP(L310,'Reference Data'!$A$5:$F$40,6,FALSE),0)</x:f>
        <x:v>70</x:v>
      </x:c>
      <x:c r="R310" s="84" t="n">
        <x:f>'Raw Sales'!J310</x:f>
        <x:v>2</x:v>
      </x:c>
      <x:c r="S310" s="87" t="n">
        <x:f>'Raw Sales'!K310</x:f>
        <x:v>0.05</x:v>
      </x:c>
      <x:c r="T310" s="93" t="n">
        <x:f>P310*R310</x:f>
        <x:v>258</x:v>
      </x:c>
      <x:c r="U310" s="93" t="n">
        <x:f>T310*S310</x:f>
        <x:v>12.9</x:v>
      </x:c>
      <x:c r="V310" s="93" t="str">
        <x:f>PROPER(TRIM('Raw Sales'!L310))</x:f>
        <x:v>Completed</x:v>
      </x:c>
      <x:c r="W310" s="93" t="n">
        <x:f>IF(V310="Returned",0,T310-U310)</x:f>
        <x:v>245.1</x:v>
      </x:c>
      <x:c r="X310" s="93" t="n">
        <x:f>IF(V310="Returned",Q310*R310*10%,Q310*R310)</x:f>
        <x:v>140</x:v>
      </x:c>
      <x:c r="Y310" s="93" t="n">
        <x:f>W310-X310</x:f>
        <x:v>105.1</x:v>
      </x:c>
      <x:c r="Z310" s="94" t="n">
        <x:f>IFERROR(Y310/W310,0)</x:f>
        <x:v>0.4288045695634435</x:v>
      </x:c>
      <x:c r="AA310" s="84" t="str">
        <x:f>PROPER(TRIM('Raw Sales'!M310))</x:f>
        <x:v>Cash</x:v>
      </x:c>
      <x:c r="AB310" s="84" t="str">
        <x:f>PROPER(TRIM('Raw Sales'!N310))</x:f>
        <x:v>Ethan Cole</x:v>
      </x:c>
      <x:c r="AC310" s="85" t="n">
        <x:f>'Raw Sales'!O310</x:f>
        <x:v>45414</x:v>
      </x:c>
      <x:c r="AD310" s="84" t="n">
        <x:f>AC310-B310</x:f>
        <x:v>0</x:v>
      </x:c>
      <x:c r="AE310" s="84" t="str">
        <x:f>IF(COUNTIF($A$5:A310,A310)&gt;1,"Duplicate","Keep")</x:f>
        <x:v>Keep</x:v>
      </x:c>
      <x:c r="AF310" s="84" t="str">
        <x:f>IF(OR(R310&lt;=0,AC310&lt;B310,H310="Unknown",M310="Unknown Product"),"Review","Valid")</x:f>
        <x:v>Valid</x:v>
      </x:c>
      <x:c r="AG310" s="84" t="n">
        <x:f>IF(AND(AE310="Keep",AF310="Valid"),1,0)</x:f>
        <x:v>1</x:v>
      </x:c>
      <x:c r="AH310" s="84" t="n">
        <x:f>IF(AND(AG310=1,OR('Dashboard'!$B$4="All",I310='Dashboard'!$B$4),OR('Dashboard'!$E$4="All",N310='Dashboard'!$E$4),OR('Dashboard'!$H$4="All",K310='Dashboard'!$H$4),OR('Dashboard'!$K$4="All",C310='Dashboard'!$K$4)),1,0)</x:f>
        <x:v>1</x:v>
      </x:c>
      <x:c r="AI310" s="84" t="n">
        <x:f>IF(AND(AG310=1,OR('Dashboard'!$B$4="All",I310='Dashboard'!$B$4),OR('Dashboard'!$E$4="All",N310='Dashboard'!$E$4),OR('Dashboard'!$H$4="All",K310='Dashboard'!$H$4)),1,0)</x:f>
        <x:v>1</x:v>
      </x:c>
    </x:row>
    <x:row r="311">
      <x:c r="A311" s="84" t="str">
        <x:f>'Raw Sales'!A311</x:f>
        <x:v>ORD-2024-00675</x:v>
      </x:c>
      <x:c r="B311" s="85" t="n">
        <x:f>'Raw Sales'!B311</x:f>
        <x:v>45414</x:v>
      </x:c>
      <x:c r="C311" s="84" t="n">
        <x:f>YEAR(B311)</x:f>
        <x:v>2024</x:v>
      </x:c>
      <x:c r="D311" s="91" t="n">
        <x:f>DATE(YEAR(B311),MONTH(B311),1)</x:f>
        <x:v>45413</x:v>
      </x:c>
      <x:c r="E311" s="84" t="str">
        <x:f>TEXT(B311,"mmm")</x:f>
        <x:v>May</x:v>
      </x:c>
      <x:c r="F311" s="84" t="str">
        <x:f>'Raw Sales'!C311</x:f>
        <x:v>CUST-0064</x:v>
      </x:c>
      <x:c r="G311" s="84" t="str">
        <x:f>PROPER(TRIM('Raw Sales'!D311))</x:f>
        <x:v>Nina Walker</x:v>
      </x:c>
      <x:c r="H311" s="84" t="str">
        <x:f>IF(TRIM('Raw Sales'!E311)="","Unknown",PROPER(TRIM('Raw Sales'!E311)))</x:f>
        <x:v>Consumer</x:v>
      </x:c>
      <x:c r="I311" s="84" t="str">
        <x:f>PROPER(TRIM('Raw Sales'!F311))</x:f>
        <x:v>Midwest</x:v>
      </x:c>
      <x:c r="J311" s="84" t="str">
        <x:f>PROPER(TRIM('Raw Sales'!G311))</x:f>
        <x:v>Columbus</x:v>
      </x:c>
      <x:c r="K311" s="84" t="str">
        <x:f>PROPER(TRIM('Raw Sales'!H311))</x:f>
        <x:v>Retail Store</x:v>
      </x:c>
      <x:c r="L311" s="84" t="str">
        <x:f>'Raw Sales'!I311</x:f>
        <x:v>CARE-001</x:v>
      </x:c>
      <x:c r="M311" s="84" t="str">
        <x:f>IFERROR(VLOOKUP(L311,'Reference Data'!$A$5:$F$40,2,FALSE),"Unknown Product")</x:f>
        <x:v>Ionic Hair Dryer</x:v>
      </x:c>
      <x:c r="N311" s="84" t="str">
        <x:f>IFERROR(VLOOKUP(L311,'Reference Data'!$A$5:$F$40,3,FALSE),"Unknown")</x:f>
        <x:v>Personal Care</x:v>
      </x:c>
      <x:c r="O311" s="84" t="str">
        <x:f>IFERROR(VLOOKUP(L311,'Reference Data'!$A$5:$F$40,4,FALSE),"Unknown")</x:f>
        <x:v>Hair Care</x:v>
      </x:c>
      <x:c r="P311" s="92" t="n">
        <x:f>IFERROR(VLOOKUP(L311,'Reference Data'!$A$5:$F$40,5,FALSE),0)</x:f>
        <x:v>54</x:v>
      </x:c>
      <x:c r="Q311" s="92" t="n">
        <x:f>IFERROR(VLOOKUP(L311,'Reference Data'!$A$5:$F$40,6,FALSE),0)</x:f>
        <x:v>25</x:v>
      </x:c>
      <x:c r="R311" s="84" t="n">
        <x:f>'Raw Sales'!J311</x:f>
        <x:v>2</x:v>
      </x:c>
      <x:c r="S311" s="87" t="n">
        <x:f>'Raw Sales'!K311</x:f>
        <x:v>0</x:v>
      </x:c>
      <x:c r="T311" s="93" t="n">
        <x:f>P311*R311</x:f>
        <x:v>108</x:v>
      </x:c>
      <x:c r="U311" s="93" t="n">
        <x:f>T311*S311</x:f>
        <x:v>0</x:v>
      </x:c>
      <x:c r="V311" s="93" t="str">
        <x:f>PROPER(TRIM('Raw Sales'!L311))</x:f>
        <x:v>Completed</x:v>
      </x:c>
      <x:c r="W311" s="93" t="n">
        <x:f>IF(V311="Returned",0,T311-U311)</x:f>
        <x:v>108</x:v>
      </x:c>
      <x:c r="X311" s="93" t="n">
        <x:f>IF(V311="Returned",Q311*R311*10%,Q311*R311)</x:f>
        <x:v>50</x:v>
      </x:c>
      <x:c r="Y311" s="93" t="n">
        <x:f>W311-X311</x:f>
        <x:v>58</x:v>
      </x:c>
      <x:c r="Z311" s="94" t="n">
        <x:f>IFERROR(Y311/W311,0)</x:f>
        <x:v>0.5370370370370371</x:v>
      </x:c>
      <x:c r="AA311" s="84" t="str">
        <x:f>PROPER(TRIM('Raw Sales'!M311))</x:f>
        <x:v>Credit Card</x:v>
      </x:c>
      <x:c r="AB311" s="84" t="str">
        <x:f>PROPER(TRIM('Raw Sales'!N311))</x:f>
        <x:v>Zoe Turner</x:v>
      </x:c>
      <x:c r="AC311" s="85" t="n">
        <x:f>'Raw Sales'!O311</x:f>
        <x:v>45415</x:v>
      </x:c>
      <x:c r="AD311" s="84" t="n">
        <x:f>AC311-B311</x:f>
        <x:v>1</x:v>
      </x:c>
      <x:c r="AE311" s="84" t="str">
        <x:f>IF(COUNTIF($A$5:A311,A311)&gt;1,"Duplicate","Keep")</x:f>
        <x:v>Keep</x:v>
      </x:c>
      <x:c r="AF311" s="84" t="str">
        <x:f>IF(OR(R311&lt;=0,AC311&lt;B311,H311="Unknown",M311="Unknown Product"),"Review","Valid")</x:f>
        <x:v>Valid</x:v>
      </x:c>
      <x:c r="AG311" s="84" t="n">
        <x:f>IF(AND(AE311="Keep",AF311="Valid"),1,0)</x:f>
        <x:v>1</x:v>
      </x:c>
      <x:c r="AH311" s="84" t="n">
        <x:f>IF(AND(AG311=1,OR('Dashboard'!$B$4="All",I311='Dashboard'!$B$4),OR('Dashboard'!$E$4="All",N311='Dashboard'!$E$4),OR('Dashboard'!$H$4="All",K311='Dashboard'!$H$4),OR('Dashboard'!$K$4="All",C311='Dashboard'!$K$4)),1,0)</x:f>
        <x:v>1</x:v>
      </x:c>
      <x:c r="AI311" s="84" t="n">
        <x:f>IF(AND(AG311=1,OR('Dashboard'!$B$4="All",I311='Dashboard'!$B$4),OR('Dashboard'!$E$4="All",N311='Dashboard'!$E$4),OR('Dashboard'!$H$4="All",K311='Dashboard'!$H$4)),1,0)</x:f>
        <x:v>1</x:v>
      </x:c>
    </x:row>
    <x:row r="312">
      <x:c r="A312" s="84" t="str">
        <x:f>'Raw Sales'!A312</x:f>
        <x:v>ORD-2024-01281</x:v>
      </x:c>
      <x:c r="B312" s="85" t="n">
        <x:f>'Raw Sales'!B312</x:f>
        <x:v>45414</x:v>
      </x:c>
      <x:c r="C312" s="84" t="n">
        <x:f>YEAR(B312)</x:f>
        <x:v>2024</x:v>
      </x:c>
      <x:c r="D312" s="91" t="n">
        <x:f>DATE(YEAR(B312),MONTH(B312),1)</x:f>
        <x:v>45413</x:v>
      </x:c>
      <x:c r="E312" s="84" t="str">
        <x:f>TEXT(B312,"mmm")</x:f>
        <x:v>May</x:v>
      </x:c>
      <x:c r="F312" s="84" t="str">
        <x:f>'Raw Sales'!C312</x:f>
        <x:v>CUST-0637</x:v>
      </x:c>
      <x:c r="G312" s="84" t="str">
        <x:f>PROPER(TRIM('Raw Sales'!D312))</x:f>
        <x:v>Amelia Adams</x:v>
      </x:c>
      <x:c r="H312" s="84" t="str">
        <x:f>IF(TRIM('Raw Sales'!E312)="","Unknown",PROPER(TRIM('Raw Sales'!E312)))</x:f>
        <x:v>Unknown</x:v>
      </x:c>
      <x:c r="I312" s="84" t="str">
        <x:f>PROPER(TRIM('Raw Sales'!F312))</x:f>
        <x:v>Northeast</x:v>
      </x:c>
      <x:c r="J312" s="84" t="str">
        <x:f>PROPER(TRIM('Raw Sales'!G312))</x:f>
        <x:v>New York</x:v>
      </x:c>
      <x:c r="K312" s="84" t="str">
        <x:f>PROPER(TRIM('Raw Sales'!H312))</x:f>
        <x:v>Retail Store</x:v>
      </x:c>
      <x:c r="L312" s="84" t="str">
        <x:f>'Raw Sales'!I312</x:f>
        <x:v>OFFC-005</x:v>
      </x:c>
      <x:c r="M312" s="84" t="str">
        <x:f>IFERROR(VLOOKUP(L312,'Reference Data'!$A$5:$F$40,2,FALSE),"Unknown Product")</x:f>
        <x:v>Wireless Keyboard</x:v>
      </x:c>
      <x:c r="N312" s="84" t="str">
        <x:f>IFERROR(VLOOKUP(L312,'Reference Data'!$A$5:$F$40,3,FALSE),"Unknown")</x:f>
        <x:v>Office</x:v>
      </x:c>
      <x:c r="O312" s="84" t="str">
        <x:f>IFERROR(VLOOKUP(L312,'Reference Data'!$A$5:$F$40,4,FALSE),"Unknown")</x:f>
        <x:v>Computer Accessories</x:v>
      </x:c>
      <x:c r="P312" s="92" t="n">
        <x:f>IFERROR(VLOOKUP(L312,'Reference Data'!$A$5:$F$40,5,FALSE),0)</x:f>
        <x:v>59</x:v>
      </x:c>
      <x:c r="Q312" s="92" t="n">
        <x:f>IFERROR(VLOOKUP(L312,'Reference Data'!$A$5:$F$40,6,FALSE),0)</x:f>
        <x:v>28</x:v>
      </x:c>
      <x:c r="R312" s="84" t="n">
        <x:f>'Raw Sales'!J312</x:f>
        <x:v>1</x:v>
      </x:c>
      <x:c r="S312" s="87" t="n">
        <x:f>'Raw Sales'!K312</x:f>
        <x:v>0.1</x:v>
      </x:c>
      <x:c r="T312" s="93" t="n">
        <x:f>P312*R312</x:f>
        <x:v>59</x:v>
      </x:c>
      <x:c r="U312" s="93" t="n">
        <x:f>T312*S312</x:f>
        <x:v>5.9</x:v>
      </x:c>
      <x:c r="V312" s="93" t="str">
        <x:f>PROPER(TRIM('Raw Sales'!L312))</x:f>
        <x:v>Completed</x:v>
      </x:c>
      <x:c r="W312" s="93" t="n">
        <x:f>IF(V312="Returned",0,T312-U312)</x:f>
        <x:v>53.1</x:v>
      </x:c>
      <x:c r="X312" s="93" t="n">
        <x:f>IF(V312="Returned",Q312*R312*10%,Q312*R312)</x:f>
        <x:v>28</x:v>
      </x:c>
      <x:c r="Y312" s="93" t="n">
        <x:f>W312-X312</x:f>
        <x:v>25.1</x:v>
      </x:c>
      <x:c r="Z312" s="94" t="n">
        <x:f>IFERROR(Y312/W312,0)</x:f>
        <x:v>0.4726930320150659</x:v>
      </x:c>
      <x:c r="AA312" s="84" t="str">
        <x:f>PROPER(TRIM('Raw Sales'!M312))</x:f>
        <x:v>Credit Card</x:v>
      </x:c>
      <x:c r="AB312" s="84" t="str">
        <x:f>PROPER(TRIM('Raw Sales'!N312))</x:f>
        <x:v>Ethan Cole</x:v>
      </x:c>
      <x:c r="AC312" s="85" t="n">
        <x:f>'Raw Sales'!O312</x:f>
        <x:v>45414</x:v>
      </x:c>
      <x:c r="AD312" s="84" t="n">
        <x:f>AC312-B312</x:f>
        <x:v>0</x:v>
      </x:c>
      <x:c r="AE312" s="84" t="str">
        <x:f>IF(COUNTIF($A$5:A312,A312)&gt;1,"Duplicate","Keep")</x:f>
        <x:v>Keep</x:v>
      </x:c>
      <x:c r="AF312" s="84" t="str">
        <x:f>IF(OR(R312&lt;=0,AC312&lt;B312,H312="Unknown",M312="Unknown Product"),"Review","Valid")</x:f>
        <x:v>Review</x:v>
      </x:c>
      <x:c r="AG312" s="84" t="n">
        <x:f>IF(AND(AE312="Keep",AF312="Valid"),1,0)</x:f>
        <x:v>0</x:v>
      </x:c>
      <x:c r="AH312" s="84" t="n">
        <x:f>IF(AND(AG312=1,OR('Dashboard'!$B$4="All",I312='Dashboard'!$B$4),OR('Dashboard'!$E$4="All",N312='Dashboard'!$E$4),OR('Dashboard'!$H$4="All",K312='Dashboard'!$H$4),OR('Dashboard'!$K$4="All",C312='Dashboard'!$K$4)),1,0)</x:f>
        <x:v>0</x:v>
      </x:c>
      <x:c r="AI312" s="84" t="n">
        <x:f>IF(AND(AG312=1,OR('Dashboard'!$B$4="All",I312='Dashboard'!$B$4),OR('Dashboard'!$E$4="All",N312='Dashboard'!$E$4),OR('Dashboard'!$H$4="All",K312='Dashboard'!$H$4)),1,0)</x:f>
        <x:v>0</x:v>
      </x:c>
    </x:row>
    <x:row r="313">
      <x:c r="A313" s="84" t="str">
        <x:f>'Raw Sales'!A313</x:f>
        <x:v>ORD-2024-00566</x:v>
      </x:c>
      <x:c r="B313" s="85" t="n">
        <x:f>'Raw Sales'!B313</x:f>
        <x:v>45415</x:v>
      </x:c>
      <x:c r="C313" s="84" t="n">
        <x:f>YEAR(B313)</x:f>
        <x:v>2024</x:v>
      </x:c>
      <x:c r="D313" s="91" t="n">
        <x:f>DATE(YEAR(B313),MONTH(B313),1)</x:f>
        <x:v>45413</x:v>
      </x:c>
      <x:c r="E313" s="84" t="str">
        <x:f>TEXT(B313,"mmm")</x:f>
        <x:v>May</x:v>
      </x:c>
      <x:c r="F313" s="84" t="str">
        <x:f>'Raw Sales'!C313</x:f>
        <x:v>CUST-0419</x:v>
      </x:c>
      <x:c r="G313" s="84" t="str">
        <x:f>PROPER(TRIM('Raw Sales'!D313))</x:f>
        <x:v>Isaac Nelson</x:v>
      </x:c>
      <x:c r="H313" s="84" t="str">
        <x:f>IF(TRIM('Raw Sales'!E313)="","Unknown",PROPER(TRIM('Raw Sales'!E313)))</x:f>
        <x:v>Consumer</x:v>
      </x:c>
      <x:c r="I313" s="84" t="str">
        <x:f>PROPER(TRIM('Raw Sales'!F313))</x:f>
        <x:v>Northeast</x:v>
      </x:c>
      <x:c r="J313" s="84" t="str">
        <x:f>PROPER(TRIM('Raw Sales'!G313))</x:f>
        <x:v>New York</x:v>
      </x:c>
      <x:c r="K313" s="84" t="str">
        <x:f>PROPER(TRIM('Raw Sales'!H313))</x:f>
        <x:v>Retail Store</x:v>
      </x:c>
      <x:c r="L313" s="84" t="str">
        <x:f>'Raw Sales'!I313</x:f>
        <x:v>HOME-004</x:v>
      </x:c>
      <x:c r="M313" s="84" t="str">
        <x:f>IFERROR(VLOOKUP(L313,'Reference Data'!$A$5:$F$40,2,FALSE),"Unknown Product")</x:f>
        <x:v>Coffee Maker</x:v>
      </x:c>
      <x:c r="N313" s="84" t="str">
        <x:f>IFERROR(VLOOKUP(L313,'Reference Data'!$A$5:$F$40,3,FALSE),"Unknown")</x:f>
        <x:v>Home &amp; Kitchen</x:v>
      </x:c>
      <x:c r="O313" s="84" t="str">
        <x:f>IFERROR(VLOOKUP(L313,'Reference Data'!$A$5:$F$40,4,FALSE),"Unknown")</x:f>
        <x:v>Small Appliances</x:v>
      </x:c>
      <x:c r="P313" s="92" t="n">
        <x:f>IFERROR(VLOOKUP(L313,'Reference Data'!$A$5:$F$40,5,FALSE),0)</x:f>
        <x:v>99</x:v>
      </x:c>
      <x:c r="Q313" s="92" t="n">
        <x:f>IFERROR(VLOOKUP(L313,'Reference Data'!$A$5:$F$40,6,FALSE),0)</x:f>
        <x:v>51</x:v>
      </x:c>
      <x:c r="R313" s="84" t="n">
        <x:f>'Raw Sales'!J313</x:f>
        <x:v>1</x:v>
      </x:c>
      <x:c r="S313" s="87" t="n">
        <x:f>'Raw Sales'!K313</x:f>
        <x:v>0.2</x:v>
      </x:c>
      <x:c r="T313" s="93" t="n">
        <x:f>P313*R313</x:f>
        <x:v>99</x:v>
      </x:c>
      <x:c r="U313" s="93" t="n">
        <x:f>T313*S313</x:f>
        <x:v>19.8</x:v>
      </x:c>
      <x:c r="V313" s="93" t="str">
        <x:f>PROPER(TRIM('Raw Sales'!L313))</x:f>
        <x:v>Completed</x:v>
      </x:c>
      <x:c r="W313" s="93" t="n">
        <x:f>IF(V313="Returned",0,T313-U313)</x:f>
        <x:v>79.2</x:v>
      </x:c>
      <x:c r="X313" s="93" t="n">
        <x:f>IF(V313="Returned",Q313*R313*10%,Q313*R313)</x:f>
        <x:v>51</x:v>
      </x:c>
      <x:c r="Y313" s="93" t="n">
        <x:f>W313-X313</x:f>
        <x:v>28.200000000000003</x:v>
      </x:c>
      <x:c r="Z313" s="94" t="n">
        <x:f>IFERROR(Y313/W313,0)</x:f>
        <x:v>0.3560606060606061</x:v>
      </x:c>
      <x:c r="AA313" s="84" t="str">
        <x:f>PROPER(TRIM('Raw Sales'!M313))</x:f>
        <x:v>Debit Card</x:v>
      </x:c>
      <x:c r="AB313" s="84" t="str">
        <x:f>PROPER(TRIM('Raw Sales'!N313))</x:f>
        <x:v>Sofia Bennett</x:v>
      </x:c>
      <x:c r="AC313" s="85" t="n">
        <x:f>'Raw Sales'!O313</x:f>
        <x:v>45416</x:v>
      </x:c>
      <x:c r="AD313" s="84" t="n">
        <x:f>AC313-B313</x:f>
        <x:v>1</x:v>
      </x:c>
      <x:c r="AE313" s="84" t="str">
        <x:f>IF(COUNTIF($A$5:A313,A313)&gt;1,"Duplicate","Keep")</x:f>
        <x:v>Keep</x:v>
      </x:c>
      <x:c r="AF313" s="84" t="str">
        <x:f>IF(OR(R313&lt;=0,AC313&lt;B313,H313="Unknown",M313="Unknown Product"),"Review","Valid")</x:f>
        <x:v>Valid</x:v>
      </x:c>
      <x:c r="AG313" s="84" t="n">
        <x:f>IF(AND(AE313="Keep",AF313="Valid"),1,0)</x:f>
        <x:v>1</x:v>
      </x:c>
      <x:c r="AH313" s="84" t="n">
        <x:f>IF(AND(AG313=1,OR('Dashboard'!$B$4="All",I313='Dashboard'!$B$4),OR('Dashboard'!$E$4="All",N313='Dashboard'!$E$4),OR('Dashboard'!$H$4="All",K313='Dashboard'!$H$4),OR('Dashboard'!$K$4="All",C313='Dashboard'!$K$4)),1,0)</x:f>
        <x:v>1</x:v>
      </x:c>
      <x:c r="AI313" s="84" t="n">
        <x:f>IF(AND(AG313=1,OR('Dashboard'!$B$4="All",I313='Dashboard'!$B$4),OR('Dashboard'!$E$4="All",N313='Dashboard'!$E$4),OR('Dashboard'!$H$4="All",K313='Dashboard'!$H$4)),1,0)</x:f>
        <x:v>1</x:v>
      </x:c>
    </x:row>
    <x:row r="314">
      <x:c r="A314" s="84" t="str">
        <x:f>'Raw Sales'!A314</x:f>
        <x:v>ORD-2024-01175</x:v>
      </x:c>
      <x:c r="B314" s="85" t="n">
        <x:f>'Raw Sales'!B314</x:f>
        <x:v>45416</x:v>
      </x:c>
      <x:c r="C314" s="84" t="n">
        <x:f>YEAR(B314)</x:f>
        <x:v>2024</x:v>
      </x:c>
      <x:c r="D314" s="91" t="n">
        <x:f>DATE(YEAR(B314),MONTH(B314),1)</x:f>
        <x:v>45413</x:v>
      </x:c>
      <x:c r="E314" s="84" t="str">
        <x:f>TEXT(B314,"mmm")</x:f>
        <x:v>May</x:v>
      </x:c>
      <x:c r="F314" s="84" t="str">
        <x:f>'Raw Sales'!C314</x:f>
        <x:v>CUST-0089</x:v>
      </x:c>
      <x:c r="G314" s="84" t="str">
        <x:f>PROPER(TRIM('Raw Sales'!D314))</x:f>
        <x:v>Priya Johnson</x:v>
      </x:c>
      <x:c r="H314" s="84" t="str">
        <x:f>IF(TRIM('Raw Sales'!E314)="","Unknown",PROPER(TRIM('Raw Sales'!E314)))</x:f>
        <x:v>Corporate</x:v>
      </x:c>
      <x:c r="I314" s="84" t="str">
        <x:f>PROPER(TRIM('Raw Sales'!F314))</x:f>
        <x:v>West</x:v>
      </x:c>
      <x:c r="J314" s="84" t="str">
        <x:f>PROPER(TRIM('Raw Sales'!G314))</x:f>
        <x:v>Denver</x:v>
      </x:c>
      <x:c r="K314" s="84" t="str">
        <x:f>PROPER(TRIM('Raw Sales'!H314))</x:f>
        <x:v>Online</x:v>
      </x:c>
      <x:c r="L314" s="84" t="str">
        <x:f>'Raw Sales'!I314</x:f>
        <x:v>OFFC-004</x:v>
      </x:c>
      <x:c r="M314" s="84" t="str">
        <x:f>IFERROR(VLOOKUP(L314,'Reference Data'!$A$5:$F$40,2,FALSE),"Unknown Product")</x:f>
        <x:v>Premium Notebook Pack</x:v>
      </x:c>
      <x:c r="N314" s="84" t="str">
        <x:f>IFERROR(VLOOKUP(L314,'Reference Data'!$A$5:$F$40,3,FALSE),"Unknown")</x:f>
        <x:v>Office</x:v>
      </x:c>
      <x:c r="O314" s="84" t="str">
        <x:f>IFERROR(VLOOKUP(L314,'Reference Data'!$A$5:$F$40,4,FALSE),"Unknown")</x:f>
        <x:v>Stationery</x:v>
      </x:c>
      <x:c r="P314" s="92" t="n">
        <x:f>IFERROR(VLOOKUP(L314,'Reference Data'!$A$5:$F$40,5,FALSE),0)</x:f>
        <x:v>18</x:v>
      </x:c>
      <x:c r="Q314" s="92" t="n">
        <x:f>IFERROR(VLOOKUP(L314,'Reference Data'!$A$5:$F$40,6,FALSE),0)</x:f>
        <x:v>6.5</x:v>
      </x:c>
      <x:c r="R314" s="84" t="n">
        <x:f>'Raw Sales'!J314</x:f>
        <x:v>3</x:v>
      </x:c>
      <x:c r="S314" s="87" t="n">
        <x:f>'Raw Sales'!K314</x:f>
        <x:v>0.05</x:v>
      </x:c>
      <x:c r="T314" s="93" t="n">
        <x:f>P314*R314</x:f>
        <x:v>54</x:v>
      </x:c>
      <x:c r="U314" s="93" t="n">
        <x:f>T314*S314</x:f>
        <x:v>2.7</x:v>
      </x:c>
      <x:c r="V314" s="93" t="str">
        <x:f>PROPER(TRIM('Raw Sales'!L314))</x:f>
        <x:v>Completed</x:v>
      </x:c>
      <x:c r="W314" s="93" t="n">
        <x:f>IF(V314="Returned",0,T314-U314)</x:f>
        <x:v>51.3</x:v>
      </x:c>
      <x:c r="X314" s="93" t="n">
        <x:f>IF(V314="Returned",Q314*R314*10%,Q314*R314)</x:f>
        <x:v>19.5</x:v>
      </x:c>
      <x:c r="Y314" s="93" t="n">
        <x:f>W314-X314</x:f>
        <x:v>31.799999999999997</x:v>
      </x:c>
      <x:c r="Z314" s="94" t="n">
        <x:f>IFERROR(Y314/W314,0)</x:f>
        <x:v>0.6198830409356725</x:v>
      </x:c>
      <x:c r="AA314" s="84" t="str">
        <x:f>PROPER(TRIM('Raw Sales'!M314))</x:f>
        <x:v>Debit Card</x:v>
      </x:c>
      <x:c r="AB314" s="84" t="str">
        <x:f>PROPER(TRIM('Raw Sales'!N314))</x:f>
        <x:v>Leo Martinez</x:v>
      </x:c>
      <x:c r="AC314" s="85" t="n">
        <x:f>'Raw Sales'!O314</x:f>
        <x:v>45422</x:v>
      </x:c>
      <x:c r="AD314" s="84" t="n">
        <x:f>AC314-B314</x:f>
        <x:v>6</x:v>
      </x:c>
      <x:c r="AE314" s="84" t="str">
        <x:f>IF(COUNTIF($A$5:A314,A314)&gt;1,"Duplicate","Keep")</x:f>
        <x:v>Keep</x:v>
      </x:c>
      <x:c r="AF314" s="84" t="str">
        <x:f>IF(OR(R314&lt;=0,AC314&lt;B314,H314="Unknown",M314="Unknown Product"),"Review","Valid")</x:f>
        <x:v>Valid</x:v>
      </x:c>
      <x:c r="AG314" s="84" t="n">
        <x:f>IF(AND(AE314="Keep",AF314="Valid"),1,0)</x:f>
        <x:v>1</x:v>
      </x:c>
      <x:c r="AH314" s="84" t="n">
        <x:f>IF(AND(AG314=1,OR('Dashboard'!$B$4="All",I314='Dashboard'!$B$4),OR('Dashboard'!$E$4="All",N314='Dashboard'!$E$4),OR('Dashboard'!$H$4="All",K314='Dashboard'!$H$4),OR('Dashboard'!$K$4="All",C314='Dashboard'!$K$4)),1,0)</x:f>
        <x:v>1</x:v>
      </x:c>
      <x:c r="AI314" s="84" t="n">
        <x:f>IF(AND(AG314=1,OR('Dashboard'!$B$4="All",I314='Dashboard'!$B$4),OR('Dashboard'!$E$4="All",N314='Dashboard'!$E$4),OR('Dashboard'!$H$4="All",K314='Dashboard'!$H$4)),1,0)</x:f>
        <x:v>1</x:v>
      </x:c>
    </x:row>
    <x:row r="315">
      <x:c r="A315" s="84" t="str">
        <x:f>'Raw Sales'!A315</x:f>
        <x:v>ORD-2024-01762</x:v>
      </x:c>
      <x:c r="B315" s="85" t="n">
        <x:f>'Raw Sales'!B315</x:f>
        <x:v>45416</x:v>
      </x:c>
      <x:c r="C315" s="84" t="n">
        <x:f>YEAR(B315)</x:f>
        <x:v>2024</x:v>
      </x:c>
      <x:c r="D315" s="91" t="n">
        <x:f>DATE(YEAR(B315),MONTH(B315),1)</x:f>
        <x:v>45413</x:v>
      </x:c>
      <x:c r="E315" s="84" t="str">
        <x:f>TEXT(B315,"mmm")</x:f>
        <x:v>May</x:v>
      </x:c>
      <x:c r="F315" s="84" t="str">
        <x:f>'Raw Sales'!C315</x:f>
        <x:v>CUST-0614</x:v>
      </x:c>
      <x:c r="G315" s="84" t="str">
        <x:f>PROPER(TRIM('Raw Sales'!D315))</x:f>
        <x:v>Theo Carter</x:v>
      </x:c>
      <x:c r="H315" s="84" t="str">
        <x:f>IF(TRIM('Raw Sales'!E315)="","Unknown",PROPER(TRIM('Raw Sales'!E315)))</x:f>
        <x:v>Corporate</x:v>
      </x:c>
      <x:c r="I315" s="84" t="str">
        <x:f>PROPER(TRIM('Raw Sales'!F315))</x:f>
        <x:v>Midwest</x:v>
      </x:c>
      <x:c r="J315" s="84" t="str">
        <x:f>PROPER(TRIM('Raw Sales'!G315))</x:f>
        <x:v>Detroit</x:v>
      </x:c>
      <x:c r="K315" s="84" t="str">
        <x:f>PROPER(TRIM('Raw Sales'!H315))</x:f>
        <x:v>Marketplace</x:v>
      </x:c>
      <x:c r="L315" s="84" t="str">
        <x:f>'Raw Sales'!I315</x:f>
        <x:v>CARE-003</x:v>
      </x:c>
      <x:c r="M315" s="84" t="str">
        <x:f>IFERROR(VLOOKUP(L315,'Reference Data'!$A$5:$F$40,2,FALSE),"Unknown Product")</x:f>
        <x:v>Facial Cleanser</x:v>
      </x:c>
      <x:c r="N315" s="84" t="str">
        <x:f>IFERROR(VLOOKUP(L315,'Reference Data'!$A$5:$F$40,3,FALSE),"Unknown")</x:f>
        <x:v>Personal Care</x:v>
      </x:c>
      <x:c r="O315" s="84" t="str">
        <x:f>IFERROR(VLOOKUP(L315,'Reference Data'!$A$5:$F$40,4,FALSE),"Unknown")</x:f>
        <x:v>Skin Care</x:v>
      </x:c>
      <x:c r="P315" s="92" t="n">
        <x:f>IFERROR(VLOOKUP(L315,'Reference Data'!$A$5:$F$40,5,FALSE),0)</x:f>
        <x:v>18</x:v>
      </x:c>
      <x:c r="Q315" s="92" t="n">
        <x:f>IFERROR(VLOOKUP(L315,'Reference Data'!$A$5:$F$40,6,FALSE),0)</x:f>
        <x:v>6</x:v>
      </x:c>
      <x:c r="R315" s="84" t="n">
        <x:f>'Raw Sales'!J315</x:f>
        <x:v>2</x:v>
      </x:c>
      <x:c r="S315" s="87" t="n">
        <x:f>'Raw Sales'!K315</x:f>
        <x:v>0.15</x:v>
      </x:c>
      <x:c r="T315" s="93" t="n">
        <x:f>P315*R315</x:f>
        <x:v>36</x:v>
      </x:c>
      <x:c r="U315" s="93" t="n">
        <x:f>T315*S315</x:f>
        <x:v>5.3999999999999995</x:v>
      </x:c>
      <x:c r="V315" s="93" t="str">
        <x:f>PROPER(TRIM('Raw Sales'!L315))</x:f>
        <x:v>Completed</x:v>
      </x:c>
      <x:c r="W315" s="93" t="n">
        <x:f>IF(V315="Returned",0,T315-U315)</x:f>
        <x:v>30.6</x:v>
      </x:c>
      <x:c r="X315" s="93" t="n">
        <x:f>IF(V315="Returned",Q315*R315*10%,Q315*R315)</x:f>
        <x:v>12</x:v>
      </x:c>
      <x:c r="Y315" s="93" t="n">
        <x:f>W315-X315</x:f>
        <x:v>18.6</x:v>
      </x:c>
      <x:c r="Z315" s="94" t="n">
        <x:f>IFERROR(Y315/W315,0)</x:f>
        <x:v>0.607843137254902</x:v>
      </x:c>
      <x:c r="AA315" s="84" t="str">
        <x:f>PROPER(TRIM('Raw Sales'!M315))</x:f>
        <x:v>Mobile Wallet</x:v>
      </x:c>
      <x:c r="AB315" s="84" t="str">
        <x:f>PROPER(TRIM('Raw Sales'!N315))</x:f>
        <x:v>Emma Hayes</x:v>
      </x:c>
      <x:c r="AC315" s="85" t="n">
        <x:f>'Raw Sales'!O315</x:f>
        <x:v>45422</x:v>
      </x:c>
      <x:c r="AD315" s="84" t="n">
        <x:f>AC315-B315</x:f>
        <x:v>6</x:v>
      </x:c>
      <x:c r="AE315" s="84" t="str">
        <x:f>IF(COUNTIF($A$5:A315,A315)&gt;1,"Duplicate","Keep")</x:f>
        <x:v>Keep</x:v>
      </x:c>
      <x:c r="AF315" s="84" t="str">
        <x:f>IF(OR(R315&lt;=0,AC315&lt;B315,H315="Unknown",M315="Unknown Product"),"Review","Valid")</x:f>
        <x:v>Valid</x:v>
      </x:c>
      <x:c r="AG315" s="84" t="n">
        <x:f>IF(AND(AE315="Keep",AF315="Valid"),1,0)</x:f>
        <x:v>1</x:v>
      </x:c>
      <x:c r="AH315" s="84" t="n">
        <x:f>IF(AND(AG315=1,OR('Dashboard'!$B$4="All",I315='Dashboard'!$B$4),OR('Dashboard'!$E$4="All",N315='Dashboard'!$E$4),OR('Dashboard'!$H$4="All",K315='Dashboard'!$H$4),OR('Dashboard'!$K$4="All",C315='Dashboard'!$K$4)),1,0)</x:f>
        <x:v>1</x:v>
      </x:c>
      <x:c r="AI315" s="84" t="n">
        <x:f>IF(AND(AG315=1,OR('Dashboard'!$B$4="All",I315='Dashboard'!$B$4),OR('Dashboard'!$E$4="All",N315='Dashboard'!$E$4),OR('Dashboard'!$H$4="All",K315='Dashboard'!$H$4)),1,0)</x:f>
        <x:v>1</x:v>
      </x:c>
    </x:row>
    <x:row r="316">
      <x:c r="A316" s="84" t="str">
        <x:f>'Raw Sales'!A316</x:f>
        <x:v>ORD-2024-01953</x:v>
      </x:c>
      <x:c r="B316" s="85" t="n">
        <x:f>'Raw Sales'!B316</x:f>
        <x:v>45416</x:v>
      </x:c>
      <x:c r="C316" s="84" t="n">
        <x:f>YEAR(B316)</x:f>
        <x:v>2024</x:v>
      </x:c>
      <x:c r="D316" s="91" t="n">
        <x:f>DATE(YEAR(B316),MONTH(B316),1)</x:f>
        <x:v>45413</x:v>
      </x:c>
      <x:c r="E316" s="84" t="str">
        <x:f>TEXT(B316,"mmm")</x:f>
        <x:v>May</x:v>
      </x:c>
      <x:c r="F316" s="84" t="str">
        <x:f>'Raw Sales'!C316</x:f>
        <x:v>CUST-0431</x:v>
      </x:c>
      <x:c r="G316" s="84" t="str">
        <x:f>PROPER(TRIM('Raw Sales'!D316))</x:f>
        <x:v>Jonah Garcia</x:v>
      </x:c>
      <x:c r="H316" s="84" t="str">
        <x:f>IF(TRIM('Raw Sales'!E316)="","Unknown",PROPER(TRIM('Raw Sales'!E316)))</x:f>
        <x:v>Corporate</x:v>
      </x:c>
      <x:c r="I316" s="84" t="str">
        <x:f>PROPER(TRIM('Raw Sales'!F316))</x:f>
        <x:v>West</x:v>
      </x:c>
      <x:c r="J316" s="84" t="str">
        <x:f>PROPER(TRIM('Raw Sales'!G316))</x:f>
        <x:v>Denver</x:v>
      </x:c>
      <x:c r="K316" s="84" t="str">
        <x:f>PROPER(TRIM('Raw Sales'!H316))</x:f>
        <x:v>Retail Store</x:v>
      </x:c>
      <x:c r="L316" s="84" t="str">
        <x:f>'Raw Sales'!I316</x:f>
        <x:v>FITN-005</x:v>
      </x:c>
      <x:c r="M316" s="84" t="str">
        <x:f>IFERROR(VLOOKUP(L316,'Reference Data'!$A$5:$F$40,2,FALSE),"Unknown Product")</x:f>
        <x:v>Sports Water Bottle</x:v>
      </x:c>
      <x:c r="N316" s="84" t="str">
        <x:f>IFERROR(VLOOKUP(L316,'Reference Data'!$A$5:$F$40,3,FALSE),"Unknown")</x:f>
        <x:v>Fitness</x:v>
      </x:c>
      <x:c r="O316" s="84" t="str">
        <x:f>IFERROR(VLOOKUP(L316,'Reference Data'!$A$5:$F$40,4,FALSE),"Unknown")</x:f>
        <x:v>Accessories</x:v>
      </x:c>
      <x:c r="P316" s="92" t="n">
        <x:f>IFERROR(VLOOKUP(L316,'Reference Data'!$A$5:$F$40,5,FALSE),0)</x:f>
        <x:v>22</x:v>
      </x:c>
      <x:c r="Q316" s="92" t="n">
        <x:f>IFERROR(VLOOKUP(L316,'Reference Data'!$A$5:$F$40,6,FALSE),0)</x:f>
        <x:v>7</x:v>
      </x:c>
      <x:c r="R316" s="84" t="n">
        <x:f>'Raw Sales'!J316</x:f>
        <x:v>2</x:v>
      </x:c>
      <x:c r="S316" s="87" t="n">
        <x:f>'Raw Sales'!K316</x:f>
        <x:v>0.05</x:v>
      </x:c>
      <x:c r="T316" s="93" t="n">
        <x:f>P316*R316</x:f>
        <x:v>44</x:v>
      </x:c>
      <x:c r="U316" s="93" t="n">
        <x:f>T316*S316</x:f>
        <x:v>2.2</x:v>
      </x:c>
      <x:c r="V316" s="93" t="str">
        <x:f>PROPER(TRIM('Raw Sales'!L316))</x:f>
        <x:v>Completed</x:v>
      </x:c>
      <x:c r="W316" s="93" t="n">
        <x:f>IF(V316="Returned",0,T316-U316)</x:f>
        <x:v>41.8</x:v>
      </x:c>
      <x:c r="X316" s="93" t="n">
        <x:f>IF(V316="Returned",Q316*R316*10%,Q316*R316)</x:f>
        <x:v>14</x:v>
      </x:c>
      <x:c r="Y316" s="93" t="n">
        <x:f>W316-X316</x:f>
        <x:v>27.799999999999997</x:v>
      </x:c>
      <x:c r="Z316" s="94" t="n">
        <x:f>IFERROR(Y316/W316,0)</x:f>
        <x:v>0.6650717703349283</x:v>
      </x:c>
      <x:c r="AA316" s="84" t="str">
        <x:f>PROPER(TRIM('Raw Sales'!M316))</x:f>
        <x:v>Mobile Wallet</x:v>
      </x:c>
      <x:c r="AB316" s="84" t="str">
        <x:f>PROPER(TRIM('Raw Sales'!N316))</x:f>
        <x:v>Nora Kim</x:v>
      </x:c>
      <x:c r="AC316" s="85" t="n">
        <x:f>'Raw Sales'!O316</x:f>
        <x:v>45416</x:v>
      </x:c>
      <x:c r="AD316" s="84" t="n">
        <x:f>AC316-B316</x:f>
        <x:v>0</x:v>
      </x:c>
      <x:c r="AE316" s="84" t="str">
        <x:f>IF(COUNTIF($A$5:A316,A316)&gt;1,"Duplicate","Keep")</x:f>
        <x:v>Keep</x:v>
      </x:c>
      <x:c r="AF316" s="84" t="str">
        <x:f>IF(OR(R316&lt;=0,AC316&lt;B316,H316="Unknown",M316="Unknown Product"),"Review","Valid")</x:f>
        <x:v>Valid</x:v>
      </x:c>
      <x:c r="AG316" s="84" t="n">
        <x:f>IF(AND(AE316="Keep",AF316="Valid"),1,0)</x:f>
        <x:v>1</x:v>
      </x:c>
      <x:c r="AH316" s="84" t="n">
        <x:f>IF(AND(AG316=1,OR('Dashboard'!$B$4="All",I316='Dashboard'!$B$4),OR('Dashboard'!$E$4="All",N316='Dashboard'!$E$4),OR('Dashboard'!$H$4="All",K316='Dashboard'!$H$4),OR('Dashboard'!$K$4="All",C316='Dashboard'!$K$4)),1,0)</x:f>
        <x:v>1</x:v>
      </x:c>
      <x:c r="AI316" s="84" t="n">
        <x:f>IF(AND(AG316=1,OR('Dashboard'!$B$4="All",I316='Dashboard'!$B$4),OR('Dashboard'!$E$4="All",N316='Dashboard'!$E$4),OR('Dashboard'!$H$4="All",K316='Dashboard'!$H$4)),1,0)</x:f>
        <x:v>1</x:v>
      </x:c>
    </x:row>
    <x:row r="317">
      <x:c r="A317" s="84" t="str">
        <x:f>'Raw Sales'!A317</x:f>
        <x:v>ORD-2024-00179</x:v>
      </x:c>
      <x:c r="B317" s="85" t="n">
        <x:f>'Raw Sales'!B317</x:f>
        <x:v>45417</x:v>
      </x:c>
      <x:c r="C317" s="84" t="n">
        <x:f>YEAR(B317)</x:f>
        <x:v>2024</x:v>
      </x:c>
      <x:c r="D317" s="91" t="n">
        <x:f>DATE(YEAR(B317),MONTH(B317),1)</x:f>
        <x:v>45413</x:v>
      </x:c>
      <x:c r="E317" s="84" t="str">
        <x:f>TEXT(B317,"mmm")</x:f>
        <x:v>May</x:v>
      </x:c>
      <x:c r="F317" s="84" t="str">
        <x:f>'Raw Sales'!C317</x:f>
        <x:v>CUST-0579</x:v>
      </x:c>
      <x:c r="G317" s="84" t="str">
        <x:f>PROPER(TRIM('Raw Sales'!D317))</x:f>
        <x:v>Sara Garcia</x:v>
      </x:c>
      <x:c r="H317" s="84" t="str">
        <x:f>IF(TRIM('Raw Sales'!E317)="","Unknown",PROPER(TRIM('Raw Sales'!E317)))</x:f>
        <x:v>Consumer</x:v>
      </x:c>
      <x:c r="I317" s="84" t="str">
        <x:f>PROPER(TRIM('Raw Sales'!F317))</x:f>
        <x:v>West</x:v>
      </x:c>
      <x:c r="J317" s="84" t="str">
        <x:f>PROPER(TRIM('Raw Sales'!G317))</x:f>
        <x:v>Phoenix</x:v>
      </x:c>
      <x:c r="K317" s="84" t="str">
        <x:f>PROPER(TRIM('Raw Sales'!H317))</x:f>
        <x:v>Marketplace</x:v>
      </x:c>
      <x:c r="L317" s="84" t="str">
        <x:f>'Raw Sales'!I317</x:f>
        <x:v>OFFC-001</x:v>
      </x:c>
      <x:c r="M317" s="84" t="str">
        <x:f>IFERROR(VLOOKUP(L317,'Reference Data'!$A$5:$F$40,2,FALSE),"Unknown Product")</x:f>
        <x:v>Ergonomic Chair</x:v>
      </x:c>
      <x:c r="N317" s="84" t="str">
        <x:f>IFERROR(VLOOKUP(L317,'Reference Data'!$A$5:$F$40,3,FALSE),"Unknown")</x:f>
        <x:v>Office</x:v>
      </x:c>
      <x:c r="O317" s="84" t="str">
        <x:f>IFERROR(VLOOKUP(L317,'Reference Data'!$A$5:$F$40,4,FALSE),"Unknown")</x:f>
        <x:v>Furniture</x:v>
      </x:c>
      <x:c r="P317" s="92" t="n">
        <x:f>IFERROR(VLOOKUP(L317,'Reference Data'!$A$5:$F$40,5,FALSE),0)</x:f>
        <x:v>249</x:v>
      </x:c>
      <x:c r="Q317" s="92" t="n">
        <x:f>IFERROR(VLOOKUP(L317,'Reference Data'!$A$5:$F$40,6,FALSE),0)</x:f>
        <x:v>145</x:v>
      </x:c>
      <x:c r="R317" s="84" t="n">
        <x:f>'Raw Sales'!J317</x:f>
        <x:v>1</x:v>
      </x:c>
      <x:c r="S317" s="87" t="n">
        <x:f>'Raw Sales'!K317</x:f>
        <x:v>0.2</x:v>
      </x:c>
      <x:c r="T317" s="93" t="n">
        <x:f>P317*R317</x:f>
        <x:v>249</x:v>
      </x:c>
      <x:c r="U317" s="93" t="n">
        <x:f>T317*S317</x:f>
        <x:v>49.800000000000004</x:v>
      </x:c>
      <x:c r="V317" s="93" t="str">
        <x:f>PROPER(TRIM('Raw Sales'!L317))</x:f>
        <x:v>Completed</x:v>
      </x:c>
      <x:c r="W317" s="93" t="n">
        <x:f>IF(V317="Returned",0,T317-U317)</x:f>
        <x:v>199.2</x:v>
      </x:c>
      <x:c r="X317" s="93" t="n">
        <x:f>IF(V317="Returned",Q317*R317*10%,Q317*R317)</x:f>
        <x:v>145</x:v>
      </x:c>
      <x:c r="Y317" s="93" t="n">
        <x:f>W317-X317</x:f>
        <x:v>54.19999999999999</x:v>
      </x:c>
      <x:c r="Z317" s="94" t="n">
        <x:f>IFERROR(Y317/W317,0)</x:f>
        <x:v>0.27208835341365456</x:v>
      </x:c>
      <x:c r="AA317" s="84" t="str">
        <x:f>PROPER(TRIM('Raw Sales'!M317))</x:f>
        <x:v>Debit Card</x:v>
      </x:c>
      <x:c r="AB317" s="84" t="str">
        <x:f>PROPER(TRIM('Raw Sales'!N317))</x:f>
        <x:v>Nora Kim</x:v>
      </x:c>
      <x:c r="AC317" s="85" t="n">
        <x:f>'Raw Sales'!O317</x:f>
        <x:v>45423</x:v>
      </x:c>
      <x:c r="AD317" s="84" t="n">
        <x:f>AC317-B317</x:f>
        <x:v>6</x:v>
      </x:c>
      <x:c r="AE317" s="84" t="str">
        <x:f>IF(COUNTIF($A$5:A317,A317)&gt;1,"Duplicate","Keep")</x:f>
        <x:v>Keep</x:v>
      </x:c>
      <x:c r="AF317" s="84" t="str">
        <x:f>IF(OR(R317&lt;=0,AC317&lt;B317,H317="Unknown",M317="Unknown Product"),"Review","Valid")</x:f>
        <x:v>Valid</x:v>
      </x:c>
      <x:c r="AG317" s="84" t="n">
        <x:f>IF(AND(AE317="Keep",AF317="Valid"),1,0)</x:f>
        <x:v>1</x:v>
      </x:c>
      <x:c r="AH317" s="84" t="n">
        <x:f>IF(AND(AG317=1,OR('Dashboard'!$B$4="All",I317='Dashboard'!$B$4),OR('Dashboard'!$E$4="All",N317='Dashboard'!$E$4),OR('Dashboard'!$H$4="All",K317='Dashboard'!$H$4),OR('Dashboard'!$K$4="All",C317='Dashboard'!$K$4)),1,0)</x:f>
        <x:v>1</x:v>
      </x:c>
      <x:c r="AI317" s="84" t="n">
        <x:f>IF(AND(AG317=1,OR('Dashboard'!$B$4="All",I317='Dashboard'!$B$4),OR('Dashboard'!$E$4="All",N317='Dashboard'!$E$4),OR('Dashboard'!$H$4="All",K317='Dashboard'!$H$4)),1,0)</x:f>
        <x:v>1</x:v>
      </x:c>
    </x:row>
    <x:row r="318">
      <x:c r="A318" s="84" t="str">
        <x:f>'Raw Sales'!A318</x:f>
        <x:v>ORD-2024-02185</x:v>
      </x:c>
      <x:c r="B318" s="85" t="n">
        <x:f>'Raw Sales'!B318</x:f>
        <x:v>45417</x:v>
      </x:c>
      <x:c r="C318" s="84" t="n">
        <x:f>YEAR(B318)</x:f>
        <x:v>2024</x:v>
      </x:c>
      <x:c r="D318" s="91" t="n">
        <x:f>DATE(YEAR(B318),MONTH(B318),1)</x:f>
        <x:v>45413</x:v>
      </x:c>
      <x:c r="E318" s="84" t="str">
        <x:f>TEXT(B318,"mmm")</x:f>
        <x:v>May</x:v>
      </x:c>
      <x:c r="F318" s="84" t="str">
        <x:f>'Raw Sales'!C318</x:f>
        <x:v>CUST-0540</x:v>
      </x:c>
      <x:c r="G318" s="84" t="str">
        <x:f>PROPER(TRIM('Raw Sales'!D318))</x:f>
        <x:v>Elias Patel</x:v>
      </x:c>
      <x:c r="H318" s="84" t="str">
        <x:f>IF(TRIM('Raw Sales'!E318)="","Unknown",PROPER(TRIM('Raw Sales'!E318)))</x:f>
        <x:v>Consumer</x:v>
      </x:c>
      <x:c r="I318" s="84" t="str">
        <x:f>PROPER(TRIM('Raw Sales'!F318))</x:f>
        <x:v>Midwest</x:v>
      </x:c>
      <x:c r="J318" s="84" t="str">
        <x:f>PROPER(TRIM('Raw Sales'!G318))</x:f>
        <x:v>Columbus</x:v>
      </x:c>
      <x:c r="K318" s="84" t="str">
        <x:f>PROPER(TRIM('Raw Sales'!H318))</x:f>
        <x:v>Retail Store</x:v>
      </x:c>
      <x:c r="L318" s="84" t="str">
        <x:f>'Raw Sales'!I318</x:f>
        <x:v>ELEC-002</x:v>
      </x:c>
      <x:c r="M318" s="84" t="str">
        <x:f>IFERROR(VLOOKUP(L318,'Reference Data'!$A$5:$F$40,2,FALSE),"Unknown Product")</x:f>
        <x:v>Smartwatch</x:v>
      </x:c>
      <x:c r="N318" s="84" t="str">
        <x:f>IFERROR(VLOOKUP(L318,'Reference Data'!$A$5:$F$40,3,FALSE),"Unknown")</x:f>
        <x:v>Electronics</x:v>
      </x:c>
      <x:c r="O318" s="84" t="str">
        <x:f>IFERROR(VLOOKUP(L318,'Reference Data'!$A$5:$F$40,4,FALSE),"Unknown")</x:f>
        <x:v>Wearables</x:v>
      </x:c>
      <x:c r="P318" s="92" t="n">
        <x:f>IFERROR(VLOOKUP(L318,'Reference Data'!$A$5:$F$40,5,FALSE),0)</x:f>
        <x:v>159</x:v>
      </x:c>
      <x:c r="Q318" s="92" t="n">
        <x:f>IFERROR(VLOOKUP(L318,'Reference Data'!$A$5:$F$40,6,FALSE),0)</x:f>
        <x:v>92</x:v>
      </x:c>
      <x:c r="R318" s="84" t="n">
        <x:f>'Raw Sales'!J318</x:f>
        <x:v>1</x:v>
      </x:c>
      <x:c r="S318" s="87" t="n">
        <x:f>'Raw Sales'!K318</x:f>
        <x:v>0</x:v>
      </x:c>
      <x:c r="T318" s="93" t="n">
        <x:f>P318*R318</x:f>
        <x:v>159</x:v>
      </x:c>
      <x:c r="U318" s="93" t="n">
        <x:f>T318*S318</x:f>
        <x:v>0</x:v>
      </x:c>
      <x:c r="V318" s="93" t="str">
        <x:f>PROPER(TRIM('Raw Sales'!L318))</x:f>
        <x:v>Completed</x:v>
      </x:c>
      <x:c r="W318" s="93" t="n">
        <x:f>IF(V318="Returned",0,T318-U318)</x:f>
        <x:v>159</x:v>
      </x:c>
      <x:c r="X318" s="93" t="n">
        <x:f>IF(V318="Returned",Q318*R318*10%,Q318*R318)</x:f>
        <x:v>92</x:v>
      </x:c>
      <x:c r="Y318" s="93" t="n">
        <x:f>W318-X318</x:f>
        <x:v>67</x:v>
      </x:c>
      <x:c r="Z318" s="94" t="n">
        <x:f>IFERROR(Y318/W318,0)</x:f>
        <x:v>0.42138364779874216</x:v>
      </x:c>
      <x:c r="AA318" s="84" t="str">
        <x:f>PROPER(TRIM('Raw Sales'!M318))</x:f>
        <x:v>Credit Card</x:v>
      </x:c>
      <x:c r="AB318" s="84" t="str">
        <x:f>PROPER(TRIM('Raw Sales'!N318))</x:f>
        <x:v>Emma Hayes</x:v>
      </x:c>
      <x:c r="AC318" s="85" t="n">
        <x:f>'Raw Sales'!O318</x:f>
        <x:v>45417</x:v>
      </x:c>
      <x:c r="AD318" s="84" t="n">
        <x:f>AC318-B318</x:f>
        <x:v>0</x:v>
      </x:c>
      <x:c r="AE318" s="84" t="str">
        <x:f>IF(COUNTIF($A$5:A318,A318)&gt;1,"Duplicate","Keep")</x:f>
        <x:v>Keep</x:v>
      </x:c>
      <x:c r="AF318" s="84" t="str">
        <x:f>IF(OR(R318&lt;=0,AC318&lt;B318,H318="Unknown",M318="Unknown Product"),"Review","Valid")</x:f>
        <x:v>Valid</x:v>
      </x:c>
      <x:c r="AG318" s="84" t="n">
        <x:f>IF(AND(AE318="Keep",AF318="Valid"),1,0)</x:f>
        <x:v>1</x:v>
      </x:c>
      <x:c r="AH318" s="84" t="n">
        <x:f>IF(AND(AG318=1,OR('Dashboard'!$B$4="All",I318='Dashboard'!$B$4),OR('Dashboard'!$E$4="All",N318='Dashboard'!$E$4),OR('Dashboard'!$H$4="All",K318='Dashboard'!$H$4),OR('Dashboard'!$K$4="All",C318='Dashboard'!$K$4)),1,0)</x:f>
        <x:v>1</x:v>
      </x:c>
      <x:c r="AI318" s="84" t="n">
        <x:f>IF(AND(AG318=1,OR('Dashboard'!$B$4="All",I318='Dashboard'!$B$4),OR('Dashboard'!$E$4="All",N318='Dashboard'!$E$4),OR('Dashboard'!$H$4="All",K318='Dashboard'!$H$4)),1,0)</x:f>
        <x:v>1</x:v>
      </x:c>
    </x:row>
    <x:row r="319">
      <x:c r="A319" s="84" t="str">
        <x:f>'Raw Sales'!A319</x:f>
        <x:v>ORD-2024-00075</x:v>
      </x:c>
      <x:c r="B319" s="85" t="n">
        <x:f>'Raw Sales'!B319</x:f>
        <x:v>45418</x:v>
      </x:c>
      <x:c r="C319" s="84" t="n">
        <x:f>YEAR(B319)</x:f>
        <x:v>2024</x:v>
      </x:c>
      <x:c r="D319" s="91" t="n">
        <x:f>DATE(YEAR(B319),MONTH(B319),1)</x:f>
        <x:v>45413</x:v>
      </x:c>
      <x:c r="E319" s="84" t="str">
        <x:f>TEXT(B319,"mmm")</x:f>
        <x:v>May</x:v>
      </x:c>
      <x:c r="F319" s="84" t="str">
        <x:f>'Raw Sales'!C319</x:f>
        <x:v>CUST-0595</x:v>
      </x:c>
      <x:c r="G319" s="84" t="str">
        <x:f>PROPER(TRIM('Raw Sales'!D319))</x:f>
        <x:v>Daniel Evans</x:v>
      </x:c>
      <x:c r="H319" s="84" t="str">
        <x:f>IF(TRIM('Raw Sales'!E319)="","Unknown",PROPER(TRIM('Raw Sales'!E319)))</x:f>
        <x:v>Corporate</x:v>
      </x:c>
      <x:c r="I319" s="84" t="str">
        <x:f>PROPER(TRIM('Raw Sales'!F319))</x:f>
        <x:v>Northeast</x:v>
      </x:c>
      <x:c r="J319" s="84" t="str">
        <x:f>PROPER(TRIM('Raw Sales'!G319))</x:f>
        <x:v>Newark</x:v>
      </x:c>
      <x:c r="K319" s="84" t="str">
        <x:f>PROPER(TRIM('Raw Sales'!H319))</x:f>
        <x:v>Marketplace</x:v>
      </x:c>
      <x:c r="L319" s="84" t="str">
        <x:f>'Raw Sales'!I319</x:f>
        <x:v>ELEC-004</x:v>
      </x:c>
      <x:c r="M319" s="84" t="str">
        <x:f>IFERROR(VLOOKUP(L319,'Reference Data'!$A$5:$F$40,2,FALSE),"Unknown Product")</x:f>
        <x:v>Power Bank</x:v>
      </x:c>
      <x:c r="N319" s="84" t="str">
        <x:f>IFERROR(VLOOKUP(L319,'Reference Data'!$A$5:$F$40,3,FALSE),"Unknown")</x:f>
        <x:v>Electronics</x:v>
      </x:c>
      <x:c r="O319" s="84" t="str">
        <x:f>IFERROR(VLOOKUP(L319,'Reference Data'!$A$5:$F$40,4,FALSE),"Unknown")</x:f>
        <x:v>Mobile Accessories</x:v>
      </x:c>
      <x:c r="P319" s="92" t="n">
        <x:f>IFERROR(VLOOKUP(L319,'Reference Data'!$A$5:$F$40,5,FALSE),0)</x:f>
        <x:v>39</x:v>
      </x:c>
      <x:c r="Q319" s="92" t="n">
        <x:f>IFERROR(VLOOKUP(L319,'Reference Data'!$A$5:$F$40,6,FALSE),0)</x:f>
        <x:v>18</x:v>
      </x:c>
      <x:c r="R319" s="84" t="n">
        <x:f>'Raw Sales'!J319</x:f>
        <x:v>2</x:v>
      </x:c>
      <x:c r="S319" s="87" t="n">
        <x:f>'Raw Sales'!K319</x:f>
        <x:v>0</x:v>
      </x:c>
      <x:c r="T319" s="93" t="n">
        <x:f>P319*R319</x:f>
        <x:v>78</x:v>
      </x:c>
      <x:c r="U319" s="93" t="n">
        <x:f>T319*S319</x:f>
        <x:v>0</x:v>
      </x:c>
      <x:c r="V319" s="93" t="str">
        <x:f>PROPER(TRIM('Raw Sales'!L319))</x:f>
        <x:v>Completed</x:v>
      </x:c>
      <x:c r="W319" s="93" t="n">
        <x:f>IF(V319="Returned",0,T319-U319)</x:f>
        <x:v>78</x:v>
      </x:c>
      <x:c r="X319" s="93" t="n">
        <x:f>IF(V319="Returned",Q319*R319*10%,Q319*R319)</x:f>
        <x:v>36</x:v>
      </x:c>
      <x:c r="Y319" s="93" t="n">
        <x:f>W319-X319</x:f>
        <x:v>42</x:v>
      </x:c>
      <x:c r="Z319" s="94" t="n">
        <x:f>IFERROR(Y319/W319,0)</x:f>
        <x:v>0.5384615384615384</x:v>
      </x:c>
      <x:c r="AA319" s="84" t="str">
        <x:f>PROPER(TRIM('Raw Sales'!M319))</x:f>
        <x:v>Credit Card</x:v>
      </x:c>
      <x:c r="AB319" s="84" t="str">
        <x:f>PROPER(TRIM('Raw Sales'!N319))</x:f>
        <x:v>Maya Brooks</x:v>
      </x:c>
      <x:c r="AC319" s="85" t="n">
        <x:f>'Raw Sales'!O319</x:f>
        <x:v>45422</x:v>
      </x:c>
      <x:c r="AD319" s="84" t="n">
        <x:f>AC319-B319</x:f>
        <x:v>4</x:v>
      </x:c>
      <x:c r="AE319" s="84" t="str">
        <x:f>IF(COUNTIF($A$5:A319,A319)&gt;1,"Duplicate","Keep")</x:f>
        <x:v>Keep</x:v>
      </x:c>
      <x:c r="AF319" s="84" t="str">
        <x:f>IF(OR(R319&lt;=0,AC319&lt;B319,H319="Unknown",M319="Unknown Product"),"Review","Valid")</x:f>
        <x:v>Valid</x:v>
      </x:c>
      <x:c r="AG319" s="84" t="n">
        <x:f>IF(AND(AE319="Keep",AF319="Valid"),1,0)</x:f>
        <x:v>1</x:v>
      </x:c>
      <x:c r="AH319" s="84" t="n">
        <x:f>IF(AND(AG319=1,OR('Dashboard'!$B$4="All",I319='Dashboard'!$B$4),OR('Dashboard'!$E$4="All",N319='Dashboard'!$E$4),OR('Dashboard'!$H$4="All",K319='Dashboard'!$H$4),OR('Dashboard'!$K$4="All",C319='Dashboard'!$K$4)),1,0)</x:f>
        <x:v>1</x:v>
      </x:c>
      <x:c r="AI319" s="84" t="n">
        <x:f>IF(AND(AG319=1,OR('Dashboard'!$B$4="All",I319='Dashboard'!$B$4),OR('Dashboard'!$E$4="All",N319='Dashboard'!$E$4),OR('Dashboard'!$H$4="All",K319='Dashboard'!$H$4)),1,0)</x:f>
        <x:v>1</x:v>
      </x:c>
    </x:row>
    <x:row r="320">
      <x:c r="A320" s="84" t="str">
        <x:f>'Raw Sales'!A320</x:f>
        <x:v>ORD-2024-00167</x:v>
      </x:c>
      <x:c r="B320" s="85" t="n">
        <x:f>'Raw Sales'!B320</x:f>
        <x:v>45418</x:v>
      </x:c>
      <x:c r="C320" s="84" t="n">
        <x:f>YEAR(B320)</x:f>
        <x:v>2024</x:v>
      </x:c>
      <x:c r="D320" s="91" t="n">
        <x:f>DATE(YEAR(B320),MONTH(B320),1)</x:f>
        <x:v>45413</x:v>
      </x:c>
      <x:c r="E320" s="84" t="str">
        <x:f>TEXT(B320,"mmm")</x:f>
        <x:v>May</x:v>
      </x:c>
      <x:c r="F320" s="84" t="str">
        <x:f>'Raw Sales'!C320</x:f>
        <x:v>CUST-0303</x:v>
      </x:c>
      <x:c r="G320" s="84" t="str">
        <x:f>PROPER(TRIM('Raw Sales'!D320))</x:f>
        <x:v>Caleb Roberts</x:v>
      </x:c>
      <x:c r="H320" s="84" t="str">
        <x:f>IF(TRIM('Raw Sales'!E320)="","Unknown",PROPER(TRIM('Raw Sales'!E320)))</x:f>
        <x:v>Corporate</x:v>
      </x:c>
      <x:c r="I320" s="84" t="str">
        <x:f>PROPER(TRIM('Raw Sales'!F320))</x:f>
        <x:v>West</x:v>
      </x:c>
      <x:c r="J320" s="84" t="str">
        <x:f>PROPER(TRIM('Raw Sales'!G320))</x:f>
        <x:v>Seattle</x:v>
      </x:c>
      <x:c r="K320" s="84" t="str">
        <x:f>PROPER(TRIM('Raw Sales'!H320))</x:f>
        <x:v>Retail Store</x:v>
      </x:c>
      <x:c r="L320" s="84" t="str">
        <x:f>'Raw Sales'!I320</x:f>
        <x:v>ACCS-001</x:v>
      </x:c>
      <x:c r="M320" s="84" t="str">
        <x:f>IFERROR(VLOOKUP(L320,'Reference Data'!$A$5:$F$40,2,FALSE),"Unknown Product")</x:f>
        <x:v>Canvas Tote Bag</x:v>
      </x:c>
      <x:c r="N320" s="84" t="str">
        <x:f>IFERROR(VLOOKUP(L320,'Reference Data'!$A$5:$F$40,3,FALSE),"Unknown")</x:f>
        <x:v>Accessories</x:v>
      </x:c>
      <x:c r="O320" s="84" t="str">
        <x:f>IFERROR(VLOOKUP(L320,'Reference Data'!$A$5:$F$40,4,FALSE),"Unknown")</x:f>
        <x:v>Bags</x:v>
      </x:c>
      <x:c r="P320" s="92" t="n">
        <x:f>IFERROR(VLOOKUP(L320,'Reference Data'!$A$5:$F$40,5,FALSE),0)</x:f>
        <x:v>39</x:v>
      </x:c>
      <x:c r="Q320" s="92" t="n">
        <x:f>IFERROR(VLOOKUP(L320,'Reference Data'!$A$5:$F$40,6,FALSE),0)</x:f>
        <x:v>14</x:v>
      </x:c>
      <x:c r="R320" s="84" t="n">
        <x:f>'Raw Sales'!J320</x:f>
        <x:v>2</x:v>
      </x:c>
      <x:c r="S320" s="87" t="n">
        <x:f>'Raw Sales'!K320</x:f>
        <x:v>0.1</x:v>
      </x:c>
      <x:c r="T320" s="93" t="n">
        <x:f>P320*R320</x:f>
        <x:v>78</x:v>
      </x:c>
      <x:c r="U320" s="93" t="n">
        <x:f>T320*S320</x:f>
        <x:v>7.800000000000001</x:v>
      </x:c>
      <x:c r="V320" s="93" t="str">
        <x:f>PROPER(TRIM('Raw Sales'!L320))</x:f>
        <x:v>Completed</x:v>
      </x:c>
      <x:c r="W320" s="93" t="n">
        <x:f>IF(V320="Returned",0,T320-U320)</x:f>
        <x:v>70.2</x:v>
      </x:c>
      <x:c r="X320" s="93" t="n">
        <x:f>IF(V320="Returned",Q320*R320*10%,Q320*R320)</x:f>
        <x:v>28</x:v>
      </x:c>
      <x:c r="Y320" s="93" t="n">
        <x:f>W320-X320</x:f>
        <x:v>42.2</x:v>
      </x:c>
      <x:c r="Z320" s="94" t="n">
        <x:f>IFERROR(Y320/W320,0)</x:f>
        <x:v>0.6011396011396012</x:v>
      </x:c>
      <x:c r="AA320" s="84" t="str">
        <x:f>PROPER(TRIM('Raw Sales'!M320))</x:f>
        <x:v>Debit Card</x:v>
      </x:c>
      <x:c r="AB320" s="84" t="str">
        <x:f>PROPER(TRIM('Raw Sales'!N320))</x:f>
        <x:v>Leo Martinez</x:v>
      </x:c>
      <x:c r="AC320" s="85" t="n">
        <x:f>'Raw Sales'!O320</x:f>
        <x:v>45418</x:v>
      </x:c>
      <x:c r="AD320" s="84" t="n">
        <x:f>AC320-B320</x:f>
        <x:v>0</x:v>
      </x:c>
      <x:c r="AE320" s="84" t="str">
        <x:f>IF(COUNTIF($A$5:A320,A320)&gt;1,"Duplicate","Keep")</x:f>
        <x:v>Keep</x:v>
      </x:c>
      <x:c r="AF320" s="84" t="str">
        <x:f>IF(OR(R320&lt;=0,AC320&lt;B320,H320="Unknown",M320="Unknown Product"),"Review","Valid")</x:f>
        <x:v>Valid</x:v>
      </x:c>
      <x:c r="AG320" s="84" t="n">
        <x:f>IF(AND(AE320="Keep",AF320="Valid"),1,0)</x:f>
        <x:v>1</x:v>
      </x:c>
      <x:c r="AH320" s="84" t="n">
        <x:f>IF(AND(AG320=1,OR('Dashboard'!$B$4="All",I320='Dashboard'!$B$4),OR('Dashboard'!$E$4="All",N320='Dashboard'!$E$4),OR('Dashboard'!$H$4="All",K320='Dashboard'!$H$4),OR('Dashboard'!$K$4="All",C320='Dashboard'!$K$4)),1,0)</x:f>
        <x:v>1</x:v>
      </x:c>
      <x:c r="AI320" s="84" t="n">
        <x:f>IF(AND(AG320=1,OR('Dashboard'!$B$4="All",I320='Dashboard'!$B$4),OR('Dashboard'!$E$4="All",N320='Dashboard'!$E$4),OR('Dashboard'!$H$4="All",K320='Dashboard'!$H$4)),1,0)</x:f>
        <x:v>1</x:v>
      </x:c>
    </x:row>
    <x:row r="321">
      <x:c r="A321" s="84" t="str">
        <x:f>'Raw Sales'!A321</x:f>
        <x:v>ORD-2024-00650</x:v>
      </x:c>
      <x:c r="B321" s="85" t="n">
        <x:f>'Raw Sales'!B321</x:f>
        <x:v>45418</x:v>
      </x:c>
      <x:c r="C321" s="84" t="n">
        <x:f>YEAR(B321)</x:f>
        <x:v>2024</x:v>
      </x:c>
      <x:c r="D321" s="91" t="n">
        <x:f>DATE(YEAR(B321),MONTH(B321),1)</x:f>
        <x:v>45413</x:v>
      </x:c>
      <x:c r="E321" s="84" t="str">
        <x:f>TEXT(B321,"mmm")</x:f>
        <x:v>May</x:v>
      </x:c>
      <x:c r="F321" s="84" t="str">
        <x:f>'Raw Sales'!C321</x:f>
        <x:v>CUST-0483</x:v>
      </x:c>
      <x:c r="G321" s="84" t="str">
        <x:f>PROPER(TRIM('Raw Sales'!D321))</x:f>
        <x:v>Daniel Carter</x:v>
      </x:c>
      <x:c r="H321" s="84" t="str">
        <x:f>IF(TRIM('Raw Sales'!E321)="","Unknown",PROPER(TRIM('Raw Sales'!E321)))</x:f>
        <x:v>Consumer</x:v>
      </x:c>
      <x:c r="I321" s="84" t="str">
        <x:f>PROPER(TRIM('Raw Sales'!F321))</x:f>
        <x:v>West</x:v>
      </x:c>
      <x:c r="J321" s="84" t="str">
        <x:f>PROPER(TRIM('Raw Sales'!G321))</x:f>
        <x:v>Denver</x:v>
      </x:c>
      <x:c r="K321" s="84" t="str">
        <x:f>PROPER(TRIM('Raw Sales'!H321))</x:f>
        <x:v>Online</x:v>
      </x:c>
      <x:c r="L321" s="84" t="str">
        <x:f>'Raw Sales'!I321</x:f>
        <x:v>ELEC-004</x:v>
      </x:c>
      <x:c r="M321" s="84" t="str">
        <x:f>IFERROR(VLOOKUP(L321,'Reference Data'!$A$5:$F$40,2,FALSE),"Unknown Product")</x:f>
        <x:v>Power Bank</x:v>
      </x:c>
      <x:c r="N321" s="84" t="str">
        <x:f>IFERROR(VLOOKUP(L321,'Reference Data'!$A$5:$F$40,3,FALSE),"Unknown")</x:f>
        <x:v>Electronics</x:v>
      </x:c>
      <x:c r="O321" s="84" t="str">
        <x:f>IFERROR(VLOOKUP(L321,'Reference Data'!$A$5:$F$40,4,FALSE),"Unknown")</x:f>
        <x:v>Mobile Accessories</x:v>
      </x:c>
      <x:c r="P321" s="92" t="n">
        <x:f>IFERROR(VLOOKUP(L321,'Reference Data'!$A$5:$F$40,5,FALSE),0)</x:f>
        <x:v>39</x:v>
      </x:c>
      <x:c r="Q321" s="92" t="n">
        <x:f>IFERROR(VLOOKUP(L321,'Reference Data'!$A$5:$F$40,6,FALSE),0)</x:f>
        <x:v>18</x:v>
      </x:c>
      <x:c r="R321" s="84" t="n">
        <x:f>'Raw Sales'!J321</x:f>
        <x:v>2</x:v>
      </x:c>
      <x:c r="S321" s="87" t="n">
        <x:f>'Raw Sales'!K321</x:f>
        <x:v>0</x:v>
      </x:c>
      <x:c r="T321" s="93" t="n">
        <x:f>P321*R321</x:f>
        <x:v>78</x:v>
      </x:c>
      <x:c r="U321" s="93" t="n">
        <x:f>T321*S321</x:f>
        <x:v>0</x:v>
      </x:c>
      <x:c r="V321" s="93" t="str">
        <x:f>PROPER(TRIM('Raw Sales'!L321))</x:f>
        <x:v>Completed</x:v>
      </x:c>
      <x:c r="W321" s="93" t="n">
        <x:f>IF(V321="Returned",0,T321-U321)</x:f>
        <x:v>78</x:v>
      </x:c>
      <x:c r="X321" s="93" t="n">
        <x:f>IF(V321="Returned",Q321*R321*10%,Q321*R321)</x:f>
        <x:v>36</x:v>
      </x:c>
      <x:c r="Y321" s="93" t="n">
        <x:f>W321-X321</x:f>
        <x:v>42</x:v>
      </x:c>
      <x:c r="Z321" s="94" t="n">
        <x:f>IFERROR(Y321/W321,0)</x:f>
        <x:v>0.5384615384615384</x:v>
      </x:c>
      <x:c r="AA321" s="84" t="str">
        <x:f>PROPER(TRIM('Raw Sales'!M321))</x:f>
        <x:v>Credit Card</x:v>
      </x:c>
      <x:c r="AB321" s="84" t="str">
        <x:f>PROPER(TRIM('Raw Sales'!N321))</x:f>
        <x:v>Mia Chen</x:v>
      </x:c>
      <x:c r="AC321" s="85" t="n">
        <x:f>'Raw Sales'!O321</x:f>
        <x:v>45423</x:v>
      </x:c>
      <x:c r="AD321" s="84" t="n">
        <x:f>AC321-B321</x:f>
        <x:v>5</x:v>
      </x:c>
      <x:c r="AE321" s="84" t="str">
        <x:f>IF(COUNTIF($A$5:A321,A321)&gt;1,"Duplicate","Keep")</x:f>
        <x:v>Keep</x:v>
      </x:c>
      <x:c r="AF321" s="84" t="str">
        <x:f>IF(OR(R321&lt;=0,AC321&lt;B321,H321="Unknown",M321="Unknown Product"),"Review","Valid")</x:f>
        <x:v>Valid</x:v>
      </x:c>
      <x:c r="AG321" s="84" t="n">
        <x:f>IF(AND(AE321="Keep",AF321="Valid"),1,0)</x:f>
        <x:v>1</x:v>
      </x:c>
      <x:c r="AH321" s="84" t="n">
        <x:f>IF(AND(AG321=1,OR('Dashboard'!$B$4="All",I321='Dashboard'!$B$4),OR('Dashboard'!$E$4="All",N321='Dashboard'!$E$4),OR('Dashboard'!$H$4="All",K321='Dashboard'!$H$4),OR('Dashboard'!$K$4="All",C321='Dashboard'!$K$4)),1,0)</x:f>
        <x:v>1</x:v>
      </x:c>
      <x:c r="AI321" s="84" t="n">
        <x:f>IF(AND(AG321=1,OR('Dashboard'!$B$4="All",I321='Dashboard'!$B$4),OR('Dashboard'!$E$4="All",N321='Dashboard'!$E$4),OR('Dashboard'!$H$4="All",K321='Dashboard'!$H$4)),1,0)</x:f>
        <x:v>1</x:v>
      </x:c>
    </x:row>
    <x:row r="322">
      <x:c r="A322" s="84" t="str">
        <x:f>'Raw Sales'!A322</x:f>
        <x:v>ORD-2024-01354</x:v>
      </x:c>
      <x:c r="B322" s="85" t="n">
        <x:f>'Raw Sales'!B322</x:f>
        <x:v>45418</x:v>
      </x:c>
      <x:c r="C322" s="84" t="n">
        <x:f>YEAR(B322)</x:f>
        <x:v>2024</x:v>
      </x:c>
      <x:c r="D322" s="91" t="n">
        <x:f>DATE(YEAR(B322),MONTH(B322),1)</x:f>
        <x:v>45413</x:v>
      </x:c>
      <x:c r="E322" s="84" t="str">
        <x:f>TEXT(B322,"mmm")</x:f>
        <x:v>May</x:v>
      </x:c>
      <x:c r="F322" s="84" t="str">
        <x:f>'Raw Sales'!C322</x:f>
        <x:v>CUST-0129</x:v>
      </x:c>
      <x:c r="G322" s="84" t="str">
        <x:f>PROPER(TRIM('Raw Sales'!D322))</x:f>
        <x:v>Owen Walker</x:v>
      </x:c>
      <x:c r="H322" s="84" t="str">
        <x:f>IF(TRIM('Raw Sales'!E322)="","Unknown",PROPER(TRIM('Raw Sales'!E322)))</x:f>
        <x:v>Corporate</x:v>
      </x:c>
      <x:c r="I322" s="84" t="str">
        <x:f>PROPER(TRIM('Raw Sales'!F322))</x:f>
        <x:v>Midwest</x:v>
      </x:c>
      <x:c r="J322" s="84" t="str">
        <x:f>PROPER(TRIM('Raw Sales'!G322))</x:f>
        <x:v>Chicago</x:v>
      </x:c>
      <x:c r="K322" s="84" t="str">
        <x:f>PROPER(TRIM('Raw Sales'!H322))</x:f>
        <x:v>Retail Store</x:v>
      </x:c>
      <x:c r="L322" s="84" t="str">
        <x:f>'Raw Sales'!I322</x:f>
        <x:v>ELEC-004</x:v>
      </x:c>
      <x:c r="M322" s="84" t="str">
        <x:f>IFERROR(VLOOKUP(L322,'Reference Data'!$A$5:$F$40,2,FALSE),"Unknown Product")</x:f>
        <x:v>Power Bank</x:v>
      </x:c>
      <x:c r="N322" s="84" t="str">
        <x:f>IFERROR(VLOOKUP(L322,'Reference Data'!$A$5:$F$40,3,FALSE),"Unknown")</x:f>
        <x:v>Electronics</x:v>
      </x:c>
      <x:c r="O322" s="84" t="str">
        <x:f>IFERROR(VLOOKUP(L322,'Reference Data'!$A$5:$F$40,4,FALSE),"Unknown")</x:f>
        <x:v>Mobile Accessories</x:v>
      </x:c>
      <x:c r="P322" s="92" t="n">
        <x:f>IFERROR(VLOOKUP(L322,'Reference Data'!$A$5:$F$40,5,FALSE),0)</x:f>
        <x:v>39</x:v>
      </x:c>
      <x:c r="Q322" s="92" t="n">
        <x:f>IFERROR(VLOOKUP(L322,'Reference Data'!$A$5:$F$40,6,FALSE),0)</x:f>
        <x:v>18</x:v>
      </x:c>
      <x:c r="R322" s="84" t="n">
        <x:f>'Raw Sales'!J322</x:f>
        <x:v>1</x:v>
      </x:c>
      <x:c r="S322" s="87" t="n">
        <x:f>'Raw Sales'!K322</x:f>
        <x:v>0.05</x:v>
      </x:c>
      <x:c r="T322" s="93" t="n">
        <x:f>P322*R322</x:f>
        <x:v>39</x:v>
      </x:c>
      <x:c r="U322" s="93" t="n">
        <x:f>T322*S322</x:f>
        <x:v>1.9500000000000002</x:v>
      </x:c>
      <x:c r="V322" s="93" t="str">
        <x:f>PROPER(TRIM('Raw Sales'!L322))</x:f>
        <x:v>Completed</x:v>
      </x:c>
      <x:c r="W322" s="93" t="n">
        <x:f>IF(V322="Returned",0,T322-U322)</x:f>
        <x:v>37.05</x:v>
      </x:c>
      <x:c r="X322" s="93" t="n">
        <x:f>IF(V322="Returned",Q322*R322*10%,Q322*R322)</x:f>
        <x:v>18</x:v>
      </x:c>
      <x:c r="Y322" s="93" t="n">
        <x:f>W322-X322</x:f>
        <x:v>19.049999999999997</x:v>
      </x:c>
      <x:c r="Z322" s="94" t="n">
        <x:f>IFERROR(Y322/W322,0)</x:f>
        <x:v>0.5141700404858299</x:v>
      </x:c>
      <x:c r="AA322" s="84" t="str">
        <x:f>PROPER(TRIM('Raw Sales'!M322))</x:f>
        <x:v>Debit Card</x:v>
      </x:c>
      <x:c r="AB322" s="84" t="str">
        <x:f>PROPER(TRIM('Raw Sales'!N322))</x:f>
        <x:v>Zoe Turner</x:v>
      </x:c>
      <x:c r="AC322" s="85" t="n">
        <x:f>'Raw Sales'!O322</x:f>
        <x:v>45418</x:v>
      </x:c>
      <x:c r="AD322" s="84" t="n">
        <x:f>AC322-B322</x:f>
        <x:v>0</x:v>
      </x:c>
      <x:c r="AE322" s="84" t="str">
        <x:f>IF(COUNTIF($A$5:A322,A322)&gt;1,"Duplicate","Keep")</x:f>
        <x:v>Keep</x:v>
      </x:c>
      <x:c r="AF322" s="84" t="str">
        <x:f>IF(OR(R322&lt;=0,AC322&lt;B322,H322="Unknown",M322="Unknown Product"),"Review","Valid")</x:f>
        <x:v>Valid</x:v>
      </x:c>
      <x:c r="AG322" s="84" t="n">
        <x:f>IF(AND(AE322="Keep",AF322="Valid"),1,0)</x:f>
        <x:v>1</x:v>
      </x:c>
      <x:c r="AH322" s="84" t="n">
        <x:f>IF(AND(AG322=1,OR('Dashboard'!$B$4="All",I322='Dashboard'!$B$4),OR('Dashboard'!$E$4="All",N322='Dashboard'!$E$4),OR('Dashboard'!$H$4="All",K322='Dashboard'!$H$4),OR('Dashboard'!$K$4="All",C322='Dashboard'!$K$4)),1,0)</x:f>
        <x:v>1</x:v>
      </x:c>
      <x:c r="AI322" s="84" t="n">
        <x:f>IF(AND(AG322=1,OR('Dashboard'!$B$4="All",I322='Dashboard'!$B$4),OR('Dashboard'!$E$4="All",N322='Dashboard'!$E$4),OR('Dashboard'!$H$4="All",K322='Dashboard'!$H$4)),1,0)</x:f>
        <x:v>1</x:v>
      </x:c>
    </x:row>
    <x:row r="323">
      <x:c r="A323" s="84" t="str">
        <x:f>'Raw Sales'!A323</x:f>
        <x:v>ORD-2024-00601</x:v>
      </x:c>
      <x:c r="B323" s="85" t="n">
        <x:f>'Raw Sales'!B323</x:f>
        <x:v>45419</x:v>
      </x:c>
      <x:c r="C323" s="84" t="n">
        <x:f>YEAR(B323)</x:f>
        <x:v>2024</x:v>
      </x:c>
      <x:c r="D323" s="91" t="n">
        <x:f>DATE(YEAR(B323),MONTH(B323),1)</x:f>
        <x:v>45413</x:v>
      </x:c>
      <x:c r="E323" s="84" t="str">
        <x:f>TEXT(B323,"mmm")</x:f>
        <x:v>May</x:v>
      </x:c>
      <x:c r="F323" s="84" t="str">
        <x:f>'Raw Sales'!C323</x:f>
        <x:v>CUST-0252</x:v>
      </x:c>
      <x:c r="G323" s="84" t="str">
        <x:f>PROPER(TRIM('Raw Sales'!D323))</x:f>
        <x:v>Theo Carter</x:v>
      </x:c>
      <x:c r="H323" s="84" t="str">
        <x:f>IF(TRIM('Raw Sales'!E323)="","Unknown",PROPER(TRIM('Raw Sales'!E323)))</x:f>
        <x:v>Consumer</x:v>
      </x:c>
      <x:c r="I323" s="84" t="str">
        <x:f>PROPER(TRIM('Raw Sales'!F323))</x:f>
        <x:v>Midwest</x:v>
      </x:c>
      <x:c r="J323" s="84" t="str">
        <x:f>PROPER(TRIM('Raw Sales'!G323))</x:f>
        <x:v>Columbus</x:v>
      </x:c>
      <x:c r="K323" s="84" t="str">
        <x:f>PROPER(TRIM('Raw Sales'!H323))</x:f>
        <x:v>Online</x:v>
      </x:c>
      <x:c r="L323" s="84" t="str">
        <x:f>'Raw Sales'!I323</x:f>
        <x:v>ELEC-003</x:v>
      </x:c>
      <x:c r="M323" s="84" t="str">
        <x:f>IFERROR(VLOOKUP(L323,'Reference Data'!$A$5:$F$40,2,FALSE),"Unknown Product")</x:f>
        <x:v>Bluetooth Speaker</x:v>
      </x:c>
      <x:c r="N323" s="84" t="str">
        <x:f>IFERROR(VLOOKUP(L323,'Reference Data'!$A$5:$F$40,3,FALSE),"Unknown")</x:f>
        <x:v>Electronics</x:v>
      </x:c>
      <x:c r="O323" s="84" t="str">
        <x:f>IFERROR(VLOOKUP(L323,'Reference Data'!$A$5:$F$40,4,FALSE),"Unknown")</x:f>
        <x:v>Audio</x:v>
      </x:c>
      <x:c r="P323" s="92" t="n">
        <x:f>IFERROR(VLOOKUP(L323,'Reference Data'!$A$5:$F$40,5,FALSE),0)</x:f>
        <x:v>89</x:v>
      </x:c>
      <x:c r="Q323" s="92" t="n">
        <x:f>IFERROR(VLOOKUP(L323,'Reference Data'!$A$5:$F$40,6,FALSE),0)</x:f>
        <x:v>44</x:v>
      </x:c>
      <x:c r="R323" s="84" t="n">
        <x:f>'Raw Sales'!J323</x:f>
        <x:v>1</x:v>
      </x:c>
      <x:c r="S323" s="87" t="n">
        <x:f>'Raw Sales'!K323</x:f>
        <x:v>0.1</x:v>
      </x:c>
      <x:c r="T323" s="93" t="n">
        <x:f>P323*R323</x:f>
        <x:v>89</x:v>
      </x:c>
      <x:c r="U323" s="93" t="n">
        <x:f>T323*S323</x:f>
        <x:v>8.9</x:v>
      </x:c>
      <x:c r="V323" s="93" t="str">
        <x:f>PROPER(TRIM('Raw Sales'!L323))</x:f>
        <x:v>Completed</x:v>
      </x:c>
      <x:c r="W323" s="93" t="n">
        <x:f>IF(V323="Returned",0,T323-U323)</x:f>
        <x:v>80.1</x:v>
      </x:c>
      <x:c r="X323" s="93" t="n">
        <x:f>IF(V323="Returned",Q323*R323*10%,Q323*R323)</x:f>
        <x:v>44</x:v>
      </x:c>
      <x:c r="Y323" s="93" t="n">
        <x:f>W323-X323</x:f>
        <x:v>36.099999999999994</x:v>
      </x:c>
      <x:c r="Z323" s="94" t="n">
        <x:f>IFERROR(Y323/W323,0)</x:f>
        <x:v>0.4506866416978776</x:v>
      </x:c>
      <x:c r="AA323" s="84" t="str">
        <x:f>PROPER(TRIM('Raw Sales'!M323))</x:f>
        <x:v>Credit Card</x:v>
      </x:c>
      <x:c r="AB323" s="84" t="str">
        <x:f>PROPER(TRIM('Raw Sales'!N323))</x:f>
        <x:v>Emma Hayes</x:v>
      </x:c>
      <x:c r="AC323" s="85" t="n">
        <x:f>'Raw Sales'!O323</x:f>
        <x:v>45425</x:v>
      </x:c>
      <x:c r="AD323" s="84" t="n">
        <x:f>AC323-B323</x:f>
        <x:v>6</x:v>
      </x:c>
      <x:c r="AE323" s="84" t="str">
        <x:f>IF(COUNTIF($A$5:A323,A323)&gt;1,"Duplicate","Keep")</x:f>
        <x:v>Keep</x:v>
      </x:c>
      <x:c r="AF323" s="84" t="str">
        <x:f>IF(OR(R323&lt;=0,AC323&lt;B323,H323="Unknown",M323="Unknown Product"),"Review","Valid")</x:f>
        <x:v>Valid</x:v>
      </x:c>
      <x:c r="AG323" s="84" t="n">
        <x:f>IF(AND(AE323="Keep",AF323="Valid"),1,0)</x:f>
        <x:v>1</x:v>
      </x:c>
      <x:c r="AH323" s="84" t="n">
        <x:f>IF(AND(AG323=1,OR('Dashboard'!$B$4="All",I323='Dashboard'!$B$4),OR('Dashboard'!$E$4="All",N323='Dashboard'!$E$4),OR('Dashboard'!$H$4="All",K323='Dashboard'!$H$4),OR('Dashboard'!$K$4="All",C323='Dashboard'!$K$4)),1,0)</x:f>
        <x:v>1</x:v>
      </x:c>
      <x:c r="AI323" s="84" t="n">
        <x:f>IF(AND(AG323=1,OR('Dashboard'!$B$4="All",I323='Dashboard'!$B$4),OR('Dashboard'!$E$4="All",N323='Dashboard'!$E$4),OR('Dashboard'!$H$4="All",K323='Dashboard'!$H$4)),1,0)</x:f>
        <x:v>1</x:v>
      </x:c>
    </x:row>
    <x:row r="324">
      <x:c r="A324" s="84" t="str">
        <x:f>'Raw Sales'!A324</x:f>
        <x:v>ORD-2024-00916</x:v>
      </x:c>
      <x:c r="B324" s="85" t="n">
        <x:f>'Raw Sales'!B324</x:f>
        <x:v>45419</x:v>
      </x:c>
      <x:c r="C324" s="84" t="n">
        <x:f>YEAR(B324)</x:f>
        <x:v>2024</x:v>
      </x:c>
      <x:c r="D324" s="91" t="n">
        <x:f>DATE(YEAR(B324),MONTH(B324),1)</x:f>
        <x:v>45413</x:v>
      </x:c>
      <x:c r="E324" s="84" t="str">
        <x:f>TEXT(B324,"mmm")</x:f>
        <x:v>May</x:v>
      </x:c>
      <x:c r="F324" s="84" t="str">
        <x:f>'Raw Sales'!C324</x:f>
        <x:v>CUST-0265</x:v>
      </x:c>
      <x:c r="G324" s="84" t="str">
        <x:f>PROPER(TRIM('Raw Sales'!D324))</x:f>
        <x:v>Sara Adams</x:v>
      </x:c>
      <x:c r="H324" s="84" t="str">
        <x:f>IF(TRIM('Raw Sales'!E324)="","Unknown",PROPER(TRIM('Raw Sales'!E324)))</x:f>
        <x:v>Consumer</x:v>
      </x:c>
      <x:c r="I324" s="84" t="str">
        <x:f>PROPER(TRIM('Raw Sales'!F324))</x:f>
        <x:v>Southeast</x:v>
      </x:c>
      <x:c r="J324" s="84" t="str">
        <x:f>PROPER(TRIM('Raw Sales'!G324))</x:f>
        <x:v>Nashville</x:v>
      </x:c>
      <x:c r="K324" s="84" t="str">
        <x:f>PROPER(TRIM('Raw Sales'!H324))</x:f>
        <x:v>Retail Store</x:v>
      </x:c>
      <x:c r="L324" s="84" t="str">
        <x:f>'Raw Sales'!I324</x:f>
        <x:v>OFFC-003</x:v>
      </x:c>
      <x:c r="M324" s="84" t="str">
        <x:f>IFERROR(VLOOKUP(L324,'Reference Data'!$A$5:$F$40,2,FALSE),"Unknown Product")</x:f>
        <x:v>LED Desk Lamp</x:v>
      </x:c>
      <x:c r="N324" s="84" t="str">
        <x:f>IFERROR(VLOOKUP(L324,'Reference Data'!$A$5:$F$40,3,FALSE),"Unknown")</x:f>
        <x:v>Office</x:v>
      </x:c>
      <x:c r="O324" s="84" t="str">
        <x:f>IFERROR(VLOOKUP(L324,'Reference Data'!$A$5:$F$40,4,FALSE),"Unknown")</x:f>
        <x:v>Desk Accessories</x:v>
      </x:c>
      <x:c r="P324" s="92" t="n">
        <x:f>IFERROR(VLOOKUP(L324,'Reference Data'!$A$5:$F$40,5,FALSE),0)</x:f>
        <x:v>45</x:v>
      </x:c>
      <x:c r="Q324" s="92" t="n">
        <x:f>IFERROR(VLOOKUP(L324,'Reference Data'!$A$5:$F$40,6,FALSE),0)</x:f>
        <x:v>20</x:v>
      </x:c>
      <x:c r="R324" s="84" t="n">
        <x:f>'Raw Sales'!J324</x:f>
        <x:v>1</x:v>
      </x:c>
      <x:c r="S324" s="87" t="n">
        <x:f>'Raw Sales'!K324</x:f>
        <x:v>0</x:v>
      </x:c>
      <x:c r="T324" s="93" t="n">
        <x:f>P324*R324</x:f>
        <x:v>45</x:v>
      </x:c>
      <x:c r="U324" s="93" t="n">
        <x:f>T324*S324</x:f>
        <x:v>0</x:v>
      </x:c>
      <x:c r="V324" s="93" t="str">
        <x:f>PROPER(TRIM('Raw Sales'!L324))</x:f>
        <x:v>Completed</x:v>
      </x:c>
      <x:c r="W324" s="93" t="n">
        <x:f>IF(V324="Returned",0,T324-U324)</x:f>
        <x:v>45</x:v>
      </x:c>
      <x:c r="X324" s="93" t="n">
        <x:f>IF(V324="Returned",Q324*R324*10%,Q324*R324)</x:f>
        <x:v>20</x:v>
      </x:c>
      <x:c r="Y324" s="93" t="n">
        <x:f>W324-X324</x:f>
        <x:v>25</x:v>
      </x:c>
      <x:c r="Z324" s="94" t="n">
        <x:f>IFERROR(Y324/W324,0)</x:f>
        <x:v>0.5555555555555556</x:v>
      </x:c>
      <x:c r="AA324" s="84" t="str">
        <x:f>PROPER(TRIM('Raw Sales'!M324))</x:f>
        <x:v>Cash</x:v>
      </x:c>
      <x:c r="AB324" s="84" t="str">
        <x:f>PROPER(TRIM('Raw Sales'!N324))</x:f>
        <x:v>Liam Parker</x:v>
      </x:c>
      <x:c r="AC324" s="85" t="n">
        <x:f>'Raw Sales'!O324</x:f>
        <x:v>45419</x:v>
      </x:c>
      <x:c r="AD324" s="84" t="n">
        <x:f>AC324-B324</x:f>
        <x:v>0</x:v>
      </x:c>
      <x:c r="AE324" s="84" t="str">
        <x:f>IF(COUNTIF($A$5:A324,A324)&gt;1,"Duplicate","Keep")</x:f>
        <x:v>Keep</x:v>
      </x:c>
      <x:c r="AF324" s="84" t="str">
        <x:f>IF(OR(R324&lt;=0,AC324&lt;B324,H324="Unknown",M324="Unknown Product"),"Review","Valid")</x:f>
        <x:v>Valid</x:v>
      </x:c>
      <x:c r="AG324" s="84" t="n">
        <x:f>IF(AND(AE324="Keep",AF324="Valid"),1,0)</x:f>
        <x:v>1</x:v>
      </x:c>
      <x:c r="AH324" s="84" t="n">
        <x:f>IF(AND(AG324=1,OR('Dashboard'!$B$4="All",I324='Dashboard'!$B$4),OR('Dashboard'!$E$4="All",N324='Dashboard'!$E$4),OR('Dashboard'!$H$4="All",K324='Dashboard'!$H$4),OR('Dashboard'!$K$4="All",C324='Dashboard'!$K$4)),1,0)</x:f>
        <x:v>1</x:v>
      </x:c>
      <x:c r="AI324" s="84" t="n">
        <x:f>IF(AND(AG324=1,OR('Dashboard'!$B$4="All",I324='Dashboard'!$B$4),OR('Dashboard'!$E$4="All",N324='Dashboard'!$E$4),OR('Dashboard'!$H$4="All",K324='Dashboard'!$H$4)),1,0)</x:f>
        <x:v>1</x:v>
      </x:c>
    </x:row>
    <x:row r="325">
      <x:c r="A325" s="84" t="str">
        <x:f>'Raw Sales'!A325</x:f>
        <x:v>ORD-2024-01090</x:v>
      </x:c>
      <x:c r="B325" s="85" t="n">
        <x:f>'Raw Sales'!B325</x:f>
        <x:v>45419</x:v>
      </x:c>
      <x:c r="C325" s="84" t="n">
        <x:f>YEAR(B325)</x:f>
        <x:v>2024</x:v>
      </x:c>
      <x:c r="D325" s="91" t="n">
        <x:f>DATE(YEAR(B325),MONTH(B325),1)</x:f>
        <x:v>45413</x:v>
      </x:c>
      <x:c r="E325" s="84" t="str">
        <x:f>TEXT(B325,"mmm")</x:f>
        <x:v>May</x:v>
      </x:c>
      <x:c r="F325" s="84" t="str">
        <x:f>'Raw Sales'!C325</x:f>
        <x:v>CUST-0568</x:v>
      </x:c>
      <x:c r="G325" s="84" t="str">
        <x:f>PROPER(TRIM('Raw Sales'!D325))</x:f>
        <x:v>Owen Carter</x:v>
      </x:c>
      <x:c r="H325" s="84" t="str">
        <x:f>IF(TRIM('Raw Sales'!E325)="","Unknown",PROPER(TRIM('Raw Sales'!E325)))</x:f>
        <x:v>Consumer</x:v>
      </x:c>
      <x:c r="I325" s="84" t="str">
        <x:f>PROPER(TRIM('Raw Sales'!F325))</x:f>
        <x:v>Southeast</x:v>
      </x:c>
      <x:c r="J325" s="84" t="str">
        <x:f>PROPER(TRIM('Raw Sales'!G325))</x:f>
        <x:v>Miami</x:v>
      </x:c>
      <x:c r="K325" s="84" t="str">
        <x:f>PROPER(TRIM('Raw Sales'!H325))</x:f>
        <x:v>Retail Store</x:v>
      </x:c>
      <x:c r="L325" s="84" t="str">
        <x:f>'Raw Sales'!I325</x:f>
        <x:v>ACCS-002</x:v>
      </x:c>
      <x:c r="M325" s="84" t="str">
        <x:f>IFERROR(VLOOKUP(L325,'Reference Data'!$A$5:$F$40,2,FALSE),"Unknown Product")</x:f>
        <x:v>Travel Backpack</x:v>
      </x:c>
      <x:c r="N325" s="84" t="str">
        <x:f>IFERROR(VLOOKUP(L325,'Reference Data'!$A$5:$F$40,3,FALSE),"Unknown")</x:f>
        <x:v>Accessories</x:v>
      </x:c>
      <x:c r="O325" s="84" t="str">
        <x:f>IFERROR(VLOOKUP(L325,'Reference Data'!$A$5:$F$40,4,FALSE),"Unknown")</x:f>
        <x:v>Bags</x:v>
      </x:c>
      <x:c r="P325" s="92" t="n">
        <x:f>IFERROR(VLOOKUP(L325,'Reference Data'!$A$5:$F$40,5,FALSE),0)</x:f>
        <x:v>89</x:v>
      </x:c>
      <x:c r="Q325" s="92" t="n">
        <x:f>IFERROR(VLOOKUP(L325,'Reference Data'!$A$5:$F$40,6,FALSE),0)</x:f>
        <x:v>36</x:v>
      </x:c>
      <x:c r="R325" s="84" t="n">
        <x:f>'Raw Sales'!J325</x:f>
        <x:v>2</x:v>
      </x:c>
      <x:c r="S325" s="87" t="n">
        <x:f>'Raw Sales'!K325</x:f>
        <x:v>0.05</x:v>
      </x:c>
      <x:c r="T325" s="93" t="n">
        <x:f>P325*R325</x:f>
        <x:v>178</x:v>
      </x:c>
      <x:c r="U325" s="93" t="n">
        <x:f>T325*S325</x:f>
        <x:v>8.9</x:v>
      </x:c>
      <x:c r="V325" s="93" t="str">
        <x:f>PROPER(TRIM('Raw Sales'!L325))</x:f>
        <x:v>Completed</x:v>
      </x:c>
      <x:c r="W325" s="93" t="n">
        <x:f>IF(V325="Returned",0,T325-U325)</x:f>
        <x:v>169.1</x:v>
      </x:c>
      <x:c r="X325" s="93" t="n">
        <x:f>IF(V325="Returned",Q325*R325*10%,Q325*R325)</x:f>
        <x:v>72</x:v>
      </x:c>
      <x:c r="Y325" s="93" t="n">
        <x:f>W325-X325</x:f>
        <x:v>97.1</x:v>
      </x:c>
      <x:c r="Z325" s="94" t="n">
        <x:f>IFERROR(Y325/W325,0)</x:f>
        <x:v>0.5742164399763453</x:v>
      </x:c>
      <x:c r="AA325" s="84" t="str">
        <x:f>PROPER(TRIM('Raw Sales'!M325))</x:f>
        <x:v>Credit Card</x:v>
      </x:c>
      <x:c r="AB325" s="84" t="str">
        <x:f>PROPER(TRIM('Raw Sales'!N325))</x:f>
        <x:v>Ava Mitchell</x:v>
      </x:c>
      <x:c r="AC325" s="85" t="n">
        <x:f>'Raw Sales'!O325</x:f>
        <x:v>45419</x:v>
      </x:c>
      <x:c r="AD325" s="84" t="n">
        <x:f>AC325-B325</x:f>
        <x:v>0</x:v>
      </x:c>
      <x:c r="AE325" s="84" t="str">
        <x:f>IF(COUNTIF($A$5:A325,A325)&gt;1,"Duplicate","Keep")</x:f>
        <x:v>Keep</x:v>
      </x:c>
      <x:c r="AF325" s="84" t="str">
        <x:f>IF(OR(R325&lt;=0,AC325&lt;B325,H325="Unknown",M325="Unknown Product"),"Review","Valid")</x:f>
        <x:v>Valid</x:v>
      </x:c>
      <x:c r="AG325" s="84" t="n">
        <x:f>IF(AND(AE325="Keep",AF325="Valid"),1,0)</x:f>
        <x:v>1</x:v>
      </x:c>
      <x:c r="AH325" s="84" t="n">
        <x:f>IF(AND(AG325=1,OR('Dashboard'!$B$4="All",I325='Dashboard'!$B$4),OR('Dashboard'!$E$4="All",N325='Dashboard'!$E$4),OR('Dashboard'!$H$4="All",K325='Dashboard'!$H$4),OR('Dashboard'!$K$4="All",C325='Dashboard'!$K$4)),1,0)</x:f>
        <x:v>1</x:v>
      </x:c>
      <x:c r="AI325" s="84" t="n">
        <x:f>IF(AND(AG325=1,OR('Dashboard'!$B$4="All",I325='Dashboard'!$B$4),OR('Dashboard'!$E$4="All",N325='Dashboard'!$E$4),OR('Dashboard'!$H$4="All",K325='Dashboard'!$H$4)),1,0)</x:f>
        <x:v>1</x:v>
      </x:c>
    </x:row>
    <x:row r="326">
      <x:c r="A326" s="84" t="str">
        <x:f>'Raw Sales'!A326</x:f>
        <x:v>ORD-2024-01377</x:v>
      </x:c>
      <x:c r="B326" s="85" t="n">
        <x:f>'Raw Sales'!B326</x:f>
        <x:v>45419</x:v>
      </x:c>
      <x:c r="C326" s="84" t="n">
        <x:f>YEAR(B326)</x:f>
        <x:v>2024</x:v>
      </x:c>
      <x:c r="D326" s="91" t="n">
        <x:f>DATE(YEAR(B326),MONTH(B326),1)</x:f>
        <x:v>45413</x:v>
      </x:c>
      <x:c r="E326" s="84" t="str">
        <x:f>TEXT(B326,"mmm")</x:f>
        <x:v>May</x:v>
      </x:c>
      <x:c r="F326" s="84" t="str">
        <x:f>'Raw Sales'!C326</x:f>
        <x:v>CUST-0550</x:v>
      </x:c>
      <x:c r="G326" s="84" t="str">
        <x:f>PROPER(TRIM('Raw Sales'!D326))</x:f>
        <x:v>Samuel Young</x:v>
      </x:c>
      <x:c r="H326" s="84" t="str">
        <x:f>IF(TRIM('Raw Sales'!E326)="","Unknown",PROPER(TRIM('Raw Sales'!E326)))</x:f>
        <x:v>Consumer</x:v>
      </x:c>
      <x:c r="I326" s="84" t="str">
        <x:f>PROPER(TRIM('Raw Sales'!F326))</x:f>
        <x:v>Midwest</x:v>
      </x:c>
      <x:c r="J326" s="84" t="str">
        <x:f>PROPER(TRIM('Raw Sales'!G326))</x:f>
        <x:v>Minneapolis</x:v>
      </x:c>
      <x:c r="K326" s="84" t="str">
        <x:f>PROPER(TRIM('Raw Sales'!H326))</x:f>
        <x:v>Online</x:v>
      </x:c>
      <x:c r="L326" s="84" t="str">
        <x:f>'Raw Sales'!I326</x:f>
        <x:v>CARE-002</x:v>
      </x:c>
      <x:c r="M326" s="84" t="str">
        <x:f>IFERROR(VLOOKUP(L326,'Reference Data'!$A$5:$F$40,2,FALSE),"Unknown Product")</x:f>
        <x:v>Rechargeable Trimmer</x:v>
      </x:c>
      <x:c r="N326" s="84" t="str">
        <x:f>IFERROR(VLOOKUP(L326,'Reference Data'!$A$5:$F$40,3,FALSE),"Unknown")</x:f>
        <x:v>Personal Care</x:v>
      </x:c>
      <x:c r="O326" s="84" t="str">
        <x:f>IFERROR(VLOOKUP(L326,'Reference Data'!$A$5:$F$40,4,FALSE),"Unknown")</x:f>
        <x:v>Grooming</x:v>
      </x:c>
      <x:c r="P326" s="92" t="n">
        <x:f>IFERROR(VLOOKUP(L326,'Reference Data'!$A$5:$F$40,5,FALSE),0)</x:f>
        <x:v>45</x:v>
      </x:c>
      <x:c r="Q326" s="92" t="n">
        <x:f>IFERROR(VLOOKUP(L326,'Reference Data'!$A$5:$F$40,6,FALSE),0)</x:f>
        <x:v>19</x:v>
      </x:c>
      <x:c r="R326" s="84" t="n">
        <x:f>'Raw Sales'!J326</x:f>
        <x:v>2</x:v>
      </x:c>
      <x:c r="S326" s="87" t="n">
        <x:f>'Raw Sales'!K326</x:f>
        <x:v>0.05</x:v>
      </x:c>
      <x:c r="T326" s="93" t="n">
        <x:f>P326*R326</x:f>
        <x:v>90</x:v>
      </x:c>
      <x:c r="U326" s="93" t="n">
        <x:f>T326*S326</x:f>
        <x:v>4.5</x:v>
      </x:c>
      <x:c r="V326" s="93" t="str">
        <x:f>PROPER(TRIM('Raw Sales'!L326))</x:f>
        <x:v>Completed</x:v>
      </x:c>
      <x:c r="W326" s="93" t="n">
        <x:f>IF(V326="Returned",0,T326-U326)</x:f>
        <x:v>85.5</x:v>
      </x:c>
      <x:c r="X326" s="93" t="n">
        <x:f>IF(V326="Returned",Q326*R326*10%,Q326*R326)</x:f>
        <x:v>38</x:v>
      </x:c>
      <x:c r="Y326" s="93" t="n">
        <x:f>W326-X326</x:f>
        <x:v>47.5</x:v>
      </x:c>
      <x:c r="Z326" s="94" t="n">
        <x:f>IFERROR(Y326/W326,0)</x:f>
        <x:v>0.5555555555555556</x:v>
      </x:c>
      <x:c r="AA326" s="84" t="str">
        <x:f>PROPER(TRIM('Raw Sales'!M326))</x:f>
        <x:v>Credit Card</x:v>
      </x:c>
      <x:c r="AB326" s="84" t="str">
        <x:f>PROPER(TRIM('Raw Sales'!N326))</x:f>
        <x:v>Emma Hayes</x:v>
      </x:c>
      <x:c r="AC326" s="85" t="n">
        <x:f>'Raw Sales'!O326</x:f>
        <x:v>45424</x:v>
      </x:c>
      <x:c r="AD326" s="84" t="n">
        <x:f>AC326-B326</x:f>
        <x:v>5</x:v>
      </x:c>
      <x:c r="AE326" s="84" t="str">
        <x:f>IF(COUNTIF($A$5:A326,A326)&gt;1,"Duplicate","Keep")</x:f>
        <x:v>Keep</x:v>
      </x:c>
      <x:c r="AF326" s="84" t="str">
        <x:f>IF(OR(R326&lt;=0,AC326&lt;B326,H326="Unknown",M326="Unknown Product"),"Review","Valid")</x:f>
        <x:v>Valid</x:v>
      </x:c>
      <x:c r="AG326" s="84" t="n">
        <x:f>IF(AND(AE326="Keep",AF326="Valid"),1,0)</x:f>
        <x:v>1</x:v>
      </x:c>
      <x:c r="AH326" s="84" t="n">
        <x:f>IF(AND(AG326=1,OR('Dashboard'!$B$4="All",I326='Dashboard'!$B$4),OR('Dashboard'!$E$4="All",N326='Dashboard'!$E$4),OR('Dashboard'!$H$4="All",K326='Dashboard'!$H$4),OR('Dashboard'!$K$4="All",C326='Dashboard'!$K$4)),1,0)</x:f>
        <x:v>1</x:v>
      </x:c>
      <x:c r="AI326" s="84" t="n">
        <x:f>IF(AND(AG326=1,OR('Dashboard'!$B$4="All",I326='Dashboard'!$B$4),OR('Dashboard'!$E$4="All",N326='Dashboard'!$E$4),OR('Dashboard'!$H$4="All",K326='Dashboard'!$H$4)),1,0)</x:f>
        <x:v>1</x:v>
      </x:c>
    </x:row>
    <x:row r="327">
      <x:c r="A327" s="84" t="str">
        <x:f>'Raw Sales'!A327</x:f>
        <x:v>ORD-2024-01647</x:v>
      </x:c>
      <x:c r="B327" s="85" t="n">
        <x:f>'Raw Sales'!B327</x:f>
        <x:v>45419</x:v>
      </x:c>
      <x:c r="C327" s="84" t="n">
        <x:f>YEAR(B327)</x:f>
        <x:v>2024</x:v>
      </x:c>
      <x:c r="D327" s="91" t="n">
        <x:f>DATE(YEAR(B327),MONTH(B327),1)</x:f>
        <x:v>45413</x:v>
      </x:c>
      <x:c r="E327" s="84" t="str">
        <x:f>TEXT(B327,"mmm")</x:f>
        <x:v>May</x:v>
      </x:c>
      <x:c r="F327" s="84" t="str">
        <x:f>'Raw Sales'!C327</x:f>
        <x:v>CUST-0072</x:v>
      </x:c>
      <x:c r="G327" s="84" t="str">
        <x:f>PROPER(TRIM('Raw Sales'!D327))</x:f>
        <x:v>Nina Roberts</x:v>
      </x:c>
      <x:c r="H327" s="84" t="str">
        <x:f>IF(TRIM('Raw Sales'!E327)="","Unknown",PROPER(TRIM('Raw Sales'!E327)))</x:f>
        <x:v>Unknown</x:v>
      </x:c>
      <x:c r="I327" s="84" t="str">
        <x:f>PROPER(TRIM('Raw Sales'!F327))</x:f>
        <x:v>Northeast</x:v>
      </x:c>
      <x:c r="J327" s="84" t="str">
        <x:f>PROPER(TRIM('Raw Sales'!G327))</x:f>
        <x:v>New York</x:v>
      </x:c>
      <x:c r="K327" s="84" t="str">
        <x:f>PROPER(TRIM('Raw Sales'!H327))</x:f>
        <x:v>Marketplace</x:v>
      </x:c>
      <x:c r="L327" s="84" t="str">
        <x:f>'Raw Sales'!I327</x:f>
        <x:v>HOME-005</x:v>
      </x:c>
      <x:c r="M327" s="84" t="str">
        <x:f>IFERROR(VLOOKUP(L327,'Reference Data'!$A$5:$F$40,2,FALSE),"Unknown Product")</x:f>
        <x:v>Cordless Vacuum</x:v>
      </x:c>
      <x:c r="N327" s="84" t="str">
        <x:f>IFERROR(VLOOKUP(L327,'Reference Data'!$A$5:$F$40,3,FALSE),"Unknown")</x:f>
        <x:v>Home &amp; Kitchen</x:v>
      </x:c>
      <x:c r="O327" s="84" t="str">
        <x:f>IFERROR(VLOOKUP(L327,'Reference Data'!$A$5:$F$40,4,FALSE),"Unknown")</x:f>
        <x:v>Cleaning</x:v>
      </x:c>
      <x:c r="P327" s="92" t="n">
        <x:f>IFERROR(VLOOKUP(L327,'Reference Data'!$A$5:$F$40,5,FALSE),0)</x:f>
        <x:v>179</x:v>
      </x:c>
      <x:c r="Q327" s="92" t="n">
        <x:f>IFERROR(VLOOKUP(L327,'Reference Data'!$A$5:$F$40,6,FALSE),0)</x:f>
        <x:v>102</x:v>
      </x:c>
      <x:c r="R327" s="84" t="n">
        <x:f>'Raw Sales'!J327</x:f>
        <x:v>2</x:v>
      </x:c>
      <x:c r="S327" s="87" t="n">
        <x:f>'Raw Sales'!K327</x:f>
        <x:v>0.1</x:v>
      </x:c>
      <x:c r="T327" s="93" t="n">
        <x:f>P327*R327</x:f>
        <x:v>358</x:v>
      </x:c>
      <x:c r="U327" s="93" t="n">
        <x:f>T327*S327</x:f>
        <x:v>35.800000000000004</x:v>
      </x:c>
      <x:c r="V327" s="93" t="str">
        <x:f>PROPER(TRIM('Raw Sales'!L327))</x:f>
        <x:v>Completed</x:v>
      </x:c>
      <x:c r="W327" s="93" t="n">
        <x:f>IF(V327="Returned",0,T327-U327)</x:f>
        <x:v>322.2</x:v>
      </x:c>
      <x:c r="X327" s="93" t="n">
        <x:f>IF(V327="Returned",Q327*R327*10%,Q327*R327)</x:f>
        <x:v>204</x:v>
      </x:c>
      <x:c r="Y327" s="93" t="n">
        <x:f>W327-X327</x:f>
        <x:v>118.19999999999999</x:v>
      </x:c>
      <x:c r="Z327" s="94" t="n">
        <x:f>IFERROR(Y327/W327,0)</x:f>
        <x:v>0.36685288640595903</x:v>
      </x:c>
      <x:c r="AA327" s="84" t="str">
        <x:f>PROPER(TRIM('Raw Sales'!M327))</x:f>
        <x:v>Paypal</x:v>
      </x:c>
      <x:c r="AB327" s="84" t="str">
        <x:f>PROPER(TRIM('Raw Sales'!N327))</x:f>
        <x:v>Sofia Bennett</x:v>
      </x:c>
      <x:c r="AC327" s="85" t="n">
        <x:f>'Raw Sales'!O327</x:f>
        <x:v>45424</x:v>
      </x:c>
      <x:c r="AD327" s="84" t="n">
        <x:f>AC327-B327</x:f>
        <x:v>5</x:v>
      </x:c>
      <x:c r="AE327" s="84" t="str">
        <x:f>IF(COUNTIF($A$5:A327,A327)&gt;1,"Duplicate","Keep")</x:f>
        <x:v>Keep</x:v>
      </x:c>
      <x:c r="AF327" s="84" t="str">
        <x:f>IF(OR(R327&lt;=0,AC327&lt;B327,H327="Unknown",M327="Unknown Product"),"Review","Valid")</x:f>
        <x:v>Review</x:v>
      </x:c>
      <x:c r="AG327" s="84" t="n">
        <x:f>IF(AND(AE327="Keep",AF327="Valid"),1,0)</x:f>
        <x:v>0</x:v>
      </x:c>
      <x:c r="AH327" s="84" t="n">
        <x:f>IF(AND(AG327=1,OR('Dashboard'!$B$4="All",I327='Dashboard'!$B$4),OR('Dashboard'!$E$4="All",N327='Dashboard'!$E$4),OR('Dashboard'!$H$4="All",K327='Dashboard'!$H$4),OR('Dashboard'!$K$4="All",C327='Dashboard'!$K$4)),1,0)</x:f>
        <x:v>0</x:v>
      </x:c>
      <x:c r="AI327" s="84" t="n">
        <x:f>IF(AND(AG327=1,OR('Dashboard'!$B$4="All",I327='Dashboard'!$B$4),OR('Dashboard'!$E$4="All",N327='Dashboard'!$E$4),OR('Dashboard'!$H$4="All",K327='Dashboard'!$H$4)),1,0)</x:f>
        <x:v>0</x:v>
      </x:c>
    </x:row>
    <x:row r="328">
      <x:c r="A328" s="84" t="str">
        <x:f>'Raw Sales'!A328</x:f>
        <x:v>ORD-2024-01810</x:v>
      </x:c>
      <x:c r="B328" s="85" t="n">
        <x:f>'Raw Sales'!B328</x:f>
        <x:v>45419</x:v>
      </x:c>
      <x:c r="C328" s="84" t="n">
        <x:f>YEAR(B328)</x:f>
        <x:v>2024</x:v>
      </x:c>
      <x:c r="D328" s="91" t="n">
        <x:f>DATE(YEAR(B328),MONTH(B328),1)</x:f>
        <x:v>45413</x:v>
      </x:c>
      <x:c r="E328" s="84" t="str">
        <x:f>TEXT(B328,"mmm")</x:f>
        <x:v>May</x:v>
      </x:c>
      <x:c r="F328" s="84" t="str">
        <x:f>'Raw Sales'!C328</x:f>
        <x:v>CUST-0095</x:v>
      </x:c>
      <x:c r="G328" s="84" t="str">
        <x:f>PROPER(TRIM('Raw Sales'!D328))</x:f>
        <x:v>Elena Irwin</x:v>
      </x:c>
      <x:c r="H328" s="84" t="str">
        <x:f>IF(TRIM('Raw Sales'!E328)="","Unknown",PROPER(TRIM('Raw Sales'!E328)))</x:f>
        <x:v>Corporate</x:v>
      </x:c>
      <x:c r="I328" s="84" t="str">
        <x:f>PROPER(TRIM('Raw Sales'!F328))</x:f>
        <x:v>Northeast</x:v>
      </x:c>
      <x:c r="J328" s="84" t="str">
        <x:f>PROPER(TRIM('Raw Sales'!G328))</x:f>
        <x:v>Newark</x:v>
      </x:c>
      <x:c r="K328" s="84" t="str">
        <x:f>PROPER(TRIM('Raw Sales'!H328))</x:f>
        <x:v>Retail Store</x:v>
      </x:c>
      <x:c r="L328" s="84" t="str">
        <x:f>'Raw Sales'!I328</x:f>
        <x:v>CARE-002</x:v>
      </x:c>
      <x:c r="M328" s="84" t="str">
        <x:f>IFERROR(VLOOKUP(L328,'Reference Data'!$A$5:$F$40,2,FALSE),"Unknown Product")</x:f>
        <x:v>Rechargeable Trimmer</x:v>
      </x:c>
      <x:c r="N328" s="84" t="str">
        <x:f>IFERROR(VLOOKUP(L328,'Reference Data'!$A$5:$F$40,3,FALSE),"Unknown")</x:f>
        <x:v>Personal Care</x:v>
      </x:c>
      <x:c r="O328" s="84" t="str">
        <x:f>IFERROR(VLOOKUP(L328,'Reference Data'!$A$5:$F$40,4,FALSE),"Unknown")</x:f>
        <x:v>Grooming</x:v>
      </x:c>
      <x:c r="P328" s="92" t="n">
        <x:f>IFERROR(VLOOKUP(L328,'Reference Data'!$A$5:$F$40,5,FALSE),0)</x:f>
        <x:v>45</x:v>
      </x:c>
      <x:c r="Q328" s="92" t="n">
        <x:f>IFERROR(VLOOKUP(L328,'Reference Data'!$A$5:$F$40,6,FALSE),0)</x:f>
        <x:v>19</x:v>
      </x:c>
      <x:c r="R328" s="84" t="n">
        <x:f>'Raw Sales'!J328</x:f>
        <x:v>1</x:v>
      </x:c>
      <x:c r="S328" s="87" t="n">
        <x:f>'Raw Sales'!K328</x:f>
        <x:v>0</x:v>
      </x:c>
      <x:c r="T328" s="93" t="n">
        <x:f>P328*R328</x:f>
        <x:v>45</x:v>
      </x:c>
      <x:c r="U328" s="93" t="n">
        <x:f>T328*S328</x:f>
        <x:v>0</x:v>
      </x:c>
      <x:c r="V328" s="93" t="str">
        <x:f>PROPER(TRIM('Raw Sales'!L328))</x:f>
        <x:v>Completed</x:v>
      </x:c>
      <x:c r="W328" s="93" t="n">
        <x:f>IF(V328="Returned",0,T328-U328)</x:f>
        <x:v>45</x:v>
      </x:c>
      <x:c r="X328" s="93" t="n">
        <x:f>IF(V328="Returned",Q328*R328*10%,Q328*R328)</x:f>
        <x:v>19</x:v>
      </x:c>
      <x:c r="Y328" s="93" t="n">
        <x:f>W328-X328</x:f>
        <x:v>26</x:v>
      </x:c>
      <x:c r="Z328" s="94" t="n">
        <x:f>IFERROR(Y328/W328,0)</x:f>
        <x:v>0.5777777777777777</x:v>
      </x:c>
      <x:c r="AA328" s="84" t="str">
        <x:f>PROPER(TRIM('Raw Sales'!M328))</x:f>
        <x:v>Mobile Wallet</x:v>
      </x:c>
      <x:c r="AB328" s="84" t="str">
        <x:f>PROPER(TRIM('Raw Sales'!N328))</x:f>
        <x:v>Sofia Bennett</x:v>
      </x:c>
      <x:c r="AC328" s="85" t="n">
        <x:f>'Raw Sales'!O328</x:f>
        <x:v>45419</x:v>
      </x:c>
      <x:c r="AD328" s="84" t="n">
        <x:f>AC328-B328</x:f>
        <x:v>0</x:v>
      </x:c>
      <x:c r="AE328" s="84" t="str">
        <x:f>IF(COUNTIF($A$5:A328,A328)&gt;1,"Duplicate","Keep")</x:f>
        <x:v>Keep</x:v>
      </x:c>
      <x:c r="AF328" s="84" t="str">
        <x:f>IF(OR(R328&lt;=0,AC328&lt;B328,H328="Unknown",M328="Unknown Product"),"Review","Valid")</x:f>
        <x:v>Valid</x:v>
      </x:c>
      <x:c r="AG328" s="84" t="n">
        <x:f>IF(AND(AE328="Keep",AF328="Valid"),1,0)</x:f>
        <x:v>1</x:v>
      </x:c>
      <x:c r="AH328" s="84" t="n">
        <x:f>IF(AND(AG328=1,OR('Dashboard'!$B$4="All",I328='Dashboard'!$B$4),OR('Dashboard'!$E$4="All",N328='Dashboard'!$E$4),OR('Dashboard'!$H$4="All",K328='Dashboard'!$H$4),OR('Dashboard'!$K$4="All",C328='Dashboard'!$K$4)),1,0)</x:f>
        <x:v>1</x:v>
      </x:c>
      <x:c r="AI328" s="84" t="n">
        <x:f>IF(AND(AG328=1,OR('Dashboard'!$B$4="All",I328='Dashboard'!$B$4),OR('Dashboard'!$E$4="All",N328='Dashboard'!$E$4),OR('Dashboard'!$H$4="All",K328='Dashboard'!$H$4)),1,0)</x:f>
        <x:v>1</x:v>
      </x:c>
    </x:row>
    <x:row r="329">
      <x:c r="A329" s="84" t="str">
        <x:f>'Raw Sales'!A329</x:f>
        <x:v>ORD-2024-02190</x:v>
      </x:c>
      <x:c r="B329" s="85" t="n">
        <x:f>'Raw Sales'!B329</x:f>
        <x:v>45419</x:v>
      </x:c>
      <x:c r="C329" s="84" t="n">
        <x:f>YEAR(B329)</x:f>
        <x:v>2024</x:v>
      </x:c>
      <x:c r="D329" s="91" t="n">
        <x:f>DATE(YEAR(B329),MONTH(B329),1)</x:f>
        <x:v>45413</x:v>
      </x:c>
      <x:c r="E329" s="84" t="str">
        <x:f>TEXT(B329,"mmm")</x:f>
        <x:v>May</x:v>
      </x:c>
      <x:c r="F329" s="84" t="str">
        <x:f>'Raw Sales'!C329</x:f>
        <x:v>CUST-0279</x:v>
      </x:c>
      <x:c r="G329" s="84" t="str">
        <x:f>PROPER(TRIM('Raw Sales'!D329))</x:f>
        <x:v>Priya Johnson</x:v>
      </x:c>
      <x:c r="H329" s="84" t="str">
        <x:f>IF(TRIM('Raw Sales'!E329)="","Unknown",PROPER(TRIM('Raw Sales'!E329)))</x:f>
        <x:v>Consumer</x:v>
      </x:c>
      <x:c r="I329" s="84" t="str">
        <x:f>PROPER(TRIM('Raw Sales'!F329))</x:f>
        <x:v>West</x:v>
      </x:c>
      <x:c r="J329" s="84" t="str">
        <x:f>PROPER(TRIM('Raw Sales'!G329))</x:f>
        <x:v>Seattle</x:v>
      </x:c>
      <x:c r="K329" s="84" t="str">
        <x:f>PROPER(TRIM('Raw Sales'!H329))</x:f>
        <x:v>Retail Store</x:v>
      </x:c>
      <x:c r="L329" s="84" t="str">
        <x:f>'Raw Sales'!I329</x:f>
        <x:v>OFFC-003</x:v>
      </x:c>
      <x:c r="M329" s="84" t="str">
        <x:f>IFERROR(VLOOKUP(L329,'Reference Data'!$A$5:$F$40,2,FALSE),"Unknown Product")</x:f>
        <x:v>LED Desk Lamp</x:v>
      </x:c>
      <x:c r="N329" s="84" t="str">
        <x:f>IFERROR(VLOOKUP(L329,'Reference Data'!$A$5:$F$40,3,FALSE),"Unknown")</x:f>
        <x:v>Office</x:v>
      </x:c>
      <x:c r="O329" s="84" t="str">
        <x:f>IFERROR(VLOOKUP(L329,'Reference Data'!$A$5:$F$40,4,FALSE),"Unknown")</x:f>
        <x:v>Desk Accessories</x:v>
      </x:c>
      <x:c r="P329" s="92" t="n">
        <x:f>IFERROR(VLOOKUP(L329,'Reference Data'!$A$5:$F$40,5,FALSE),0)</x:f>
        <x:v>45</x:v>
      </x:c>
      <x:c r="Q329" s="92" t="n">
        <x:f>IFERROR(VLOOKUP(L329,'Reference Data'!$A$5:$F$40,6,FALSE),0)</x:f>
        <x:v>20</x:v>
      </x:c>
      <x:c r="R329" s="84" t="n">
        <x:f>'Raw Sales'!J329</x:f>
        <x:v>4</x:v>
      </x:c>
      <x:c r="S329" s="87" t="n">
        <x:f>'Raw Sales'!K329</x:f>
        <x:v>0</x:v>
      </x:c>
      <x:c r="T329" s="93" t="n">
        <x:f>P329*R329</x:f>
        <x:v>180</x:v>
      </x:c>
      <x:c r="U329" s="93" t="n">
        <x:f>T329*S329</x:f>
        <x:v>0</x:v>
      </x:c>
      <x:c r="V329" s="93" t="str">
        <x:f>PROPER(TRIM('Raw Sales'!L329))</x:f>
        <x:v>Completed</x:v>
      </x:c>
      <x:c r="W329" s="93" t="n">
        <x:f>IF(V329="Returned",0,T329-U329)</x:f>
        <x:v>180</x:v>
      </x:c>
      <x:c r="X329" s="93" t="n">
        <x:f>IF(V329="Returned",Q329*R329*10%,Q329*R329)</x:f>
        <x:v>80</x:v>
      </x:c>
      <x:c r="Y329" s="93" t="n">
        <x:f>W329-X329</x:f>
        <x:v>100</x:v>
      </x:c>
      <x:c r="Z329" s="94" t="n">
        <x:f>IFERROR(Y329/W329,0)</x:f>
        <x:v>0.5555555555555556</x:v>
      </x:c>
      <x:c r="AA329" s="84" t="str">
        <x:f>PROPER(TRIM('Raw Sales'!M329))</x:f>
        <x:v>Cash</x:v>
      </x:c>
      <x:c r="AB329" s="84" t="str">
        <x:f>PROPER(TRIM('Raw Sales'!N329))</x:f>
        <x:v>Mia Chen</x:v>
      </x:c>
      <x:c r="AC329" s="85" t="n">
        <x:f>'Raw Sales'!O329</x:f>
        <x:v>45419</x:v>
      </x:c>
      <x:c r="AD329" s="84" t="n">
        <x:f>AC329-B329</x:f>
        <x:v>0</x:v>
      </x:c>
      <x:c r="AE329" s="84" t="str">
        <x:f>IF(COUNTIF($A$5:A329,A329)&gt;1,"Duplicate","Keep")</x:f>
        <x:v>Keep</x:v>
      </x:c>
      <x:c r="AF329" s="84" t="str">
        <x:f>IF(OR(R329&lt;=0,AC329&lt;B329,H329="Unknown",M329="Unknown Product"),"Review","Valid")</x:f>
        <x:v>Valid</x:v>
      </x:c>
      <x:c r="AG329" s="84" t="n">
        <x:f>IF(AND(AE329="Keep",AF329="Valid"),1,0)</x:f>
        <x:v>1</x:v>
      </x:c>
      <x:c r="AH329" s="84" t="n">
        <x:f>IF(AND(AG329=1,OR('Dashboard'!$B$4="All",I329='Dashboard'!$B$4),OR('Dashboard'!$E$4="All",N329='Dashboard'!$E$4),OR('Dashboard'!$H$4="All",K329='Dashboard'!$H$4),OR('Dashboard'!$K$4="All",C329='Dashboard'!$K$4)),1,0)</x:f>
        <x:v>1</x:v>
      </x:c>
      <x:c r="AI329" s="84" t="n">
        <x:f>IF(AND(AG329=1,OR('Dashboard'!$B$4="All",I329='Dashboard'!$B$4),OR('Dashboard'!$E$4="All",N329='Dashboard'!$E$4),OR('Dashboard'!$H$4="All",K329='Dashboard'!$H$4)),1,0)</x:f>
        <x:v>1</x:v>
      </x:c>
    </x:row>
    <x:row r="330">
      <x:c r="A330" s="84" t="str">
        <x:f>'Raw Sales'!A330</x:f>
        <x:v>ORD-2024-02396</x:v>
      </x:c>
      <x:c r="B330" s="85" t="n">
        <x:f>'Raw Sales'!B330</x:f>
        <x:v>45419</x:v>
      </x:c>
      <x:c r="C330" s="84" t="n">
        <x:f>YEAR(B330)</x:f>
        <x:v>2024</x:v>
      </x:c>
      <x:c r="D330" s="91" t="n">
        <x:f>DATE(YEAR(B330),MONTH(B330),1)</x:f>
        <x:v>45413</x:v>
      </x:c>
      <x:c r="E330" s="84" t="str">
        <x:f>TEXT(B330,"mmm")</x:f>
        <x:v>May</x:v>
      </x:c>
      <x:c r="F330" s="84" t="str">
        <x:f>'Raw Sales'!C330</x:f>
        <x:v>CUST-0260</x:v>
      </x:c>
      <x:c r="G330" s="84" t="str">
        <x:f>PROPER(TRIM('Raw Sales'!D330))</x:f>
        <x:v>Caleb Ortiz</x:v>
      </x:c>
      <x:c r="H330" s="84" t="str">
        <x:f>IF(TRIM('Raw Sales'!E330)="","Unknown",PROPER(TRIM('Raw Sales'!E330)))</x:f>
        <x:v>Corporate</x:v>
      </x:c>
      <x:c r="I330" s="84" t="str">
        <x:f>PROPER(TRIM('Raw Sales'!F330))</x:f>
        <x:v>West</x:v>
      </x:c>
      <x:c r="J330" s="84" t="str">
        <x:f>PROPER(TRIM('Raw Sales'!G330))</x:f>
        <x:v>Los Angeles</x:v>
      </x:c>
      <x:c r="K330" s="84" t="str">
        <x:f>PROPER(TRIM('Raw Sales'!H330))</x:f>
        <x:v>Retail Store</x:v>
      </x:c>
      <x:c r="L330" s="84" t="str">
        <x:f>'Raw Sales'!I330</x:f>
        <x:v>ELEC-005</x:v>
      </x:c>
      <x:c r="M330" s="84" t="str">
        <x:f>IFERROR(VLOOKUP(L330,'Reference Data'!$A$5:$F$40,2,FALSE),"Unknown Product")</x:f>
        <x:v>HD Webcam</x:v>
      </x:c>
      <x:c r="N330" s="84" t="str">
        <x:f>IFERROR(VLOOKUP(L330,'Reference Data'!$A$5:$F$40,3,FALSE),"Unknown")</x:f>
        <x:v>Electronics</x:v>
      </x:c>
      <x:c r="O330" s="84" t="str">
        <x:f>IFERROR(VLOOKUP(L330,'Reference Data'!$A$5:$F$40,4,FALSE),"Unknown")</x:f>
        <x:v>Computer Accessories</x:v>
      </x:c>
      <x:c r="P330" s="92" t="n">
        <x:f>IFERROR(VLOOKUP(L330,'Reference Data'!$A$5:$F$40,5,FALSE),0)</x:f>
        <x:v>79</x:v>
      </x:c>
      <x:c r="Q330" s="92" t="n">
        <x:f>IFERROR(VLOOKUP(L330,'Reference Data'!$A$5:$F$40,6,FALSE),0)</x:f>
        <x:v>37</x:v>
      </x:c>
      <x:c r="R330" s="84" t="n">
        <x:f>'Raw Sales'!J330</x:f>
        <x:v>1</x:v>
      </x:c>
      <x:c r="S330" s="87" t="n">
        <x:f>'Raw Sales'!K330</x:f>
        <x:v>0</x:v>
      </x:c>
      <x:c r="T330" s="93" t="n">
        <x:f>P330*R330</x:f>
        <x:v>79</x:v>
      </x:c>
      <x:c r="U330" s="93" t="n">
        <x:f>T330*S330</x:f>
        <x:v>0</x:v>
      </x:c>
      <x:c r="V330" s="93" t="str">
        <x:f>PROPER(TRIM('Raw Sales'!L330))</x:f>
        <x:v>Completed</x:v>
      </x:c>
      <x:c r="W330" s="93" t="n">
        <x:f>IF(V330="Returned",0,T330-U330)</x:f>
        <x:v>79</x:v>
      </x:c>
      <x:c r="X330" s="93" t="n">
        <x:f>IF(V330="Returned",Q330*R330*10%,Q330*R330)</x:f>
        <x:v>37</x:v>
      </x:c>
      <x:c r="Y330" s="93" t="n">
        <x:f>W330-X330</x:f>
        <x:v>42</x:v>
      </x:c>
      <x:c r="Z330" s="94" t="n">
        <x:f>IFERROR(Y330/W330,0)</x:f>
        <x:v>0.5316455696202531</x:v>
      </x:c>
      <x:c r="AA330" s="84" t="str">
        <x:f>PROPER(TRIM('Raw Sales'!M330))</x:f>
        <x:v>Debit Card</x:v>
      </x:c>
      <x:c r="AB330" s="84" t="str">
        <x:f>PROPER(TRIM('Raw Sales'!N330))</x:f>
        <x:v>Mia Chen</x:v>
      </x:c>
      <x:c r="AC330" s="85" t="n">
        <x:f>'Raw Sales'!O330</x:f>
        <x:v>45420</x:v>
      </x:c>
      <x:c r="AD330" s="84" t="n">
        <x:f>AC330-B330</x:f>
        <x:v>1</x:v>
      </x:c>
      <x:c r="AE330" s="84" t="str">
        <x:f>IF(COUNTIF($A$5:A330,A330)&gt;1,"Duplicate","Keep")</x:f>
        <x:v>Keep</x:v>
      </x:c>
      <x:c r="AF330" s="84" t="str">
        <x:f>IF(OR(R330&lt;=0,AC330&lt;B330,H330="Unknown",M330="Unknown Product"),"Review","Valid")</x:f>
        <x:v>Valid</x:v>
      </x:c>
      <x:c r="AG330" s="84" t="n">
        <x:f>IF(AND(AE330="Keep",AF330="Valid"),1,0)</x:f>
        <x:v>1</x:v>
      </x:c>
      <x:c r="AH330" s="84" t="n">
        <x:f>IF(AND(AG330=1,OR('Dashboard'!$B$4="All",I330='Dashboard'!$B$4),OR('Dashboard'!$E$4="All",N330='Dashboard'!$E$4),OR('Dashboard'!$H$4="All",K330='Dashboard'!$H$4),OR('Dashboard'!$K$4="All",C330='Dashboard'!$K$4)),1,0)</x:f>
        <x:v>1</x:v>
      </x:c>
      <x:c r="AI330" s="84" t="n">
        <x:f>IF(AND(AG330=1,OR('Dashboard'!$B$4="All",I330='Dashboard'!$B$4),OR('Dashboard'!$E$4="All",N330='Dashboard'!$E$4),OR('Dashboard'!$H$4="All",K330='Dashboard'!$H$4)),1,0)</x:f>
        <x:v>1</x:v>
      </x:c>
    </x:row>
    <x:row r="331">
      <x:c r="A331" s="84" t="str">
        <x:f>'Raw Sales'!A331</x:f>
        <x:v>ORD-2024-00345</x:v>
      </x:c>
      <x:c r="B331" s="85" t="n">
        <x:f>'Raw Sales'!B331</x:f>
        <x:v>45421</x:v>
      </x:c>
      <x:c r="C331" s="84" t="n">
        <x:f>YEAR(B331)</x:f>
        <x:v>2024</x:v>
      </x:c>
      <x:c r="D331" s="91" t="n">
        <x:f>DATE(YEAR(B331),MONTH(B331),1)</x:f>
        <x:v>45413</x:v>
      </x:c>
      <x:c r="E331" s="84" t="str">
        <x:f>TEXT(B331,"mmm")</x:f>
        <x:v>May</x:v>
      </x:c>
      <x:c r="F331" s="84" t="str">
        <x:f>'Raw Sales'!C331</x:f>
        <x:v>CUST-0176</x:v>
      </x:c>
      <x:c r="G331" s="84" t="str">
        <x:f>PROPER(TRIM('Raw Sales'!D331))</x:f>
        <x:v>Grace Smith</x:v>
      </x:c>
      <x:c r="H331" s="84" t="str">
        <x:f>IF(TRIM('Raw Sales'!E331)="","Unknown",PROPER(TRIM('Raw Sales'!E331)))</x:f>
        <x:v>Corporate</x:v>
      </x:c>
      <x:c r="I331" s="84" t="str">
        <x:f>PROPER(TRIM('Raw Sales'!F331))</x:f>
        <x:v>Northeast</x:v>
      </x:c>
      <x:c r="J331" s="84" t="str">
        <x:f>PROPER(TRIM('Raw Sales'!G331))</x:f>
        <x:v>New York</x:v>
      </x:c>
      <x:c r="K331" s="84" t="str">
        <x:f>PROPER(TRIM('Raw Sales'!H331))</x:f>
        <x:v>Online</x:v>
      </x:c>
      <x:c r="L331" s="84" t="str">
        <x:f>'Raw Sales'!I331</x:f>
        <x:v>HOME-006</x:v>
      </x:c>
      <x:c r="M331" s="84" t="str">
        <x:f>IFERROR(VLOOKUP(L331,'Reference Data'!$A$5:$F$40,2,FALSE),"Unknown Product")</x:f>
        <x:v>Food Storage Set</x:v>
      </x:c>
      <x:c r="N331" s="84" t="str">
        <x:f>IFERROR(VLOOKUP(L331,'Reference Data'!$A$5:$F$40,3,FALSE),"Unknown")</x:f>
        <x:v>Home &amp; Kitchen</x:v>
      </x:c>
      <x:c r="O331" s="84" t="str">
        <x:f>IFERROR(VLOOKUP(L331,'Reference Data'!$A$5:$F$40,4,FALSE),"Unknown")</x:f>
        <x:v>Kitchenware</x:v>
      </x:c>
      <x:c r="P331" s="92" t="n">
        <x:f>IFERROR(VLOOKUP(L331,'Reference Data'!$A$5:$F$40,5,FALSE),0)</x:f>
        <x:v>34</x:v>
      </x:c>
      <x:c r="Q331" s="92" t="n">
        <x:f>IFERROR(VLOOKUP(L331,'Reference Data'!$A$5:$F$40,6,FALSE),0)</x:f>
        <x:v>15</x:v>
      </x:c>
      <x:c r="R331" s="84" t="n">
        <x:f>'Raw Sales'!J331</x:f>
        <x:v>5</x:v>
      </x:c>
      <x:c r="S331" s="87" t="n">
        <x:f>'Raw Sales'!K331</x:f>
        <x:v>0.1</x:v>
      </x:c>
      <x:c r="T331" s="93" t="n">
        <x:f>P331*R331</x:f>
        <x:v>170</x:v>
      </x:c>
      <x:c r="U331" s="93" t="n">
        <x:f>T331*S331</x:f>
        <x:v>17</x:v>
      </x:c>
      <x:c r="V331" s="93" t="str">
        <x:f>PROPER(TRIM('Raw Sales'!L331))</x:f>
        <x:v>Returned</x:v>
      </x:c>
      <x:c r="W331" s="93" t="n">
        <x:f>IF(V331="Returned",0,T331-U331)</x:f>
        <x:v>0</x:v>
      </x:c>
      <x:c r="X331" s="93" t="n">
        <x:f>IF(V331="Returned",Q331*R331*10%,Q331*R331)</x:f>
        <x:v>7.5</x:v>
      </x:c>
      <x:c r="Y331" s="93" t="n">
        <x:f>W331-X331</x:f>
        <x:v>-7.5</x:v>
      </x:c>
      <x:c r="Z331" s="94" t="n">
        <x:f>IFERROR(Y331/W331,0)</x:f>
        <x:v>0</x:v>
      </x:c>
      <x:c r="AA331" s="84" t="str">
        <x:f>PROPER(TRIM('Raw Sales'!M331))</x:f>
        <x:v>Mobile Wallet</x:v>
      </x:c>
      <x:c r="AB331" s="84" t="str">
        <x:f>PROPER(TRIM('Raw Sales'!N331))</x:f>
        <x:v>Sofia Bennett</x:v>
      </x:c>
      <x:c r="AC331" s="85" t="n">
        <x:f>'Raw Sales'!O331</x:f>
        <x:v>45423</x:v>
      </x:c>
      <x:c r="AD331" s="84" t="n">
        <x:f>AC331-B331</x:f>
        <x:v>2</x:v>
      </x:c>
      <x:c r="AE331" s="84" t="str">
        <x:f>IF(COUNTIF($A$5:A331,A331)&gt;1,"Duplicate","Keep")</x:f>
        <x:v>Keep</x:v>
      </x:c>
      <x:c r="AF331" s="84" t="str">
        <x:f>IF(OR(R331&lt;=0,AC331&lt;B331,H331="Unknown",M331="Unknown Product"),"Review","Valid")</x:f>
        <x:v>Valid</x:v>
      </x:c>
      <x:c r="AG331" s="84" t="n">
        <x:f>IF(AND(AE331="Keep",AF331="Valid"),1,0)</x:f>
        <x:v>1</x:v>
      </x:c>
      <x:c r="AH331" s="84" t="n">
        <x:f>IF(AND(AG331=1,OR('Dashboard'!$B$4="All",I331='Dashboard'!$B$4),OR('Dashboard'!$E$4="All",N331='Dashboard'!$E$4),OR('Dashboard'!$H$4="All",K331='Dashboard'!$H$4),OR('Dashboard'!$K$4="All",C331='Dashboard'!$K$4)),1,0)</x:f>
        <x:v>1</x:v>
      </x:c>
      <x:c r="AI331" s="84" t="n">
        <x:f>IF(AND(AG331=1,OR('Dashboard'!$B$4="All",I331='Dashboard'!$B$4),OR('Dashboard'!$E$4="All",N331='Dashboard'!$E$4),OR('Dashboard'!$H$4="All",K331='Dashboard'!$H$4)),1,0)</x:f>
        <x:v>1</x:v>
      </x:c>
    </x:row>
    <x:row r="332">
      <x:c r="A332" s="84" t="str">
        <x:f>'Raw Sales'!A332</x:f>
        <x:v>ORD-2024-01611</x:v>
      </x:c>
      <x:c r="B332" s="85" t="n">
        <x:f>'Raw Sales'!B332</x:f>
        <x:v>45422</x:v>
      </x:c>
      <x:c r="C332" s="84" t="n">
        <x:f>YEAR(B332)</x:f>
        <x:v>2024</x:v>
      </x:c>
      <x:c r="D332" s="91" t="n">
        <x:f>DATE(YEAR(B332),MONTH(B332),1)</x:f>
        <x:v>45413</x:v>
      </x:c>
      <x:c r="E332" s="84" t="str">
        <x:f>TEXT(B332,"mmm")</x:f>
        <x:v>May</x:v>
      </x:c>
      <x:c r="F332" s="84" t="str">
        <x:f>'Raw Sales'!C332</x:f>
        <x:v>CUST-0438</x:v>
      </x:c>
      <x:c r="G332" s="84" t="str">
        <x:f>PROPER(TRIM('Raw Sales'!D332))</x:f>
        <x:v>Isaac Ortiz</x:v>
      </x:c>
      <x:c r="H332" s="84" t="str">
        <x:f>IF(TRIM('Raw Sales'!E332)="","Unknown",PROPER(TRIM('Raw Sales'!E332)))</x:f>
        <x:v>Consumer</x:v>
      </x:c>
      <x:c r="I332" s="84" t="str">
        <x:f>PROPER(TRIM('Raw Sales'!F332))</x:f>
        <x:v>Midwest</x:v>
      </x:c>
      <x:c r="J332" s="84" t="str">
        <x:f>PROPER(TRIM('Raw Sales'!G332))</x:f>
        <x:v>Columbus</x:v>
      </x:c>
      <x:c r="K332" s="84" t="str">
        <x:f>PROPER(TRIM('Raw Sales'!H332))</x:f>
        <x:v>Retail Store</x:v>
      </x:c>
      <x:c r="L332" s="84" t="str">
        <x:f>'Raw Sales'!I332</x:f>
        <x:v>FITN-003</x:v>
      </x:c>
      <x:c r="M332" s="84" t="str">
        <x:f>IFERROR(VLOOKUP(L332,'Reference Data'!$A$5:$F$40,2,FALSE),"Unknown Product")</x:f>
        <x:v>Resistance Band Set</x:v>
      </x:c>
      <x:c r="N332" s="84" t="str">
        <x:f>IFERROR(VLOOKUP(L332,'Reference Data'!$A$5:$F$40,3,FALSE),"Unknown")</x:f>
        <x:v>Fitness</x:v>
      </x:c>
      <x:c r="O332" s="84" t="str">
        <x:f>IFERROR(VLOOKUP(L332,'Reference Data'!$A$5:$F$40,4,FALSE),"Unknown")</x:f>
        <x:v>Strength</x:v>
      </x:c>
      <x:c r="P332" s="92" t="n">
        <x:f>IFERROR(VLOOKUP(L332,'Reference Data'!$A$5:$F$40,5,FALSE),0)</x:f>
        <x:v>24</x:v>
      </x:c>
      <x:c r="Q332" s="92" t="n">
        <x:f>IFERROR(VLOOKUP(L332,'Reference Data'!$A$5:$F$40,6,FALSE),0)</x:f>
        <x:v>8</x:v>
      </x:c>
      <x:c r="R332" s="84" t="n">
        <x:f>'Raw Sales'!J332</x:f>
        <x:v>1</x:v>
      </x:c>
      <x:c r="S332" s="87" t="n">
        <x:f>'Raw Sales'!K332</x:f>
        <x:v>0</x:v>
      </x:c>
      <x:c r="T332" s="93" t="n">
        <x:f>P332*R332</x:f>
        <x:v>24</x:v>
      </x:c>
      <x:c r="U332" s="93" t="n">
        <x:f>T332*S332</x:f>
        <x:v>0</x:v>
      </x:c>
      <x:c r="V332" s="93" t="str">
        <x:f>PROPER(TRIM('Raw Sales'!L332))</x:f>
        <x:v>Completed</x:v>
      </x:c>
      <x:c r="W332" s="93" t="n">
        <x:f>IF(V332="Returned",0,T332-U332)</x:f>
        <x:v>24</x:v>
      </x:c>
      <x:c r="X332" s="93" t="n">
        <x:f>IF(V332="Returned",Q332*R332*10%,Q332*R332)</x:f>
        <x:v>8</x:v>
      </x:c>
      <x:c r="Y332" s="93" t="n">
        <x:f>W332-X332</x:f>
        <x:v>16</x:v>
      </x:c>
      <x:c r="Z332" s="94" t="n">
        <x:f>IFERROR(Y332/W332,0)</x:f>
        <x:v>0.6666666666666666</x:v>
      </x:c>
      <x:c r="AA332" s="84" t="str">
        <x:f>PROPER(TRIM('Raw Sales'!M332))</x:f>
        <x:v>Credit Card</x:v>
      </x:c>
      <x:c r="AB332" s="84" t="str">
        <x:f>PROPER(TRIM('Raw Sales'!N332))</x:f>
        <x:v>Emma Hayes</x:v>
      </x:c>
      <x:c r="AC332" s="85" t="n">
        <x:f>'Raw Sales'!O332</x:f>
        <x:v>45422</x:v>
      </x:c>
      <x:c r="AD332" s="84" t="n">
        <x:f>AC332-B332</x:f>
        <x:v>0</x:v>
      </x:c>
      <x:c r="AE332" s="84" t="str">
        <x:f>IF(COUNTIF($A$5:A332,A332)&gt;1,"Duplicate","Keep")</x:f>
        <x:v>Keep</x:v>
      </x:c>
      <x:c r="AF332" s="84" t="str">
        <x:f>IF(OR(R332&lt;=0,AC332&lt;B332,H332="Unknown",M332="Unknown Product"),"Review","Valid")</x:f>
        <x:v>Valid</x:v>
      </x:c>
      <x:c r="AG332" s="84" t="n">
        <x:f>IF(AND(AE332="Keep",AF332="Valid"),1,0)</x:f>
        <x:v>1</x:v>
      </x:c>
      <x:c r="AH332" s="84" t="n">
        <x:f>IF(AND(AG332=1,OR('Dashboard'!$B$4="All",I332='Dashboard'!$B$4),OR('Dashboard'!$E$4="All",N332='Dashboard'!$E$4),OR('Dashboard'!$H$4="All",K332='Dashboard'!$H$4),OR('Dashboard'!$K$4="All",C332='Dashboard'!$K$4)),1,0)</x:f>
        <x:v>1</x:v>
      </x:c>
      <x:c r="AI332" s="84" t="n">
        <x:f>IF(AND(AG332=1,OR('Dashboard'!$B$4="All",I332='Dashboard'!$B$4),OR('Dashboard'!$E$4="All",N332='Dashboard'!$E$4),OR('Dashboard'!$H$4="All",K332='Dashboard'!$H$4)),1,0)</x:f>
        <x:v>1</x:v>
      </x:c>
    </x:row>
    <x:row r="333">
      <x:c r="A333" s="84" t="str">
        <x:f>'Raw Sales'!A333</x:f>
        <x:v>ORD-2024-00645</x:v>
      </x:c>
      <x:c r="B333" s="85" t="n">
        <x:f>'Raw Sales'!B333</x:f>
        <x:v>45423</x:v>
      </x:c>
      <x:c r="C333" s="84" t="n">
        <x:f>YEAR(B333)</x:f>
        <x:v>2024</x:v>
      </x:c>
      <x:c r="D333" s="91" t="n">
        <x:f>DATE(YEAR(B333),MONTH(B333),1)</x:f>
        <x:v>45413</x:v>
      </x:c>
      <x:c r="E333" s="84" t="str">
        <x:f>TEXT(B333,"mmm")</x:f>
        <x:v>May</x:v>
      </x:c>
      <x:c r="F333" s="84" t="str">
        <x:f>'Raw Sales'!C333</x:f>
        <x:v>CUST-0052</x:v>
      </x:c>
      <x:c r="G333" s="84" t="str">
        <x:f>PROPER(TRIM('Raw Sales'!D333))</x:f>
        <x:v>Elias Adams</x:v>
      </x:c>
      <x:c r="H333" s="84" t="str">
        <x:f>IF(TRIM('Raw Sales'!E333)="","Unknown",PROPER(TRIM('Raw Sales'!E333)))</x:f>
        <x:v>Consumer</x:v>
      </x:c>
      <x:c r="I333" s="84" t="str">
        <x:f>PROPER(TRIM('Raw Sales'!F333))</x:f>
        <x:v>Southeast</x:v>
      </x:c>
      <x:c r="J333" s="84" t="str">
        <x:f>PROPER(TRIM('Raw Sales'!G333))</x:f>
        <x:v>Atlanta</x:v>
      </x:c>
      <x:c r="K333" s="84" t="str">
        <x:f>PROPER(TRIM('Raw Sales'!H333))</x:f>
        <x:v>Marketplace</x:v>
      </x:c>
      <x:c r="L333" s="84" t="str">
        <x:f>'Raw Sales'!I333</x:f>
        <x:v>FITN-003</x:v>
      </x:c>
      <x:c r="M333" s="84" t="str">
        <x:f>IFERROR(VLOOKUP(L333,'Reference Data'!$A$5:$F$40,2,FALSE),"Unknown Product")</x:f>
        <x:v>Resistance Band Set</x:v>
      </x:c>
      <x:c r="N333" s="84" t="str">
        <x:f>IFERROR(VLOOKUP(L333,'Reference Data'!$A$5:$F$40,3,FALSE),"Unknown")</x:f>
        <x:v>Fitness</x:v>
      </x:c>
      <x:c r="O333" s="84" t="str">
        <x:f>IFERROR(VLOOKUP(L333,'Reference Data'!$A$5:$F$40,4,FALSE),"Unknown")</x:f>
        <x:v>Strength</x:v>
      </x:c>
      <x:c r="P333" s="92" t="n">
        <x:f>IFERROR(VLOOKUP(L333,'Reference Data'!$A$5:$F$40,5,FALSE),0)</x:f>
        <x:v>24</x:v>
      </x:c>
      <x:c r="Q333" s="92" t="n">
        <x:f>IFERROR(VLOOKUP(L333,'Reference Data'!$A$5:$F$40,6,FALSE),0)</x:f>
        <x:v>8</x:v>
      </x:c>
      <x:c r="R333" s="84" t="n">
        <x:f>'Raw Sales'!J333</x:f>
        <x:v>3</x:v>
      </x:c>
      <x:c r="S333" s="87" t="n">
        <x:f>'Raw Sales'!K333</x:f>
        <x:v>0.1</x:v>
      </x:c>
      <x:c r="T333" s="93" t="n">
        <x:f>P333*R333</x:f>
        <x:v>72</x:v>
      </x:c>
      <x:c r="U333" s="93" t="n">
        <x:f>T333*S333</x:f>
        <x:v>7.2</x:v>
      </x:c>
      <x:c r="V333" s="93" t="str">
        <x:f>PROPER(TRIM('Raw Sales'!L333))</x:f>
        <x:v>Returned</x:v>
      </x:c>
      <x:c r="W333" s="93" t="n">
        <x:f>IF(V333="Returned",0,T333-U333)</x:f>
        <x:v>0</x:v>
      </x:c>
      <x:c r="X333" s="93" t="n">
        <x:f>IF(V333="Returned",Q333*R333*10%,Q333*R333)</x:f>
        <x:v>2.4000000000000004</x:v>
      </x:c>
      <x:c r="Y333" s="93" t="n">
        <x:f>W333-X333</x:f>
        <x:v>-2.4000000000000004</x:v>
      </x:c>
      <x:c r="Z333" s="94" t="n">
        <x:f>IFERROR(Y333/W333,0)</x:f>
        <x:v>0</x:v>
      </x:c>
      <x:c r="AA333" s="84" t="str">
        <x:f>PROPER(TRIM('Raw Sales'!M333))</x:f>
        <x:v>Paypal</x:v>
      </x:c>
      <x:c r="AB333" s="84" t="str">
        <x:f>PROPER(TRIM('Raw Sales'!N333))</x:f>
        <x:v>Liam Parker</x:v>
      </x:c>
      <x:c r="AC333" s="85" t="n">
        <x:f>'Raw Sales'!O333</x:f>
        <x:v>45426</x:v>
      </x:c>
      <x:c r="AD333" s="84" t="n">
        <x:f>AC333-B333</x:f>
        <x:v>3</x:v>
      </x:c>
      <x:c r="AE333" s="84" t="str">
        <x:f>IF(COUNTIF($A$5:A333,A333)&gt;1,"Duplicate","Keep")</x:f>
        <x:v>Keep</x:v>
      </x:c>
      <x:c r="AF333" s="84" t="str">
        <x:f>IF(OR(R333&lt;=0,AC333&lt;B333,H333="Unknown",M333="Unknown Product"),"Review","Valid")</x:f>
        <x:v>Valid</x:v>
      </x:c>
      <x:c r="AG333" s="84" t="n">
        <x:f>IF(AND(AE333="Keep",AF333="Valid"),1,0)</x:f>
        <x:v>1</x:v>
      </x:c>
      <x:c r="AH333" s="84" t="n">
        <x:f>IF(AND(AG333=1,OR('Dashboard'!$B$4="All",I333='Dashboard'!$B$4),OR('Dashboard'!$E$4="All",N333='Dashboard'!$E$4),OR('Dashboard'!$H$4="All",K333='Dashboard'!$H$4),OR('Dashboard'!$K$4="All",C333='Dashboard'!$K$4)),1,0)</x:f>
        <x:v>1</x:v>
      </x:c>
      <x:c r="AI333" s="84" t="n">
        <x:f>IF(AND(AG333=1,OR('Dashboard'!$B$4="All",I333='Dashboard'!$B$4),OR('Dashboard'!$E$4="All",N333='Dashboard'!$E$4),OR('Dashboard'!$H$4="All",K333='Dashboard'!$H$4)),1,0)</x:f>
        <x:v>1</x:v>
      </x:c>
    </x:row>
    <x:row r="334">
      <x:c r="A334" s="84" t="str">
        <x:f>'Raw Sales'!A334</x:f>
        <x:v>ORD-2024-01228</x:v>
      </x:c>
      <x:c r="B334" s="85" t="n">
        <x:f>'Raw Sales'!B334</x:f>
        <x:v>45423</x:v>
      </x:c>
      <x:c r="C334" s="84" t="n">
        <x:f>YEAR(B334)</x:f>
        <x:v>2024</x:v>
      </x:c>
      <x:c r="D334" s="91" t="n">
        <x:f>DATE(YEAR(B334),MONTH(B334),1)</x:f>
        <x:v>45413</x:v>
      </x:c>
      <x:c r="E334" s="84" t="str">
        <x:f>TEXT(B334,"mmm")</x:f>
        <x:v>May</x:v>
      </x:c>
      <x:c r="F334" s="84" t="str">
        <x:f>'Raw Sales'!C334</x:f>
        <x:v>CUST-0354</x:v>
      </x:c>
      <x:c r="G334" s="84" t="str">
        <x:f>PROPER(TRIM('Raw Sales'!D334))</x:f>
        <x:v>Jasmine Quinn</x:v>
      </x:c>
      <x:c r="H334" s="84" t="str">
        <x:f>IF(TRIM('Raw Sales'!E334)="","Unknown",PROPER(TRIM('Raw Sales'!E334)))</x:f>
        <x:v>Consumer</x:v>
      </x:c>
      <x:c r="I334" s="84" t="str">
        <x:f>PROPER(TRIM('Raw Sales'!F334))</x:f>
        <x:v>Northeast</x:v>
      </x:c>
      <x:c r="J334" s="84" t="str">
        <x:f>PROPER(TRIM('Raw Sales'!G334))</x:f>
        <x:v>Philadelphia</x:v>
      </x:c>
      <x:c r="K334" s="84" t="str">
        <x:f>PROPER(TRIM('Raw Sales'!H334))</x:f>
        <x:v>Online</x:v>
      </x:c>
      <x:c r="L334" s="84" t="str">
        <x:f>'Raw Sales'!I334</x:f>
        <x:v>HOME-004</x:v>
      </x:c>
      <x:c r="M334" s="84" t="str">
        <x:f>IFERROR(VLOOKUP(L334,'Reference Data'!$A$5:$F$40,2,FALSE),"Unknown Product")</x:f>
        <x:v>Coffee Maker</x:v>
      </x:c>
      <x:c r="N334" s="84" t="str">
        <x:f>IFERROR(VLOOKUP(L334,'Reference Data'!$A$5:$F$40,3,FALSE),"Unknown")</x:f>
        <x:v>Home &amp; Kitchen</x:v>
      </x:c>
      <x:c r="O334" s="84" t="str">
        <x:f>IFERROR(VLOOKUP(L334,'Reference Data'!$A$5:$F$40,4,FALSE),"Unknown")</x:f>
        <x:v>Small Appliances</x:v>
      </x:c>
      <x:c r="P334" s="92" t="n">
        <x:f>IFERROR(VLOOKUP(L334,'Reference Data'!$A$5:$F$40,5,FALSE),0)</x:f>
        <x:v>99</x:v>
      </x:c>
      <x:c r="Q334" s="92" t="n">
        <x:f>IFERROR(VLOOKUP(L334,'Reference Data'!$A$5:$F$40,6,FALSE),0)</x:f>
        <x:v>51</x:v>
      </x:c>
      <x:c r="R334" s="84" t="n">
        <x:f>'Raw Sales'!J334</x:f>
        <x:v>1</x:v>
      </x:c>
      <x:c r="S334" s="87" t="n">
        <x:f>'Raw Sales'!K334</x:f>
        <x:v>0</x:v>
      </x:c>
      <x:c r="T334" s="93" t="n">
        <x:f>P334*R334</x:f>
        <x:v>99</x:v>
      </x:c>
      <x:c r="U334" s="93" t="n">
        <x:f>T334*S334</x:f>
        <x:v>0</x:v>
      </x:c>
      <x:c r="V334" s="93" t="str">
        <x:f>PROPER(TRIM('Raw Sales'!L334))</x:f>
        <x:v>Returned</x:v>
      </x:c>
      <x:c r="W334" s="93" t="n">
        <x:f>IF(V334="Returned",0,T334-U334)</x:f>
        <x:v>0</x:v>
      </x:c>
      <x:c r="X334" s="93" t="n">
        <x:f>IF(V334="Returned",Q334*R334*10%,Q334*R334)</x:f>
        <x:v>5.1000000000000005</x:v>
      </x:c>
      <x:c r="Y334" s="93" t="n">
        <x:f>W334-X334</x:f>
        <x:v>-5.1000000000000005</x:v>
      </x:c>
      <x:c r="Z334" s="94" t="n">
        <x:f>IFERROR(Y334/W334,0)</x:f>
        <x:v>0</x:v>
      </x:c>
      <x:c r="AA334" s="84" t="str">
        <x:f>PROPER(TRIM('Raw Sales'!M334))</x:f>
        <x:v>Mobile Wallet</x:v>
      </x:c>
      <x:c r="AB334" s="84" t="str">
        <x:f>PROPER(TRIM('Raw Sales'!N334))</x:f>
        <x:v>Ethan Cole</x:v>
      </x:c>
      <x:c r="AC334" s="85" t="n">
        <x:f>'Raw Sales'!O334</x:f>
        <x:v>45425</x:v>
      </x:c>
      <x:c r="AD334" s="84" t="n">
        <x:f>AC334-B334</x:f>
        <x:v>2</x:v>
      </x:c>
      <x:c r="AE334" s="84" t="str">
        <x:f>IF(COUNTIF($A$5:A334,A334)&gt;1,"Duplicate","Keep")</x:f>
        <x:v>Keep</x:v>
      </x:c>
      <x:c r="AF334" s="84" t="str">
        <x:f>IF(OR(R334&lt;=0,AC334&lt;B334,H334="Unknown",M334="Unknown Product"),"Review","Valid")</x:f>
        <x:v>Valid</x:v>
      </x:c>
      <x:c r="AG334" s="84" t="n">
        <x:f>IF(AND(AE334="Keep",AF334="Valid"),1,0)</x:f>
        <x:v>1</x:v>
      </x:c>
      <x:c r="AH334" s="84" t="n">
        <x:f>IF(AND(AG334=1,OR('Dashboard'!$B$4="All",I334='Dashboard'!$B$4),OR('Dashboard'!$E$4="All",N334='Dashboard'!$E$4),OR('Dashboard'!$H$4="All",K334='Dashboard'!$H$4),OR('Dashboard'!$K$4="All",C334='Dashboard'!$K$4)),1,0)</x:f>
        <x:v>1</x:v>
      </x:c>
      <x:c r="AI334" s="84" t="n">
        <x:f>IF(AND(AG334=1,OR('Dashboard'!$B$4="All",I334='Dashboard'!$B$4),OR('Dashboard'!$E$4="All",N334='Dashboard'!$E$4),OR('Dashboard'!$H$4="All",K334='Dashboard'!$H$4)),1,0)</x:f>
        <x:v>1</x:v>
      </x:c>
    </x:row>
    <x:row r="335">
      <x:c r="A335" s="84" t="str">
        <x:f>'Raw Sales'!A335</x:f>
        <x:v>ORD-2024-01572</x:v>
      </x:c>
      <x:c r="B335" s="85" t="n">
        <x:f>'Raw Sales'!B335</x:f>
        <x:v>45423</x:v>
      </x:c>
      <x:c r="C335" s="84" t="n">
        <x:f>YEAR(B335)</x:f>
        <x:v>2024</x:v>
      </x:c>
      <x:c r="D335" s="91" t="n">
        <x:f>DATE(YEAR(B335),MONTH(B335),1)</x:f>
        <x:v>45413</x:v>
      </x:c>
      <x:c r="E335" s="84" t="str">
        <x:f>TEXT(B335,"mmm")</x:f>
        <x:v>May</x:v>
      </x:c>
      <x:c r="F335" s="84" t="str">
        <x:f>'Raw Sales'!C335</x:f>
        <x:v>CUST-0544</x:v>
      </x:c>
      <x:c r="G335" s="84" t="str">
        <x:f>PROPER(TRIM('Raw Sales'!D335))</x:f>
        <x:v>Victoria Garcia</x:v>
      </x:c>
      <x:c r="H335" s="84" t="str">
        <x:f>IF(TRIM('Raw Sales'!E335)="","Unknown",PROPER(TRIM('Raw Sales'!E335)))</x:f>
        <x:v>Consumer</x:v>
      </x:c>
      <x:c r="I335" s="84" t="str">
        <x:f>PROPER(TRIM('Raw Sales'!F335))</x:f>
        <x:v>West</x:v>
      </x:c>
      <x:c r="J335" s="84" t="str">
        <x:f>PROPER(TRIM('Raw Sales'!G335))</x:f>
        <x:v>Seattle</x:v>
      </x:c>
      <x:c r="K335" s="84" t="str">
        <x:f>PROPER(TRIM('Raw Sales'!H335))</x:f>
        <x:v>Online</x:v>
      </x:c>
      <x:c r="L335" s="84" t="str">
        <x:f>'Raw Sales'!I335</x:f>
        <x:v>ELEC-001</x:v>
      </x:c>
      <x:c r="M335" s="84" t="str">
        <x:f>IFERROR(VLOOKUP(L335,'Reference Data'!$A$5:$F$40,2,FALSE),"Unknown Product")</x:f>
        <x:v>Wireless Earbuds</x:v>
      </x:c>
      <x:c r="N335" s="84" t="str">
        <x:f>IFERROR(VLOOKUP(L335,'Reference Data'!$A$5:$F$40,3,FALSE),"Unknown")</x:f>
        <x:v>Electronics</x:v>
      </x:c>
      <x:c r="O335" s="84" t="str">
        <x:f>IFERROR(VLOOKUP(L335,'Reference Data'!$A$5:$F$40,4,FALSE),"Unknown")</x:f>
        <x:v>Audio</x:v>
      </x:c>
      <x:c r="P335" s="92" t="n">
        <x:f>IFERROR(VLOOKUP(L335,'Reference Data'!$A$5:$F$40,5,FALSE),0)</x:f>
        <x:v>69</x:v>
      </x:c>
      <x:c r="Q335" s="92" t="n">
        <x:f>IFERROR(VLOOKUP(L335,'Reference Data'!$A$5:$F$40,6,FALSE),0)</x:f>
        <x:v>36</x:v>
      </x:c>
      <x:c r="R335" s="84" t="n">
        <x:f>'Raw Sales'!J335</x:f>
        <x:v>1</x:v>
      </x:c>
      <x:c r="S335" s="87" t="n">
        <x:f>'Raw Sales'!K335</x:f>
        <x:v>0.1</x:v>
      </x:c>
      <x:c r="T335" s="93" t="n">
        <x:f>P335*R335</x:f>
        <x:v>69</x:v>
      </x:c>
      <x:c r="U335" s="93" t="n">
        <x:f>T335*S335</x:f>
        <x:v>6.9</x:v>
      </x:c>
      <x:c r="V335" s="93" t="str">
        <x:f>PROPER(TRIM('Raw Sales'!L335))</x:f>
        <x:v>Returned</x:v>
      </x:c>
      <x:c r="W335" s="93" t="n">
        <x:f>IF(V335="Returned",0,T335-U335)</x:f>
        <x:v>0</x:v>
      </x:c>
      <x:c r="X335" s="93" t="n">
        <x:f>IF(V335="Returned",Q335*R335*10%,Q335*R335)</x:f>
        <x:v>3.6</x:v>
      </x:c>
      <x:c r="Y335" s="93" t="n">
        <x:f>W335-X335</x:f>
        <x:v>-3.6</x:v>
      </x:c>
      <x:c r="Z335" s="94" t="n">
        <x:f>IFERROR(Y335/W335,0)</x:f>
        <x:v>0</x:v>
      </x:c>
      <x:c r="AA335" s="84" t="str">
        <x:f>PROPER(TRIM('Raw Sales'!M335))</x:f>
        <x:v>Debit Card</x:v>
      </x:c>
      <x:c r="AB335" s="84" t="str">
        <x:f>PROPER(TRIM('Raw Sales'!N335))</x:f>
        <x:v>Mia Chen</x:v>
      </x:c>
      <x:c r="AC335" s="85" t="n">
        <x:f>'Raw Sales'!O335</x:f>
        <x:v>45426</x:v>
      </x:c>
      <x:c r="AD335" s="84" t="n">
        <x:f>AC335-B335</x:f>
        <x:v>3</x:v>
      </x:c>
      <x:c r="AE335" s="84" t="str">
        <x:f>IF(COUNTIF($A$5:A335,A335)&gt;1,"Duplicate","Keep")</x:f>
        <x:v>Keep</x:v>
      </x:c>
      <x:c r="AF335" s="84" t="str">
        <x:f>IF(OR(R335&lt;=0,AC335&lt;B335,H335="Unknown",M335="Unknown Product"),"Review","Valid")</x:f>
        <x:v>Valid</x:v>
      </x:c>
      <x:c r="AG335" s="84" t="n">
        <x:f>IF(AND(AE335="Keep",AF335="Valid"),1,0)</x:f>
        <x:v>1</x:v>
      </x:c>
      <x:c r="AH335" s="84" t="n">
        <x:f>IF(AND(AG335=1,OR('Dashboard'!$B$4="All",I335='Dashboard'!$B$4),OR('Dashboard'!$E$4="All",N335='Dashboard'!$E$4),OR('Dashboard'!$H$4="All",K335='Dashboard'!$H$4),OR('Dashboard'!$K$4="All",C335='Dashboard'!$K$4)),1,0)</x:f>
        <x:v>1</x:v>
      </x:c>
      <x:c r="AI335" s="84" t="n">
        <x:f>IF(AND(AG335=1,OR('Dashboard'!$B$4="All",I335='Dashboard'!$B$4),OR('Dashboard'!$E$4="All",N335='Dashboard'!$E$4),OR('Dashboard'!$H$4="All",K335='Dashboard'!$H$4)),1,0)</x:f>
        <x:v>1</x:v>
      </x:c>
    </x:row>
    <x:row r="336">
      <x:c r="A336" s="84" t="str">
        <x:f>'Raw Sales'!A336</x:f>
        <x:v>ORD-2024-02153</x:v>
      </x:c>
      <x:c r="B336" s="85" t="n">
        <x:f>'Raw Sales'!B336</x:f>
        <x:v>45423</x:v>
      </x:c>
      <x:c r="C336" s="84" t="n">
        <x:f>YEAR(B336)</x:f>
        <x:v>2024</x:v>
      </x:c>
      <x:c r="D336" s="91" t="n">
        <x:f>DATE(YEAR(B336),MONTH(B336),1)</x:f>
        <x:v>45413</x:v>
      </x:c>
      <x:c r="E336" s="84" t="str">
        <x:f>TEXT(B336,"mmm")</x:f>
        <x:v>May</x:v>
      </x:c>
      <x:c r="F336" s="84" t="str">
        <x:f>'Raw Sales'!C336</x:f>
        <x:v>CUST-0317</x:v>
      </x:c>
      <x:c r="G336" s="84" t="str">
        <x:f>PROPER(TRIM('Raw Sales'!D336))</x:f>
        <x:v>Owen Garcia</x:v>
      </x:c>
      <x:c r="H336" s="84" t="str">
        <x:f>IF(TRIM('Raw Sales'!E336)="","Unknown",PROPER(TRIM('Raw Sales'!E336)))</x:f>
        <x:v>Consumer</x:v>
      </x:c>
      <x:c r="I336" s="84" t="str">
        <x:f>PROPER(TRIM('Raw Sales'!F336))</x:f>
        <x:v>West</x:v>
      </x:c>
      <x:c r="J336" s="84" t="str">
        <x:f>PROPER(TRIM('Raw Sales'!G336))</x:f>
        <x:v>Seattle</x:v>
      </x:c>
      <x:c r="K336" s="84" t="str">
        <x:f>PROPER(TRIM('Raw Sales'!H336))</x:f>
        <x:v>Online</x:v>
      </x:c>
      <x:c r="L336" s="84" t="str">
        <x:f>'Raw Sales'!I336</x:f>
        <x:v>OFFC-006</x:v>
      </x:c>
      <x:c r="M336" s="84" t="str">
        <x:f>IFERROR(VLOOKUP(L336,'Reference Data'!$A$5:$F$40,2,FALSE),"Unknown Product")</x:f>
        <x:v>Monitor Stand</x:v>
      </x:c>
      <x:c r="N336" s="84" t="str">
        <x:f>IFERROR(VLOOKUP(L336,'Reference Data'!$A$5:$F$40,3,FALSE),"Unknown")</x:f>
        <x:v>Office</x:v>
      </x:c>
      <x:c r="O336" s="84" t="str">
        <x:f>IFERROR(VLOOKUP(L336,'Reference Data'!$A$5:$F$40,4,FALSE),"Unknown")</x:f>
        <x:v>Desk Accessories</x:v>
      </x:c>
      <x:c r="P336" s="92" t="n">
        <x:f>IFERROR(VLOOKUP(L336,'Reference Data'!$A$5:$F$40,5,FALSE),0)</x:f>
        <x:v>49</x:v>
      </x:c>
      <x:c r="Q336" s="92" t="n">
        <x:f>IFERROR(VLOOKUP(L336,'Reference Data'!$A$5:$F$40,6,FALSE),0)</x:f>
        <x:v>21</x:v>
      </x:c>
      <x:c r="R336" s="84" t="n">
        <x:f>'Raw Sales'!J336</x:f>
        <x:v>2</x:v>
      </x:c>
      <x:c r="S336" s="87" t="n">
        <x:f>'Raw Sales'!K336</x:f>
        <x:v>0</x:v>
      </x:c>
      <x:c r="T336" s="93" t="n">
        <x:f>P336*R336</x:f>
        <x:v>98</x:v>
      </x:c>
      <x:c r="U336" s="93" t="n">
        <x:f>T336*S336</x:f>
        <x:v>0</x:v>
      </x:c>
      <x:c r="V336" s="93" t="str">
        <x:f>PROPER(TRIM('Raw Sales'!L336))</x:f>
        <x:v>Completed</x:v>
      </x:c>
      <x:c r="W336" s="93" t="n">
        <x:f>IF(V336="Returned",0,T336-U336)</x:f>
        <x:v>98</x:v>
      </x:c>
      <x:c r="X336" s="93" t="n">
        <x:f>IF(V336="Returned",Q336*R336*10%,Q336*R336)</x:f>
        <x:v>42</x:v>
      </x:c>
      <x:c r="Y336" s="93" t="n">
        <x:f>W336-X336</x:f>
        <x:v>56</x:v>
      </x:c>
      <x:c r="Z336" s="94" t="n">
        <x:f>IFERROR(Y336/W336,0)</x:f>
        <x:v>0.5714285714285714</x:v>
      </x:c>
      <x:c r="AA336" s="84" t="str">
        <x:f>PROPER(TRIM('Raw Sales'!M336))</x:f>
        <x:v>Paypal</x:v>
      </x:c>
      <x:c r="AB336" s="84" t="str">
        <x:f>PROPER(TRIM('Raw Sales'!N336))</x:f>
        <x:v>Leo Martinez</x:v>
      </x:c>
      <x:c r="AC336" s="85" t="n">
        <x:f>'Raw Sales'!O336</x:f>
        <x:v>45429</x:v>
      </x:c>
      <x:c r="AD336" s="84" t="n">
        <x:f>AC336-B336</x:f>
        <x:v>6</x:v>
      </x:c>
      <x:c r="AE336" s="84" t="str">
        <x:f>IF(COUNTIF($A$5:A336,A336)&gt;1,"Duplicate","Keep")</x:f>
        <x:v>Keep</x:v>
      </x:c>
      <x:c r="AF336" s="84" t="str">
        <x:f>IF(OR(R336&lt;=0,AC336&lt;B336,H336="Unknown",M336="Unknown Product"),"Review","Valid")</x:f>
        <x:v>Valid</x:v>
      </x:c>
      <x:c r="AG336" s="84" t="n">
        <x:f>IF(AND(AE336="Keep",AF336="Valid"),1,0)</x:f>
        <x:v>1</x:v>
      </x:c>
      <x:c r="AH336" s="84" t="n">
        <x:f>IF(AND(AG336=1,OR('Dashboard'!$B$4="All",I336='Dashboard'!$B$4),OR('Dashboard'!$E$4="All",N336='Dashboard'!$E$4),OR('Dashboard'!$H$4="All",K336='Dashboard'!$H$4),OR('Dashboard'!$K$4="All",C336='Dashboard'!$K$4)),1,0)</x:f>
        <x:v>1</x:v>
      </x:c>
      <x:c r="AI336" s="84" t="n">
        <x:f>IF(AND(AG336=1,OR('Dashboard'!$B$4="All",I336='Dashboard'!$B$4),OR('Dashboard'!$E$4="All",N336='Dashboard'!$E$4),OR('Dashboard'!$H$4="All",K336='Dashboard'!$H$4)),1,0)</x:f>
        <x:v>1</x:v>
      </x:c>
    </x:row>
    <x:row r="337">
      <x:c r="A337" s="84" t="str">
        <x:f>'Raw Sales'!A337</x:f>
        <x:v>ORD-2024-02173</x:v>
      </x:c>
      <x:c r="B337" s="85" t="n">
        <x:f>'Raw Sales'!B337</x:f>
        <x:v>45423</x:v>
      </x:c>
      <x:c r="C337" s="84" t="n">
        <x:f>YEAR(B337)</x:f>
        <x:v>2024</x:v>
      </x:c>
      <x:c r="D337" s="91" t="n">
        <x:f>DATE(YEAR(B337),MONTH(B337),1)</x:f>
        <x:v>45413</x:v>
      </x:c>
      <x:c r="E337" s="84" t="str">
        <x:f>TEXT(B337,"mmm")</x:f>
        <x:v>May</x:v>
      </x:c>
      <x:c r="F337" s="84" t="str">
        <x:f>'Raw Sales'!C337</x:f>
        <x:v>CUST-0401</x:v>
      </x:c>
      <x:c r="G337" s="84" t="str">
        <x:f>PROPER(TRIM('Raw Sales'!D337))</x:f>
        <x:v>Priya Hall</x:v>
      </x:c>
      <x:c r="H337" s="84" t="str">
        <x:f>IF(TRIM('Raw Sales'!E337)="","Unknown",PROPER(TRIM('Raw Sales'!E337)))</x:f>
        <x:v>Consumer</x:v>
      </x:c>
      <x:c r="I337" s="84" t="str">
        <x:f>PROPER(TRIM('Raw Sales'!F337))</x:f>
        <x:v>Northeast</x:v>
      </x:c>
      <x:c r="J337" s="84" t="str">
        <x:f>PROPER(TRIM('Raw Sales'!G337))</x:f>
        <x:v>Newark</x:v>
      </x:c>
      <x:c r="K337" s="84" t="str">
        <x:f>PROPER(TRIM('Raw Sales'!H337))</x:f>
        <x:v>Retail Store</x:v>
      </x:c>
      <x:c r="L337" s="84" t="str">
        <x:f>'Raw Sales'!I337</x:f>
        <x:v>ELEC-004</x:v>
      </x:c>
      <x:c r="M337" s="84" t="str">
        <x:f>IFERROR(VLOOKUP(L337,'Reference Data'!$A$5:$F$40,2,FALSE),"Unknown Product")</x:f>
        <x:v>Power Bank</x:v>
      </x:c>
      <x:c r="N337" s="84" t="str">
        <x:f>IFERROR(VLOOKUP(L337,'Reference Data'!$A$5:$F$40,3,FALSE),"Unknown")</x:f>
        <x:v>Electronics</x:v>
      </x:c>
      <x:c r="O337" s="84" t="str">
        <x:f>IFERROR(VLOOKUP(L337,'Reference Data'!$A$5:$F$40,4,FALSE),"Unknown")</x:f>
        <x:v>Mobile Accessories</x:v>
      </x:c>
      <x:c r="P337" s="92" t="n">
        <x:f>IFERROR(VLOOKUP(L337,'Reference Data'!$A$5:$F$40,5,FALSE),0)</x:f>
        <x:v>39</x:v>
      </x:c>
      <x:c r="Q337" s="92" t="n">
        <x:f>IFERROR(VLOOKUP(L337,'Reference Data'!$A$5:$F$40,6,FALSE),0)</x:f>
        <x:v>18</x:v>
      </x:c>
      <x:c r="R337" s="84" t="n">
        <x:f>'Raw Sales'!J337</x:f>
        <x:v>1</x:v>
      </x:c>
      <x:c r="S337" s="87" t="n">
        <x:f>'Raw Sales'!K337</x:f>
        <x:v>0</x:v>
      </x:c>
      <x:c r="T337" s="93" t="n">
        <x:f>P337*R337</x:f>
        <x:v>39</x:v>
      </x:c>
      <x:c r="U337" s="93" t="n">
        <x:f>T337*S337</x:f>
        <x:v>0</x:v>
      </x:c>
      <x:c r="V337" s="93" t="str">
        <x:f>PROPER(TRIM('Raw Sales'!L337))</x:f>
        <x:v>Completed</x:v>
      </x:c>
      <x:c r="W337" s="93" t="n">
        <x:f>IF(V337="Returned",0,T337-U337)</x:f>
        <x:v>39</x:v>
      </x:c>
      <x:c r="X337" s="93" t="n">
        <x:f>IF(V337="Returned",Q337*R337*10%,Q337*R337)</x:f>
        <x:v>18</x:v>
      </x:c>
      <x:c r="Y337" s="93" t="n">
        <x:f>W337-X337</x:f>
        <x:v>21</x:v>
      </x:c>
      <x:c r="Z337" s="94" t="n">
        <x:f>IFERROR(Y337/W337,0)</x:f>
        <x:v>0.5384615384615384</x:v>
      </x:c>
      <x:c r="AA337" s="84" t="str">
        <x:f>PROPER(TRIM('Raw Sales'!M337))</x:f>
        <x:v>Mobile Wallet</x:v>
      </x:c>
      <x:c r="AB337" s="84" t="str">
        <x:f>PROPER(TRIM('Raw Sales'!N337))</x:f>
        <x:v>Ethan Cole</x:v>
      </x:c>
      <x:c r="AC337" s="85" t="n">
        <x:f>'Raw Sales'!O337</x:f>
        <x:v>45423</x:v>
      </x:c>
      <x:c r="AD337" s="84" t="n">
        <x:f>AC337-B337</x:f>
        <x:v>0</x:v>
      </x:c>
      <x:c r="AE337" s="84" t="str">
        <x:f>IF(COUNTIF($A$5:A337,A337)&gt;1,"Duplicate","Keep")</x:f>
        <x:v>Keep</x:v>
      </x:c>
      <x:c r="AF337" s="84" t="str">
        <x:f>IF(OR(R337&lt;=0,AC337&lt;B337,H337="Unknown",M337="Unknown Product"),"Review","Valid")</x:f>
        <x:v>Valid</x:v>
      </x:c>
      <x:c r="AG337" s="84" t="n">
        <x:f>IF(AND(AE337="Keep",AF337="Valid"),1,0)</x:f>
        <x:v>1</x:v>
      </x:c>
      <x:c r="AH337" s="84" t="n">
        <x:f>IF(AND(AG337=1,OR('Dashboard'!$B$4="All",I337='Dashboard'!$B$4),OR('Dashboard'!$E$4="All",N337='Dashboard'!$E$4),OR('Dashboard'!$H$4="All",K337='Dashboard'!$H$4),OR('Dashboard'!$K$4="All",C337='Dashboard'!$K$4)),1,0)</x:f>
        <x:v>1</x:v>
      </x:c>
      <x:c r="AI337" s="84" t="n">
        <x:f>IF(AND(AG337=1,OR('Dashboard'!$B$4="All",I337='Dashboard'!$B$4),OR('Dashboard'!$E$4="All",N337='Dashboard'!$E$4),OR('Dashboard'!$H$4="All",K337='Dashboard'!$H$4)),1,0)</x:f>
        <x:v>1</x:v>
      </x:c>
    </x:row>
    <x:row r="338">
      <x:c r="A338" s="84" t="str">
        <x:f>'Raw Sales'!A338</x:f>
        <x:v>ORD-2024-01883</x:v>
      </x:c>
      <x:c r="B338" s="85" t="n">
        <x:f>'Raw Sales'!B338</x:f>
        <x:v>45424</x:v>
      </x:c>
      <x:c r="C338" s="84" t="n">
        <x:f>YEAR(B338)</x:f>
        <x:v>2024</x:v>
      </x:c>
      <x:c r="D338" s="91" t="n">
        <x:f>DATE(YEAR(B338),MONTH(B338),1)</x:f>
        <x:v>45413</x:v>
      </x:c>
      <x:c r="E338" s="84" t="str">
        <x:f>TEXT(B338,"mmm")</x:f>
        <x:v>May</x:v>
      </x:c>
      <x:c r="F338" s="84" t="str">
        <x:f>'Raw Sales'!C338</x:f>
        <x:v>CUST-0574</x:v>
      </x:c>
      <x:c r="G338" s="84" t="str">
        <x:f>PROPER(TRIM('Raw Sales'!D338))</x:f>
        <x:v>Grace Quinn</x:v>
      </x:c>
      <x:c r="H338" s="84" t="str">
        <x:f>IF(TRIM('Raw Sales'!E338)="","Unknown",PROPER(TRIM('Raw Sales'!E338)))</x:f>
        <x:v>Corporate</x:v>
      </x:c>
      <x:c r="I338" s="84" t="str">
        <x:f>PROPER(TRIM('Raw Sales'!F338))</x:f>
        <x:v>Northeast</x:v>
      </x:c>
      <x:c r="J338" s="84" t="str">
        <x:f>PROPER(TRIM('Raw Sales'!G338))</x:f>
        <x:v>New York</x:v>
      </x:c>
      <x:c r="K338" s="84" t="str">
        <x:f>PROPER(TRIM('Raw Sales'!H338))</x:f>
        <x:v>Marketplace</x:v>
      </x:c>
      <x:c r="L338" s="84" t="str">
        <x:f>'Raw Sales'!I338</x:f>
        <x:v>HOME-004</x:v>
      </x:c>
      <x:c r="M338" s="84" t="str">
        <x:f>IFERROR(VLOOKUP(L338,'Reference Data'!$A$5:$F$40,2,FALSE),"Unknown Product")</x:f>
        <x:v>Coffee Maker</x:v>
      </x:c>
      <x:c r="N338" s="84" t="str">
        <x:f>IFERROR(VLOOKUP(L338,'Reference Data'!$A$5:$F$40,3,FALSE),"Unknown")</x:f>
        <x:v>Home &amp; Kitchen</x:v>
      </x:c>
      <x:c r="O338" s="84" t="str">
        <x:f>IFERROR(VLOOKUP(L338,'Reference Data'!$A$5:$F$40,4,FALSE),"Unknown")</x:f>
        <x:v>Small Appliances</x:v>
      </x:c>
      <x:c r="P338" s="92" t="n">
        <x:f>IFERROR(VLOOKUP(L338,'Reference Data'!$A$5:$F$40,5,FALSE),0)</x:f>
        <x:v>99</x:v>
      </x:c>
      <x:c r="Q338" s="92" t="n">
        <x:f>IFERROR(VLOOKUP(L338,'Reference Data'!$A$5:$F$40,6,FALSE),0)</x:f>
        <x:v>51</x:v>
      </x:c>
      <x:c r="R338" s="84" t="n">
        <x:f>'Raw Sales'!J338</x:f>
        <x:v>5</x:v>
      </x:c>
      <x:c r="S338" s="87" t="n">
        <x:f>'Raw Sales'!K338</x:f>
        <x:v>0</x:v>
      </x:c>
      <x:c r="T338" s="93" t="n">
        <x:f>P338*R338</x:f>
        <x:v>495</x:v>
      </x:c>
      <x:c r="U338" s="93" t="n">
        <x:f>T338*S338</x:f>
        <x:v>0</x:v>
      </x:c>
      <x:c r="V338" s="93" t="str">
        <x:f>PROPER(TRIM('Raw Sales'!L338))</x:f>
        <x:v>Completed</x:v>
      </x:c>
      <x:c r="W338" s="93" t="n">
        <x:f>IF(V338="Returned",0,T338-U338)</x:f>
        <x:v>495</x:v>
      </x:c>
      <x:c r="X338" s="93" t="n">
        <x:f>IF(V338="Returned",Q338*R338*10%,Q338*R338)</x:f>
        <x:v>255</x:v>
      </x:c>
      <x:c r="Y338" s="93" t="n">
        <x:f>W338-X338</x:f>
        <x:v>240</x:v>
      </x:c>
      <x:c r="Z338" s="94" t="n">
        <x:f>IFERROR(Y338/W338,0)</x:f>
        <x:v>0.48484848484848486</x:v>
      </x:c>
      <x:c r="AA338" s="84" t="str">
        <x:f>PROPER(TRIM('Raw Sales'!M338))</x:f>
        <x:v>Credit Card</x:v>
      </x:c>
      <x:c r="AB338" s="84" t="str">
        <x:f>PROPER(TRIM('Raw Sales'!N338))</x:f>
        <x:v>Sofia Bennett</x:v>
      </x:c>
      <x:c r="AC338" s="85" t="n">
        <x:f>'Raw Sales'!O338</x:f>
        <x:v>45430</x:v>
      </x:c>
      <x:c r="AD338" s="84" t="n">
        <x:f>AC338-B338</x:f>
        <x:v>6</x:v>
      </x:c>
      <x:c r="AE338" s="84" t="str">
        <x:f>IF(COUNTIF($A$5:A338,A338)&gt;1,"Duplicate","Keep")</x:f>
        <x:v>Keep</x:v>
      </x:c>
      <x:c r="AF338" s="84" t="str">
        <x:f>IF(OR(R338&lt;=0,AC338&lt;B338,H338="Unknown",M338="Unknown Product"),"Review","Valid")</x:f>
        <x:v>Valid</x:v>
      </x:c>
      <x:c r="AG338" s="84" t="n">
        <x:f>IF(AND(AE338="Keep",AF338="Valid"),1,0)</x:f>
        <x:v>1</x:v>
      </x:c>
      <x:c r="AH338" s="84" t="n">
        <x:f>IF(AND(AG338=1,OR('Dashboard'!$B$4="All",I338='Dashboard'!$B$4),OR('Dashboard'!$E$4="All",N338='Dashboard'!$E$4),OR('Dashboard'!$H$4="All",K338='Dashboard'!$H$4),OR('Dashboard'!$K$4="All",C338='Dashboard'!$K$4)),1,0)</x:f>
        <x:v>1</x:v>
      </x:c>
      <x:c r="AI338" s="84" t="n">
        <x:f>IF(AND(AG338=1,OR('Dashboard'!$B$4="All",I338='Dashboard'!$B$4),OR('Dashboard'!$E$4="All",N338='Dashboard'!$E$4),OR('Dashboard'!$H$4="All",K338='Dashboard'!$H$4)),1,0)</x:f>
        <x:v>1</x:v>
      </x:c>
    </x:row>
    <x:row r="339">
      <x:c r="A339" s="84" t="str">
        <x:f>'Raw Sales'!A339</x:f>
        <x:v>ORD-2024-02077</x:v>
      </x:c>
      <x:c r="B339" s="85" t="n">
        <x:f>'Raw Sales'!B339</x:f>
        <x:v>45424</x:v>
      </x:c>
      <x:c r="C339" s="84" t="n">
        <x:f>YEAR(B339)</x:f>
        <x:v>2024</x:v>
      </x:c>
      <x:c r="D339" s="91" t="n">
        <x:f>DATE(YEAR(B339),MONTH(B339),1)</x:f>
        <x:v>45413</x:v>
      </x:c>
      <x:c r="E339" s="84" t="str">
        <x:f>TEXT(B339,"mmm")</x:f>
        <x:v>May</x:v>
      </x:c>
      <x:c r="F339" s="84" t="str">
        <x:f>'Raw Sales'!C339</x:f>
        <x:v>CUST-0586</x:v>
      </x:c>
      <x:c r="G339" s="84" t="str">
        <x:f>PROPER(TRIM('Raw Sales'!D339))</x:f>
        <x:v>Isaac Adams</x:v>
      </x:c>
      <x:c r="H339" s="84" t="str">
        <x:f>IF(TRIM('Raw Sales'!E339)="","Unknown",PROPER(TRIM('Raw Sales'!E339)))</x:f>
        <x:v>Small Business</x:v>
      </x:c>
      <x:c r="I339" s="84" t="str">
        <x:f>PROPER(TRIM('Raw Sales'!F339))</x:f>
        <x:v>Midwest</x:v>
      </x:c>
      <x:c r="J339" s="84" t="str">
        <x:f>PROPER(TRIM('Raw Sales'!G339))</x:f>
        <x:v>Detroit</x:v>
      </x:c>
      <x:c r="K339" s="84" t="str">
        <x:f>PROPER(TRIM('Raw Sales'!H339))</x:f>
        <x:v>Online</x:v>
      </x:c>
      <x:c r="L339" s="84" t="str">
        <x:f>'Raw Sales'!I339</x:f>
        <x:v>HOME-001</x:v>
      </x:c>
      <x:c r="M339" s="84" t="str">
        <x:f>IFERROR(VLOOKUP(L339,'Reference Data'!$A$5:$F$40,2,FALSE),"Unknown Product")</x:f>
        <x:v>Air Fryer</x:v>
      </x:c>
      <x:c r="N339" s="84" t="str">
        <x:f>IFERROR(VLOOKUP(L339,'Reference Data'!$A$5:$F$40,3,FALSE),"Unknown")</x:f>
        <x:v>Home &amp; Kitchen</x:v>
      </x:c>
      <x:c r="O339" s="84" t="str">
        <x:f>IFERROR(VLOOKUP(L339,'Reference Data'!$A$5:$F$40,4,FALSE),"Unknown")</x:f>
        <x:v>Small Appliances</x:v>
      </x:c>
      <x:c r="P339" s="92" t="n">
        <x:f>IFERROR(VLOOKUP(L339,'Reference Data'!$A$5:$F$40,5,FALSE),0)</x:f>
        <x:v>119</x:v>
      </x:c>
      <x:c r="Q339" s="92" t="n">
        <x:f>IFERROR(VLOOKUP(L339,'Reference Data'!$A$5:$F$40,6,FALSE),0)</x:f>
        <x:v>68</x:v>
      </x:c>
      <x:c r="R339" s="84" t="n">
        <x:f>'Raw Sales'!J339</x:f>
        <x:v>1</x:v>
      </x:c>
      <x:c r="S339" s="87" t="n">
        <x:f>'Raw Sales'!K339</x:f>
        <x:v>0.05</x:v>
      </x:c>
      <x:c r="T339" s="93" t="n">
        <x:f>P339*R339</x:f>
        <x:v>119</x:v>
      </x:c>
      <x:c r="U339" s="93" t="n">
        <x:f>T339*S339</x:f>
        <x:v>5.95</x:v>
      </x:c>
      <x:c r="V339" s="93" t="str">
        <x:f>PROPER(TRIM('Raw Sales'!L339))</x:f>
        <x:v>Completed</x:v>
      </x:c>
      <x:c r="W339" s="93" t="n">
        <x:f>IF(V339="Returned",0,T339-U339)</x:f>
        <x:v>113.05</x:v>
      </x:c>
      <x:c r="X339" s="93" t="n">
        <x:f>IF(V339="Returned",Q339*R339*10%,Q339*R339)</x:f>
        <x:v>68</x:v>
      </x:c>
      <x:c r="Y339" s="93" t="n">
        <x:f>W339-X339</x:f>
        <x:v>45.05</x:v>
      </x:c>
      <x:c r="Z339" s="94" t="n">
        <x:f>IFERROR(Y339/W339,0)</x:f>
        <x:v>0.39849624060150374</x:v>
      </x:c>
      <x:c r="AA339" s="84" t="str">
        <x:f>PROPER(TRIM('Raw Sales'!M339))</x:f>
        <x:v>Paypal</x:v>
      </x:c>
      <x:c r="AB339" s="84" t="str">
        <x:f>PROPER(TRIM('Raw Sales'!N339))</x:f>
        <x:v>Zoe Turner</x:v>
      </x:c>
      <x:c r="AC339" s="85" t="n">
        <x:f>'Raw Sales'!O339</x:f>
        <x:v>45429</x:v>
      </x:c>
      <x:c r="AD339" s="84" t="n">
        <x:f>AC339-B339</x:f>
        <x:v>5</x:v>
      </x:c>
      <x:c r="AE339" s="84" t="str">
        <x:f>IF(COUNTIF($A$5:A339,A339)&gt;1,"Duplicate","Keep")</x:f>
        <x:v>Keep</x:v>
      </x:c>
      <x:c r="AF339" s="84" t="str">
        <x:f>IF(OR(R339&lt;=0,AC339&lt;B339,H339="Unknown",M339="Unknown Product"),"Review","Valid")</x:f>
        <x:v>Valid</x:v>
      </x:c>
      <x:c r="AG339" s="84" t="n">
        <x:f>IF(AND(AE339="Keep",AF339="Valid"),1,0)</x:f>
        <x:v>1</x:v>
      </x:c>
      <x:c r="AH339" s="84" t="n">
        <x:f>IF(AND(AG339=1,OR('Dashboard'!$B$4="All",I339='Dashboard'!$B$4),OR('Dashboard'!$E$4="All",N339='Dashboard'!$E$4),OR('Dashboard'!$H$4="All",K339='Dashboard'!$H$4),OR('Dashboard'!$K$4="All",C339='Dashboard'!$K$4)),1,0)</x:f>
        <x:v>1</x:v>
      </x:c>
      <x:c r="AI339" s="84" t="n">
        <x:f>IF(AND(AG339=1,OR('Dashboard'!$B$4="All",I339='Dashboard'!$B$4),OR('Dashboard'!$E$4="All",N339='Dashboard'!$E$4),OR('Dashboard'!$H$4="All",K339='Dashboard'!$H$4)),1,0)</x:f>
        <x:v>1</x:v>
      </x:c>
    </x:row>
    <x:row r="340">
      <x:c r="A340" s="84" t="str">
        <x:f>'Raw Sales'!A340</x:f>
        <x:v>ORD-2024-01355</x:v>
      </x:c>
      <x:c r="B340" s="85" t="n">
        <x:f>'Raw Sales'!B340</x:f>
        <x:v>45425</x:v>
      </x:c>
      <x:c r="C340" s="84" t="n">
        <x:f>YEAR(B340)</x:f>
        <x:v>2024</x:v>
      </x:c>
      <x:c r="D340" s="91" t="n">
        <x:f>DATE(YEAR(B340),MONTH(B340),1)</x:f>
        <x:v>45413</x:v>
      </x:c>
      <x:c r="E340" s="84" t="str">
        <x:f>TEXT(B340,"mmm")</x:f>
        <x:v>May</x:v>
      </x:c>
      <x:c r="F340" s="84" t="str">
        <x:f>'Raw Sales'!C340</x:f>
        <x:v>CUST-0077</x:v>
      </x:c>
      <x:c r="G340" s="84" t="str">
        <x:f>PROPER(TRIM('Raw Sales'!D340))</x:f>
        <x:v>Layla Foster</x:v>
      </x:c>
      <x:c r="H340" s="84" t="str">
        <x:f>IF(TRIM('Raw Sales'!E340)="","Unknown",PROPER(TRIM('Raw Sales'!E340)))</x:f>
        <x:v>Corporate</x:v>
      </x:c>
      <x:c r="I340" s="84" t="str">
        <x:f>PROPER(TRIM('Raw Sales'!F340))</x:f>
        <x:v>Northeast</x:v>
      </x:c>
      <x:c r="J340" s="84" t="str">
        <x:f>PROPER(TRIM('Raw Sales'!G340))</x:f>
        <x:v>Philadelphia</x:v>
      </x:c>
      <x:c r="K340" s="84" t="str">
        <x:f>PROPER(TRIM('Raw Sales'!H340))</x:f>
        <x:v>Retail Store</x:v>
      </x:c>
      <x:c r="L340" s="84" t="str">
        <x:f>'Raw Sales'!I340</x:f>
        <x:v>ELEC-001</x:v>
      </x:c>
      <x:c r="M340" s="84" t="str">
        <x:f>IFERROR(VLOOKUP(L340,'Reference Data'!$A$5:$F$40,2,FALSE),"Unknown Product")</x:f>
        <x:v>Wireless Earbuds</x:v>
      </x:c>
      <x:c r="N340" s="84" t="str">
        <x:f>IFERROR(VLOOKUP(L340,'Reference Data'!$A$5:$F$40,3,FALSE),"Unknown")</x:f>
        <x:v>Electronics</x:v>
      </x:c>
      <x:c r="O340" s="84" t="str">
        <x:f>IFERROR(VLOOKUP(L340,'Reference Data'!$A$5:$F$40,4,FALSE),"Unknown")</x:f>
        <x:v>Audio</x:v>
      </x:c>
      <x:c r="P340" s="92" t="n">
        <x:f>IFERROR(VLOOKUP(L340,'Reference Data'!$A$5:$F$40,5,FALSE),0)</x:f>
        <x:v>69</x:v>
      </x:c>
      <x:c r="Q340" s="92" t="n">
        <x:f>IFERROR(VLOOKUP(L340,'Reference Data'!$A$5:$F$40,6,FALSE),0)</x:f>
        <x:v>36</x:v>
      </x:c>
      <x:c r="R340" s="84" t="n">
        <x:f>'Raw Sales'!J340</x:f>
        <x:v>2</x:v>
      </x:c>
      <x:c r="S340" s="87" t="n">
        <x:f>'Raw Sales'!K340</x:f>
        <x:v>0.05</x:v>
      </x:c>
      <x:c r="T340" s="93" t="n">
        <x:f>P340*R340</x:f>
        <x:v>138</x:v>
      </x:c>
      <x:c r="U340" s="93" t="n">
        <x:f>T340*S340</x:f>
        <x:v>6.9</x:v>
      </x:c>
      <x:c r="V340" s="93" t="str">
        <x:f>PROPER(TRIM('Raw Sales'!L340))</x:f>
        <x:v>Completed</x:v>
      </x:c>
      <x:c r="W340" s="93" t="n">
        <x:f>IF(V340="Returned",0,T340-U340)</x:f>
        <x:v>131.1</x:v>
      </x:c>
      <x:c r="X340" s="93" t="n">
        <x:f>IF(V340="Returned",Q340*R340*10%,Q340*R340)</x:f>
        <x:v>72</x:v>
      </x:c>
      <x:c r="Y340" s="93" t="n">
        <x:f>W340-X340</x:f>
        <x:v>59.099999999999994</x:v>
      </x:c>
      <x:c r="Z340" s="94" t="n">
        <x:f>IFERROR(Y340/W340,0)</x:f>
        <x:v>0.45080091533180777</x:v>
      </x:c>
      <x:c r="AA340" s="84" t="str">
        <x:f>PROPER(TRIM('Raw Sales'!M340))</x:f>
        <x:v>Credit Card</x:v>
      </x:c>
      <x:c r="AB340" s="84" t="str">
        <x:f>PROPER(TRIM('Raw Sales'!N340))</x:f>
        <x:v>Ethan Cole</x:v>
      </x:c>
      <x:c r="AC340" s="85" t="n">
        <x:f>'Raw Sales'!O340</x:f>
        <x:v>45425</x:v>
      </x:c>
      <x:c r="AD340" s="84" t="n">
        <x:f>AC340-B340</x:f>
        <x:v>0</x:v>
      </x:c>
      <x:c r="AE340" s="84" t="str">
        <x:f>IF(COUNTIF($A$5:A340,A340)&gt;1,"Duplicate","Keep")</x:f>
        <x:v>Keep</x:v>
      </x:c>
      <x:c r="AF340" s="84" t="str">
        <x:f>IF(OR(R340&lt;=0,AC340&lt;B340,H340="Unknown",M340="Unknown Product"),"Review","Valid")</x:f>
        <x:v>Valid</x:v>
      </x:c>
      <x:c r="AG340" s="84" t="n">
        <x:f>IF(AND(AE340="Keep",AF340="Valid"),1,0)</x:f>
        <x:v>1</x:v>
      </x:c>
      <x:c r="AH340" s="84" t="n">
        <x:f>IF(AND(AG340=1,OR('Dashboard'!$B$4="All",I340='Dashboard'!$B$4),OR('Dashboard'!$E$4="All",N340='Dashboard'!$E$4),OR('Dashboard'!$H$4="All",K340='Dashboard'!$H$4),OR('Dashboard'!$K$4="All",C340='Dashboard'!$K$4)),1,0)</x:f>
        <x:v>1</x:v>
      </x:c>
      <x:c r="AI340" s="84" t="n">
        <x:f>IF(AND(AG340=1,OR('Dashboard'!$B$4="All",I340='Dashboard'!$B$4),OR('Dashboard'!$E$4="All",N340='Dashboard'!$E$4),OR('Dashboard'!$H$4="All",K340='Dashboard'!$H$4)),1,0)</x:f>
        <x:v>1</x:v>
      </x:c>
    </x:row>
    <x:row r="341">
      <x:c r="A341" s="84" t="str">
        <x:f>'Raw Sales'!A341</x:f>
        <x:v>ORD-2024-01590</x:v>
      </x:c>
      <x:c r="B341" s="85" t="n">
        <x:f>'Raw Sales'!B341</x:f>
        <x:v>45425</x:v>
      </x:c>
      <x:c r="C341" s="84" t="n">
        <x:f>YEAR(B341)</x:f>
        <x:v>2024</x:v>
      </x:c>
      <x:c r="D341" s="91" t="n">
        <x:f>DATE(YEAR(B341),MONTH(B341),1)</x:f>
        <x:v>45413</x:v>
      </x:c>
      <x:c r="E341" s="84" t="str">
        <x:f>TEXT(B341,"mmm")</x:f>
        <x:v>May</x:v>
      </x:c>
      <x:c r="F341" s="84" t="str">
        <x:f>'Raw Sales'!C341</x:f>
        <x:v>CUST-0582</x:v>
      </x:c>
      <x:c r="G341" s="84" t="str">
        <x:f>PROPER(TRIM('Raw Sales'!D341))</x:f>
        <x:v>Maya Lewis</x:v>
      </x:c>
      <x:c r="H341" s="84" t="str">
        <x:f>IF(TRIM('Raw Sales'!E341)="","Unknown",PROPER(TRIM('Raw Sales'!E341)))</x:f>
        <x:v>Consumer</x:v>
      </x:c>
      <x:c r="I341" s="84" t="str">
        <x:f>PROPER(TRIM('Raw Sales'!F341))</x:f>
        <x:v>Midwest</x:v>
      </x:c>
      <x:c r="J341" s="84" t="str">
        <x:f>PROPER(TRIM('Raw Sales'!G341))</x:f>
        <x:v>Columbus</x:v>
      </x:c>
      <x:c r="K341" s="84" t="str">
        <x:f>PROPER(TRIM('Raw Sales'!H341))</x:f>
        <x:v>Online</x:v>
      </x:c>
      <x:c r="L341" s="84" t="str">
        <x:f>'Raw Sales'!I341</x:f>
        <x:v>ELEC-005</x:v>
      </x:c>
      <x:c r="M341" s="84" t="str">
        <x:f>IFERROR(VLOOKUP(L341,'Reference Data'!$A$5:$F$40,2,FALSE),"Unknown Product")</x:f>
        <x:v>HD Webcam</x:v>
      </x:c>
      <x:c r="N341" s="84" t="str">
        <x:f>IFERROR(VLOOKUP(L341,'Reference Data'!$A$5:$F$40,3,FALSE),"Unknown")</x:f>
        <x:v>Electronics</x:v>
      </x:c>
      <x:c r="O341" s="84" t="str">
        <x:f>IFERROR(VLOOKUP(L341,'Reference Data'!$A$5:$F$40,4,FALSE),"Unknown")</x:f>
        <x:v>Computer Accessories</x:v>
      </x:c>
      <x:c r="P341" s="92" t="n">
        <x:f>IFERROR(VLOOKUP(L341,'Reference Data'!$A$5:$F$40,5,FALSE),0)</x:f>
        <x:v>79</x:v>
      </x:c>
      <x:c r="Q341" s="92" t="n">
        <x:f>IFERROR(VLOOKUP(L341,'Reference Data'!$A$5:$F$40,6,FALSE),0)</x:f>
        <x:v>37</x:v>
      </x:c>
      <x:c r="R341" s="84" t="n">
        <x:f>'Raw Sales'!J341</x:f>
        <x:v>1</x:v>
      </x:c>
      <x:c r="S341" s="87" t="n">
        <x:f>'Raw Sales'!K341</x:f>
        <x:v>0</x:v>
      </x:c>
      <x:c r="T341" s="93" t="n">
        <x:f>P341*R341</x:f>
        <x:v>79</x:v>
      </x:c>
      <x:c r="U341" s="93" t="n">
        <x:f>T341*S341</x:f>
        <x:v>0</x:v>
      </x:c>
      <x:c r="V341" s="93" t="str">
        <x:f>PROPER(TRIM('Raw Sales'!L341))</x:f>
        <x:v>Completed</x:v>
      </x:c>
      <x:c r="W341" s="93" t="n">
        <x:f>IF(V341="Returned",0,T341-U341)</x:f>
        <x:v>79</x:v>
      </x:c>
      <x:c r="X341" s="93" t="n">
        <x:f>IF(V341="Returned",Q341*R341*10%,Q341*R341)</x:f>
        <x:v>37</x:v>
      </x:c>
      <x:c r="Y341" s="93" t="n">
        <x:f>W341-X341</x:f>
        <x:v>42</x:v>
      </x:c>
      <x:c r="Z341" s="94" t="n">
        <x:f>IFERROR(Y341/W341,0)</x:f>
        <x:v>0.5316455696202531</x:v>
      </x:c>
      <x:c r="AA341" s="84" t="str">
        <x:f>PROPER(TRIM('Raw Sales'!M341))</x:f>
        <x:v>Credit Card</x:v>
      </x:c>
      <x:c r="AB341" s="84" t="str">
        <x:f>PROPER(TRIM('Raw Sales'!N341))</x:f>
        <x:v>Emma Hayes</x:v>
      </x:c>
      <x:c r="AC341" s="85" t="n">
        <x:f>'Raw Sales'!O341</x:f>
        <x:v>45429</x:v>
      </x:c>
      <x:c r="AD341" s="84" t="n">
        <x:f>AC341-B341</x:f>
        <x:v>4</x:v>
      </x:c>
      <x:c r="AE341" s="84" t="str">
        <x:f>IF(COUNTIF($A$5:A341,A341)&gt;1,"Duplicate","Keep")</x:f>
        <x:v>Keep</x:v>
      </x:c>
      <x:c r="AF341" s="84" t="str">
        <x:f>IF(OR(R341&lt;=0,AC341&lt;B341,H341="Unknown",M341="Unknown Product"),"Review","Valid")</x:f>
        <x:v>Valid</x:v>
      </x:c>
      <x:c r="AG341" s="84" t="n">
        <x:f>IF(AND(AE341="Keep",AF341="Valid"),1,0)</x:f>
        <x:v>1</x:v>
      </x:c>
      <x:c r="AH341" s="84" t="n">
        <x:f>IF(AND(AG341=1,OR('Dashboard'!$B$4="All",I341='Dashboard'!$B$4),OR('Dashboard'!$E$4="All",N341='Dashboard'!$E$4),OR('Dashboard'!$H$4="All",K341='Dashboard'!$H$4),OR('Dashboard'!$K$4="All",C341='Dashboard'!$K$4)),1,0)</x:f>
        <x:v>1</x:v>
      </x:c>
      <x:c r="AI341" s="84" t="n">
        <x:f>IF(AND(AG341=1,OR('Dashboard'!$B$4="All",I341='Dashboard'!$B$4),OR('Dashboard'!$E$4="All",N341='Dashboard'!$E$4),OR('Dashboard'!$H$4="All",K341='Dashboard'!$H$4)),1,0)</x:f>
        <x:v>1</x:v>
      </x:c>
    </x:row>
    <x:row r="342">
      <x:c r="A342" s="84" t="str">
        <x:f>'Raw Sales'!A342</x:f>
        <x:v>ORD-2024-00841</x:v>
      </x:c>
      <x:c r="B342" s="85" t="n">
        <x:f>'Raw Sales'!B342</x:f>
        <x:v>45426</x:v>
      </x:c>
      <x:c r="C342" s="84" t="n">
        <x:f>YEAR(B342)</x:f>
        <x:v>2024</x:v>
      </x:c>
      <x:c r="D342" s="91" t="n">
        <x:f>DATE(YEAR(B342),MONTH(B342),1)</x:f>
        <x:v>45413</x:v>
      </x:c>
      <x:c r="E342" s="84" t="str">
        <x:f>TEXT(B342,"mmm")</x:f>
        <x:v>May</x:v>
      </x:c>
      <x:c r="F342" s="84" t="str">
        <x:f>'Raw Sales'!C342</x:f>
        <x:v>CUST-0423</x:v>
      </x:c>
      <x:c r="G342" s="84" t="str">
        <x:f>PROPER(TRIM('Raw Sales'!D342))</x:f>
        <x:v>Marcus Smith</x:v>
      </x:c>
      <x:c r="H342" s="84" t="str">
        <x:f>IF(TRIM('Raw Sales'!E342)="","Unknown",PROPER(TRIM('Raw Sales'!E342)))</x:f>
        <x:v>Small Business</x:v>
      </x:c>
      <x:c r="I342" s="84" t="str">
        <x:f>PROPER(TRIM('Raw Sales'!F342))</x:f>
        <x:v>Northeast</x:v>
      </x:c>
      <x:c r="J342" s="84" t="str">
        <x:f>PROPER(TRIM('Raw Sales'!G342))</x:f>
        <x:v>Philadelphia</x:v>
      </x:c>
      <x:c r="K342" s="84" t="str">
        <x:f>PROPER(TRIM('Raw Sales'!H342))</x:f>
        <x:v>Retail Store</x:v>
      </x:c>
      <x:c r="L342" s="84" t="str">
        <x:f>'Raw Sales'!I342</x:f>
        <x:v>OFFC-004</x:v>
      </x:c>
      <x:c r="M342" s="84" t="str">
        <x:f>IFERROR(VLOOKUP(L342,'Reference Data'!$A$5:$F$40,2,FALSE),"Unknown Product")</x:f>
        <x:v>Premium Notebook Pack</x:v>
      </x:c>
      <x:c r="N342" s="84" t="str">
        <x:f>IFERROR(VLOOKUP(L342,'Reference Data'!$A$5:$F$40,3,FALSE),"Unknown")</x:f>
        <x:v>Office</x:v>
      </x:c>
      <x:c r="O342" s="84" t="str">
        <x:f>IFERROR(VLOOKUP(L342,'Reference Data'!$A$5:$F$40,4,FALSE),"Unknown")</x:f>
        <x:v>Stationery</x:v>
      </x:c>
      <x:c r="P342" s="92" t="n">
        <x:f>IFERROR(VLOOKUP(L342,'Reference Data'!$A$5:$F$40,5,FALSE),0)</x:f>
        <x:v>18</x:v>
      </x:c>
      <x:c r="Q342" s="92" t="n">
        <x:f>IFERROR(VLOOKUP(L342,'Reference Data'!$A$5:$F$40,6,FALSE),0)</x:f>
        <x:v>6.5</x:v>
      </x:c>
      <x:c r="R342" s="84" t="n">
        <x:f>'Raw Sales'!J342</x:f>
        <x:v>3</x:v>
      </x:c>
      <x:c r="S342" s="87" t="n">
        <x:f>'Raw Sales'!K342</x:f>
        <x:v>0.1</x:v>
      </x:c>
      <x:c r="T342" s="93" t="n">
        <x:f>P342*R342</x:f>
        <x:v>54</x:v>
      </x:c>
      <x:c r="U342" s="93" t="n">
        <x:f>T342*S342</x:f>
        <x:v>5.4</x:v>
      </x:c>
      <x:c r="V342" s="93" t="str">
        <x:f>PROPER(TRIM('Raw Sales'!L342))</x:f>
        <x:v>Completed</x:v>
      </x:c>
      <x:c r="W342" s="93" t="n">
        <x:f>IF(V342="Returned",0,T342-U342)</x:f>
        <x:v>48.6</x:v>
      </x:c>
      <x:c r="X342" s="93" t="n">
        <x:f>IF(V342="Returned",Q342*R342*10%,Q342*R342)</x:f>
        <x:v>19.5</x:v>
      </x:c>
      <x:c r="Y342" s="93" t="n">
        <x:f>W342-X342</x:f>
        <x:v>29.1</x:v>
      </x:c>
      <x:c r="Z342" s="94" t="n">
        <x:f>IFERROR(Y342/W342,0)</x:f>
        <x:v>0.5987654320987654</x:v>
      </x:c>
      <x:c r="AA342" s="84" t="str">
        <x:f>PROPER(TRIM('Raw Sales'!M342))</x:f>
        <x:v>Cash</x:v>
      </x:c>
      <x:c r="AB342" s="84" t="str">
        <x:f>PROPER(TRIM('Raw Sales'!N342))</x:f>
        <x:v>Ethan Cole</x:v>
      </x:c>
      <x:c r="AC342" s="85" t="n">
        <x:f>'Raw Sales'!O342</x:f>
        <x:v>45426</x:v>
      </x:c>
      <x:c r="AD342" s="84" t="n">
        <x:f>AC342-B342</x:f>
        <x:v>0</x:v>
      </x:c>
      <x:c r="AE342" s="84" t="str">
        <x:f>IF(COUNTIF($A$5:A342,A342)&gt;1,"Duplicate","Keep")</x:f>
        <x:v>Keep</x:v>
      </x:c>
      <x:c r="AF342" s="84" t="str">
        <x:f>IF(OR(R342&lt;=0,AC342&lt;B342,H342="Unknown",M342="Unknown Product"),"Review","Valid")</x:f>
        <x:v>Valid</x:v>
      </x:c>
      <x:c r="AG342" s="84" t="n">
        <x:f>IF(AND(AE342="Keep",AF342="Valid"),1,0)</x:f>
        <x:v>1</x:v>
      </x:c>
      <x:c r="AH342" s="84" t="n">
        <x:f>IF(AND(AG342=1,OR('Dashboard'!$B$4="All",I342='Dashboard'!$B$4),OR('Dashboard'!$E$4="All",N342='Dashboard'!$E$4),OR('Dashboard'!$H$4="All",K342='Dashboard'!$H$4),OR('Dashboard'!$K$4="All",C342='Dashboard'!$K$4)),1,0)</x:f>
        <x:v>1</x:v>
      </x:c>
      <x:c r="AI342" s="84" t="n">
        <x:f>IF(AND(AG342=1,OR('Dashboard'!$B$4="All",I342='Dashboard'!$B$4),OR('Dashboard'!$E$4="All",N342='Dashboard'!$E$4),OR('Dashboard'!$H$4="All",K342='Dashboard'!$H$4)),1,0)</x:f>
        <x:v>1</x:v>
      </x:c>
    </x:row>
    <x:row r="343">
      <x:c r="A343" s="84" t="str">
        <x:f>'Raw Sales'!A343</x:f>
        <x:v>ORD-2024-02119</x:v>
      </x:c>
      <x:c r="B343" s="85" t="n">
        <x:f>'Raw Sales'!B343</x:f>
        <x:v>45426</x:v>
      </x:c>
      <x:c r="C343" s="84" t="n">
        <x:f>YEAR(B343)</x:f>
        <x:v>2024</x:v>
      </x:c>
      <x:c r="D343" s="91" t="n">
        <x:f>DATE(YEAR(B343),MONTH(B343),1)</x:f>
        <x:v>45413</x:v>
      </x:c>
      <x:c r="E343" s="84" t="str">
        <x:f>TEXT(B343,"mmm")</x:f>
        <x:v>May</x:v>
      </x:c>
      <x:c r="F343" s="84" t="str">
        <x:f>'Raw Sales'!C343</x:f>
        <x:v>CUST-0227</x:v>
      </x:c>
      <x:c r="G343" s="84" t="str">
        <x:f>PROPER(TRIM('Raw Sales'!D343))</x:f>
        <x:v>Maya Foster</x:v>
      </x:c>
      <x:c r="H343" s="84" t="str">
        <x:f>IF(TRIM('Raw Sales'!E343)="","Unknown",PROPER(TRIM('Raw Sales'!E343)))</x:f>
        <x:v>Consumer</x:v>
      </x:c>
      <x:c r="I343" s="84" t="str">
        <x:f>PROPER(TRIM('Raw Sales'!F343))</x:f>
        <x:v>West</x:v>
      </x:c>
      <x:c r="J343" s="84" t="str">
        <x:f>PROPER(TRIM('Raw Sales'!G343))</x:f>
        <x:v>Phoenix</x:v>
      </x:c>
      <x:c r="K343" s="84" t="str">
        <x:f>PROPER(TRIM('Raw Sales'!H343))</x:f>
        <x:v>Online</x:v>
      </x:c>
      <x:c r="L343" s="84" t="str">
        <x:f>'Raw Sales'!I343</x:f>
        <x:v>ACCS-001</x:v>
      </x:c>
      <x:c r="M343" s="84" t="str">
        <x:f>IFERROR(VLOOKUP(L343,'Reference Data'!$A$5:$F$40,2,FALSE),"Unknown Product")</x:f>
        <x:v>Canvas Tote Bag</x:v>
      </x:c>
      <x:c r="N343" s="84" t="str">
        <x:f>IFERROR(VLOOKUP(L343,'Reference Data'!$A$5:$F$40,3,FALSE),"Unknown")</x:f>
        <x:v>Accessories</x:v>
      </x:c>
      <x:c r="O343" s="84" t="str">
        <x:f>IFERROR(VLOOKUP(L343,'Reference Data'!$A$5:$F$40,4,FALSE),"Unknown")</x:f>
        <x:v>Bags</x:v>
      </x:c>
      <x:c r="P343" s="92" t="n">
        <x:f>IFERROR(VLOOKUP(L343,'Reference Data'!$A$5:$F$40,5,FALSE),0)</x:f>
        <x:v>39</x:v>
      </x:c>
      <x:c r="Q343" s="92" t="n">
        <x:f>IFERROR(VLOOKUP(L343,'Reference Data'!$A$5:$F$40,6,FALSE),0)</x:f>
        <x:v>14</x:v>
      </x:c>
      <x:c r="R343" s="84" t="n">
        <x:f>'Raw Sales'!J343</x:f>
        <x:v>3</x:v>
      </x:c>
      <x:c r="S343" s="87" t="n">
        <x:f>'Raw Sales'!K343</x:f>
        <x:v>0.05</x:v>
      </x:c>
      <x:c r="T343" s="93" t="n">
        <x:f>P343*R343</x:f>
        <x:v>117</x:v>
      </x:c>
      <x:c r="U343" s="93" t="n">
        <x:f>T343*S343</x:f>
        <x:v>5.8500000000000005</x:v>
      </x:c>
      <x:c r="V343" s="93" t="str">
        <x:f>PROPER(TRIM('Raw Sales'!L343))</x:f>
        <x:v>Completed</x:v>
      </x:c>
      <x:c r="W343" s="93" t="n">
        <x:f>IF(V343="Returned",0,T343-U343)</x:f>
        <x:v>111.15</x:v>
      </x:c>
      <x:c r="X343" s="93" t="n">
        <x:f>IF(V343="Returned",Q343*R343*10%,Q343*R343)</x:f>
        <x:v>42</x:v>
      </x:c>
      <x:c r="Y343" s="93" t="n">
        <x:f>W343-X343</x:f>
        <x:v>69.15</x:v>
      </x:c>
      <x:c r="Z343" s="94" t="n">
        <x:f>IFERROR(Y343/W343,0)</x:f>
        <x:v>0.6221322537112011</x:v>
      </x:c>
      <x:c r="AA343" s="84" t="str">
        <x:f>PROPER(TRIM('Raw Sales'!M343))</x:f>
        <x:v>Credit Card</x:v>
      </x:c>
      <x:c r="AB343" s="84" t="str">
        <x:f>PROPER(TRIM('Raw Sales'!N343))</x:f>
        <x:v>Nora Kim</x:v>
      </x:c>
      <x:c r="AC343" s="85" t="n">
        <x:f>'Raw Sales'!O343</x:f>
        <x:v>45429</x:v>
      </x:c>
      <x:c r="AD343" s="84" t="n">
        <x:f>AC343-B343</x:f>
        <x:v>3</x:v>
      </x:c>
      <x:c r="AE343" s="84" t="str">
        <x:f>IF(COUNTIF($A$5:A343,A343)&gt;1,"Duplicate","Keep")</x:f>
        <x:v>Keep</x:v>
      </x:c>
      <x:c r="AF343" s="84" t="str">
        <x:f>IF(OR(R343&lt;=0,AC343&lt;B343,H343="Unknown",M343="Unknown Product"),"Review","Valid")</x:f>
        <x:v>Valid</x:v>
      </x:c>
      <x:c r="AG343" s="84" t="n">
        <x:f>IF(AND(AE343="Keep",AF343="Valid"),1,0)</x:f>
        <x:v>1</x:v>
      </x:c>
      <x:c r="AH343" s="84" t="n">
        <x:f>IF(AND(AG343=1,OR('Dashboard'!$B$4="All",I343='Dashboard'!$B$4),OR('Dashboard'!$E$4="All",N343='Dashboard'!$E$4),OR('Dashboard'!$H$4="All",K343='Dashboard'!$H$4),OR('Dashboard'!$K$4="All",C343='Dashboard'!$K$4)),1,0)</x:f>
        <x:v>1</x:v>
      </x:c>
      <x:c r="AI343" s="84" t="n">
        <x:f>IF(AND(AG343=1,OR('Dashboard'!$B$4="All",I343='Dashboard'!$B$4),OR('Dashboard'!$E$4="All",N343='Dashboard'!$E$4),OR('Dashboard'!$H$4="All",K343='Dashboard'!$H$4)),1,0)</x:f>
        <x:v>1</x:v>
      </x:c>
    </x:row>
    <x:row r="344">
      <x:c r="A344" s="84" t="str">
        <x:f>'Raw Sales'!A344</x:f>
        <x:v>ORD-2024-00444</x:v>
      </x:c>
      <x:c r="B344" s="85" t="n">
        <x:f>'Raw Sales'!B344</x:f>
        <x:v>45427</x:v>
      </x:c>
      <x:c r="C344" s="84" t="n">
        <x:f>YEAR(B344)</x:f>
        <x:v>2024</x:v>
      </x:c>
      <x:c r="D344" s="91" t="n">
        <x:f>DATE(YEAR(B344),MONTH(B344),1)</x:f>
        <x:v>45413</x:v>
      </x:c>
      <x:c r="E344" s="84" t="str">
        <x:f>TEXT(B344,"mmm")</x:f>
        <x:v>May</x:v>
      </x:c>
      <x:c r="F344" s="84" t="str">
        <x:f>'Raw Sales'!C344</x:f>
        <x:v>CUST-0485</x:v>
      </x:c>
      <x:c r="G344" s="84" t="str">
        <x:f>PROPER(TRIM('Raw Sales'!D344))</x:f>
        <x:v>Elias Ortiz</x:v>
      </x:c>
      <x:c r="H344" s="84" t="str">
        <x:f>IF(TRIM('Raw Sales'!E344)="","Unknown",PROPER(TRIM('Raw Sales'!E344)))</x:f>
        <x:v>Consumer</x:v>
      </x:c>
      <x:c r="I344" s="84" t="str">
        <x:f>PROPER(TRIM('Raw Sales'!F344))</x:f>
        <x:v>Southeast</x:v>
      </x:c>
      <x:c r="J344" s="84" t="str">
        <x:f>PROPER(TRIM('Raw Sales'!G344))</x:f>
        <x:v>Atlanta</x:v>
      </x:c>
      <x:c r="K344" s="84" t="str">
        <x:f>PROPER(TRIM('Raw Sales'!H344))</x:f>
        <x:v>Retail Store</x:v>
      </x:c>
      <x:c r="L344" s="84" t="str">
        <x:f>'Raw Sales'!I344</x:f>
        <x:v>FITN-004</x:v>
      </x:c>
      <x:c r="M344" s="84" t="str">
        <x:f>IFERROR(VLOOKUP(L344,'Reference Data'!$A$5:$F$40,2,FALSE),"Unknown Product")</x:f>
        <x:v>Fitness Tracker</x:v>
      </x:c>
      <x:c r="N344" s="84" t="str">
        <x:f>IFERROR(VLOOKUP(L344,'Reference Data'!$A$5:$F$40,3,FALSE),"Unknown")</x:f>
        <x:v>Fitness</x:v>
      </x:c>
      <x:c r="O344" s="84" t="str">
        <x:f>IFERROR(VLOOKUP(L344,'Reference Data'!$A$5:$F$40,4,FALSE),"Unknown")</x:f>
        <x:v>Wearables</x:v>
      </x:c>
      <x:c r="P344" s="92" t="n">
        <x:f>IFERROR(VLOOKUP(L344,'Reference Data'!$A$5:$F$40,5,FALSE),0)</x:f>
        <x:v>89</x:v>
      </x:c>
      <x:c r="Q344" s="92" t="n">
        <x:f>IFERROR(VLOOKUP(L344,'Reference Data'!$A$5:$F$40,6,FALSE),0)</x:f>
        <x:v>44</x:v>
      </x:c>
      <x:c r="R344" s="84" t="n">
        <x:f>'Raw Sales'!J344</x:f>
        <x:v>2</x:v>
      </x:c>
      <x:c r="S344" s="87" t="n">
        <x:f>'Raw Sales'!K344</x:f>
        <x:v>0</x:v>
      </x:c>
      <x:c r="T344" s="93" t="n">
        <x:f>P344*R344</x:f>
        <x:v>178</x:v>
      </x:c>
      <x:c r="U344" s="93" t="n">
        <x:f>T344*S344</x:f>
        <x:v>0</x:v>
      </x:c>
      <x:c r="V344" s="93" t="str">
        <x:f>PROPER(TRIM('Raw Sales'!L344))</x:f>
        <x:v>Completed</x:v>
      </x:c>
      <x:c r="W344" s="93" t="n">
        <x:f>IF(V344="Returned",0,T344-U344)</x:f>
        <x:v>178</x:v>
      </x:c>
      <x:c r="X344" s="93" t="n">
        <x:f>IF(V344="Returned",Q344*R344*10%,Q344*R344)</x:f>
        <x:v>88</x:v>
      </x:c>
      <x:c r="Y344" s="93" t="n">
        <x:f>W344-X344</x:f>
        <x:v>90</x:v>
      </x:c>
      <x:c r="Z344" s="94" t="n">
        <x:f>IFERROR(Y344/W344,0)</x:f>
        <x:v>0.5056179775280899</x:v>
      </x:c>
      <x:c r="AA344" s="84" t="str">
        <x:f>PROPER(TRIM('Raw Sales'!M344))</x:f>
        <x:v>Credit Card</x:v>
      </x:c>
      <x:c r="AB344" s="84" t="str">
        <x:f>PROPER(TRIM('Raw Sales'!N344))</x:f>
        <x:v>Noah Reed</x:v>
      </x:c>
      <x:c r="AC344" s="85" t="n">
        <x:f>'Raw Sales'!O344</x:f>
        <x:v>45427</x:v>
      </x:c>
      <x:c r="AD344" s="84" t="n">
        <x:f>AC344-B344</x:f>
        <x:v>0</x:v>
      </x:c>
      <x:c r="AE344" s="84" t="str">
        <x:f>IF(COUNTIF($A$5:A344,A344)&gt;1,"Duplicate","Keep")</x:f>
        <x:v>Keep</x:v>
      </x:c>
      <x:c r="AF344" s="84" t="str">
        <x:f>IF(OR(R344&lt;=0,AC344&lt;B344,H344="Unknown",M344="Unknown Product"),"Review","Valid")</x:f>
        <x:v>Valid</x:v>
      </x:c>
      <x:c r="AG344" s="84" t="n">
        <x:f>IF(AND(AE344="Keep",AF344="Valid"),1,0)</x:f>
        <x:v>1</x:v>
      </x:c>
      <x:c r="AH344" s="84" t="n">
        <x:f>IF(AND(AG344=1,OR('Dashboard'!$B$4="All",I344='Dashboard'!$B$4),OR('Dashboard'!$E$4="All",N344='Dashboard'!$E$4),OR('Dashboard'!$H$4="All",K344='Dashboard'!$H$4),OR('Dashboard'!$K$4="All",C344='Dashboard'!$K$4)),1,0)</x:f>
        <x:v>1</x:v>
      </x:c>
      <x:c r="AI344" s="84" t="n">
        <x:f>IF(AND(AG344=1,OR('Dashboard'!$B$4="All",I344='Dashboard'!$B$4),OR('Dashboard'!$E$4="All",N344='Dashboard'!$E$4),OR('Dashboard'!$H$4="All",K344='Dashboard'!$H$4)),1,0)</x:f>
        <x:v>1</x:v>
      </x:c>
    </x:row>
    <x:row r="345">
      <x:c r="A345" s="84" t="str">
        <x:f>'Raw Sales'!A345</x:f>
        <x:v>ORD-2024-01051</x:v>
      </x:c>
      <x:c r="B345" s="85" t="n">
        <x:f>'Raw Sales'!B345</x:f>
        <x:v>45427</x:v>
      </x:c>
      <x:c r="C345" s="84" t="n">
        <x:f>YEAR(B345)</x:f>
        <x:v>2024</x:v>
      </x:c>
      <x:c r="D345" s="91" t="n">
        <x:f>DATE(YEAR(B345),MONTH(B345),1)</x:f>
        <x:v>45413</x:v>
      </x:c>
      <x:c r="E345" s="84" t="str">
        <x:f>TEXT(B345,"mmm")</x:f>
        <x:v>May</x:v>
      </x:c>
      <x:c r="F345" s="84" t="str">
        <x:f>'Raw Sales'!C345</x:f>
        <x:v>CUST-0408</x:v>
      </x:c>
      <x:c r="G345" s="84" t="str">
        <x:f>PROPER(TRIM('Raw Sales'!D345))</x:f>
        <x:v>Caleb Smith</x:v>
      </x:c>
      <x:c r="H345" s="84" t="str">
        <x:f>IF(TRIM('Raw Sales'!E345)="","Unknown",PROPER(TRIM('Raw Sales'!E345)))</x:f>
        <x:v>Small Business</x:v>
      </x:c>
      <x:c r="I345" s="84" t="str">
        <x:f>PROPER(TRIM('Raw Sales'!F345))</x:f>
        <x:v>Southeast</x:v>
      </x:c>
      <x:c r="J345" s="84" t="str">
        <x:f>PROPER(TRIM('Raw Sales'!G345))</x:f>
        <x:v>Miami</x:v>
      </x:c>
      <x:c r="K345" s="84" t="str">
        <x:f>PROPER(TRIM('Raw Sales'!H345))</x:f>
        <x:v>Online</x:v>
      </x:c>
      <x:c r="L345" s="84" t="str">
        <x:f>'Raw Sales'!I345</x:f>
        <x:v>FITN-006</x:v>
      </x:c>
      <x:c r="M345" s="84" t="str">
        <x:f>IFERROR(VLOOKUP(L345,'Reference Data'!$A$5:$F$40,2,FALSE),"Unknown Product")</x:f>
        <x:v>Foam Roller</x:v>
      </x:c>
      <x:c r="N345" s="84" t="str">
        <x:f>IFERROR(VLOOKUP(L345,'Reference Data'!$A$5:$F$40,3,FALSE),"Unknown")</x:f>
        <x:v>Fitness</x:v>
      </x:c>
      <x:c r="O345" s="84" t="str">
        <x:f>IFERROR(VLOOKUP(L345,'Reference Data'!$A$5:$F$40,4,FALSE),"Unknown")</x:f>
        <x:v>Recovery</x:v>
      </x:c>
      <x:c r="P345" s="92" t="n">
        <x:f>IFERROR(VLOOKUP(L345,'Reference Data'!$A$5:$F$40,5,FALSE),0)</x:f>
        <x:v>31</x:v>
      </x:c>
      <x:c r="Q345" s="92" t="n">
        <x:f>IFERROR(VLOOKUP(L345,'Reference Data'!$A$5:$F$40,6,FALSE),0)</x:f>
        <x:v>12</x:v>
      </x:c>
      <x:c r="R345" s="84" t="n">
        <x:f>'Raw Sales'!J345</x:f>
        <x:v>1</x:v>
      </x:c>
      <x:c r="S345" s="87" t="n">
        <x:f>'Raw Sales'!K345</x:f>
        <x:v>0.15</x:v>
      </x:c>
      <x:c r="T345" s="93" t="n">
        <x:f>P345*R345</x:f>
        <x:v>31</x:v>
      </x:c>
      <x:c r="U345" s="93" t="n">
        <x:f>T345*S345</x:f>
        <x:v>4.6499999999999995</x:v>
      </x:c>
      <x:c r="V345" s="93" t="str">
        <x:f>PROPER(TRIM('Raw Sales'!L345))</x:f>
        <x:v>Completed</x:v>
      </x:c>
      <x:c r="W345" s="93" t="n">
        <x:f>IF(V345="Returned",0,T345-U345)</x:f>
        <x:v>26.35</x:v>
      </x:c>
      <x:c r="X345" s="93" t="n">
        <x:f>IF(V345="Returned",Q345*R345*10%,Q345*R345)</x:f>
        <x:v>12</x:v>
      </x:c>
      <x:c r="Y345" s="93" t="n">
        <x:f>W345-X345</x:f>
        <x:v>14.350000000000001</x:v>
      </x:c>
      <x:c r="Z345" s="94" t="n">
        <x:f>IFERROR(Y345/W345,0)</x:f>
        <x:v>0.5445920303605314</x:v>
      </x:c>
      <x:c r="AA345" s="84" t="str">
        <x:f>PROPER(TRIM('Raw Sales'!M345))</x:f>
        <x:v>Paypal</x:v>
      </x:c>
      <x:c r="AB345" s="84" t="str">
        <x:f>PROPER(TRIM('Raw Sales'!N345))</x:f>
        <x:v>Ava Mitchell</x:v>
      </x:c>
      <x:c r="AC345" s="85" t="n">
        <x:f>'Raw Sales'!O345</x:f>
        <x:v>45429</x:v>
      </x:c>
      <x:c r="AD345" s="84" t="n">
        <x:f>AC345-B345</x:f>
        <x:v>2</x:v>
      </x:c>
      <x:c r="AE345" s="84" t="str">
        <x:f>IF(COUNTIF($A$5:A345,A345)&gt;1,"Duplicate","Keep")</x:f>
        <x:v>Keep</x:v>
      </x:c>
      <x:c r="AF345" s="84" t="str">
        <x:f>IF(OR(R345&lt;=0,AC345&lt;B345,H345="Unknown",M345="Unknown Product"),"Review","Valid")</x:f>
        <x:v>Valid</x:v>
      </x:c>
      <x:c r="AG345" s="84" t="n">
        <x:f>IF(AND(AE345="Keep",AF345="Valid"),1,0)</x:f>
        <x:v>1</x:v>
      </x:c>
      <x:c r="AH345" s="84" t="n">
        <x:f>IF(AND(AG345=1,OR('Dashboard'!$B$4="All",I345='Dashboard'!$B$4),OR('Dashboard'!$E$4="All",N345='Dashboard'!$E$4),OR('Dashboard'!$H$4="All",K345='Dashboard'!$H$4),OR('Dashboard'!$K$4="All",C345='Dashboard'!$K$4)),1,0)</x:f>
        <x:v>1</x:v>
      </x:c>
      <x:c r="AI345" s="84" t="n">
        <x:f>IF(AND(AG345=1,OR('Dashboard'!$B$4="All",I345='Dashboard'!$B$4),OR('Dashboard'!$E$4="All",N345='Dashboard'!$E$4),OR('Dashboard'!$H$4="All",K345='Dashboard'!$H$4)),1,0)</x:f>
        <x:v>1</x:v>
      </x:c>
    </x:row>
    <x:row r="346">
      <x:c r="A346" s="84" t="str">
        <x:f>'Raw Sales'!A346</x:f>
        <x:v>ORD-2024-01291</x:v>
      </x:c>
      <x:c r="B346" s="85" t="n">
        <x:f>'Raw Sales'!B346</x:f>
        <x:v>45427</x:v>
      </x:c>
      <x:c r="C346" s="84" t="n">
        <x:f>YEAR(B346)</x:f>
        <x:v>2024</x:v>
      </x:c>
      <x:c r="D346" s="91" t="n">
        <x:f>DATE(YEAR(B346),MONTH(B346),1)</x:f>
        <x:v>45413</x:v>
      </x:c>
      <x:c r="E346" s="84" t="str">
        <x:f>TEXT(B346,"mmm")</x:f>
        <x:v>May</x:v>
      </x:c>
      <x:c r="F346" s="84" t="str">
        <x:f>'Raw Sales'!C346</x:f>
        <x:v>CUST-0125</x:v>
      </x:c>
      <x:c r="G346" s="84" t="str">
        <x:f>PROPER(TRIM('Raw Sales'!D346))</x:f>
        <x:v>Marcus Carter</x:v>
      </x:c>
      <x:c r="H346" s="84" t="str">
        <x:f>IF(TRIM('Raw Sales'!E346)="","Unknown",PROPER(TRIM('Raw Sales'!E346)))</x:f>
        <x:v>Consumer</x:v>
      </x:c>
      <x:c r="I346" s="84" t="str">
        <x:f>PROPER(TRIM('Raw Sales'!F346))</x:f>
        <x:v>West</x:v>
      </x:c>
      <x:c r="J346" s="84" t="str">
        <x:f>PROPER(TRIM('Raw Sales'!G346))</x:f>
        <x:v>Phoenix</x:v>
      </x:c>
      <x:c r="K346" s="84" t="str">
        <x:f>PROPER(TRIM('Raw Sales'!H346))</x:f>
        <x:v>Marketplace</x:v>
      </x:c>
      <x:c r="L346" s="84" t="str">
        <x:f>'Raw Sales'!I346</x:f>
        <x:v>CARE-005</x:v>
      </x:c>
      <x:c r="M346" s="84" t="str">
        <x:f>IFERROR(VLOOKUP(L346,'Reference Data'!$A$5:$F$40,2,FALSE),"Unknown Product")</x:f>
        <x:v>Skin Care Starter Kit</x:v>
      </x:c>
      <x:c r="N346" s="84" t="str">
        <x:f>IFERROR(VLOOKUP(L346,'Reference Data'!$A$5:$F$40,3,FALSE),"Unknown")</x:f>
        <x:v>Personal Care</x:v>
      </x:c>
      <x:c r="O346" s="84" t="str">
        <x:f>IFERROR(VLOOKUP(L346,'Reference Data'!$A$5:$F$40,4,FALSE),"Unknown")</x:f>
        <x:v>Skin Care</x:v>
      </x:c>
      <x:c r="P346" s="92" t="n">
        <x:f>IFERROR(VLOOKUP(L346,'Reference Data'!$A$5:$F$40,5,FALSE),0)</x:f>
        <x:v>58</x:v>
      </x:c>
      <x:c r="Q346" s="92" t="n">
        <x:f>IFERROR(VLOOKUP(L346,'Reference Data'!$A$5:$F$40,6,FALSE),0)</x:f>
        <x:v>24</x:v>
      </x:c>
      <x:c r="R346" s="84" t="n">
        <x:f>'Raw Sales'!J346</x:f>
        <x:v>1</x:v>
      </x:c>
      <x:c r="S346" s="87" t="n">
        <x:f>'Raw Sales'!K346</x:f>
        <x:v>0</x:v>
      </x:c>
      <x:c r="T346" s="93" t="n">
        <x:f>P346*R346</x:f>
        <x:v>58</x:v>
      </x:c>
      <x:c r="U346" s="93" t="n">
        <x:f>T346*S346</x:f>
        <x:v>0</x:v>
      </x:c>
      <x:c r="V346" s="93" t="str">
        <x:f>PROPER(TRIM('Raw Sales'!L346))</x:f>
        <x:v>Completed</x:v>
      </x:c>
      <x:c r="W346" s="93" t="n">
        <x:f>IF(V346="Returned",0,T346-U346)</x:f>
        <x:v>58</x:v>
      </x:c>
      <x:c r="X346" s="93" t="n">
        <x:f>IF(V346="Returned",Q346*R346*10%,Q346*R346)</x:f>
        <x:v>24</x:v>
      </x:c>
      <x:c r="Y346" s="93" t="n">
        <x:f>W346-X346</x:f>
        <x:v>34</x:v>
      </x:c>
      <x:c r="Z346" s="94" t="n">
        <x:f>IFERROR(Y346/W346,0)</x:f>
        <x:v>0.5862068965517241</x:v>
      </x:c>
      <x:c r="AA346" s="84" t="str">
        <x:f>PROPER(TRIM('Raw Sales'!M346))</x:f>
        <x:v>Credit Card</x:v>
      </x:c>
      <x:c r="AB346" s="84" t="str">
        <x:f>PROPER(TRIM('Raw Sales'!N346))</x:f>
        <x:v>Mia Chen</x:v>
      </x:c>
      <x:c r="AC346" s="85" t="n">
        <x:f>'Raw Sales'!O346</x:f>
        <x:v>45433</x:v>
      </x:c>
      <x:c r="AD346" s="84" t="n">
        <x:f>AC346-B346</x:f>
        <x:v>6</x:v>
      </x:c>
      <x:c r="AE346" s="84" t="str">
        <x:f>IF(COUNTIF($A$5:A346,A346)&gt;1,"Duplicate","Keep")</x:f>
        <x:v>Keep</x:v>
      </x:c>
      <x:c r="AF346" s="84" t="str">
        <x:f>IF(OR(R346&lt;=0,AC346&lt;B346,H346="Unknown",M346="Unknown Product"),"Review","Valid")</x:f>
        <x:v>Valid</x:v>
      </x:c>
      <x:c r="AG346" s="84" t="n">
        <x:f>IF(AND(AE346="Keep",AF346="Valid"),1,0)</x:f>
        <x:v>1</x:v>
      </x:c>
      <x:c r="AH346" s="84" t="n">
        <x:f>IF(AND(AG346=1,OR('Dashboard'!$B$4="All",I346='Dashboard'!$B$4),OR('Dashboard'!$E$4="All",N346='Dashboard'!$E$4),OR('Dashboard'!$H$4="All",K346='Dashboard'!$H$4),OR('Dashboard'!$K$4="All",C346='Dashboard'!$K$4)),1,0)</x:f>
        <x:v>1</x:v>
      </x:c>
      <x:c r="AI346" s="84" t="n">
        <x:f>IF(AND(AG346=1,OR('Dashboard'!$B$4="All",I346='Dashboard'!$B$4),OR('Dashboard'!$E$4="All",N346='Dashboard'!$E$4),OR('Dashboard'!$H$4="All",K346='Dashboard'!$H$4)),1,0)</x:f>
        <x:v>1</x:v>
      </x:c>
    </x:row>
    <x:row r="347">
      <x:c r="A347" s="84" t="str">
        <x:f>'Raw Sales'!A347</x:f>
        <x:v>ORD-2024-00741</x:v>
      </x:c>
      <x:c r="B347" s="85" t="n">
        <x:f>'Raw Sales'!B347</x:f>
        <x:v>45428</x:v>
      </x:c>
      <x:c r="C347" s="84" t="n">
        <x:f>YEAR(B347)</x:f>
        <x:v>2024</x:v>
      </x:c>
      <x:c r="D347" s="91" t="n">
        <x:f>DATE(YEAR(B347),MONTH(B347),1)</x:f>
        <x:v>45413</x:v>
      </x:c>
      <x:c r="E347" s="84" t="str">
        <x:f>TEXT(B347,"mmm")</x:f>
        <x:v>May</x:v>
      </x:c>
      <x:c r="F347" s="84" t="str">
        <x:f>'Raw Sales'!C347</x:f>
        <x:v>CUST-0025</x:v>
      </x:c>
      <x:c r="G347" s="84" t="str">
        <x:f>PROPER(TRIM('Raw Sales'!D347))</x:f>
        <x:v>William Young</x:v>
      </x:c>
      <x:c r="H347" s="84" t="str">
        <x:f>IF(TRIM('Raw Sales'!E347)="","Unknown",PROPER(TRIM('Raw Sales'!E347)))</x:f>
        <x:v>Consumer</x:v>
      </x:c>
      <x:c r="I347" s="84" t="str">
        <x:f>PROPER(TRIM('Raw Sales'!F347))</x:f>
        <x:v>Southeast</x:v>
      </x:c>
      <x:c r="J347" s="84" t="str">
        <x:f>PROPER(TRIM('Raw Sales'!G347))</x:f>
        <x:v>Atlanta</x:v>
      </x:c>
      <x:c r="K347" s="84" t="str">
        <x:f>PROPER(TRIM('Raw Sales'!H347))</x:f>
        <x:v>Marketplace</x:v>
      </x:c>
      <x:c r="L347" s="84" t="str">
        <x:f>'Raw Sales'!I347</x:f>
        <x:v>ELEC-002</x:v>
      </x:c>
      <x:c r="M347" s="84" t="str">
        <x:f>IFERROR(VLOOKUP(L347,'Reference Data'!$A$5:$F$40,2,FALSE),"Unknown Product")</x:f>
        <x:v>Smartwatch</x:v>
      </x:c>
      <x:c r="N347" s="84" t="str">
        <x:f>IFERROR(VLOOKUP(L347,'Reference Data'!$A$5:$F$40,3,FALSE),"Unknown")</x:f>
        <x:v>Electronics</x:v>
      </x:c>
      <x:c r="O347" s="84" t="str">
        <x:f>IFERROR(VLOOKUP(L347,'Reference Data'!$A$5:$F$40,4,FALSE),"Unknown")</x:f>
        <x:v>Wearables</x:v>
      </x:c>
      <x:c r="P347" s="92" t="n">
        <x:f>IFERROR(VLOOKUP(L347,'Reference Data'!$A$5:$F$40,5,FALSE),0)</x:f>
        <x:v>159</x:v>
      </x:c>
      <x:c r="Q347" s="92" t="n">
        <x:f>IFERROR(VLOOKUP(L347,'Reference Data'!$A$5:$F$40,6,FALSE),0)</x:f>
        <x:v>92</x:v>
      </x:c>
      <x:c r="R347" s="84" t="n">
        <x:f>'Raw Sales'!J347</x:f>
        <x:v>3</x:v>
      </x:c>
      <x:c r="S347" s="87" t="n">
        <x:f>'Raw Sales'!K347</x:f>
        <x:v>0.2</x:v>
      </x:c>
      <x:c r="T347" s="93" t="n">
        <x:f>P347*R347</x:f>
        <x:v>477</x:v>
      </x:c>
      <x:c r="U347" s="93" t="n">
        <x:f>T347*S347</x:f>
        <x:v>95.4</x:v>
      </x:c>
      <x:c r="V347" s="93" t="str">
        <x:f>PROPER(TRIM('Raw Sales'!L347))</x:f>
        <x:v>Completed</x:v>
      </x:c>
      <x:c r="W347" s="93" t="n">
        <x:f>IF(V347="Returned",0,T347-U347)</x:f>
        <x:v>381.6</x:v>
      </x:c>
      <x:c r="X347" s="93" t="n">
        <x:f>IF(V347="Returned",Q347*R347*10%,Q347*R347)</x:f>
        <x:v>276</x:v>
      </x:c>
      <x:c r="Y347" s="93" t="n">
        <x:f>W347-X347</x:f>
        <x:v>105.60000000000002</x:v>
      </x:c>
      <x:c r="Z347" s="94" t="n">
        <x:f>IFERROR(Y347/W347,0)</x:f>
        <x:v>0.2767295597484277</x:v>
      </x:c>
      <x:c r="AA347" s="84" t="str">
        <x:f>PROPER(TRIM('Raw Sales'!M347))</x:f>
        <x:v>Mobile Wallet</x:v>
      </x:c>
      <x:c r="AB347" s="84" t="str">
        <x:f>PROPER(TRIM('Raw Sales'!N347))</x:f>
        <x:v>Noah Reed</x:v>
      </x:c>
      <x:c r="AC347" s="85" t="n">
        <x:f>'Raw Sales'!O347</x:f>
        <x:v>45435</x:v>
      </x:c>
      <x:c r="AD347" s="84" t="n">
        <x:f>AC347-B347</x:f>
        <x:v>7</x:v>
      </x:c>
      <x:c r="AE347" s="84" t="str">
        <x:f>IF(COUNTIF($A$5:A347,A347)&gt;1,"Duplicate","Keep")</x:f>
        <x:v>Keep</x:v>
      </x:c>
      <x:c r="AF347" s="84" t="str">
        <x:f>IF(OR(R347&lt;=0,AC347&lt;B347,H347="Unknown",M347="Unknown Product"),"Review","Valid")</x:f>
        <x:v>Valid</x:v>
      </x:c>
      <x:c r="AG347" s="84" t="n">
        <x:f>IF(AND(AE347="Keep",AF347="Valid"),1,0)</x:f>
        <x:v>1</x:v>
      </x:c>
      <x:c r="AH347" s="84" t="n">
        <x:f>IF(AND(AG347=1,OR('Dashboard'!$B$4="All",I347='Dashboard'!$B$4),OR('Dashboard'!$E$4="All",N347='Dashboard'!$E$4),OR('Dashboard'!$H$4="All",K347='Dashboard'!$H$4),OR('Dashboard'!$K$4="All",C347='Dashboard'!$K$4)),1,0)</x:f>
        <x:v>1</x:v>
      </x:c>
      <x:c r="AI347" s="84" t="n">
        <x:f>IF(AND(AG347=1,OR('Dashboard'!$B$4="All",I347='Dashboard'!$B$4),OR('Dashboard'!$E$4="All",N347='Dashboard'!$E$4),OR('Dashboard'!$H$4="All",K347='Dashboard'!$H$4)),1,0)</x:f>
        <x:v>1</x:v>
      </x:c>
    </x:row>
    <x:row r="348">
      <x:c r="A348" s="84" t="str">
        <x:f>'Raw Sales'!A348</x:f>
        <x:v>ORD-2024-01483</x:v>
      </x:c>
      <x:c r="B348" s="85" t="n">
        <x:f>'Raw Sales'!B348</x:f>
        <x:v>45428</x:v>
      </x:c>
      <x:c r="C348" s="84" t="n">
        <x:f>YEAR(B348)</x:f>
        <x:v>2024</x:v>
      </x:c>
      <x:c r="D348" s="91" t="n">
        <x:f>DATE(YEAR(B348),MONTH(B348),1)</x:f>
        <x:v>45413</x:v>
      </x:c>
      <x:c r="E348" s="84" t="str">
        <x:f>TEXT(B348,"mmm")</x:f>
        <x:v>May</x:v>
      </x:c>
      <x:c r="F348" s="84" t="str">
        <x:f>'Raw Sales'!C348</x:f>
        <x:v>CUST-0031</x:v>
      </x:c>
      <x:c r="G348" s="84" t="str">
        <x:f>PROPER(TRIM('Raw Sales'!D348))</x:f>
        <x:v>Theo Smith</x:v>
      </x:c>
      <x:c r="H348" s="84" t="str">
        <x:f>IF(TRIM('Raw Sales'!E348)="","Unknown",PROPER(TRIM('Raw Sales'!E348)))</x:f>
        <x:v>Consumer</x:v>
      </x:c>
      <x:c r="I348" s="84" t="str">
        <x:f>PROPER(TRIM('Raw Sales'!F348))</x:f>
        <x:v>Southeast</x:v>
      </x:c>
      <x:c r="J348" s="84" t="str">
        <x:f>PROPER(TRIM('Raw Sales'!G348))</x:f>
        <x:v>Atlanta</x:v>
      </x:c>
      <x:c r="K348" s="84" t="str">
        <x:f>PROPER(TRIM('Raw Sales'!H348))</x:f>
        <x:v>Retail Store</x:v>
      </x:c>
      <x:c r="L348" s="84" t="str">
        <x:f>'Raw Sales'!I348</x:f>
        <x:v>ACCS-005</x:v>
      </x:c>
      <x:c r="M348" s="84" t="str">
        <x:f>IFERROR(VLOOKUP(L348,'Reference Data'!$A$5:$F$40,2,FALSE),"Unknown Product")</x:f>
        <x:v>Protective Phone Case</x:v>
      </x:c>
      <x:c r="N348" s="84" t="str">
        <x:f>IFERROR(VLOOKUP(L348,'Reference Data'!$A$5:$F$40,3,FALSE),"Unknown")</x:f>
        <x:v>Accessories</x:v>
      </x:c>
      <x:c r="O348" s="84" t="str">
        <x:f>IFERROR(VLOOKUP(L348,'Reference Data'!$A$5:$F$40,4,FALSE),"Unknown")</x:f>
        <x:v>Mobile Accessories</x:v>
      </x:c>
      <x:c r="P348" s="92" t="n">
        <x:f>IFERROR(VLOOKUP(L348,'Reference Data'!$A$5:$F$40,5,FALSE),0)</x:f>
        <x:v>24</x:v>
      </x:c>
      <x:c r="Q348" s="92" t="n">
        <x:f>IFERROR(VLOOKUP(L348,'Reference Data'!$A$5:$F$40,6,FALSE),0)</x:f>
        <x:v>5</x:v>
      </x:c>
      <x:c r="R348" s="84" t="n">
        <x:f>'Raw Sales'!J348</x:f>
        <x:v>2</x:v>
      </x:c>
      <x:c r="S348" s="87" t="n">
        <x:f>'Raw Sales'!K348</x:f>
        <x:v>0.05</x:v>
      </x:c>
      <x:c r="T348" s="93" t="n">
        <x:f>P348*R348</x:f>
        <x:v>48</x:v>
      </x:c>
      <x:c r="U348" s="93" t="n">
        <x:f>T348*S348</x:f>
        <x:v>2.4000000000000004</x:v>
      </x:c>
      <x:c r="V348" s="93" t="str">
        <x:f>PROPER(TRIM('Raw Sales'!L348))</x:f>
        <x:v>Completed</x:v>
      </x:c>
      <x:c r="W348" s="93" t="n">
        <x:f>IF(V348="Returned",0,T348-U348)</x:f>
        <x:v>45.6</x:v>
      </x:c>
      <x:c r="X348" s="93" t="n">
        <x:f>IF(V348="Returned",Q348*R348*10%,Q348*R348)</x:f>
        <x:v>10</x:v>
      </x:c>
      <x:c r="Y348" s="93" t="n">
        <x:f>W348-X348</x:f>
        <x:v>35.6</x:v>
      </x:c>
      <x:c r="Z348" s="94" t="n">
        <x:f>IFERROR(Y348/W348,0)</x:f>
        <x:v>0.7807017543859649</x:v>
      </x:c>
      <x:c r="AA348" s="84" t="str">
        <x:f>PROPER(TRIM('Raw Sales'!M348))</x:f>
        <x:v>Debit Card</x:v>
      </x:c>
      <x:c r="AB348" s="84" t="str">
        <x:f>PROPER(TRIM('Raw Sales'!N348))</x:f>
        <x:v>Liam Parker</x:v>
      </x:c>
      <x:c r="AC348" s="85" t="n">
        <x:f>'Raw Sales'!O348</x:f>
        <x:v>45428</x:v>
      </x:c>
      <x:c r="AD348" s="84" t="n">
        <x:f>AC348-B348</x:f>
        <x:v>0</x:v>
      </x:c>
      <x:c r="AE348" s="84" t="str">
        <x:f>IF(COUNTIF($A$5:A348,A348)&gt;1,"Duplicate","Keep")</x:f>
        <x:v>Keep</x:v>
      </x:c>
      <x:c r="AF348" s="84" t="str">
        <x:f>IF(OR(R348&lt;=0,AC348&lt;B348,H348="Unknown",M348="Unknown Product"),"Review","Valid")</x:f>
        <x:v>Valid</x:v>
      </x:c>
      <x:c r="AG348" s="84" t="n">
        <x:f>IF(AND(AE348="Keep",AF348="Valid"),1,0)</x:f>
        <x:v>1</x:v>
      </x:c>
      <x:c r="AH348" s="84" t="n">
        <x:f>IF(AND(AG348=1,OR('Dashboard'!$B$4="All",I348='Dashboard'!$B$4),OR('Dashboard'!$E$4="All",N348='Dashboard'!$E$4),OR('Dashboard'!$H$4="All",K348='Dashboard'!$H$4),OR('Dashboard'!$K$4="All",C348='Dashboard'!$K$4)),1,0)</x:f>
        <x:v>1</x:v>
      </x:c>
      <x:c r="AI348" s="84" t="n">
        <x:f>IF(AND(AG348=1,OR('Dashboard'!$B$4="All",I348='Dashboard'!$B$4),OR('Dashboard'!$E$4="All",N348='Dashboard'!$E$4),OR('Dashboard'!$H$4="All",K348='Dashboard'!$H$4)),1,0)</x:f>
        <x:v>1</x:v>
      </x:c>
    </x:row>
    <x:row r="349">
      <x:c r="A349" s="84" t="str">
        <x:f>'Raw Sales'!A349</x:f>
        <x:v>ORD-2024-02082</x:v>
      </x:c>
      <x:c r="B349" s="85" t="n">
        <x:f>'Raw Sales'!B349</x:f>
        <x:v>45428</x:v>
      </x:c>
      <x:c r="C349" s="84" t="n">
        <x:f>YEAR(B349)</x:f>
        <x:v>2024</x:v>
      </x:c>
      <x:c r="D349" s="91" t="n">
        <x:f>DATE(YEAR(B349),MONTH(B349),1)</x:f>
        <x:v>45413</x:v>
      </x:c>
      <x:c r="E349" s="84" t="str">
        <x:f>TEXT(B349,"mmm")</x:f>
        <x:v>May</x:v>
      </x:c>
      <x:c r="F349" s="84" t="str">
        <x:f>'Raw Sales'!C349</x:f>
        <x:v>CUST-0534</x:v>
      </x:c>
      <x:c r="G349" s="84" t="str">
        <x:f>PROPER(TRIM('Raw Sales'!D349))</x:f>
        <x:v>Chloe Evans</x:v>
      </x:c>
      <x:c r="H349" s="84" t="str">
        <x:f>IF(TRIM('Raw Sales'!E349)="","Unknown",PROPER(TRIM('Raw Sales'!E349)))</x:f>
        <x:v>Corporate</x:v>
      </x:c>
      <x:c r="I349" s="84" t="str">
        <x:f>PROPER(TRIM('Raw Sales'!F349))</x:f>
        <x:v>West</x:v>
      </x:c>
      <x:c r="J349" s="84" t="str">
        <x:f>PROPER(TRIM('Raw Sales'!G349))</x:f>
        <x:v>Phoenix</x:v>
      </x:c>
      <x:c r="K349" s="84" t="str">
        <x:f>PROPER(TRIM('Raw Sales'!H349))</x:f>
        <x:v>Marketplace</x:v>
      </x:c>
      <x:c r="L349" s="84" t="str">
        <x:f>'Raw Sales'!I349</x:f>
        <x:v>ELEC-002</x:v>
      </x:c>
      <x:c r="M349" s="84" t="str">
        <x:f>IFERROR(VLOOKUP(L349,'Reference Data'!$A$5:$F$40,2,FALSE),"Unknown Product")</x:f>
        <x:v>Smartwatch</x:v>
      </x:c>
      <x:c r="N349" s="84" t="str">
        <x:f>IFERROR(VLOOKUP(L349,'Reference Data'!$A$5:$F$40,3,FALSE),"Unknown")</x:f>
        <x:v>Electronics</x:v>
      </x:c>
      <x:c r="O349" s="84" t="str">
        <x:f>IFERROR(VLOOKUP(L349,'Reference Data'!$A$5:$F$40,4,FALSE),"Unknown")</x:f>
        <x:v>Wearables</x:v>
      </x:c>
      <x:c r="P349" s="92" t="n">
        <x:f>IFERROR(VLOOKUP(L349,'Reference Data'!$A$5:$F$40,5,FALSE),0)</x:f>
        <x:v>159</x:v>
      </x:c>
      <x:c r="Q349" s="92" t="n">
        <x:f>IFERROR(VLOOKUP(L349,'Reference Data'!$A$5:$F$40,6,FALSE),0)</x:f>
        <x:v>92</x:v>
      </x:c>
      <x:c r="R349" s="84" t="n">
        <x:f>'Raw Sales'!J349</x:f>
        <x:v>3</x:v>
      </x:c>
      <x:c r="S349" s="87" t="n">
        <x:f>'Raw Sales'!K349</x:f>
        <x:v>0.05</x:v>
      </x:c>
      <x:c r="T349" s="93" t="n">
        <x:f>P349*R349</x:f>
        <x:v>477</x:v>
      </x:c>
      <x:c r="U349" s="93" t="n">
        <x:f>T349*S349</x:f>
        <x:v>23.85</x:v>
      </x:c>
      <x:c r="V349" s="93" t="str">
        <x:f>PROPER(TRIM('Raw Sales'!L349))</x:f>
        <x:v>Completed</x:v>
      </x:c>
      <x:c r="W349" s="93" t="n">
        <x:f>IF(V349="Returned",0,T349-U349)</x:f>
        <x:v>453.15</x:v>
      </x:c>
      <x:c r="X349" s="93" t="n">
        <x:f>IF(V349="Returned",Q349*R349*10%,Q349*R349)</x:f>
        <x:v>276</x:v>
      </x:c>
      <x:c r="Y349" s="93" t="n">
        <x:f>W349-X349</x:f>
        <x:v>177.14999999999998</x:v>
      </x:c>
      <x:c r="Z349" s="94" t="n">
        <x:f>IFERROR(Y349/W349,0)</x:f>
        <x:v>0.3909301555776233</x:v>
      </x:c>
      <x:c r="AA349" s="84" t="str">
        <x:f>PROPER(TRIM('Raw Sales'!M349))</x:f>
        <x:v>Debit Card</x:v>
      </x:c>
      <x:c r="AB349" s="84" t="str">
        <x:f>PROPER(TRIM('Raw Sales'!N349))</x:f>
        <x:v>Nora Kim</x:v>
      </x:c>
      <x:c r="AC349" s="85" t="n">
        <x:f>'Raw Sales'!O349</x:f>
        <x:v>45433</x:v>
      </x:c>
      <x:c r="AD349" s="84" t="n">
        <x:f>AC349-B349</x:f>
        <x:v>5</x:v>
      </x:c>
      <x:c r="AE349" s="84" t="str">
        <x:f>IF(COUNTIF($A$5:A349,A349)&gt;1,"Duplicate","Keep")</x:f>
        <x:v>Keep</x:v>
      </x:c>
      <x:c r="AF349" s="84" t="str">
        <x:f>IF(OR(R349&lt;=0,AC349&lt;B349,H349="Unknown",M349="Unknown Product"),"Review","Valid")</x:f>
        <x:v>Valid</x:v>
      </x:c>
      <x:c r="AG349" s="84" t="n">
        <x:f>IF(AND(AE349="Keep",AF349="Valid"),1,0)</x:f>
        <x:v>1</x:v>
      </x:c>
      <x:c r="AH349" s="84" t="n">
        <x:f>IF(AND(AG349=1,OR('Dashboard'!$B$4="All",I349='Dashboard'!$B$4),OR('Dashboard'!$E$4="All",N349='Dashboard'!$E$4),OR('Dashboard'!$H$4="All",K349='Dashboard'!$H$4),OR('Dashboard'!$K$4="All",C349='Dashboard'!$K$4)),1,0)</x:f>
        <x:v>1</x:v>
      </x:c>
      <x:c r="AI349" s="84" t="n">
        <x:f>IF(AND(AG349=1,OR('Dashboard'!$B$4="All",I349='Dashboard'!$B$4),OR('Dashboard'!$E$4="All",N349='Dashboard'!$E$4),OR('Dashboard'!$H$4="All",K349='Dashboard'!$H$4)),1,0)</x:f>
        <x:v>1</x:v>
      </x:c>
    </x:row>
    <x:row r="350">
      <x:c r="A350" s="84" t="str">
        <x:f>'Raw Sales'!A350</x:f>
        <x:v>ORD-2024-00225</x:v>
      </x:c>
      <x:c r="B350" s="85" t="n">
        <x:f>'Raw Sales'!B350</x:f>
        <x:v>45429</x:v>
      </x:c>
      <x:c r="C350" s="84" t="n">
        <x:f>YEAR(B350)</x:f>
        <x:v>2024</x:v>
      </x:c>
      <x:c r="D350" s="91" t="n">
        <x:f>DATE(YEAR(B350),MONTH(B350),1)</x:f>
        <x:v>45413</x:v>
      </x:c>
      <x:c r="E350" s="84" t="str">
        <x:f>TEXT(B350,"mmm")</x:f>
        <x:v>May</x:v>
      </x:c>
      <x:c r="F350" s="84" t="str">
        <x:f>'Raw Sales'!C350</x:f>
        <x:v>CUST-0382</x:v>
      </x:c>
      <x:c r="G350" s="84" t="str">
        <x:f>PROPER(TRIM('Raw Sales'!D350))</x:f>
        <x:v>Samuel Adams</x:v>
      </x:c>
      <x:c r="H350" s="84" t="str">
        <x:f>IF(TRIM('Raw Sales'!E350)="","Unknown",PROPER(TRIM('Raw Sales'!E350)))</x:f>
        <x:v>Corporate</x:v>
      </x:c>
      <x:c r="I350" s="84" t="str">
        <x:f>PROPER(TRIM('Raw Sales'!F350))</x:f>
        <x:v>Northeast</x:v>
      </x:c>
      <x:c r="J350" s="84" t="str">
        <x:f>PROPER(TRIM('Raw Sales'!G350))</x:f>
        <x:v>Boston</x:v>
      </x:c>
      <x:c r="K350" s="84" t="str">
        <x:f>PROPER(TRIM('Raw Sales'!H350))</x:f>
        <x:v>Marketplace</x:v>
      </x:c>
      <x:c r="L350" s="84" t="str">
        <x:f>'Raw Sales'!I350</x:f>
        <x:v>FITN-001</x:v>
      </x:c>
      <x:c r="M350" s="84" t="str">
        <x:f>IFERROR(VLOOKUP(L350,'Reference Data'!$A$5:$F$40,2,FALSE),"Unknown Product")</x:f>
        <x:v>Yoga Mat</x:v>
      </x:c>
      <x:c r="N350" s="84" t="str">
        <x:f>IFERROR(VLOOKUP(L350,'Reference Data'!$A$5:$F$40,3,FALSE),"Unknown")</x:f>
        <x:v>Fitness</x:v>
      </x:c>
      <x:c r="O350" s="84" t="str">
        <x:f>IFERROR(VLOOKUP(L350,'Reference Data'!$A$5:$F$40,4,FALSE),"Unknown")</x:f>
        <x:v>Yoga</x:v>
      </x:c>
      <x:c r="P350" s="92" t="n">
        <x:f>IFERROR(VLOOKUP(L350,'Reference Data'!$A$5:$F$40,5,FALSE),0)</x:f>
        <x:v>35</x:v>
      </x:c>
      <x:c r="Q350" s="92" t="n">
        <x:f>IFERROR(VLOOKUP(L350,'Reference Data'!$A$5:$F$40,6,FALSE),0)</x:f>
        <x:v>13</x:v>
      </x:c>
      <x:c r="R350" s="84" t="n">
        <x:f>'Raw Sales'!J350</x:f>
        <x:v>2</x:v>
      </x:c>
      <x:c r="S350" s="87" t="n">
        <x:f>'Raw Sales'!K350</x:f>
        <x:v>0.15</x:v>
      </x:c>
      <x:c r="T350" s="93" t="n">
        <x:f>P350*R350</x:f>
        <x:v>70</x:v>
      </x:c>
      <x:c r="U350" s="93" t="n">
        <x:f>T350*S350</x:f>
        <x:v>10.5</x:v>
      </x:c>
      <x:c r="V350" s="93" t="str">
        <x:f>PROPER(TRIM('Raw Sales'!L350))</x:f>
        <x:v>Completed</x:v>
      </x:c>
      <x:c r="W350" s="93" t="n">
        <x:f>IF(V350="Returned",0,T350-U350)</x:f>
        <x:v>59.5</x:v>
      </x:c>
      <x:c r="X350" s="93" t="n">
        <x:f>IF(V350="Returned",Q350*R350*10%,Q350*R350)</x:f>
        <x:v>26</x:v>
      </x:c>
      <x:c r="Y350" s="93" t="n">
        <x:f>W350-X350</x:f>
        <x:v>33.5</x:v>
      </x:c>
      <x:c r="Z350" s="94" t="n">
        <x:f>IFERROR(Y350/W350,0)</x:f>
        <x:v>0.5630252100840336</x:v>
      </x:c>
      <x:c r="AA350" s="84" t="str">
        <x:f>PROPER(TRIM('Raw Sales'!M350))</x:f>
        <x:v>Credit Card</x:v>
      </x:c>
      <x:c r="AB350" s="84" t="str">
        <x:f>PROPER(TRIM('Raw Sales'!N350))</x:f>
        <x:v>Maya Brooks</x:v>
      </x:c>
      <x:c r="AC350" s="85" t="n">
        <x:f>'Raw Sales'!O350</x:f>
        <x:v>45433</x:v>
      </x:c>
      <x:c r="AD350" s="84" t="n">
        <x:f>AC350-B350</x:f>
        <x:v>4</x:v>
      </x:c>
      <x:c r="AE350" s="84" t="str">
        <x:f>IF(COUNTIF($A$5:A350,A350)&gt;1,"Duplicate","Keep")</x:f>
        <x:v>Keep</x:v>
      </x:c>
      <x:c r="AF350" s="84" t="str">
        <x:f>IF(OR(R350&lt;=0,AC350&lt;B350,H350="Unknown",M350="Unknown Product"),"Review","Valid")</x:f>
        <x:v>Valid</x:v>
      </x:c>
      <x:c r="AG350" s="84" t="n">
        <x:f>IF(AND(AE350="Keep",AF350="Valid"),1,0)</x:f>
        <x:v>1</x:v>
      </x:c>
      <x:c r="AH350" s="84" t="n">
        <x:f>IF(AND(AG350=1,OR('Dashboard'!$B$4="All",I350='Dashboard'!$B$4),OR('Dashboard'!$E$4="All",N350='Dashboard'!$E$4),OR('Dashboard'!$H$4="All",K350='Dashboard'!$H$4),OR('Dashboard'!$K$4="All",C350='Dashboard'!$K$4)),1,0)</x:f>
        <x:v>1</x:v>
      </x:c>
      <x:c r="AI350" s="84" t="n">
        <x:f>IF(AND(AG350=1,OR('Dashboard'!$B$4="All",I350='Dashboard'!$B$4),OR('Dashboard'!$E$4="All",N350='Dashboard'!$E$4),OR('Dashboard'!$H$4="All",K350='Dashboard'!$H$4)),1,0)</x:f>
        <x:v>1</x:v>
      </x:c>
    </x:row>
    <x:row r="351">
      <x:c r="A351" s="84" t="str">
        <x:f>'Raw Sales'!A351</x:f>
        <x:v>ORD-2024-01124</x:v>
      </x:c>
      <x:c r="B351" s="85" t="n">
        <x:f>'Raw Sales'!B351</x:f>
        <x:v>45429</x:v>
      </x:c>
      <x:c r="C351" s="84" t="n">
        <x:f>YEAR(B351)</x:f>
        <x:v>2024</x:v>
      </x:c>
      <x:c r="D351" s="91" t="n">
        <x:f>DATE(YEAR(B351),MONTH(B351),1)</x:f>
        <x:v>45413</x:v>
      </x:c>
      <x:c r="E351" s="84" t="str">
        <x:f>TEXT(B351,"mmm")</x:f>
        <x:v>May</x:v>
      </x:c>
      <x:c r="F351" s="84" t="str">
        <x:f>'Raw Sales'!C351</x:f>
        <x:v>CUST-0309</x:v>
      </x:c>
      <x:c r="G351" s="84" t="str">
        <x:f>PROPER(TRIM('Raw Sales'!D351))</x:f>
        <x:v>Jasmine Garcia</x:v>
      </x:c>
      <x:c r="H351" s="84" t="str">
        <x:f>IF(TRIM('Raw Sales'!E351)="","Unknown",PROPER(TRIM('Raw Sales'!E351)))</x:f>
        <x:v>Consumer</x:v>
      </x:c>
      <x:c r="I351" s="84" t="str">
        <x:f>PROPER(TRIM('Raw Sales'!F351))</x:f>
        <x:v>Northeast</x:v>
      </x:c>
      <x:c r="J351" s="84" t="str">
        <x:f>PROPER(TRIM('Raw Sales'!G351))</x:f>
        <x:v>Boston</x:v>
      </x:c>
      <x:c r="K351" s="84" t="str">
        <x:f>PROPER(TRIM('Raw Sales'!H351))</x:f>
        <x:v>Retail Store</x:v>
      </x:c>
      <x:c r="L351" s="84" t="str">
        <x:f>'Raw Sales'!I351</x:f>
        <x:v>ELEC-005</x:v>
      </x:c>
      <x:c r="M351" s="84" t="str">
        <x:f>IFERROR(VLOOKUP(L351,'Reference Data'!$A$5:$F$40,2,FALSE),"Unknown Product")</x:f>
        <x:v>HD Webcam</x:v>
      </x:c>
      <x:c r="N351" s="84" t="str">
        <x:f>IFERROR(VLOOKUP(L351,'Reference Data'!$A$5:$F$40,3,FALSE),"Unknown")</x:f>
        <x:v>Electronics</x:v>
      </x:c>
      <x:c r="O351" s="84" t="str">
        <x:f>IFERROR(VLOOKUP(L351,'Reference Data'!$A$5:$F$40,4,FALSE),"Unknown")</x:f>
        <x:v>Computer Accessories</x:v>
      </x:c>
      <x:c r="P351" s="92" t="n">
        <x:f>IFERROR(VLOOKUP(L351,'Reference Data'!$A$5:$F$40,5,FALSE),0)</x:f>
        <x:v>79</x:v>
      </x:c>
      <x:c r="Q351" s="92" t="n">
        <x:f>IFERROR(VLOOKUP(L351,'Reference Data'!$A$5:$F$40,6,FALSE),0)</x:f>
        <x:v>37</x:v>
      </x:c>
      <x:c r="R351" s="84" t="n">
        <x:f>'Raw Sales'!J351</x:f>
        <x:v>2</x:v>
      </x:c>
      <x:c r="S351" s="87" t="n">
        <x:f>'Raw Sales'!K351</x:f>
        <x:v>0.05</x:v>
      </x:c>
      <x:c r="T351" s="93" t="n">
        <x:f>P351*R351</x:f>
        <x:v>158</x:v>
      </x:c>
      <x:c r="U351" s="93" t="n">
        <x:f>T351*S351</x:f>
        <x:v>7.9</x:v>
      </x:c>
      <x:c r="V351" s="93" t="str">
        <x:f>PROPER(TRIM('Raw Sales'!L351))</x:f>
        <x:v>Completed</x:v>
      </x:c>
      <x:c r="W351" s="93" t="n">
        <x:f>IF(V351="Returned",0,T351-U351)</x:f>
        <x:v>150.1</x:v>
      </x:c>
      <x:c r="X351" s="93" t="n">
        <x:f>IF(V351="Returned",Q351*R351*10%,Q351*R351)</x:f>
        <x:v>74</x:v>
      </x:c>
      <x:c r="Y351" s="93" t="n">
        <x:f>W351-X351</x:f>
        <x:v>76.1</x:v>
      </x:c>
      <x:c r="Z351" s="94" t="n">
        <x:f>IFERROR(Y351/W351,0)</x:f>
        <x:v>0.5069953364423717</x:v>
      </x:c>
      <x:c r="AA351" s="84" t="str">
        <x:f>PROPER(TRIM('Raw Sales'!M351))</x:f>
        <x:v>Debit Card</x:v>
      </x:c>
      <x:c r="AB351" s="84" t="str">
        <x:f>PROPER(TRIM('Raw Sales'!N351))</x:f>
        <x:v>Maya Brooks</x:v>
      </x:c>
      <x:c r="AC351" s="85" t="n">
        <x:f>'Raw Sales'!O351</x:f>
        <x:v>45430</x:v>
      </x:c>
      <x:c r="AD351" s="84" t="n">
        <x:f>AC351-B351</x:f>
        <x:v>1</x:v>
      </x:c>
      <x:c r="AE351" s="84" t="str">
        <x:f>IF(COUNTIF($A$5:A351,A351)&gt;1,"Duplicate","Keep")</x:f>
        <x:v>Keep</x:v>
      </x:c>
      <x:c r="AF351" s="84" t="str">
        <x:f>IF(OR(R351&lt;=0,AC351&lt;B351,H351="Unknown",M351="Unknown Product"),"Review","Valid")</x:f>
        <x:v>Valid</x:v>
      </x:c>
      <x:c r="AG351" s="84" t="n">
        <x:f>IF(AND(AE351="Keep",AF351="Valid"),1,0)</x:f>
        <x:v>1</x:v>
      </x:c>
      <x:c r="AH351" s="84" t="n">
        <x:f>IF(AND(AG351=1,OR('Dashboard'!$B$4="All",I351='Dashboard'!$B$4),OR('Dashboard'!$E$4="All",N351='Dashboard'!$E$4),OR('Dashboard'!$H$4="All",K351='Dashboard'!$H$4),OR('Dashboard'!$K$4="All",C351='Dashboard'!$K$4)),1,0)</x:f>
        <x:v>1</x:v>
      </x:c>
      <x:c r="AI351" s="84" t="n">
        <x:f>IF(AND(AG351=1,OR('Dashboard'!$B$4="All",I351='Dashboard'!$B$4),OR('Dashboard'!$E$4="All",N351='Dashboard'!$E$4),OR('Dashboard'!$H$4="All",K351='Dashboard'!$H$4)),1,0)</x:f>
        <x:v>1</x:v>
      </x:c>
    </x:row>
    <x:row r="352">
      <x:c r="A352" s="84" t="str">
        <x:f>'Raw Sales'!A352</x:f>
        <x:v>ORD-2024-01162</x:v>
      </x:c>
      <x:c r="B352" s="85" t="n">
        <x:f>'Raw Sales'!B352</x:f>
        <x:v>45429</x:v>
      </x:c>
      <x:c r="C352" s="84" t="n">
        <x:f>YEAR(B352)</x:f>
        <x:v>2024</x:v>
      </x:c>
      <x:c r="D352" s="91" t="n">
        <x:f>DATE(YEAR(B352),MONTH(B352),1)</x:f>
        <x:v>45413</x:v>
      </x:c>
      <x:c r="E352" s="84" t="str">
        <x:f>TEXT(B352,"mmm")</x:f>
        <x:v>May</x:v>
      </x:c>
      <x:c r="F352" s="84" t="str">
        <x:f>'Raw Sales'!C352</x:f>
        <x:v>CUST-0529</x:v>
      </x:c>
      <x:c r="G352" s="84" t="str">
        <x:f>PROPER(TRIM('Raw Sales'!D352))</x:f>
        <x:v>Grace Hall</x:v>
      </x:c>
      <x:c r="H352" s="84" t="str">
        <x:f>IF(TRIM('Raw Sales'!E352)="","Unknown",PROPER(TRIM('Raw Sales'!E352)))</x:f>
        <x:v>Consumer</x:v>
      </x:c>
      <x:c r="I352" s="84" t="str">
        <x:f>PROPER(TRIM('Raw Sales'!F352))</x:f>
        <x:v>Northeast</x:v>
      </x:c>
      <x:c r="J352" s="84" t="str">
        <x:f>PROPER(TRIM('Raw Sales'!G352))</x:f>
        <x:v>Newark</x:v>
      </x:c>
      <x:c r="K352" s="84" t="str">
        <x:f>PROPER(TRIM('Raw Sales'!H352))</x:f>
        <x:v>Online</x:v>
      </x:c>
      <x:c r="L352" s="84" t="str">
        <x:f>'Raw Sales'!I352</x:f>
        <x:v>ELEC-003</x:v>
      </x:c>
      <x:c r="M352" s="84" t="str">
        <x:f>IFERROR(VLOOKUP(L352,'Reference Data'!$A$5:$F$40,2,FALSE),"Unknown Product")</x:f>
        <x:v>Bluetooth Speaker</x:v>
      </x:c>
      <x:c r="N352" s="84" t="str">
        <x:f>IFERROR(VLOOKUP(L352,'Reference Data'!$A$5:$F$40,3,FALSE),"Unknown")</x:f>
        <x:v>Electronics</x:v>
      </x:c>
      <x:c r="O352" s="84" t="str">
        <x:f>IFERROR(VLOOKUP(L352,'Reference Data'!$A$5:$F$40,4,FALSE),"Unknown")</x:f>
        <x:v>Audio</x:v>
      </x:c>
      <x:c r="P352" s="92" t="n">
        <x:f>IFERROR(VLOOKUP(L352,'Reference Data'!$A$5:$F$40,5,FALSE),0)</x:f>
        <x:v>89</x:v>
      </x:c>
      <x:c r="Q352" s="92" t="n">
        <x:f>IFERROR(VLOOKUP(L352,'Reference Data'!$A$5:$F$40,6,FALSE),0)</x:f>
        <x:v>44</x:v>
      </x:c>
      <x:c r="R352" s="84" t="n">
        <x:f>'Raw Sales'!J352</x:f>
        <x:v>1</x:v>
      </x:c>
      <x:c r="S352" s="87" t="n">
        <x:f>'Raw Sales'!K352</x:f>
        <x:v>0</x:v>
      </x:c>
      <x:c r="T352" s="93" t="n">
        <x:f>P352*R352</x:f>
        <x:v>89</x:v>
      </x:c>
      <x:c r="U352" s="93" t="n">
        <x:f>T352*S352</x:f>
        <x:v>0</x:v>
      </x:c>
      <x:c r="V352" s="93" t="str">
        <x:f>PROPER(TRIM('Raw Sales'!L352))</x:f>
        <x:v>Completed</x:v>
      </x:c>
      <x:c r="W352" s="93" t="n">
        <x:f>IF(V352="Returned",0,T352-U352)</x:f>
        <x:v>89</x:v>
      </x:c>
      <x:c r="X352" s="93" t="n">
        <x:f>IF(V352="Returned",Q352*R352*10%,Q352*R352)</x:f>
        <x:v>44</x:v>
      </x:c>
      <x:c r="Y352" s="93" t="n">
        <x:f>W352-X352</x:f>
        <x:v>45</x:v>
      </x:c>
      <x:c r="Z352" s="94" t="n">
        <x:f>IFERROR(Y352/W352,0)</x:f>
        <x:v>0.5056179775280899</x:v>
      </x:c>
      <x:c r="AA352" s="84" t="str">
        <x:f>PROPER(TRIM('Raw Sales'!M352))</x:f>
        <x:v>Paypal</x:v>
      </x:c>
      <x:c r="AB352" s="84" t="str">
        <x:f>PROPER(TRIM('Raw Sales'!N352))</x:f>
        <x:v>Maya Brooks</x:v>
      </x:c>
      <x:c r="AC352" s="85" t="n">
        <x:f>'Raw Sales'!O352</x:f>
        <x:v>45433</x:v>
      </x:c>
      <x:c r="AD352" s="84" t="n">
        <x:f>AC352-B352</x:f>
        <x:v>4</x:v>
      </x:c>
      <x:c r="AE352" s="84" t="str">
        <x:f>IF(COUNTIF($A$5:A352,A352)&gt;1,"Duplicate","Keep")</x:f>
        <x:v>Keep</x:v>
      </x:c>
      <x:c r="AF352" s="84" t="str">
        <x:f>IF(OR(R352&lt;=0,AC352&lt;B352,H352="Unknown",M352="Unknown Product"),"Review","Valid")</x:f>
        <x:v>Valid</x:v>
      </x:c>
      <x:c r="AG352" s="84" t="n">
        <x:f>IF(AND(AE352="Keep",AF352="Valid"),1,0)</x:f>
        <x:v>1</x:v>
      </x:c>
      <x:c r="AH352" s="84" t="n">
        <x:f>IF(AND(AG352=1,OR('Dashboard'!$B$4="All",I352='Dashboard'!$B$4),OR('Dashboard'!$E$4="All",N352='Dashboard'!$E$4),OR('Dashboard'!$H$4="All",K352='Dashboard'!$H$4),OR('Dashboard'!$K$4="All",C352='Dashboard'!$K$4)),1,0)</x:f>
        <x:v>1</x:v>
      </x:c>
      <x:c r="AI352" s="84" t="n">
        <x:f>IF(AND(AG352=1,OR('Dashboard'!$B$4="All",I352='Dashboard'!$B$4),OR('Dashboard'!$E$4="All",N352='Dashboard'!$E$4),OR('Dashboard'!$H$4="All",K352='Dashboard'!$H$4)),1,0)</x:f>
        <x:v>1</x:v>
      </x:c>
    </x:row>
    <x:row r="353">
      <x:c r="A353" s="84" t="str">
        <x:f>'Raw Sales'!A353</x:f>
        <x:v>ORD-2024-00035</x:v>
      </x:c>
      <x:c r="B353" s="85" t="n">
        <x:f>'Raw Sales'!B353</x:f>
        <x:v>45430</x:v>
      </x:c>
      <x:c r="C353" s="84" t="n">
        <x:f>YEAR(B353)</x:f>
        <x:v>2024</x:v>
      </x:c>
      <x:c r="D353" s="91" t="n">
        <x:f>DATE(YEAR(B353),MONTH(B353),1)</x:f>
        <x:v>45413</x:v>
      </x:c>
      <x:c r="E353" s="84" t="str">
        <x:f>TEXT(B353,"mmm")</x:f>
        <x:v>May</x:v>
      </x:c>
      <x:c r="F353" s="84" t="str">
        <x:f>'Raw Sales'!C353</x:f>
        <x:v>CUST-0452</x:v>
      </x:c>
      <x:c r="G353" s="84" t="str">
        <x:f>PROPER(TRIM('Raw Sales'!D353))</x:f>
        <x:v>Aiden Moore</x:v>
      </x:c>
      <x:c r="H353" s="84" t="str">
        <x:f>IF(TRIM('Raw Sales'!E353)="","Unknown",PROPER(TRIM('Raw Sales'!E353)))</x:f>
        <x:v>Corporate</x:v>
      </x:c>
      <x:c r="I353" s="84" t="str">
        <x:f>PROPER(TRIM('Raw Sales'!F353))</x:f>
        <x:v>Northeast</x:v>
      </x:c>
      <x:c r="J353" s="84" t="str">
        <x:f>PROPER(TRIM('Raw Sales'!G353))</x:f>
        <x:v>Philadelphia</x:v>
      </x:c>
      <x:c r="K353" s="84" t="str">
        <x:f>PROPER(TRIM('Raw Sales'!H353))</x:f>
        <x:v>Online</x:v>
      </x:c>
      <x:c r="L353" s="84" t="str">
        <x:f>'Raw Sales'!I353</x:f>
        <x:v>HOME-003</x:v>
      </x:c>
      <x:c r="M353" s="84" t="str">
        <x:f>IFERROR(VLOOKUP(L353,'Reference Data'!$A$5:$F$40,2,FALSE),"Unknown Product")</x:f>
        <x:v>Countertop Blender</x:v>
      </x:c>
      <x:c r="N353" s="84" t="str">
        <x:f>IFERROR(VLOOKUP(L353,'Reference Data'!$A$5:$F$40,3,FALSE),"Unknown")</x:f>
        <x:v>Home &amp; Kitchen</x:v>
      </x:c>
      <x:c r="O353" s="84" t="str">
        <x:f>IFERROR(VLOOKUP(L353,'Reference Data'!$A$5:$F$40,4,FALSE),"Unknown")</x:f>
        <x:v>Small Appliances</x:v>
      </x:c>
      <x:c r="P353" s="92" t="n">
        <x:f>IFERROR(VLOOKUP(L353,'Reference Data'!$A$5:$F$40,5,FALSE),0)</x:f>
        <x:v>89</x:v>
      </x:c>
      <x:c r="Q353" s="92" t="n">
        <x:f>IFERROR(VLOOKUP(L353,'Reference Data'!$A$5:$F$40,6,FALSE),0)</x:f>
        <x:v>46</x:v>
      </x:c>
      <x:c r="R353" s="84" t="n">
        <x:f>'Raw Sales'!J353</x:f>
        <x:v>4</x:v>
      </x:c>
      <x:c r="S353" s="87" t="n">
        <x:f>'Raw Sales'!K353</x:f>
        <x:v>0.1</x:v>
      </x:c>
      <x:c r="T353" s="93" t="n">
        <x:f>P353*R353</x:f>
        <x:v>356</x:v>
      </x:c>
      <x:c r="U353" s="93" t="n">
        <x:f>T353*S353</x:f>
        <x:v>35.6</x:v>
      </x:c>
      <x:c r="V353" s="93" t="str">
        <x:f>PROPER(TRIM('Raw Sales'!L353))</x:f>
        <x:v>Completed</x:v>
      </x:c>
      <x:c r="W353" s="93" t="n">
        <x:f>IF(V353="Returned",0,T353-U353)</x:f>
        <x:v>320.4</x:v>
      </x:c>
      <x:c r="X353" s="93" t="n">
        <x:f>IF(V353="Returned",Q353*R353*10%,Q353*R353)</x:f>
        <x:v>184</x:v>
      </x:c>
      <x:c r="Y353" s="93" t="n">
        <x:f>W353-X353</x:f>
        <x:v>136.39999999999998</x:v>
      </x:c>
      <x:c r="Z353" s="94" t="n">
        <x:f>IFERROR(Y353/W353,0)</x:f>
        <x:v>0.4257178526841448</x:v>
      </x:c>
      <x:c r="AA353" s="84" t="str">
        <x:f>PROPER(TRIM('Raw Sales'!M353))</x:f>
        <x:v>Credit Card</x:v>
      </x:c>
      <x:c r="AB353" s="84" t="str">
        <x:f>PROPER(TRIM('Raw Sales'!N353))</x:f>
        <x:v>Ethan Cole</x:v>
      </x:c>
      <x:c r="AC353" s="85" t="n">
        <x:f>'Raw Sales'!O353</x:f>
        <x:v>45435</x:v>
      </x:c>
      <x:c r="AD353" s="84" t="n">
        <x:f>AC353-B353</x:f>
        <x:v>5</x:v>
      </x:c>
      <x:c r="AE353" s="84" t="str">
        <x:f>IF(COUNTIF($A$5:A353,A353)&gt;1,"Duplicate","Keep")</x:f>
        <x:v>Keep</x:v>
      </x:c>
      <x:c r="AF353" s="84" t="str">
        <x:f>IF(OR(R353&lt;=0,AC353&lt;B353,H353="Unknown",M353="Unknown Product"),"Review","Valid")</x:f>
        <x:v>Valid</x:v>
      </x:c>
      <x:c r="AG353" s="84" t="n">
        <x:f>IF(AND(AE353="Keep",AF353="Valid"),1,0)</x:f>
        <x:v>1</x:v>
      </x:c>
      <x:c r="AH353" s="84" t="n">
        <x:f>IF(AND(AG353=1,OR('Dashboard'!$B$4="All",I353='Dashboard'!$B$4),OR('Dashboard'!$E$4="All",N353='Dashboard'!$E$4),OR('Dashboard'!$H$4="All",K353='Dashboard'!$H$4),OR('Dashboard'!$K$4="All",C353='Dashboard'!$K$4)),1,0)</x:f>
        <x:v>1</x:v>
      </x:c>
      <x:c r="AI353" s="84" t="n">
        <x:f>IF(AND(AG353=1,OR('Dashboard'!$B$4="All",I353='Dashboard'!$B$4),OR('Dashboard'!$E$4="All",N353='Dashboard'!$E$4),OR('Dashboard'!$H$4="All",K353='Dashboard'!$H$4)),1,0)</x:f>
        <x:v>1</x:v>
      </x:c>
    </x:row>
    <x:row r="354">
      <x:c r="A354" s="84" t="str">
        <x:f>'Raw Sales'!A354</x:f>
        <x:v>ORD-2024-00191</x:v>
      </x:c>
      <x:c r="B354" s="85" t="n">
        <x:f>'Raw Sales'!B354</x:f>
        <x:v>45430</x:v>
      </x:c>
      <x:c r="C354" s="84" t="n">
        <x:f>YEAR(B354)</x:f>
        <x:v>2024</x:v>
      </x:c>
      <x:c r="D354" s="91" t="n">
        <x:f>DATE(YEAR(B354),MONTH(B354),1)</x:f>
        <x:v>45413</x:v>
      </x:c>
      <x:c r="E354" s="84" t="str">
        <x:f>TEXT(B354,"mmm")</x:f>
        <x:v>May</x:v>
      </x:c>
      <x:c r="F354" s="84" t="str">
        <x:f>'Raw Sales'!C354</x:f>
        <x:v>CUST-0442</x:v>
      </x:c>
      <x:c r="G354" s="84" t="str">
        <x:f>PROPER(TRIM('Raw Sales'!D354))</x:f>
        <x:v>Elena Irwin</x:v>
      </x:c>
      <x:c r="H354" s="84" t="str">
        <x:f>IF(TRIM('Raw Sales'!E354)="","Unknown",PROPER(TRIM('Raw Sales'!E354)))</x:f>
        <x:v>Consumer</x:v>
      </x:c>
      <x:c r="I354" s="84" t="str">
        <x:f>PROPER(TRIM('Raw Sales'!F354))</x:f>
        <x:v>Northeast</x:v>
      </x:c>
      <x:c r="J354" s="84" t="str">
        <x:f>PROPER(TRIM('Raw Sales'!G354))</x:f>
        <x:v>Boston</x:v>
      </x:c>
      <x:c r="K354" s="84" t="str">
        <x:f>PROPER(TRIM('Raw Sales'!H354))</x:f>
        <x:v>Online</x:v>
      </x:c>
      <x:c r="L354" s="84" t="str">
        <x:f>'Raw Sales'!I354</x:f>
        <x:v>OFFC-001</x:v>
      </x:c>
      <x:c r="M354" s="84" t="str">
        <x:f>IFERROR(VLOOKUP(L354,'Reference Data'!$A$5:$F$40,2,FALSE),"Unknown Product")</x:f>
        <x:v>Ergonomic Chair</x:v>
      </x:c>
      <x:c r="N354" s="84" t="str">
        <x:f>IFERROR(VLOOKUP(L354,'Reference Data'!$A$5:$F$40,3,FALSE),"Unknown")</x:f>
        <x:v>Office</x:v>
      </x:c>
      <x:c r="O354" s="84" t="str">
        <x:f>IFERROR(VLOOKUP(L354,'Reference Data'!$A$5:$F$40,4,FALSE),"Unknown")</x:f>
        <x:v>Furniture</x:v>
      </x:c>
      <x:c r="P354" s="92" t="n">
        <x:f>IFERROR(VLOOKUP(L354,'Reference Data'!$A$5:$F$40,5,FALSE),0)</x:f>
        <x:v>249</x:v>
      </x:c>
      <x:c r="Q354" s="92" t="n">
        <x:f>IFERROR(VLOOKUP(L354,'Reference Data'!$A$5:$F$40,6,FALSE),0)</x:f>
        <x:v>145</x:v>
      </x:c>
      <x:c r="R354" s="84" t="n">
        <x:f>'Raw Sales'!J354</x:f>
        <x:v>1</x:v>
      </x:c>
      <x:c r="S354" s="87" t="n">
        <x:f>'Raw Sales'!K354</x:f>
        <x:v>0.1</x:v>
      </x:c>
      <x:c r="T354" s="93" t="n">
        <x:f>P354*R354</x:f>
        <x:v>249</x:v>
      </x:c>
      <x:c r="U354" s="93" t="n">
        <x:f>T354*S354</x:f>
        <x:v>24.900000000000002</x:v>
      </x:c>
      <x:c r="V354" s="93" t="str">
        <x:f>PROPER(TRIM('Raw Sales'!L354))</x:f>
        <x:v>Completed</x:v>
      </x:c>
      <x:c r="W354" s="93" t="n">
        <x:f>IF(V354="Returned",0,T354-U354)</x:f>
        <x:v>224.1</x:v>
      </x:c>
      <x:c r="X354" s="93" t="n">
        <x:f>IF(V354="Returned",Q354*R354*10%,Q354*R354)</x:f>
        <x:v>145</x:v>
      </x:c>
      <x:c r="Y354" s="93" t="n">
        <x:f>W354-X354</x:f>
        <x:v>79.1</x:v>
      </x:c>
      <x:c r="Z354" s="94" t="n">
        <x:f>IFERROR(Y354/W354,0)</x:f>
        <x:v>0.35296742525658187</x:v>
      </x:c>
      <x:c r="AA354" s="84" t="str">
        <x:f>PROPER(TRIM('Raw Sales'!M354))</x:f>
        <x:v>Paypal</x:v>
      </x:c>
      <x:c r="AB354" s="84" t="str">
        <x:f>PROPER(TRIM('Raw Sales'!N354))</x:f>
        <x:v>Ethan Cole</x:v>
      </x:c>
      <x:c r="AC354" s="85" t="n">
        <x:f>'Raw Sales'!O354</x:f>
        <x:v>45433</x:v>
      </x:c>
      <x:c r="AD354" s="84" t="n">
        <x:f>AC354-B354</x:f>
        <x:v>3</x:v>
      </x:c>
      <x:c r="AE354" s="84" t="str">
        <x:f>IF(COUNTIF($A$5:A354,A354)&gt;1,"Duplicate","Keep")</x:f>
        <x:v>Keep</x:v>
      </x:c>
      <x:c r="AF354" s="84" t="str">
        <x:f>IF(OR(R354&lt;=0,AC354&lt;B354,H354="Unknown",M354="Unknown Product"),"Review","Valid")</x:f>
        <x:v>Valid</x:v>
      </x:c>
      <x:c r="AG354" s="84" t="n">
        <x:f>IF(AND(AE354="Keep",AF354="Valid"),1,0)</x:f>
        <x:v>1</x:v>
      </x:c>
      <x:c r="AH354" s="84" t="n">
        <x:f>IF(AND(AG354=1,OR('Dashboard'!$B$4="All",I354='Dashboard'!$B$4),OR('Dashboard'!$E$4="All",N354='Dashboard'!$E$4),OR('Dashboard'!$H$4="All",K354='Dashboard'!$H$4),OR('Dashboard'!$K$4="All",C354='Dashboard'!$K$4)),1,0)</x:f>
        <x:v>1</x:v>
      </x:c>
      <x:c r="AI354" s="84" t="n">
        <x:f>IF(AND(AG354=1,OR('Dashboard'!$B$4="All",I354='Dashboard'!$B$4),OR('Dashboard'!$E$4="All",N354='Dashboard'!$E$4),OR('Dashboard'!$H$4="All",K354='Dashboard'!$H$4)),1,0)</x:f>
        <x:v>1</x:v>
      </x:c>
    </x:row>
    <x:row r="355">
      <x:c r="A355" s="84" t="str">
        <x:f>'Raw Sales'!A355</x:f>
        <x:v>ORD-2024-01204</x:v>
      </x:c>
      <x:c r="B355" s="85" t="n">
        <x:f>'Raw Sales'!B355</x:f>
        <x:v>45430</x:v>
      </x:c>
      <x:c r="C355" s="84" t="n">
        <x:f>YEAR(B355)</x:f>
        <x:v>2024</x:v>
      </x:c>
      <x:c r="D355" s="91" t="n">
        <x:f>DATE(YEAR(B355),MONTH(B355),1)</x:f>
        <x:v>45413</x:v>
      </x:c>
      <x:c r="E355" s="84" t="str">
        <x:f>TEXT(B355,"mmm")</x:f>
        <x:v>May</x:v>
      </x:c>
      <x:c r="F355" s="84" t="str">
        <x:f>'Raw Sales'!C355</x:f>
        <x:v>CUST-0147</x:v>
      </x:c>
      <x:c r="G355" s="84" t="str">
        <x:f>PROPER(TRIM('Raw Sales'!D355))</x:f>
        <x:v>Isaac Khan</x:v>
      </x:c>
      <x:c r="H355" s="84" t="str">
        <x:f>IF(TRIM('Raw Sales'!E355)="","Unknown",PROPER(TRIM('Raw Sales'!E355)))</x:f>
        <x:v>Corporate</x:v>
      </x:c>
      <x:c r="I355" s="84" t="str">
        <x:f>PROPER(TRIM('Raw Sales'!F355))</x:f>
        <x:v>Northeast</x:v>
      </x:c>
      <x:c r="J355" s="84" t="str">
        <x:f>PROPER(TRIM('Raw Sales'!G355))</x:f>
        <x:v>Boston</x:v>
      </x:c>
      <x:c r="K355" s="84" t="str">
        <x:f>PROPER(TRIM('Raw Sales'!H355))</x:f>
        <x:v>Marketplace</x:v>
      </x:c>
      <x:c r="L355" s="84" t="str">
        <x:f>'Raw Sales'!I355</x:f>
        <x:v>OFFC-001</x:v>
      </x:c>
      <x:c r="M355" s="84" t="str">
        <x:f>IFERROR(VLOOKUP(L355,'Reference Data'!$A$5:$F$40,2,FALSE),"Unknown Product")</x:f>
        <x:v>Ergonomic Chair</x:v>
      </x:c>
      <x:c r="N355" s="84" t="str">
        <x:f>IFERROR(VLOOKUP(L355,'Reference Data'!$A$5:$F$40,3,FALSE),"Unknown")</x:f>
        <x:v>Office</x:v>
      </x:c>
      <x:c r="O355" s="84" t="str">
        <x:f>IFERROR(VLOOKUP(L355,'Reference Data'!$A$5:$F$40,4,FALSE),"Unknown")</x:f>
        <x:v>Furniture</x:v>
      </x:c>
      <x:c r="P355" s="92" t="n">
        <x:f>IFERROR(VLOOKUP(L355,'Reference Data'!$A$5:$F$40,5,FALSE),0)</x:f>
        <x:v>249</x:v>
      </x:c>
      <x:c r="Q355" s="92" t="n">
        <x:f>IFERROR(VLOOKUP(L355,'Reference Data'!$A$5:$F$40,6,FALSE),0)</x:f>
        <x:v>145</x:v>
      </x:c>
      <x:c r="R355" s="84" t="n">
        <x:f>'Raw Sales'!J355</x:f>
        <x:v>4</x:v>
      </x:c>
      <x:c r="S355" s="87" t="n">
        <x:f>'Raw Sales'!K355</x:f>
        <x:v>0</x:v>
      </x:c>
      <x:c r="T355" s="93" t="n">
        <x:f>P355*R355</x:f>
        <x:v>996</x:v>
      </x:c>
      <x:c r="U355" s="93" t="n">
        <x:f>T355*S355</x:f>
        <x:v>0</x:v>
      </x:c>
      <x:c r="V355" s="93" t="str">
        <x:f>PROPER(TRIM('Raw Sales'!L355))</x:f>
        <x:v>Completed</x:v>
      </x:c>
      <x:c r="W355" s="93" t="n">
        <x:f>IF(V355="Returned",0,T355-U355)</x:f>
        <x:v>996</x:v>
      </x:c>
      <x:c r="X355" s="93" t="n">
        <x:f>IF(V355="Returned",Q355*R355*10%,Q355*R355)</x:f>
        <x:v>580</x:v>
      </x:c>
      <x:c r="Y355" s="93" t="n">
        <x:f>W355-X355</x:f>
        <x:v>416</x:v>
      </x:c>
      <x:c r="Z355" s="94" t="n">
        <x:f>IFERROR(Y355/W355,0)</x:f>
        <x:v>0.41767068273092367</x:v>
      </x:c>
      <x:c r="AA355" s="84" t="str">
        <x:f>PROPER(TRIM('Raw Sales'!M355))</x:f>
        <x:v>Debit Card</x:v>
      </x:c>
      <x:c r="AB355" s="84" t="str">
        <x:f>PROPER(TRIM('Raw Sales'!N355))</x:f>
        <x:v>Ethan Cole</x:v>
      </x:c>
      <x:c r="AC355" s="85" t="n">
        <x:f>'Raw Sales'!O355</x:f>
        <x:v>45434</x:v>
      </x:c>
      <x:c r="AD355" s="84" t="n">
        <x:f>AC355-B355</x:f>
        <x:v>4</x:v>
      </x:c>
      <x:c r="AE355" s="84" t="str">
        <x:f>IF(COUNTIF($A$5:A355,A355)&gt;1,"Duplicate","Keep")</x:f>
        <x:v>Keep</x:v>
      </x:c>
      <x:c r="AF355" s="84" t="str">
        <x:f>IF(OR(R355&lt;=0,AC355&lt;B355,H355="Unknown",M355="Unknown Product"),"Review","Valid")</x:f>
        <x:v>Valid</x:v>
      </x:c>
      <x:c r="AG355" s="84" t="n">
        <x:f>IF(AND(AE355="Keep",AF355="Valid"),1,0)</x:f>
        <x:v>1</x:v>
      </x:c>
      <x:c r="AH355" s="84" t="n">
        <x:f>IF(AND(AG355=1,OR('Dashboard'!$B$4="All",I355='Dashboard'!$B$4),OR('Dashboard'!$E$4="All",N355='Dashboard'!$E$4),OR('Dashboard'!$H$4="All",K355='Dashboard'!$H$4),OR('Dashboard'!$K$4="All",C355='Dashboard'!$K$4)),1,0)</x:f>
        <x:v>1</x:v>
      </x:c>
      <x:c r="AI355" s="84" t="n">
        <x:f>IF(AND(AG355=1,OR('Dashboard'!$B$4="All",I355='Dashboard'!$B$4),OR('Dashboard'!$E$4="All",N355='Dashboard'!$E$4),OR('Dashboard'!$H$4="All",K355='Dashboard'!$H$4)),1,0)</x:f>
        <x:v>1</x:v>
      </x:c>
    </x:row>
    <x:row r="356">
      <x:c r="A356" s="84" t="str">
        <x:f>'Raw Sales'!A356</x:f>
        <x:v>ORD-2024-01624</x:v>
      </x:c>
      <x:c r="B356" s="85" t="n">
        <x:f>'Raw Sales'!B356</x:f>
        <x:v>45430</x:v>
      </x:c>
      <x:c r="C356" s="84" t="n">
        <x:f>YEAR(B356)</x:f>
        <x:v>2024</x:v>
      </x:c>
      <x:c r="D356" s="91" t="n">
        <x:f>DATE(YEAR(B356),MONTH(B356),1)</x:f>
        <x:v>45413</x:v>
      </x:c>
      <x:c r="E356" s="84" t="str">
        <x:f>TEXT(B356,"mmm")</x:f>
        <x:v>May</x:v>
      </x:c>
      <x:c r="F356" s="84" t="str">
        <x:f>'Raw Sales'!C356</x:f>
        <x:v>CUST-0092</x:v>
      </x:c>
      <x:c r="G356" s="84" t="str">
        <x:f>PROPER(TRIM('Raw Sales'!D356))</x:f>
        <x:v>Jasmine Smith</x:v>
      </x:c>
      <x:c r="H356" s="84" t="str">
        <x:f>IF(TRIM('Raw Sales'!E356)="","Unknown",PROPER(TRIM('Raw Sales'!E356)))</x:f>
        <x:v>Corporate</x:v>
      </x:c>
      <x:c r="I356" s="84" t="str">
        <x:f>PROPER(TRIM('Raw Sales'!F356))</x:f>
        <x:v>Midwest</x:v>
      </x:c>
      <x:c r="J356" s="84" t="str">
        <x:f>PROPER(TRIM('Raw Sales'!G356))</x:f>
        <x:v>Detroit</x:v>
      </x:c>
      <x:c r="K356" s="84" t="str">
        <x:f>PROPER(TRIM('Raw Sales'!H356))</x:f>
        <x:v>Retail Store</x:v>
      </x:c>
      <x:c r="L356" s="84" t="str">
        <x:f>'Raw Sales'!I356</x:f>
        <x:v>ELEC-003</x:v>
      </x:c>
      <x:c r="M356" s="84" t="str">
        <x:f>IFERROR(VLOOKUP(L356,'Reference Data'!$A$5:$F$40,2,FALSE),"Unknown Product")</x:f>
        <x:v>Bluetooth Speaker</x:v>
      </x:c>
      <x:c r="N356" s="84" t="str">
        <x:f>IFERROR(VLOOKUP(L356,'Reference Data'!$A$5:$F$40,3,FALSE),"Unknown")</x:f>
        <x:v>Electronics</x:v>
      </x:c>
      <x:c r="O356" s="84" t="str">
        <x:f>IFERROR(VLOOKUP(L356,'Reference Data'!$A$5:$F$40,4,FALSE),"Unknown")</x:f>
        <x:v>Audio</x:v>
      </x:c>
      <x:c r="P356" s="92" t="n">
        <x:f>IFERROR(VLOOKUP(L356,'Reference Data'!$A$5:$F$40,5,FALSE),0)</x:f>
        <x:v>89</x:v>
      </x:c>
      <x:c r="Q356" s="92" t="n">
        <x:f>IFERROR(VLOOKUP(L356,'Reference Data'!$A$5:$F$40,6,FALSE),0)</x:f>
        <x:v>44</x:v>
      </x:c>
      <x:c r="R356" s="84" t="n">
        <x:f>'Raw Sales'!J356</x:f>
        <x:v>2</x:v>
      </x:c>
      <x:c r="S356" s="87" t="n">
        <x:f>'Raw Sales'!K356</x:f>
        <x:v>0.15</x:v>
      </x:c>
      <x:c r="T356" s="93" t="n">
        <x:f>P356*R356</x:f>
        <x:v>178</x:v>
      </x:c>
      <x:c r="U356" s="93" t="n">
        <x:f>T356*S356</x:f>
        <x:v>26.7</x:v>
      </x:c>
      <x:c r="V356" s="93" t="str">
        <x:f>PROPER(TRIM('Raw Sales'!L356))</x:f>
        <x:v>Completed</x:v>
      </x:c>
      <x:c r="W356" s="93" t="n">
        <x:f>IF(V356="Returned",0,T356-U356)</x:f>
        <x:v>151.3</x:v>
      </x:c>
      <x:c r="X356" s="93" t="n">
        <x:f>IF(V356="Returned",Q356*R356*10%,Q356*R356)</x:f>
        <x:v>88</x:v>
      </x:c>
      <x:c r="Y356" s="93" t="n">
        <x:f>W356-X356</x:f>
        <x:v>63.30000000000001</x:v>
      </x:c>
      <x:c r="Z356" s="94" t="n">
        <x:f>IFERROR(Y356/W356,0)</x:f>
        <x:v>0.4183740912095176</x:v>
      </x:c>
      <x:c r="AA356" s="84" t="str">
        <x:f>PROPER(TRIM('Raw Sales'!M356))</x:f>
        <x:v>Mobile Wallet</x:v>
      </x:c>
      <x:c r="AB356" s="84" t="str">
        <x:f>PROPER(TRIM('Raw Sales'!N356))</x:f>
        <x:v>Emma Hayes</x:v>
      </x:c>
      <x:c r="AC356" s="85" t="n">
        <x:f>'Raw Sales'!O356</x:f>
        <x:v>45430</x:v>
      </x:c>
      <x:c r="AD356" s="84" t="n">
        <x:f>AC356-B356</x:f>
        <x:v>0</x:v>
      </x:c>
      <x:c r="AE356" s="84" t="str">
        <x:f>IF(COUNTIF($A$5:A356,A356)&gt;1,"Duplicate","Keep")</x:f>
        <x:v>Keep</x:v>
      </x:c>
      <x:c r="AF356" s="84" t="str">
        <x:f>IF(OR(R356&lt;=0,AC356&lt;B356,H356="Unknown",M356="Unknown Product"),"Review","Valid")</x:f>
        <x:v>Valid</x:v>
      </x:c>
      <x:c r="AG356" s="84" t="n">
        <x:f>IF(AND(AE356="Keep",AF356="Valid"),1,0)</x:f>
        <x:v>1</x:v>
      </x:c>
      <x:c r="AH356" s="84" t="n">
        <x:f>IF(AND(AG356=1,OR('Dashboard'!$B$4="All",I356='Dashboard'!$B$4),OR('Dashboard'!$E$4="All",N356='Dashboard'!$E$4),OR('Dashboard'!$H$4="All",K356='Dashboard'!$H$4),OR('Dashboard'!$K$4="All",C356='Dashboard'!$K$4)),1,0)</x:f>
        <x:v>1</x:v>
      </x:c>
      <x:c r="AI356" s="84" t="n">
        <x:f>IF(AND(AG356=1,OR('Dashboard'!$B$4="All",I356='Dashboard'!$B$4),OR('Dashboard'!$E$4="All",N356='Dashboard'!$E$4),OR('Dashboard'!$H$4="All",K356='Dashboard'!$H$4)),1,0)</x:f>
        <x:v>1</x:v>
      </x:c>
    </x:row>
    <x:row r="357">
      <x:c r="A357" s="84" t="str">
        <x:f>'Raw Sales'!A357</x:f>
        <x:v>ORD-2024-00419</x:v>
      </x:c>
      <x:c r="B357" s="85" t="n">
        <x:f>'Raw Sales'!B357</x:f>
        <x:v>45431</x:v>
      </x:c>
      <x:c r="C357" s="84" t="n">
        <x:f>YEAR(B357)</x:f>
        <x:v>2024</x:v>
      </x:c>
      <x:c r="D357" s="91" t="n">
        <x:f>DATE(YEAR(B357),MONTH(B357),1)</x:f>
        <x:v>45413</x:v>
      </x:c>
      <x:c r="E357" s="84" t="str">
        <x:f>TEXT(B357,"mmm")</x:f>
        <x:v>May</x:v>
      </x:c>
      <x:c r="F357" s="84" t="str">
        <x:f>'Raw Sales'!C357</x:f>
        <x:v>CUST-0340</x:v>
      </x:c>
      <x:c r="G357" s="84" t="str">
        <x:f>PROPER(TRIM('Raw Sales'!D357))</x:f>
        <x:v>Nina Moore</x:v>
      </x:c>
      <x:c r="H357" s="84" t="str">
        <x:f>IF(TRIM('Raw Sales'!E357)="","Unknown",PROPER(TRIM('Raw Sales'!E357)))</x:f>
        <x:v>Consumer</x:v>
      </x:c>
      <x:c r="I357" s="84" t="str">
        <x:f>PROPER(TRIM('Raw Sales'!F357))</x:f>
        <x:v>West</x:v>
      </x:c>
      <x:c r="J357" s="84" t="str">
        <x:f>PROPER(TRIM('Raw Sales'!G357))</x:f>
        <x:v>Los Angeles</x:v>
      </x:c>
      <x:c r="K357" s="84" t="str">
        <x:f>PROPER(TRIM('Raw Sales'!H357))</x:f>
        <x:v>Online</x:v>
      </x:c>
      <x:c r="L357" s="84" t="str">
        <x:f>'Raw Sales'!I357</x:f>
        <x:v>ELEC-006</x:v>
      </x:c>
      <x:c r="M357" s="84" t="str">
        <x:f>IFERROR(VLOOKUP(L357,'Reference Data'!$A$5:$F$40,2,FALSE),"Unknown Product")</x:f>
        <x:v>Portable SSD</x:v>
      </x:c>
      <x:c r="N357" s="84" t="str">
        <x:f>IFERROR(VLOOKUP(L357,'Reference Data'!$A$5:$F$40,3,FALSE),"Unknown")</x:f>
        <x:v>Electronics</x:v>
      </x:c>
      <x:c r="O357" s="84" t="str">
        <x:f>IFERROR(VLOOKUP(L357,'Reference Data'!$A$5:$F$40,4,FALSE),"Unknown")</x:f>
        <x:v>Storage</x:v>
      </x:c>
      <x:c r="P357" s="92" t="n">
        <x:f>IFERROR(VLOOKUP(L357,'Reference Data'!$A$5:$F$40,5,FALSE),0)</x:f>
        <x:v>129</x:v>
      </x:c>
      <x:c r="Q357" s="92" t="n">
        <x:f>IFERROR(VLOOKUP(L357,'Reference Data'!$A$5:$F$40,6,FALSE),0)</x:f>
        <x:v>75</x:v>
      </x:c>
      <x:c r="R357" s="84" t="n">
        <x:f>'Raw Sales'!J357</x:f>
        <x:v>2</x:v>
      </x:c>
      <x:c r="S357" s="87" t="n">
        <x:f>'Raw Sales'!K357</x:f>
        <x:v>0.1</x:v>
      </x:c>
      <x:c r="T357" s="93" t="n">
        <x:f>P357*R357</x:f>
        <x:v>258</x:v>
      </x:c>
      <x:c r="U357" s="93" t="n">
        <x:f>T357*S357</x:f>
        <x:v>25.8</x:v>
      </x:c>
      <x:c r="V357" s="93" t="str">
        <x:f>PROPER(TRIM('Raw Sales'!L357))</x:f>
        <x:v>Completed</x:v>
      </x:c>
      <x:c r="W357" s="93" t="n">
        <x:f>IF(V357="Returned",0,T357-U357)</x:f>
        <x:v>232.2</x:v>
      </x:c>
      <x:c r="X357" s="93" t="n">
        <x:f>IF(V357="Returned",Q357*R357*10%,Q357*R357)</x:f>
        <x:v>150</x:v>
      </x:c>
      <x:c r="Y357" s="93" t="n">
        <x:f>W357-X357</x:f>
        <x:v>82.19999999999999</x:v>
      </x:c>
      <x:c r="Z357" s="94" t="n">
        <x:f>IFERROR(Y357/W357,0)</x:f>
        <x:v>0.3540051679586563</x:v>
      </x:c>
      <x:c r="AA357" s="84" t="str">
        <x:f>PROPER(TRIM('Raw Sales'!M357))</x:f>
        <x:v>Credit Card</x:v>
      </x:c>
      <x:c r="AB357" s="84" t="str">
        <x:f>PROPER(TRIM('Raw Sales'!N357))</x:f>
        <x:v>Nora Kim</x:v>
      </x:c>
      <x:c r="AC357" s="85" t="n">
        <x:f>'Raw Sales'!O357</x:f>
        <x:v>45437</x:v>
      </x:c>
      <x:c r="AD357" s="84" t="n">
        <x:f>AC357-B357</x:f>
        <x:v>6</x:v>
      </x:c>
      <x:c r="AE357" s="84" t="str">
        <x:f>IF(COUNTIF($A$5:A357,A357)&gt;1,"Duplicate","Keep")</x:f>
        <x:v>Keep</x:v>
      </x:c>
      <x:c r="AF357" s="84" t="str">
        <x:f>IF(OR(R357&lt;=0,AC357&lt;B357,H357="Unknown",M357="Unknown Product"),"Review","Valid")</x:f>
        <x:v>Valid</x:v>
      </x:c>
      <x:c r="AG357" s="84" t="n">
        <x:f>IF(AND(AE357="Keep",AF357="Valid"),1,0)</x:f>
        <x:v>1</x:v>
      </x:c>
      <x:c r="AH357" s="84" t="n">
        <x:f>IF(AND(AG357=1,OR('Dashboard'!$B$4="All",I357='Dashboard'!$B$4),OR('Dashboard'!$E$4="All",N357='Dashboard'!$E$4),OR('Dashboard'!$H$4="All",K357='Dashboard'!$H$4),OR('Dashboard'!$K$4="All",C357='Dashboard'!$K$4)),1,0)</x:f>
        <x:v>1</x:v>
      </x:c>
      <x:c r="AI357" s="84" t="n">
        <x:f>IF(AND(AG357=1,OR('Dashboard'!$B$4="All",I357='Dashboard'!$B$4),OR('Dashboard'!$E$4="All",N357='Dashboard'!$E$4),OR('Dashboard'!$H$4="All",K357='Dashboard'!$H$4)),1,0)</x:f>
        <x:v>1</x:v>
      </x:c>
    </x:row>
    <x:row r="358">
      <x:c r="A358" s="84" t="str">
        <x:f>'Raw Sales'!A358</x:f>
        <x:v>ORD-2024-00472</x:v>
      </x:c>
      <x:c r="B358" s="85" t="n">
        <x:f>'Raw Sales'!B358</x:f>
        <x:v>45431</x:v>
      </x:c>
      <x:c r="C358" s="84" t="n">
        <x:f>YEAR(B358)</x:f>
        <x:v>2024</x:v>
      </x:c>
      <x:c r="D358" s="91" t="n">
        <x:f>DATE(YEAR(B358),MONTH(B358),1)</x:f>
        <x:v>45413</x:v>
      </x:c>
      <x:c r="E358" s="84" t="str">
        <x:f>TEXT(B358,"mmm")</x:f>
        <x:v>May</x:v>
      </x:c>
      <x:c r="F358" s="84" t="str">
        <x:f>'Raw Sales'!C358</x:f>
        <x:v>CUST-0603</x:v>
      </x:c>
      <x:c r="G358" s="84" t="str">
        <x:f>PROPER(TRIM('Raw Sales'!D358))</x:f>
        <x:v>Elias Roberts</x:v>
      </x:c>
      <x:c r="H358" s="84" t="str">
        <x:f>IF(TRIM('Raw Sales'!E358)="","Unknown",PROPER(TRIM('Raw Sales'!E358)))</x:f>
        <x:v>Consumer</x:v>
      </x:c>
      <x:c r="I358" s="84" t="str">
        <x:f>PROPER(TRIM('Raw Sales'!F358))</x:f>
        <x:v>Northeast</x:v>
      </x:c>
      <x:c r="J358" s="84" t="str">
        <x:f>PROPER(TRIM('Raw Sales'!G358))</x:f>
        <x:v>Newark</x:v>
      </x:c>
      <x:c r="K358" s="84" t="str">
        <x:f>PROPER(TRIM('Raw Sales'!H358))</x:f>
        <x:v>Retail Store</x:v>
      </x:c>
      <x:c r="L358" s="84" t="str">
        <x:f>'Raw Sales'!I358</x:f>
        <x:v>ACCS-006</x:v>
      </x:c>
      <x:c r="M358" s="84" t="str">
        <x:f>IFERROR(VLOOKUP(L358,'Reference Data'!$A$5:$F$40,2,FALSE),"Unknown Product")</x:f>
        <x:v>Insulated Lunch Bag</x:v>
      </x:c>
      <x:c r="N358" s="84" t="str">
        <x:f>IFERROR(VLOOKUP(L358,'Reference Data'!$A$5:$F$40,3,FALSE),"Unknown")</x:f>
        <x:v>Accessories</x:v>
      </x:c>
      <x:c r="O358" s="84" t="str">
        <x:f>IFERROR(VLOOKUP(L358,'Reference Data'!$A$5:$F$40,4,FALSE),"Unknown")</x:f>
        <x:v>Bags</x:v>
      </x:c>
      <x:c r="P358" s="92" t="n">
        <x:f>IFERROR(VLOOKUP(L358,'Reference Data'!$A$5:$F$40,5,FALSE),0)</x:f>
        <x:v>29</x:v>
      </x:c>
      <x:c r="Q358" s="92" t="n">
        <x:f>IFERROR(VLOOKUP(L358,'Reference Data'!$A$5:$F$40,6,FALSE),0)</x:f>
        <x:v>10</x:v>
      </x:c>
      <x:c r="R358" s="84" t="n">
        <x:f>'Raw Sales'!J358</x:f>
        <x:v>1</x:v>
      </x:c>
      <x:c r="S358" s="87" t="n">
        <x:f>'Raw Sales'!K358</x:f>
        <x:v>0.15</x:v>
      </x:c>
      <x:c r="T358" s="93" t="n">
        <x:f>P358*R358</x:f>
        <x:v>29</x:v>
      </x:c>
      <x:c r="U358" s="93" t="n">
        <x:f>T358*S358</x:f>
        <x:v>4.35</x:v>
      </x:c>
      <x:c r="V358" s="93" t="str">
        <x:f>PROPER(TRIM('Raw Sales'!L358))</x:f>
        <x:v>Completed</x:v>
      </x:c>
      <x:c r="W358" s="93" t="n">
        <x:f>IF(V358="Returned",0,T358-U358)</x:f>
        <x:v>24.65</x:v>
      </x:c>
      <x:c r="X358" s="93" t="n">
        <x:f>IF(V358="Returned",Q358*R358*10%,Q358*R358)</x:f>
        <x:v>10</x:v>
      </x:c>
      <x:c r="Y358" s="93" t="n">
        <x:f>W358-X358</x:f>
        <x:v>14.649999999999999</x:v>
      </x:c>
      <x:c r="Z358" s="94" t="n">
        <x:f>IFERROR(Y358/W358,0)</x:f>
        <x:v>0.5943204868154158</x:v>
      </x:c>
      <x:c r="AA358" s="84" t="str">
        <x:f>PROPER(TRIM('Raw Sales'!M358))</x:f>
        <x:v>Credit Card</x:v>
      </x:c>
      <x:c r="AB358" s="84" t="str">
        <x:f>PROPER(TRIM('Raw Sales'!N358))</x:f>
        <x:v>Maya Brooks</x:v>
      </x:c>
      <x:c r="AC358" s="85" t="n">
        <x:f>'Raw Sales'!O358</x:f>
        <x:v>45431</x:v>
      </x:c>
      <x:c r="AD358" s="84" t="n">
        <x:f>AC358-B358</x:f>
        <x:v>0</x:v>
      </x:c>
      <x:c r="AE358" s="84" t="str">
        <x:f>IF(COUNTIF($A$5:A358,A358)&gt;1,"Duplicate","Keep")</x:f>
        <x:v>Keep</x:v>
      </x:c>
      <x:c r="AF358" s="84" t="str">
        <x:f>IF(OR(R358&lt;=0,AC358&lt;B358,H358="Unknown",M358="Unknown Product"),"Review","Valid")</x:f>
        <x:v>Valid</x:v>
      </x:c>
      <x:c r="AG358" s="84" t="n">
        <x:f>IF(AND(AE358="Keep",AF358="Valid"),1,0)</x:f>
        <x:v>1</x:v>
      </x:c>
      <x:c r="AH358" s="84" t="n">
        <x:f>IF(AND(AG358=1,OR('Dashboard'!$B$4="All",I358='Dashboard'!$B$4),OR('Dashboard'!$E$4="All",N358='Dashboard'!$E$4),OR('Dashboard'!$H$4="All",K358='Dashboard'!$H$4),OR('Dashboard'!$K$4="All",C358='Dashboard'!$K$4)),1,0)</x:f>
        <x:v>1</x:v>
      </x:c>
      <x:c r="AI358" s="84" t="n">
        <x:f>IF(AND(AG358=1,OR('Dashboard'!$B$4="All",I358='Dashboard'!$B$4),OR('Dashboard'!$E$4="All",N358='Dashboard'!$E$4),OR('Dashboard'!$H$4="All",K358='Dashboard'!$H$4)),1,0)</x:f>
        <x:v>1</x:v>
      </x:c>
    </x:row>
    <x:row r="359">
      <x:c r="A359" s="84" t="str">
        <x:f>'Raw Sales'!A359</x:f>
        <x:v>ORD-2024-01060</x:v>
      </x:c>
      <x:c r="B359" s="85" t="n">
        <x:f>'Raw Sales'!B359</x:f>
        <x:v>45431</x:v>
      </x:c>
      <x:c r="C359" s="84" t="n">
        <x:f>YEAR(B359)</x:f>
        <x:v>2024</x:v>
      </x:c>
      <x:c r="D359" s="91" t="n">
        <x:f>DATE(YEAR(B359),MONTH(B359),1)</x:f>
        <x:v>45413</x:v>
      </x:c>
      <x:c r="E359" s="84" t="str">
        <x:f>TEXT(B359,"mmm")</x:f>
        <x:v>May</x:v>
      </x:c>
      <x:c r="F359" s="84" t="str">
        <x:f>'Raw Sales'!C359</x:f>
        <x:v>CUST-0123</x:v>
      </x:c>
      <x:c r="G359" s="84" t="str">
        <x:f>PROPER(TRIM('Raw Sales'!D359))</x:f>
        <x:v>Jasmine Patel</x:v>
      </x:c>
      <x:c r="H359" s="84" t="str">
        <x:f>IF(TRIM('Raw Sales'!E359)="","Unknown",PROPER(TRIM('Raw Sales'!E359)))</x:f>
        <x:v>Consumer</x:v>
      </x:c>
      <x:c r="I359" s="84" t="str">
        <x:f>PROPER(TRIM('Raw Sales'!F359))</x:f>
        <x:v>Southeast</x:v>
      </x:c>
      <x:c r="J359" s="84" t="str">
        <x:f>PROPER(TRIM('Raw Sales'!G359))</x:f>
        <x:v>Nashville</x:v>
      </x:c>
      <x:c r="K359" s="84" t="str">
        <x:f>PROPER(TRIM('Raw Sales'!H359))</x:f>
        <x:v>Retail Store</x:v>
      </x:c>
      <x:c r="L359" s="84" t="str">
        <x:f>'Raw Sales'!I359</x:f>
        <x:v>CARE-003</x:v>
      </x:c>
      <x:c r="M359" s="84" t="str">
        <x:f>IFERROR(VLOOKUP(L359,'Reference Data'!$A$5:$F$40,2,FALSE),"Unknown Product")</x:f>
        <x:v>Facial Cleanser</x:v>
      </x:c>
      <x:c r="N359" s="84" t="str">
        <x:f>IFERROR(VLOOKUP(L359,'Reference Data'!$A$5:$F$40,3,FALSE),"Unknown")</x:f>
        <x:v>Personal Care</x:v>
      </x:c>
      <x:c r="O359" s="84" t="str">
        <x:f>IFERROR(VLOOKUP(L359,'Reference Data'!$A$5:$F$40,4,FALSE),"Unknown")</x:f>
        <x:v>Skin Care</x:v>
      </x:c>
      <x:c r="P359" s="92" t="n">
        <x:f>IFERROR(VLOOKUP(L359,'Reference Data'!$A$5:$F$40,5,FALSE),0)</x:f>
        <x:v>18</x:v>
      </x:c>
      <x:c r="Q359" s="92" t="n">
        <x:f>IFERROR(VLOOKUP(L359,'Reference Data'!$A$5:$F$40,6,FALSE),0)</x:f>
        <x:v>6</x:v>
      </x:c>
      <x:c r="R359" s="84" t="n">
        <x:f>'Raw Sales'!J359</x:f>
        <x:v>1</x:v>
      </x:c>
      <x:c r="S359" s="87" t="n">
        <x:f>'Raw Sales'!K359</x:f>
        <x:v>0.15</x:v>
      </x:c>
      <x:c r="T359" s="93" t="n">
        <x:f>P359*R359</x:f>
        <x:v>18</x:v>
      </x:c>
      <x:c r="U359" s="93" t="n">
        <x:f>T359*S359</x:f>
        <x:v>2.6999999999999997</x:v>
      </x:c>
      <x:c r="V359" s="93" t="str">
        <x:f>PROPER(TRIM('Raw Sales'!L359))</x:f>
        <x:v>Completed</x:v>
      </x:c>
      <x:c r="W359" s="93" t="n">
        <x:f>IF(V359="Returned",0,T359-U359)</x:f>
        <x:v>15.3</x:v>
      </x:c>
      <x:c r="X359" s="93" t="n">
        <x:f>IF(V359="Returned",Q359*R359*10%,Q359*R359)</x:f>
        <x:v>6</x:v>
      </x:c>
      <x:c r="Y359" s="93" t="n">
        <x:f>W359-X359</x:f>
        <x:v>9.3</x:v>
      </x:c>
      <x:c r="Z359" s="94" t="n">
        <x:f>IFERROR(Y359/W359,0)</x:f>
        <x:v>0.607843137254902</x:v>
      </x:c>
      <x:c r="AA359" s="84" t="str">
        <x:f>PROPER(TRIM('Raw Sales'!M359))</x:f>
        <x:v>Credit Card</x:v>
      </x:c>
      <x:c r="AB359" s="84" t="str">
        <x:f>PROPER(TRIM('Raw Sales'!N359))</x:f>
        <x:v>Noah Reed</x:v>
      </x:c>
      <x:c r="AC359" s="85" t="n">
        <x:f>'Raw Sales'!O359</x:f>
        <x:v>45431</x:v>
      </x:c>
      <x:c r="AD359" s="84" t="n">
        <x:f>AC359-B359</x:f>
        <x:v>0</x:v>
      </x:c>
      <x:c r="AE359" s="84" t="str">
        <x:f>IF(COUNTIF($A$5:A359,A359)&gt;1,"Duplicate","Keep")</x:f>
        <x:v>Keep</x:v>
      </x:c>
      <x:c r="AF359" s="84" t="str">
        <x:f>IF(OR(R359&lt;=0,AC359&lt;B359,H359="Unknown",M359="Unknown Product"),"Review","Valid")</x:f>
        <x:v>Valid</x:v>
      </x:c>
      <x:c r="AG359" s="84" t="n">
        <x:f>IF(AND(AE359="Keep",AF359="Valid"),1,0)</x:f>
        <x:v>1</x:v>
      </x:c>
      <x:c r="AH359" s="84" t="n">
        <x:f>IF(AND(AG359=1,OR('Dashboard'!$B$4="All",I359='Dashboard'!$B$4),OR('Dashboard'!$E$4="All",N359='Dashboard'!$E$4),OR('Dashboard'!$H$4="All",K359='Dashboard'!$H$4),OR('Dashboard'!$K$4="All",C359='Dashboard'!$K$4)),1,0)</x:f>
        <x:v>1</x:v>
      </x:c>
      <x:c r="AI359" s="84" t="n">
        <x:f>IF(AND(AG359=1,OR('Dashboard'!$B$4="All",I359='Dashboard'!$B$4),OR('Dashboard'!$E$4="All",N359='Dashboard'!$E$4),OR('Dashboard'!$H$4="All",K359='Dashboard'!$H$4)),1,0)</x:f>
        <x:v>1</x:v>
      </x:c>
    </x:row>
    <x:row r="360">
      <x:c r="A360" s="84" t="str">
        <x:f>'Raw Sales'!A360</x:f>
        <x:v>ORD-2024-01748</x:v>
      </x:c>
      <x:c r="B360" s="85" t="n">
        <x:f>'Raw Sales'!B360</x:f>
        <x:v>45431</x:v>
      </x:c>
      <x:c r="C360" s="84" t="n">
        <x:f>YEAR(B360)</x:f>
        <x:v>2024</x:v>
      </x:c>
      <x:c r="D360" s="91" t="n">
        <x:f>DATE(YEAR(B360),MONTH(B360),1)</x:f>
        <x:v>45413</x:v>
      </x:c>
      <x:c r="E360" s="84" t="str">
        <x:f>TEXT(B360,"mmm")</x:f>
        <x:v>May</x:v>
      </x:c>
      <x:c r="F360" s="84" t="str">
        <x:f>'Raw Sales'!C360</x:f>
        <x:v>CUST-0395</x:v>
      </x:c>
      <x:c r="G360" s="84" t="str">
        <x:f>PROPER(TRIM('Raw Sales'!D360))</x:f>
        <x:v>Sara Baker</x:v>
      </x:c>
      <x:c r="H360" s="84" t="str">
        <x:f>IF(TRIM('Raw Sales'!E360)="","Unknown",PROPER(TRIM('Raw Sales'!E360)))</x:f>
        <x:v>Consumer</x:v>
      </x:c>
      <x:c r="I360" s="84" t="str">
        <x:f>PROPER(TRIM('Raw Sales'!F360))</x:f>
        <x:v>West</x:v>
      </x:c>
      <x:c r="J360" s="84" t="str">
        <x:f>PROPER(TRIM('Raw Sales'!G360))</x:f>
        <x:v>Denver</x:v>
      </x:c>
      <x:c r="K360" s="84" t="str">
        <x:f>PROPER(TRIM('Raw Sales'!H360))</x:f>
        <x:v>Online</x:v>
      </x:c>
      <x:c r="L360" s="84" t="str">
        <x:f>'Raw Sales'!I360</x:f>
        <x:v>CARE-004</x:v>
      </x:c>
      <x:c r="M360" s="84" t="str">
        <x:f>IFERROR(VLOOKUP(L360,'Reference Data'!$A$5:$F$40,2,FALSE),"Unknown Product")</x:f>
        <x:v>Electric Toothbrush</x:v>
      </x:c>
      <x:c r="N360" s="84" t="str">
        <x:f>IFERROR(VLOOKUP(L360,'Reference Data'!$A$5:$F$40,3,FALSE),"Unknown")</x:f>
        <x:v>Personal Care</x:v>
      </x:c>
      <x:c r="O360" s="84" t="str">
        <x:f>IFERROR(VLOOKUP(L360,'Reference Data'!$A$5:$F$40,4,FALSE),"Unknown")</x:f>
        <x:v>Oral Care</x:v>
      </x:c>
      <x:c r="P360" s="92" t="n">
        <x:f>IFERROR(VLOOKUP(L360,'Reference Data'!$A$5:$F$40,5,FALSE),0)</x:f>
        <x:v>69</x:v>
      </x:c>
      <x:c r="Q360" s="92" t="n">
        <x:f>IFERROR(VLOOKUP(L360,'Reference Data'!$A$5:$F$40,6,FALSE),0)</x:f>
        <x:v>31</x:v>
      </x:c>
      <x:c r="R360" s="84" t="n">
        <x:f>'Raw Sales'!J360</x:f>
        <x:v>2</x:v>
      </x:c>
      <x:c r="S360" s="87" t="n">
        <x:f>'Raw Sales'!K360</x:f>
        <x:v>0.05</x:v>
      </x:c>
      <x:c r="T360" s="93" t="n">
        <x:f>P360*R360</x:f>
        <x:v>138</x:v>
      </x:c>
      <x:c r="U360" s="93" t="n">
        <x:f>T360*S360</x:f>
        <x:v>6.9</x:v>
      </x:c>
      <x:c r="V360" s="93" t="str">
        <x:f>PROPER(TRIM('Raw Sales'!L360))</x:f>
        <x:v>Completed</x:v>
      </x:c>
      <x:c r="W360" s="93" t="n">
        <x:f>IF(V360="Returned",0,T360-U360)</x:f>
        <x:v>131.1</x:v>
      </x:c>
      <x:c r="X360" s="93" t="n">
        <x:f>IF(V360="Returned",Q360*R360*10%,Q360*R360)</x:f>
        <x:v>62</x:v>
      </x:c>
      <x:c r="Y360" s="93" t="n">
        <x:f>W360-X360</x:f>
        <x:v>69.1</x:v>
      </x:c>
      <x:c r="Z360" s="94" t="n">
        <x:f>IFERROR(Y360/W360,0)</x:f>
        <x:v>0.5270785659801678</x:v>
      </x:c>
      <x:c r="AA360" s="84" t="str">
        <x:f>PROPER(TRIM('Raw Sales'!M360))</x:f>
        <x:v>Paypal</x:v>
      </x:c>
      <x:c r="AB360" s="84" t="str">
        <x:f>PROPER(TRIM('Raw Sales'!N360))</x:f>
        <x:v>Mia Chen</x:v>
      </x:c>
      <x:c r="AC360" s="85" t="n">
        <x:f>'Raw Sales'!O360</x:f>
        <x:v>45434</x:v>
      </x:c>
      <x:c r="AD360" s="84" t="n">
        <x:f>AC360-B360</x:f>
        <x:v>3</x:v>
      </x:c>
      <x:c r="AE360" s="84" t="str">
        <x:f>IF(COUNTIF($A$5:A360,A360)&gt;1,"Duplicate","Keep")</x:f>
        <x:v>Keep</x:v>
      </x:c>
      <x:c r="AF360" s="84" t="str">
        <x:f>IF(OR(R360&lt;=0,AC360&lt;B360,H360="Unknown",M360="Unknown Product"),"Review","Valid")</x:f>
        <x:v>Valid</x:v>
      </x:c>
      <x:c r="AG360" s="84" t="n">
        <x:f>IF(AND(AE360="Keep",AF360="Valid"),1,0)</x:f>
        <x:v>1</x:v>
      </x:c>
      <x:c r="AH360" s="84" t="n">
        <x:f>IF(AND(AG360=1,OR('Dashboard'!$B$4="All",I360='Dashboard'!$B$4),OR('Dashboard'!$E$4="All",N360='Dashboard'!$E$4),OR('Dashboard'!$H$4="All",K360='Dashboard'!$H$4),OR('Dashboard'!$K$4="All",C360='Dashboard'!$K$4)),1,0)</x:f>
        <x:v>1</x:v>
      </x:c>
      <x:c r="AI360" s="84" t="n">
        <x:f>IF(AND(AG360=1,OR('Dashboard'!$B$4="All",I360='Dashboard'!$B$4),OR('Dashboard'!$E$4="All",N360='Dashboard'!$E$4),OR('Dashboard'!$H$4="All",K360='Dashboard'!$H$4)),1,0)</x:f>
        <x:v>1</x:v>
      </x:c>
    </x:row>
    <x:row r="361">
      <x:c r="A361" s="84" t="str">
        <x:f>'Raw Sales'!A361</x:f>
        <x:v>ORD-2024-02135</x:v>
      </x:c>
      <x:c r="B361" s="85" t="n">
        <x:f>'Raw Sales'!B361</x:f>
        <x:v>45431</x:v>
      </x:c>
      <x:c r="C361" s="84" t="n">
        <x:f>YEAR(B361)</x:f>
        <x:v>2024</x:v>
      </x:c>
      <x:c r="D361" s="91" t="n">
        <x:f>DATE(YEAR(B361),MONTH(B361),1)</x:f>
        <x:v>45413</x:v>
      </x:c>
      <x:c r="E361" s="84" t="str">
        <x:f>TEXT(B361,"mmm")</x:f>
        <x:v>May</x:v>
      </x:c>
      <x:c r="F361" s="84" t="str">
        <x:f>'Raw Sales'!C361</x:f>
        <x:v>CUST-0152</x:v>
      </x:c>
      <x:c r="G361" s="84" t="str">
        <x:f>PROPER(TRIM('Raw Sales'!D361))</x:f>
        <x:v>Aiden Ortiz</x:v>
      </x:c>
      <x:c r="H361" s="84" t="str">
        <x:f>IF(TRIM('Raw Sales'!E361)="","Unknown",PROPER(TRIM('Raw Sales'!E361)))</x:f>
        <x:v>Unknown</x:v>
      </x:c>
      <x:c r="I361" s="84" t="str">
        <x:f>PROPER(TRIM('Raw Sales'!F361))</x:f>
        <x:v>West</x:v>
      </x:c>
      <x:c r="J361" s="84" t="str">
        <x:f>PROPER(TRIM('Raw Sales'!G361))</x:f>
        <x:v>Denver</x:v>
      </x:c>
      <x:c r="K361" s="84" t="str">
        <x:f>PROPER(TRIM('Raw Sales'!H361))</x:f>
        <x:v>Retail Store</x:v>
      </x:c>
      <x:c r="L361" s="84" t="str">
        <x:f>'Raw Sales'!I361</x:f>
        <x:v>CARE-006</x:v>
      </x:c>
      <x:c r="M361" s="84" t="str">
        <x:f>IFERROR(VLOOKUP(L361,'Reference Data'!$A$5:$F$40,2,FALSE),"Unknown Product")</x:f>
        <x:v>Percussion Massage Gun</x:v>
      </x:c>
      <x:c r="N361" s="84" t="str">
        <x:f>IFERROR(VLOOKUP(L361,'Reference Data'!$A$5:$F$40,3,FALSE),"Unknown")</x:f>
        <x:v>Personal Care</x:v>
      </x:c>
      <x:c r="O361" s="84" t="str">
        <x:f>IFERROR(VLOOKUP(L361,'Reference Data'!$A$5:$F$40,4,FALSE),"Unknown")</x:f>
        <x:v>Wellness</x:v>
      </x:c>
      <x:c r="P361" s="92" t="n">
        <x:f>IFERROR(VLOOKUP(L361,'Reference Data'!$A$5:$F$40,5,FALSE),0)</x:f>
        <x:v>129</x:v>
      </x:c>
      <x:c r="Q361" s="92" t="n">
        <x:f>IFERROR(VLOOKUP(L361,'Reference Data'!$A$5:$F$40,6,FALSE),0)</x:f>
        <x:v>70</x:v>
      </x:c>
      <x:c r="R361" s="84" t="n">
        <x:f>'Raw Sales'!J361</x:f>
        <x:v>1</x:v>
      </x:c>
      <x:c r="S361" s="87" t="n">
        <x:f>'Raw Sales'!K361</x:f>
        <x:v>0.05</x:v>
      </x:c>
      <x:c r="T361" s="93" t="n">
        <x:f>P361*R361</x:f>
        <x:v>129</x:v>
      </x:c>
      <x:c r="U361" s="93" t="n">
        <x:f>T361*S361</x:f>
        <x:v>6.45</x:v>
      </x:c>
      <x:c r="V361" s="93" t="str">
        <x:f>PROPER(TRIM('Raw Sales'!L361))</x:f>
        <x:v>Completed</x:v>
      </x:c>
      <x:c r="W361" s="93" t="n">
        <x:f>IF(V361="Returned",0,T361-U361)</x:f>
        <x:v>122.55</x:v>
      </x:c>
      <x:c r="X361" s="93" t="n">
        <x:f>IF(V361="Returned",Q361*R361*10%,Q361*R361)</x:f>
        <x:v>70</x:v>
      </x:c>
      <x:c r="Y361" s="93" t="n">
        <x:f>W361-X361</x:f>
        <x:v>52.55</x:v>
      </x:c>
      <x:c r="Z361" s="94" t="n">
        <x:f>IFERROR(Y361/W361,0)</x:f>
        <x:v>0.4288045695634435</x:v>
      </x:c>
      <x:c r="AA361" s="84" t="str">
        <x:f>PROPER(TRIM('Raw Sales'!M361))</x:f>
        <x:v>Mobile Wallet</x:v>
      </x:c>
      <x:c r="AB361" s="84" t="str">
        <x:f>PROPER(TRIM('Raw Sales'!N361))</x:f>
        <x:v>Leo Martinez</x:v>
      </x:c>
      <x:c r="AC361" s="85" t="n">
        <x:f>'Raw Sales'!O361</x:f>
        <x:v>45431</x:v>
      </x:c>
      <x:c r="AD361" s="84" t="n">
        <x:f>AC361-B361</x:f>
        <x:v>0</x:v>
      </x:c>
      <x:c r="AE361" s="84" t="str">
        <x:f>IF(COUNTIF($A$5:A361,A361)&gt;1,"Duplicate","Keep")</x:f>
        <x:v>Keep</x:v>
      </x:c>
      <x:c r="AF361" s="84" t="str">
        <x:f>IF(OR(R361&lt;=0,AC361&lt;B361,H361="Unknown",M361="Unknown Product"),"Review","Valid")</x:f>
        <x:v>Review</x:v>
      </x:c>
      <x:c r="AG361" s="84" t="n">
        <x:f>IF(AND(AE361="Keep",AF361="Valid"),1,0)</x:f>
        <x:v>0</x:v>
      </x:c>
      <x:c r="AH361" s="84" t="n">
        <x:f>IF(AND(AG361=1,OR('Dashboard'!$B$4="All",I361='Dashboard'!$B$4),OR('Dashboard'!$E$4="All",N361='Dashboard'!$E$4),OR('Dashboard'!$H$4="All",K361='Dashboard'!$H$4),OR('Dashboard'!$K$4="All",C361='Dashboard'!$K$4)),1,0)</x:f>
        <x:v>0</x:v>
      </x:c>
      <x:c r="AI361" s="84" t="n">
        <x:f>IF(AND(AG361=1,OR('Dashboard'!$B$4="All",I361='Dashboard'!$B$4),OR('Dashboard'!$E$4="All",N361='Dashboard'!$E$4),OR('Dashboard'!$H$4="All",K361='Dashboard'!$H$4)),1,0)</x:f>
        <x:v>0</x:v>
      </x:c>
    </x:row>
    <x:row r="362">
      <x:c r="A362" s="84" t="str">
        <x:f>'Raw Sales'!A362</x:f>
        <x:v>ORD-2024-00639</x:v>
      </x:c>
      <x:c r="B362" s="85" t="n">
        <x:f>'Raw Sales'!B362</x:f>
        <x:v>45432</x:v>
      </x:c>
      <x:c r="C362" s="84" t="n">
        <x:f>YEAR(B362)</x:f>
        <x:v>2024</x:v>
      </x:c>
      <x:c r="D362" s="91" t="n">
        <x:f>DATE(YEAR(B362),MONTH(B362),1)</x:f>
        <x:v>45413</x:v>
      </x:c>
      <x:c r="E362" s="84" t="str">
        <x:f>TEXT(B362,"mmm")</x:f>
        <x:v>May</x:v>
      </x:c>
      <x:c r="F362" s="84" t="str">
        <x:f>'Raw Sales'!C362</x:f>
        <x:v>CUST-0071</x:v>
      </x:c>
      <x:c r="G362" s="84" t="str">
        <x:f>PROPER(TRIM('Raw Sales'!D362))</x:f>
        <x:v>Owen Foster</x:v>
      </x:c>
      <x:c r="H362" s="84" t="str">
        <x:f>IF(TRIM('Raw Sales'!E362)="","Unknown",PROPER(TRIM('Raw Sales'!E362)))</x:f>
        <x:v>Consumer</x:v>
      </x:c>
      <x:c r="I362" s="84" t="str">
        <x:f>PROPER(TRIM('Raw Sales'!F362))</x:f>
        <x:v>Midwest</x:v>
      </x:c>
      <x:c r="J362" s="84" t="str">
        <x:f>PROPER(TRIM('Raw Sales'!G362))</x:f>
        <x:v>Detroit</x:v>
      </x:c>
      <x:c r="K362" s="84" t="str">
        <x:f>PROPER(TRIM('Raw Sales'!H362))</x:f>
        <x:v>Marketplace</x:v>
      </x:c>
      <x:c r="L362" s="84" t="str">
        <x:f>'Raw Sales'!I362</x:f>
        <x:v>HOME-005</x:v>
      </x:c>
      <x:c r="M362" s="84" t="str">
        <x:f>IFERROR(VLOOKUP(L362,'Reference Data'!$A$5:$F$40,2,FALSE),"Unknown Product")</x:f>
        <x:v>Cordless Vacuum</x:v>
      </x:c>
      <x:c r="N362" s="84" t="str">
        <x:f>IFERROR(VLOOKUP(L362,'Reference Data'!$A$5:$F$40,3,FALSE),"Unknown")</x:f>
        <x:v>Home &amp; Kitchen</x:v>
      </x:c>
      <x:c r="O362" s="84" t="str">
        <x:f>IFERROR(VLOOKUP(L362,'Reference Data'!$A$5:$F$40,4,FALSE),"Unknown")</x:f>
        <x:v>Cleaning</x:v>
      </x:c>
      <x:c r="P362" s="92" t="n">
        <x:f>IFERROR(VLOOKUP(L362,'Reference Data'!$A$5:$F$40,5,FALSE),0)</x:f>
        <x:v>179</x:v>
      </x:c>
      <x:c r="Q362" s="92" t="n">
        <x:f>IFERROR(VLOOKUP(L362,'Reference Data'!$A$5:$F$40,6,FALSE),0)</x:f>
        <x:v>102</x:v>
      </x:c>
      <x:c r="R362" s="84" t="n">
        <x:f>'Raw Sales'!J362</x:f>
        <x:v>1</x:v>
      </x:c>
      <x:c r="S362" s="87" t="n">
        <x:f>'Raw Sales'!K362</x:f>
        <x:v>0.1</x:v>
      </x:c>
      <x:c r="T362" s="93" t="n">
        <x:f>P362*R362</x:f>
        <x:v>179</x:v>
      </x:c>
      <x:c r="U362" s="93" t="n">
        <x:f>T362*S362</x:f>
        <x:v>17.900000000000002</x:v>
      </x:c>
      <x:c r="V362" s="93" t="str">
        <x:f>PROPER(TRIM('Raw Sales'!L362))</x:f>
        <x:v>Completed</x:v>
      </x:c>
      <x:c r="W362" s="93" t="n">
        <x:f>IF(V362="Returned",0,T362-U362)</x:f>
        <x:v>161.1</x:v>
      </x:c>
      <x:c r="X362" s="93" t="n">
        <x:f>IF(V362="Returned",Q362*R362*10%,Q362*R362)</x:f>
        <x:v>102</x:v>
      </x:c>
      <x:c r="Y362" s="93" t="n">
        <x:f>W362-X362</x:f>
        <x:v>59.099999999999994</x:v>
      </x:c>
      <x:c r="Z362" s="94" t="n">
        <x:f>IFERROR(Y362/W362,0)</x:f>
        <x:v>0.36685288640595903</x:v>
      </x:c>
      <x:c r="AA362" s="84" t="str">
        <x:f>PROPER(TRIM('Raw Sales'!M362))</x:f>
        <x:v>Credit Card</x:v>
      </x:c>
      <x:c r="AB362" s="84" t="str">
        <x:f>PROPER(TRIM('Raw Sales'!N362))</x:f>
        <x:v>Lucas Grant</x:v>
      </x:c>
      <x:c r="AC362" s="85" t="n">
        <x:f>'Raw Sales'!O362</x:f>
        <x:v>45435</x:v>
      </x:c>
      <x:c r="AD362" s="84" t="n">
        <x:f>AC362-B362</x:f>
        <x:v>3</x:v>
      </x:c>
      <x:c r="AE362" s="84" t="str">
        <x:f>IF(COUNTIF($A$5:A362,A362)&gt;1,"Duplicate","Keep")</x:f>
        <x:v>Keep</x:v>
      </x:c>
      <x:c r="AF362" s="84" t="str">
        <x:f>IF(OR(R362&lt;=0,AC362&lt;B362,H362="Unknown",M362="Unknown Product"),"Review","Valid")</x:f>
        <x:v>Valid</x:v>
      </x:c>
      <x:c r="AG362" s="84" t="n">
        <x:f>IF(AND(AE362="Keep",AF362="Valid"),1,0)</x:f>
        <x:v>1</x:v>
      </x:c>
      <x:c r="AH362" s="84" t="n">
        <x:f>IF(AND(AG362=1,OR('Dashboard'!$B$4="All",I362='Dashboard'!$B$4),OR('Dashboard'!$E$4="All",N362='Dashboard'!$E$4),OR('Dashboard'!$H$4="All",K362='Dashboard'!$H$4),OR('Dashboard'!$K$4="All",C362='Dashboard'!$K$4)),1,0)</x:f>
        <x:v>1</x:v>
      </x:c>
      <x:c r="AI362" s="84" t="n">
        <x:f>IF(AND(AG362=1,OR('Dashboard'!$B$4="All",I362='Dashboard'!$B$4),OR('Dashboard'!$E$4="All",N362='Dashboard'!$E$4),OR('Dashboard'!$H$4="All",K362='Dashboard'!$H$4)),1,0)</x:f>
        <x:v>1</x:v>
      </x:c>
    </x:row>
    <x:row r="363">
      <x:c r="A363" s="84" t="str">
        <x:f>'Raw Sales'!A363</x:f>
        <x:v>ORD-2024-00725</x:v>
      </x:c>
      <x:c r="B363" s="85" t="n">
        <x:f>'Raw Sales'!B363</x:f>
        <x:v>45432</x:v>
      </x:c>
      <x:c r="C363" s="84" t="n">
        <x:f>YEAR(B363)</x:f>
        <x:v>2024</x:v>
      </x:c>
      <x:c r="D363" s="91" t="n">
        <x:f>DATE(YEAR(B363),MONTH(B363),1)</x:f>
        <x:v>45413</x:v>
      </x:c>
      <x:c r="E363" s="84" t="str">
        <x:f>TEXT(B363,"mmm")</x:f>
        <x:v>May</x:v>
      </x:c>
      <x:c r="F363" s="84" t="str">
        <x:f>'Raw Sales'!C363</x:f>
        <x:v>CUST-0550</x:v>
      </x:c>
      <x:c r="G363" s="84" t="str">
        <x:f>PROPER(TRIM('Raw Sales'!D363))</x:f>
        <x:v>Samuel Young</x:v>
      </x:c>
      <x:c r="H363" s="84" t="str">
        <x:f>IF(TRIM('Raw Sales'!E363)="","Unknown",PROPER(TRIM('Raw Sales'!E363)))</x:f>
        <x:v>Consumer</x:v>
      </x:c>
      <x:c r="I363" s="84" t="str">
        <x:f>PROPER(TRIM('Raw Sales'!F363))</x:f>
        <x:v>Midwest</x:v>
      </x:c>
      <x:c r="J363" s="84" t="str">
        <x:f>PROPER(TRIM('Raw Sales'!G363))</x:f>
        <x:v>Minneapolis</x:v>
      </x:c>
      <x:c r="K363" s="84" t="str">
        <x:f>PROPER(TRIM('Raw Sales'!H363))</x:f>
        <x:v>Online</x:v>
      </x:c>
      <x:c r="L363" s="84" t="str">
        <x:f>'Raw Sales'!I363</x:f>
        <x:v>HOME-001</x:v>
      </x:c>
      <x:c r="M363" s="84" t="str">
        <x:f>IFERROR(VLOOKUP(L363,'Reference Data'!$A$5:$F$40,2,FALSE),"Unknown Product")</x:f>
        <x:v>Air Fryer</x:v>
      </x:c>
      <x:c r="N363" s="84" t="str">
        <x:f>IFERROR(VLOOKUP(L363,'Reference Data'!$A$5:$F$40,3,FALSE),"Unknown")</x:f>
        <x:v>Home &amp; Kitchen</x:v>
      </x:c>
      <x:c r="O363" s="84" t="str">
        <x:f>IFERROR(VLOOKUP(L363,'Reference Data'!$A$5:$F$40,4,FALSE),"Unknown")</x:f>
        <x:v>Small Appliances</x:v>
      </x:c>
      <x:c r="P363" s="92" t="n">
        <x:f>IFERROR(VLOOKUP(L363,'Reference Data'!$A$5:$F$40,5,FALSE),0)</x:f>
        <x:v>119</x:v>
      </x:c>
      <x:c r="Q363" s="92" t="n">
        <x:f>IFERROR(VLOOKUP(L363,'Reference Data'!$A$5:$F$40,6,FALSE),0)</x:f>
        <x:v>68</x:v>
      </x:c>
      <x:c r="R363" s="84" t="n">
        <x:f>'Raw Sales'!J363</x:f>
        <x:v>1</x:v>
      </x:c>
      <x:c r="S363" s="87" t="n">
        <x:f>'Raw Sales'!K363</x:f>
        <x:v>0</x:v>
      </x:c>
      <x:c r="T363" s="93" t="n">
        <x:f>P363*R363</x:f>
        <x:v>119</x:v>
      </x:c>
      <x:c r="U363" s="93" t="n">
        <x:f>T363*S363</x:f>
        <x:v>0</x:v>
      </x:c>
      <x:c r="V363" s="93" t="str">
        <x:f>PROPER(TRIM('Raw Sales'!L363))</x:f>
        <x:v>Returned</x:v>
      </x:c>
      <x:c r="W363" s="93" t="n">
        <x:f>IF(V363="Returned",0,T363-U363)</x:f>
        <x:v>0</x:v>
      </x:c>
      <x:c r="X363" s="93" t="n">
        <x:f>IF(V363="Returned",Q363*R363*10%,Q363*R363)</x:f>
        <x:v>6.800000000000001</x:v>
      </x:c>
      <x:c r="Y363" s="93" t="n">
        <x:f>W363-X363</x:f>
        <x:v>-6.800000000000001</x:v>
      </x:c>
      <x:c r="Z363" s="94" t="n">
        <x:f>IFERROR(Y363/W363,0)</x:f>
        <x:v>0</x:v>
      </x:c>
      <x:c r="AA363" s="84" t="str">
        <x:f>PROPER(TRIM('Raw Sales'!M363))</x:f>
        <x:v>Credit Card</x:v>
      </x:c>
      <x:c r="AB363" s="84" t="str">
        <x:f>PROPER(TRIM('Raw Sales'!N363))</x:f>
        <x:v>Zoe Turner</x:v>
      </x:c>
      <x:c r="AC363" s="85" t="n">
        <x:f>'Raw Sales'!O363</x:f>
        <x:v>45435</x:v>
      </x:c>
      <x:c r="AD363" s="84" t="n">
        <x:f>AC363-B363</x:f>
        <x:v>3</x:v>
      </x:c>
      <x:c r="AE363" s="84" t="str">
        <x:f>IF(COUNTIF($A$5:A363,A363)&gt;1,"Duplicate","Keep")</x:f>
        <x:v>Keep</x:v>
      </x:c>
      <x:c r="AF363" s="84" t="str">
        <x:f>IF(OR(R363&lt;=0,AC363&lt;B363,H363="Unknown",M363="Unknown Product"),"Review","Valid")</x:f>
        <x:v>Valid</x:v>
      </x:c>
      <x:c r="AG363" s="84" t="n">
        <x:f>IF(AND(AE363="Keep",AF363="Valid"),1,0)</x:f>
        <x:v>1</x:v>
      </x:c>
      <x:c r="AH363" s="84" t="n">
        <x:f>IF(AND(AG363=1,OR('Dashboard'!$B$4="All",I363='Dashboard'!$B$4),OR('Dashboard'!$E$4="All",N363='Dashboard'!$E$4),OR('Dashboard'!$H$4="All",K363='Dashboard'!$H$4),OR('Dashboard'!$K$4="All",C363='Dashboard'!$K$4)),1,0)</x:f>
        <x:v>1</x:v>
      </x:c>
      <x:c r="AI363" s="84" t="n">
        <x:f>IF(AND(AG363=1,OR('Dashboard'!$B$4="All",I363='Dashboard'!$B$4),OR('Dashboard'!$E$4="All",N363='Dashboard'!$E$4),OR('Dashboard'!$H$4="All",K363='Dashboard'!$H$4)),1,0)</x:f>
        <x:v>1</x:v>
      </x:c>
    </x:row>
    <x:row r="364">
      <x:c r="A364" s="84" t="str">
        <x:f>'Raw Sales'!A364</x:f>
        <x:v>ORD-2024-00749</x:v>
      </x:c>
      <x:c r="B364" s="85" t="n">
        <x:f>'Raw Sales'!B364</x:f>
        <x:v>45433</x:v>
      </x:c>
      <x:c r="C364" s="84" t="n">
        <x:f>YEAR(B364)</x:f>
        <x:v>2024</x:v>
      </x:c>
      <x:c r="D364" s="91" t="n">
        <x:f>DATE(YEAR(B364),MONTH(B364),1)</x:f>
        <x:v>45413</x:v>
      </x:c>
      <x:c r="E364" s="84" t="str">
        <x:f>TEXT(B364,"mmm")</x:f>
        <x:v>May</x:v>
      </x:c>
      <x:c r="F364" s="84" t="str">
        <x:f>'Raw Sales'!C364</x:f>
        <x:v>CUST-0273</x:v>
      </x:c>
      <x:c r="G364" s="84" t="str">
        <x:f>PROPER(TRIM('Raw Sales'!D364))</x:f>
        <x:v>Chloe Ortiz</x:v>
      </x:c>
      <x:c r="H364" s="84" t="str">
        <x:f>IF(TRIM('Raw Sales'!E364)="","Unknown",PROPER(TRIM('Raw Sales'!E364)))</x:f>
        <x:v>Consumer</x:v>
      </x:c>
      <x:c r="I364" s="84" t="str">
        <x:f>PROPER(TRIM('Raw Sales'!F364))</x:f>
        <x:v>Northeast</x:v>
      </x:c>
      <x:c r="J364" s="84" t="str">
        <x:f>PROPER(TRIM('Raw Sales'!G364))</x:f>
        <x:v>Newark</x:v>
      </x:c>
      <x:c r="K364" s="84" t="str">
        <x:f>PROPER(TRIM('Raw Sales'!H364))</x:f>
        <x:v>Online</x:v>
      </x:c>
      <x:c r="L364" s="84" t="str">
        <x:f>'Raw Sales'!I364</x:f>
        <x:v>HOME-003</x:v>
      </x:c>
      <x:c r="M364" s="84" t="str">
        <x:f>IFERROR(VLOOKUP(L364,'Reference Data'!$A$5:$F$40,2,FALSE),"Unknown Product")</x:f>
        <x:v>Countertop Blender</x:v>
      </x:c>
      <x:c r="N364" s="84" t="str">
        <x:f>IFERROR(VLOOKUP(L364,'Reference Data'!$A$5:$F$40,3,FALSE),"Unknown")</x:f>
        <x:v>Home &amp; Kitchen</x:v>
      </x:c>
      <x:c r="O364" s="84" t="str">
        <x:f>IFERROR(VLOOKUP(L364,'Reference Data'!$A$5:$F$40,4,FALSE),"Unknown")</x:f>
        <x:v>Small Appliances</x:v>
      </x:c>
      <x:c r="P364" s="92" t="n">
        <x:f>IFERROR(VLOOKUP(L364,'Reference Data'!$A$5:$F$40,5,FALSE),0)</x:f>
        <x:v>89</x:v>
      </x:c>
      <x:c r="Q364" s="92" t="n">
        <x:f>IFERROR(VLOOKUP(L364,'Reference Data'!$A$5:$F$40,6,FALSE),0)</x:f>
        <x:v>46</x:v>
      </x:c>
      <x:c r="R364" s="84" t="n">
        <x:f>'Raw Sales'!J364</x:f>
        <x:v>2</x:v>
      </x:c>
      <x:c r="S364" s="87" t="n">
        <x:f>'Raw Sales'!K364</x:f>
        <x:v>0</x:v>
      </x:c>
      <x:c r="T364" s="93" t="n">
        <x:f>P364*R364</x:f>
        <x:v>178</x:v>
      </x:c>
      <x:c r="U364" s="93" t="n">
        <x:f>T364*S364</x:f>
        <x:v>0</x:v>
      </x:c>
      <x:c r="V364" s="93" t="str">
        <x:f>PROPER(TRIM('Raw Sales'!L364))</x:f>
        <x:v>Completed</x:v>
      </x:c>
      <x:c r="W364" s="93" t="n">
        <x:f>IF(V364="Returned",0,T364-U364)</x:f>
        <x:v>178</x:v>
      </x:c>
      <x:c r="X364" s="93" t="n">
        <x:f>IF(V364="Returned",Q364*R364*10%,Q364*R364)</x:f>
        <x:v>92</x:v>
      </x:c>
      <x:c r="Y364" s="93" t="n">
        <x:f>W364-X364</x:f>
        <x:v>86</x:v>
      </x:c>
      <x:c r="Z364" s="94" t="n">
        <x:f>IFERROR(Y364/W364,0)</x:f>
        <x:v>0.48314606741573035</x:v>
      </x:c>
      <x:c r="AA364" s="84" t="str">
        <x:f>PROPER(TRIM('Raw Sales'!M364))</x:f>
        <x:v>Paypal</x:v>
      </x:c>
      <x:c r="AB364" s="84" t="str">
        <x:f>PROPER(TRIM('Raw Sales'!N364))</x:f>
        <x:v>Maya Brooks</x:v>
      </x:c>
      <x:c r="AC364" s="85" t="n">
        <x:f>'Raw Sales'!O364</x:f>
        <x:v>45435</x:v>
      </x:c>
      <x:c r="AD364" s="84" t="n">
        <x:f>AC364-B364</x:f>
        <x:v>2</x:v>
      </x:c>
      <x:c r="AE364" s="84" t="str">
        <x:f>IF(COUNTIF($A$5:A364,A364)&gt;1,"Duplicate","Keep")</x:f>
        <x:v>Keep</x:v>
      </x:c>
      <x:c r="AF364" s="84" t="str">
        <x:f>IF(OR(R364&lt;=0,AC364&lt;B364,H364="Unknown",M364="Unknown Product"),"Review","Valid")</x:f>
        <x:v>Valid</x:v>
      </x:c>
      <x:c r="AG364" s="84" t="n">
        <x:f>IF(AND(AE364="Keep",AF364="Valid"),1,0)</x:f>
        <x:v>1</x:v>
      </x:c>
      <x:c r="AH364" s="84" t="n">
        <x:f>IF(AND(AG364=1,OR('Dashboard'!$B$4="All",I364='Dashboard'!$B$4),OR('Dashboard'!$E$4="All",N364='Dashboard'!$E$4),OR('Dashboard'!$H$4="All",K364='Dashboard'!$H$4),OR('Dashboard'!$K$4="All",C364='Dashboard'!$K$4)),1,0)</x:f>
        <x:v>1</x:v>
      </x:c>
      <x:c r="AI364" s="84" t="n">
        <x:f>IF(AND(AG364=1,OR('Dashboard'!$B$4="All",I364='Dashboard'!$B$4),OR('Dashboard'!$E$4="All",N364='Dashboard'!$E$4),OR('Dashboard'!$H$4="All",K364='Dashboard'!$H$4)),1,0)</x:f>
        <x:v>1</x:v>
      </x:c>
    </x:row>
    <x:row r="365">
      <x:c r="A365" s="84" t="str">
        <x:f>'Raw Sales'!A365</x:f>
        <x:v>ORD-2024-01166</x:v>
      </x:c>
      <x:c r="B365" s="85" t="n">
        <x:f>'Raw Sales'!B365</x:f>
        <x:v>45433</x:v>
      </x:c>
      <x:c r="C365" s="84" t="n">
        <x:f>YEAR(B365)</x:f>
        <x:v>2024</x:v>
      </x:c>
      <x:c r="D365" s="91" t="n">
        <x:f>DATE(YEAR(B365),MONTH(B365),1)</x:f>
        <x:v>45413</x:v>
      </x:c>
      <x:c r="E365" s="84" t="str">
        <x:f>TEXT(B365,"mmm")</x:f>
        <x:v>May</x:v>
      </x:c>
      <x:c r="F365" s="84" t="str">
        <x:f>'Raw Sales'!C365</x:f>
        <x:v>CUST-0525</x:v>
      </x:c>
      <x:c r="G365" s="84" t="str">
        <x:f>PROPER(TRIM('Raw Sales'!D365))</x:f>
        <x:v>Daniel Carter</x:v>
      </x:c>
      <x:c r="H365" s="84" t="str">
        <x:f>IF(TRIM('Raw Sales'!E365)="","Unknown",PROPER(TRIM('Raw Sales'!E365)))</x:f>
        <x:v>Small Business</x:v>
      </x:c>
      <x:c r="I365" s="84" t="str">
        <x:f>PROPER(TRIM('Raw Sales'!F365))</x:f>
        <x:v>Midwest</x:v>
      </x:c>
      <x:c r="J365" s="84" t="str">
        <x:f>PROPER(TRIM('Raw Sales'!G365))</x:f>
        <x:v>Columbus</x:v>
      </x:c>
      <x:c r="K365" s="84" t="str">
        <x:f>PROPER(TRIM('Raw Sales'!H365))</x:f>
        <x:v>Retail Store</x:v>
      </x:c>
      <x:c r="L365" s="84" t="str">
        <x:f>'Raw Sales'!I365</x:f>
        <x:v>CARE-001</x:v>
      </x:c>
      <x:c r="M365" s="84" t="str">
        <x:f>IFERROR(VLOOKUP(L365,'Reference Data'!$A$5:$F$40,2,FALSE),"Unknown Product")</x:f>
        <x:v>Ionic Hair Dryer</x:v>
      </x:c>
      <x:c r="N365" s="84" t="str">
        <x:f>IFERROR(VLOOKUP(L365,'Reference Data'!$A$5:$F$40,3,FALSE),"Unknown")</x:f>
        <x:v>Personal Care</x:v>
      </x:c>
      <x:c r="O365" s="84" t="str">
        <x:f>IFERROR(VLOOKUP(L365,'Reference Data'!$A$5:$F$40,4,FALSE),"Unknown")</x:f>
        <x:v>Hair Care</x:v>
      </x:c>
      <x:c r="P365" s="92" t="n">
        <x:f>IFERROR(VLOOKUP(L365,'Reference Data'!$A$5:$F$40,5,FALSE),0)</x:f>
        <x:v>54</x:v>
      </x:c>
      <x:c r="Q365" s="92" t="n">
        <x:f>IFERROR(VLOOKUP(L365,'Reference Data'!$A$5:$F$40,6,FALSE),0)</x:f>
        <x:v>25</x:v>
      </x:c>
      <x:c r="R365" s="84" t="n">
        <x:f>'Raw Sales'!J365</x:f>
        <x:v>1</x:v>
      </x:c>
      <x:c r="S365" s="87" t="n">
        <x:f>'Raw Sales'!K365</x:f>
        <x:v>0.05</x:v>
      </x:c>
      <x:c r="T365" s="93" t="n">
        <x:f>P365*R365</x:f>
        <x:v>54</x:v>
      </x:c>
      <x:c r="U365" s="93" t="n">
        <x:f>T365*S365</x:f>
        <x:v>2.7</x:v>
      </x:c>
      <x:c r="V365" s="93" t="str">
        <x:f>PROPER(TRIM('Raw Sales'!L365))</x:f>
        <x:v>Completed</x:v>
      </x:c>
      <x:c r="W365" s="93" t="n">
        <x:f>IF(V365="Returned",0,T365-U365)</x:f>
        <x:v>51.3</x:v>
      </x:c>
      <x:c r="X365" s="93" t="n">
        <x:f>IF(V365="Returned",Q365*R365*10%,Q365*R365)</x:f>
        <x:v>25</x:v>
      </x:c>
      <x:c r="Y365" s="93" t="n">
        <x:f>W365-X365</x:f>
        <x:v>26.299999999999997</x:v>
      </x:c>
      <x:c r="Z365" s="94" t="n">
        <x:f>IFERROR(Y365/W365,0)</x:f>
        <x:v>0.5126705653021443</x:v>
      </x:c>
      <x:c r="AA365" s="84" t="str">
        <x:f>PROPER(TRIM('Raw Sales'!M365))</x:f>
        <x:v>Mobile Wallet</x:v>
      </x:c>
      <x:c r="AB365" s="84" t="str">
        <x:f>PROPER(TRIM('Raw Sales'!N365))</x:f>
        <x:v>Lucas Grant</x:v>
      </x:c>
      <x:c r="AC365" s="85" t="n">
        <x:f>'Raw Sales'!O365</x:f>
        <x:v>45433</x:v>
      </x:c>
      <x:c r="AD365" s="84" t="n">
        <x:f>AC365-B365</x:f>
        <x:v>0</x:v>
      </x:c>
      <x:c r="AE365" s="84" t="str">
        <x:f>IF(COUNTIF($A$5:A365,A365)&gt;1,"Duplicate","Keep")</x:f>
        <x:v>Keep</x:v>
      </x:c>
      <x:c r="AF365" s="84" t="str">
        <x:f>IF(OR(R365&lt;=0,AC365&lt;B365,H365="Unknown",M365="Unknown Product"),"Review","Valid")</x:f>
        <x:v>Valid</x:v>
      </x:c>
      <x:c r="AG365" s="84" t="n">
        <x:f>IF(AND(AE365="Keep",AF365="Valid"),1,0)</x:f>
        <x:v>1</x:v>
      </x:c>
      <x:c r="AH365" s="84" t="n">
        <x:f>IF(AND(AG365=1,OR('Dashboard'!$B$4="All",I365='Dashboard'!$B$4),OR('Dashboard'!$E$4="All",N365='Dashboard'!$E$4),OR('Dashboard'!$H$4="All",K365='Dashboard'!$H$4),OR('Dashboard'!$K$4="All",C365='Dashboard'!$K$4)),1,0)</x:f>
        <x:v>1</x:v>
      </x:c>
      <x:c r="AI365" s="84" t="n">
        <x:f>IF(AND(AG365=1,OR('Dashboard'!$B$4="All",I365='Dashboard'!$B$4),OR('Dashboard'!$E$4="All",N365='Dashboard'!$E$4),OR('Dashboard'!$H$4="All",K365='Dashboard'!$H$4)),1,0)</x:f>
        <x:v>1</x:v>
      </x:c>
    </x:row>
    <x:row r="366">
      <x:c r="A366" s="84" t="str">
        <x:f>'Raw Sales'!A366</x:f>
        <x:v>ORD-2024-01509</x:v>
      </x:c>
      <x:c r="B366" s="85" t="n">
        <x:f>'Raw Sales'!B366</x:f>
        <x:v>45433</x:v>
      </x:c>
      <x:c r="C366" s="84" t="n">
        <x:f>YEAR(B366)</x:f>
        <x:v>2024</x:v>
      </x:c>
      <x:c r="D366" s="91" t="n">
        <x:f>DATE(YEAR(B366),MONTH(B366),1)</x:f>
        <x:v>45413</x:v>
      </x:c>
      <x:c r="E366" s="84" t="str">
        <x:f>TEXT(B366,"mmm")</x:f>
        <x:v>May</x:v>
      </x:c>
      <x:c r="F366" s="84" t="str">
        <x:f>'Raw Sales'!C366</x:f>
        <x:v>CUST-0065</x:v>
      </x:c>
      <x:c r="G366" s="84" t="str">
        <x:f>PROPER(TRIM('Raw Sales'!D366))</x:f>
        <x:v>Marcus Young</x:v>
      </x:c>
      <x:c r="H366" s="84" t="str">
        <x:f>IF(TRIM('Raw Sales'!E366)="","Unknown",PROPER(TRIM('Raw Sales'!E366)))</x:f>
        <x:v>Small Business</x:v>
      </x:c>
      <x:c r="I366" s="84" t="str">
        <x:f>PROPER(TRIM('Raw Sales'!F366))</x:f>
        <x:v>West</x:v>
      </x:c>
      <x:c r="J366" s="84" t="str">
        <x:f>PROPER(TRIM('Raw Sales'!G366))</x:f>
        <x:v>Seattle</x:v>
      </x:c>
      <x:c r="K366" s="84" t="str">
        <x:f>PROPER(TRIM('Raw Sales'!H366))</x:f>
        <x:v>Online</x:v>
      </x:c>
      <x:c r="L366" s="84" t="str">
        <x:f>'Raw Sales'!I366</x:f>
        <x:v>CARE-004</x:v>
      </x:c>
      <x:c r="M366" s="84" t="str">
        <x:f>IFERROR(VLOOKUP(L366,'Reference Data'!$A$5:$F$40,2,FALSE),"Unknown Product")</x:f>
        <x:v>Electric Toothbrush</x:v>
      </x:c>
      <x:c r="N366" s="84" t="str">
        <x:f>IFERROR(VLOOKUP(L366,'Reference Data'!$A$5:$F$40,3,FALSE),"Unknown")</x:f>
        <x:v>Personal Care</x:v>
      </x:c>
      <x:c r="O366" s="84" t="str">
        <x:f>IFERROR(VLOOKUP(L366,'Reference Data'!$A$5:$F$40,4,FALSE),"Unknown")</x:f>
        <x:v>Oral Care</x:v>
      </x:c>
      <x:c r="P366" s="92" t="n">
        <x:f>IFERROR(VLOOKUP(L366,'Reference Data'!$A$5:$F$40,5,FALSE),0)</x:f>
        <x:v>69</x:v>
      </x:c>
      <x:c r="Q366" s="92" t="n">
        <x:f>IFERROR(VLOOKUP(L366,'Reference Data'!$A$5:$F$40,6,FALSE),0)</x:f>
        <x:v>31</x:v>
      </x:c>
      <x:c r="R366" s="84" t="n">
        <x:f>'Raw Sales'!J366</x:f>
        <x:v>1</x:v>
      </x:c>
      <x:c r="S366" s="87" t="n">
        <x:f>'Raw Sales'!K366</x:f>
        <x:v>0.15</x:v>
      </x:c>
      <x:c r="T366" s="93" t="n">
        <x:f>P366*R366</x:f>
        <x:v>69</x:v>
      </x:c>
      <x:c r="U366" s="93" t="n">
        <x:f>T366*S366</x:f>
        <x:v>10.35</x:v>
      </x:c>
      <x:c r="V366" s="93" t="str">
        <x:f>PROPER(TRIM('Raw Sales'!L366))</x:f>
        <x:v>Completed</x:v>
      </x:c>
      <x:c r="W366" s="93" t="n">
        <x:f>IF(V366="Returned",0,T366-U366)</x:f>
        <x:v>58.65</x:v>
      </x:c>
      <x:c r="X366" s="93" t="n">
        <x:f>IF(V366="Returned",Q366*R366*10%,Q366*R366)</x:f>
        <x:v>31</x:v>
      </x:c>
      <x:c r="Y366" s="93" t="n">
        <x:f>W366-X366</x:f>
        <x:v>27.65</x:v>
      </x:c>
      <x:c r="Z366" s="94" t="n">
        <x:f>IFERROR(Y366/W366,0)</x:f>
        <x:v>0.4714407502131287</x:v>
      </x:c>
      <x:c r="AA366" s="84" t="str">
        <x:f>PROPER(TRIM('Raw Sales'!M366))</x:f>
        <x:v>Credit Card</x:v>
      </x:c>
      <x:c r="AB366" s="84" t="str">
        <x:f>PROPER(TRIM('Raw Sales'!N366))</x:f>
        <x:v>Mia Chen</x:v>
      </x:c>
      <x:c r="AC366" s="85" t="n">
        <x:f>'Raw Sales'!O366</x:f>
        <x:v>45436</x:v>
      </x:c>
      <x:c r="AD366" s="84" t="n">
        <x:f>AC366-B366</x:f>
        <x:v>3</x:v>
      </x:c>
      <x:c r="AE366" s="84" t="str">
        <x:f>IF(COUNTIF($A$5:A366,A366)&gt;1,"Duplicate","Keep")</x:f>
        <x:v>Keep</x:v>
      </x:c>
      <x:c r="AF366" s="84" t="str">
        <x:f>IF(OR(R366&lt;=0,AC366&lt;B366,H366="Unknown",M366="Unknown Product"),"Review","Valid")</x:f>
        <x:v>Valid</x:v>
      </x:c>
      <x:c r="AG366" s="84" t="n">
        <x:f>IF(AND(AE366="Keep",AF366="Valid"),1,0)</x:f>
        <x:v>1</x:v>
      </x:c>
      <x:c r="AH366" s="84" t="n">
        <x:f>IF(AND(AG366=1,OR('Dashboard'!$B$4="All",I366='Dashboard'!$B$4),OR('Dashboard'!$E$4="All",N366='Dashboard'!$E$4),OR('Dashboard'!$H$4="All",K366='Dashboard'!$H$4),OR('Dashboard'!$K$4="All",C366='Dashboard'!$K$4)),1,0)</x:f>
        <x:v>1</x:v>
      </x:c>
      <x:c r="AI366" s="84" t="n">
        <x:f>IF(AND(AG366=1,OR('Dashboard'!$B$4="All",I366='Dashboard'!$B$4),OR('Dashboard'!$E$4="All",N366='Dashboard'!$E$4),OR('Dashboard'!$H$4="All",K366='Dashboard'!$H$4)),1,0)</x:f>
        <x:v>1</x:v>
      </x:c>
    </x:row>
    <x:row r="367">
      <x:c r="A367" s="84" t="str">
        <x:f>'Raw Sales'!A367</x:f>
        <x:v>ORD-2024-01626</x:v>
      </x:c>
      <x:c r="B367" s="85" t="n">
        <x:f>'Raw Sales'!B367</x:f>
        <x:v>45433</x:v>
      </x:c>
      <x:c r="C367" s="84" t="n">
        <x:f>YEAR(B367)</x:f>
        <x:v>2024</x:v>
      </x:c>
      <x:c r="D367" s="91" t="n">
        <x:f>DATE(YEAR(B367),MONTH(B367),1)</x:f>
        <x:v>45413</x:v>
      </x:c>
      <x:c r="E367" s="84" t="str">
        <x:f>TEXT(B367,"mmm")</x:f>
        <x:v>May</x:v>
      </x:c>
      <x:c r="F367" s="84" t="str">
        <x:f>'Raw Sales'!C367</x:f>
        <x:v>CUST-0136</x:v>
      </x:c>
      <x:c r="G367" s="84" t="str">
        <x:f>PROPER(TRIM('Raw Sales'!D367))</x:f>
        <x:v>Elena Roberts</x:v>
      </x:c>
      <x:c r="H367" s="84" t="str">
        <x:f>IF(TRIM('Raw Sales'!E367)="","Unknown",PROPER(TRIM('Raw Sales'!E367)))</x:f>
        <x:v>Consumer</x:v>
      </x:c>
      <x:c r="I367" s="84" t="str">
        <x:f>PROPER(TRIM('Raw Sales'!F367))</x:f>
        <x:v>Southeast</x:v>
      </x:c>
      <x:c r="J367" s="84" t="str">
        <x:f>PROPER(TRIM('Raw Sales'!G367))</x:f>
        <x:v>Atlanta</x:v>
      </x:c>
      <x:c r="K367" s="84" t="str">
        <x:f>PROPER(TRIM('Raw Sales'!H367))</x:f>
        <x:v>Retail Store</x:v>
      </x:c>
      <x:c r="L367" s="84" t="str">
        <x:f>'Raw Sales'!I367</x:f>
        <x:v>ACCS-002</x:v>
      </x:c>
      <x:c r="M367" s="84" t="str">
        <x:f>IFERROR(VLOOKUP(L367,'Reference Data'!$A$5:$F$40,2,FALSE),"Unknown Product")</x:f>
        <x:v>Travel Backpack</x:v>
      </x:c>
      <x:c r="N367" s="84" t="str">
        <x:f>IFERROR(VLOOKUP(L367,'Reference Data'!$A$5:$F$40,3,FALSE),"Unknown")</x:f>
        <x:v>Accessories</x:v>
      </x:c>
      <x:c r="O367" s="84" t="str">
        <x:f>IFERROR(VLOOKUP(L367,'Reference Data'!$A$5:$F$40,4,FALSE),"Unknown")</x:f>
        <x:v>Bags</x:v>
      </x:c>
      <x:c r="P367" s="92" t="n">
        <x:f>IFERROR(VLOOKUP(L367,'Reference Data'!$A$5:$F$40,5,FALSE),0)</x:f>
        <x:v>89</x:v>
      </x:c>
      <x:c r="Q367" s="92" t="n">
        <x:f>IFERROR(VLOOKUP(L367,'Reference Data'!$A$5:$F$40,6,FALSE),0)</x:f>
        <x:v>36</x:v>
      </x:c>
      <x:c r="R367" s="84" t="n">
        <x:f>'Raw Sales'!J367</x:f>
        <x:v>3</x:v>
      </x:c>
      <x:c r="S367" s="87" t="n">
        <x:f>'Raw Sales'!K367</x:f>
        <x:v>0</x:v>
      </x:c>
      <x:c r="T367" s="93" t="n">
        <x:f>P367*R367</x:f>
        <x:v>267</x:v>
      </x:c>
      <x:c r="U367" s="93" t="n">
        <x:f>T367*S367</x:f>
        <x:v>0</x:v>
      </x:c>
      <x:c r="V367" s="93" t="str">
        <x:f>PROPER(TRIM('Raw Sales'!L367))</x:f>
        <x:v>Returned</x:v>
      </x:c>
      <x:c r="W367" s="93" t="n">
        <x:f>IF(V367="Returned",0,T367-U367)</x:f>
        <x:v>0</x:v>
      </x:c>
      <x:c r="X367" s="93" t="n">
        <x:f>IF(V367="Returned",Q367*R367*10%,Q367*R367)</x:f>
        <x:v>10.8</x:v>
      </x:c>
      <x:c r="Y367" s="93" t="n">
        <x:f>W367-X367</x:f>
        <x:v>-10.8</x:v>
      </x:c>
      <x:c r="Z367" s="94" t="n">
        <x:f>IFERROR(Y367/W367,0)</x:f>
        <x:v>0</x:v>
      </x:c>
      <x:c r="AA367" s="84" t="str">
        <x:f>PROPER(TRIM('Raw Sales'!M367))</x:f>
        <x:v>Credit Card</x:v>
      </x:c>
      <x:c r="AB367" s="84" t="str">
        <x:f>PROPER(TRIM('Raw Sales'!N367))</x:f>
        <x:v>Liam Parker</x:v>
      </x:c>
      <x:c r="AC367" s="85" t="n">
        <x:f>'Raw Sales'!O367</x:f>
        <x:v>45433</x:v>
      </x:c>
      <x:c r="AD367" s="84" t="n">
        <x:f>AC367-B367</x:f>
        <x:v>0</x:v>
      </x:c>
      <x:c r="AE367" s="84" t="str">
        <x:f>IF(COUNTIF($A$5:A367,A367)&gt;1,"Duplicate","Keep")</x:f>
        <x:v>Keep</x:v>
      </x:c>
      <x:c r="AF367" s="84" t="str">
        <x:f>IF(OR(R367&lt;=0,AC367&lt;B367,H367="Unknown",M367="Unknown Product"),"Review","Valid")</x:f>
        <x:v>Valid</x:v>
      </x:c>
      <x:c r="AG367" s="84" t="n">
        <x:f>IF(AND(AE367="Keep",AF367="Valid"),1,0)</x:f>
        <x:v>1</x:v>
      </x:c>
      <x:c r="AH367" s="84" t="n">
        <x:f>IF(AND(AG367=1,OR('Dashboard'!$B$4="All",I367='Dashboard'!$B$4),OR('Dashboard'!$E$4="All",N367='Dashboard'!$E$4),OR('Dashboard'!$H$4="All",K367='Dashboard'!$H$4),OR('Dashboard'!$K$4="All",C367='Dashboard'!$K$4)),1,0)</x:f>
        <x:v>1</x:v>
      </x:c>
      <x:c r="AI367" s="84" t="n">
        <x:f>IF(AND(AG367=1,OR('Dashboard'!$B$4="All",I367='Dashboard'!$B$4),OR('Dashboard'!$E$4="All",N367='Dashboard'!$E$4),OR('Dashboard'!$H$4="All",K367='Dashboard'!$H$4)),1,0)</x:f>
        <x:v>1</x:v>
      </x:c>
    </x:row>
    <x:row r="368">
      <x:c r="A368" s="84" t="str">
        <x:f>'Raw Sales'!A368</x:f>
        <x:v>ORD-2024-00515</x:v>
      </x:c>
      <x:c r="B368" s="85" t="n">
        <x:f>'Raw Sales'!B368</x:f>
        <x:v>45434</x:v>
      </x:c>
      <x:c r="C368" s="84" t="n">
        <x:f>YEAR(B368)</x:f>
        <x:v>2024</x:v>
      </x:c>
      <x:c r="D368" s="91" t="n">
        <x:f>DATE(YEAR(B368),MONTH(B368),1)</x:f>
        <x:v>45413</x:v>
      </x:c>
      <x:c r="E368" s="84" t="str">
        <x:f>TEXT(B368,"mmm")</x:f>
        <x:v>May</x:v>
      </x:c>
      <x:c r="F368" s="84" t="str">
        <x:f>'Raw Sales'!C368</x:f>
        <x:v>CUST-0064</x:v>
      </x:c>
      <x:c r="G368" s="84" t="str">
        <x:f>PROPER(TRIM('Raw Sales'!D368))</x:f>
        <x:v>Nina Walker</x:v>
      </x:c>
      <x:c r="H368" s="84" t="str">
        <x:f>IF(TRIM('Raw Sales'!E368)="","Unknown",PROPER(TRIM('Raw Sales'!E368)))</x:f>
        <x:v>Consumer</x:v>
      </x:c>
      <x:c r="I368" s="84" t="str">
        <x:f>PROPER(TRIM('Raw Sales'!F368))</x:f>
        <x:v>Midwest</x:v>
      </x:c>
      <x:c r="J368" s="84" t="str">
        <x:f>PROPER(TRIM('Raw Sales'!G368))</x:f>
        <x:v>Columbus</x:v>
      </x:c>
      <x:c r="K368" s="84" t="str">
        <x:f>PROPER(TRIM('Raw Sales'!H368))</x:f>
        <x:v>Retail Store</x:v>
      </x:c>
      <x:c r="L368" s="84" t="str">
        <x:f>'Raw Sales'!I368</x:f>
        <x:v>HOME-001</x:v>
      </x:c>
      <x:c r="M368" s="84" t="str">
        <x:f>IFERROR(VLOOKUP(L368,'Reference Data'!$A$5:$F$40,2,FALSE),"Unknown Product")</x:f>
        <x:v>Air Fryer</x:v>
      </x:c>
      <x:c r="N368" s="84" t="str">
        <x:f>IFERROR(VLOOKUP(L368,'Reference Data'!$A$5:$F$40,3,FALSE),"Unknown")</x:f>
        <x:v>Home &amp; Kitchen</x:v>
      </x:c>
      <x:c r="O368" s="84" t="str">
        <x:f>IFERROR(VLOOKUP(L368,'Reference Data'!$A$5:$F$40,4,FALSE),"Unknown")</x:f>
        <x:v>Small Appliances</x:v>
      </x:c>
      <x:c r="P368" s="92" t="n">
        <x:f>IFERROR(VLOOKUP(L368,'Reference Data'!$A$5:$F$40,5,FALSE),0)</x:f>
        <x:v>119</x:v>
      </x:c>
      <x:c r="Q368" s="92" t="n">
        <x:f>IFERROR(VLOOKUP(L368,'Reference Data'!$A$5:$F$40,6,FALSE),0)</x:f>
        <x:v>68</x:v>
      </x:c>
      <x:c r="R368" s="84" t="n">
        <x:f>'Raw Sales'!J368</x:f>
        <x:v>1</x:v>
      </x:c>
      <x:c r="S368" s="87" t="n">
        <x:f>'Raw Sales'!K368</x:f>
        <x:v>0</x:v>
      </x:c>
      <x:c r="T368" s="93" t="n">
        <x:f>P368*R368</x:f>
        <x:v>119</x:v>
      </x:c>
      <x:c r="U368" s="93" t="n">
        <x:f>T368*S368</x:f>
        <x:v>0</x:v>
      </x:c>
      <x:c r="V368" s="93" t="str">
        <x:f>PROPER(TRIM('Raw Sales'!L368))</x:f>
        <x:v>Completed</x:v>
      </x:c>
      <x:c r="W368" s="93" t="n">
        <x:f>IF(V368="Returned",0,T368-U368)</x:f>
        <x:v>119</x:v>
      </x:c>
      <x:c r="X368" s="93" t="n">
        <x:f>IF(V368="Returned",Q368*R368*10%,Q368*R368)</x:f>
        <x:v>68</x:v>
      </x:c>
      <x:c r="Y368" s="93" t="n">
        <x:f>W368-X368</x:f>
        <x:v>51</x:v>
      </x:c>
      <x:c r="Z368" s="94" t="n">
        <x:f>IFERROR(Y368/W368,0)</x:f>
        <x:v>0.42857142857142855</x:v>
      </x:c>
      <x:c r="AA368" s="84" t="str">
        <x:f>PROPER(TRIM('Raw Sales'!M368))</x:f>
        <x:v>Mobile Wallet</x:v>
      </x:c>
      <x:c r="AB368" s="84" t="str">
        <x:f>PROPER(TRIM('Raw Sales'!N368))</x:f>
        <x:v>Zoe Turner</x:v>
      </x:c>
      <x:c r="AC368" s="85" t="n">
        <x:f>'Raw Sales'!O368</x:f>
        <x:v>45434</x:v>
      </x:c>
      <x:c r="AD368" s="84" t="n">
        <x:f>AC368-B368</x:f>
        <x:v>0</x:v>
      </x:c>
      <x:c r="AE368" s="84" t="str">
        <x:f>IF(COUNTIF($A$5:A368,A368)&gt;1,"Duplicate","Keep")</x:f>
        <x:v>Keep</x:v>
      </x:c>
      <x:c r="AF368" s="84" t="str">
        <x:f>IF(OR(R368&lt;=0,AC368&lt;B368,H368="Unknown",M368="Unknown Product"),"Review","Valid")</x:f>
        <x:v>Valid</x:v>
      </x:c>
      <x:c r="AG368" s="84" t="n">
        <x:f>IF(AND(AE368="Keep",AF368="Valid"),1,0)</x:f>
        <x:v>1</x:v>
      </x:c>
      <x:c r="AH368" s="84" t="n">
        <x:f>IF(AND(AG368=1,OR('Dashboard'!$B$4="All",I368='Dashboard'!$B$4),OR('Dashboard'!$E$4="All",N368='Dashboard'!$E$4),OR('Dashboard'!$H$4="All",K368='Dashboard'!$H$4),OR('Dashboard'!$K$4="All",C368='Dashboard'!$K$4)),1,0)</x:f>
        <x:v>1</x:v>
      </x:c>
      <x:c r="AI368" s="84" t="n">
        <x:f>IF(AND(AG368=1,OR('Dashboard'!$B$4="All",I368='Dashboard'!$B$4),OR('Dashboard'!$E$4="All",N368='Dashboard'!$E$4),OR('Dashboard'!$H$4="All",K368='Dashboard'!$H$4)),1,0)</x:f>
        <x:v>1</x:v>
      </x:c>
    </x:row>
    <x:row r="369">
      <x:c r="A369" s="84" t="str">
        <x:f>'Raw Sales'!A369</x:f>
        <x:v>ORD-2024-01863</x:v>
      </x:c>
      <x:c r="B369" s="85" t="n">
        <x:f>'Raw Sales'!B369</x:f>
        <x:v>45434</x:v>
      </x:c>
      <x:c r="C369" s="84" t="n">
        <x:f>YEAR(B369)</x:f>
        <x:v>2024</x:v>
      </x:c>
      <x:c r="D369" s="91" t="n">
        <x:f>DATE(YEAR(B369),MONTH(B369),1)</x:f>
        <x:v>45413</x:v>
      </x:c>
      <x:c r="E369" s="84" t="str">
        <x:f>TEXT(B369,"mmm")</x:f>
        <x:v>May</x:v>
      </x:c>
      <x:c r="F369" s="84" t="str">
        <x:f>'Raw Sales'!C369</x:f>
        <x:v>CUST-0107</x:v>
      </x:c>
      <x:c r="G369" s="84" t="str">
        <x:f>PROPER(TRIM('Raw Sales'!D369))</x:f>
        <x:v>Elena Hall</x:v>
      </x:c>
      <x:c r="H369" s="84" t="str">
        <x:f>IF(TRIM('Raw Sales'!E369)="","Unknown",PROPER(TRIM('Raw Sales'!E369)))</x:f>
        <x:v>Consumer</x:v>
      </x:c>
      <x:c r="I369" s="84" t="str">
        <x:f>PROPER(TRIM('Raw Sales'!F369))</x:f>
        <x:v>Midwest</x:v>
      </x:c>
      <x:c r="J369" s="84" t="str">
        <x:f>PROPER(TRIM('Raw Sales'!G369))</x:f>
        <x:v>Columbus</x:v>
      </x:c>
      <x:c r="K369" s="84" t="str">
        <x:f>PROPER(TRIM('Raw Sales'!H369))</x:f>
        <x:v>Retail Store</x:v>
      </x:c>
      <x:c r="L369" s="84" t="str">
        <x:f>'Raw Sales'!I369</x:f>
        <x:v>CARE-001</x:v>
      </x:c>
      <x:c r="M369" s="84" t="str">
        <x:f>IFERROR(VLOOKUP(L369,'Reference Data'!$A$5:$F$40,2,FALSE),"Unknown Product")</x:f>
        <x:v>Ionic Hair Dryer</x:v>
      </x:c>
      <x:c r="N369" s="84" t="str">
        <x:f>IFERROR(VLOOKUP(L369,'Reference Data'!$A$5:$F$40,3,FALSE),"Unknown")</x:f>
        <x:v>Personal Care</x:v>
      </x:c>
      <x:c r="O369" s="84" t="str">
        <x:f>IFERROR(VLOOKUP(L369,'Reference Data'!$A$5:$F$40,4,FALSE),"Unknown")</x:f>
        <x:v>Hair Care</x:v>
      </x:c>
      <x:c r="P369" s="92" t="n">
        <x:f>IFERROR(VLOOKUP(L369,'Reference Data'!$A$5:$F$40,5,FALSE),0)</x:f>
        <x:v>54</x:v>
      </x:c>
      <x:c r="Q369" s="92" t="n">
        <x:f>IFERROR(VLOOKUP(L369,'Reference Data'!$A$5:$F$40,6,FALSE),0)</x:f>
        <x:v>25</x:v>
      </x:c>
      <x:c r="R369" s="84" t="n">
        <x:f>'Raw Sales'!J369</x:f>
        <x:v>2</x:v>
      </x:c>
      <x:c r="S369" s="87" t="n">
        <x:f>'Raw Sales'!K369</x:f>
        <x:v>0.2</x:v>
      </x:c>
      <x:c r="T369" s="93" t="n">
        <x:f>P369*R369</x:f>
        <x:v>108</x:v>
      </x:c>
      <x:c r="U369" s="93" t="n">
        <x:f>T369*S369</x:f>
        <x:v>21.6</x:v>
      </x:c>
      <x:c r="V369" s="93" t="str">
        <x:f>PROPER(TRIM('Raw Sales'!L369))</x:f>
        <x:v>Completed</x:v>
      </x:c>
      <x:c r="W369" s="93" t="n">
        <x:f>IF(V369="Returned",0,T369-U369)</x:f>
        <x:v>86.4</x:v>
      </x:c>
      <x:c r="X369" s="93" t="n">
        <x:f>IF(V369="Returned",Q369*R369*10%,Q369*R369)</x:f>
        <x:v>50</x:v>
      </x:c>
      <x:c r="Y369" s="93" t="n">
        <x:f>W369-X369</x:f>
        <x:v>36.400000000000006</x:v>
      </x:c>
      <x:c r="Z369" s="94" t="n">
        <x:f>IFERROR(Y369/W369,0)</x:f>
        <x:v>0.42129629629629634</x:v>
      </x:c>
      <x:c r="AA369" s="84" t="str">
        <x:f>PROPER(TRIM('Raw Sales'!M369))</x:f>
        <x:v>Cash</x:v>
      </x:c>
      <x:c r="AB369" s="84" t="str">
        <x:f>PROPER(TRIM('Raw Sales'!N369))</x:f>
        <x:v>Zoe Turner</x:v>
      </x:c>
      <x:c r="AC369" s="85" t="n">
        <x:f>'Raw Sales'!O369</x:f>
        <x:v>45434</x:v>
      </x:c>
      <x:c r="AD369" s="84" t="n">
        <x:f>AC369-B369</x:f>
        <x:v>0</x:v>
      </x:c>
      <x:c r="AE369" s="84" t="str">
        <x:f>IF(COUNTIF($A$5:A369,A369)&gt;1,"Duplicate","Keep")</x:f>
        <x:v>Keep</x:v>
      </x:c>
      <x:c r="AF369" s="84" t="str">
        <x:f>IF(OR(R369&lt;=0,AC369&lt;B369,H369="Unknown",M369="Unknown Product"),"Review","Valid")</x:f>
        <x:v>Valid</x:v>
      </x:c>
      <x:c r="AG369" s="84" t="n">
        <x:f>IF(AND(AE369="Keep",AF369="Valid"),1,0)</x:f>
        <x:v>1</x:v>
      </x:c>
      <x:c r="AH369" s="84" t="n">
        <x:f>IF(AND(AG369=1,OR('Dashboard'!$B$4="All",I369='Dashboard'!$B$4),OR('Dashboard'!$E$4="All",N369='Dashboard'!$E$4),OR('Dashboard'!$H$4="All",K369='Dashboard'!$H$4),OR('Dashboard'!$K$4="All",C369='Dashboard'!$K$4)),1,0)</x:f>
        <x:v>1</x:v>
      </x:c>
      <x:c r="AI369" s="84" t="n">
        <x:f>IF(AND(AG369=1,OR('Dashboard'!$B$4="All",I369='Dashboard'!$B$4),OR('Dashboard'!$E$4="All",N369='Dashboard'!$E$4),OR('Dashboard'!$H$4="All",K369='Dashboard'!$H$4)),1,0)</x:f>
        <x:v>1</x:v>
      </x:c>
    </x:row>
    <x:row r="370">
      <x:c r="A370" s="84" t="str">
        <x:f>'Raw Sales'!A370</x:f>
        <x:v>ORD-2024-00190</x:v>
      </x:c>
      <x:c r="B370" s="85" t="n">
        <x:f>'Raw Sales'!B370</x:f>
        <x:v>45435</x:v>
      </x:c>
      <x:c r="C370" s="84" t="n">
        <x:f>YEAR(B370)</x:f>
        <x:v>2024</x:v>
      </x:c>
      <x:c r="D370" s="91" t="n">
        <x:f>DATE(YEAR(B370),MONTH(B370),1)</x:f>
        <x:v>45413</x:v>
      </x:c>
      <x:c r="E370" s="84" t="str">
        <x:f>TEXT(B370,"mmm")</x:f>
        <x:v>May</x:v>
      </x:c>
      <x:c r="F370" s="84" t="str">
        <x:f>'Raw Sales'!C370</x:f>
        <x:v>CUST-0164</x:v>
      </x:c>
      <x:c r="G370" s="84" t="str">
        <x:f>PROPER(TRIM('Raw Sales'!D370))</x:f>
        <x:v>Maya Patel</x:v>
      </x:c>
      <x:c r="H370" s="84" t="str">
        <x:f>IF(TRIM('Raw Sales'!E370)="","Unknown",PROPER(TRIM('Raw Sales'!E370)))</x:f>
        <x:v>Corporate</x:v>
      </x:c>
      <x:c r="I370" s="84" t="str">
        <x:f>PROPER(TRIM('Raw Sales'!F370))</x:f>
        <x:v>West</x:v>
      </x:c>
      <x:c r="J370" s="84" t="str">
        <x:f>PROPER(TRIM('Raw Sales'!G370))</x:f>
        <x:v>Phoenix</x:v>
      </x:c>
      <x:c r="K370" s="84" t="str">
        <x:f>PROPER(TRIM('Raw Sales'!H370))</x:f>
        <x:v>Online</x:v>
      </x:c>
      <x:c r="L370" s="84" t="str">
        <x:f>'Raw Sales'!I370</x:f>
        <x:v>HOME-002</x:v>
      </x:c>
      <x:c r="M370" s="84" t="str">
        <x:f>IFERROR(VLOOKUP(L370,'Reference Data'!$A$5:$F$40,2,FALSE),"Unknown Product")</x:f>
        <x:v>Electric Kettle</x:v>
      </x:c>
      <x:c r="N370" s="84" t="str">
        <x:f>IFERROR(VLOOKUP(L370,'Reference Data'!$A$5:$F$40,3,FALSE),"Unknown")</x:f>
        <x:v>Home &amp; Kitchen</x:v>
      </x:c>
      <x:c r="O370" s="84" t="str">
        <x:f>IFERROR(VLOOKUP(L370,'Reference Data'!$A$5:$F$40,4,FALSE),"Unknown")</x:f>
        <x:v>Small Appliances</x:v>
      </x:c>
      <x:c r="P370" s="92" t="n">
        <x:f>IFERROR(VLOOKUP(L370,'Reference Data'!$A$5:$F$40,5,FALSE),0)</x:f>
        <x:v>49</x:v>
      </x:c>
      <x:c r="Q370" s="92" t="n">
        <x:f>IFERROR(VLOOKUP(L370,'Reference Data'!$A$5:$F$40,6,FALSE),0)</x:f>
        <x:v>23</x:v>
      </x:c>
      <x:c r="R370" s="84" t="n">
        <x:f>'Raw Sales'!J370</x:f>
        <x:v>3</x:v>
      </x:c>
      <x:c r="S370" s="87" t="n">
        <x:f>'Raw Sales'!K370</x:f>
        <x:v>0</x:v>
      </x:c>
      <x:c r="T370" s="93" t="n">
        <x:f>P370*R370</x:f>
        <x:v>147</x:v>
      </x:c>
      <x:c r="U370" s="93" t="n">
        <x:f>T370*S370</x:f>
        <x:v>0</x:v>
      </x:c>
      <x:c r="V370" s="93" t="str">
        <x:f>PROPER(TRIM('Raw Sales'!L370))</x:f>
        <x:v>Completed</x:v>
      </x:c>
      <x:c r="W370" s="93" t="n">
        <x:f>IF(V370="Returned",0,T370-U370)</x:f>
        <x:v>147</x:v>
      </x:c>
      <x:c r="X370" s="93" t="n">
        <x:f>IF(V370="Returned",Q370*R370*10%,Q370*R370)</x:f>
        <x:v>69</x:v>
      </x:c>
      <x:c r="Y370" s="93" t="n">
        <x:f>W370-X370</x:f>
        <x:v>78</x:v>
      </x:c>
      <x:c r="Z370" s="94" t="n">
        <x:f>IFERROR(Y370/W370,0)</x:f>
        <x:v>0.5306122448979592</x:v>
      </x:c>
      <x:c r="AA370" s="84" t="str">
        <x:f>PROPER(TRIM('Raw Sales'!M370))</x:f>
        <x:v>Mobile Wallet</x:v>
      </x:c>
      <x:c r="AB370" s="84" t="str">
        <x:f>PROPER(TRIM('Raw Sales'!N370))</x:f>
        <x:v>Leo Martinez</x:v>
      </x:c>
      <x:c r="AC370" s="85" t="n">
        <x:f>'Raw Sales'!O370</x:f>
        <x:v>45441</x:v>
      </x:c>
      <x:c r="AD370" s="84" t="n">
        <x:f>AC370-B370</x:f>
        <x:v>6</x:v>
      </x:c>
      <x:c r="AE370" s="84" t="str">
        <x:f>IF(COUNTIF($A$5:A370,A370)&gt;1,"Duplicate","Keep")</x:f>
        <x:v>Keep</x:v>
      </x:c>
      <x:c r="AF370" s="84" t="str">
        <x:f>IF(OR(R370&lt;=0,AC370&lt;B370,H370="Unknown",M370="Unknown Product"),"Review","Valid")</x:f>
        <x:v>Valid</x:v>
      </x:c>
      <x:c r="AG370" s="84" t="n">
        <x:f>IF(AND(AE370="Keep",AF370="Valid"),1,0)</x:f>
        <x:v>1</x:v>
      </x:c>
      <x:c r="AH370" s="84" t="n">
        <x:f>IF(AND(AG370=1,OR('Dashboard'!$B$4="All",I370='Dashboard'!$B$4),OR('Dashboard'!$E$4="All",N370='Dashboard'!$E$4),OR('Dashboard'!$H$4="All",K370='Dashboard'!$H$4),OR('Dashboard'!$K$4="All",C370='Dashboard'!$K$4)),1,0)</x:f>
        <x:v>1</x:v>
      </x:c>
      <x:c r="AI370" s="84" t="n">
        <x:f>IF(AND(AG370=1,OR('Dashboard'!$B$4="All",I370='Dashboard'!$B$4),OR('Dashboard'!$E$4="All",N370='Dashboard'!$E$4),OR('Dashboard'!$H$4="All",K370='Dashboard'!$H$4)),1,0)</x:f>
        <x:v>1</x:v>
      </x:c>
    </x:row>
    <x:row r="371">
      <x:c r="A371" s="84" t="str">
        <x:f>'Raw Sales'!A371</x:f>
        <x:v>ORD-2024-01227</x:v>
      </x:c>
      <x:c r="B371" s="85" t="n">
        <x:f>'Raw Sales'!B371</x:f>
        <x:v>45436</x:v>
      </x:c>
      <x:c r="C371" s="84" t="n">
        <x:f>YEAR(B371)</x:f>
        <x:v>2024</x:v>
      </x:c>
      <x:c r="D371" s="91" t="n">
        <x:f>DATE(YEAR(B371),MONTH(B371),1)</x:f>
        <x:v>45413</x:v>
      </x:c>
      <x:c r="E371" s="84" t="str">
        <x:f>TEXT(B371,"mmm")</x:f>
        <x:v>May</x:v>
      </x:c>
      <x:c r="F371" s="84" t="str">
        <x:f>'Raw Sales'!C371</x:f>
        <x:v>CUST-0537</x:v>
      </x:c>
      <x:c r="G371" s="84" t="str">
        <x:f>PROPER(TRIM('Raw Sales'!D371))</x:f>
        <x:v>Grace Young</x:v>
      </x:c>
      <x:c r="H371" s="84" t="str">
        <x:f>IF(TRIM('Raw Sales'!E371)="","Unknown",PROPER(TRIM('Raw Sales'!E371)))</x:f>
        <x:v>Consumer</x:v>
      </x:c>
      <x:c r="I371" s="84" t="str">
        <x:f>PROPER(TRIM('Raw Sales'!F371))</x:f>
        <x:v>Northeast</x:v>
      </x:c>
      <x:c r="J371" s="84" t="str">
        <x:f>PROPER(TRIM('Raw Sales'!G371))</x:f>
        <x:v>Philadelphia</x:v>
      </x:c>
      <x:c r="K371" s="84" t="str">
        <x:f>PROPER(TRIM('Raw Sales'!H371))</x:f>
        <x:v>Marketplace</x:v>
      </x:c>
      <x:c r="L371" s="84" t="str">
        <x:f>'Raw Sales'!I371</x:f>
        <x:v>ACCS-004</x:v>
      </x:c>
      <x:c r="M371" s="84" t="str">
        <x:f>IFERROR(VLOOKUP(L371,'Reference Data'!$A$5:$F$40,2,FALSE),"Unknown Product")</x:f>
        <x:v>Leather Wallet</x:v>
      </x:c>
      <x:c r="N371" s="84" t="str">
        <x:f>IFERROR(VLOOKUP(L371,'Reference Data'!$A$5:$F$40,3,FALSE),"Unknown")</x:f>
        <x:v>Accessories</x:v>
      </x:c>
      <x:c r="O371" s="84" t="str">
        <x:f>IFERROR(VLOOKUP(L371,'Reference Data'!$A$5:$F$40,4,FALSE),"Unknown")</x:f>
        <x:v>Wallets</x:v>
      </x:c>
      <x:c r="P371" s="92" t="n">
        <x:f>IFERROR(VLOOKUP(L371,'Reference Data'!$A$5:$F$40,5,FALSE),0)</x:f>
        <x:v>49</x:v>
      </x:c>
      <x:c r="Q371" s="92" t="n">
        <x:f>IFERROR(VLOOKUP(L371,'Reference Data'!$A$5:$F$40,6,FALSE),0)</x:f>
        <x:v>18</x:v>
      </x:c>
      <x:c r="R371" s="84" t="n">
        <x:f>'Raw Sales'!J371</x:f>
        <x:v>4</x:v>
      </x:c>
      <x:c r="S371" s="87" t="n">
        <x:f>'Raw Sales'!K371</x:f>
        <x:v>0.05</x:v>
      </x:c>
      <x:c r="T371" s="93" t="n">
        <x:f>P371*R371</x:f>
        <x:v>196</x:v>
      </x:c>
      <x:c r="U371" s="93" t="n">
        <x:f>T371*S371</x:f>
        <x:v>9.8</x:v>
      </x:c>
      <x:c r="V371" s="93" t="str">
        <x:f>PROPER(TRIM('Raw Sales'!L371))</x:f>
        <x:v>Completed</x:v>
      </x:c>
      <x:c r="W371" s="93" t="n">
        <x:f>IF(V371="Returned",0,T371-U371)</x:f>
        <x:v>186.2</x:v>
      </x:c>
      <x:c r="X371" s="93" t="n">
        <x:f>IF(V371="Returned",Q371*R371*10%,Q371*R371)</x:f>
        <x:v>72</x:v>
      </x:c>
      <x:c r="Y371" s="93" t="n">
        <x:f>W371-X371</x:f>
        <x:v>114.19999999999999</x:v>
      </x:c>
      <x:c r="Z371" s="94" t="n">
        <x:f>IFERROR(Y371/W371,0)</x:f>
        <x:v>0.6133190118152524</x:v>
      </x:c>
      <x:c r="AA371" s="84" t="str">
        <x:f>PROPER(TRIM('Raw Sales'!M371))</x:f>
        <x:v>Credit Card</x:v>
      </x:c>
      <x:c r="AB371" s="84" t="str">
        <x:f>PROPER(TRIM('Raw Sales'!N371))</x:f>
        <x:v>Sofia Bennett</x:v>
      </x:c>
      <x:c r="AC371" s="85" t="n">
        <x:f>'Raw Sales'!O371</x:f>
        <x:v>45442</x:v>
      </x:c>
      <x:c r="AD371" s="84" t="n">
        <x:f>AC371-B371</x:f>
        <x:v>6</x:v>
      </x:c>
      <x:c r="AE371" s="84" t="str">
        <x:f>IF(COUNTIF($A$5:A371,A371)&gt;1,"Duplicate","Keep")</x:f>
        <x:v>Keep</x:v>
      </x:c>
      <x:c r="AF371" s="84" t="str">
        <x:f>IF(OR(R371&lt;=0,AC371&lt;B371,H371="Unknown",M371="Unknown Product"),"Review","Valid")</x:f>
        <x:v>Valid</x:v>
      </x:c>
      <x:c r="AG371" s="84" t="n">
        <x:f>IF(AND(AE371="Keep",AF371="Valid"),1,0)</x:f>
        <x:v>1</x:v>
      </x:c>
      <x:c r="AH371" s="84" t="n">
        <x:f>IF(AND(AG371=1,OR('Dashboard'!$B$4="All",I371='Dashboard'!$B$4),OR('Dashboard'!$E$4="All",N371='Dashboard'!$E$4),OR('Dashboard'!$H$4="All",K371='Dashboard'!$H$4),OR('Dashboard'!$K$4="All",C371='Dashboard'!$K$4)),1,0)</x:f>
        <x:v>1</x:v>
      </x:c>
      <x:c r="AI371" s="84" t="n">
        <x:f>IF(AND(AG371=1,OR('Dashboard'!$B$4="All",I371='Dashboard'!$B$4),OR('Dashboard'!$E$4="All",N371='Dashboard'!$E$4),OR('Dashboard'!$H$4="All",K371='Dashboard'!$H$4)),1,0)</x:f>
        <x:v>1</x:v>
      </x:c>
    </x:row>
    <x:row r="372">
      <x:c r="A372" s="84" t="str">
        <x:f>'Raw Sales'!A372</x:f>
        <x:v>ORD-2024-02103</x:v>
      </x:c>
      <x:c r="B372" s="85" t="n">
        <x:f>'Raw Sales'!B372</x:f>
        <x:v>45436</x:v>
      </x:c>
      <x:c r="C372" s="84" t="n">
        <x:f>YEAR(B372)</x:f>
        <x:v>2024</x:v>
      </x:c>
      <x:c r="D372" s="91" t="n">
        <x:f>DATE(YEAR(B372),MONTH(B372),1)</x:f>
        <x:v>45413</x:v>
      </x:c>
      <x:c r="E372" s="84" t="str">
        <x:f>TEXT(B372,"mmm")</x:f>
        <x:v>May</x:v>
      </x:c>
      <x:c r="F372" s="84" t="str">
        <x:f>'Raw Sales'!C372</x:f>
        <x:v>CUST-0151</x:v>
      </x:c>
      <x:c r="G372" s="84" t="str">
        <x:f>PROPER(TRIM('Raw Sales'!D372))</x:f>
        <x:v>Theo Davis</x:v>
      </x:c>
      <x:c r="H372" s="84" t="str">
        <x:f>IF(TRIM('Raw Sales'!E372)="","Unknown",PROPER(TRIM('Raw Sales'!E372)))</x:f>
        <x:v>Small Business</x:v>
      </x:c>
      <x:c r="I372" s="84" t="str">
        <x:f>PROPER(TRIM('Raw Sales'!F372))</x:f>
        <x:v>Southeast</x:v>
      </x:c>
      <x:c r="J372" s="84" t="str">
        <x:f>PROPER(TRIM('Raw Sales'!G372))</x:f>
        <x:v>Nashville</x:v>
      </x:c>
      <x:c r="K372" s="84" t="str">
        <x:f>PROPER(TRIM('Raw Sales'!H372))</x:f>
        <x:v>Marketplace</x:v>
      </x:c>
      <x:c r="L372" s="84" t="str">
        <x:f>'Raw Sales'!I372</x:f>
        <x:v>HOME-005</x:v>
      </x:c>
      <x:c r="M372" s="84" t="str">
        <x:f>IFERROR(VLOOKUP(L372,'Reference Data'!$A$5:$F$40,2,FALSE),"Unknown Product")</x:f>
        <x:v>Cordless Vacuum</x:v>
      </x:c>
      <x:c r="N372" s="84" t="str">
        <x:f>IFERROR(VLOOKUP(L372,'Reference Data'!$A$5:$F$40,3,FALSE),"Unknown")</x:f>
        <x:v>Home &amp; Kitchen</x:v>
      </x:c>
      <x:c r="O372" s="84" t="str">
        <x:f>IFERROR(VLOOKUP(L372,'Reference Data'!$A$5:$F$40,4,FALSE),"Unknown")</x:f>
        <x:v>Cleaning</x:v>
      </x:c>
      <x:c r="P372" s="92" t="n">
        <x:f>IFERROR(VLOOKUP(L372,'Reference Data'!$A$5:$F$40,5,FALSE),0)</x:f>
        <x:v>179</x:v>
      </x:c>
      <x:c r="Q372" s="92" t="n">
        <x:f>IFERROR(VLOOKUP(L372,'Reference Data'!$A$5:$F$40,6,FALSE),0)</x:f>
        <x:v>102</x:v>
      </x:c>
      <x:c r="R372" s="84" t="n">
        <x:f>'Raw Sales'!J372</x:f>
        <x:v>1</x:v>
      </x:c>
      <x:c r="S372" s="87" t="n">
        <x:f>'Raw Sales'!K372</x:f>
        <x:v>0.2</x:v>
      </x:c>
      <x:c r="T372" s="93" t="n">
        <x:f>P372*R372</x:f>
        <x:v>179</x:v>
      </x:c>
      <x:c r="U372" s="93" t="n">
        <x:f>T372*S372</x:f>
        <x:v>35.800000000000004</x:v>
      </x:c>
      <x:c r="V372" s="93" t="str">
        <x:f>PROPER(TRIM('Raw Sales'!L372))</x:f>
        <x:v>Completed</x:v>
      </x:c>
      <x:c r="W372" s="93" t="n">
        <x:f>IF(V372="Returned",0,T372-U372)</x:f>
        <x:v>143.2</x:v>
      </x:c>
      <x:c r="X372" s="93" t="n">
        <x:f>IF(V372="Returned",Q372*R372*10%,Q372*R372)</x:f>
        <x:v>102</x:v>
      </x:c>
      <x:c r="Y372" s="93" t="n">
        <x:f>W372-X372</x:f>
        <x:v>41.19999999999999</x:v>
      </x:c>
      <x:c r="Z372" s="94" t="n">
        <x:f>IFERROR(Y372/W372,0)</x:f>
        <x:v>0.28770949720670386</x:v>
      </x:c>
      <x:c r="AA372" s="84" t="str">
        <x:f>PROPER(TRIM('Raw Sales'!M372))</x:f>
        <x:v>Credit Card</x:v>
      </x:c>
      <x:c r="AB372" s="84" t="str">
        <x:f>PROPER(TRIM('Raw Sales'!N372))</x:f>
        <x:v>Noah Reed</x:v>
      </x:c>
      <x:c r="AC372" s="85" t="n">
        <x:f>'Raw Sales'!O372</x:f>
        <x:v>45440</x:v>
      </x:c>
      <x:c r="AD372" s="84" t="n">
        <x:f>AC372-B372</x:f>
        <x:v>4</x:v>
      </x:c>
      <x:c r="AE372" s="84" t="str">
        <x:f>IF(COUNTIF($A$5:A372,A372)&gt;1,"Duplicate","Keep")</x:f>
        <x:v>Keep</x:v>
      </x:c>
      <x:c r="AF372" s="84" t="str">
        <x:f>IF(OR(R372&lt;=0,AC372&lt;B372,H372="Unknown",M372="Unknown Product"),"Review","Valid")</x:f>
        <x:v>Valid</x:v>
      </x:c>
      <x:c r="AG372" s="84" t="n">
        <x:f>IF(AND(AE372="Keep",AF372="Valid"),1,0)</x:f>
        <x:v>1</x:v>
      </x:c>
      <x:c r="AH372" s="84" t="n">
        <x:f>IF(AND(AG372=1,OR('Dashboard'!$B$4="All",I372='Dashboard'!$B$4),OR('Dashboard'!$E$4="All",N372='Dashboard'!$E$4),OR('Dashboard'!$H$4="All",K372='Dashboard'!$H$4),OR('Dashboard'!$K$4="All",C372='Dashboard'!$K$4)),1,0)</x:f>
        <x:v>1</x:v>
      </x:c>
      <x:c r="AI372" s="84" t="n">
        <x:f>IF(AND(AG372=1,OR('Dashboard'!$B$4="All",I372='Dashboard'!$B$4),OR('Dashboard'!$E$4="All",N372='Dashboard'!$E$4),OR('Dashboard'!$H$4="All",K372='Dashboard'!$H$4)),1,0)</x:f>
        <x:v>1</x:v>
      </x:c>
    </x:row>
    <x:row r="373">
      <x:c r="A373" s="84" t="str">
        <x:f>'Raw Sales'!A373</x:f>
        <x:v>ORD-2024-02340</x:v>
      </x:c>
      <x:c r="B373" s="85" t="n">
        <x:f>'Raw Sales'!B373</x:f>
        <x:v>45436</x:v>
      </x:c>
      <x:c r="C373" s="84" t="n">
        <x:f>YEAR(B373)</x:f>
        <x:v>2024</x:v>
      </x:c>
      <x:c r="D373" s="91" t="n">
        <x:f>DATE(YEAR(B373),MONTH(B373),1)</x:f>
        <x:v>45413</x:v>
      </x:c>
      <x:c r="E373" s="84" t="str">
        <x:f>TEXT(B373,"mmm")</x:f>
        <x:v>May</x:v>
      </x:c>
      <x:c r="F373" s="84" t="str">
        <x:f>'Raw Sales'!C373</x:f>
        <x:v>CUST-0204</x:v>
      </x:c>
      <x:c r="G373" s="84" t="str">
        <x:f>PROPER(TRIM('Raw Sales'!D373))</x:f>
        <x:v>Jasmine Nelson</x:v>
      </x:c>
      <x:c r="H373" s="84" t="str">
        <x:f>IF(TRIM('Raw Sales'!E373)="","Unknown",PROPER(TRIM('Raw Sales'!E373)))</x:f>
        <x:v>Consumer</x:v>
      </x:c>
      <x:c r="I373" s="84" t="str">
        <x:f>PROPER(TRIM('Raw Sales'!F373))</x:f>
        <x:v>Midwest</x:v>
      </x:c>
      <x:c r="J373" s="84" t="str">
        <x:f>PROPER(TRIM('Raw Sales'!G373))</x:f>
        <x:v>Minneapolis</x:v>
      </x:c>
      <x:c r="K373" s="84" t="str">
        <x:f>PROPER(TRIM('Raw Sales'!H373))</x:f>
        <x:v>Marketplace</x:v>
      </x:c>
      <x:c r="L373" s="84" t="str">
        <x:f>'Raw Sales'!I373</x:f>
        <x:v>HOME-001</x:v>
      </x:c>
      <x:c r="M373" s="84" t="str">
        <x:f>IFERROR(VLOOKUP(L373,'Reference Data'!$A$5:$F$40,2,FALSE),"Unknown Product")</x:f>
        <x:v>Air Fryer</x:v>
      </x:c>
      <x:c r="N373" s="84" t="str">
        <x:f>IFERROR(VLOOKUP(L373,'Reference Data'!$A$5:$F$40,3,FALSE),"Unknown")</x:f>
        <x:v>Home &amp; Kitchen</x:v>
      </x:c>
      <x:c r="O373" s="84" t="str">
        <x:f>IFERROR(VLOOKUP(L373,'Reference Data'!$A$5:$F$40,4,FALSE),"Unknown")</x:f>
        <x:v>Small Appliances</x:v>
      </x:c>
      <x:c r="P373" s="92" t="n">
        <x:f>IFERROR(VLOOKUP(L373,'Reference Data'!$A$5:$F$40,5,FALSE),0)</x:f>
        <x:v>119</x:v>
      </x:c>
      <x:c r="Q373" s="92" t="n">
        <x:f>IFERROR(VLOOKUP(L373,'Reference Data'!$A$5:$F$40,6,FALSE),0)</x:f>
        <x:v>68</x:v>
      </x:c>
      <x:c r="R373" s="84" t="n">
        <x:f>'Raw Sales'!J373</x:f>
        <x:v>3</x:v>
      </x:c>
      <x:c r="S373" s="87" t="n">
        <x:f>'Raw Sales'!K373</x:f>
        <x:v>0.05</x:v>
      </x:c>
      <x:c r="T373" s="93" t="n">
        <x:f>P373*R373</x:f>
        <x:v>357</x:v>
      </x:c>
      <x:c r="U373" s="93" t="n">
        <x:f>T373*S373</x:f>
        <x:v>17.85</x:v>
      </x:c>
      <x:c r="V373" s="93" t="str">
        <x:f>PROPER(TRIM('Raw Sales'!L373))</x:f>
        <x:v>Completed</x:v>
      </x:c>
      <x:c r="W373" s="93" t="n">
        <x:f>IF(V373="Returned",0,T373-U373)</x:f>
        <x:v>339.15</x:v>
      </x:c>
      <x:c r="X373" s="93" t="n">
        <x:f>IF(V373="Returned",Q373*R373*10%,Q373*R373)</x:f>
        <x:v>204</x:v>
      </x:c>
      <x:c r="Y373" s="93" t="n">
        <x:f>W373-X373</x:f>
        <x:v>135.14999999999998</x:v>
      </x:c>
      <x:c r="Z373" s="94" t="n">
        <x:f>IFERROR(Y373/W373,0)</x:f>
        <x:v>0.39849624060150374</x:v>
      </x:c>
      <x:c r="AA373" s="84" t="str">
        <x:f>PROPER(TRIM('Raw Sales'!M373))</x:f>
        <x:v>Credit Card</x:v>
      </x:c>
      <x:c r="AB373" s="84" t="str">
        <x:f>PROPER(TRIM('Raw Sales'!N373))</x:f>
        <x:v>Lucas Grant</x:v>
      </x:c>
      <x:c r="AC373" s="85" t="n">
        <x:f>'Raw Sales'!O373</x:f>
        <x:v>45442</x:v>
      </x:c>
      <x:c r="AD373" s="84" t="n">
        <x:f>AC373-B373</x:f>
        <x:v>6</x:v>
      </x:c>
      <x:c r="AE373" s="84" t="str">
        <x:f>IF(COUNTIF($A$5:A373,A373)&gt;1,"Duplicate","Keep")</x:f>
        <x:v>Keep</x:v>
      </x:c>
      <x:c r="AF373" s="84" t="str">
        <x:f>IF(OR(R373&lt;=0,AC373&lt;B373,H373="Unknown",M373="Unknown Product"),"Review","Valid")</x:f>
        <x:v>Valid</x:v>
      </x:c>
      <x:c r="AG373" s="84" t="n">
        <x:f>IF(AND(AE373="Keep",AF373="Valid"),1,0)</x:f>
        <x:v>1</x:v>
      </x:c>
      <x:c r="AH373" s="84" t="n">
        <x:f>IF(AND(AG373=1,OR('Dashboard'!$B$4="All",I373='Dashboard'!$B$4),OR('Dashboard'!$E$4="All",N373='Dashboard'!$E$4),OR('Dashboard'!$H$4="All",K373='Dashboard'!$H$4),OR('Dashboard'!$K$4="All",C373='Dashboard'!$K$4)),1,0)</x:f>
        <x:v>1</x:v>
      </x:c>
      <x:c r="AI373" s="84" t="n">
        <x:f>IF(AND(AG373=1,OR('Dashboard'!$B$4="All",I373='Dashboard'!$B$4),OR('Dashboard'!$E$4="All",N373='Dashboard'!$E$4),OR('Dashboard'!$H$4="All",K373='Dashboard'!$H$4)),1,0)</x:f>
        <x:v>1</x:v>
      </x:c>
    </x:row>
    <x:row r="374">
      <x:c r="A374" s="84" t="str">
        <x:f>'Raw Sales'!A374</x:f>
        <x:v>ORD-2024-00235</x:v>
      </x:c>
      <x:c r="B374" s="85" t="n">
        <x:f>'Raw Sales'!B374</x:f>
        <x:v>45437</x:v>
      </x:c>
      <x:c r="C374" s="84" t="n">
        <x:f>YEAR(B374)</x:f>
        <x:v>2024</x:v>
      </x:c>
      <x:c r="D374" s="91" t="n">
        <x:f>DATE(YEAR(B374),MONTH(B374),1)</x:f>
        <x:v>45413</x:v>
      </x:c>
      <x:c r="E374" s="84" t="str">
        <x:f>TEXT(B374,"mmm")</x:f>
        <x:v>May</x:v>
      </x:c>
      <x:c r="F374" s="84" t="str">
        <x:f>'Raw Sales'!C374</x:f>
        <x:v>CUST-0439</x:v>
      </x:c>
      <x:c r="G374" s="84" t="str">
        <x:f>PROPER(TRIM('Raw Sales'!D374))</x:f>
        <x:v>Aiden Irwin</x:v>
      </x:c>
      <x:c r="H374" s="84" t="str">
        <x:f>IF(TRIM('Raw Sales'!E374)="","Unknown",PROPER(TRIM('Raw Sales'!E374)))</x:f>
        <x:v>Consumer</x:v>
      </x:c>
      <x:c r="I374" s="84" t="str">
        <x:f>PROPER(TRIM('Raw Sales'!F374))</x:f>
        <x:v>West</x:v>
      </x:c>
      <x:c r="J374" s="84" t="str">
        <x:f>PROPER(TRIM('Raw Sales'!G374))</x:f>
        <x:v>Los Angeles</x:v>
      </x:c>
      <x:c r="K374" s="84" t="str">
        <x:f>PROPER(TRIM('Raw Sales'!H374))</x:f>
        <x:v>Retail Store</x:v>
      </x:c>
      <x:c r="L374" s="84" t="str">
        <x:f>'Raw Sales'!I374</x:f>
        <x:v>FITN-005</x:v>
      </x:c>
      <x:c r="M374" s="84" t="str">
        <x:f>IFERROR(VLOOKUP(L374,'Reference Data'!$A$5:$F$40,2,FALSE),"Unknown Product")</x:f>
        <x:v>Sports Water Bottle</x:v>
      </x:c>
      <x:c r="N374" s="84" t="str">
        <x:f>IFERROR(VLOOKUP(L374,'Reference Data'!$A$5:$F$40,3,FALSE),"Unknown")</x:f>
        <x:v>Fitness</x:v>
      </x:c>
      <x:c r="O374" s="84" t="str">
        <x:f>IFERROR(VLOOKUP(L374,'Reference Data'!$A$5:$F$40,4,FALSE),"Unknown")</x:f>
        <x:v>Accessories</x:v>
      </x:c>
      <x:c r="P374" s="92" t="n">
        <x:f>IFERROR(VLOOKUP(L374,'Reference Data'!$A$5:$F$40,5,FALSE),0)</x:f>
        <x:v>22</x:v>
      </x:c>
      <x:c r="Q374" s="92" t="n">
        <x:f>IFERROR(VLOOKUP(L374,'Reference Data'!$A$5:$F$40,6,FALSE),0)</x:f>
        <x:v>7</x:v>
      </x:c>
      <x:c r="R374" s="84" t="n">
        <x:f>'Raw Sales'!J374</x:f>
        <x:v>1</x:v>
      </x:c>
      <x:c r="S374" s="87" t="n">
        <x:f>'Raw Sales'!K374</x:f>
        <x:v>0</x:v>
      </x:c>
      <x:c r="T374" s="93" t="n">
        <x:f>P374*R374</x:f>
        <x:v>22</x:v>
      </x:c>
      <x:c r="U374" s="93" t="n">
        <x:f>T374*S374</x:f>
        <x:v>0</x:v>
      </x:c>
      <x:c r="V374" s="93" t="str">
        <x:f>PROPER(TRIM('Raw Sales'!L374))</x:f>
        <x:v>Completed</x:v>
      </x:c>
      <x:c r="W374" s="93" t="n">
        <x:f>IF(V374="Returned",0,T374-U374)</x:f>
        <x:v>22</x:v>
      </x:c>
      <x:c r="X374" s="93" t="n">
        <x:f>IF(V374="Returned",Q374*R374*10%,Q374*R374)</x:f>
        <x:v>7</x:v>
      </x:c>
      <x:c r="Y374" s="93" t="n">
        <x:f>W374-X374</x:f>
        <x:v>15</x:v>
      </x:c>
      <x:c r="Z374" s="94" t="n">
        <x:f>IFERROR(Y374/W374,0)</x:f>
        <x:v>0.6818181818181818</x:v>
      </x:c>
      <x:c r="AA374" s="84" t="str">
        <x:f>PROPER(TRIM('Raw Sales'!M374))</x:f>
        <x:v>Debit Card</x:v>
      </x:c>
      <x:c r="AB374" s="84" t="str">
        <x:f>PROPER(TRIM('Raw Sales'!N374))</x:f>
        <x:v>Nora Kim</x:v>
      </x:c>
      <x:c r="AC374" s="85" t="n">
        <x:f>'Raw Sales'!O374</x:f>
        <x:v>45437</x:v>
      </x:c>
      <x:c r="AD374" s="84" t="n">
        <x:f>AC374-B374</x:f>
        <x:v>0</x:v>
      </x:c>
      <x:c r="AE374" s="84" t="str">
        <x:f>IF(COUNTIF($A$5:A374,A374)&gt;1,"Duplicate","Keep")</x:f>
        <x:v>Keep</x:v>
      </x:c>
      <x:c r="AF374" s="84" t="str">
        <x:f>IF(OR(R374&lt;=0,AC374&lt;B374,H374="Unknown",M374="Unknown Product"),"Review","Valid")</x:f>
        <x:v>Valid</x:v>
      </x:c>
      <x:c r="AG374" s="84" t="n">
        <x:f>IF(AND(AE374="Keep",AF374="Valid"),1,0)</x:f>
        <x:v>1</x:v>
      </x:c>
      <x:c r="AH374" s="84" t="n">
        <x:f>IF(AND(AG374=1,OR('Dashboard'!$B$4="All",I374='Dashboard'!$B$4),OR('Dashboard'!$E$4="All",N374='Dashboard'!$E$4),OR('Dashboard'!$H$4="All",K374='Dashboard'!$H$4),OR('Dashboard'!$K$4="All",C374='Dashboard'!$K$4)),1,0)</x:f>
        <x:v>1</x:v>
      </x:c>
      <x:c r="AI374" s="84" t="n">
        <x:f>IF(AND(AG374=1,OR('Dashboard'!$B$4="All",I374='Dashboard'!$B$4),OR('Dashboard'!$E$4="All",N374='Dashboard'!$E$4),OR('Dashboard'!$H$4="All",K374='Dashboard'!$H$4)),1,0)</x:f>
        <x:v>1</x:v>
      </x:c>
    </x:row>
    <x:row r="375">
      <x:c r="A375" s="84" t="str">
        <x:f>'Raw Sales'!A375</x:f>
        <x:v>ORD-2024-01983</x:v>
      </x:c>
      <x:c r="B375" s="85" t="n">
        <x:f>'Raw Sales'!B375</x:f>
        <x:v>45437</x:v>
      </x:c>
      <x:c r="C375" s="84" t="n">
        <x:f>YEAR(B375)</x:f>
        <x:v>2024</x:v>
      </x:c>
      <x:c r="D375" s="91" t="n">
        <x:f>DATE(YEAR(B375),MONTH(B375),1)</x:f>
        <x:v>45413</x:v>
      </x:c>
      <x:c r="E375" s="84" t="str">
        <x:f>TEXT(B375,"mmm")</x:f>
        <x:v>May</x:v>
      </x:c>
      <x:c r="F375" s="84" t="str">
        <x:f>'Raw Sales'!C375</x:f>
        <x:v>CUST-0640</x:v>
      </x:c>
      <x:c r="G375" s="84" t="str">
        <x:f>PROPER(TRIM('Raw Sales'!D375))</x:f>
        <x:v>Maya Patel</x:v>
      </x:c>
      <x:c r="H375" s="84" t="str">
        <x:f>IF(TRIM('Raw Sales'!E375)="","Unknown",PROPER(TRIM('Raw Sales'!E375)))</x:f>
        <x:v>Corporate</x:v>
      </x:c>
      <x:c r="I375" s="84" t="str">
        <x:f>PROPER(TRIM('Raw Sales'!F375))</x:f>
        <x:v>Midwest</x:v>
      </x:c>
      <x:c r="J375" s="84" t="str">
        <x:f>PROPER(TRIM('Raw Sales'!G375))</x:f>
        <x:v>Columbus</x:v>
      </x:c>
      <x:c r="K375" s="84" t="str">
        <x:f>PROPER(TRIM('Raw Sales'!H375))</x:f>
        <x:v>Retail Store</x:v>
      </x:c>
      <x:c r="L375" s="84" t="str">
        <x:f>'Raw Sales'!I375</x:f>
        <x:v>ELEC-001</x:v>
      </x:c>
      <x:c r="M375" s="84" t="str">
        <x:f>IFERROR(VLOOKUP(L375,'Reference Data'!$A$5:$F$40,2,FALSE),"Unknown Product")</x:f>
        <x:v>Wireless Earbuds</x:v>
      </x:c>
      <x:c r="N375" s="84" t="str">
        <x:f>IFERROR(VLOOKUP(L375,'Reference Data'!$A$5:$F$40,3,FALSE),"Unknown")</x:f>
        <x:v>Electronics</x:v>
      </x:c>
      <x:c r="O375" s="84" t="str">
        <x:f>IFERROR(VLOOKUP(L375,'Reference Data'!$A$5:$F$40,4,FALSE),"Unknown")</x:f>
        <x:v>Audio</x:v>
      </x:c>
      <x:c r="P375" s="92" t="n">
        <x:f>IFERROR(VLOOKUP(L375,'Reference Data'!$A$5:$F$40,5,FALSE),0)</x:f>
        <x:v>69</x:v>
      </x:c>
      <x:c r="Q375" s="92" t="n">
        <x:f>IFERROR(VLOOKUP(L375,'Reference Data'!$A$5:$F$40,6,FALSE),0)</x:f>
        <x:v>36</x:v>
      </x:c>
      <x:c r="R375" s="84" t="n">
        <x:f>'Raw Sales'!J375</x:f>
        <x:v>2</x:v>
      </x:c>
      <x:c r="S375" s="87" t="n">
        <x:f>'Raw Sales'!K375</x:f>
        <x:v>0</x:v>
      </x:c>
      <x:c r="T375" s="93" t="n">
        <x:f>P375*R375</x:f>
        <x:v>138</x:v>
      </x:c>
      <x:c r="U375" s="93" t="n">
        <x:f>T375*S375</x:f>
        <x:v>0</x:v>
      </x:c>
      <x:c r="V375" s="93" t="str">
        <x:f>PROPER(TRIM('Raw Sales'!L375))</x:f>
        <x:v>Completed</x:v>
      </x:c>
      <x:c r="W375" s="93" t="n">
        <x:f>IF(V375="Returned",0,T375-U375)</x:f>
        <x:v>138</x:v>
      </x:c>
      <x:c r="X375" s="93" t="n">
        <x:f>IF(V375="Returned",Q375*R375*10%,Q375*R375)</x:f>
        <x:v>72</x:v>
      </x:c>
      <x:c r="Y375" s="93" t="n">
        <x:f>W375-X375</x:f>
        <x:v>66</x:v>
      </x:c>
      <x:c r="Z375" s="94" t="n">
        <x:f>IFERROR(Y375/W375,0)</x:f>
        <x:v>0.4782608695652174</x:v>
      </x:c>
      <x:c r="AA375" s="84" t="str">
        <x:f>PROPER(TRIM('Raw Sales'!M375))</x:f>
        <x:v>Credit Card</x:v>
      </x:c>
      <x:c r="AB375" s="84" t="str">
        <x:f>PROPER(TRIM('Raw Sales'!N375))</x:f>
        <x:v>Emma Hayes</x:v>
      </x:c>
      <x:c r="AC375" s="85" t="n">
        <x:f>'Raw Sales'!O375</x:f>
        <x:v>45437</x:v>
      </x:c>
      <x:c r="AD375" s="84" t="n">
        <x:f>AC375-B375</x:f>
        <x:v>0</x:v>
      </x:c>
      <x:c r="AE375" s="84" t="str">
        <x:f>IF(COUNTIF($A$5:A375,A375)&gt;1,"Duplicate","Keep")</x:f>
        <x:v>Keep</x:v>
      </x:c>
      <x:c r="AF375" s="84" t="str">
        <x:f>IF(OR(R375&lt;=0,AC375&lt;B375,H375="Unknown",M375="Unknown Product"),"Review","Valid")</x:f>
        <x:v>Valid</x:v>
      </x:c>
      <x:c r="AG375" s="84" t="n">
        <x:f>IF(AND(AE375="Keep",AF375="Valid"),1,0)</x:f>
        <x:v>1</x:v>
      </x:c>
      <x:c r="AH375" s="84" t="n">
        <x:f>IF(AND(AG375=1,OR('Dashboard'!$B$4="All",I375='Dashboard'!$B$4),OR('Dashboard'!$E$4="All",N375='Dashboard'!$E$4),OR('Dashboard'!$H$4="All",K375='Dashboard'!$H$4),OR('Dashboard'!$K$4="All",C375='Dashboard'!$K$4)),1,0)</x:f>
        <x:v>1</x:v>
      </x:c>
      <x:c r="AI375" s="84" t="n">
        <x:f>IF(AND(AG375=1,OR('Dashboard'!$B$4="All",I375='Dashboard'!$B$4),OR('Dashboard'!$E$4="All",N375='Dashboard'!$E$4),OR('Dashboard'!$H$4="All",K375='Dashboard'!$H$4)),1,0)</x:f>
        <x:v>1</x:v>
      </x:c>
    </x:row>
    <x:row r="376">
      <x:c r="A376" s="84" t="str">
        <x:f>'Raw Sales'!A376</x:f>
        <x:v>ORD-2024-02167</x:v>
      </x:c>
      <x:c r="B376" s="85" t="n">
        <x:f>'Raw Sales'!B376</x:f>
        <x:v>45437</x:v>
      </x:c>
      <x:c r="C376" s="84" t="n">
        <x:f>YEAR(B376)</x:f>
        <x:v>2024</x:v>
      </x:c>
      <x:c r="D376" s="91" t="n">
        <x:f>DATE(YEAR(B376),MONTH(B376),1)</x:f>
        <x:v>45413</x:v>
      </x:c>
      <x:c r="E376" s="84" t="str">
        <x:f>TEXT(B376,"mmm")</x:f>
        <x:v>May</x:v>
      </x:c>
      <x:c r="F376" s="84" t="str">
        <x:f>'Raw Sales'!C376</x:f>
        <x:v>CUST-0440</x:v>
      </x:c>
      <x:c r="G376" s="84" t="str">
        <x:f>PROPER(TRIM('Raw Sales'!D376))</x:f>
        <x:v>Chloe Roberts</x:v>
      </x:c>
      <x:c r="H376" s="84" t="str">
        <x:f>IF(TRIM('Raw Sales'!E376)="","Unknown",PROPER(TRIM('Raw Sales'!E376)))</x:f>
        <x:v>Consumer</x:v>
      </x:c>
      <x:c r="I376" s="84" t="str">
        <x:f>PROPER(TRIM('Raw Sales'!F376))</x:f>
        <x:v>Midwest</x:v>
      </x:c>
      <x:c r="J376" s="84" t="str">
        <x:f>PROPER(TRIM('Raw Sales'!G376))</x:f>
        <x:v>Minneapolis</x:v>
      </x:c>
      <x:c r="K376" s="84" t="str">
        <x:f>PROPER(TRIM('Raw Sales'!H376))</x:f>
        <x:v>Marketplace</x:v>
      </x:c>
      <x:c r="L376" s="84" t="str">
        <x:f>'Raw Sales'!I376</x:f>
        <x:v>CARE-006</x:v>
      </x:c>
      <x:c r="M376" s="84" t="str">
        <x:f>IFERROR(VLOOKUP(L376,'Reference Data'!$A$5:$F$40,2,FALSE),"Unknown Product")</x:f>
        <x:v>Percussion Massage Gun</x:v>
      </x:c>
      <x:c r="N376" s="84" t="str">
        <x:f>IFERROR(VLOOKUP(L376,'Reference Data'!$A$5:$F$40,3,FALSE),"Unknown")</x:f>
        <x:v>Personal Care</x:v>
      </x:c>
      <x:c r="O376" s="84" t="str">
        <x:f>IFERROR(VLOOKUP(L376,'Reference Data'!$A$5:$F$40,4,FALSE),"Unknown")</x:f>
        <x:v>Wellness</x:v>
      </x:c>
      <x:c r="P376" s="92" t="n">
        <x:f>IFERROR(VLOOKUP(L376,'Reference Data'!$A$5:$F$40,5,FALSE),0)</x:f>
        <x:v>129</x:v>
      </x:c>
      <x:c r="Q376" s="92" t="n">
        <x:f>IFERROR(VLOOKUP(L376,'Reference Data'!$A$5:$F$40,6,FALSE),0)</x:f>
        <x:v>70</x:v>
      </x:c>
      <x:c r="R376" s="84" t="n">
        <x:f>'Raw Sales'!J376</x:f>
        <x:v>1</x:v>
      </x:c>
      <x:c r="S376" s="87" t="n">
        <x:f>'Raw Sales'!K376</x:f>
        <x:v>0</x:v>
      </x:c>
      <x:c r="T376" s="93" t="n">
        <x:f>P376*R376</x:f>
        <x:v>129</x:v>
      </x:c>
      <x:c r="U376" s="93" t="n">
        <x:f>T376*S376</x:f>
        <x:v>0</x:v>
      </x:c>
      <x:c r="V376" s="93" t="str">
        <x:f>PROPER(TRIM('Raw Sales'!L376))</x:f>
        <x:v>Completed</x:v>
      </x:c>
      <x:c r="W376" s="93" t="n">
        <x:f>IF(V376="Returned",0,T376-U376)</x:f>
        <x:v>129</x:v>
      </x:c>
      <x:c r="X376" s="93" t="n">
        <x:f>IF(V376="Returned",Q376*R376*10%,Q376*R376)</x:f>
        <x:v>70</x:v>
      </x:c>
      <x:c r="Y376" s="93" t="n">
        <x:f>W376-X376</x:f>
        <x:v>59</x:v>
      </x:c>
      <x:c r="Z376" s="94" t="n">
        <x:f>IFERROR(Y376/W376,0)</x:f>
        <x:v>0.4573643410852713</x:v>
      </x:c>
      <x:c r="AA376" s="84" t="str">
        <x:f>PROPER(TRIM('Raw Sales'!M376))</x:f>
        <x:v>Debit Card</x:v>
      </x:c>
      <x:c r="AB376" s="84" t="str">
        <x:f>PROPER(TRIM('Raw Sales'!N376))</x:f>
        <x:v>Zoe Turner</x:v>
      </x:c>
      <x:c r="AC376" s="85" t="n">
        <x:f>'Raw Sales'!O376</x:f>
        <x:v>45443</x:v>
      </x:c>
      <x:c r="AD376" s="84" t="n">
        <x:f>AC376-B376</x:f>
        <x:v>6</x:v>
      </x:c>
      <x:c r="AE376" s="84" t="str">
        <x:f>IF(COUNTIF($A$5:A376,A376)&gt;1,"Duplicate","Keep")</x:f>
        <x:v>Keep</x:v>
      </x:c>
      <x:c r="AF376" s="84" t="str">
        <x:f>IF(OR(R376&lt;=0,AC376&lt;B376,H376="Unknown",M376="Unknown Product"),"Review","Valid")</x:f>
        <x:v>Valid</x:v>
      </x:c>
      <x:c r="AG376" s="84" t="n">
        <x:f>IF(AND(AE376="Keep",AF376="Valid"),1,0)</x:f>
        <x:v>1</x:v>
      </x:c>
      <x:c r="AH376" s="84" t="n">
        <x:f>IF(AND(AG376=1,OR('Dashboard'!$B$4="All",I376='Dashboard'!$B$4),OR('Dashboard'!$E$4="All",N376='Dashboard'!$E$4),OR('Dashboard'!$H$4="All",K376='Dashboard'!$H$4),OR('Dashboard'!$K$4="All",C376='Dashboard'!$K$4)),1,0)</x:f>
        <x:v>1</x:v>
      </x:c>
      <x:c r="AI376" s="84" t="n">
        <x:f>IF(AND(AG376=1,OR('Dashboard'!$B$4="All",I376='Dashboard'!$B$4),OR('Dashboard'!$E$4="All",N376='Dashboard'!$E$4),OR('Dashboard'!$H$4="All",K376='Dashboard'!$H$4)),1,0)</x:f>
        <x:v>1</x:v>
      </x:c>
    </x:row>
    <x:row r="377">
      <x:c r="A377" s="84" t="str">
        <x:f>'Raw Sales'!A377</x:f>
        <x:v>ORD-2024-01551</x:v>
      </x:c>
      <x:c r="B377" s="85" t="n">
        <x:f>'Raw Sales'!B377</x:f>
        <x:v>45438</x:v>
      </x:c>
      <x:c r="C377" s="84" t="n">
        <x:f>YEAR(B377)</x:f>
        <x:v>2024</x:v>
      </x:c>
      <x:c r="D377" s="91" t="n">
        <x:f>DATE(YEAR(B377),MONTH(B377),1)</x:f>
        <x:v>45413</x:v>
      </x:c>
      <x:c r="E377" s="84" t="str">
        <x:f>TEXT(B377,"mmm")</x:f>
        <x:v>May</x:v>
      </x:c>
      <x:c r="F377" s="84" t="str">
        <x:f>'Raw Sales'!C377</x:f>
        <x:v>CUST-0301</x:v>
      </x:c>
      <x:c r="G377" s="84" t="str">
        <x:f>PROPER(TRIM('Raw Sales'!D377))</x:f>
        <x:v>Elias Smith</x:v>
      </x:c>
      <x:c r="H377" s="84" t="str">
        <x:f>IF(TRIM('Raw Sales'!E377)="","Unknown",PROPER(TRIM('Raw Sales'!E377)))</x:f>
        <x:v>Consumer</x:v>
      </x:c>
      <x:c r="I377" s="84" t="str">
        <x:f>PROPER(TRIM('Raw Sales'!F377))</x:f>
        <x:v>Southeast</x:v>
      </x:c>
      <x:c r="J377" s="84" t="str">
        <x:f>PROPER(TRIM('Raw Sales'!G377))</x:f>
        <x:v>Charlotte</x:v>
      </x:c>
      <x:c r="K377" s="84" t="str">
        <x:f>PROPER(TRIM('Raw Sales'!H377))</x:f>
        <x:v>Retail Store</x:v>
      </x:c>
      <x:c r="L377" s="84" t="str">
        <x:f>'Raw Sales'!I377</x:f>
        <x:v>OFFC-004</x:v>
      </x:c>
      <x:c r="M377" s="84" t="str">
        <x:f>IFERROR(VLOOKUP(L377,'Reference Data'!$A$5:$F$40,2,FALSE),"Unknown Product")</x:f>
        <x:v>Premium Notebook Pack</x:v>
      </x:c>
      <x:c r="N377" s="84" t="str">
        <x:f>IFERROR(VLOOKUP(L377,'Reference Data'!$A$5:$F$40,3,FALSE),"Unknown")</x:f>
        <x:v>Office</x:v>
      </x:c>
      <x:c r="O377" s="84" t="str">
        <x:f>IFERROR(VLOOKUP(L377,'Reference Data'!$A$5:$F$40,4,FALSE),"Unknown")</x:f>
        <x:v>Stationery</x:v>
      </x:c>
      <x:c r="P377" s="92" t="n">
        <x:f>IFERROR(VLOOKUP(L377,'Reference Data'!$A$5:$F$40,5,FALSE),0)</x:f>
        <x:v>18</x:v>
      </x:c>
      <x:c r="Q377" s="92" t="n">
        <x:f>IFERROR(VLOOKUP(L377,'Reference Data'!$A$5:$F$40,6,FALSE),0)</x:f>
        <x:v>6.5</x:v>
      </x:c>
      <x:c r="R377" s="84" t="n">
        <x:f>'Raw Sales'!J377</x:f>
        <x:v>1</x:v>
      </x:c>
      <x:c r="S377" s="87" t="n">
        <x:f>'Raw Sales'!K377</x:f>
        <x:v>0.1</x:v>
      </x:c>
      <x:c r="T377" s="93" t="n">
        <x:f>P377*R377</x:f>
        <x:v>18</x:v>
      </x:c>
      <x:c r="U377" s="93" t="n">
        <x:f>T377*S377</x:f>
        <x:v>1.8</x:v>
      </x:c>
      <x:c r="V377" s="93" t="str">
        <x:f>PROPER(TRIM('Raw Sales'!L377))</x:f>
        <x:v>Completed</x:v>
      </x:c>
      <x:c r="W377" s="93" t="n">
        <x:f>IF(V377="Returned",0,T377-U377)</x:f>
        <x:v>16.2</x:v>
      </x:c>
      <x:c r="X377" s="93" t="n">
        <x:f>IF(V377="Returned",Q377*R377*10%,Q377*R377)</x:f>
        <x:v>6.5</x:v>
      </x:c>
      <x:c r="Y377" s="93" t="n">
        <x:f>W377-X377</x:f>
        <x:v>9.7</x:v>
      </x:c>
      <x:c r="Z377" s="94" t="n">
        <x:f>IFERROR(Y377/W377,0)</x:f>
        <x:v>0.5987654320987654</x:v>
      </x:c>
      <x:c r="AA377" s="84" t="str">
        <x:f>PROPER(TRIM('Raw Sales'!M377))</x:f>
        <x:v>Credit Card</x:v>
      </x:c>
      <x:c r="AB377" s="84" t="str">
        <x:f>PROPER(TRIM('Raw Sales'!N377))</x:f>
        <x:v>Noah Reed</x:v>
      </x:c>
      <x:c r="AC377" s="85" t="n">
        <x:f>'Raw Sales'!O377</x:f>
        <x:v>45438</x:v>
      </x:c>
      <x:c r="AD377" s="84" t="n">
        <x:f>AC377-B377</x:f>
        <x:v>0</x:v>
      </x:c>
      <x:c r="AE377" s="84" t="str">
        <x:f>IF(COUNTIF($A$5:A377,A377)&gt;1,"Duplicate","Keep")</x:f>
        <x:v>Keep</x:v>
      </x:c>
      <x:c r="AF377" s="84" t="str">
        <x:f>IF(OR(R377&lt;=0,AC377&lt;B377,H377="Unknown",M377="Unknown Product"),"Review","Valid")</x:f>
        <x:v>Valid</x:v>
      </x:c>
      <x:c r="AG377" s="84" t="n">
        <x:f>IF(AND(AE377="Keep",AF377="Valid"),1,0)</x:f>
        <x:v>1</x:v>
      </x:c>
      <x:c r="AH377" s="84" t="n">
        <x:f>IF(AND(AG377=1,OR('Dashboard'!$B$4="All",I377='Dashboard'!$B$4),OR('Dashboard'!$E$4="All",N377='Dashboard'!$E$4),OR('Dashboard'!$H$4="All",K377='Dashboard'!$H$4),OR('Dashboard'!$K$4="All",C377='Dashboard'!$K$4)),1,0)</x:f>
        <x:v>1</x:v>
      </x:c>
      <x:c r="AI377" s="84" t="n">
        <x:f>IF(AND(AG377=1,OR('Dashboard'!$B$4="All",I377='Dashboard'!$B$4),OR('Dashboard'!$E$4="All",N377='Dashboard'!$E$4),OR('Dashboard'!$H$4="All",K377='Dashboard'!$H$4)),1,0)</x:f>
        <x:v>1</x:v>
      </x:c>
    </x:row>
    <x:row r="378">
      <x:c r="A378" s="84" t="str">
        <x:f>'Raw Sales'!A378</x:f>
        <x:v>ORD-2024-00084</x:v>
      </x:c>
      <x:c r="B378" s="85" t="n">
        <x:f>'Raw Sales'!B378</x:f>
        <x:v>45439</x:v>
      </x:c>
      <x:c r="C378" s="84" t="n">
        <x:f>YEAR(B378)</x:f>
        <x:v>2024</x:v>
      </x:c>
      <x:c r="D378" s="91" t="n">
        <x:f>DATE(YEAR(B378),MONTH(B378),1)</x:f>
        <x:v>45413</x:v>
      </x:c>
      <x:c r="E378" s="84" t="str">
        <x:f>TEXT(B378,"mmm")</x:f>
        <x:v>May</x:v>
      </x:c>
      <x:c r="F378" s="84" t="str">
        <x:f>'Raw Sales'!C378</x:f>
        <x:v>CUST-0254</x:v>
      </x:c>
      <x:c r="G378" s="84" t="str">
        <x:f>PROPER(TRIM('Raw Sales'!D378))</x:f>
        <x:v>Marcus Carter</x:v>
      </x:c>
      <x:c r="H378" s="84" t="str">
        <x:f>IF(TRIM('Raw Sales'!E378)="","Unknown",PROPER(TRIM('Raw Sales'!E378)))</x:f>
        <x:v>Consumer</x:v>
      </x:c>
      <x:c r="I378" s="84" t="str">
        <x:f>PROPER(TRIM('Raw Sales'!F378))</x:f>
        <x:v>Northeast</x:v>
      </x:c>
      <x:c r="J378" s="84" t="str">
        <x:f>PROPER(TRIM('Raw Sales'!G378))</x:f>
        <x:v>Boston</x:v>
      </x:c>
      <x:c r="K378" s="84" t="str">
        <x:f>PROPER(TRIM('Raw Sales'!H378))</x:f>
        <x:v>Marketplace</x:v>
      </x:c>
      <x:c r="L378" s="84" t="str">
        <x:f>'Raw Sales'!I378</x:f>
        <x:v>HOME-004</x:v>
      </x:c>
      <x:c r="M378" s="84" t="str">
        <x:f>IFERROR(VLOOKUP(L378,'Reference Data'!$A$5:$F$40,2,FALSE),"Unknown Product")</x:f>
        <x:v>Coffee Maker</x:v>
      </x:c>
      <x:c r="N378" s="84" t="str">
        <x:f>IFERROR(VLOOKUP(L378,'Reference Data'!$A$5:$F$40,3,FALSE),"Unknown")</x:f>
        <x:v>Home &amp; Kitchen</x:v>
      </x:c>
      <x:c r="O378" s="84" t="str">
        <x:f>IFERROR(VLOOKUP(L378,'Reference Data'!$A$5:$F$40,4,FALSE),"Unknown")</x:f>
        <x:v>Small Appliances</x:v>
      </x:c>
      <x:c r="P378" s="92" t="n">
        <x:f>IFERROR(VLOOKUP(L378,'Reference Data'!$A$5:$F$40,5,FALSE),0)</x:f>
        <x:v>99</x:v>
      </x:c>
      <x:c r="Q378" s="92" t="n">
        <x:f>IFERROR(VLOOKUP(L378,'Reference Data'!$A$5:$F$40,6,FALSE),0)</x:f>
        <x:v>51</x:v>
      </x:c>
      <x:c r="R378" s="84" t="n">
        <x:f>'Raw Sales'!J378</x:f>
        <x:v>1</x:v>
      </x:c>
      <x:c r="S378" s="87" t="n">
        <x:f>'Raw Sales'!K378</x:f>
        <x:v>0.15</x:v>
      </x:c>
      <x:c r="T378" s="93" t="n">
        <x:f>P378*R378</x:f>
        <x:v>99</x:v>
      </x:c>
      <x:c r="U378" s="93" t="n">
        <x:f>T378*S378</x:f>
        <x:v>14.85</x:v>
      </x:c>
      <x:c r="V378" s="93" t="str">
        <x:f>PROPER(TRIM('Raw Sales'!L378))</x:f>
        <x:v>Completed</x:v>
      </x:c>
      <x:c r="W378" s="93" t="n">
        <x:f>IF(V378="Returned",0,T378-U378)</x:f>
        <x:v>84.15</x:v>
      </x:c>
      <x:c r="X378" s="93" t="n">
        <x:f>IF(V378="Returned",Q378*R378*10%,Q378*R378)</x:f>
        <x:v>51</x:v>
      </x:c>
      <x:c r="Y378" s="93" t="n">
        <x:f>W378-X378</x:f>
        <x:v>33.150000000000006</x:v>
      </x:c>
      <x:c r="Z378" s="94" t="n">
        <x:f>IFERROR(Y378/W378,0)</x:f>
        <x:v>0.393939393939394</x:v>
      </x:c>
      <x:c r="AA378" s="84" t="str">
        <x:f>PROPER(TRIM('Raw Sales'!M378))</x:f>
        <x:v>Credit Card</x:v>
      </x:c>
      <x:c r="AB378" s="84" t="str">
        <x:f>PROPER(TRIM('Raw Sales'!N378))</x:f>
        <x:v>Ethan Cole</x:v>
      </x:c>
      <x:c r="AC378" s="85" t="n">
        <x:f>'Raw Sales'!O378</x:f>
        <x:v>45442</x:v>
      </x:c>
      <x:c r="AD378" s="84" t="n">
        <x:f>AC378-B378</x:f>
        <x:v>3</x:v>
      </x:c>
      <x:c r="AE378" s="84" t="str">
        <x:f>IF(COUNTIF($A$5:A378,A378)&gt;1,"Duplicate","Keep")</x:f>
        <x:v>Keep</x:v>
      </x:c>
      <x:c r="AF378" s="84" t="str">
        <x:f>IF(OR(R378&lt;=0,AC378&lt;B378,H378="Unknown",M378="Unknown Product"),"Review","Valid")</x:f>
        <x:v>Valid</x:v>
      </x:c>
      <x:c r="AG378" s="84" t="n">
        <x:f>IF(AND(AE378="Keep",AF378="Valid"),1,0)</x:f>
        <x:v>1</x:v>
      </x:c>
      <x:c r="AH378" s="84" t="n">
        <x:f>IF(AND(AG378=1,OR('Dashboard'!$B$4="All",I378='Dashboard'!$B$4),OR('Dashboard'!$E$4="All",N378='Dashboard'!$E$4),OR('Dashboard'!$H$4="All",K378='Dashboard'!$H$4),OR('Dashboard'!$K$4="All",C378='Dashboard'!$K$4)),1,0)</x:f>
        <x:v>1</x:v>
      </x:c>
      <x:c r="AI378" s="84" t="n">
        <x:f>IF(AND(AG378=1,OR('Dashboard'!$B$4="All",I378='Dashboard'!$B$4),OR('Dashboard'!$E$4="All",N378='Dashboard'!$E$4),OR('Dashboard'!$H$4="All",K378='Dashboard'!$H$4)),1,0)</x:f>
        <x:v>1</x:v>
      </x:c>
    </x:row>
    <x:row r="379">
      <x:c r="A379" s="84" t="str">
        <x:f>'Raw Sales'!A379</x:f>
        <x:v>ORD-2024-00095</x:v>
      </x:c>
      <x:c r="B379" s="85" t="n">
        <x:f>'Raw Sales'!B379</x:f>
        <x:v>45439</x:v>
      </x:c>
      <x:c r="C379" s="84" t="n">
        <x:f>YEAR(B379)</x:f>
        <x:v>2024</x:v>
      </x:c>
      <x:c r="D379" s="91" t="n">
        <x:f>DATE(YEAR(B379),MONTH(B379),1)</x:f>
        <x:v>45413</x:v>
      </x:c>
      <x:c r="E379" s="84" t="str">
        <x:f>TEXT(B379,"mmm")</x:f>
        <x:v>May</x:v>
      </x:c>
      <x:c r="F379" s="84" t="str">
        <x:f>'Raw Sales'!C379</x:f>
        <x:v>CUST-0573</x:v>
      </x:c>
      <x:c r="G379" s="84" t="str">
        <x:f>PROPER(TRIM('Raw Sales'!D379))</x:f>
        <x:v>Priya Johnson</x:v>
      </x:c>
      <x:c r="H379" s="84" t="str">
        <x:f>IF(TRIM('Raw Sales'!E379)="","Unknown",PROPER(TRIM('Raw Sales'!E379)))</x:f>
        <x:v>Corporate</x:v>
      </x:c>
      <x:c r="I379" s="84" t="str">
        <x:f>PROPER(TRIM('Raw Sales'!F379))</x:f>
        <x:v>West</x:v>
      </x:c>
      <x:c r="J379" s="84" t="str">
        <x:f>PROPER(TRIM('Raw Sales'!G379))</x:f>
        <x:v>Los Angeles</x:v>
      </x:c>
      <x:c r="K379" s="84" t="str">
        <x:f>PROPER(TRIM('Raw Sales'!H379))</x:f>
        <x:v>Marketplace</x:v>
      </x:c>
      <x:c r="L379" s="84" t="str">
        <x:f>'Raw Sales'!I379</x:f>
        <x:v>FITN-001</x:v>
      </x:c>
      <x:c r="M379" s="84" t="str">
        <x:f>IFERROR(VLOOKUP(L379,'Reference Data'!$A$5:$F$40,2,FALSE),"Unknown Product")</x:f>
        <x:v>Yoga Mat</x:v>
      </x:c>
      <x:c r="N379" s="84" t="str">
        <x:f>IFERROR(VLOOKUP(L379,'Reference Data'!$A$5:$F$40,3,FALSE),"Unknown")</x:f>
        <x:v>Fitness</x:v>
      </x:c>
      <x:c r="O379" s="84" t="str">
        <x:f>IFERROR(VLOOKUP(L379,'Reference Data'!$A$5:$F$40,4,FALSE),"Unknown")</x:f>
        <x:v>Yoga</x:v>
      </x:c>
      <x:c r="P379" s="92" t="n">
        <x:f>IFERROR(VLOOKUP(L379,'Reference Data'!$A$5:$F$40,5,FALSE),0)</x:f>
        <x:v>35</x:v>
      </x:c>
      <x:c r="Q379" s="92" t="n">
        <x:f>IFERROR(VLOOKUP(L379,'Reference Data'!$A$5:$F$40,6,FALSE),0)</x:f>
        <x:v>13</x:v>
      </x:c>
      <x:c r="R379" s="84" t="n">
        <x:f>'Raw Sales'!J379</x:f>
        <x:v>2</x:v>
      </x:c>
      <x:c r="S379" s="87" t="n">
        <x:f>'Raw Sales'!K379</x:f>
        <x:v>0.1</x:v>
      </x:c>
      <x:c r="T379" s="93" t="n">
        <x:f>P379*R379</x:f>
        <x:v>70</x:v>
      </x:c>
      <x:c r="U379" s="93" t="n">
        <x:f>T379*S379</x:f>
        <x:v>7</x:v>
      </x:c>
      <x:c r="V379" s="93" t="str">
        <x:f>PROPER(TRIM('Raw Sales'!L379))</x:f>
        <x:v>Completed</x:v>
      </x:c>
      <x:c r="W379" s="93" t="n">
        <x:f>IF(V379="Returned",0,T379-U379)</x:f>
        <x:v>63</x:v>
      </x:c>
      <x:c r="X379" s="93" t="n">
        <x:f>IF(V379="Returned",Q379*R379*10%,Q379*R379)</x:f>
        <x:v>26</x:v>
      </x:c>
      <x:c r="Y379" s="93" t="n">
        <x:f>W379-X379</x:f>
        <x:v>37</x:v>
      </x:c>
      <x:c r="Z379" s="94" t="n">
        <x:f>IFERROR(Y379/W379,0)</x:f>
        <x:v>0.5873015873015873</x:v>
      </x:c>
      <x:c r="AA379" s="84" t="str">
        <x:f>PROPER(TRIM('Raw Sales'!M379))</x:f>
        <x:v>Mobile Wallet</x:v>
      </x:c>
      <x:c r="AB379" s="84" t="str">
        <x:f>PROPER(TRIM('Raw Sales'!N379))</x:f>
        <x:v>Leo Martinez</x:v>
      </x:c>
      <x:c r="AC379" s="85" t="n">
        <x:f>'Raw Sales'!O379</x:f>
        <x:v>45443</x:v>
      </x:c>
      <x:c r="AD379" s="84" t="n">
        <x:f>AC379-B379</x:f>
        <x:v>4</x:v>
      </x:c>
      <x:c r="AE379" s="84" t="str">
        <x:f>IF(COUNTIF($A$5:A379,A379)&gt;1,"Duplicate","Keep")</x:f>
        <x:v>Keep</x:v>
      </x:c>
      <x:c r="AF379" s="84" t="str">
        <x:f>IF(OR(R379&lt;=0,AC379&lt;B379,H379="Unknown",M379="Unknown Product"),"Review","Valid")</x:f>
        <x:v>Valid</x:v>
      </x:c>
      <x:c r="AG379" s="84" t="n">
        <x:f>IF(AND(AE379="Keep",AF379="Valid"),1,0)</x:f>
        <x:v>1</x:v>
      </x:c>
      <x:c r="AH379" s="84" t="n">
        <x:f>IF(AND(AG379=1,OR('Dashboard'!$B$4="All",I379='Dashboard'!$B$4),OR('Dashboard'!$E$4="All",N379='Dashboard'!$E$4),OR('Dashboard'!$H$4="All",K379='Dashboard'!$H$4),OR('Dashboard'!$K$4="All",C379='Dashboard'!$K$4)),1,0)</x:f>
        <x:v>1</x:v>
      </x:c>
      <x:c r="AI379" s="84" t="n">
        <x:f>IF(AND(AG379=1,OR('Dashboard'!$B$4="All",I379='Dashboard'!$B$4),OR('Dashboard'!$E$4="All",N379='Dashboard'!$E$4),OR('Dashboard'!$H$4="All",K379='Dashboard'!$H$4)),1,0)</x:f>
        <x:v>1</x:v>
      </x:c>
    </x:row>
    <x:row r="380">
      <x:c r="A380" s="84" t="str">
        <x:f>'Raw Sales'!A380</x:f>
        <x:v>ORD-2024-01062</x:v>
      </x:c>
      <x:c r="B380" s="85" t="n">
        <x:f>'Raw Sales'!B380</x:f>
        <x:v>45439</x:v>
      </x:c>
      <x:c r="C380" s="84" t="n">
        <x:f>YEAR(B380)</x:f>
        <x:v>2024</x:v>
      </x:c>
      <x:c r="D380" s="91" t="n">
        <x:f>DATE(YEAR(B380),MONTH(B380),1)</x:f>
        <x:v>45413</x:v>
      </x:c>
      <x:c r="E380" s="84" t="str">
        <x:f>TEXT(B380,"mmm")</x:f>
        <x:v>May</x:v>
      </x:c>
      <x:c r="F380" s="84" t="str">
        <x:f>'Raw Sales'!C380</x:f>
        <x:v>CUST-0148</x:v>
      </x:c>
      <x:c r="G380" s="84" t="str">
        <x:f>PROPER(TRIM('Raw Sales'!D380))</x:f>
        <x:v>Caleb Adams</x:v>
      </x:c>
      <x:c r="H380" s="84" t="str">
        <x:f>IF(TRIM('Raw Sales'!E380)="","Unknown",PROPER(TRIM('Raw Sales'!E380)))</x:f>
        <x:v>Small Business</x:v>
      </x:c>
      <x:c r="I380" s="84" t="str">
        <x:f>PROPER(TRIM('Raw Sales'!F380))</x:f>
        <x:v>West</x:v>
      </x:c>
      <x:c r="J380" s="84" t="str">
        <x:f>PROPER(TRIM('Raw Sales'!G380))</x:f>
        <x:v>Phoenix</x:v>
      </x:c>
      <x:c r="K380" s="84" t="str">
        <x:f>PROPER(TRIM('Raw Sales'!H380))</x:f>
        <x:v>Online</x:v>
      </x:c>
      <x:c r="L380" s="84" t="str">
        <x:f>'Raw Sales'!I380</x:f>
        <x:v>CARE-001</x:v>
      </x:c>
      <x:c r="M380" s="84" t="str">
        <x:f>IFERROR(VLOOKUP(L380,'Reference Data'!$A$5:$F$40,2,FALSE),"Unknown Product")</x:f>
        <x:v>Ionic Hair Dryer</x:v>
      </x:c>
      <x:c r="N380" s="84" t="str">
        <x:f>IFERROR(VLOOKUP(L380,'Reference Data'!$A$5:$F$40,3,FALSE),"Unknown")</x:f>
        <x:v>Personal Care</x:v>
      </x:c>
      <x:c r="O380" s="84" t="str">
        <x:f>IFERROR(VLOOKUP(L380,'Reference Data'!$A$5:$F$40,4,FALSE),"Unknown")</x:f>
        <x:v>Hair Care</x:v>
      </x:c>
      <x:c r="P380" s="92" t="n">
        <x:f>IFERROR(VLOOKUP(L380,'Reference Data'!$A$5:$F$40,5,FALSE),0)</x:f>
        <x:v>54</x:v>
      </x:c>
      <x:c r="Q380" s="92" t="n">
        <x:f>IFERROR(VLOOKUP(L380,'Reference Data'!$A$5:$F$40,6,FALSE),0)</x:f>
        <x:v>25</x:v>
      </x:c>
      <x:c r="R380" s="84" t="n">
        <x:f>'Raw Sales'!J380</x:f>
        <x:v>2</x:v>
      </x:c>
      <x:c r="S380" s="87" t="n">
        <x:f>'Raw Sales'!K380</x:f>
        <x:v>0.05</x:v>
      </x:c>
      <x:c r="T380" s="93" t="n">
        <x:f>P380*R380</x:f>
        <x:v>108</x:v>
      </x:c>
      <x:c r="U380" s="93" t="n">
        <x:f>T380*S380</x:f>
        <x:v>5.4</x:v>
      </x:c>
      <x:c r="V380" s="93" t="str">
        <x:f>PROPER(TRIM('Raw Sales'!L380))</x:f>
        <x:v>Completed</x:v>
      </x:c>
      <x:c r="W380" s="93" t="n">
        <x:f>IF(V380="Returned",0,T380-U380)</x:f>
        <x:v>102.6</x:v>
      </x:c>
      <x:c r="X380" s="93" t="n">
        <x:f>IF(V380="Returned",Q380*R380*10%,Q380*R380)</x:f>
        <x:v>50</x:v>
      </x:c>
      <x:c r="Y380" s="93" t="n">
        <x:f>W380-X380</x:f>
        <x:v>52.599999999999994</x:v>
      </x:c>
      <x:c r="Z380" s="94" t="n">
        <x:f>IFERROR(Y380/W380,0)</x:f>
        <x:v>0.5126705653021443</x:v>
      </x:c>
      <x:c r="AA380" s="84" t="str">
        <x:f>PROPER(TRIM('Raw Sales'!M380))</x:f>
        <x:v>Mobile Wallet</x:v>
      </x:c>
      <x:c r="AB380" s="84" t="str">
        <x:f>PROPER(TRIM('Raw Sales'!N380))</x:f>
        <x:v>Nora Kim</x:v>
      </x:c>
      <x:c r="AC380" s="85" t="n">
        <x:f>'Raw Sales'!O380</x:f>
        <x:v>45443</x:v>
      </x:c>
      <x:c r="AD380" s="84" t="n">
        <x:f>AC380-B380</x:f>
        <x:v>4</x:v>
      </x:c>
      <x:c r="AE380" s="84" t="str">
        <x:f>IF(COUNTIF($A$5:A380,A380)&gt;1,"Duplicate","Keep")</x:f>
        <x:v>Keep</x:v>
      </x:c>
      <x:c r="AF380" s="84" t="str">
        <x:f>IF(OR(R380&lt;=0,AC380&lt;B380,H380="Unknown",M380="Unknown Product"),"Review","Valid")</x:f>
        <x:v>Valid</x:v>
      </x:c>
      <x:c r="AG380" s="84" t="n">
        <x:f>IF(AND(AE380="Keep",AF380="Valid"),1,0)</x:f>
        <x:v>1</x:v>
      </x:c>
      <x:c r="AH380" s="84" t="n">
        <x:f>IF(AND(AG380=1,OR('Dashboard'!$B$4="All",I380='Dashboard'!$B$4),OR('Dashboard'!$E$4="All",N380='Dashboard'!$E$4),OR('Dashboard'!$H$4="All",K380='Dashboard'!$H$4),OR('Dashboard'!$K$4="All",C380='Dashboard'!$K$4)),1,0)</x:f>
        <x:v>1</x:v>
      </x:c>
      <x:c r="AI380" s="84" t="n">
        <x:f>IF(AND(AG380=1,OR('Dashboard'!$B$4="All",I380='Dashboard'!$B$4),OR('Dashboard'!$E$4="All",N380='Dashboard'!$E$4),OR('Dashboard'!$H$4="All",K380='Dashboard'!$H$4)),1,0)</x:f>
        <x:v>1</x:v>
      </x:c>
    </x:row>
    <x:row r="381">
      <x:c r="A381" s="84" t="str">
        <x:f>'Raw Sales'!A381</x:f>
        <x:v>ORD-2024-01280</x:v>
      </x:c>
      <x:c r="B381" s="85" t="n">
        <x:f>'Raw Sales'!B381</x:f>
        <x:v>45439</x:v>
      </x:c>
      <x:c r="C381" s="84" t="n">
        <x:f>YEAR(B381)</x:f>
        <x:v>2024</x:v>
      </x:c>
      <x:c r="D381" s="91" t="n">
        <x:f>DATE(YEAR(B381),MONTH(B381),1)</x:f>
        <x:v>45413</x:v>
      </x:c>
      <x:c r="E381" s="84" t="str">
        <x:f>TEXT(B381,"mmm")</x:f>
        <x:v>May</x:v>
      </x:c>
      <x:c r="F381" s="84" t="str">
        <x:f>'Raw Sales'!C381</x:f>
        <x:v>CUST-0054</x:v>
      </x:c>
      <x:c r="G381" s="84" t="str">
        <x:f>PROPER(TRIM('Raw Sales'!D381))</x:f>
        <x:v>Priya Roberts</x:v>
      </x:c>
      <x:c r="H381" s="84" t="str">
        <x:f>IF(TRIM('Raw Sales'!E381)="","Unknown",PROPER(TRIM('Raw Sales'!E381)))</x:f>
        <x:v>Consumer</x:v>
      </x:c>
      <x:c r="I381" s="84" t="str">
        <x:f>PROPER(TRIM('Raw Sales'!F381))</x:f>
        <x:v>West</x:v>
      </x:c>
      <x:c r="J381" s="84" t="str">
        <x:f>PROPER(TRIM('Raw Sales'!G381))</x:f>
        <x:v>Phoenix</x:v>
      </x:c>
      <x:c r="K381" s="84" t="str">
        <x:f>PROPER(TRIM('Raw Sales'!H381))</x:f>
        <x:v>Retail Store</x:v>
      </x:c>
      <x:c r="L381" s="84" t="str">
        <x:f>'Raw Sales'!I381</x:f>
        <x:v>FITN-002</x:v>
      </x:c>
      <x:c r="M381" s="84" t="str">
        <x:f>IFERROR(VLOOKUP(L381,'Reference Data'!$A$5:$F$40,2,FALSE),"Unknown Product")</x:f>
        <x:v>Adjustable Dumbbell Set</x:v>
      </x:c>
      <x:c r="N381" s="84" t="str">
        <x:f>IFERROR(VLOOKUP(L381,'Reference Data'!$A$5:$F$40,3,FALSE),"Unknown")</x:f>
        <x:v>Fitness</x:v>
      </x:c>
      <x:c r="O381" s="84" t="str">
        <x:f>IFERROR(VLOOKUP(L381,'Reference Data'!$A$5:$F$40,4,FALSE),"Unknown")</x:f>
        <x:v>Strength</x:v>
      </x:c>
      <x:c r="P381" s="92" t="n">
        <x:f>IFERROR(VLOOKUP(L381,'Reference Data'!$A$5:$F$40,5,FALSE),0)</x:f>
        <x:v>99</x:v>
      </x:c>
      <x:c r="Q381" s="92" t="n">
        <x:f>IFERROR(VLOOKUP(L381,'Reference Data'!$A$5:$F$40,6,FALSE),0)</x:f>
        <x:v>57</x:v>
      </x:c>
      <x:c r="R381" s="84" t="n">
        <x:f>'Raw Sales'!J381</x:f>
        <x:v>1</x:v>
      </x:c>
      <x:c r="S381" s="87" t="n">
        <x:f>'Raw Sales'!K381</x:f>
        <x:v>0.05</x:v>
      </x:c>
      <x:c r="T381" s="93" t="n">
        <x:f>P381*R381</x:f>
        <x:v>99</x:v>
      </x:c>
      <x:c r="U381" s="93" t="n">
        <x:f>T381*S381</x:f>
        <x:v>4.95</x:v>
      </x:c>
      <x:c r="V381" s="93" t="str">
        <x:f>PROPER(TRIM('Raw Sales'!L381))</x:f>
        <x:v>Completed</x:v>
      </x:c>
      <x:c r="W381" s="93" t="n">
        <x:f>IF(V381="Returned",0,T381-U381)</x:f>
        <x:v>94.05</x:v>
      </x:c>
      <x:c r="X381" s="93" t="n">
        <x:f>IF(V381="Returned",Q381*R381*10%,Q381*R381)</x:f>
        <x:v>57</x:v>
      </x:c>
      <x:c r="Y381" s="93" t="n">
        <x:f>W381-X381</x:f>
        <x:v>37.05</x:v>
      </x:c>
      <x:c r="Z381" s="94" t="n">
        <x:f>IFERROR(Y381/W381,0)</x:f>
        <x:v>0.3939393939393939</x:v>
      </x:c>
      <x:c r="AA381" s="84" t="str">
        <x:f>PROPER(TRIM('Raw Sales'!M381))</x:f>
        <x:v>Credit Card</x:v>
      </x:c>
      <x:c r="AB381" s="84" t="str">
        <x:f>PROPER(TRIM('Raw Sales'!N381))</x:f>
        <x:v>Mia Chen</x:v>
      </x:c>
      <x:c r="AC381" s="85" t="n">
        <x:f>'Raw Sales'!O381</x:f>
        <x:v>45440</x:v>
      </x:c>
      <x:c r="AD381" s="84" t="n">
        <x:f>AC381-B381</x:f>
        <x:v>1</x:v>
      </x:c>
      <x:c r="AE381" s="84" t="str">
        <x:f>IF(COUNTIF($A$5:A381,A381)&gt;1,"Duplicate","Keep")</x:f>
        <x:v>Keep</x:v>
      </x:c>
      <x:c r="AF381" s="84" t="str">
        <x:f>IF(OR(R381&lt;=0,AC381&lt;B381,H381="Unknown",M381="Unknown Product"),"Review","Valid")</x:f>
        <x:v>Valid</x:v>
      </x:c>
      <x:c r="AG381" s="84" t="n">
        <x:f>IF(AND(AE381="Keep",AF381="Valid"),1,0)</x:f>
        <x:v>1</x:v>
      </x:c>
      <x:c r="AH381" s="84" t="n">
        <x:f>IF(AND(AG381=1,OR('Dashboard'!$B$4="All",I381='Dashboard'!$B$4),OR('Dashboard'!$E$4="All",N381='Dashboard'!$E$4),OR('Dashboard'!$H$4="All",K381='Dashboard'!$H$4),OR('Dashboard'!$K$4="All",C381='Dashboard'!$K$4)),1,0)</x:f>
        <x:v>1</x:v>
      </x:c>
      <x:c r="AI381" s="84" t="n">
        <x:f>IF(AND(AG381=1,OR('Dashboard'!$B$4="All",I381='Dashboard'!$B$4),OR('Dashboard'!$E$4="All",N381='Dashboard'!$E$4),OR('Dashboard'!$H$4="All",K381='Dashboard'!$H$4)),1,0)</x:f>
        <x:v>1</x:v>
      </x:c>
    </x:row>
    <x:row r="382">
      <x:c r="A382" s="84" t="str">
        <x:f>'Raw Sales'!A382</x:f>
        <x:v>ORD-2024-01492</x:v>
      </x:c>
      <x:c r="B382" s="85" t="n">
        <x:f>'Raw Sales'!B382</x:f>
        <x:v>45439</x:v>
      </x:c>
      <x:c r="C382" s="84" t="n">
        <x:f>YEAR(B382)</x:f>
        <x:v>2024</x:v>
      </x:c>
      <x:c r="D382" s="91" t="n">
        <x:f>DATE(YEAR(B382),MONTH(B382),1)</x:f>
        <x:v>45413</x:v>
      </x:c>
      <x:c r="E382" s="84" t="str">
        <x:f>TEXT(B382,"mmm")</x:f>
        <x:v>May</x:v>
      </x:c>
      <x:c r="F382" s="84" t="str">
        <x:f>'Raw Sales'!C382</x:f>
        <x:v>CUST-0379</x:v>
      </x:c>
      <x:c r="G382" s="84" t="str">
        <x:f>PROPER(TRIM('Raw Sales'!D382))</x:f>
        <x:v>Sara Adams</x:v>
      </x:c>
      <x:c r="H382" s="84" t="str">
        <x:f>IF(TRIM('Raw Sales'!E382)="","Unknown",PROPER(TRIM('Raw Sales'!E382)))</x:f>
        <x:v>Consumer</x:v>
      </x:c>
      <x:c r="I382" s="84" t="str">
        <x:f>PROPER(TRIM('Raw Sales'!F382))</x:f>
        <x:v>Southeast</x:v>
      </x:c>
      <x:c r="J382" s="84" t="str">
        <x:f>PROPER(TRIM('Raw Sales'!G382))</x:f>
        <x:v>Atlanta</x:v>
      </x:c>
      <x:c r="K382" s="84" t="str">
        <x:f>PROPER(TRIM('Raw Sales'!H382))</x:f>
        <x:v>Retail Store</x:v>
      </x:c>
      <x:c r="L382" s="84" t="str">
        <x:f>'Raw Sales'!I382</x:f>
        <x:v>HOME-002</x:v>
      </x:c>
      <x:c r="M382" s="84" t="str">
        <x:f>IFERROR(VLOOKUP(L382,'Reference Data'!$A$5:$F$40,2,FALSE),"Unknown Product")</x:f>
        <x:v>Electric Kettle</x:v>
      </x:c>
      <x:c r="N382" s="84" t="str">
        <x:f>IFERROR(VLOOKUP(L382,'Reference Data'!$A$5:$F$40,3,FALSE),"Unknown")</x:f>
        <x:v>Home &amp; Kitchen</x:v>
      </x:c>
      <x:c r="O382" s="84" t="str">
        <x:f>IFERROR(VLOOKUP(L382,'Reference Data'!$A$5:$F$40,4,FALSE),"Unknown")</x:f>
        <x:v>Small Appliances</x:v>
      </x:c>
      <x:c r="P382" s="92" t="n">
        <x:f>IFERROR(VLOOKUP(L382,'Reference Data'!$A$5:$F$40,5,FALSE),0)</x:f>
        <x:v>49</x:v>
      </x:c>
      <x:c r="Q382" s="92" t="n">
        <x:f>IFERROR(VLOOKUP(L382,'Reference Data'!$A$5:$F$40,6,FALSE),0)</x:f>
        <x:v>23</x:v>
      </x:c>
      <x:c r="R382" s="84" t="n">
        <x:f>'Raw Sales'!J382</x:f>
        <x:v>3</x:v>
      </x:c>
      <x:c r="S382" s="87" t="n">
        <x:f>'Raw Sales'!K382</x:f>
        <x:v>0.05</x:v>
      </x:c>
      <x:c r="T382" s="93" t="n">
        <x:f>P382*R382</x:f>
        <x:v>147</x:v>
      </x:c>
      <x:c r="U382" s="93" t="n">
        <x:f>T382*S382</x:f>
        <x:v>7.3500000000000005</x:v>
      </x:c>
      <x:c r="V382" s="93" t="str">
        <x:f>PROPER(TRIM('Raw Sales'!L382))</x:f>
        <x:v>Completed</x:v>
      </x:c>
      <x:c r="W382" s="93" t="n">
        <x:f>IF(V382="Returned",0,T382-U382)</x:f>
        <x:v>139.65</x:v>
      </x:c>
      <x:c r="X382" s="93" t="n">
        <x:f>IF(V382="Returned",Q382*R382*10%,Q382*R382)</x:f>
        <x:v>69</x:v>
      </x:c>
      <x:c r="Y382" s="93" t="n">
        <x:f>W382-X382</x:f>
        <x:v>70.65</x:v>
      </x:c>
      <x:c r="Z382" s="94" t="n">
        <x:f>IFERROR(Y382/W382,0)</x:f>
        <x:v>0.5059076262083781</x:v>
      </x:c>
      <x:c r="AA382" s="84" t="str">
        <x:f>PROPER(TRIM('Raw Sales'!M382))</x:f>
        <x:v>Debit Card</x:v>
      </x:c>
      <x:c r="AB382" s="84" t="str">
        <x:f>PROPER(TRIM('Raw Sales'!N382))</x:f>
        <x:v>Liam Parker</x:v>
      </x:c>
      <x:c r="AC382" s="85" t="n">
        <x:f>'Raw Sales'!O382</x:f>
        <x:v>45439</x:v>
      </x:c>
      <x:c r="AD382" s="84" t="n">
        <x:f>AC382-B382</x:f>
        <x:v>0</x:v>
      </x:c>
      <x:c r="AE382" s="84" t="str">
        <x:f>IF(COUNTIF($A$5:A382,A382)&gt;1,"Duplicate","Keep")</x:f>
        <x:v>Keep</x:v>
      </x:c>
      <x:c r="AF382" s="84" t="str">
        <x:f>IF(OR(R382&lt;=0,AC382&lt;B382,H382="Unknown",M382="Unknown Product"),"Review","Valid")</x:f>
        <x:v>Valid</x:v>
      </x:c>
      <x:c r="AG382" s="84" t="n">
        <x:f>IF(AND(AE382="Keep",AF382="Valid"),1,0)</x:f>
        <x:v>1</x:v>
      </x:c>
      <x:c r="AH382" s="84" t="n">
        <x:f>IF(AND(AG382=1,OR('Dashboard'!$B$4="All",I382='Dashboard'!$B$4),OR('Dashboard'!$E$4="All",N382='Dashboard'!$E$4),OR('Dashboard'!$H$4="All",K382='Dashboard'!$H$4),OR('Dashboard'!$K$4="All",C382='Dashboard'!$K$4)),1,0)</x:f>
        <x:v>1</x:v>
      </x:c>
      <x:c r="AI382" s="84" t="n">
        <x:f>IF(AND(AG382=1,OR('Dashboard'!$B$4="All",I382='Dashboard'!$B$4),OR('Dashboard'!$E$4="All",N382='Dashboard'!$E$4),OR('Dashboard'!$H$4="All",K382='Dashboard'!$H$4)),1,0)</x:f>
        <x:v>1</x:v>
      </x:c>
    </x:row>
    <x:row r="383">
      <x:c r="A383" s="84" t="str">
        <x:f>'Raw Sales'!A383</x:f>
        <x:v>ORD-2024-01538</x:v>
      </x:c>
      <x:c r="B383" s="85" t="n">
        <x:f>'Raw Sales'!B383</x:f>
        <x:v>45439</x:v>
      </x:c>
      <x:c r="C383" s="84" t="n">
        <x:f>YEAR(B383)</x:f>
        <x:v>2024</x:v>
      </x:c>
      <x:c r="D383" s="91" t="n">
        <x:f>DATE(YEAR(B383),MONTH(B383),1)</x:f>
        <x:v>45413</x:v>
      </x:c>
      <x:c r="E383" s="84" t="str">
        <x:f>TEXT(B383,"mmm")</x:f>
        <x:v>May</x:v>
      </x:c>
      <x:c r="F383" s="84" t="str">
        <x:f>'Raw Sales'!C383</x:f>
        <x:v>CUST-0406</x:v>
      </x:c>
      <x:c r="G383" s="84" t="str">
        <x:f>PROPER(TRIM('Raw Sales'!D383))</x:f>
        <x:v>Marcus Garcia</x:v>
      </x:c>
      <x:c r="H383" s="84" t="str">
        <x:f>IF(TRIM('Raw Sales'!E383)="","Unknown",PROPER(TRIM('Raw Sales'!E383)))</x:f>
        <x:v>Small Business</x:v>
      </x:c>
      <x:c r="I383" s="84" t="str">
        <x:f>PROPER(TRIM('Raw Sales'!F383))</x:f>
        <x:v>Northeast</x:v>
      </x:c>
      <x:c r="J383" s="84" t="str">
        <x:f>PROPER(TRIM('Raw Sales'!G383))</x:f>
        <x:v>Boston</x:v>
      </x:c>
      <x:c r="K383" s="84" t="str">
        <x:f>PROPER(TRIM('Raw Sales'!H383))</x:f>
        <x:v>Online</x:v>
      </x:c>
      <x:c r="L383" s="84" t="str">
        <x:f>'Raw Sales'!I383</x:f>
        <x:v>ELEC-006</x:v>
      </x:c>
      <x:c r="M383" s="84" t="str">
        <x:f>IFERROR(VLOOKUP(L383,'Reference Data'!$A$5:$F$40,2,FALSE),"Unknown Product")</x:f>
        <x:v>Portable SSD</x:v>
      </x:c>
      <x:c r="N383" s="84" t="str">
        <x:f>IFERROR(VLOOKUP(L383,'Reference Data'!$A$5:$F$40,3,FALSE),"Unknown")</x:f>
        <x:v>Electronics</x:v>
      </x:c>
      <x:c r="O383" s="84" t="str">
        <x:f>IFERROR(VLOOKUP(L383,'Reference Data'!$A$5:$F$40,4,FALSE),"Unknown")</x:f>
        <x:v>Storage</x:v>
      </x:c>
      <x:c r="P383" s="92" t="n">
        <x:f>IFERROR(VLOOKUP(L383,'Reference Data'!$A$5:$F$40,5,FALSE),0)</x:f>
        <x:v>129</x:v>
      </x:c>
      <x:c r="Q383" s="92" t="n">
        <x:f>IFERROR(VLOOKUP(L383,'Reference Data'!$A$5:$F$40,6,FALSE),0)</x:f>
        <x:v>75</x:v>
      </x:c>
      <x:c r="R383" s="84" t="n">
        <x:f>'Raw Sales'!J383</x:f>
        <x:v>1</x:v>
      </x:c>
      <x:c r="S383" s="87" t="n">
        <x:f>'Raw Sales'!K383</x:f>
        <x:v>0</x:v>
      </x:c>
      <x:c r="T383" s="93" t="n">
        <x:f>P383*R383</x:f>
        <x:v>129</x:v>
      </x:c>
      <x:c r="U383" s="93" t="n">
        <x:f>T383*S383</x:f>
        <x:v>0</x:v>
      </x:c>
      <x:c r="V383" s="93" t="str">
        <x:f>PROPER(TRIM('Raw Sales'!L383))</x:f>
        <x:v>Completed</x:v>
      </x:c>
      <x:c r="W383" s="93" t="n">
        <x:f>IF(V383="Returned",0,T383-U383)</x:f>
        <x:v>129</x:v>
      </x:c>
      <x:c r="X383" s="93" t="n">
        <x:f>IF(V383="Returned",Q383*R383*10%,Q383*R383)</x:f>
        <x:v>75</x:v>
      </x:c>
      <x:c r="Y383" s="93" t="n">
        <x:f>W383-X383</x:f>
        <x:v>54</x:v>
      </x:c>
      <x:c r="Z383" s="94" t="n">
        <x:f>IFERROR(Y383/W383,0)</x:f>
        <x:v>0.4186046511627907</x:v>
      </x:c>
      <x:c r="AA383" s="84" t="str">
        <x:f>PROPER(TRIM('Raw Sales'!M383))</x:f>
        <x:v>Debit Card</x:v>
      </x:c>
      <x:c r="AB383" s="84" t="str">
        <x:f>PROPER(TRIM('Raw Sales'!N383))</x:f>
        <x:v>Maya Brooks</x:v>
      </x:c>
      <x:c r="AC383" s="85" t="n">
        <x:f>'Raw Sales'!O383</x:f>
        <x:v>45442</x:v>
      </x:c>
      <x:c r="AD383" s="84" t="n">
        <x:f>AC383-B383</x:f>
        <x:v>3</x:v>
      </x:c>
      <x:c r="AE383" s="84" t="str">
        <x:f>IF(COUNTIF($A$5:A383,A383)&gt;1,"Duplicate","Keep")</x:f>
        <x:v>Keep</x:v>
      </x:c>
      <x:c r="AF383" s="84" t="str">
        <x:f>IF(OR(R383&lt;=0,AC383&lt;B383,H383="Unknown",M383="Unknown Product"),"Review","Valid")</x:f>
        <x:v>Valid</x:v>
      </x:c>
      <x:c r="AG383" s="84" t="n">
        <x:f>IF(AND(AE383="Keep",AF383="Valid"),1,0)</x:f>
        <x:v>1</x:v>
      </x:c>
      <x:c r="AH383" s="84" t="n">
        <x:f>IF(AND(AG383=1,OR('Dashboard'!$B$4="All",I383='Dashboard'!$B$4),OR('Dashboard'!$E$4="All",N383='Dashboard'!$E$4),OR('Dashboard'!$H$4="All",K383='Dashboard'!$H$4),OR('Dashboard'!$K$4="All",C383='Dashboard'!$K$4)),1,0)</x:f>
        <x:v>1</x:v>
      </x:c>
      <x:c r="AI383" s="84" t="n">
        <x:f>IF(AND(AG383=1,OR('Dashboard'!$B$4="All",I383='Dashboard'!$B$4),OR('Dashboard'!$E$4="All",N383='Dashboard'!$E$4),OR('Dashboard'!$H$4="All",K383='Dashboard'!$H$4)),1,0)</x:f>
        <x:v>1</x:v>
      </x:c>
    </x:row>
    <x:row r="384">
      <x:c r="A384" s="84" t="str">
        <x:f>'Raw Sales'!A384</x:f>
        <x:v>ORD-2024-01609</x:v>
      </x:c>
      <x:c r="B384" s="85" t="n">
        <x:f>'Raw Sales'!B384</x:f>
        <x:v>45439</x:v>
      </x:c>
      <x:c r="C384" s="84" t="n">
        <x:f>YEAR(B384)</x:f>
        <x:v>2024</x:v>
      </x:c>
      <x:c r="D384" s="91" t="n">
        <x:f>DATE(YEAR(B384),MONTH(B384),1)</x:f>
        <x:v>45413</x:v>
      </x:c>
      <x:c r="E384" s="84" t="str">
        <x:f>TEXT(B384,"mmm")</x:f>
        <x:v>May</x:v>
      </x:c>
      <x:c r="F384" s="84" t="str">
        <x:f>'Raw Sales'!C384</x:f>
        <x:v>CUST-0541</x:v>
      </x:c>
      <x:c r="G384" s="84" t="str">
        <x:f>PROPER(TRIM('Raw Sales'!D384))</x:f>
        <x:v>Caleb Adams</x:v>
      </x:c>
      <x:c r="H384" s="84" t="str">
        <x:f>IF(TRIM('Raw Sales'!E384)="","Unknown",PROPER(TRIM('Raw Sales'!E384)))</x:f>
        <x:v>Small Business</x:v>
      </x:c>
      <x:c r="I384" s="84" t="str">
        <x:f>PROPER(TRIM('Raw Sales'!F384))</x:f>
        <x:v>Northeast</x:v>
      </x:c>
      <x:c r="J384" s="84" t="str">
        <x:f>PROPER(TRIM('Raw Sales'!G384))</x:f>
        <x:v>Newark</x:v>
      </x:c>
      <x:c r="K384" s="84" t="str">
        <x:f>PROPER(TRIM('Raw Sales'!H384))</x:f>
        <x:v>Online</x:v>
      </x:c>
      <x:c r="L384" s="84" t="str">
        <x:f>'Raw Sales'!I384</x:f>
        <x:v>HOME-003</x:v>
      </x:c>
      <x:c r="M384" s="84" t="str">
        <x:f>IFERROR(VLOOKUP(L384,'Reference Data'!$A$5:$F$40,2,FALSE),"Unknown Product")</x:f>
        <x:v>Countertop Blender</x:v>
      </x:c>
      <x:c r="N384" s="84" t="str">
        <x:f>IFERROR(VLOOKUP(L384,'Reference Data'!$A$5:$F$40,3,FALSE),"Unknown")</x:f>
        <x:v>Home &amp; Kitchen</x:v>
      </x:c>
      <x:c r="O384" s="84" t="str">
        <x:f>IFERROR(VLOOKUP(L384,'Reference Data'!$A$5:$F$40,4,FALSE),"Unknown")</x:f>
        <x:v>Small Appliances</x:v>
      </x:c>
      <x:c r="P384" s="92" t="n">
        <x:f>IFERROR(VLOOKUP(L384,'Reference Data'!$A$5:$F$40,5,FALSE),0)</x:f>
        <x:v>89</x:v>
      </x:c>
      <x:c r="Q384" s="92" t="n">
        <x:f>IFERROR(VLOOKUP(L384,'Reference Data'!$A$5:$F$40,6,FALSE),0)</x:f>
        <x:v>46</x:v>
      </x:c>
      <x:c r="R384" s="84" t="n">
        <x:f>'Raw Sales'!J384</x:f>
        <x:v>2</x:v>
      </x:c>
      <x:c r="S384" s="87" t="n">
        <x:f>'Raw Sales'!K384</x:f>
        <x:v>0.15</x:v>
      </x:c>
      <x:c r="T384" s="93" t="n">
        <x:f>P384*R384</x:f>
        <x:v>178</x:v>
      </x:c>
      <x:c r="U384" s="93" t="n">
        <x:f>T384*S384</x:f>
        <x:v>26.7</x:v>
      </x:c>
      <x:c r="V384" s="93" t="str">
        <x:f>PROPER(TRIM('Raw Sales'!L384))</x:f>
        <x:v>Completed</x:v>
      </x:c>
      <x:c r="W384" s="93" t="n">
        <x:f>IF(V384="Returned",0,T384-U384)</x:f>
        <x:v>151.3</x:v>
      </x:c>
      <x:c r="X384" s="93" t="n">
        <x:f>IF(V384="Returned",Q384*R384*10%,Q384*R384)</x:f>
        <x:v>92</x:v>
      </x:c>
      <x:c r="Y384" s="93" t="n">
        <x:f>W384-X384</x:f>
        <x:v>59.30000000000001</x:v>
      </x:c>
      <x:c r="Z384" s="94" t="n">
        <x:f>IFERROR(Y384/W384,0)</x:f>
        <x:v>0.39193654990085924</x:v>
      </x:c>
      <x:c r="AA384" s="84" t="str">
        <x:f>PROPER(TRIM('Raw Sales'!M384))</x:f>
        <x:v>Credit Card</x:v>
      </x:c>
      <x:c r="AB384" s="84" t="str">
        <x:f>PROPER(TRIM('Raw Sales'!N384))</x:f>
        <x:v>Sofia Bennett</x:v>
      </x:c>
      <x:c r="AC384" s="85" t="n">
        <x:f>'Raw Sales'!O384</x:f>
        <x:v>45441</x:v>
      </x:c>
      <x:c r="AD384" s="84" t="n">
        <x:f>AC384-B384</x:f>
        <x:v>2</x:v>
      </x:c>
      <x:c r="AE384" s="84" t="str">
        <x:f>IF(COUNTIF($A$5:A384,A384)&gt;1,"Duplicate","Keep")</x:f>
        <x:v>Keep</x:v>
      </x:c>
      <x:c r="AF384" s="84" t="str">
        <x:f>IF(OR(R384&lt;=0,AC384&lt;B384,H384="Unknown",M384="Unknown Product"),"Review","Valid")</x:f>
        <x:v>Valid</x:v>
      </x:c>
      <x:c r="AG384" s="84" t="n">
        <x:f>IF(AND(AE384="Keep",AF384="Valid"),1,0)</x:f>
        <x:v>1</x:v>
      </x:c>
      <x:c r="AH384" s="84" t="n">
        <x:f>IF(AND(AG384=1,OR('Dashboard'!$B$4="All",I384='Dashboard'!$B$4),OR('Dashboard'!$E$4="All",N384='Dashboard'!$E$4),OR('Dashboard'!$H$4="All",K384='Dashboard'!$H$4),OR('Dashboard'!$K$4="All",C384='Dashboard'!$K$4)),1,0)</x:f>
        <x:v>1</x:v>
      </x:c>
      <x:c r="AI384" s="84" t="n">
        <x:f>IF(AND(AG384=1,OR('Dashboard'!$B$4="All",I384='Dashboard'!$B$4),OR('Dashboard'!$E$4="All",N384='Dashboard'!$E$4),OR('Dashboard'!$H$4="All",K384='Dashboard'!$H$4)),1,0)</x:f>
        <x:v>1</x:v>
      </x:c>
    </x:row>
    <x:row r="385">
      <x:c r="A385" s="84" t="str">
        <x:f>'Raw Sales'!A385</x:f>
        <x:v>ORD-2024-00415</x:v>
      </x:c>
      <x:c r="B385" s="85" t="n">
        <x:f>'Raw Sales'!B385</x:f>
        <x:v>45440</x:v>
      </x:c>
      <x:c r="C385" s="84" t="n">
        <x:f>YEAR(B385)</x:f>
        <x:v>2024</x:v>
      </x:c>
      <x:c r="D385" s="91" t="n">
        <x:f>DATE(YEAR(B385),MONTH(B385),1)</x:f>
        <x:v>45413</x:v>
      </x:c>
      <x:c r="E385" s="84" t="str">
        <x:f>TEXT(B385,"mmm")</x:f>
        <x:v>May</x:v>
      </x:c>
      <x:c r="F385" s="84" t="str">
        <x:f>'Raw Sales'!C385</x:f>
        <x:v>CUST-0197</x:v>
      </x:c>
      <x:c r="G385" s="84" t="str">
        <x:f>PROPER(TRIM('Raw Sales'!D385))</x:f>
        <x:v>Marcus Patel</x:v>
      </x:c>
      <x:c r="H385" s="84" t="str">
        <x:f>IF(TRIM('Raw Sales'!E385)="","Unknown",PROPER(TRIM('Raw Sales'!E385)))</x:f>
        <x:v>Corporate</x:v>
      </x:c>
      <x:c r="I385" s="84" t="str">
        <x:f>PROPER(TRIM('Raw Sales'!F385))</x:f>
        <x:v>Midwest</x:v>
      </x:c>
      <x:c r="J385" s="84" t="str">
        <x:f>PROPER(TRIM('Raw Sales'!G385))</x:f>
        <x:v>Chicago</x:v>
      </x:c>
      <x:c r="K385" s="84" t="str">
        <x:f>PROPER(TRIM('Raw Sales'!H385))</x:f>
        <x:v>Retail Store</x:v>
      </x:c>
      <x:c r="L385" s="84" t="str">
        <x:f>'Raw Sales'!I385</x:f>
        <x:v>CARE-003</x:v>
      </x:c>
      <x:c r="M385" s="84" t="str">
        <x:f>IFERROR(VLOOKUP(L385,'Reference Data'!$A$5:$F$40,2,FALSE),"Unknown Product")</x:f>
        <x:v>Facial Cleanser</x:v>
      </x:c>
      <x:c r="N385" s="84" t="str">
        <x:f>IFERROR(VLOOKUP(L385,'Reference Data'!$A$5:$F$40,3,FALSE),"Unknown")</x:f>
        <x:v>Personal Care</x:v>
      </x:c>
      <x:c r="O385" s="84" t="str">
        <x:f>IFERROR(VLOOKUP(L385,'Reference Data'!$A$5:$F$40,4,FALSE),"Unknown")</x:f>
        <x:v>Skin Care</x:v>
      </x:c>
      <x:c r="P385" s="92" t="n">
        <x:f>IFERROR(VLOOKUP(L385,'Reference Data'!$A$5:$F$40,5,FALSE),0)</x:f>
        <x:v>18</x:v>
      </x:c>
      <x:c r="Q385" s="92" t="n">
        <x:f>IFERROR(VLOOKUP(L385,'Reference Data'!$A$5:$F$40,6,FALSE),0)</x:f>
        <x:v>6</x:v>
      </x:c>
      <x:c r="R385" s="84" t="n">
        <x:f>'Raw Sales'!J385</x:f>
        <x:v>1</x:v>
      </x:c>
      <x:c r="S385" s="87" t="n">
        <x:f>'Raw Sales'!K385</x:f>
        <x:v>0</x:v>
      </x:c>
      <x:c r="T385" s="93" t="n">
        <x:f>P385*R385</x:f>
        <x:v>18</x:v>
      </x:c>
      <x:c r="U385" s="93" t="n">
        <x:f>T385*S385</x:f>
        <x:v>0</x:v>
      </x:c>
      <x:c r="V385" s="93" t="str">
        <x:f>PROPER(TRIM('Raw Sales'!L385))</x:f>
        <x:v>Completed</x:v>
      </x:c>
      <x:c r="W385" s="93" t="n">
        <x:f>IF(V385="Returned",0,T385-U385)</x:f>
        <x:v>18</x:v>
      </x:c>
      <x:c r="X385" s="93" t="n">
        <x:f>IF(V385="Returned",Q385*R385*10%,Q385*R385)</x:f>
        <x:v>6</x:v>
      </x:c>
      <x:c r="Y385" s="93" t="n">
        <x:f>W385-X385</x:f>
        <x:v>12</x:v>
      </x:c>
      <x:c r="Z385" s="94" t="n">
        <x:f>IFERROR(Y385/W385,0)</x:f>
        <x:v>0.6666666666666666</x:v>
      </x:c>
      <x:c r="AA385" s="84" t="str">
        <x:f>PROPER(TRIM('Raw Sales'!M385))</x:f>
        <x:v>Mobile Wallet</x:v>
      </x:c>
      <x:c r="AB385" s="84" t="str">
        <x:f>PROPER(TRIM('Raw Sales'!N385))</x:f>
        <x:v>Emma Hayes</x:v>
      </x:c>
      <x:c r="AC385" s="85" t="n">
        <x:f>'Raw Sales'!O385</x:f>
        <x:v>45440</x:v>
      </x:c>
      <x:c r="AD385" s="84" t="n">
        <x:f>AC385-B385</x:f>
        <x:v>0</x:v>
      </x:c>
      <x:c r="AE385" s="84" t="str">
        <x:f>IF(COUNTIF($A$5:A385,A385)&gt;1,"Duplicate","Keep")</x:f>
        <x:v>Keep</x:v>
      </x:c>
      <x:c r="AF385" s="84" t="str">
        <x:f>IF(OR(R385&lt;=0,AC385&lt;B385,H385="Unknown",M385="Unknown Product"),"Review","Valid")</x:f>
        <x:v>Valid</x:v>
      </x:c>
      <x:c r="AG385" s="84" t="n">
        <x:f>IF(AND(AE385="Keep",AF385="Valid"),1,0)</x:f>
        <x:v>1</x:v>
      </x:c>
      <x:c r="AH385" s="84" t="n">
        <x:f>IF(AND(AG385=1,OR('Dashboard'!$B$4="All",I385='Dashboard'!$B$4),OR('Dashboard'!$E$4="All",N385='Dashboard'!$E$4),OR('Dashboard'!$H$4="All",K385='Dashboard'!$H$4),OR('Dashboard'!$K$4="All",C385='Dashboard'!$K$4)),1,0)</x:f>
        <x:v>1</x:v>
      </x:c>
      <x:c r="AI385" s="84" t="n">
        <x:f>IF(AND(AG385=1,OR('Dashboard'!$B$4="All",I385='Dashboard'!$B$4),OR('Dashboard'!$E$4="All",N385='Dashboard'!$E$4),OR('Dashboard'!$H$4="All",K385='Dashboard'!$H$4)),1,0)</x:f>
        <x:v>1</x:v>
      </x:c>
    </x:row>
    <x:row r="386">
      <x:c r="A386" s="84" t="str">
        <x:f>'Raw Sales'!A386</x:f>
        <x:v>ORD-2024-00822</x:v>
      </x:c>
      <x:c r="B386" s="85" t="n">
        <x:f>'Raw Sales'!B386</x:f>
        <x:v>45440</x:v>
      </x:c>
      <x:c r="C386" s="84" t="n">
        <x:f>YEAR(B386)</x:f>
        <x:v>2024</x:v>
      </x:c>
      <x:c r="D386" s="91" t="n">
        <x:f>DATE(YEAR(B386),MONTH(B386),1)</x:f>
        <x:v>45413</x:v>
      </x:c>
      <x:c r="E386" s="84" t="str">
        <x:f>TEXT(B386,"mmm")</x:f>
        <x:v>May</x:v>
      </x:c>
      <x:c r="F386" s="84" t="str">
        <x:f>'Raw Sales'!C386</x:f>
        <x:v>CUST-0106</x:v>
      </x:c>
      <x:c r="G386" s="84" t="str">
        <x:f>PROPER(TRIM('Raw Sales'!D386))</x:f>
        <x:v>Zara Johnson</x:v>
      </x:c>
      <x:c r="H386" s="84" t="str">
        <x:f>IF(TRIM('Raw Sales'!E386)="","Unknown",PROPER(TRIM('Raw Sales'!E386)))</x:f>
        <x:v>Consumer</x:v>
      </x:c>
      <x:c r="I386" s="84" t="str">
        <x:f>PROPER(TRIM('Raw Sales'!F386))</x:f>
        <x:v>West</x:v>
      </x:c>
      <x:c r="J386" s="84" t="str">
        <x:f>PROPER(TRIM('Raw Sales'!G386))</x:f>
        <x:v>Denver</x:v>
      </x:c>
      <x:c r="K386" s="84" t="str">
        <x:f>PROPER(TRIM('Raw Sales'!H386))</x:f>
        <x:v>Marketplace</x:v>
      </x:c>
      <x:c r="L386" s="84" t="str">
        <x:f>'Raw Sales'!I386</x:f>
        <x:v>HOME-004</x:v>
      </x:c>
      <x:c r="M386" s="84" t="str">
        <x:f>IFERROR(VLOOKUP(L386,'Reference Data'!$A$5:$F$40,2,FALSE),"Unknown Product")</x:f>
        <x:v>Coffee Maker</x:v>
      </x:c>
      <x:c r="N386" s="84" t="str">
        <x:f>IFERROR(VLOOKUP(L386,'Reference Data'!$A$5:$F$40,3,FALSE),"Unknown")</x:f>
        <x:v>Home &amp; Kitchen</x:v>
      </x:c>
      <x:c r="O386" s="84" t="str">
        <x:f>IFERROR(VLOOKUP(L386,'Reference Data'!$A$5:$F$40,4,FALSE),"Unknown")</x:f>
        <x:v>Small Appliances</x:v>
      </x:c>
      <x:c r="P386" s="92" t="n">
        <x:f>IFERROR(VLOOKUP(L386,'Reference Data'!$A$5:$F$40,5,FALSE),0)</x:f>
        <x:v>99</x:v>
      </x:c>
      <x:c r="Q386" s="92" t="n">
        <x:f>IFERROR(VLOOKUP(L386,'Reference Data'!$A$5:$F$40,6,FALSE),0)</x:f>
        <x:v>51</x:v>
      </x:c>
      <x:c r="R386" s="84" t="n">
        <x:f>'Raw Sales'!J386</x:f>
        <x:v>1</x:v>
      </x:c>
      <x:c r="S386" s="87" t="n">
        <x:f>'Raw Sales'!K386</x:f>
        <x:v>0.1</x:v>
      </x:c>
      <x:c r="T386" s="93" t="n">
        <x:f>P386*R386</x:f>
        <x:v>99</x:v>
      </x:c>
      <x:c r="U386" s="93" t="n">
        <x:f>T386*S386</x:f>
        <x:v>9.9</x:v>
      </x:c>
      <x:c r="V386" s="93" t="str">
        <x:f>PROPER(TRIM('Raw Sales'!L386))</x:f>
        <x:v>Completed</x:v>
      </x:c>
      <x:c r="W386" s="93" t="n">
        <x:f>IF(V386="Returned",0,T386-U386)</x:f>
        <x:v>89.1</x:v>
      </x:c>
      <x:c r="X386" s="93" t="n">
        <x:f>IF(V386="Returned",Q386*R386*10%,Q386*R386)</x:f>
        <x:v>51</x:v>
      </x:c>
      <x:c r="Y386" s="93" t="n">
        <x:f>W386-X386</x:f>
        <x:v>38.099999999999994</x:v>
      </x:c>
      <x:c r="Z386" s="94" t="n">
        <x:f>IFERROR(Y386/W386,0)</x:f>
        <x:v>0.42760942760942755</x:v>
      </x:c>
      <x:c r="AA386" s="84" t="str">
        <x:f>PROPER(TRIM('Raw Sales'!M386))</x:f>
        <x:v>Paypal</x:v>
      </x:c>
      <x:c r="AB386" s="84" t="str">
        <x:f>PROPER(TRIM('Raw Sales'!N386))</x:f>
        <x:v>Mia Chen</x:v>
      </x:c>
      <x:c r="AC386" s="85" t="n">
        <x:f>'Raw Sales'!O386</x:f>
        <x:v>45447</x:v>
      </x:c>
      <x:c r="AD386" s="84" t="n">
        <x:f>AC386-B386</x:f>
        <x:v>7</x:v>
      </x:c>
      <x:c r="AE386" s="84" t="str">
        <x:f>IF(COUNTIF($A$5:A386,A386)&gt;1,"Duplicate","Keep")</x:f>
        <x:v>Keep</x:v>
      </x:c>
      <x:c r="AF386" s="84" t="str">
        <x:f>IF(OR(R386&lt;=0,AC386&lt;B386,H386="Unknown",M386="Unknown Product"),"Review","Valid")</x:f>
        <x:v>Valid</x:v>
      </x:c>
      <x:c r="AG386" s="84" t="n">
        <x:f>IF(AND(AE386="Keep",AF386="Valid"),1,0)</x:f>
        <x:v>1</x:v>
      </x:c>
      <x:c r="AH386" s="84" t="n">
        <x:f>IF(AND(AG386=1,OR('Dashboard'!$B$4="All",I386='Dashboard'!$B$4),OR('Dashboard'!$E$4="All",N386='Dashboard'!$E$4),OR('Dashboard'!$H$4="All",K386='Dashboard'!$H$4),OR('Dashboard'!$K$4="All",C386='Dashboard'!$K$4)),1,0)</x:f>
        <x:v>1</x:v>
      </x:c>
      <x:c r="AI386" s="84" t="n">
        <x:f>IF(AND(AG386=1,OR('Dashboard'!$B$4="All",I386='Dashboard'!$B$4),OR('Dashboard'!$E$4="All",N386='Dashboard'!$E$4),OR('Dashboard'!$H$4="All",K386='Dashboard'!$H$4)),1,0)</x:f>
        <x:v>1</x:v>
      </x:c>
    </x:row>
    <x:row r="387">
      <x:c r="A387" s="84" t="str">
        <x:f>'Raw Sales'!A387</x:f>
        <x:v>ORD-2024-00877</x:v>
      </x:c>
      <x:c r="B387" s="85" t="n">
        <x:f>'Raw Sales'!B387</x:f>
        <x:v>45441</x:v>
      </x:c>
      <x:c r="C387" s="84" t="n">
        <x:f>YEAR(B387)</x:f>
        <x:v>2024</x:v>
      </x:c>
      <x:c r="D387" s="91" t="n">
        <x:f>DATE(YEAR(B387),MONTH(B387),1)</x:f>
        <x:v>45413</x:v>
      </x:c>
      <x:c r="E387" s="84" t="str">
        <x:f>TEXT(B387,"mmm")</x:f>
        <x:v>May</x:v>
      </x:c>
      <x:c r="F387" s="84" t="str">
        <x:f>'Raw Sales'!C387</x:f>
        <x:v>CUST-0074</x:v>
      </x:c>
      <x:c r="G387" s="84" t="str">
        <x:f>PROPER(TRIM('Raw Sales'!D387))</x:f>
        <x:v>Grace Taylor</x:v>
      </x:c>
      <x:c r="H387" s="84" t="str">
        <x:f>IF(TRIM('Raw Sales'!E387)="","Unknown",PROPER(TRIM('Raw Sales'!E387)))</x:f>
        <x:v>Consumer</x:v>
      </x:c>
      <x:c r="I387" s="84" t="str">
        <x:f>PROPER(TRIM('Raw Sales'!F387))</x:f>
        <x:v>West</x:v>
      </x:c>
      <x:c r="J387" s="84" t="str">
        <x:f>PROPER(TRIM('Raw Sales'!G387))</x:f>
        <x:v>Seattle</x:v>
      </x:c>
      <x:c r="K387" s="84" t="str">
        <x:f>PROPER(TRIM('Raw Sales'!H387))</x:f>
        <x:v>Online</x:v>
      </x:c>
      <x:c r="L387" s="84" t="str">
        <x:f>'Raw Sales'!I387</x:f>
        <x:v>ELEC-003</x:v>
      </x:c>
      <x:c r="M387" s="84" t="str">
        <x:f>IFERROR(VLOOKUP(L387,'Reference Data'!$A$5:$F$40,2,FALSE),"Unknown Product")</x:f>
        <x:v>Bluetooth Speaker</x:v>
      </x:c>
      <x:c r="N387" s="84" t="str">
        <x:f>IFERROR(VLOOKUP(L387,'Reference Data'!$A$5:$F$40,3,FALSE),"Unknown")</x:f>
        <x:v>Electronics</x:v>
      </x:c>
      <x:c r="O387" s="84" t="str">
        <x:f>IFERROR(VLOOKUP(L387,'Reference Data'!$A$5:$F$40,4,FALSE),"Unknown")</x:f>
        <x:v>Audio</x:v>
      </x:c>
      <x:c r="P387" s="92" t="n">
        <x:f>IFERROR(VLOOKUP(L387,'Reference Data'!$A$5:$F$40,5,FALSE),0)</x:f>
        <x:v>89</x:v>
      </x:c>
      <x:c r="Q387" s="92" t="n">
        <x:f>IFERROR(VLOOKUP(L387,'Reference Data'!$A$5:$F$40,6,FALSE),0)</x:f>
        <x:v>44</x:v>
      </x:c>
      <x:c r="R387" s="84" t="n">
        <x:f>'Raw Sales'!J387</x:f>
        <x:v>1</x:v>
      </x:c>
      <x:c r="S387" s="87" t="n">
        <x:f>'Raw Sales'!K387</x:f>
        <x:v>0.2</x:v>
      </x:c>
      <x:c r="T387" s="93" t="n">
        <x:f>P387*R387</x:f>
        <x:v>89</x:v>
      </x:c>
      <x:c r="U387" s="93" t="n">
        <x:f>T387*S387</x:f>
        <x:v>17.8</x:v>
      </x:c>
      <x:c r="V387" s="93" t="str">
        <x:f>PROPER(TRIM('Raw Sales'!L387))</x:f>
        <x:v>Returned</x:v>
      </x:c>
      <x:c r="W387" s="93" t="n">
        <x:f>IF(V387="Returned",0,T387-U387)</x:f>
        <x:v>0</x:v>
      </x:c>
      <x:c r="X387" s="93" t="n">
        <x:f>IF(V387="Returned",Q387*R387*10%,Q387*R387)</x:f>
        <x:v>4.4</x:v>
      </x:c>
      <x:c r="Y387" s="93" t="n">
        <x:f>W387-X387</x:f>
        <x:v>-4.4</x:v>
      </x:c>
      <x:c r="Z387" s="94" t="n">
        <x:f>IFERROR(Y387/W387,0)</x:f>
        <x:v>0</x:v>
      </x:c>
      <x:c r="AA387" s="84" t="str">
        <x:f>PROPER(TRIM('Raw Sales'!M387))</x:f>
        <x:v>Credit Card</x:v>
      </x:c>
      <x:c r="AB387" s="84" t="str">
        <x:f>PROPER(TRIM('Raw Sales'!N387))</x:f>
        <x:v>Leo Martinez</x:v>
      </x:c>
      <x:c r="AC387" s="85" t="n">
        <x:f>'Raw Sales'!O387</x:f>
        <x:v>45446</x:v>
      </x:c>
      <x:c r="AD387" s="84" t="n">
        <x:f>AC387-B387</x:f>
        <x:v>5</x:v>
      </x:c>
      <x:c r="AE387" s="84" t="str">
        <x:f>IF(COUNTIF($A$5:A387,A387)&gt;1,"Duplicate","Keep")</x:f>
        <x:v>Keep</x:v>
      </x:c>
      <x:c r="AF387" s="84" t="str">
        <x:f>IF(OR(R387&lt;=0,AC387&lt;B387,H387="Unknown",M387="Unknown Product"),"Review","Valid")</x:f>
        <x:v>Valid</x:v>
      </x:c>
      <x:c r="AG387" s="84" t="n">
        <x:f>IF(AND(AE387="Keep",AF387="Valid"),1,0)</x:f>
        <x:v>1</x:v>
      </x:c>
      <x:c r="AH387" s="84" t="n">
        <x:f>IF(AND(AG387=1,OR('Dashboard'!$B$4="All",I387='Dashboard'!$B$4),OR('Dashboard'!$E$4="All",N387='Dashboard'!$E$4),OR('Dashboard'!$H$4="All",K387='Dashboard'!$H$4),OR('Dashboard'!$K$4="All",C387='Dashboard'!$K$4)),1,0)</x:f>
        <x:v>1</x:v>
      </x:c>
      <x:c r="AI387" s="84" t="n">
        <x:f>IF(AND(AG387=1,OR('Dashboard'!$B$4="All",I387='Dashboard'!$B$4),OR('Dashboard'!$E$4="All",N387='Dashboard'!$E$4),OR('Dashboard'!$H$4="All",K387='Dashboard'!$H$4)),1,0)</x:f>
        <x:v>1</x:v>
      </x:c>
    </x:row>
    <x:row r="388">
      <x:c r="A388" s="84" t="str">
        <x:f>'Raw Sales'!A388</x:f>
        <x:v>ORD-2024-01287</x:v>
      </x:c>
      <x:c r="B388" s="85" t="n">
        <x:f>'Raw Sales'!B388</x:f>
        <x:v>45441</x:v>
      </x:c>
      <x:c r="C388" s="84" t="n">
        <x:f>YEAR(B388)</x:f>
        <x:v>2024</x:v>
      </x:c>
      <x:c r="D388" s="91" t="n">
        <x:f>DATE(YEAR(B388),MONTH(B388),1)</x:f>
        <x:v>45413</x:v>
      </x:c>
      <x:c r="E388" s="84" t="str">
        <x:f>TEXT(B388,"mmm")</x:f>
        <x:v>May</x:v>
      </x:c>
      <x:c r="F388" s="84" t="str">
        <x:f>'Raw Sales'!C388</x:f>
        <x:v>CUST-0529</x:v>
      </x:c>
      <x:c r="G388" s="84" t="str">
        <x:f>PROPER(TRIM('Raw Sales'!D388))</x:f>
        <x:v>Grace Hall</x:v>
      </x:c>
      <x:c r="H388" s="84" t="str">
        <x:f>IF(TRIM('Raw Sales'!E388)="","Unknown",PROPER(TRIM('Raw Sales'!E388)))</x:f>
        <x:v>Consumer</x:v>
      </x:c>
      <x:c r="I388" s="84" t="str">
        <x:f>PROPER(TRIM('Raw Sales'!F388))</x:f>
        <x:v>Northeast</x:v>
      </x:c>
      <x:c r="J388" s="84" t="str">
        <x:f>PROPER(TRIM('Raw Sales'!G388))</x:f>
        <x:v>Newark</x:v>
      </x:c>
      <x:c r="K388" s="84" t="str">
        <x:f>PROPER(TRIM('Raw Sales'!H388))</x:f>
        <x:v>Retail Store</x:v>
      </x:c>
      <x:c r="L388" s="84" t="str">
        <x:f>'Raw Sales'!I388</x:f>
        <x:v>FITN-004</x:v>
      </x:c>
      <x:c r="M388" s="84" t="str">
        <x:f>IFERROR(VLOOKUP(L388,'Reference Data'!$A$5:$F$40,2,FALSE),"Unknown Product")</x:f>
        <x:v>Fitness Tracker</x:v>
      </x:c>
      <x:c r="N388" s="84" t="str">
        <x:f>IFERROR(VLOOKUP(L388,'Reference Data'!$A$5:$F$40,3,FALSE),"Unknown")</x:f>
        <x:v>Fitness</x:v>
      </x:c>
      <x:c r="O388" s="84" t="str">
        <x:f>IFERROR(VLOOKUP(L388,'Reference Data'!$A$5:$F$40,4,FALSE),"Unknown")</x:f>
        <x:v>Wearables</x:v>
      </x:c>
      <x:c r="P388" s="92" t="n">
        <x:f>IFERROR(VLOOKUP(L388,'Reference Data'!$A$5:$F$40,5,FALSE),0)</x:f>
        <x:v>89</x:v>
      </x:c>
      <x:c r="Q388" s="92" t="n">
        <x:f>IFERROR(VLOOKUP(L388,'Reference Data'!$A$5:$F$40,6,FALSE),0)</x:f>
        <x:v>44</x:v>
      </x:c>
      <x:c r="R388" s="84" t="n">
        <x:f>'Raw Sales'!J388</x:f>
        <x:v>1</x:v>
      </x:c>
      <x:c r="S388" s="87" t="n">
        <x:f>'Raw Sales'!K388</x:f>
        <x:v>0.05</x:v>
      </x:c>
      <x:c r="T388" s="93" t="n">
        <x:f>P388*R388</x:f>
        <x:v>89</x:v>
      </x:c>
      <x:c r="U388" s="93" t="n">
        <x:f>T388*S388</x:f>
        <x:v>4.45</x:v>
      </x:c>
      <x:c r="V388" s="93" t="str">
        <x:f>PROPER(TRIM('Raw Sales'!L388))</x:f>
        <x:v>Completed</x:v>
      </x:c>
      <x:c r="W388" s="93" t="n">
        <x:f>IF(V388="Returned",0,T388-U388)</x:f>
        <x:v>84.55</x:v>
      </x:c>
      <x:c r="X388" s="93" t="n">
        <x:f>IF(V388="Returned",Q388*R388*10%,Q388*R388)</x:f>
        <x:v>44</x:v>
      </x:c>
      <x:c r="Y388" s="93" t="n">
        <x:f>W388-X388</x:f>
        <x:v>40.55</x:v>
      </x:c>
      <x:c r="Z388" s="94" t="n">
        <x:f>IFERROR(Y388/W388,0)</x:f>
        <x:v>0.47959787108219987</x:v>
      </x:c>
      <x:c r="AA388" s="84" t="str">
        <x:f>PROPER(TRIM('Raw Sales'!M388))</x:f>
        <x:v>Debit Card</x:v>
      </x:c>
      <x:c r="AB388" s="84" t="str">
        <x:f>PROPER(TRIM('Raw Sales'!N388))</x:f>
        <x:v>Maya Brooks</x:v>
      </x:c>
      <x:c r="AC388" s="85" t="n">
        <x:f>'Raw Sales'!O388</x:f>
        <x:v>45441</x:v>
      </x:c>
      <x:c r="AD388" s="84" t="n">
        <x:f>AC388-B388</x:f>
        <x:v>0</x:v>
      </x:c>
      <x:c r="AE388" s="84" t="str">
        <x:f>IF(COUNTIF($A$5:A388,A388)&gt;1,"Duplicate","Keep")</x:f>
        <x:v>Keep</x:v>
      </x:c>
      <x:c r="AF388" s="84" t="str">
        <x:f>IF(OR(R388&lt;=0,AC388&lt;B388,H388="Unknown",M388="Unknown Product"),"Review","Valid")</x:f>
        <x:v>Valid</x:v>
      </x:c>
      <x:c r="AG388" s="84" t="n">
        <x:f>IF(AND(AE388="Keep",AF388="Valid"),1,0)</x:f>
        <x:v>1</x:v>
      </x:c>
      <x:c r="AH388" s="84" t="n">
        <x:f>IF(AND(AG388=1,OR('Dashboard'!$B$4="All",I388='Dashboard'!$B$4),OR('Dashboard'!$E$4="All",N388='Dashboard'!$E$4),OR('Dashboard'!$H$4="All",K388='Dashboard'!$H$4),OR('Dashboard'!$K$4="All",C388='Dashboard'!$K$4)),1,0)</x:f>
        <x:v>1</x:v>
      </x:c>
      <x:c r="AI388" s="84" t="n">
        <x:f>IF(AND(AG388=1,OR('Dashboard'!$B$4="All",I388='Dashboard'!$B$4),OR('Dashboard'!$E$4="All",N388='Dashboard'!$E$4),OR('Dashboard'!$H$4="All",K388='Dashboard'!$H$4)),1,0)</x:f>
        <x:v>1</x:v>
      </x:c>
    </x:row>
    <x:row r="389">
      <x:c r="A389" s="84" t="str">
        <x:f>'Raw Sales'!A389</x:f>
        <x:v>ORD-2024-01808</x:v>
      </x:c>
      <x:c r="B389" s="85" t="n">
        <x:f>'Raw Sales'!B389</x:f>
        <x:v>45441</x:v>
      </x:c>
      <x:c r="C389" s="84" t="n">
        <x:f>YEAR(B389)</x:f>
        <x:v>2024</x:v>
      </x:c>
      <x:c r="D389" s="91" t="n">
        <x:f>DATE(YEAR(B389),MONTH(B389),1)</x:f>
        <x:v>45413</x:v>
      </x:c>
      <x:c r="E389" s="84" t="str">
        <x:f>TEXT(B389,"mmm")</x:f>
        <x:v>May</x:v>
      </x:c>
      <x:c r="F389" s="84" t="str">
        <x:f>'Raw Sales'!C389</x:f>
        <x:v>CUST-0339</x:v>
      </x:c>
      <x:c r="G389" s="84" t="str">
        <x:f>PROPER(TRIM('Raw Sales'!D389))</x:f>
        <x:v>Marcus Walker</x:v>
      </x:c>
      <x:c r="H389" s="84" t="str">
        <x:f>IF(TRIM('Raw Sales'!E389)="","Unknown",PROPER(TRIM('Raw Sales'!E389)))</x:f>
        <x:v>Consumer</x:v>
      </x:c>
      <x:c r="I389" s="84" t="str">
        <x:f>PROPER(TRIM('Raw Sales'!F389))</x:f>
        <x:v>Midwest</x:v>
      </x:c>
      <x:c r="J389" s="84" t="str">
        <x:f>PROPER(TRIM('Raw Sales'!G389))</x:f>
        <x:v>Columbus</x:v>
      </x:c>
      <x:c r="K389" s="84" t="str">
        <x:f>PROPER(TRIM('Raw Sales'!H389))</x:f>
        <x:v>Retail Store</x:v>
      </x:c>
      <x:c r="L389" s="84" t="str">
        <x:f>'Raw Sales'!I389</x:f>
        <x:v>HOME-005</x:v>
      </x:c>
      <x:c r="M389" s="84" t="str">
        <x:f>IFERROR(VLOOKUP(L389,'Reference Data'!$A$5:$F$40,2,FALSE),"Unknown Product")</x:f>
        <x:v>Cordless Vacuum</x:v>
      </x:c>
      <x:c r="N389" s="84" t="str">
        <x:f>IFERROR(VLOOKUP(L389,'Reference Data'!$A$5:$F$40,3,FALSE),"Unknown")</x:f>
        <x:v>Home &amp; Kitchen</x:v>
      </x:c>
      <x:c r="O389" s="84" t="str">
        <x:f>IFERROR(VLOOKUP(L389,'Reference Data'!$A$5:$F$40,4,FALSE),"Unknown")</x:f>
        <x:v>Cleaning</x:v>
      </x:c>
      <x:c r="P389" s="92" t="n">
        <x:f>IFERROR(VLOOKUP(L389,'Reference Data'!$A$5:$F$40,5,FALSE),0)</x:f>
        <x:v>179</x:v>
      </x:c>
      <x:c r="Q389" s="92" t="n">
        <x:f>IFERROR(VLOOKUP(L389,'Reference Data'!$A$5:$F$40,6,FALSE),0)</x:f>
        <x:v>102</x:v>
      </x:c>
      <x:c r="R389" s="84" t="n">
        <x:f>'Raw Sales'!J389</x:f>
        <x:v>1</x:v>
      </x:c>
      <x:c r="S389" s="87" t="n">
        <x:f>'Raw Sales'!K389</x:f>
        <x:v>0.1</x:v>
      </x:c>
      <x:c r="T389" s="93" t="n">
        <x:f>P389*R389</x:f>
        <x:v>179</x:v>
      </x:c>
      <x:c r="U389" s="93" t="n">
        <x:f>T389*S389</x:f>
        <x:v>17.900000000000002</x:v>
      </x:c>
      <x:c r="V389" s="93" t="str">
        <x:f>PROPER(TRIM('Raw Sales'!L389))</x:f>
        <x:v>Completed</x:v>
      </x:c>
      <x:c r="W389" s="93" t="n">
        <x:f>IF(V389="Returned",0,T389-U389)</x:f>
        <x:v>161.1</x:v>
      </x:c>
      <x:c r="X389" s="93" t="n">
        <x:f>IF(V389="Returned",Q389*R389*10%,Q389*R389)</x:f>
        <x:v>102</x:v>
      </x:c>
      <x:c r="Y389" s="93" t="n">
        <x:f>W389-X389</x:f>
        <x:v>59.099999999999994</x:v>
      </x:c>
      <x:c r="Z389" s="94" t="n">
        <x:f>IFERROR(Y389/W389,0)</x:f>
        <x:v>0.36685288640595903</x:v>
      </x:c>
      <x:c r="AA389" s="84" t="str">
        <x:f>PROPER(TRIM('Raw Sales'!M389))</x:f>
        <x:v>Mobile Wallet</x:v>
      </x:c>
      <x:c r="AB389" s="84" t="str">
        <x:f>PROPER(TRIM('Raw Sales'!N389))</x:f>
        <x:v>Emma Hayes</x:v>
      </x:c>
      <x:c r="AC389" s="85" t="n">
        <x:f>'Raw Sales'!O389</x:f>
        <x:v>45442</x:v>
      </x:c>
      <x:c r="AD389" s="84" t="n">
        <x:f>AC389-B389</x:f>
        <x:v>1</x:v>
      </x:c>
      <x:c r="AE389" s="84" t="str">
        <x:f>IF(COUNTIF($A$5:A389,A389)&gt;1,"Duplicate","Keep")</x:f>
        <x:v>Keep</x:v>
      </x:c>
      <x:c r="AF389" s="84" t="str">
        <x:f>IF(OR(R389&lt;=0,AC389&lt;B389,H389="Unknown",M389="Unknown Product"),"Review","Valid")</x:f>
        <x:v>Valid</x:v>
      </x:c>
      <x:c r="AG389" s="84" t="n">
        <x:f>IF(AND(AE389="Keep",AF389="Valid"),1,0)</x:f>
        <x:v>1</x:v>
      </x:c>
      <x:c r="AH389" s="84" t="n">
        <x:f>IF(AND(AG389=1,OR('Dashboard'!$B$4="All",I389='Dashboard'!$B$4),OR('Dashboard'!$E$4="All",N389='Dashboard'!$E$4),OR('Dashboard'!$H$4="All",K389='Dashboard'!$H$4),OR('Dashboard'!$K$4="All",C389='Dashboard'!$K$4)),1,0)</x:f>
        <x:v>1</x:v>
      </x:c>
      <x:c r="AI389" s="84" t="n">
        <x:f>IF(AND(AG389=1,OR('Dashboard'!$B$4="All",I389='Dashboard'!$B$4),OR('Dashboard'!$E$4="All",N389='Dashboard'!$E$4),OR('Dashboard'!$H$4="All",K389='Dashboard'!$H$4)),1,0)</x:f>
        <x:v>1</x:v>
      </x:c>
    </x:row>
    <x:row r="390">
      <x:c r="A390" s="84" t="str">
        <x:f>'Raw Sales'!A390</x:f>
        <x:v>ORD-2024-01972</x:v>
      </x:c>
      <x:c r="B390" s="85" t="n">
        <x:f>'Raw Sales'!B390</x:f>
        <x:v>45441</x:v>
      </x:c>
      <x:c r="C390" s="84" t="n">
        <x:f>YEAR(B390)</x:f>
        <x:v>2024</x:v>
      </x:c>
      <x:c r="D390" s="91" t="n">
        <x:f>DATE(YEAR(B390),MONTH(B390),1)</x:f>
        <x:v>45413</x:v>
      </x:c>
      <x:c r="E390" s="84" t="str">
        <x:f>TEXT(B390,"mmm")</x:f>
        <x:v>May</x:v>
      </x:c>
      <x:c r="F390" s="84" t="str">
        <x:f>'Raw Sales'!C390</x:f>
        <x:v>CUST-0021</x:v>
      </x:c>
      <x:c r="G390" s="84" t="str">
        <x:f>PROPER(TRIM('Raw Sales'!D390))</x:f>
        <x:v>Elena Adams</x:v>
      </x:c>
      <x:c r="H390" s="84" t="str">
        <x:f>IF(TRIM('Raw Sales'!E390)="","Unknown",PROPER(TRIM('Raw Sales'!E390)))</x:f>
        <x:v>Consumer</x:v>
      </x:c>
      <x:c r="I390" s="84" t="str">
        <x:f>PROPER(TRIM('Raw Sales'!F390))</x:f>
        <x:v>West</x:v>
      </x:c>
      <x:c r="J390" s="84" t="str">
        <x:f>PROPER(TRIM('Raw Sales'!G390))</x:f>
        <x:v>Denver</x:v>
      </x:c>
      <x:c r="K390" s="84" t="str">
        <x:f>PROPER(TRIM('Raw Sales'!H390))</x:f>
        <x:v>Online</x:v>
      </x:c>
      <x:c r="L390" s="84" t="str">
        <x:f>'Raw Sales'!I390</x:f>
        <x:v>ELEC-005</x:v>
      </x:c>
      <x:c r="M390" s="84" t="str">
        <x:f>IFERROR(VLOOKUP(L390,'Reference Data'!$A$5:$F$40,2,FALSE),"Unknown Product")</x:f>
        <x:v>HD Webcam</x:v>
      </x:c>
      <x:c r="N390" s="84" t="str">
        <x:f>IFERROR(VLOOKUP(L390,'Reference Data'!$A$5:$F$40,3,FALSE),"Unknown")</x:f>
        <x:v>Electronics</x:v>
      </x:c>
      <x:c r="O390" s="84" t="str">
        <x:f>IFERROR(VLOOKUP(L390,'Reference Data'!$A$5:$F$40,4,FALSE),"Unknown")</x:f>
        <x:v>Computer Accessories</x:v>
      </x:c>
      <x:c r="P390" s="92" t="n">
        <x:f>IFERROR(VLOOKUP(L390,'Reference Data'!$A$5:$F$40,5,FALSE),0)</x:f>
        <x:v>79</x:v>
      </x:c>
      <x:c r="Q390" s="92" t="n">
        <x:f>IFERROR(VLOOKUP(L390,'Reference Data'!$A$5:$F$40,6,FALSE),0)</x:f>
        <x:v>37</x:v>
      </x:c>
      <x:c r="R390" s="84" t="n">
        <x:f>'Raw Sales'!J390</x:f>
        <x:v>1</x:v>
      </x:c>
      <x:c r="S390" s="87" t="n">
        <x:f>'Raw Sales'!K390</x:f>
        <x:v>0</x:v>
      </x:c>
      <x:c r="T390" s="93" t="n">
        <x:f>P390*R390</x:f>
        <x:v>79</x:v>
      </x:c>
      <x:c r="U390" s="93" t="n">
        <x:f>T390*S390</x:f>
        <x:v>0</x:v>
      </x:c>
      <x:c r="V390" s="93" t="str">
        <x:f>PROPER(TRIM('Raw Sales'!L390))</x:f>
        <x:v>Completed</x:v>
      </x:c>
      <x:c r="W390" s="93" t="n">
        <x:f>IF(V390="Returned",0,T390-U390)</x:f>
        <x:v>79</x:v>
      </x:c>
      <x:c r="X390" s="93" t="n">
        <x:f>IF(V390="Returned",Q390*R390*10%,Q390*R390)</x:f>
        <x:v>37</x:v>
      </x:c>
      <x:c r="Y390" s="93" t="n">
        <x:f>W390-X390</x:f>
        <x:v>42</x:v>
      </x:c>
      <x:c r="Z390" s="94" t="n">
        <x:f>IFERROR(Y390/W390,0)</x:f>
        <x:v>0.5316455696202531</x:v>
      </x:c>
      <x:c r="AA390" s="84" t="str">
        <x:f>PROPER(TRIM('Raw Sales'!M390))</x:f>
        <x:v>Credit Card</x:v>
      </x:c>
      <x:c r="AB390" s="84" t="str">
        <x:f>PROPER(TRIM('Raw Sales'!N390))</x:f>
        <x:v>Nora Kim</x:v>
      </x:c>
      <x:c r="AC390" s="85" t="n">
        <x:f>'Raw Sales'!O390</x:f>
        <x:v>45445</x:v>
      </x:c>
      <x:c r="AD390" s="84" t="n">
        <x:f>AC390-B390</x:f>
        <x:v>4</x:v>
      </x:c>
      <x:c r="AE390" s="84" t="str">
        <x:f>IF(COUNTIF($A$5:A390,A390)&gt;1,"Duplicate","Keep")</x:f>
        <x:v>Keep</x:v>
      </x:c>
      <x:c r="AF390" s="84" t="str">
        <x:f>IF(OR(R390&lt;=0,AC390&lt;B390,H390="Unknown",M390="Unknown Product"),"Review","Valid")</x:f>
        <x:v>Valid</x:v>
      </x:c>
      <x:c r="AG390" s="84" t="n">
        <x:f>IF(AND(AE390="Keep",AF390="Valid"),1,0)</x:f>
        <x:v>1</x:v>
      </x:c>
      <x:c r="AH390" s="84" t="n">
        <x:f>IF(AND(AG390=1,OR('Dashboard'!$B$4="All",I390='Dashboard'!$B$4),OR('Dashboard'!$E$4="All",N390='Dashboard'!$E$4),OR('Dashboard'!$H$4="All",K390='Dashboard'!$H$4),OR('Dashboard'!$K$4="All",C390='Dashboard'!$K$4)),1,0)</x:f>
        <x:v>1</x:v>
      </x:c>
      <x:c r="AI390" s="84" t="n">
        <x:f>IF(AND(AG390=1,OR('Dashboard'!$B$4="All",I390='Dashboard'!$B$4),OR('Dashboard'!$E$4="All",N390='Dashboard'!$E$4),OR('Dashboard'!$H$4="All",K390='Dashboard'!$H$4)),1,0)</x:f>
        <x:v>1</x:v>
      </x:c>
    </x:row>
    <x:row r="391">
      <x:c r="A391" s="84" t="str">
        <x:f>'Raw Sales'!A391</x:f>
        <x:v>ORD-2024-01446</x:v>
      </x:c>
      <x:c r="B391" s="85" t="n">
        <x:f>'Raw Sales'!B391</x:f>
        <x:v>45442</x:v>
      </x:c>
      <x:c r="C391" s="84" t="n">
        <x:f>YEAR(B391)</x:f>
        <x:v>2024</x:v>
      </x:c>
      <x:c r="D391" s="91" t="n">
        <x:f>DATE(YEAR(B391),MONTH(B391),1)</x:f>
        <x:v>45413</x:v>
      </x:c>
      <x:c r="E391" s="84" t="str">
        <x:f>TEXT(B391,"mmm")</x:f>
        <x:v>May</x:v>
      </x:c>
      <x:c r="F391" s="84" t="str">
        <x:f>'Raw Sales'!C391</x:f>
        <x:v>CUST-0051</x:v>
      </x:c>
      <x:c r="G391" s="84" t="str">
        <x:f>PROPER(TRIM('Raw Sales'!D391))</x:f>
        <x:v>Marcus Moore</x:v>
      </x:c>
      <x:c r="H391" s="84" t="str">
        <x:f>IF(TRIM('Raw Sales'!E391)="","Unknown",PROPER(TRIM('Raw Sales'!E391)))</x:f>
        <x:v>Consumer</x:v>
      </x:c>
      <x:c r="I391" s="84" t="str">
        <x:f>PROPER(TRIM('Raw Sales'!F391))</x:f>
        <x:v>West</x:v>
      </x:c>
      <x:c r="J391" s="84" t="str">
        <x:f>PROPER(TRIM('Raw Sales'!G391))</x:f>
        <x:v>Seattle</x:v>
      </x:c>
      <x:c r="K391" s="84" t="str">
        <x:f>PROPER(TRIM('Raw Sales'!H391))</x:f>
        <x:v>Online</x:v>
      </x:c>
      <x:c r="L391" s="84" t="str">
        <x:f>'Raw Sales'!I391</x:f>
        <x:v>CARE-001</x:v>
      </x:c>
      <x:c r="M391" s="84" t="str">
        <x:f>IFERROR(VLOOKUP(L391,'Reference Data'!$A$5:$F$40,2,FALSE),"Unknown Product")</x:f>
        <x:v>Ionic Hair Dryer</x:v>
      </x:c>
      <x:c r="N391" s="84" t="str">
        <x:f>IFERROR(VLOOKUP(L391,'Reference Data'!$A$5:$F$40,3,FALSE),"Unknown")</x:f>
        <x:v>Personal Care</x:v>
      </x:c>
      <x:c r="O391" s="84" t="str">
        <x:f>IFERROR(VLOOKUP(L391,'Reference Data'!$A$5:$F$40,4,FALSE),"Unknown")</x:f>
        <x:v>Hair Care</x:v>
      </x:c>
      <x:c r="P391" s="92" t="n">
        <x:f>IFERROR(VLOOKUP(L391,'Reference Data'!$A$5:$F$40,5,FALSE),0)</x:f>
        <x:v>54</x:v>
      </x:c>
      <x:c r="Q391" s="92" t="n">
        <x:f>IFERROR(VLOOKUP(L391,'Reference Data'!$A$5:$F$40,6,FALSE),0)</x:f>
        <x:v>25</x:v>
      </x:c>
      <x:c r="R391" s="84" t="n">
        <x:f>'Raw Sales'!J391</x:f>
        <x:v>1</x:v>
      </x:c>
      <x:c r="S391" s="87" t="n">
        <x:f>'Raw Sales'!K391</x:f>
        <x:v>0.15</x:v>
      </x:c>
      <x:c r="T391" s="93" t="n">
        <x:f>P391*R391</x:f>
        <x:v>54</x:v>
      </x:c>
      <x:c r="U391" s="93" t="n">
        <x:f>T391*S391</x:f>
        <x:v>8.1</x:v>
      </x:c>
      <x:c r="V391" s="93" t="str">
        <x:f>PROPER(TRIM('Raw Sales'!L391))</x:f>
        <x:v>Completed</x:v>
      </x:c>
      <x:c r="W391" s="93" t="n">
        <x:f>IF(V391="Returned",0,T391-U391)</x:f>
        <x:v>45.9</x:v>
      </x:c>
      <x:c r="X391" s="93" t="n">
        <x:f>IF(V391="Returned",Q391*R391*10%,Q391*R391)</x:f>
        <x:v>25</x:v>
      </x:c>
      <x:c r="Y391" s="93" t="n">
        <x:f>W391-X391</x:f>
        <x:v>20.9</x:v>
      </x:c>
      <x:c r="Z391" s="94" t="n">
        <x:f>IFERROR(Y391/W391,0)</x:f>
        <x:v>0.4553376906318083</x:v>
      </x:c>
      <x:c r="AA391" s="84" t="str">
        <x:f>PROPER(TRIM('Raw Sales'!M391))</x:f>
        <x:v>Credit Card</x:v>
      </x:c>
      <x:c r="AB391" s="84" t="str">
        <x:f>PROPER(TRIM('Raw Sales'!N391))</x:f>
        <x:v>Mia Chen</x:v>
      </x:c>
      <x:c r="AC391" s="85" t="n">
        <x:f>'Raw Sales'!O391</x:f>
        <x:v>45447</x:v>
      </x:c>
      <x:c r="AD391" s="84" t="n">
        <x:f>AC391-B391</x:f>
        <x:v>5</x:v>
      </x:c>
      <x:c r="AE391" s="84" t="str">
        <x:f>IF(COUNTIF($A$5:A391,A391)&gt;1,"Duplicate","Keep")</x:f>
        <x:v>Keep</x:v>
      </x:c>
      <x:c r="AF391" s="84" t="str">
        <x:f>IF(OR(R391&lt;=0,AC391&lt;B391,H391="Unknown",M391="Unknown Product"),"Review","Valid")</x:f>
        <x:v>Valid</x:v>
      </x:c>
      <x:c r="AG391" s="84" t="n">
        <x:f>IF(AND(AE391="Keep",AF391="Valid"),1,0)</x:f>
        <x:v>1</x:v>
      </x:c>
      <x:c r="AH391" s="84" t="n">
        <x:f>IF(AND(AG391=1,OR('Dashboard'!$B$4="All",I391='Dashboard'!$B$4),OR('Dashboard'!$E$4="All",N391='Dashboard'!$E$4),OR('Dashboard'!$H$4="All",K391='Dashboard'!$H$4),OR('Dashboard'!$K$4="All",C391='Dashboard'!$K$4)),1,0)</x:f>
        <x:v>1</x:v>
      </x:c>
      <x:c r="AI391" s="84" t="n">
        <x:f>IF(AND(AG391=1,OR('Dashboard'!$B$4="All",I391='Dashboard'!$B$4),OR('Dashboard'!$E$4="All",N391='Dashboard'!$E$4),OR('Dashboard'!$H$4="All",K391='Dashboard'!$H$4)),1,0)</x:f>
        <x:v>1</x:v>
      </x:c>
    </x:row>
    <x:row r="392">
      <x:c r="A392" s="84" t="str">
        <x:f>'Raw Sales'!A392</x:f>
        <x:v>ORD-2024-01459</x:v>
      </x:c>
      <x:c r="B392" s="85" t="n">
        <x:f>'Raw Sales'!B392</x:f>
        <x:v>45442</x:v>
      </x:c>
      <x:c r="C392" s="84" t="n">
        <x:f>YEAR(B392)</x:f>
        <x:v>2024</x:v>
      </x:c>
      <x:c r="D392" s="91" t="n">
        <x:f>DATE(YEAR(B392),MONTH(B392),1)</x:f>
        <x:v>45413</x:v>
      </x:c>
      <x:c r="E392" s="84" t="str">
        <x:f>TEXT(B392,"mmm")</x:f>
        <x:v>May</x:v>
      </x:c>
      <x:c r="F392" s="84" t="str">
        <x:f>'Raw Sales'!C392</x:f>
        <x:v>CUST-0385</x:v>
      </x:c>
      <x:c r="G392" s="84" t="str">
        <x:f>PROPER(TRIM('Raw Sales'!D392))</x:f>
        <x:v>Elias Garcia</x:v>
      </x:c>
      <x:c r="H392" s="84" t="str">
        <x:f>IF(TRIM('Raw Sales'!E392)="","Unknown",PROPER(TRIM('Raw Sales'!E392)))</x:f>
        <x:v>Corporate</x:v>
      </x:c>
      <x:c r="I392" s="84" t="str">
        <x:f>PROPER(TRIM('Raw Sales'!F392))</x:f>
        <x:v>Southeast</x:v>
      </x:c>
      <x:c r="J392" s="84" t="str">
        <x:f>PROPER(TRIM('Raw Sales'!G392))</x:f>
        <x:v>Atlanta</x:v>
      </x:c>
      <x:c r="K392" s="84" t="str">
        <x:f>PROPER(TRIM('Raw Sales'!H392))</x:f>
        <x:v>Online</x:v>
      </x:c>
      <x:c r="L392" s="84" t="str">
        <x:f>'Raw Sales'!I392</x:f>
        <x:v>HOME-003</x:v>
      </x:c>
      <x:c r="M392" s="84" t="str">
        <x:f>IFERROR(VLOOKUP(L392,'Reference Data'!$A$5:$F$40,2,FALSE),"Unknown Product")</x:f>
        <x:v>Countertop Blender</x:v>
      </x:c>
      <x:c r="N392" s="84" t="str">
        <x:f>IFERROR(VLOOKUP(L392,'Reference Data'!$A$5:$F$40,3,FALSE),"Unknown")</x:f>
        <x:v>Home &amp; Kitchen</x:v>
      </x:c>
      <x:c r="O392" s="84" t="str">
        <x:f>IFERROR(VLOOKUP(L392,'Reference Data'!$A$5:$F$40,4,FALSE),"Unknown")</x:f>
        <x:v>Small Appliances</x:v>
      </x:c>
      <x:c r="P392" s="92" t="n">
        <x:f>IFERROR(VLOOKUP(L392,'Reference Data'!$A$5:$F$40,5,FALSE),0)</x:f>
        <x:v>89</x:v>
      </x:c>
      <x:c r="Q392" s="92" t="n">
        <x:f>IFERROR(VLOOKUP(L392,'Reference Data'!$A$5:$F$40,6,FALSE),0)</x:f>
        <x:v>46</x:v>
      </x:c>
      <x:c r="R392" s="84" t="n">
        <x:f>'Raw Sales'!J392</x:f>
        <x:v>2</x:v>
      </x:c>
      <x:c r="S392" s="87" t="n">
        <x:f>'Raw Sales'!K392</x:f>
        <x:v>0</x:v>
      </x:c>
      <x:c r="T392" s="93" t="n">
        <x:f>P392*R392</x:f>
        <x:v>178</x:v>
      </x:c>
      <x:c r="U392" s="93" t="n">
        <x:f>T392*S392</x:f>
        <x:v>0</x:v>
      </x:c>
      <x:c r="V392" s="93" t="str">
        <x:f>PROPER(TRIM('Raw Sales'!L392))</x:f>
        <x:v>Completed</x:v>
      </x:c>
      <x:c r="W392" s="93" t="n">
        <x:f>IF(V392="Returned",0,T392-U392)</x:f>
        <x:v>178</x:v>
      </x:c>
      <x:c r="X392" s="93" t="n">
        <x:f>IF(V392="Returned",Q392*R392*10%,Q392*R392)</x:f>
        <x:v>92</x:v>
      </x:c>
      <x:c r="Y392" s="93" t="n">
        <x:f>W392-X392</x:f>
        <x:v>86</x:v>
      </x:c>
      <x:c r="Z392" s="94" t="n">
        <x:f>IFERROR(Y392/W392,0)</x:f>
        <x:v>0.48314606741573035</x:v>
      </x:c>
      <x:c r="AA392" s="84" t="str">
        <x:f>PROPER(TRIM('Raw Sales'!M392))</x:f>
        <x:v>Credit Card</x:v>
      </x:c>
      <x:c r="AB392" s="84" t="str">
        <x:f>PROPER(TRIM('Raw Sales'!N392))</x:f>
        <x:v>Noah Reed</x:v>
      </x:c>
      <x:c r="AC392" s="85" t="n">
        <x:f>'Raw Sales'!O392</x:f>
        <x:v>45447</x:v>
      </x:c>
      <x:c r="AD392" s="84" t="n">
        <x:f>AC392-B392</x:f>
        <x:v>5</x:v>
      </x:c>
      <x:c r="AE392" s="84" t="str">
        <x:f>IF(COUNTIF($A$5:A392,A392)&gt;1,"Duplicate","Keep")</x:f>
        <x:v>Keep</x:v>
      </x:c>
      <x:c r="AF392" s="84" t="str">
        <x:f>IF(OR(R392&lt;=0,AC392&lt;B392,H392="Unknown",M392="Unknown Product"),"Review","Valid")</x:f>
        <x:v>Valid</x:v>
      </x:c>
      <x:c r="AG392" s="84" t="n">
        <x:f>IF(AND(AE392="Keep",AF392="Valid"),1,0)</x:f>
        <x:v>1</x:v>
      </x:c>
      <x:c r="AH392" s="84" t="n">
        <x:f>IF(AND(AG392=1,OR('Dashboard'!$B$4="All",I392='Dashboard'!$B$4),OR('Dashboard'!$E$4="All",N392='Dashboard'!$E$4),OR('Dashboard'!$H$4="All",K392='Dashboard'!$H$4),OR('Dashboard'!$K$4="All",C392='Dashboard'!$K$4)),1,0)</x:f>
        <x:v>1</x:v>
      </x:c>
      <x:c r="AI392" s="84" t="n">
        <x:f>IF(AND(AG392=1,OR('Dashboard'!$B$4="All",I392='Dashboard'!$B$4),OR('Dashboard'!$E$4="All",N392='Dashboard'!$E$4),OR('Dashboard'!$H$4="All",K392='Dashboard'!$H$4)),1,0)</x:f>
        <x:v>1</x:v>
      </x:c>
    </x:row>
    <x:row r="393">
      <x:c r="A393" s="84" t="str">
        <x:f>'Raw Sales'!A393</x:f>
        <x:v>ORD-2024-01726</x:v>
      </x:c>
      <x:c r="B393" s="85" t="n">
        <x:f>'Raw Sales'!B393</x:f>
        <x:v>45442</x:v>
      </x:c>
      <x:c r="C393" s="84" t="n">
        <x:f>YEAR(B393)</x:f>
        <x:v>2024</x:v>
      </x:c>
      <x:c r="D393" s="91" t="n">
        <x:f>DATE(YEAR(B393),MONTH(B393),1)</x:f>
        <x:v>45413</x:v>
      </x:c>
      <x:c r="E393" s="84" t="str">
        <x:f>TEXT(B393,"mmm")</x:f>
        <x:v>May</x:v>
      </x:c>
      <x:c r="F393" s="84" t="str">
        <x:f>'Raw Sales'!C393</x:f>
        <x:v>CUST-0158</x:v>
      </x:c>
      <x:c r="G393" s="84" t="str">
        <x:f>PROPER(TRIM('Raw Sales'!D393))</x:f>
        <x:v>Nina Moore</x:v>
      </x:c>
      <x:c r="H393" s="84" t="str">
        <x:f>IF(TRIM('Raw Sales'!E393)="","Unknown",PROPER(TRIM('Raw Sales'!E393)))</x:f>
        <x:v>Consumer</x:v>
      </x:c>
      <x:c r="I393" s="84" t="str">
        <x:f>PROPER(TRIM('Raw Sales'!F393))</x:f>
        <x:v>Northeast</x:v>
      </x:c>
      <x:c r="J393" s="84" t="str">
        <x:f>PROPER(TRIM('Raw Sales'!G393))</x:f>
        <x:v>Newark</x:v>
      </x:c>
      <x:c r="K393" s="84" t="str">
        <x:f>PROPER(TRIM('Raw Sales'!H393))</x:f>
        <x:v>Online</x:v>
      </x:c>
      <x:c r="L393" s="84" t="str">
        <x:f>'Raw Sales'!I393</x:f>
        <x:v>OFFC-003</x:v>
      </x:c>
      <x:c r="M393" s="84" t="str">
        <x:f>IFERROR(VLOOKUP(L393,'Reference Data'!$A$5:$F$40,2,FALSE),"Unknown Product")</x:f>
        <x:v>LED Desk Lamp</x:v>
      </x:c>
      <x:c r="N393" s="84" t="str">
        <x:f>IFERROR(VLOOKUP(L393,'Reference Data'!$A$5:$F$40,3,FALSE),"Unknown")</x:f>
        <x:v>Office</x:v>
      </x:c>
      <x:c r="O393" s="84" t="str">
        <x:f>IFERROR(VLOOKUP(L393,'Reference Data'!$A$5:$F$40,4,FALSE),"Unknown")</x:f>
        <x:v>Desk Accessories</x:v>
      </x:c>
      <x:c r="P393" s="92" t="n">
        <x:f>IFERROR(VLOOKUP(L393,'Reference Data'!$A$5:$F$40,5,FALSE),0)</x:f>
        <x:v>45</x:v>
      </x:c>
      <x:c r="Q393" s="92" t="n">
        <x:f>IFERROR(VLOOKUP(L393,'Reference Data'!$A$5:$F$40,6,FALSE),0)</x:f>
        <x:v>20</x:v>
      </x:c>
      <x:c r="R393" s="84" t="n">
        <x:f>'Raw Sales'!J393</x:f>
        <x:v>1</x:v>
      </x:c>
      <x:c r="S393" s="87" t="n">
        <x:f>'Raw Sales'!K393</x:f>
        <x:v>0.15</x:v>
      </x:c>
      <x:c r="T393" s="93" t="n">
        <x:f>P393*R393</x:f>
        <x:v>45</x:v>
      </x:c>
      <x:c r="U393" s="93" t="n">
        <x:f>T393*S393</x:f>
        <x:v>6.75</x:v>
      </x:c>
      <x:c r="V393" s="93" t="str">
        <x:f>PROPER(TRIM('Raw Sales'!L393))</x:f>
        <x:v>Completed</x:v>
      </x:c>
      <x:c r="W393" s="93" t="n">
        <x:f>IF(V393="Returned",0,T393-U393)</x:f>
        <x:v>38.25</x:v>
      </x:c>
      <x:c r="X393" s="93" t="n">
        <x:f>IF(V393="Returned",Q393*R393*10%,Q393*R393)</x:f>
        <x:v>20</x:v>
      </x:c>
      <x:c r="Y393" s="93" t="n">
        <x:f>W393-X393</x:f>
        <x:v>18.25</x:v>
      </x:c>
      <x:c r="Z393" s="94" t="n">
        <x:f>IFERROR(Y393/W393,0)</x:f>
        <x:v>0.477124183006536</x:v>
      </x:c>
      <x:c r="AA393" s="84" t="str">
        <x:f>PROPER(TRIM('Raw Sales'!M393))</x:f>
        <x:v>Debit Card</x:v>
      </x:c>
      <x:c r="AB393" s="84" t="str">
        <x:f>PROPER(TRIM('Raw Sales'!N393))</x:f>
        <x:v>Ethan Cole</x:v>
      </x:c>
      <x:c r="AC393" s="85" t="n">
        <x:f>'Raw Sales'!O393</x:f>
        <x:v>45447</x:v>
      </x:c>
      <x:c r="AD393" s="84" t="n">
        <x:f>AC393-B393</x:f>
        <x:v>5</x:v>
      </x:c>
      <x:c r="AE393" s="84" t="str">
        <x:f>IF(COUNTIF($A$5:A393,A393)&gt;1,"Duplicate","Keep")</x:f>
        <x:v>Keep</x:v>
      </x:c>
      <x:c r="AF393" s="84" t="str">
        <x:f>IF(OR(R393&lt;=0,AC393&lt;B393,H393="Unknown",M393="Unknown Product"),"Review","Valid")</x:f>
        <x:v>Valid</x:v>
      </x:c>
      <x:c r="AG393" s="84" t="n">
        <x:f>IF(AND(AE393="Keep",AF393="Valid"),1,0)</x:f>
        <x:v>1</x:v>
      </x:c>
      <x:c r="AH393" s="84" t="n">
        <x:f>IF(AND(AG393=1,OR('Dashboard'!$B$4="All",I393='Dashboard'!$B$4),OR('Dashboard'!$E$4="All",N393='Dashboard'!$E$4),OR('Dashboard'!$H$4="All",K393='Dashboard'!$H$4),OR('Dashboard'!$K$4="All",C393='Dashboard'!$K$4)),1,0)</x:f>
        <x:v>1</x:v>
      </x:c>
      <x:c r="AI393" s="84" t="n">
        <x:f>IF(AND(AG393=1,OR('Dashboard'!$B$4="All",I393='Dashboard'!$B$4),OR('Dashboard'!$E$4="All",N393='Dashboard'!$E$4),OR('Dashboard'!$H$4="All",K393='Dashboard'!$H$4)),1,0)</x:f>
        <x:v>1</x:v>
      </x:c>
    </x:row>
    <x:row r="394">
      <x:c r="A394" s="84" t="str">
        <x:f>'Raw Sales'!A394</x:f>
        <x:v>ORD-2024-01855</x:v>
      </x:c>
      <x:c r="B394" s="85" t="n">
        <x:f>'Raw Sales'!B394</x:f>
        <x:v>45443</x:v>
      </x:c>
      <x:c r="C394" s="84" t="n">
        <x:f>YEAR(B394)</x:f>
        <x:v>2024</x:v>
      </x:c>
      <x:c r="D394" s="91" t="n">
        <x:f>DATE(YEAR(B394),MONTH(B394),1)</x:f>
        <x:v>45413</x:v>
      </x:c>
      <x:c r="E394" s="84" t="str">
        <x:f>TEXT(B394,"mmm")</x:f>
        <x:v>May</x:v>
      </x:c>
      <x:c r="F394" s="84" t="str">
        <x:f>'Raw Sales'!C394</x:f>
        <x:v>CUST-0154</x:v>
      </x:c>
      <x:c r="G394" s="84" t="str">
        <x:f>PROPER(TRIM('Raw Sales'!D394))</x:f>
        <x:v>Priya Moore</x:v>
      </x:c>
      <x:c r="H394" s="84" t="str">
        <x:f>IF(TRIM('Raw Sales'!E394)="","Unknown",PROPER(TRIM('Raw Sales'!E394)))</x:f>
        <x:v>Consumer</x:v>
      </x:c>
      <x:c r="I394" s="84" t="str">
        <x:f>PROPER(TRIM('Raw Sales'!F394))</x:f>
        <x:v>West</x:v>
      </x:c>
      <x:c r="J394" s="84" t="str">
        <x:f>PROPER(TRIM('Raw Sales'!G394))</x:f>
        <x:v>Denver</x:v>
      </x:c>
      <x:c r="K394" s="84" t="str">
        <x:f>PROPER(TRIM('Raw Sales'!H394))</x:f>
        <x:v>Online</x:v>
      </x:c>
      <x:c r="L394" s="84" t="str">
        <x:f>'Raw Sales'!I394</x:f>
        <x:v>ACCS-003</x:v>
      </x:c>
      <x:c r="M394" s="84" t="str">
        <x:f>IFERROR(VLOOKUP(L394,'Reference Data'!$A$5:$F$40,2,FALSE),"Unknown Product")</x:f>
        <x:v>Polarized Sunglasses</x:v>
      </x:c>
      <x:c r="N394" s="84" t="str">
        <x:f>IFERROR(VLOOKUP(L394,'Reference Data'!$A$5:$F$40,3,FALSE),"Unknown")</x:f>
        <x:v>Accessories</x:v>
      </x:c>
      <x:c r="O394" s="84" t="str">
        <x:f>IFERROR(VLOOKUP(L394,'Reference Data'!$A$5:$F$40,4,FALSE),"Unknown")</x:f>
        <x:v>Eyewear</x:v>
      </x:c>
      <x:c r="P394" s="92" t="n">
        <x:f>IFERROR(VLOOKUP(L394,'Reference Data'!$A$5:$F$40,5,FALSE),0)</x:f>
        <x:v>59</x:v>
      </x:c>
      <x:c r="Q394" s="92" t="n">
        <x:f>IFERROR(VLOOKUP(L394,'Reference Data'!$A$5:$F$40,6,FALSE),0)</x:f>
        <x:v>17</x:v>
      </x:c>
      <x:c r="R394" s="84" t="n">
        <x:f>'Raw Sales'!J394</x:f>
        <x:v>1</x:v>
      </x:c>
      <x:c r="S394" s="87" t="n">
        <x:f>'Raw Sales'!K394</x:f>
        <x:v>0.15</x:v>
      </x:c>
      <x:c r="T394" s="93" t="n">
        <x:f>P394*R394</x:f>
        <x:v>59</x:v>
      </x:c>
      <x:c r="U394" s="93" t="n">
        <x:f>T394*S394</x:f>
        <x:v>8.85</x:v>
      </x:c>
      <x:c r="V394" s="93" t="str">
        <x:f>PROPER(TRIM('Raw Sales'!L394))</x:f>
        <x:v>Completed</x:v>
      </x:c>
      <x:c r="W394" s="93" t="n">
        <x:f>IF(V394="Returned",0,T394-U394)</x:f>
        <x:v>50.15</x:v>
      </x:c>
      <x:c r="X394" s="93" t="n">
        <x:f>IF(V394="Returned",Q394*R394*10%,Q394*R394)</x:f>
        <x:v>17</x:v>
      </x:c>
      <x:c r="Y394" s="93" t="n">
        <x:f>W394-X394</x:f>
        <x:v>33.15</x:v>
      </x:c>
      <x:c r="Z394" s="94" t="n">
        <x:f>IFERROR(Y394/W394,0)</x:f>
        <x:v>0.6610169491525424</x:v>
      </x:c>
      <x:c r="AA394" s="84" t="str">
        <x:f>PROPER(TRIM('Raw Sales'!M394))</x:f>
        <x:v>Credit Card</x:v>
      </x:c>
      <x:c r="AB394" s="84" t="str">
        <x:f>PROPER(TRIM('Raw Sales'!N394))</x:f>
        <x:v>Nora Kim</x:v>
      </x:c>
      <x:c r="AC394" s="85" t="n">
        <x:f>'Raw Sales'!O394</x:f>
        <x:v>45447</x:v>
      </x:c>
      <x:c r="AD394" s="84" t="n">
        <x:f>AC394-B394</x:f>
        <x:v>4</x:v>
      </x:c>
      <x:c r="AE394" s="84" t="str">
        <x:f>IF(COUNTIF($A$5:A394,A394)&gt;1,"Duplicate","Keep")</x:f>
        <x:v>Keep</x:v>
      </x:c>
      <x:c r="AF394" s="84" t="str">
        <x:f>IF(OR(R394&lt;=0,AC394&lt;B394,H394="Unknown",M394="Unknown Product"),"Review","Valid")</x:f>
        <x:v>Valid</x:v>
      </x:c>
      <x:c r="AG394" s="84" t="n">
        <x:f>IF(AND(AE394="Keep",AF394="Valid"),1,0)</x:f>
        <x:v>1</x:v>
      </x:c>
      <x:c r="AH394" s="84" t="n">
        <x:f>IF(AND(AG394=1,OR('Dashboard'!$B$4="All",I394='Dashboard'!$B$4),OR('Dashboard'!$E$4="All",N394='Dashboard'!$E$4),OR('Dashboard'!$H$4="All",K394='Dashboard'!$H$4),OR('Dashboard'!$K$4="All",C394='Dashboard'!$K$4)),1,0)</x:f>
        <x:v>1</x:v>
      </x:c>
      <x:c r="AI394" s="84" t="n">
        <x:f>IF(AND(AG394=1,OR('Dashboard'!$B$4="All",I394='Dashboard'!$B$4),OR('Dashboard'!$E$4="All",N394='Dashboard'!$E$4),OR('Dashboard'!$H$4="All",K394='Dashboard'!$H$4)),1,0)</x:f>
        <x:v>1</x:v>
      </x:c>
    </x:row>
    <x:row r="395">
      <x:c r="A395" s="84" t="str">
        <x:f>'Raw Sales'!A395</x:f>
        <x:v>ORD-2024-02049</x:v>
      </x:c>
      <x:c r="B395" s="85" t="n">
        <x:f>'Raw Sales'!B395</x:f>
        <x:v>45443</x:v>
      </x:c>
      <x:c r="C395" s="84" t="n">
        <x:f>YEAR(B395)</x:f>
        <x:v>2024</x:v>
      </x:c>
      <x:c r="D395" s="91" t="n">
        <x:f>DATE(YEAR(B395),MONTH(B395),1)</x:f>
        <x:v>45413</x:v>
      </x:c>
      <x:c r="E395" s="84" t="str">
        <x:f>TEXT(B395,"mmm")</x:f>
        <x:v>May</x:v>
      </x:c>
      <x:c r="F395" s="84" t="str">
        <x:f>'Raw Sales'!C395</x:f>
        <x:v>CUST-0374</x:v>
      </x:c>
      <x:c r="G395" s="84" t="str">
        <x:f>PROPER(TRIM('Raw Sales'!D395))</x:f>
        <x:v>Priya Lewis</x:v>
      </x:c>
      <x:c r="H395" s="84" t="str">
        <x:f>IF(TRIM('Raw Sales'!E395)="","Unknown",PROPER(TRIM('Raw Sales'!E395)))</x:f>
        <x:v>Corporate</x:v>
      </x:c>
      <x:c r="I395" s="84" t="str">
        <x:f>PROPER(TRIM('Raw Sales'!F395))</x:f>
        <x:v>Southeast</x:v>
      </x:c>
      <x:c r="J395" s="84" t="str">
        <x:f>PROPER(TRIM('Raw Sales'!G395))</x:f>
        <x:v>Miami</x:v>
      </x:c>
      <x:c r="K395" s="84" t="str">
        <x:f>PROPER(TRIM('Raw Sales'!H395))</x:f>
        <x:v>Online</x:v>
      </x:c>
      <x:c r="L395" s="84" t="str">
        <x:f>'Raw Sales'!I395</x:f>
        <x:v>ELEC-001</x:v>
      </x:c>
      <x:c r="M395" s="84" t="str">
        <x:f>IFERROR(VLOOKUP(L395,'Reference Data'!$A$5:$F$40,2,FALSE),"Unknown Product")</x:f>
        <x:v>Wireless Earbuds</x:v>
      </x:c>
      <x:c r="N395" s="84" t="str">
        <x:f>IFERROR(VLOOKUP(L395,'Reference Data'!$A$5:$F$40,3,FALSE),"Unknown")</x:f>
        <x:v>Electronics</x:v>
      </x:c>
      <x:c r="O395" s="84" t="str">
        <x:f>IFERROR(VLOOKUP(L395,'Reference Data'!$A$5:$F$40,4,FALSE),"Unknown")</x:f>
        <x:v>Audio</x:v>
      </x:c>
      <x:c r="P395" s="92" t="n">
        <x:f>IFERROR(VLOOKUP(L395,'Reference Data'!$A$5:$F$40,5,FALSE),0)</x:f>
        <x:v>69</x:v>
      </x:c>
      <x:c r="Q395" s="92" t="n">
        <x:f>IFERROR(VLOOKUP(L395,'Reference Data'!$A$5:$F$40,6,FALSE),0)</x:f>
        <x:v>36</x:v>
      </x:c>
      <x:c r="R395" s="84" t="n">
        <x:f>'Raw Sales'!J395</x:f>
        <x:v>6</x:v>
      </x:c>
      <x:c r="S395" s="87" t="n">
        <x:f>'Raw Sales'!K395</x:f>
        <x:v>0</x:v>
      </x:c>
      <x:c r="T395" s="93" t="n">
        <x:f>P395*R395</x:f>
        <x:v>414</x:v>
      </x:c>
      <x:c r="U395" s="93" t="n">
        <x:f>T395*S395</x:f>
        <x:v>0</x:v>
      </x:c>
      <x:c r="V395" s="93" t="str">
        <x:f>PROPER(TRIM('Raw Sales'!L395))</x:f>
        <x:v>Completed</x:v>
      </x:c>
      <x:c r="W395" s="93" t="n">
        <x:f>IF(V395="Returned",0,T395-U395)</x:f>
        <x:v>414</x:v>
      </x:c>
      <x:c r="X395" s="93" t="n">
        <x:f>IF(V395="Returned",Q395*R395*10%,Q395*R395)</x:f>
        <x:v>216</x:v>
      </x:c>
      <x:c r="Y395" s="93" t="n">
        <x:f>W395-X395</x:f>
        <x:v>198</x:v>
      </x:c>
      <x:c r="Z395" s="94" t="n">
        <x:f>IFERROR(Y395/W395,0)</x:f>
        <x:v>0.4782608695652174</x:v>
      </x:c>
      <x:c r="AA395" s="84" t="str">
        <x:f>PROPER(TRIM('Raw Sales'!M395))</x:f>
        <x:v>Paypal</x:v>
      </x:c>
      <x:c r="AB395" s="84" t="str">
        <x:f>PROPER(TRIM('Raw Sales'!N395))</x:f>
        <x:v>Ava Mitchell</x:v>
      </x:c>
      <x:c r="AC395" s="85" t="n">
        <x:f>'Raw Sales'!O395</x:f>
        <x:v>45449</x:v>
      </x:c>
      <x:c r="AD395" s="84" t="n">
        <x:f>AC395-B395</x:f>
        <x:v>6</x:v>
      </x:c>
      <x:c r="AE395" s="84" t="str">
        <x:f>IF(COUNTIF($A$5:A395,A395)&gt;1,"Duplicate","Keep")</x:f>
        <x:v>Keep</x:v>
      </x:c>
      <x:c r="AF395" s="84" t="str">
        <x:f>IF(OR(R395&lt;=0,AC395&lt;B395,H395="Unknown",M395="Unknown Product"),"Review","Valid")</x:f>
        <x:v>Valid</x:v>
      </x:c>
      <x:c r="AG395" s="84" t="n">
        <x:f>IF(AND(AE395="Keep",AF395="Valid"),1,0)</x:f>
        <x:v>1</x:v>
      </x:c>
      <x:c r="AH395" s="84" t="n">
        <x:f>IF(AND(AG395=1,OR('Dashboard'!$B$4="All",I395='Dashboard'!$B$4),OR('Dashboard'!$E$4="All",N395='Dashboard'!$E$4),OR('Dashboard'!$H$4="All",K395='Dashboard'!$H$4),OR('Dashboard'!$K$4="All",C395='Dashboard'!$K$4)),1,0)</x:f>
        <x:v>1</x:v>
      </x:c>
      <x:c r="AI395" s="84" t="n">
        <x:f>IF(AND(AG395=1,OR('Dashboard'!$B$4="All",I395='Dashboard'!$B$4),OR('Dashboard'!$E$4="All",N395='Dashboard'!$E$4),OR('Dashboard'!$H$4="All",K395='Dashboard'!$H$4)),1,0)</x:f>
        <x:v>1</x:v>
      </x:c>
    </x:row>
    <x:row r="396">
      <x:c r="A396" s="84" t="str">
        <x:f>'Raw Sales'!A396</x:f>
        <x:v>ORD-2024-02037</x:v>
      </x:c>
      <x:c r="B396" s="85" t="n">
        <x:f>'Raw Sales'!B396</x:f>
        <x:v>45444</x:v>
      </x:c>
      <x:c r="C396" s="84" t="n">
        <x:f>YEAR(B396)</x:f>
        <x:v>2024</x:v>
      </x:c>
      <x:c r="D396" s="91" t="n">
        <x:f>DATE(YEAR(B396),MONTH(B396),1)</x:f>
        <x:v>45444</x:v>
      </x:c>
      <x:c r="E396" s="84" t="str">
        <x:f>TEXT(B396,"mmm")</x:f>
        <x:v>Jun</x:v>
      </x:c>
      <x:c r="F396" s="84" t="str">
        <x:f>'Raw Sales'!C396</x:f>
        <x:v>CUST-0242</x:v>
      </x:c>
      <x:c r="G396" s="84" t="str">
        <x:f>PROPER(TRIM('Raw Sales'!D396))</x:f>
        <x:v>Zara Baker</x:v>
      </x:c>
      <x:c r="H396" s="84" t="str">
        <x:f>IF(TRIM('Raw Sales'!E396)="","Unknown",PROPER(TRIM('Raw Sales'!E396)))</x:f>
        <x:v>Consumer</x:v>
      </x:c>
      <x:c r="I396" s="84" t="str">
        <x:f>PROPER(TRIM('Raw Sales'!F396))</x:f>
        <x:v>Northeast</x:v>
      </x:c>
      <x:c r="J396" s="84" t="str">
        <x:f>PROPER(TRIM('Raw Sales'!G396))</x:f>
        <x:v>Philadelphia</x:v>
      </x:c>
      <x:c r="K396" s="84" t="str">
        <x:f>PROPER(TRIM('Raw Sales'!H396))</x:f>
        <x:v>Retail Store</x:v>
      </x:c>
      <x:c r="L396" s="84" t="str">
        <x:f>'Raw Sales'!I396</x:f>
        <x:v>CARE-002</x:v>
      </x:c>
      <x:c r="M396" s="84" t="str">
        <x:f>IFERROR(VLOOKUP(L396,'Reference Data'!$A$5:$F$40,2,FALSE),"Unknown Product")</x:f>
        <x:v>Rechargeable Trimmer</x:v>
      </x:c>
      <x:c r="N396" s="84" t="str">
        <x:f>IFERROR(VLOOKUP(L396,'Reference Data'!$A$5:$F$40,3,FALSE),"Unknown")</x:f>
        <x:v>Personal Care</x:v>
      </x:c>
      <x:c r="O396" s="84" t="str">
        <x:f>IFERROR(VLOOKUP(L396,'Reference Data'!$A$5:$F$40,4,FALSE),"Unknown")</x:f>
        <x:v>Grooming</x:v>
      </x:c>
      <x:c r="P396" s="92" t="n">
        <x:f>IFERROR(VLOOKUP(L396,'Reference Data'!$A$5:$F$40,5,FALSE),0)</x:f>
        <x:v>45</x:v>
      </x:c>
      <x:c r="Q396" s="92" t="n">
        <x:f>IFERROR(VLOOKUP(L396,'Reference Data'!$A$5:$F$40,6,FALSE),0)</x:f>
        <x:v>19</x:v>
      </x:c>
      <x:c r="R396" s="84" t="n">
        <x:f>'Raw Sales'!J396</x:f>
        <x:v>1</x:v>
      </x:c>
      <x:c r="S396" s="87" t="n">
        <x:f>'Raw Sales'!K396</x:f>
        <x:v>0</x:v>
      </x:c>
      <x:c r="T396" s="93" t="n">
        <x:f>P396*R396</x:f>
        <x:v>45</x:v>
      </x:c>
      <x:c r="U396" s="93" t="n">
        <x:f>T396*S396</x:f>
        <x:v>0</x:v>
      </x:c>
      <x:c r="V396" s="93" t="str">
        <x:f>PROPER(TRIM('Raw Sales'!L396))</x:f>
        <x:v>Completed</x:v>
      </x:c>
      <x:c r="W396" s="93" t="n">
        <x:f>IF(V396="Returned",0,T396-U396)</x:f>
        <x:v>45</x:v>
      </x:c>
      <x:c r="X396" s="93" t="n">
        <x:f>IF(V396="Returned",Q396*R396*10%,Q396*R396)</x:f>
        <x:v>19</x:v>
      </x:c>
      <x:c r="Y396" s="93" t="n">
        <x:f>W396-X396</x:f>
        <x:v>26</x:v>
      </x:c>
      <x:c r="Z396" s="94" t="n">
        <x:f>IFERROR(Y396/W396,0)</x:f>
        <x:v>0.5777777777777777</x:v>
      </x:c>
      <x:c r="AA396" s="84" t="str">
        <x:f>PROPER(TRIM('Raw Sales'!M396))</x:f>
        <x:v>Debit Card</x:v>
      </x:c>
      <x:c r="AB396" s="84" t="str">
        <x:f>PROPER(TRIM('Raw Sales'!N396))</x:f>
        <x:v>Maya Brooks</x:v>
      </x:c>
      <x:c r="AC396" s="85" t="n">
        <x:f>'Raw Sales'!O396</x:f>
        <x:v>45444</x:v>
      </x:c>
      <x:c r="AD396" s="84" t="n">
        <x:f>AC396-B396</x:f>
        <x:v>0</x:v>
      </x:c>
      <x:c r="AE396" s="84" t="str">
        <x:f>IF(COUNTIF($A$5:A396,A396)&gt;1,"Duplicate","Keep")</x:f>
        <x:v>Keep</x:v>
      </x:c>
      <x:c r="AF396" s="84" t="str">
        <x:f>IF(OR(R396&lt;=0,AC396&lt;B396,H396="Unknown",M396="Unknown Product"),"Review","Valid")</x:f>
        <x:v>Valid</x:v>
      </x:c>
      <x:c r="AG396" s="84" t="n">
        <x:f>IF(AND(AE396="Keep",AF396="Valid"),1,0)</x:f>
        <x:v>1</x:v>
      </x:c>
      <x:c r="AH396" s="84" t="n">
        <x:f>IF(AND(AG396=1,OR('Dashboard'!$B$4="All",I396='Dashboard'!$B$4),OR('Dashboard'!$E$4="All",N396='Dashboard'!$E$4),OR('Dashboard'!$H$4="All",K396='Dashboard'!$H$4),OR('Dashboard'!$K$4="All",C396='Dashboard'!$K$4)),1,0)</x:f>
        <x:v>1</x:v>
      </x:c>
      <x:c r="AI396" s="84" t="n">
        <x:f>IF(AND(AG396=1,OR('Dashboard'!$B$4="All",I396='Dashboard'!$B$4),OR('Dashboard'!$E$4="All",N396='Dashboard'!$E$4),OR('Dashboard'!$H$4="All",K396='Dashboard'!$H$4)),1,0)</x:f>
        <x:v>1</x:v>
      </x:c>
    </x:row>
    <x:row r="397">
      <x:c r="A397" s="84" t="str">
        <x:f>'Raw Sales'!A397</x:f>
        <x:v>ORD-2024-02203</x:v>
      </x:c>
      <x:c r="B397" s="85" t="n">
        <x:f>'Raw Sales'!B397</x:f>
        <x:v>45444</x:v>
      </x:c>
      <x:c r="C397" s="84" t="n">
        <x:f>YEAR(B397)</x:f>
        <x:v>2024</x:v>
      </x:c>
      <x:c r="D397" s="91" t="n">
        <x:f>DATE(YEAR(B397),MONTH(B397),1)</x:f>
        <x:v>45444</x:v>
      </x:c>
      <x:c r="E397" s="84" t="str">
        <x:f>TEXT(B397,"mmm")</x:f>
        <x:v>Jun</x:v>
      </x:c>
      <x:c r="F397" s="84" t="str">
        <x:f>'Raw Sales'!C397</x:f>
        <x:v>CUST-0002</x:v>
      </x:c>
      <x:c r="G397" s="84" t="str">
        <x:f>PROPER(TRIM('Raw Sales'!D397))</x:f>
        <x:v>Isaac Ortiz</x:v>
      </x:c>
      <x:c r="H397" s="84" t="str">
        <x:f>IF(TRIM('Raw Sales'!E397)="","Unknown",PROPER(TRIM('Raw Sales'!E397)))</x:f>
        <x:v>Corporate</x:v>
      </x:c>
      <x:c r="I397" s="84" t="str">
        <x:f>PROPER(TRIM('Raw Sales'!F397))</x:f>
        <x:v>Northeast</x:v>
      </x:c>
      <x:c r="J397" s="84" t="str">
        <x:f>PROPER(TRIM('Raw Sales'!G397))</x:f>
        <x:v>New York</x:v>
      </x:c>
      <x:c r="K397" s="84" t="str">
        <x:f>PROPER(TRIM('Raw Sales'!H397))</x:f>
        <x:v>Online</x:v>
      </x:c>
      <x:c r="L397" s="84" t="str">
        <x:f>'Raw Sales'!I397</x:f>
        <x:v>ELEC-005</x:v>
      </x:c>
      <x:c r="M397" s="84" t="str">
        <x:f>IFERROR(VLOOKUP(L397,'Reference Data'!$A$5:$F$40,2,FALSE),"Unknown Product")</x:f>
        <x:v>HD Webcam</x:v>
      </x:c>
      <x:c r="N397" s="84" t="str">
        <x:f>IFERROR(VLOOKUP(L397,'Reference Data'!$A$5:$F$40,3,FALSE),"Unknown")</x:f>
        <x:v>Electronics</x:v>
      </x:c>
      <x:c r="O397" s="84" t="str">
        <x:f>IFERROR(VLOOKUP(L397,'Reference Data'!$A$5:$F$40,4,FALSE),"Unknown")</x:f>
        <x:v>Computer Accessories</x:v>
      </x:c>
      <x:c r="P397" s="92" t="n">
        <x:f>IFERROR(VLOOKUP(L397,'Reference Data'!$A$5:$F$40,5,FALSE),0)</x:f>
        <x:v>79</x:v>
      </x:c>
      <x:c r="Q397" s="92" t="n">
        <x:f>IFERROR(VLOOKUP(L397,'Reference Data'!$A$5:$F$40,6,FALSE),0)</x:f>
        <x:v>37</x:v>
      </x:c>
      <x:c r="R397" s="84" t="n">
        <x:f>'Raw Sales'!J397</x:f>
        <x:v>2</x:v>
      </x:c>
      <x:c r="S397" s="87" t="n">
        <x:f>'Raw Sales'!K397</x:f>
        <x:v>0.1</x:v>
      </x:c>
      <x:c r="T397" s="93" t="n">
        <x:f>P397*R397</x:f>
        <x:v>158</x:v>
      </x:c>
      <x:c r="U397" s="93" t="n">
        <x:f>T397*S397</x:f>
        <x:v>15.8</x:v>
      </x:c>
      <x:c r="V397" s="93" t="str">
        <x:f>PROPER(TRIM('Raw Sales'!L397))</x:f>
        <x:v>Completed</x:v>
      </x:c>
      <x:c r="W397" s="93" t="n">
        <x:f>IF(V397="Returned",0,T397-U397)</x:f>
        <x:v>142.2</x:v>
      </x:c>
      <x:c r="X397" s="93" t="n">
        <x:f>IF(V397="Returned",Q397*R397*10%,Q397*R397)</x:f>
        <x:v>74</x:v>
      </x:c>
      <x:c r="Y397" s="93" t="n">
        <x:f>W397-X397</x:f>
        <x:v>68.19999999999999</x:v>
      </x:c>
      <x:c r="Z397" s="94" t="n">
        <x:f>IFERROR(Y397/W397,0)</x:f>
        <x:v>0.4796061884669479</x:v>
      </x:c>
      <x:c r="AA397" s="84" t="str">
        <x:f>PROPER(TRIM('Raw Sales'!M397))</x:f>
        <x:v>Credit Card</x:v>
      </x:c>
      <x:c r="AB397" s="84" t="str">
        <x:f>PROPER(TRIM('Raw Sales'!N397))</x:f>
        <x:v>Ethan Cole</x:v>
      </x:c>
      <x:c r="AC397" s="85" t="n">
        <x:f>'Raw Sales'!O397</x:f>
        <x:v>45448</x:v>
      </x:c>
      <x:c r="AD397" s="84" t="n">
        <x:f>AC397-B397</x:f>
        <x:v>4</x:v>
      </x:c>
      <x:c r="AE397" s="84" t="str">
        <x:f>IF(COUNTIF($A$5:A397,A397)&gt;1,"Duplicate","Keep")</x:f>
        <x:v>Keep</x:v>
      </x:c>
      <x:c r="AF397" s="84" t="str">
        <x:f>IF(OR(R397&lt;=0,AC397&lt;B397,H397="Unknown",M397="Unknown Product"),"Review","Valid")</x:f>
        <x:v>Valid</x:v>
      </x:c>
      <x:c r="AG397" s="84" t="n">
        <x:f>IF(AND(AE397="Keep",AF397="Valid"),1,0)</x:f>
        <x:v>1</x:v>
      </x:c>
      <x:c r="AH397" s="84" t="n">
        <x:f>IF(AND(AG397=1,OR('Dashboard'!$B$4="All",I397='Dashboard'!$B$4),OR('Dashboard'!$E$4="All",N397='Dashboard'!$E$4),OR('Dashboard'!$H$4="All",K397='Dashboard'!$H$4),OR('Dashboard'!$K$4="All",C397='Dashboard'!$K$4)),1,0)</x:f>
        <x:v>1</x:v>
      </x:c>
      <x:c r="AI397" s="84" t="n">
        <x:f>IF(AND(AG397=1,OR('Dashboard'!$B$4="All",I397='Dashboard'!$B$4),OR('Dashboard'!$E$4="All",N397='Dashboard'!$E$4),OR('Dashboard'!$H$4="All",K397='Dashboard'!$H$4)),1,0)</x:f>
        <x:v>1</x:v>
      </x:c>
    </x:row>
    <x:row r="398">
      <x:c r="A398" s="84" t="str">
        <x:f>'Raw Sales'!A398</x:f>
        <x:v>ORD-2024-02220</x:v>
      </x:c>
      <x:c r="B398" s="85" t="n">
        <x:f>'Raw Sales'!B398</x:f>
        <x:v>45444</x:v>
      </x:c>
      <x:c r="C398" s="84" t="n">
        <x:f>YEAR(B398)</x:f>
        <x:v>2024</x:v>
      </x:c>
      <x:c r="D398" s="91" t="n">
        <x:f>DATE(YEAR(B398),MONTH(B398),1)</x:f>
        <x:v>45444</x:v>
      </x:c>
      <x:c r="E398" s="84" t="str">
        <x:f>TEXT(B398,"mmm")</x:f>
        <x:v>Jun</x:v>
      </x:c>
      <x:c r="F398" s="84" t="str">
        <x:f>'Raw Sales'!C398</x:f>
        <x:v>CUST-0634</x:v>
      </x:c>
      <x:c r="G398" s="84" t="str">
        <x:f>PROPER(TRIM('Raw Sales'!D398))</x:f>
        <x:v>Daniel Nelson</x:v>
      </x:c>
      <x:c r="H398" s="84" t="str">
        <x:f>IF(TRIM('Raw Sales'!E398)="","Unknown",PROPER(TRIM('Raw Sales'!E398)))</x:f>
        <x:v>Consumer</x:v>
      </x:c>
      <x:c r="I398" s="84" t="str">
        <x:f>PROPER(TRIM('Raw Sales'!F398))</x:f>
        <x:v>Southeast</x:v>
      </x:c>
      <x:c r="J398" s="84" t="str">
        <x:f>PROPER(TRIM('Raw Sales'!G398))</x:f>
        <x:v>Atlanta</x:v>
      </x:c>
      <x:c r="K398" s="84" t="str">
        <x:f>PROPER(TRIM('Raw Sales'!H398))</x:f>
        <x:v>Retail Store</x:v>
      </x:c>
      <x:c r="L398" s="84" t="str">
        <x:f>'Raw Sales'!I398</x:f>
        <x:v>HOME-006</x:v>
      </x:c>
      <x:c r="M398" s="84" t="str">
        <x:f>IFERROR(VLOOKUP(L398,'Reference Data'!$A$5:$F$40,2,FALSE),"Unknown Product")</x:f>
        <x:v>Food Storage Set</x:v>
      </x:c>
      <x:c r="N398" s="84" t="str">
        <x:f>IFERROR(VLOOKUP(L398,'Reference Data'!$A$5:$F$40,3,FALSE),"Unknown")</x:f>
        <x:v>Home &amp; Kitchen</x:v>
      </x:c>
      <x:c r="O398" s="84" t="str">
        <x:f>IFERROR(VLOOKUP(L398,'Reference Data'!$A$5:$F$40,4,FALSE),"Unknown")</x:f>
        <x:v>Kitchenware</x:v>
      </x:c>
      <x:c r="P398" s="92" t="n">
        <x:f>IFERROR(VLOOKUP(L398,'Reference Data'!$A$5:$F$40,5,FALSE),0)</x:f>
        <x:v>34</x:v>
      </x:c>
      <x:c r="Q398" s="92" t="n">
        <x:f>IFERROR(VLOOKUP(L398,'Reference Data'!$A$5:$F$40,6,FALSE),0)</x:f>
        <x:v>15</x:v>
      </x:c>
      <x:c r="R398" s="84" t="n">
        <x:f>'Raw Sales'!J398</x:f>
        <x:v>1</x:v>
      </x:c>
      <x:c r="S398" s="87" t="n">
        <x:f>'Raw Sales'!K398</x:f>
        <x:v>0</x:v>
      </x:c>
      <x:c r="T398" s="93" t="n">
        <x:f>P398*R398</x:f>
        <x:v>34</x:v>
      </x:c>
      <x:c r="U398" s="93" t="n">
        <x:f>T398*S398</x:f>
        <x:v>0</x:v>
      </x:c>
      <x:c r="V398" s="93" t="str">
        <x:f>PROPER(TRIM('Raw Sales'!L398))</x:f>
        <x:v>Completed</x:v>
      </x:c>
      <x:c r="W398" s="93" t="n">
        <x:f>IF(V398="Returned",0,T398-U398)</x:f>
        <x:v>34</x:v>
      </x:c>
      <x:c r="X398" s="93" t="n">
        <x:f>IF(V398="Returned",Q398*R398*10%,Q398*R398)</x:f>
        <x:v>15</x:v>
      </x:c>
      <x:c r="Y398" s="93" t="n">
        <x:f>W398-X398</x:f>
        <x:v>19</x:v>
      </x:c>
      <x:c r="Z398" s="94" t="n">
        <x:f>IFERROR(Y398/W398,0)</x:f>
        <x:v>0.5588235294117647</x:v>
      </x:c>
      <x:c r="AA398" s="84" t="str">
        <x:f>PROPER(TRIM('Raw Sales'!M398))</x:f>
        <x:v>Debit Card</x:v>
      </x:c>
      <x:c r="AB398" s="84" t="str">
        <x:f>PROPER(TRIM('Raw Sales'!N398))</x:f>
        <x:v>Liam Parker</x:v>
      </x:c>
      <x:c r="AC398" s="85" t="n">
        <x:f>'Raw Sales'!O398</x:f>
        <x:v>45444</x:v>
      </x:c>
      <x:c r="AD398" s="84" t="n">
        <x:f>AC398-B398</x:f>
        <x:v>0</x:v>
      </x:c>
      <x:c r="AE398" s="84" t="str">
        <x:f>IF(COUNTIF($A$5:A398,A398)&gt;1,"Duplicate","Keep")</x:f>
        <x:v>Keep</x:v>
      </x:c>
      <x:c r="AF398" s="84" t="str">
        <x:f>IF(OR(R398&lt;=0,AC398&lt;B398,H398="Unknown",M398="Unknown Product"),"Review","Valid")</x:f>
        <x:v>Valid</x:v>
      </x:c>
      <x:c r="AG398" s="84" t="n">
        <x:f>IF(AND(AE398="Keep",AF398="Valid"),1,0)</x:f>
        <x:v>1</x:v>
      </x:c>
      <x:c r="AH398" s="84" t="n">
        <x:f>IF(AND(AG398=1,OR('Dashboard'!$B$4="All",I398='Dashboard'!$B$4),OR('Dashboard'!$E$4="All",N398='Dashboard'!$E$4),OR('Dashboard'!$H$4="All",K398='Dashboard'!$H$4),OR('Dashboard'!$K$4="All",C398='Dashboard'!$K$4)),1,0)</x:f>
        <x:v>1</x:v>
      </x:c>
      <x:c r="AI398" s="84" t="n">
        <x:f>IF(AND(AG398=1,OR('Dashboard'!$B$4="All",I398='Dashboard'!$B$4),OR('Dashboard'!$E$4="All",N398='Dashboard'!$E$4),OR('Dashboard'!$H$4="All",K398='Dashboard'!$H$4)),1,0)</x:f>
        <x:v>1</x:v>
      </x:c>
    </x:row>
    <x:row r="399">
      <x:c r="A399" s="84" t="str">
        <x:f>'Raw Sales'!A399</x:f>
        <x:v>ORD-2024-02220</x:v>
      </x:c>
      <x:c r="B399" s="85" t="n">
        <x:f>'Raw Sales'!B399</x:f>
        <x:v>45444</x:v>
      </x:c>
      <x:c r="C399" s="84" t="n">
        <x:f>YEAR(B399)</x:f>
        <x:v>2024</x:v>
      </x:c>
      <x:c r="D399" s="91" t="n">
        <x:f>DATE(YEAR(B399),MONTH(B399),1)</x:f>
        <x:v>45444</x:v>
      </x:c>
      <x:c r="E399" s="84" t="str">
        <x:f>TEXT(B399,"mmm")</x:f>
        <x:v>Jun</x:v>
      </x:c>
      <x:c r="F399" s="84" t="str">
        <x:f>'Raw Sales'!C399</x:f>
        <x:v>CUST-0634</x:v>
      </x:c>
      <x:c r="G399" s="84" t="str">
        <x:f>PROPER(TRIM('Raw Sales'!D399))</x:f>
        <x:v>Daniel Nelson</x:v>
      </x:c>
      <x:c r="H399" s="84" t="str">
        <x:f>IF(TRIM('Raw Sales'!E399)="","Unknown",PROPER(TRIM('Raw Sales'!E399)))</x:f>
        <x:v>Consumer</x:v>
      </x:c>
      <x:c r="I399" s="84" t="str">
        <x:f>PROPER(TRIM('Raw Sales'!F399))</x:f>
        <x:v>Southeast</x:v>
      </x:c>
      <x:c r="J399" s="84" t="str">
        <x:f>PROPER(TRIM('Raw Sales'!G399))</x:f>
        <x:v>Atlanta</x:v>
      </x:c>
      <x:c r="K399" s="84" t="str">
        <x:f>PROPER(TRIM('Raw Sales'!H399))</x:f>
        <x:v>Retail Store</x:v>
      </x:c>
      <x:c r="L399" s="84" t="str">
        <x:f>'Raw Sales'!I399</x:f>
        <x:v>HOME-006</x:v>
      </x:c>
      <x:c r="M399" s="84" t="str">
        <x:f>IFERROR(VLOOKUP(L399,'Reference Data'!$A$5:$F$40,2,FALSE),"Unknown Product")</x:f>
        <x:v>Food Storage Set</x:v>
      </x:c>
      <x:c r="N399" s="84" t="str">
        <x:f>IFERROR(VLOOKUP(L399,'Reference Data'!$A$5:$F$40,3,FALSE),"Unknown")</x:f>
        <x:v>Home &amp; Kitchen</x:v>
      </x:c>
      <x:c r="O399" s="84" t="str">
        <x:f>IFERROR(VLOOKUP(L399,'Reference Data'!$A$5:$F$40,4,FALSE),"Unknown")</x:f>
        <x:v>Kitchenware</x:v>
      </x:c>
      <x:c r="P399" s="92" t="n">
        <x:f>IFERROR(VLOOKUP(L399,'Reference Data'!$A$5:$F$40,5,FALSE),0)</x:f>
        <x:v>34</x:v>
      </x:c>
      <x:c r="Q399" s="92" t="n">
        <x:f>IFERROR(VLOOKUP(L399,'Reference Data'!$A$5:$F$40,6,FALSE),0)</x:f>
        <x:v>15</x:v>
      </x:c>
      <x:c r="R399" s="84" t="n">
        <x:f>'Raw Sales'!J399</x:f>
        <x:v>1</x:v>
      </x:c>
      <x:c r="S399" s="87" t="n">
        <x:f>'Raw Sales'!K399</x:f>
        <x:v>0</x:v>
      </x:c>
      <x:c r="T399" s="93" t="n">
        <x:f>P399*R399</x:f>
        <x:v>34</x:v>
      </x:c>
      <x:c r="U399" s="93" t="n">
        <x:f>T399*S399</x:f>
        <x:v>0</x:v>
      </x:c>
      <x:c r="V399" s="93" t="str">
        <x:f>PROPER(TRIM('Raw Sales'!L399))</x:f>
        <x:v>Completed</x:v>
      </x:c>
      <x:c r="W399" s="93" t="n">
        <x:f>IF(V399="Returned",0,T399-U399)</x:f>
        <x:v>34</x:v>
      </x:c>
      <x:c r="X399" s="93" t="n">
        <x:f>IF(V399="Returned",Q399*R399*10%,Q399*R399)</x:f>
        <x:v>15</x:v>
      </x:c>
      <x:c r="Y399" s="93" t="n">
        <x:f>W399-X399</x:f>
        <x:v>19</x:v>
      </x:c>
      <x:c r="Z399" s="94" t="n">
        <x:f>IFERROR(Y399/W399,0)</x:f>
        <x:v>0.5588235294117647</x:v>
      </x:c>
      <x:c r="AA399" s="84" t="str">
        <x:f>PROPER(TRIM('Raw Sales'!M399))</x:f>
        <x:v>Debit Card</x:v>
      </x:c>
      <x:c r="AB399" s="84" t="str">
        <x:f>PROPER(TRIM('Raw Sales'!N399))</x:f>
        <x:v>Liam Parker</x:v>
      </x:c>
      <x:c r="AC399" s="85" t="n">
        <x:f>'Raw Sales'!O399</x:f>
        <x:v>45444</x:v>
      </x:c>
      <x:c r="AD399" s="84" t="n">
        <x:f>AC399-B399</x:f>
        <x:v>0</x:v>
      </x:c>
      <x:c r="AE399" s="84" t="str">
        <x:f>IF(COUNTIF($A$5:A399,A399)&gt;1,"Duplicate","Keep")</x:f>
        <x:v>Duplicate</x:v>
      </x:c>
      <x:c r="AF399" s="84" t="str">
        <x:f>IF(OR(R399&lt;=0,AC399&lt;B399,H399="Unknown",M399="Unknown Product"),"Review","Valid")</x:f>
        <x:v>Valid</x:v>
      </x:c>
      <x:c r="AG399" s="84" t="n">
        <x:f>IF(AND(AE399="Keep",AF399="Valid"),1,0)</x:f>
        <x:v>0</x:v>
      </x:c>
      <x:c r="AH399" s="84" t="n">
        <x:f>IF(AND(AG399=1,OR('Dashboard'!$B$4="All",I399='Dashboard'!$B$4),OR('Dashboard'!$E$4="All",N399='Dashboard'!$E$4),OR('Dashboard'!$H$4="All",K399='Dashboard'!$H$4),OR('Dashboard'!$K$4="All",C399='Dashboard'!$K$4)),1,0)</x:f>
        <x:v>0</x:v>
      </x:c>
      <x:c r="AI399" s="84" t="n">
        <x:f>IF(AND(AG399=1,OR('Dashboard'!$B$4="All",I399='Dashboard'!$B$4),OR('Dashboard'!$E$4="All",N399='Dashboard'!$E$4),OR('Dashboard'!$H$4="All",K399='Dashboard'!$H$4)),1,0)</x:f>
        <x:v>0</x:v>
      </x:c>
    </x:row>
    <x:row r="400">
      <x:c r="A400" s="84" t="str">
        <x:f>'Raw Sales'!A400</x:f>
        <x:v>ORD-2024-00324</x:v>
      </x:c>
      <x:c r="B400" s="85" t="n">
        <x:f>'Raw Sales'!B400</x:f>
        <x:v>45445</x:v>
      </x:c>
      <x:c r="C400" s="84" t="n">
        <x:f>YEAR(B400)</x:f>
        <x:v>2024</x:v>
      </x:c>
      <x:c r="D400" s="91" t="n">
        <x:f>DATE(YEAR(B400),MONTH(B400),1)</x:f>
        <x:v>45444</x:v>
      </x:c>
      <x:c r="E400" s="84" t="str">
        <x:f>TEXT(B400,"mmm")</x:f>
        <x:v>Jun</x:v>
      </x:c>
      <x:c r="F400" s="84" t="str">
        <x:f>'Raw Sales'!C400</x:f>
        <x:v>CUST-0020</x:v>
      </x:c>
      <x:c r="G400" s="84" t="str">
        <x:f>PROPER(TRIM('Raw Sales'!D400))</x:f>
        <x:v>Elias Ortiz</x:v>
      </x:c>
      <x:c r="H400" s="84" t="str">
        <x:f>IF(TRIM('Raw Sales'!E400)="","Unknown",PROPER(TRIM('Raw Sales'!E400)))</x:f>
        <x:v>Consumer</x:v>
      </x:c>
      <x:c r="I400" s="84" t="str">
        <x:f>PROPER(TRIM('Raw Sales'!F400))</x:f>
        <x:v>Southeast</x:v>
      </x:c>
      <x:c r="J400" s="84" t="str">
        <x:f>PROPER(TRIM('Raw Sales'!G400))</x:f>
        <x:v>Miami</x:v>
      </x:c>
      <x:c r="K400" s="84" t="str">
        <x:f>PROPER(TRIM('Raw Sales'!H400))</x:f>
        <x:v>Retail Store</x:v>
      </x:c>
      <x:c r="L400" s="84" t="str">
        <x:f>'Raw Sales'!I400</x:f>
        <x:v>OFFC-002</x:v>
      </x:c>
      <x:c r="M400" s="84" t="str">
        <x:f>IFERROR(VLOOKUP(L400,'Reference Data'!$A$5:$F$40,2,FALSE),"Unknown Product")</x:f>
        <x:v>Standing Desk</x:v>
      </x:c>
      <x:c r="N400" s="84" t="str">
        <x:f>IFERROR(VLOOKUP(L400,'Reference Data'!$A$5:$F$40,3,FALSE),"Unknown")</x:f>
        <x:v>Office</x:v>
      </x:c>
      <x:c r="O400" s="84" t="str">
        <x:f>IFERROR(VLOOKUP(L400,'Reference Data'!$A$5:$F$40,4,FALSE),"Unknown")</x:f>
        <x:v>Furniture</x:v>
      </x:c>
      <x:c r="P400" s="92" t="n">
        <x:f>IFERROR(VLOOKUP(L400,'Reference Data'!$A$5:$F$40,5,FALSE),0)</x:f>
        <x:v>399</x:v>
      </x:c>
      <x:c r="Q400" s="92" t="n">
        <x:f>IFERROR(VLOOKUP(L400,'Reference Data'!$A$5:$F$40,6,FALSE),0)</x:f>
        <x:v>235</x:v>
      </x:c>
      <x:c r="R400" s="84" t="n">
        <x:f>'Raw Sales'!J400</x:f>
        <x:v>1</x:v>
      </x:c>
      <x:c r="S400" s="87" t="n">
        <x:f>'Raw Sales'!K400</x:f>
        <x:v>0.05</x:v>
      </x:c>
      <x:c r="T400" s="93" t="n">
        <x:f>P400*R400</x:f>
        <x:v>399</x:v>
      </x:c>
      <x:c r="U400" s="93" t="n">
        <x:f>T400*S400</x:f>
        <x:v>19.950000000000003</x:v>
      </x:c>
      <x:c r="V400" s="93" t="str">
        <x:f>PROPER(TRIM('Raw Sales'!L400))</x:f>
        <x:v>Completed</x:v>
      </x:c>
      <x:c r="W400" s="93" t="n">
        <x:f>IF(V400="Returned",0,T400-U400)</x:f>
        <x:v>379.05</x:v>
      </x:c>
      <x:c r="X400" s="93" t="n">
        <x:f>IF(V400="Returned",Q400*R400*10%,Q400*R400)</x:f>
        <x:v>235</x:v>
      </x:c>
      <x:c r="Y400" s="93" t="n">
        <x:f>W400-X400</x:f>
        <x:v>144.05</x:v>
      </x:c>
      <x:c r="Z400" s="94" t="n">
        <x:f>IFERROR(Y400/W400,0)</x:f>
        <x:v>0.38002901991821664</x:v>
      </x:c>
      <x:c r="AA400" s="84" t="str">
        <x:f>PROPER(TRIM('Raw Sales'!M400))</x:f>
        <x:v>Credit Card</x:v>
      </x:c>
      <x:c r="AB400" s="84" t="str">
        <x:f>PROPER(TRIM('Raw Sales'!N400))</x:f>
        <x:v>Noah Reed</x:v>
      </x:c>
      <x:c r="AC400" s="85" t="n">
        <x:f>'Raw Sales'!O400</x:f>
        <x:v>45446</x:v>
      </x:c>
      <x:c r="AD400" s="84" t="n">
        <x:f>AC400-B400</x:f>
        <x:v>1</x:v>
      </x:c>
      <x:c r="AE400" s="84" t="str">
        <x:f>IF(COUNTIF($A$5:A400,A400)&gt;1,"Duplicate","Keep")</x:f>
        <x:v>Keep</x:v>
      </x:c>
      <x:c r="AF400" s="84" t="str">
        <x:f>IF(OR(R400&lt;=0,AC400&lt;B400,H400="Unknown",M400="Unknown Product"),"Review","Valid")</x:f>
        <x:v>Valid</x:v>
      </x:c>
      <x:c r="AG400" s="84" t="n">
        <x:f>IF(AND(AE400="Keep",AF400="Valid"),1,0)</x:f>
        <x:v>1</x:v>
      </x:c>
      <x:c r="AH400" s="84" t="n">
        <x:f>IF(AND(AG400=1,OR('Dashboard'!$B$4="All",I400='Dashboard'!$B$4),OR('Dashboard'!$E$4="All",N400='Dashboard'!$E$4),OR('Dashboard'!$H$4="All",K400='Dashboard'!$H$4),OR('Dashboard'!$K$4="All",C400='Dashboard'!$K$4)),1,0)</x:f>
        <x:v>1</x:v>
      </x:c>
      <x:c r="AI400" s="84" t="n">
        <x:f>IF(AND(AG400=1,OR('Dashboard'!$B$4="All",I400='Dashboard'!$B$4),OR('Dashboard'!$E$4="All",N400='Dashboard'!$E$4),OR('Dashboard'!$H$4="All",K400='Dashboard'!$H$4)),1,0)</x:f>
        <x:v>1</x:v>
      </x:c>
    </x:row>
    <x:row r="401">
      <x:c r="A401" s="84" t="str">
        <x:f>'Raw Sales'!A401</x:f>
        <x:v>ORD-2024-01008</x:v>
      </x:c>
      <x:c r="B401" s="85" t="n">
        <x:f>'Raw Sales'!B401</x:f>
        <x:v>45445</x:v>
      </x:c>
      <x:c r="C401" s="84" t="n">
        <x:f>YEAR(B401)</x:f>
        <x:v>2024</x:v>
      </x:c>
      <x:c r="D401" s="91" t="n">
        <x:f>DATE(YEAR(B401),MONTH(B401),1)</x:f>
        <x:v>45444</x:v>
      </x:c>
      <x:c r="E401" s="84" t="str">
        <x:f>TEXT(B401,"mmm")</x:f>
        <x:v>Jun</x:v>
      </x:c>
      <x:c r="F401" s="84" t="str">
        <x:f>'Raw Sales'!C401</x:f>
        <x:v>CUST-0505</x:v>
      </x:c>
      <x:c r="G401" s="84" t="str">
        <x:f>PROPER(TRIM('Raw Sales'!D401))</x:f>
        <x:v>Daniel Taylor</x:v>
      </x:c>
      <x:c r="H401" s="84" t="str">
        <x:f>IF(TRIM('Raw Sales'!E401)="","Unknown",PROPER(TRIM('Raw Sales'!E401)))</x:f>
        <x:v>Small Business</x:v>
      </x:c>
      <x:c r="I401" s="84" t="str">
        <x:f>PROPER(TRIM('Raw Sales'!F401))</x:f>
        <x:v>Northeast</x:v>
      </x:c>
      <x:c r="J401" s="84" t="str">
        <x:f>PROPER(TRIM('Raw Sales'!G401))</x:f>
        <x:v>Boston</x:v>
      </x:c>
      <x:c r="K401" s="84" t="str">
        <x:f>PROPER(TRIM('Raw Sales'!H401))</x:f>
        <x:v>Marketplace</x:v>
      </x:c>
      <x:c r="L401" s="84" t="str">
        <x:f>'Raw Sales'!I401</x:f>
        <x:v>ACCS-004</x:v>
      </x:c>
      <x:c r="M401" s="84" t="str">
        <x:f>IFERROR(VLOOKUP(L401,'Reference Data'!$A$5:$F$40,2,FALSE),"Unknown Product")</x:f>
        <x:v>Leather Wallet</x:v>
      </x:c>
      <x:c r="N401" s="84" t="str">
        <x:f>IFERROR(VLOOKUP(L401,'Reference Data'!$A$5:$F$40,3,FALSE),"Unknown")</x:f>
        <x:v>Accessories</x:v>
      </x:c>
      <x:c r="O401" s="84" t="str">
        <x:f>IFERROR(VLOOKUP(L401,'Reference Data'!$A$5:$F$40,4,FALSE),"Unknown")</x:f>
        <x:v>Wallets</x:v>
      </x:c>
      <x:c r="P401" s="92" t="n">
        <x:f>IFERROR(VLOOKUP(L401,'Reference Data'!$A$5:$F$40,5,FALSE),0)</x:f>
        <x:v>49</x:v>
      </x:c>
      <x:c r="Q401" s="92" t="n">
        <x:f>IFERROR(VLOOKUP(L401,'Reference Data'!$A$5:$F$40,6,FALSE),0)</x:f>
        <x:v>18</x:v>
      </x:c>
      <x:c r="R401" s="84" t="n">
        <x:f>'Raw Sales'!J401</x:f>
        <x:v>3</x:v>
      </x:c>
      <x:c r="S401" s="87" t="n">
        <x:f>'Raw Sales'!K401</x:f>
        <x:v>0.2</x:v>
      </x:c>
      <x:c r="T401" s="93" t="n">
        <x:f>P401*R401</x:f>
        <x:v>147</x:v>
      </x:c>
      <x:c r="U401" s="93" t="n">
        <x:f>T401*S401</x:f>
        <x:v>29.400000000000002</x:v>
      </x:c>
      <x:c r="V401" s="93" t="str">
        <x:f>PROPER(TRIM('Raw Sales'!L401))</x:f>
        <x:v>Completed</x:v>
      </x:c>
      <x:c r="W401" s="93" t="n">
        <x:f>IF(V401="Returned",0,T401-U401)</x:f>
        <x:v>117.6</x:v>
      </x:c>
      <x:c r="X401" s="93" t="n">
        <x:f>IF(V401="Returned",Q401*R401*10%,Q401*R401)</x:f>
        <x:v>54</x:v>
      </x:c>
      <x:c r="Y401" s="93" t="n">
        <x:f>W401-X401</x:f>
        <x:v>63.599999999999994</x:v>
      </x:c>
      <x:c r="Z401" s="94" t="n">
        <x:f>IFERROR(Y401/W401,0)</x:f>
        <x:v>0.5408163265306122</x:v>
      </x:c>
      <x:c r="AA401" s="84" t="str">
        <x:f>PROPER(TRIM('Raw Sales'!M401))</x:f>
        <x:v>Paypal</x:v>
      </x:c>
      <x:c r="AB401" s="84" t="str">
        <x:f>PROPER(TRIM('Raw Sales'!N401))</x:f>
        <x:v>Ethan Cole</x:v>
      </x:c>
      <x:c r="AC401" s="85" t="n">
        <x:f>'Raw Sales'!O401</x:f>
        <x:v>45449</x:v>
      </x:c>
      <x:c r="AD401" s="84" t="n">
        <x:f>AC401-B401</x:f>
        <x:v>4</x:v>
      </x:c>
      <x:c r="AE401" s="84" t="str">
        <x:f>IF(COUNTIF($A$5:A401,A401)&gt;1,"Duplicate","Keep")</x:f>
        <x:v>Keep</x:v>
      </x:c>
      <x:c r="AF401" s="84" t="str">
        <x:f>IF(OR(R401&lt;=0,AC401&lt;B401,H401="Unknown",M401="Unknown Product"),"Review","Valid")</x:f>
        <x:v>Valid</x:v>
      </x:c>
      <x:c r="AG401" s="84" t="n">
        <x:f>IF(AND(AE401="Keep",AF401="Valid"),1,0)</x:f>
        <x:v>1</x:v>
      </x:c>
      <x:c r="AH401" s="84" t="n">
        <x:f>IF(AND(AG401=1,OR('Dashboard'!$B$4="All",I401='Dashboard'!$B$4),OR('Dashboard'!$E$4="All",N401='Dashboard'!$E$4),OR('Dashboard'!$H$4="All",K401='Dashboard'!$H$4),OR('Dashboard'!$K$4="All",C401='Dashboard'!$K$4)),1,0)</x:f>
        <x:v>1</x:v>
      </x:c>
      <x:c r="AI401" s="84" t="n">
        <x:f>IF(AND(AG401=1,OR('Dashboard'!$B$4="All",I401='Dashboard'!$B$4),OR('Dashboard'!$E$4="All",N401='Dashboard'!$E$4),OR('Dashboard'!$H$4="All",K401='Dashboard'!$H$4)),1,0)</x:f>
        <x:v>1</x:v>
      </x:c>
    </x:row>
    <x:row r="402">
      <x:c r="A402" s="84" t="str">
        <x:f>'Raw Sales'!A402</x:f>
        <x:v>ORD-2024-01128</x:v>
      </x:c>
      <x:c r="B402" s="85" t="n">
        <x:f>'Raw Sales'!B402</x:f>
        <x:v>45445</x:v>
      </x:c>
      <x:c r="C402" s="84" t="n">
        <x:f>YEAR(B402)</x:f>
        <x:v>2024</x:v>
      </x:c>
      <x:c r="D402" s="91" t="n">
        <x:f>DATE(YEAR(B402),MONTH(B402),1)</x:f>
        <x:v>45444</x:v>
      </x:c>
      <x:c r="E402" s="84" t="str">
        <x:f>TEXT(B402,"mmm")</x:f>
        <x:v>Jun</x:v>
      </x:c>
      <x:c r="F402" s="84" t="str">
        <x:f>'Raw Sales'!C402</x:f>
        <x:v>CUST-0255</x:v>
      </x:c>
      <x:c r="G402" s="84" t="str">
        <x:f>PROPER(TRIM('Raw Sales'!D402))</x:f>
        <x:v>Layla Smith</x:v>
      </x:c>
      <x:c r="H402" s="84" t="str">
        <x:f>IF(TRIM('Raw Sales'!E402)="","Unknown",PROPER(TRIM('Raw Sales'!E402)))</x:f>
        <x:v>Consumer</x:v>
      </x:c>
      <x:c r="I402" s="84" t="str">
        <x:f>PROPER(TRIM('Raw Sales'!F402))</x:f>
        <x:v>West</x:v>
      </x:c>
      <x:c r="J402" s="84" t="str">
        <x:f>PROPER(TRIM('Raw Sales'!G402))</x:f>
        <x:v>Seattle</x:v>
      </x:c>
      <x:c r="K402" s="84" t="str">
        <x:f>PROPER(TRIM('Raw Sales'!H402))</x:f>
        <x:v>Retail Store</x:v>
      </x:c>
      <x:c r="L402" s="84" t="str">
        <x:f>'Raw Sales'!I402</x:f>
        <x:v>OFFC-001</x:v>
      </x:c>
      <x:c r="M402" s="84" t="str">
        <x:f>IFERROR(VLOOKUP(L402,'Reference Data'!$A$5:$F$40,2,FALSE),"Unknown Product")</x:f>
        <x:v>Ergonomic Chair</x:v>
      </x:c>
      <x:c r="N402" s="84" t="str">
        <x:f>IFERROR(VLOOKUP(L402,'Reference Data'!$A$5:$F$40,3,FALSE),"Unknown")</x:f>
        <x:v>Office</x:v>
      </x:c>
      <x:c r="O402" s="84" t="str">
        <x:f>IFERROR(VLOOKUP(L402,'Reference Data'!$A$5:$F$40,4,FALSE),"Unknown")</x:f>
        <x:v>Furniture</x:v>
      </x:c>
      <x:c r="P402" s="92" t="n">
        <x:f>IFERROR(VLOOKUP(L402,'Reference Data'!$A$5:$F$40,5,FALSE),0)</x:f>
        <x:v>249</x:v>
      </x:c>
      <x:c r="Q402" s="92" t="n">
        <x:f>IFERROR(VLOOKUP(L402,'Reference Data'!$A$5:$F$40,6,FALSE),0)</x:f>
        <x:v>145</x:v>
      </x:c>
      <x:c r="R402" s="84" t="n">
        <x:f>'Raw Sales'!J402</x:f>
        <x:v>2</x:v>
      </x:c>
      <x:c r="S402" s="87" t="n">
        <x:f>'Raw Sales'!K402</x:f>
        <x:v>0</x:v>
      </x:c>
      <x:c r="T402" s="93" t="n">
        <x:f>P402*R402</x:f>
        <x:v>498</x:v>
      </x:c>
      <x:c r="U402" s="93" t="n">
        <x:f>T402*S402</x:f>
        <x:v>0</x:v>
      </x:c>
      <x:c r="V402" s="93" t="str">
        <x:f>PROPER(TRIM('Raw Sales'!L402))</x:f>
        <x:v>Completed</x:v>
      </x:c>
      <x:c r="W402" s="93" t="n">
        <x:f>IF(V402="Returned",0,T402-U402)</x:f>
        <x:v>498</x:v>
      </x:c>
      <x:c r="X402" s="93" t="n">
        <x:f>IF(V402="Returned",Q402*R402*10%,Q402*R402)</x:f>
        <x:v>290</x:v>
      </x:c>
      <x:c r="Y402" s="93" t="n">
        <x:f>W402-X402</x:f>
        <x:v>208</x:v>
      </x:c>
      <x:c r="Z402" s="94" t="n">
        <x:f>IFERROR(Y402/W402,0)</x:f>
        <x:v>0.41767068273092367</x:v>
      </x:c>
      <x:c r="AA402" s="84" t="str">
        <x:f>PROPER(TRIM('Raw Sales'!M402))</x:f>
        <x:v>Credit Card</x:v>
      </x:c>
      <x:c r="AB402" s="84" t="str">
        <x:f>PROPER(TRIM('Raw Sales'!N402))</x:f>
        <x:v>Nora Kim</x:v>
      </x:c>
      <x:c r="AC402" s="85" t="n">
        <x:f>'Raw Sales'!O402</x:f>
        <x:v>45446</x:v>
      </x:c>
      <x:c r="AD402" s="84" t="n">
        <x:f>AC402-B402</x:f>
        <x:v>1</x:v>
      </x:c>
      <x:c r="AE402" s="84" t="str">
        <x:f>IF(COUNTIF($A$5:A402,A402)&gt;1,"Duplicate","Keep")</x:f>
        <x:v>Keep</x:v>
      </x:c>
      <x:c r="AF402" s="84" t="str">
        <x:f>IF(OR(R402&lt;=0,AC402&lt;B402,H402="Unknown",M402="Unknown Product"),"Review","Valid")</x:f>
        <x:v>Valid</x:v>
      </x:c>
      <x:c r="AG402" s="84" t="n">
        <x:f>IF(AND(AE402="Keep",AF402="Valid"),1,0)</x:f>
        <x:v>1</x:v>
      </x:c>
      <x:c r="AH402" s="84" t="n">
        <x:f>IF(AND(AG402=1,OR('Dashboard'!$B$4="All",I402='Dashboard'!$B$4),OR('Dashboard'!$E$4="All",N402='Dashboard'!$E$4),OR('Dashboard'!$H$4="All",K402='Dashboard'!$H$4),OR('Dashboard'!$K$4="All",C402='Dashboard'!$K$4)),1,0)</x:f>
        <x:v>1</x:v>
      </x:c>
      <x:c r="AI402" s="84" t="n">
        <x:f>IF(AND(AG402=1,OR('Dashboard'!$B$4="All",I402='Dashboard'!$B$4),OR('Dashboard'!$E$4="All",N402='Dashboard'!$E$4),OR('Dashboard'!$H$4="All",K402='Dashboard'!$H$4)),1,0)</x:f>
        <x:v>1</x:v>
      </x:c>
    </x:row>
    <x:row r="403">
      <x:c r="A403" s="84" t="str">
        <x:f>'Raw Sales'!A403</x:f>
        <x:v>ORD-2024-02269</x:v>
      </x:c>
      <x:c r="B403" s="85" t="n">
        <x:f>'Raw Sales'!B403</x:f>
        <x:v>45445</x:v>
      </x:c>
      <x:c r="C403" s="84" t="n">
        <x:f>YEAR(B403)</x:f>
        <x:v>2024</x:v>
      </x:c>
      <x:c r="D403" s="91" t="n">
        <x:f>DATE(YEAR(B403),MONTH(B403),1)</x:f>
        <x:v>45444</x:v>
      </x:c>
      <x:c r="E403" s="84" t="str">
        <x:f>TEXT(B403,"mmm")</x:f>
        <x:v>Jun</x:v>
      </x:c>
      <x:c r="F403" s="84" t="str">
        <x:f>'Raw Sales'!C403</x:f>
        <x:v>CUST-0070</x:v>
      </x:c>
      <x:c r="G403" s="84" t="str">
        <x:f>PROPER(TRIM('Raw Sales'!D403))</x:f>
        <x:v>Elena Hall</x:v>
      </x:c>
      <x:c r="H403" s="84" t="str">
        <x:f>IF(TRIM('Raw Sales'!E403)="","Unknown",PROPER(TRIM('Raw Sales'!E403)))</x:f>
        <x:v>Small Business</x:v>
      </x:c>
      <x:c r="I403" s="84" t="str">
        <x:f>PROPER(TRIM('Raw Sales'!F403))</x:f>
        <x:v>West</x:v>
      </x:c>
      <x:c r="J403" s="84" t="str">
        <x:f>PROPER(TRIM('Raw Sales'!G403))</x:f>
        <x:v>Seattle</x:v>
      </x:c>
      <x:c r="K403" s="84" t="str">
        <x:f>PROPER(TRIM('Raw Sales'!H403))</x:f>
        <x:v>Online</x:v>
      </x:c>
      <x:c r="L403" s="84" t="str">
        <x:f>'Raw Sales'!I403</x:f>
        <x:v>FITN-001</x:v>
      </x:c>
      <x:c r="M403" s="84" t="str">
        <x:f>IFERROR(VLOOKUP(L403,'Reference Data'!$A$5:$F$40,2,FALSE),"Unknown Product")</x:f>
        <x:v>Yoga Mat</x:v>
      </x:c>
      <x:c r="N403" s="84" t="str">
        <x:f>IFERROR(VLOOKUP(L403,'Reference Data'!$A$5:$F$40,3,FALSE),"Unknown")</x:f>
        <x:v>Fitness</x:v>
      </x:c>
      <x:c r="O403" s="84" t="str">
        <x:f>IFERROR(VLOOKUP(L403,'Reference Data'!$A$5:$F$40,4,FALSE),"Unknown")</x:f>
        <x:v>Yoga</x:v>
      </x:c>
      <x:c r="P403" s="92" t="n">
        <x:f>IFERROR(VLOOKUP(L403,'Reference Data'!$A$5:$F$40,5,FALSE),0)</x:f>
        <x:v>35</x:v>
      </x:c>
      <x:c r="Q403" s="92" t="n">
        <x:f>IFERROR(VLOOKUP(L403,'Reference Data'!$A$5:$F$40,6,FALSE),0)</x:f>
        <x:v>13</x:v>
      </x:c>
      <x:c r="R403" s="84" t="n">
        <x:f>'Raw Sales'!J403</x:f>
        <x:v>2</x:v>
      </x:c>
      <x:c r="S403" s="87" t="n">
        <x:f>'Raw Sales'!K403</x:f>
        <x:v>0</x:v>
      </x:c>
      <x:c r="T403" s="93" t="n">
        <x:f>P403*R403</x:f>
        <x:v>70</x:v>
      </x:c>
      <x:c r="U403" s="93" t="n">
        <x:f>T403*S403</x:f>
        <x:v>0</x:v>
      </x:c>
      <x:c r="V403" s="93" t="str">
        <x:f>PROPER(TRIM('Raw Sales'!L403))</x:f>
        <x:v>Completed</x:v>
      </x:c>
      <x:c r="W403" s="93" t="n">
        <x:f>IF(V403="Returned",0,T403-U403)</x:f>
        <x:v>70</x:v>
      </x:c>
      <x:c r="X403" s="93" t="n">
        <x:f>IF(V403="Returned",Q403*R403*10%,Q403*R403)</x:f>
        <x:v>26</x:v>
      </x:c>
      <x:c r="Y403" s="93" t="n">
        <x:f>W403-X403</x:f>
        <x:v>44</x:v>
      </x:c>
      <x:c r="Z403" s="94" t="n">
        <x:f>IFERROR(Y403/W403,0)</x:f>
        <x:v>0.6285714285714286</x:v>
      </x:c>
      <x:c r="AA403" s="84" t="str">
        <x:f>PROPER(TRIM('Raw Sales'!M403))</x:f>
        <x:v>Paypal</x:v>
      </x:c>
      <x:c r="AB403" s="84" t="str">
        <x:f>PROPER(TRIM('Raw Sales'!N403))</x:f>
        <x:v>Nora Kim</x:v>
      </x:c>
      <x:c r="AC403" s="85" t="n">
        <x:f>'Raw Sales'!O403</x:f>
        <x:v>45449</x:v>
      </x:c>
      <x:c r="AD403" s="84" t="n">
        <x:f>AC403-B403</x:f>
        <x:v>4</x:v>
      </x:c>
      <x:c r="AE403" s="84" t="str">
        <x:f>IF(COUNTIF($A$5:A403,A403)&gt;1,"Duplicate","Keep")</x:f>
        <x:v>Keep</x:v>
      </x:c>
      <x:c r="AF403" s="84" t="str">
        <x:f>IF(OR(R403&lt;=0,AC403&lt;B403,H403="Unknown",M403="Unknown Product"),"Review","Valid")</x:f>
        <x:v>Valid</x:v>
      </x:c>
      <x:c r="AG403" s="84" t="n">
        <x:f>IF(AND(AE403="Keep",AF403="Valid"),1,0)</x:f>
        <x:v>1</x:v>
      </x:c>
      <x:c r="AH403" s="84" t="n">
        <x:f>IF(AND(AG403=1,OR('Dashboard'!$B$4="All",I403='Dashboard'!$B$4),OR('Dashboard'!$E$4="All",N403='Dashboard'!$E$4),OR('Dashboard'!$H$4="All",K403='Dashboard'!$H$4),OR('Dashboard'!$K$4="All",C403='Dashboard'!$K$4)),1,0)</x:f>
        <x:v>1</x:v>
      </x:c>
      <x:c r="AI403" s="84" t="n">
        <x:f>IF(AND(AG403=1,OR('Dashboard'!$B$4="All",I403='Dashboard'!$B$4),OR('Dashboard'!$E$4="All",N403='Dashboard'!$E$4),OR('Dashboard'!$H$4="All",K403='Dashboard'!$H$4)),1,0)</x:f>
        <x:v>1</x:v>
      </x:c>
    </x:row>
    <x:row r="404">
      <x:c r="A404" s="84" t="str">
        <x:f>'Raw Sales'!A404</x:f>
        <x:v>ORD-2024-00027</x:v>
      </x:c>
      <x:c r="B404" s="85" t="n">
        <x:f>'Raw Sales'!B404</x:f>
        <x:v>45446</x:v>
      </x:c>
      <x:c r="C404" s="84" t="n">
        <x:f>YEAR(B404)</x:f>
        <x:v>2024</x:v>
      </x:c>
      <x:c r="D404" s="91" t="n">
        <x:f>DATE(YEAR(B404),MONTH(B404),1)</x:f>
        <x:v>45444</x:v>
      </x:c>
      <x:c r="E404" s="84" t="str">
        <x:f>TEXT(B404,"mmm")</x:f>
        <x:v>Jun</x:v>
      </x:c>
      <x:c r="F404" s="84" t="str">
        <x:f>'Raw Sales'!C404</x:f>
        <x:v>CUST-0630</x:v>
      </x:c>
      <x:c r="G404" s="84" t="str">
        <x:f>PROPER(TRIM('Raw Sales'!D404))</x:f>
        <x:v>Jasmine Foster</x:v>
      </x:c>
      <x:c r="H404" s="84" t="str">
        <x:f>IF(TRIM('Raw Sales'!E404)="","Unknown",PROPER(TRIM('Raw Sales'!E404)))</x:f>
        <x:v>Consumer</x:v>
      </x:c>
      <x:c r="I404" s="84" t="str">
        <x:f>PROPER(TRIM('Raw Sales'!F404))</x:f>
        <x:v>Southeast</x:v>
      </x:c>
      <x:c r="J404" s="84" t="str">
        <x:f>PROPER(TRIM('Raw Sales'!G404))</x:f>
        <x:v>Miami</x:v>
      </x:c>
      <x:c r="K404" s="84" t="str">
        <x:f>PROPER(TRIM('Raw Sales'!H404))</x:f>
        <x:v>Online</x:v>
      </x:c>
      <x:c r="L404" s="84" t="str">
        <x:f>'Raw Sales'!I404</x:f>
        <x:v>CARE-003</x:v>
      </x:c>
      <x:c r="M404" s="84" t="str">
        <x:f>IFERROR(VLOOKUP(L404,'Reference Data'!$A$5:$F$40,2,FALSE),"Unknown Product")</x:f>
        <x:v>Facial Cleanser</x:v>
      </x:c>
      <x:c r="N404" s="84" t="str">
        <x:f>IFERROR(VLOOKUP(L404,'Reference Data'!$A$5:$F$40,3,FALSE),"Unknown")</x:f>
        <x:v>Personal Care</x:v>
      </x:c>
      <x:c r="O404" s="84" t="str">
        <x:f>IFERROR(VLOOKUP(L404,'Reference Data'!$A$5:$F$40,4,FALSE),"Unknown")</x:f>
        <x:v>Skin Care</x:v>
      </x:c>
      <x:c r="P404" s="92" t="n">
        <x:f>IFERROR(VLOOKUP(L404,'Reference Data'!$A$5:$F$40,5,FALSE),0)</x:f>
        <x:v>18</x:v>
      </x:c>
      <x:c r="Q404" s="92" t="n">
        <x:f>IFERROR(VLOOKUP(L404,'Reference Data'!$A$5:$F$40,6,FALSE),0)</x:f>
        <x:v>6</x:v>
      </x:c>
      <x:c r="R404" s="84" t="n">
        <x:f>'Raw Sales'!J404</x:f>
        <x:v>1</x:v>
      </x:c>
      <x:c r="S404" s="87" t="n">
        <x:f>'Raw Sales'!K404</x:f>
        <x:v>0.05</x:v>
      </x:c>
      <x:c r="T404" s="93" t="n">
        <x:f>P404*R404</x:f>
        <x:v>18</x:v>
      </x:c>
      <x:c r="U404" s="93" t="n">
        <x:f>T404*S404</x:f>
        <x:v>0.9</x:v>
      </x:c>
      <x:c r="V404" s="93" t="str">
        <x:f>PROPER(TRIM('Raw Sales'!L404))</x:f>
        <x:v>Completed</x:v>
      </x:c>
      <x:c r="W404" s="93" t="n">
        <x:f>IF(V404="Returned",0,T404-U404)</x:f>
        <x:v>17.1</x:v>
      </x:c>
      <x:c r="X404" s="93" t="n">
        <x:f>IF(V404="Returned",Q404*R404*10%,Q404*R404)</x:f>
        <x:v>6</x:v>
      </x:c>
      <x:c r="Y404" s="93" t="n">
        <x:f>W404-X404</x:f>
        <x:v>11.100000000000001</x:v>
      </x:c>
      <x:c r="Z404" s="94" t="n">
        <x:f>IFERROR(Y404/W404,0)</x:f>
        <x:v>0.6491228070175439</x:v>
      </x:c>
      <x:c r="AA404" s="84" t="str">
        <x:f>PROPER(TRIM('Raw Sales'!M404))</x:f>
        <x:v>Credit Card</x:v>
      </x:c>
      <x:c r="AB404" s="84" t="str">
        <x:f>PROPER(TRIM('Raw Sales'!N404))</x:f>
        <x:v>Ava Mitchell</x:v>
      </x:c>
      <x:c r="AC404" s="85" t="n">
        <x:f>'Raw Sales'!O404</x:f>
        <x:v>45449</x:v>
      </x:c>
      <x:c r="AD404" s="84" t="n">
        <x:f>AC404-B404</x:f>
        <x:v>3</x:v>
      </x:c>
      <x:c r="AE404" s="84" t="str">
        <x:f>IF(COUNTIF($A$5:A404,A404)&gt;1,"Duplicate","Keep")</x:f>
        <x:v>Keep</x:v>
      </x:c>
      <x:c r="AF404" s="84" t="str">
        <x:f>IF(OR(R404&lt;=0,AC404&lt;B404,H404="Unknown",M404="Unknown Product"),"Review","Valid")</x:f>
        <x:v>Valid</x:v>
      </x:c>
      <x:c r="AG404" s="84" t="n">
        <x:f>IF(AND(AE404="Keep",AF404="Valid"),1,0)</x:f>
        <x:v>1</x:v>
      </x:c>
      <x:c r="AH404" s="84" t="n">
        <x:f>IF(AND(AG404=1,OR('Dashboard'!$B$4="All",I404='Dashboard'!$B$4),OR('Dashboard'!$E$4="All",N404='Dashboard'!$E$4),OR('Dashboard'!$H$4="All",K404='Dashboard'!$H$4),OR('Dashboard'!$K$4="All",C404='Dashboard'!$K$4)),1,0)</x:f>
        <x:v>1</x:v>
      </x:c>
      <x:c r="AI404" s="84" t="n">
        <x:f>IF(AND(AG404=1,OR('Dashboard'!$B$4="All",I404='Dashboard'!$B$4),OR('Dashboard'!$E$4="All",N404='Dashboard'!$E$4),OR('Dashboard'!$H$4="All",K404='Dashboard'!$H$4)),1,0)</x:f>
        <x:v>1</x:v>
      </x:c>
    </x:row>
    <x:row r="405">
      <x:c r="A405" s="84" t="str">
        <x:f>'Raw Sales'!A405</x:f>
        <x:v>ORD-2024-01188</x:v>
      </x:c>
      <x:c r="B405" s="85" t="n">
        <x:f>'Raw Sales'!B405</x:f>
        <x:v>45446</x:v>
      </x:c>
      <x:c r="C405" s="84" t="n">
        <x:f>YEAR(B405)</x:f>
        <x:v>2024</x:v>
      </x:c>
      <x:c r="D405" s="91" t="n">
        <x:f>DATE(YEAR(B405),MONTH(B405),1)</x:f>
        <x:v>45444</x:v>
      </x:c>
      <x:c r="E405" s="84" t="str">
        <x:f>TEXT(B405,"mmm")</x:f>
        <x:v>Jun</x:v>
      </x:c>
      <x:c r="F405" s="84" t="str">
        <x:f>'Raw Sales'!C405</x:f>
        <x:v>CUST-0279</x:v>
      </x:c>
      <x:c r="G405" s="84" t="str">
        <x:f>PROPER(TRIM('Raw Sales'!D405))</x:f>
        <x:v>Priya Johnson</x:v>
      </x:c>
      <x:c r="H405" s="84" t="str">
        <x:f>IF(TRIM('Raw Sales'!E405)="","Unknown",PROPER(TRIM('Raw Sales'!E405)))</x:f>
        <x:v>Consumer</x:v>
      </x:c>
      <x:c r="I405" s="84" t="str">
        <x:f>PROPER(TRIM('Raw Sales'!F405))</x:f>
        <x:v>West</x:v>
      </x:c>
      <x:c r="J405" s="84" t="str">
        <x:f>PROPER(TRIM('Raw Sales'!G405))</x:f>
        <x:v>Seattle</x:v>
      </x:c>
      <x:c r="K405" s="84" t="str">
        <x:f>PROPER(TRIM('Raw Sales'!H405))</x:f>
        <x:v>Retail Store</x:v>
      </x:c>
      <x:c r="L405" s="84" t="str">
        <x:f>'Raw Sales'!I405</x:f>
        <x:v>ACCS-005</x:v>
      </x:c>
      <x:c r="M405" s="84" t="str">
        <x:f>IFERROR(VLOOKUP(L405,'Reference Data'!$A$5:$F$40,2,FALSE),"Unknown Product")</x:f>
        <x:v>Protective Phone Case</x:v>
      </x:c>
      <x:c r="N405" s="84" t="str">
        <x:f>IFERROR(VLOOKUP(L405,'Reference Data'!$A$5:$F$40,3,FALSE),"Unknown")</x:f>
        <x:v>Accessories</x:v>
      </x:c>
      <x:c r="O405" s="84" t="str">
        <x:f>IFERROR(VLOOKUP(L405,'Reference Data'!$A$5:$F$40,4,FALSE),"Unknown")</x:f>
        <x:v>Mobile Accessories</x:v>
      </x:c>
      <x:c r="P405" s="92" t="n">
        <x:f>IFERROR(VLOOKUP(L405,'Reference Data'!$A$5:$F$40,5,FALSE),0)</x:f>
        <x:v>24</x:v>
      </x:c>
      <x:c r="Q405" s="92" t="n">
        <x:f>IFERROR(VLOOKUP(L405,'Reference Data'!$A$5:$F$40,6,FALSE),0)</x:f>
        <x:v>5</x:v>
      </x:c>
      <x:c r="R405" s="84" t="n">
        <x:f>'Raw Sales'!J405</x:f>
        <x:v>4</x:v>
      </x:c>
      <x:c r="S405" s="87" t="n">
        <x:f>'Raw Sales'!K405</x:f>
        <x:v>0</x:v>
      </x:c>
      <x:c r="T405" s="93" t="n">
        <x:f>P405*R405</x:f>
        <x:v>96</x:v>
      </x:c>
      <x:c r="U405" s="93" t="n">
        <x:f>T405*S405</x:f>
        <x:v>0</x:v>
      </x:c>
      <x:c r="V405" s="93" t="str">
        <x:f>PROPER(TRIM('Raw Sales'!L405))</x:f>
        <x:v>Completed</x:v>
      </x:c>
      <x:c r="W405" s="93" t="n">
        <x:f>IF(V405="Returned",0,T405-U405)</x:f>
        <x:v>96</x:v>
      </x:c>
      <x:c r="X405" s="93" t="n">
        <x:f>IF(V405="Returned",Q405*R405*10%,Q405*R405)</x:f>
        <x:v>20</x:v>
      </x:c>
      <x:c r="Y405" s="93" t="n">
        <x:f>W405-X405</x:f>
        <x:v>76</x:v>
      </x:c>
      <x:c r="Z405" s="94" t="n">
        <x:f>IFERROR(Y405/W405,0)</x:f>
        <x:v>0.7916666666666666</x:v>
      </x:c>
      <x:c r="AA405" s="84" t="str">
        <x:f>PROPER(TRIM('Raw Sales'!M405))</x:f>
        <x:v>Debit Card</x:v>
      </x:c>
      <x:c r="AB405" s="84" t="str">
        <x:f>PROPER(TRIM('Raw Sales'!N405))</x:f>
        <x:v>Nora Kim</x:v>
      </x:c>
      <x:c r="AC405" s="85" t="n">
        <x:f>'Raw Sales'!O405</x:f>
        <x:v>45446</x:v>
      </x:c>
      <x:c r="AD405" s="84" t="n">
        <x:f>AC405-B405</x:f>
        <x:v>0</x:v>
      </x:c>
      <x:c r="AE405" s="84" t="str">
        <x:f>IF(COUNTIF($A$5:A405,A405)&gt;1,"Duplicate","Keep")</x:f>
        <x:v>Keep</x:v>
      </x:c>
      <x:c r="AF405" s="84" t="str">
        <x:f>IF(OR(R405&lt;=0,AC405&lt;B405,H405="Unknown",M405="Unknown Product"),"Review","Valid")</x:f>
        <x:v>Valid</x:v>
      </x:c>
      <x:c r="AG405" s="84" t="n">
        <x:f>IF(AND(AE405="Keep",AF405="Valid"),1,0)</x:f>
        <x:v>1</x:v>
      </x:c>
      <x:c r="AH405" s="84" t="n">
        <x:f>IF(AND(AG405=1,OR('Dashboard'!$B$4="All",I405='Dashboard'!$B$4),OR('Dashboard'!$E$4="All",N405='Dashboard'!$E$4),OR('Dashboard'!$H$4="All",K405='Dashboard'!$H$4),OR('Dashboard'!$K$4="All",C405='Dashboard'!$K$4)),1,0)</x:f>
        <x:v>1</x:v>
      </x:c>
      <x:c r="AI405" s="84" t="n">
        <x:f>IF(AND(AG405=1,OR('Dashboard'!$B$4="All",I405='Dashboard'!$B$4),OR('Dashboard'!$E$4="All",N405='Dashboard'!$E$4),OR('Dashboard'!$H$4="All",K405='Dashboard'!$H$4)),1,0)</x:f>
        <x:v>1</x:v>
      </x:c>
    </x:row>
    <x:row r="406">
      <x:c r="A406" s="84" t="str">
        <x:f>'Raw Sales'!A406</x:f>
        <x:v>ORD-2024-00620</x:v>
      </x:c>
      <x:c r="B406" s="85" t="n">
        <x:f>'Raw Sales'!B406</x:f>
        <x:v>45447</x:v>
      </x:c>
      <x:c r="C406" s="84" t="n">
        <x:f>YEAR(B406)</x:f>
        <x:v>2024</x:v>
      </x:c>
      <x:c r="D406" s="91" t="n">
        <x:f>DATE(YEAR(B406),MONTH(B406),1)</x:f>
        <x:v>45444</x:v>
      </x:c>
      <x:c r="E406" s="84" t="str">
        <x:f>TEXT(B406,"mmm")</x:f>
        <x:v>Jun</x:v>
      </x:c>
      <x:c r="F406" s="84" t="str">
        <x:f>'Raw Sales'!C406</x:f>
        <x:v>CUST-0597</x:v>
      </x:c>
      <x:c r="G406" s="84" t="str">
        <x:f>PROPER(TRIM('Raw Sales'!D406))</x:f>
        <x:v>Nathan Ortiz</x:v>
      </x:c>
      <x:c r="H406" s="84" t="str">
        <x:f>IF(TRIM('Raw Sales'!E406)="","Unknown",PROPER(TRIM('Raw Sales'!E406)))</x:f>
        <x:v>Small Business</x:v>
      </x:c>
      <x:c r="I406" s="84" t="str">
        <x:f>PROPER(TRIM('Raw Sales'!F406))</x:f>
        <x:v>West</x:v>
      </x:c>
      <x:c r="J406" s="84" t="str">
        <x:f>PROPER(TRIM('Raw Sales'!G406))</x:f>
        <x:v>Phoenix</x:v>
      </x:c>
      <x:c r="K406" s="84" t="str">
        <x:f>PROPER(TRIM('Raw Sales'!H406))</x:f>
        <x:v>Retail Store</x:v>
      </x:c>
      <x:c r="L406" s="84" t="str">
        <x:f>'Raw Sales'!I406</x:f>
        <x:v>FITN-004</x:v>
      </x:c>
      <x:c r="M406" s="84" t="str">
        <x:f>IFERROR(VLOOKUP(L406,'Reference Data'!$A$5:$F$40,2,FALSE),"Unknown Product")</x:f>
        <x:v>Fitness Tracker</x:v>
      </x:c>
      <x:c r="N406" s="84" t="str">
        <x:f>IFERROR(VLOOKUP(L406,'Reference Data'!$A$5:$F$40,3,FALSE),"Unknown")</x:f>
        <x:v>Fitness</x:v>
      </x:c>
      <x:c r="O406" s="84" t="str">
        <x:f>IFERROR(VLOOKUP(L406,'Reference Data'!$A$5:$F$40,4,FALSE),"Unknown")</x:f>
        <x:v>Wearables</x:v>
      </x:c>
      <x:c r="P406" s="92" t="n">
        <x:f>IFERROR(VLOOKUP(L406,'Reference Data'!$A$5:$F$40,5,FALSE),0)</x:f>
        <x:v>89</x:v>
      </x:c>
      <x:c r="Q406" s="92" t="n">
        <x:f>IFERROR(VLOOKUP(L406,'Reference Data'!$A$5:$F$40,6,FALSE),0)</x:f>
        <x:v>44</x:v>
      </x:c>
      <x:c r="R406" s="84" t="n">
        <x:f>'Raw Sales'!J406</x:f>
        <x:v>2</x:v>
      </x:c>
      <x:c r="S406" s="87" t="n">
        <x:f>'Raw Sales'!K406</x:f>
        <x:v>0.05</x:v>
      </x:c>
      <x:c r="T406" s="93" t="n">
        <x:f>P406*R406</x:f>
        <x:v>178</x:v>
      </x:c>
      <x:c r="U406" s="93" t="n">
        <x:f>T406*S406</x:f>
        <x:v>8.9</x:v>
      </x:c>
      <x:c r="V406" s="93" t="str">
        <x:f>PROPER(TRIM('Raw Sales'!L406))</x:f>
        <x:v>Completed</x:v>
      </x:c>
      <x:c r="W406" s="93" t="n">
        <x:f>IF(V406="Returned",0,T406-U406)</x:f>
        <x:v>169.1</x:v>
      </x:c>
      <x:c r="X406" s="93" t="n">
        <x:f>IF(V406="Returned",Q406*R406*10%,Q406*R406)</x:f>
        <x:v>88</x:v>
      </x:c>
      <x:c r="Y406" s="93" t="n">
        <x:f>W406-X406</x:f>
        <x:v>81.1</x:v>
      </x:c>
      <x:c r="Z406" s="94" t="n">
        <x:f>IFERROR(Y406/W406,0)</x:f>
        <x:v>0.47959787108219987</x:v>
      </x:c>
      <x:c r="AA406" s="84" t="str">
        <x:f>PROPER(TRIM('Raw Sales'!M406))</x:f>
        <x:v>Debit Card</x:v>
      </x:c>
      <x:c r="AB406" s="84" t="str">
        <x:f>PROPER(TRIM('Raw Sales'!N406))</x:f>
        <x:v>Mia Chen</x:v>
      </x:c>
      <x:c r="AC406" s="85" t="n">
        <x:f>'Raw Sales'!O406</x:f>
        <x:v>45447</x:v>
      </x:c>
      <x:c r="AD406" s="84" t="n">
        <x:f>AC406-B406</x:f>
        <x:v>0</x:v>
      </x:c>
      <x:c r="AE406" s="84" t="str">
        <x:f>IF(COUNTIF($A$5:A406,A406)&gt;1,"Duplicate","Keep")</x:f>
        <x:v>Keep</x:v>
      </x:c>
      <x:c r="AF406" s="84" t="str">
        <x:f>IF(OR(R406&lt;=0,AC406&lt;B406,H406="Unknown",M406="Unknown Product"),"Review","Valid")</x:f>
        <x:v>Valid</x:v>
      </x:c>
      <x:c r="AG406" s="84" t="n">
        <x:f>IF(AND(AE406="Keep",AF406="Valid"),1,0)</x:f>
        <x:v>1</x:v>
      </x:c>
      <x:c r="AH406" s="84" t="n">
        <x:f>IF(AND(AG406=1,OR('Dashboard'!$B$4="All",I406='Dashboard'!$B$4),OR('Dashboard'!$E$4="All",N406='Dashboard'!$E$4),OR('Dashboard'!$H$4="All",K406='Dashboard'!$H$4),OR('Dashboard'!$K$4="All",C406='Dashboard'!$K$4)),1,0)</x:f>
        <x:v>1</x:v>
      </x:c>
      <x:c r="AI406" s="84" t="n">
        <x:f>IF(AND(AG406=1,OR('Dashboard'!$B$4="All",I406='Dashboard'!$B$4),OR('Dashboard'!$E$4="All",N406='Dashboard'!$E$4),OR('Dashboard'!$H$4="All",K406='Dashboard'!$H$4)),1,0)</x:f>
        <x:v>1</x:v>
      </x:c>
    </x:row>
    <x:row r="407">
      <x:c r="A407" s="84" t="str">
        <x:f>'Raw Sales'!A407</x:f>
        <x:v>ORD-2024-01796</x:v>
      </x:c>
      <x:c r="B407" s="85" t="n">
        <x:f>'Raw Sales'!B407</x:f>
        <x:v>45447</x:v>
      </x:c>
      <x:c r="C407" s="84" t="n">
        <x:f>YEAR(B407)</x:f>
        <x:v>2024</x:v>
      </x:c>
      <x:c r="D407" s="91" t="n">
        <x:f>DATE(YEAR(B407),MONTH(B407),1)</x:f>
        <x:v>45444</x:v>
      </x:c>
      <x:c r="E407" s="84" t="str">
        <x:f>TEXT(B407,"mmm")</x:f>
        <x:v>Jun</x:v>
      </x:c>
      <x:c r="F407" s="84" t="str">
        <x:f>'Raw Sales'!C407</x:f>
        <x:v>CUST-0369</x:v>
      </x:c>
      <x:c r="G407" s="84" t="str">
        <x:f>PROPER(TRIM('Raw Sales'!D407))</x:f>
        <x:v>Elena Johnson</x:v>
      </x:c>
      <x:c r="H407" s="84" t="str">
        <x:f>IF(TRIM('Raw Sales'!E407)="","Unknown",PROPER(TRIM('Raw Sales'!E407)))</x:f>
        <x:v>Consumer</x:v>
      </x:c>
      <x:c r="I407" s="84" t="str">
        <x:f>PROPER(TRIM('Raw Sales'!F407))</x:f>
        <x:v>West</x:v>
      </x:c>
      <x:c r="J407" s="84" t="str">
        <x:f>PROPER(TRIM('Raw Sales'!G407))</x:f>
        <x:v>Phoenix</x:v>
      </x:c>
      <x:c r="K407" s="84" t="str">
        <x:f>PROPER(TRIM('Raw Sales'!H407))</x:f>
        <x:v>Online</x:v>
      </x:c>
      <x:c r="L407" s="84" t="str">
        <x:f>'Raw Sales'!I407</x:f>
        <x:v>OFFC-005</x:v>
      </x:c>
      <x:c r="M407" s="84" t="str">
        <x:f>IFERROR(VLOOKUP(L407,'Reference Data'!$A$5:$F$40,2,FALSE),"Unknown Product")</x:f>
        <x:v>Wireless Keyboard</x:v>
      </x:c>
      <x:c r="N407" s="84" t="str">
        <x:f>IFERROR(VLOOKUP(L407,'Reference Data'!$A$5:$F$40,3,FALSE),"Unknown")</x:f>
        <x:v>Office</x:v>
      </x:c>
      <x:c r="O407" s="84" t="str">
        <x:f>IFERROR(VLOOKUP(L407,'Reference Data'!$A$5:$F$40,4,FALSE),"Unknown")</x:f>
        <x:v>Computer Accessories</x:v>
      </x:c>
      <x:c r="P407" s="92" t="n">
        <x:f>IFERROR(VLOOKUP(L407,'Reference Data'!$A$5:$F$40,5,FALSE),0)</x:f>
        <x:v>59</x:v>
      </x:c>
      <x:c r="Q407" s="92" t="n">
        <x:f>IFERROR(VLOOKUP(L407,'Reference Data'!$A$5:$F$40,6,FALSE),0)</x:f>
        <x:v>28</x:v>
      </x:c>
      <x:c r="R407" s="84" t="n">
        <x:f>'Raw Sales'!J407</x:f>
        <x:v>1</x:v>
      </x:c>
      <x:c r="S407" s="87" t="n">
        <x:f>'Raw Sales'!K407</x:f>
        <x:v>0</x:v>
      </x:c>
      <x:c r="T407" s="93" t="n">
        <x:f>P407*R407</x:f>
        <x:v>59</x:v>
      </x:c>
      <x:c r="U407" s="93" t="n">
        <x:f>T407*S407</x:f>
        <x:v>0</x:v>
      </x:c>
      <x:c r="V407" s="93" t="str">
        <x:f>PROPER(TRIM('Raw Sales'!L407))</x:f>
        <x:v>Completed</x:v>
      </x:c>
      <x:c r="W407" s="93" t="n">
        <x:f>IF(V407="Returned",0,T407-U407)</x:f>
        <x:v>59</x:v>
      </x:c>
      <x:c r="X407" s="93" t="n">
        <x:f>IF(V407="Returned",Q407*R407*10%,Q407*R407)</x:f>
        <x:v>28</x:v>
      </x:c>
      <x:c r="Y407" s="93" t="n">
        <x:f>W407-X407</x:f>
        <x:v>31</x:v>
      </x:c>
      <x:c r="Z407" s="94" t="n">
        <x:f>IFERROR(Y407/W407,0)</x:f>
        <x:v>0.5254237288135594</x:v>
      </x:c>
      <x:c r="AA407" s="84" t="str">
        <x:f>PROPER(TRIM('Raw Sales'!M407))</x:f>
        <x:v>Mobile Wallet</x:v>
      </x:c>
      <x:c r="AB407" s="84" t="str">
        <x:f>PROPER(TRIM('Raw Sales'!N407))</x:f>
        <x:v>Leo Martinez</x:v>
      </x:c>
      <x:c r="AC407" s="85" t="n">
        <x:f>'Raw Sales'!O407</x:f>
        <x:v>45450</x:v>
      </x:c>
      <x:c r="AD407" s="84" t="n">
        <x:f>AC407-B407</x:f>
        <x:v>3</x:v>
      </x:c>
      <x:c r="AE407" s="84" t="str">
        <x:f>IF(COUNTIF($A$5:A407,A407)&gt;1,"Duplicate","Keep")</x:f>
        <x:v>Keep</x:v>
      </x:c>
      <x:c r="AF407" s="84" t="str">
        <x:f>IF(OR(R407&lt;=0,AC407&lt;B407,H407="Unknown",M407="Unknown Product"),"Review","Valid")</x:f>
        <x:v>Valid</x:v>
      </x:c>
      <x:c r="AG407" s="84" t="n">
        <x:f>IF(AND(AE407="Keep",AF407="Valid"),1,0)</x:f>
        <x:v>1</x:v>
      </x:c>
      <x:c r="AH407" s="84" t="n">
        <x:f>IF(AND(AG407=1,OR('Dashboard'!$B$4="All",I407='Dashboard'!$B$4),OR('Dashboard'!$E$4="All",N407='Dashboard'!$E$4),OR('Dashboard'!$H$4="All",K407='Dashboard'!$H$4),OR('Dashboard'!$K$4="All",C407='Dashboard'!$K$4)),1,0)</x:f>
        <x:v>1</x:v>
      </x:c>
      <x:c r="AI407" s="84" t="n">
        <x:f>IF(AND(AG407=1,OR('Dashboard'!$B$4="All",I407='Dashboard'!$B$4),OR('Dashboard'!$E$4="All",N407='Dashboard'!$E$4),OR('Dashboard'!$H$4="All",K407='Dashboard'!$H$4)),1,0)</x:f>
        <x:v>1</x:v>
      </x:c>
    </x:row>
    <x:row r="408">
      <x:c r="A408" s="84" t="str">
        <x:f>'Raw Sales'!A408</x:f>
        <x:v>ORD-2024-01183</x:v>
      </x:c>
      <x:c r="B408" s="85" t="n">
        <x:f>'Raw Sales'!B408</x:f>
        <x:v>45448</x:v>
      </x:c>
      <x:c r="C408" s="84" t="n">
        <x:f>YEAR(B408)</x:f>
        <x:v>2024</x:v>
      </x:c>
      <x:c r="D408" s="91" t="n">
        <x:f>DATE(YEAR(B408),MONTH(B408),1)</x:f>
        <x:v>45444</x:v>
      </x:c>
      <x:c r="E408" s="84" t="str">
        <x:f>TEXT(B408,"mmm")</x:f>
        <x:v>Jun</x:v>
      </x:c>
      <x:c r="F408" s="84" t="str">
        <x:f>'Raw Sales'!C408</x:f>
        <x:v>CUST-0328</x:v>
      </x:c>
      <x:c r="G408" s="84" t="str">
        <x:f>PROPER(TRIM('Raw Sales'!D408))</x:f>
        <x:v>Elena Khan</x:v>
      </x:c>
      <x:c r="H408" s="84" t="str">
        <x:f>IF(TRIM('Raw Sales'!E408)="","Unknown",PROPER(TRIM('Raw Sales'!E408)))</x:f>
        <x:v>Small Business</x:v>
      </x:c>
      <x:c r="I408" s="84" t="str">
        <x:f>PROPER(TRIM('Raw Sales'!F408))</x:f>
        <x:v>Southeast</x:v>
      </x:c>
      <x:c r="J408" s="84" t="str">
        <x:f>PROPER(TRIM('Raw Sales'!G408))</x:f>
        <x:v>Charlotte</x:v>
      </x:c>
      <x:c r="K408" s="84" t="str">
        <x:f>PROPER(TRIM('Raw Sales'!H408))</x:f>
        <x:v>Retail Store</x:v>
      </x:c>
      <x:c r="L408" s="84" t="str">
        <x:f>'Raw Sales'!I408</x:f>
        <x:v>ACCS-005</x:v>
      </x:c>
      <x:c r="M408" s="84" t="str">
        <x:f>IFERROR(VLOOKUP(L408,'Reference Data'!$A$5:$F$40,2,FALSE),"Unknown Product")</x:f>
        <x:v>Protective Phone Case</x:v>
      </x:c>
      <x:c r="N408" s="84" t="str">
        <x:f>IFERROR(VLOOKUP(L408,'Reference Data'!$A$5:$F$40,3,FALSE),"Unknown")</x:f>
        <x:v>Accessories</x:v>
      </x:c>
      <x:c r="O408" s="84" t="str">
        <x:f>IFERROR(VLOOKUP(L408,'Reference Data'!$A$5:$F$40,4,FALSE),"Unknown")</x:f>
        <x:v>Mobile Accessories</x:v>
      </x:c>
      <x:c r="P408" s="92" t="n">
        <x:f>IFERROR(VLOOKUP(L408,'Reference Data'!$A$5:$F$40,5,FALSE),0)</x:f>
        <x:v>24</x:v>
      </x:c>
      <x:c r="Q408" s="92" t="n">
        <x:f>IFERROR(VLOOKUP(L408,'Reference Data'!$A$5:$F$40,6,FALSE),0)</x:f>
        <x:v>5</x:v>
      </x:c>
      <x:c r="R408" s="84" t="n">
        <x:f>'Raw Sales'!J408</x:f>
        <x:v>1</x:v>
      </x:c>
      <x:c r="S408" s="87" t="n">
        <x:f>'Raw Sales'!K408</x:f>
        <x:v>0.15</x:v>
      </x:c>
      <x:c r="T408" s="93" t="n">
        <x:f>P408*R408</x:f>
        <x:v>24</x:v>
      </x:c>
      <x:c r="U408" s="93" t="n">
        <x:f>T408*S408</x:f>
        <x:v>3.5999999999999996</x:v>
      </x:c>
      <x:c r="V408" s="93" t="str">
        <x:f>PROPER(TRIM('Raw Sales'!L408))</x:f>
        <x:v>Completed</x:v>
      </x:c>
      <x:c r="W408" s="93" t="n">
        <x:f>IF(V408="Returned",0,T408-U408)</x:f>
        <x:v>20.4</x:v>
      </x:c>
      <x:c r="X408" s="93" t="n">
        <x:f>IF(V408="Returned",Q408*R408*10%,Q408*R408)</x:f>
        <x:v>5</x:v>
      </x:c>
      <x:c r="Y408" s="93" t="n">
        <x:f>W408-X408</x:f>
        <x:v>15.399999999999999</x:v>
      </x:c>
      <x:c r="Z408" s="94" t="n">
        <x:f>IFERROR(Y408/W408,0)</x:f>
        <x:v>0.7549019607843137</x:v>
      </x:c>
      <x:c r="AA408" s="84" t="str">
        <x:f>PROPER(TRIM('Raw Sales'!M408))</x:f>
        <x:v>Cash</x:v>
      </x:c>
      <x:c r="AB408" s="84" t="str">
        <x:f>PROPER(TRIM('Raw Sales'!N408))</x:f>
        <x:v>Noah Reed</x:v>
      </x:c>
      <x:c r="AC408" s="85" t="n">
        <x:f>'Raw Sales'!O408</x:f>
        <x:v>45448</x:v>
      </x:c>
      <x:c r="AD408" s="84" t="n">
        <x:f>AC408-B408</x:f>
        <x:v>0</x:v>
      </x:c>
      <x:c r="AE408" s="84" t="str">
        <x:f>IF(COUNTIF($A$5:A408,A408)&gt;1,"Duplicate","Keep")</x:f>
        <x:v>Keep</x:v>
      </x:c>
      <x:c r="AF408" s="84" t="str">
        <x:f>IF(OR(R408&lt;=0,AC408&lt;B408,H408="Unknown",M408="Unknown Product"),"Review","Valid")</x:f>
        <x:v>Valid</x:v>
      </x:c>
      <x:c r="AG408" s="84" t="n">
        <x:f>IF(AND(AE408="Keep",AF408="Valid"),1,0)</x:f>
        <x:v>1</x:v>
      </x:c>
      <x:c r="AH408" s="84" t="n">
        <x:f>IF(AND(AG408=1,OR('Dashboard'!$B$4="All",I408='Dashboard'!$B$4),OR('Dashboard'!$E$4="All",N408='Dashboard'!$E$4),OR('Dashboard'!$H$4="All",K408='Dashboard'!$H$4),OR('Dashboard'!$K$4="All",C408='Dashboard'!$K$4)),1,0)</x:f>
        <x:v>1</x:v>
      </x:c>
      <x:c r="AI408" s="84" t="n">
        <x:f>IF(AND(AG408=1,OR('Dashboard'!$B$4="All",I408='Dashboard'!$B$4),OR('Dashboard'!$E$4="All",N408='Dashboard'!$E$4),OR('Dashboard'!$H$4="All",K408='Dashboard'!$H$4)),1,0)</x:f>
        <x:v>1</x:v>
      </x:c>
    </x:row>
    <x:row r="409">
      <x:c r="A409" s="84" t="str">
        <x:f>'Raw Sales'!A409</x:f>
        <x:v>ORD-2024-01390</x:v>
      </x:c>
      <x:c r="B409" s="85" t="n">
        <x:f>'Raw Sales'!B409</x:f>
        <x:v>45448</x:v>
      </x:c>
      <x:c r="C409" s="84" t="n">
        <x:f>YEAR(B409)</x:f>
        <x:v>2024</x:v>
      </x:c>
      <x:c r="D409" s="91" t="n">
        <x:f>DATE(YEAR(B409),MONTH(B409),1)</x:f>
        <x:v>45444</x:v>
      </x:c>
      <x:c r="E409" s="84" t="str">
        <x:f>TEXT(B409,"mmm")</x:f>
        <x:v>Jun</x:v>
      </x:c>
      <x:c r="F409" s="84" t="str">
        <x:f>'Raw Sales'!C409</x:f>
        <x:v>CUST-0415</x:v>
      </x:c>
      <x:c r="G409" s="84" t="str">
        <x:f>PROPER(TRIM('Raw Sales'!D409))</x:f>
        <x:v>Zara Foster</x:v>
      </x:c>
      <x:c r="H409" s="84" t="str">
        <x:f>IF(TRIM('Raw Sales'!E409)="","Unknown",PROPER(TRIM('Raw Sales'!E409)))</x:f>
        <x:v>Corporate</x:v>
      </x:c>
      <x:c r="I409" s="84" t="str">
        <x:f>PROPER(TRIM('Raw Sales'!F409))</x:f>
        <x:v>Southeast</x:v>
      </x:c>
      <x:c r="J409" s="84" t="str">
        <x:f>PROPER(TRIM('Raw Sales'!G409))</x:f>
        <x:v>Charlotte</x:v>
      </x:c>
      <x:c r="K409" s="84" t="str">
        <x:f>PROPER(TRIM('Raw Sales'!H409))</x:f>
        <x:v>Marketplace</x:v>
      </x:c>
      <x:c r="L409" s="84" t="str">
        <x:f>'Raw Sales'!I409</x:f>
        <x:v>CARE-002</x:v>
      </x:c>
      <x:c r="M409" s="84" t="str">
        <x:f>IFERROR(VLOOKUP(L409,'Reference Data'!$A$5:$F$40,2,FALSE),"Unknown Product")</x:f>
        <x:v>Rechargeable Trimmer</x:v>
      </x:c>
      <x:c r="N409" s="84" t="str">
        <x:f>IFERROR(VLOOKUP(L409,'Reference Data'!$A$5:$F$40,3,FALSE),"Unknown")</x:f>
        <x:v>Personal Care</x:v>
      </x:c>
      <x:c r="O409" s="84" t="str">
        <x:f>IFERROR(VLOOKUP(L409,'Reference Data'!$A$5:$F$40,4,FALSE),"Unknown")</x:f>
        <x:v>Grooming</x:v>
      </x:c>
      <x:c r="P409" s="92" t="n">
        <x:f>IFERROR(VLOOKUP(L409,'Reference Data'!$A$5:$F$40,5,FALSE),0)</x:f>
        <x:v>45</x:v>
      </x:c>
      <x:c r="Q409" s="92" t="n">
        <x:f>IFERROR(VLOOKUP(L409,'Reference Data'!$A$5:$F$40,6,FALSE),0)</x:f>
        <x:v>19</x:v>
      </x:c>
      <x:c r="R409" s="84" t="n">
        <x:f>'Raw Sales'!J409</x:f>
        <x:v>6</x:v>
      </x:c>
      <x:c r="S409" s="87" t="n">
        <x:f>'Raw Sales'!K409</x:f>
        <x:v>0.05</x:v>
      </x:c>
      <x:c r="T409" s="93" t="n">
        <x:f>P409*R409</x:f>
        <x:v>270</x:v>
      </x:c>
      <x:c r="U409" s="93" t="n">
        <x:f>T409*S409</x:f>
        <x:v>13.5</x:v>
      </x:c>
      <x:c r="V409" s="93" t="str">
        <x:f>PROPER(TRIM('Raw Sales'!L409))</x:f>
        <x:v>Completed</x:v>
      </x:c>
      <x:c r="W409" s="93" t="n">
        <x:f>IF(V409="Returned",0,T409-U409)</x:f>
        <x:v>256.5</x:v>
      </x:c>
      <x:c r="X409" s="93" t="n">
        <x:f>IF(V409="Returned",Q409*R409*10%,Q409*R409)</x:f>
        <x:v>114</x:v>
      </x:c>
      <x:c r="Y409" s="93" t="n">
        <x:f>W409-X409</x:f>
        <x:v>142.5</x:v>
      </x:c>
      <x:c r="Z409" s="94" t="n">
        <x:f>IFERROR(Y409/W409,0)</x:f>
        <x:v>0.5555555555555556</x:v>
      </x:c>
      <x:c r="AA409" s="84" t="str">
        <x:f>PROPER(TRIM('Raw Sales'!M409))</x:f>
        <x:v>Debit Card</x:v>
      </x:c>
      <x:c r="AB409" s="84" t="str">
        <x:f>PROPER(TRIM('Raw Sales'!N409))</x:f>
        <x:v>Liam Parker</x:v>
      </x:c>
      <x:c r="AC409" s="85" t="n">
        <x:f>'Raw Sales'!O409</x:f>
        <x:v>45454</x:v>
      </x:c>
      <x:c r="AD409" s="84" t="n">
        <x:f>AC409-B409</x:f>
        <x:v>6</x:v>
      </x:c>
      <x:c r="AE409" s="84" t="str">
        <x:f>IF(COUNTIF($A$5:A409,A409)&gt;1,"Duplicate","Keep")</x:f>
        <x:v>Keep</x:v>
      </x:c>
      <x:c r="AF409" s="84" t="str">
        <x:f>IF(OR(R409&lt;=0,AC409&lt;B409,H409="Unknown",M409="Unknown Product"),"Review","Valid")</x:f>
        <x:v>Valid</x:v>
      </x:c>
      <x:c r="AG409" s="84" t="n">
        <x:f>IF(AND(AE409="Keep",AF409="Valid"),1,0)</x:f>
        <x:v>1</x:v>
      </x:c>
      <x:c r="AH409" s="84" t="n">
        <x:f>IF(AND(AG409=1,OR('Dashboard'!$B$4="All",I409='Dashboard'!$B$4),OR('Dashboard'!$E$4="All",N409='Dashboard'!$E$4),OR('Dashboard'!$H$4="All",K409='Dashboard'!$H$4),OR('Dashboard'!$K$4="All",C409='Dashboard'!$K$4)),1,0)</x:f>
        <x:v>1</x:v>
      </x:c>
      <x:c r="AI409" s="84" t="n">
        <x:f>IF(AND(AG409=1,OR('Dashboard'!$B$4="All",I409='Dashboard'!$B$4),OR('Dashboard'!$E$4="All",N409='Dashboard'!$E$4),OR('Dashboard'!$H$4="All",K409='Dashboard'!$H$4)),1,0)</x:f>
        <x:v>1</x:v>
      </x:c>
    </x:row>
    <x:row r="410">
      <x:c r="A410" s="84" t="str">
        <x:f>'Raw Sales'!A410</x:f>
        <x:v>ORD-2024-01466</x:v>
      </x:c>
      <x:c r="B410" s="85" t="n">
        <x:f>'Raw Sales'!B410</x:f>
        <x:v>45448</x:v>
      </x:c>
      <x:c r="C410" s="84" t="n">
        <x:f>YEAR(B410)</x:f>
        <x:v>2024</x:v>
      </x:c>
      <x:c r="D410" s="91" t="n">
        <x:f>DATE(YEAR(B410),MONTH(B410),1)</x:f>
        <x:v>45444</x:v>
      </x:c>
      <x:c r="E410" s="84" t="str">
        <x:f>TEXT(B410,"mmm")</x:f>
        <x:v>Jun</x:v>
      </x:c>
      <x:c r="F410" s="84" t="str">
        <x:f>'Raw Sales'!C410</x:f>
        <x:v>CUST-0040</x:v>
      </x:c>
      <x:c r="G410" s="84" t="str">
        <x:f>PROPER(TRIM('Raw Sales'!D410))</x:f>
        <x:v>Elias Irwin</x:v>
      </x:c>
      <x:c r="H410" s="84" t="str">
        <x:f>IF(TRIM('Raw Sales'!E410)="","Unknown",PROPER(TRIM('Raw Sales'!E410)))</x:f>
        <x:v>Small Business</x:v>
      </x:c>
      <x:c r="I410" s="84" t="str">
        <x:f>PROPER(TRIM('Raw Sales'!F410))</x:f>
        <x:v>Southeast</x:v>
      </x:c>
      <x:c r="J410" s="84" t="str">
        <x:f>PROPER(TRIM('Raw Sales'!G410))</x:f>
        <x:v>Charlotte</x:v>
      </x:c>
      <x:c r="K410" s="84" t="str">
        <x:f>PROPER(TRIM('Raw Sales'!H410))</x:f>
        <x:v>Online</x:v>
      </x:c>
      <x:c r="L410" s="84" t="str">
        <x:f>'Raw Sales'!I410</x:f>
        <x:v>CARE-003</x:v>
      </x:c>
      <x:c r="M410" s="84" t="str">
        <x:f>IFERROR(VLOOKUP(L410,'Reference Data'!$A$5:$F$40,2,FALSE),"Unknown Product")</x:f>
        <x:v>Facial Cleanser</x:v>
      </x:c>
      <x:c r="N410" s="84" t="str">
        <x:f>IFERROR(VLOOKUP(L410,'Reference Data'!$A$5:$F$40,3,FALSE),"Unknown")</x:f>
        <x:v>Personal Care</x:v>
      </x:c>
      <x:c r="O410" s="84" t="str">
        <x:f>IFERROR(VLOOKUP(L410,'Reference Data'!$A$5:$F$40,4,FALSE),"Unknown")</x:f>
        <x:v>Skin Care</x:v>
      </x:c>
      <x:c r="P410" s="92" t="n">
        <x:f>IFERROR(VLOOKUP(L410,'Reference Data'!$A$5:$F$40,5,FALSE),0)</x:f>
        <x:v>18</x:v>
      </x:c>
      <x:c r="Q410" s="92" t="n">
        <x:f>IFERROR(VLOOKUP(L410,'Reference Data'!$A$5:$F$40,6,FALSE),0)</x:f>
        <x:v>6</x:v>
      </x:c>
      <x:c r="R410" s="84" t="n">
        <x:f>'Raw Sales'!J410</x:f>
        <x:v>3</x:v>
      </x:c>
      <x:c r="S410" s="87" t="n">
        <x:f>'Raw Sales'!K410</x:f>
        <x:v>0</x:v>
      </x:c>
      <x:c r="T410" s="93" t="n">
        <x:f>P410*R410</x:f>
        <x:v>54</x:v>
      </x:c>
      <x:c r="U410" s="93" t="n">
        <x:f>T410*S410</x:f>
        <x:v>0</x:v>
      </x:c>
      <x:c r="V410" s="93" t="str">
        <x:f>PROPER(TRIM('Raw Sales'!L410))</x:f>
        <x:v>Completed</x:v>
      </x:c>
      <x:c r="W410" s="93" t="n">
        <x:f>IF(V410="Returned",0,T410-U410)</x:f>
        <x:v>54</x:v>
      </x:c>
      <x:c r="X410" s="93" t="n">
        <x:f>IF(V410="Returned",Q410*R410*10%,Q410*R410)</x:f>
        <x:v>18</x:v>
      </x:c>
      <x:c r="Y410" s="93" t="n">
        <x:f>W410-X410</x:f>
        <x:v>36</x:v>
      </x:c>
      <x:c r="Z410" s="94" t="n">
        <x:f>IFERROR(Y410/W410,0)</x:f>
        <x:v>0.6666666666666666</x:v>
      </x:c>
      <x:c r="AA410" s="84" t="str">
        <x:f>PROPER(TRIM('Raw Sales'!M410))</x:f>
        <x:v>Debit Card</x:v>
      </x:c>
      <x:c r="AB410" s="84" t="str">
        <x:f>PROPER(TRIM('Raw Sales'!N410))</x:f>
        <x:v>Liam Parker</x:v>
      </x:c>
      <x:c r="AC410" s="85" t="n">
        <x:f>'Raw Sales'!O410</x:f>
        <x:v>45452</x:v>
      </x:c>
      <x:c r="AD410" s="84" t="n">
        <x:f>AC410-B410</x:f>
        <x:v>4</x:v>
      </x:c>
      <x:c r="AE410" s="84" t="str">
        <x:f>IF(COUNTIF($A$5:A410,A410)&gt;1,"Duplicate","Keep")</x:f>
        <x:v>Keep</x:v>
      </x:c>
      <x:c r="AF410" s="84" t="str">
        <x:f>IF(OR(R410&lt;=0,AC410&lt;B410,H410="Unknown",M410="Unknown Product"),"Review","Valid")</x:f>
        <x:v>Valid</x:v>
      </x:c>
      <x:c r="AG410" s="84" t="n">
        <x:f>IF(AND(AE410="Keep",AF410="Valid"),1,0)</x:f>
        <x:v>1</x:v>
      </x:c>
      <x:c r="AH410" s="84" t="n">
        <x:f>IF(AND(AG410=1,OR('Dashboard'!$B$4="All",I410='Dashboard'!$B$4),OR('Dashboard'!$E$4="All",N410='Dashboard'!$E$4),OR('Dashboard'!$H$4="All",K410='Dashboard'!$H$4),OR('Dashboard'!$K$4="All",C410='Dashboard'!$K$4)),1,0)</x:f>
        <x:v>1</x:v>
      </x:c>
      <x:c r="AI410" s="84" t="n">
        <x:f>IF(AND(AG410=1,OR('Dashboard'!$B$4="All",I410='Dashboard'!$B$4),OR('Dashboard'!$E$4="All",N410='Dashboard'!$E$4),OR('Dashboard'!$H$4="All",K410='Dashboard'!$H$4)),1,0)</x:f>
        <x:v>1</x:v>
      </x:c>
    </x:row>
    <x:row r="411">
      <x:c r="A411" s="84" t="str">
        <x:f>'Raw Sales'!A411</x:f>
        <x:v>ORD-2024-01497</x:v>
      </x:c>
      <x:c r="B411" s="85" t="n">
        <x:f>'Raw Sales'!B411</x:f>
        <x:v>45448</x:v>
      </x:c>
      <x:c r="C411" s="84" t="n">
        <x:f>YEAR(B411)</x:f>
        <x:v>2024</x:v>
      </x:c>
      <x:c r="D411" s="91" t="n">
        <x:f>DATE(YEAR(B411),MONTH(B411),1)</x:f>
        <x:v>45444</x:v>
      </x:c>
      <x:c r="E411" s="84" t="str">
        <x:f>TEXT(B411,"mmm")</x:f>
        <x:v>Jun</x:v>
      </x:c>
      <x:c r="F411" s="84" t="str">
        <x:f>'Raw Sales'!C411</x:f>
        <x:v>CUST-0495</x:v>
      </x:c>
      <x:c r="G411" s="84" t="str">
        <x:f>PROPER(TRIM('Raw Sales'!D411))</x:f>
        <x:v>Victoria Walker</x:v>
      </x:c>
      <x:c r="H411" s="84" t="str">
        <x:f>IF(TRIM('Raw Sales'!E411)="","Unknown",PROPER(TRIM('Raw Sales'!E411)))</x:f>
        <x:v>Consumer</x:v>
      </x:c>
      <x:c r="I411" s="84" t="str">
        <x:f>PROPER(TRIM('Raw Sales'!F411))</x:f>
        <x:v>West</x:v>
      </x:c>
      <x:c r="J411" s="84" t="str">
        <x:f>PROPER(TRIM('Raw Sales'!G411))</x:f>
        <x:v>Denver</x:v>
      </x:c>
      <x:c r="K411" s="84" t="str">
        <x:f>PROPER(TRIM('Raw Sales'!H411))</x:f>
        <x:v>Retail Store</x:v>
      </x:c>
      <x:c r="L411" s="84" t="str">
        <x:f>'Raw Sales'!I411</x:f>
        <x:v>ELEC-005</x:v>
      </x:c>
      <x:c r="M411" s="84" t="str">
        <x:f>IFERROR(VLOOKUP(L411,'Reference Data'!$A$5:$F$40,2,FALSE),"Unknown Product")</x:f>
        <x:v>HD Webcam</x:v>
      </x:c>
      <x:c r="N411" s="84" t="str">
        <x:f>IFERROR(VLOOKUP(L411,'Reference Data'!$A$5:$F$40,3,FALSE),"Unknown")</x:f>
        <x:v>Electronics</x:v>
      </x:c>
      <x:c r="O411" s="84" t="str">
        <x:f>IFERROR(VLOOKUP(L411,'Reference Data'!$A$5:$F$40,4,FALSE),"Unknown")</x:f>
        <x:v>Computer Accessories</x:v>
      </x:c>
      <x:c r="P411" s="92" t="n">
        <x:f>IFERROR(VLOOKUP(L411,'Reference Data'!$A$5:$F$40,5,FALSE),0)</x:f>
        <x:v>79</x:v>
      </x:c>
      <x:c r="Q411" s="92" t="n">
        <x:f>IFERROR(VLOOKUP(L411,'Reference Data'!$A$5:$F$40,6,FALSE),0)</x:f>
        <x:v>37</x:v>
      </x:c>
      <x:c r="R411" s="84" t="n">
        <x:f>'Raw Sales'!J411</x:f>
        <x:v>2</x:v>
      </x:c>
      <x:c r="S411" s="87" t="n">
        <x:f>'Raw Sales'!K411</x:f>
        <x:v>0.15</x:v>
      </x:c>
      <x:c r="T411" s="93" t="n">
        <x:f>P411*R411</x:f>
        <x:v>158</x:v>
      </x:c>
      <x:c r="U411" s="93" t="n">
        <x:f>T411*S411</x:f>
        <x:v>23.7</x:v>
      </x:c>
      <x:c r="V411" s="93" t="str">
        <x:f>PROPER(TRIM('Raw Sales'!L411))</x:f>
        <x:v>Completed</x:v>
      </x:c>
      <x:c r="W411" s="93" t="n">
        <x:f>IF(V411="Returned",0,T411-U411)</x:f>
        <x:v>134.3</x:v>
      </x:c>
      <x:c r="X411" s="93" t="n">
        <x:f>IF(V411="Returned",Q411*R411*10%,Q411*R411)</x:f>
        <x:v>74</x:v>
      </x:c>
      <x:c r="Y411" s="93" t="n">
        <x:f>W411-X411</x:f>
        <x:v>60.30000000000001</x:v>
      </x:c>
      <x:c r="Z411" s="94" t="n">
        <x:f>IFERROR(Y411/W411,0)</x:f>
        <x:v>0.4489947877885332</x:v>
      </x:c>
      <x:c r="AA411" s="84" t="str">
        <x:f>PROPER(TRIM('Raw Sales'!M411))</x:f>
        <x:v>Credit Card</x:v>
      </x:c>
      <x:c r="AB411" s="84" t="str">
        <x:f>PROPER(TRIM('Raw Sales'!N411))</x:f>
        <x:v>Mia Chen</x:v>
      </x:c>
      <x:c r="AC411" s="85" t="n">
        <x:f>'Raw Sales'!O411</x:f>
        <x:v>45448</x:v>
      </x:c>
      <x:c r="AD411" s="84" t="n">
        <x:f>AC411-B411</x:f>
        <x:v>0</x:v>
      </x:c>
      <x:c r="AE411" s="84" t="str">
        <x:f>IF(COUNTIF($A$5:A411,A411)&gt;1,"Duplicate","Keep")</x:f>
        <x:v>Keep</x:v>
      </x:c>
      <x:c r="AF411" s="84" t="str">
        <x:f>IF(OR(R411&lt;=0,AC411&lt;B411,H411="Unknown",M411="Unknown Product"),"Review","Valid")</x:f>
        <x:v>Valid</x:v>
      </x:c>
      <x:c r="AG411" s="84" t="n">
        <x:f>IF(AND(AE411="Keep",AF411="Valid"),1,0)</x:f>
        <x:v>1</x:v>
      </x:c>
      <x:c r="AH411" s="84" t="n">
        <x:f>IF(AND(AG411=1,OR('Dashboard'!$B$4="All",I411='Dashboard'!$B$4),OR('Dashboard'!$E$4="All",N411='Dashboard'!$E$4),OR('Dashboard'!$H$4="All",K411='Dashboard'!$H$4),OR('Dashboard'!$K$4="All",C411='Dashboard'!$K$4)),1,0)</x:f>
        <x:v>1</x:v>
      </x:c>
      <x:c r="AI411" s="84" t="n">
        <x:f>IF(AND(AG411=1,OR('Dashboard'!$B$4="All",I411='Dashboard'!$B$4),OR('Dashboard'!$E$4="All",N411='Dashboard'!$E$4),OR('Dashboard'!$H$4="All",K411='Dashboard'!$H$4)),1,0)</x:f>
        <x:v>1</x:v>
      </x:c>
    </x:row>
    <x:row r="412">
      <x:c r="A412" s="84" t="str">
        <x:f>'Raw Sales'!A412</x:f>
        <x:v>ORD-2024-00136</x:v>
      </x:c>
      <x:c r="B412" s="85" t="n">
        <x:f>'Raw Sales'!B412</x:f>
        <x:v>45449</x:v>
      </x:c>
      <x:c r="C412" s="84" t="n">
        <x:f>YEAR(B412)</x:f>
        <x:v>2024</x:v>
      </x:c>
      <x:c r="D412" s="91" t="n">
        <x:f>DATE(YEAR(B412),MONTH(B412),1)</x:f>
        <x:v>45444</x:v>
      </x:c>
      <x:c r="E412" s="84" t="str">
        <x:f>TEXT(B412,"mmm")</x:f>
        <x:v>Jun</x:v>
      </x:c>
      <x:c r="F412" s="84" t="str">
        <x:f>'Raw Sales'!C412</x:f>
        <x:v>CUST-0298</x:v>
      </x:c>
      <x:c r="G412" s="84" t="str">
        <x:f>PROPER(TRIM('Raw Sales'!D412))</x:f>
        <x:v>Jasmine Roberts</x:v>
      </x:c>
      <x:c r="H412" s="84" t="str">
        <x:f>IF(TRIM('Raw Sales'!E412)="","Unknown",PROPER(TRIM('Raw Sales'!E412)))</x:f>
        <x:v>Consumer</x:v>
      </x:c>
      <x:c r="I412" s="84" t="str">
        <x:f>PROPER(TRIM('Raw Sales'!F412))</x:f>
        <x:v>West</x:v>
      </x:c>
      <x:c r="J412" s="84" t="str">
        <x:f>PROPER(TRIM('Raw Sales'!G412))</x:f>
        <x:v>Los Angeles</x:v>
      </x:c>
      <x:c r="K412" s="84" t="str">
        <x:f>PROPER(TRIM('Raw Sales'!H412))</x:f>
        <x:v>Online</x:v>
      </x:c>
      <x:c r="L412" s="84" t="str">
        <x:f>'Raw Sales'!I412</x:f>
        <x:v>OFFC-002</x:v>
      </x:c>
      <x:c r="M412" s="84" t="str">
        <x:f>IFERROR(VLOOKUP(L412,'Reference Data'!$A$5:$F$40,2,FALSE),"Unknown Product")</x:f>
        <x:v>Standing Desk</x:v>
      </x:c>
      <x:c r="N412" s="84" t="str">
        <x:f>IFERROR(VLOOKUP(L412,'Reference Data'!$A$5:$F$40,3,FALSE),"Unknown")</x:f>
        <x:v>Office</x:v>
      </x:c>
      <x:c r="O412" s="84" t="str">
        <x:f>IFERROR(VLOOKUP(L412,'Reference Data'!$A$5:$F$40,4,FALSE),"Unknown")</x:f>
        <x:v>Furniture</x:v>
      </x:c>
      <x:c r="P412" s="92" t="n">
        <x:f>IFERROR(VLOOKUP(L412,'Reference Data'!$A$5:$F$40,5,FALSE),0)</x:f>
        <x:v>399</x:v>
      </x:c>
      <x:c r="Q412" s="92" t="n">
        <x:f>IFERROR(VLOOKUP(L412,'Reference Data'!$A$5:$F$40,6,FALSE),0)</x:f>
        <x:v>235</x:v>
      </x:c>
      <x:c r="R412" s="84" t="n">
        <x:f>'Raw Sales'!J412</x:f>
        <x:v>2</x:v>
      </x:c>
      <x:c r="S412" s="87" t="n">
        <x:f>'Raw Sales'!K412</x:f>
        <x:v>0</x:v>
      </x:c>
      <x:c r="T412" s="93" t="n">
        <x:f>P412*R412</x:f>
        <x:v>798</x:v>
      </x:c>
      <x:c r="U412" s="93" t="n">
        <x:f>T412*S412</x:f>
        <x:v>0</x:v>
      </x:c>
      <x:c r="V412" s="93" t="str">
        <x:f>PROPER(TRIM('Raw Sales'!L412))</x:f>
        <x:v>Completed</x:v>
      </x:c>
      <x:c r="W412" s="93" t="n">
        <x:f>IF(V412="Returned",0,T412-U412)</x:f>
        <x:v>798</x:v>
      </x:c>
      <x:c r="X412" s="93" t="n">
        <x:f>IF(V412="Returned",Q412*R412*10%,Q412*R412)</x:f>
        <x:v>470</x:v>
      </x:c>
      <x:c r="Y412" s="93" t="n">
        <x:f>W412-X412</x:f>
        <x:v>328</x:v>
      </x:c>
      <x:c r="Z412" s="94" t="n">
        <x:f>IFERROR(Y412/W412,0)</x:f>
        <x:v>0.41102756892230574</x:v>
      </x:c>
      <x:c r="AA412" s="84" t="str">
        <x:f>PROPER(TRIM('Raw Sales'!M412))</x:f>
        <x:v>Credit Card</x:v>
      </x:c>
      <x:c r="AB412" s="84" t="str">
        <x:f>PROPER(TRIM('Raw Sales'!N412))</x:f>
        <x:v>Mia Chen</x:v>
      </x:c>
      <x:c r="AC412" s="85" t="n">
        <x:f>'Raw Sales'!O412</x:f>
        <x:v>45453</x:v>
      </x:c>
      <x:c r="AD412" s="84" t="n">
        <x:f>AC412-B412</x:f>
        <x:v>4</x:v>
      </x:c>
      <x:c r="AE412" s="84" t="str">
        <x:f>IF(COUNTIF($A$5:A412,A412)&gt;1,"Duplicate","Keep")</x:f>
        <x:v>Keep</x:v>
      </x:c>
      <x:c r="AF412" s="84" t="str">
        <x:f>IF(OR(R412&lt;=0,AC412&lt;B412,H412="Unknown",M412="Unknown Product"),"Review","Valid")</x:f>
        <x:v>Valid</x:v>
      </x:c>
      <x:c r="AG412" s="84" t="n">
        <x:f>IF(AND(AE412="Keep",AF412="Valid"),1,0)</x:f>
        <x:v>1</x:v>
      </x:c>
      <x:c r="AH412" s="84" t="n">
        <x:f>IF(AND(AG412=1,OR('Dashboard'!$B$4="All",I412='Dashboard'!$B$4),OR('Dashboard'!$E$4="All",N412='Dashboard'!$E$4),OR('Dashboard'!$H$4="All",K412='Dashboard'!$H$4),OR('Dashboard'!$K$4="All",C412='Dashboard'!$K$4)),1,0)</x:f>
        <x:v>1</x:v>
      </x:c>
      <x:c r="AI412" s="84" t="n">
        <x:f>IF(AND(AG412=1,OR('Dashboard'!$B$4="All",I412='Dashboard'!$B$4),OR('Dashboard'!$E$4="All",N412='Dashboard'!$E$4),OR('Dashboard'!$H$4="All",K412='Dashboard'!$H$4)),1,0)</x:f>
        <x:v>1</x:v>
      </x:c>
    </x:row>
    <x:row r="413">
      <x:c r="A413" s="84" t="str">
        <x:f>'Raw Sales'!A413</x:f>
        <x:v>ORD-2024-00279</x:v>
      </x:c>
      <x:c r="B413" s="85" t="n">
        <x:f>'Raw Sales'!B413</x:f>
        <x:v>45449</x:v>
      </x:c>
      <x:c r="C413" s="84" t="n">
        <x:f>YEAR(B413)</x:f>
        <x:v>2024</x:v>
      </x:c>
      <x:c r="D413" s="91" t="n">
        <x:f>DATE(YEAR(B413),MONTH(B413),1)</x:f>
        <x:v>45444</x:v>
      </x:c>
      <x:c r="E413" s="84" t="str">
        <x:f>TEXT(B413,"mmm")</x:f>
        <x:v>Jun</x:v>
      </x:c>
      <x:c r="F413" s="84" t="str">
        <x:f>'Raw Sales'!C413</x:f>
        <x:v>CUST-0339</x:v>
      </x:c>
      <x:c r="G413" s="84" t="str">
        <x:f>PROPER(TRIM('Raw Sales'!D413))</x:f>
        <x:v>Marcus Walker</x:v>
      </x:c>
      <x:c r="H413" s="84" t="str">
        <x:f>IF(TRIM('Raw Sales'!E413)="","Unknown",PROPER(TRIM('Raw Sales'!E413)))</x:f>
        <x:v>Consumer</x:v>
      </x:c>
      <x:c r="I413" s="84" t="str">
        <x:f>PROPER(TRIM('Raw Sales'!F413))</x:f>
        <x:v>Midwest</x:v>
      </x:c>
      <x:c r="J413" s="84" t="str">
        <x:f>PROPER(TRIM('Raw Sales'!G413))</x:f>
        <x:v>Columbus</x:v>
      </x:c>
      <x:c r="K413" s="84" t="str">
        <x:f>PROPER(TRIM('Raw Sales'!H413))</x:f>
        <x:v>Retail Store</x:v>
      </x:c>
      <x:c r="L413" s="84" t="str">
        <x:f>'Raw Sales'!I413</x:f>
        <x:v>ELEC-003</x:v>
      </x:c>
      <x:c r="M413" s="84" t="str">
        <x:f>IFERROR(VLOOKUP(L413,'Reference Data'!$A$5:$F$40,2,FALSE),"Unknown Product")</x:f>
        <x:v>Bluetooth Speaker</x:v>
      </x:c>
      <x:c r="N413" s="84" t="str">
        <x:f>IFERROR(VLOOKUP(L413,'Reference Data'!$A$5:$F$40,3,FALSE),"Unknown")</x:f>
        <x:v>Electronics</x:v>
      </x:c>
      <x:c r="O413" s="84" t="str">
        <x:f>IFERROR(VLOOKUP(L413,'Reference Data'!$A$5:$F$40,4,FALSE),"Unknown")</x:f>
        <x:v>Audio</x:v>
      </x:c>
      <x:c r="P413" s="92" t="n">
        <x:f>IFERROR(VLOOKUP(L413,'Reference Data'!$A$5:$F$40,5,FALSE),0)</x:f>
        <x:v>89</x:v>
      </x:c>
      <x:c r="Q413" s="92" t="n">
        <x:f>IFERROR(VLOOKUP(L413,'Reference Data'!$A$5:$F$40,6,FALSE),0)</x:f>
        <x:v>44</x:v>
      </x:c>
      <x:c r="R413" s="84" t="n">
        <x:f>'Raw Sales'!J413</x:f>
        <x:v>1</x:v>
      </x:c>
      <x:c r="S413" s="87" t="n">
        <x:f>'Raw Sales'!K413</x:f>
        <x:v>0.15</x:v>
      </x:c>
      <x:c r="T413" s="93" t="n">
        <x:f>P413*R413</x:f>
        <x:v>89</x:v>
      </x:c>
      <x:c r="U413" s="93" t="n">
        <x:f>T413*S413</x:f>
        <x:v>13.35</x:v>
      </x:c>
      <x:c r="V413" s="93" t="str">
        <x:f>PROPER(TRIM('Raw Sales'!L413))</x:f>
        <x:v>Completed</x:v>
      </x:c>
      <x:c r="W413" s="93" t="n">
        <x:f>IF(V413="Returned",0,T413-U413)</x:f>
        <x:v>75.65</x:v>
      </x:c>
      <x:c r="X413" s="93" t="n">
        <x:f>IF(V413="Returned",Q413*R413*10%,Q413*R413)</x:f>
        <x:v>44</x:v>
      </x:c>
      <x:c r="Y413" s="93" t="n">
        <x:f>W413-X413</x:f>
        <x:v>31.650000000000006</x:v>
      </x:c>
      <x:c r="Z413" s="94" t="n">
        <x:f>IFERROR(Y413/W413,0)</x:f>
        <x:v>0.4183740912095176</x:v>
      </x:c>
      <x:c r="AA413" s="84" t="str">
        <x:f>PROPER(TRIM('Raw Sales'!M413))</x:f>
        <x:v>Credit Card</x:v>
      </x:c>
      <x:c r="AB413" s="84" t="str">
        <x:f>PROPER(TRIM('Raw Sales'!N413))</x:f>
        <x:v>Zoe Turner</x:v>
      </x:c>
      <x:c r="AC413" s="85" t="n">
        <x:f>'Raw Sales'!O413</x:f>
        <x:v>45449</x:v>
      </x:c>
      <x:c r="AD413" s="84" t="n">
        <x:f>AC413-B413</x:f>
        <x:v>0</x:v>
      </x:c>
      <x:c r="AE413" s="84" t="str">
        <x:f>IF(COUNTIF($A$5:A413,A413)&gt;1,"Duplicate","Keep")</x:f>
        <x:v>Keep</x:v>
      </x:c>
      <x:c r="AF413" s="84" t="str">
        <x:f>IF(OR(R413&lt;=0,AC413&lt;B413,H413="Unknown",M413="Unknown Product"),"Review","Valid")</x:f>
        <x:v>Valid</x:v>
      </x:c>
      <x:c r="AG413" s="84" t="n">
        <x:f>IF(AND(AE413="Keep",AF413="Valid"),1,0)</x:f>
        <x:v>1</x:v>
      </x:c>
      <x:c r="AH413" s="84" t="n">
        <x:f>IF(AND(AG413=1,OR('Dashboard'!$B$4="All",I413='Dashboard'!$B$4),OR('Dashboard'!$E$4="All",N413='Dashboard'!$E$4),OR('Dashboard'!$H$4="All",K413='Dashboard'!$H$4),OR('Dashboard'!$K$4="All",C413='Dashboard'!$K$4)),1,0)</x:f>
        <x:v>1</x:v>
      </x:c>
      <x:c r="AI413" s="84" t="n">
        <x:f>IF(AND(AG413=1,OR('Dashboard'!$B$4="All",I413='Dashboard'!$B$4),OR('Dashboard'!$E$4="All",N413='Dashboard'!$E$4),OR('Dashboard'!$H$4="All",K413='Dashboard'!$H$4)),1,0)</x:f>
        <x:v>1</x:v>
      </x:c>
    </x:row>
    <x:row r="414">
      <x:c r="A414" s="84" t="str">
        <x:f>'Raw Sales'!A414</x:f>
        <x:v>ORD-2024-00519</x:v>
      </x:c>
      <x:c r="B414" s="85" t="n">
        <x:f>'Raw Sales'!B414</x:f>
        <x:v>45449</x:v>
      </x:c>
      <x:c r="C414" s="84" t="n">
        <x:f>YEAR(B414)</x:f>
        <x:v>2024</x:v>
      </x:c>
      <x:c r="D414" s="91" t="n">
        <x:f>DATE(YEAR(B414),MONTH(B414),1)</x:f>
        <x:v>45444</x:v>
      </x:c>
      <x:c r="E414" s="84" t="str">
        <x:f>TEXT(B414,"mmm")</x:f>
        <x:v>Jun</x:v>
      </x:c>
      <x:c r="F414" s="84" t="str">
        <x:f>'Raw Sales'!C414</x:f>
        <x:v>CUST-0220</x:v>
      </x:c>
      <x:c r="G414" s="84" t="str">
        <x:f>PROPER(TRIM('Raw Sales'!D414))</x:f>
        <x:v>Isaac Smith</x:v>
      </x:c>
      <x:c r="H414" s="84" t="str">
        <x:f>IF(TRIM('Raw Sales'!E414)="","Unknown",PROPER(TRIM('Raw Sales'!E414)))</x:f>
        <x:v>Consumer</x:v>
      </x:c>
      <x:c r="I414" s="84" t="str">
        <x:f>PROPER(TRIM('Raw Sales'!F414))</x:f>
        <x:v>Midwest</x:v>
      </x:c>
      <x:c r="J414" s="84" t="str">
        <x:f>PROPER(TRIM('Raw Sales'!G414))</x:f>
        <x:v>Detroit</x:v>
      </x:c>
      <x:c r="K414" s="84" t="str">
        <x:f>PROPER(TRIM('Raw Sales'!H414))</x:f>
        <x:v>Online</x:v>
      </x:c>
      <x:c r="L414" s="84" t="str">
        <x:f>'Raw Sales'!I414</x:f>
        <x:v>ELEC-006</x:v>
      </x:c>
      <x:c r="M414" s="84" t="str">
        <x:f>IFERROR(VLOOKUP(L414,'Reference Data'!$A$5:$F$40,2,FALSE),"Unknown Product")</x:f>
        <x:v>Portable SSD</x:v>
      </x:c>
      <x:c r="N414" s="84" t="str">
        <x:f>IFERROR(VLOOKUP(L414,'Reference Data'!$A$5:$F$40,3,FALSE),"Unknown")</x:f>
        <x:v>Electronics</x:v>
      </x:c>
      <x:c r="O414" s="84" t="str">
        <x:f>IFERROR(VLOOKUP(L414,'Reference Data'!$A$5:$F$40,4,FALSE),"Unknown")</x:f>
        <x:v>Storage</x:v>
      </x:c>
      <x:c r="P414" s="92" t="n">
        <x:f>IFERROR(VLOOKUP(L414,'Reference Data'!$A$5:$F$40,5,FALSE),0)</x:f>
        <x:v>129</x:v>
      </x:c>
      <x:c r="Q414" s="92" t="n">
        <x:f>IFERROR(VLOOKUP(L414,'Reference Data'!$A$5:$F$40,6,FALSE),0)</x:f>
        <x:v>75</x:v>
      </x:c>
      <x:c r="R414" s="84" t="n">
        <x:f>'Raw Sales'!J414</x:f>
        <x:v>3</x:v>
      </x:c>
      <x:c r="S414" s="87" t="n">
        <x:f>'Raw Sales'!K414</x:f>
        <x:v>0</x:v>
      </x:c>
      <x:c r="T414" s="93" t="n">
        <x:f>P414*R414</x:f>
        <x:v>387</x:v>
      </x:c>
      <x:c r="U414" s="93" t="n">
        <x:f>T414*S414</x:f>
        <x:v>0</x:v>
      </x:c>
      <x:c r="V414" s="93" t="str">
        <x:f>PROPER(TRIM('Raw Sales'!L414))</x:f>
        <x:v>Completed</x:v>
      </x:c>
      <x:c r="W414" s="93" t="n">
        <x:f>IF(V414="Returned",0,T414-U414)</x:f>
        <x:v>387</x:v>
      </x:c>
      <x:c r="X414" s="93" t="n">
        <x:f>IF(V414="Returned",Q414*R414*10%,Q414*R414)</x:f>
        <x:v>225</x:v>
      </x:c>
      <x:c r="Y414" s="93" t="n">
        <x:f>W414-X414</x:f>
        <x:v>162</x:v>
      </x:c>
      <x:c r="Z414" s="94" t="n">
        <x:f>IFERROR(Y414/W414,0)</x:f>
        <x:v>0.4186046511627907</x:v>
      </x:c>
      <x:c r="AA414" s="84" t="str">
        <x:f>PROPER(TRIM('Raw Sales'!M414))</x:f>
        <x:v>Debit Card</x:v>
      </x:c>
      <x:c r="AB414" s="84" t="str">
        <x:f>PROPER(TRIM('Raw Sales'!N414))</x:f>
        <x:v>Emma Hayes</x:v>
      </x:c>
      <x:c r="AC414" s="85" t="n">
        <x:f>'Raw Sales'!O414</x:f>
        <x:v>45453</x:v>
      </x:c>
      <x:c r="AD414" s="84" t="n">
        <x:f>AC414-B414</x:f>
        <x:v>4</x:v>
      </x:c>
      <x:c r="AE414" s="84" t="str">
        <x:f>IF(COUNTIF($A$5:A414,A414)&gt;1,"Duplicate","Keep")</x:f>
        <x:v>Keep</x:v>
      </x:c>
      <x:c r="AF414" s="84" t="str">
        <x:f>IF(OR(R414&lt;=0,AC414&lt;B414,H414="Unknown",M414="Unknown Product"),"Review","Valid")</x:f>
        <x:v>Valid</x:v>
      </x:c>
      <x:c r="AG414" s="84" t="n">
        <x:f>IF(AND(AE414="Keep",AF414="Valid"),1,0)</x:f>
        <x:v>1</x:v>
      </x:c>
      <x:c r="AH414" s="84" t="n">
        <x:f>IF(AND(AG414=1,OR('Dashboard'!$B$4="All",I414='Dashboard'!$B$4),OR('Dashboard'!$E$4="All",N414='Dashboard'!$E$4),OR('Dashboard'!$H$4="All",K414='Dashboard'!$H$4),OR('Dashboard'!$K$4="All",C414='Dashboard'!$K$4)),1,0)</x:f>
        <x:v>1</x:v>
      </x:c>
      <x:c r="AI414" s="84" t="n">
        <x:f>IF(AND(AG414=1,OR('Dashboard'!$B$4="All",I414='Dashboard'!$B$4),OR('Dashboard'!$E$4="All",N414='Dashboard'!$E$4),OR('Dashboard'!$H$4="All",K414='Dashboard'!$H$4)),1,0)</x:f>
        <x:v>1</x:v>
      </x:c>
    </x:row>
    <x:row r="415">
      <x:c r="A415" s="84" t="str">
        <x:f>'Raw Sales'!A415</x:f>
        <x:v>ORD-2024-00693</x:v>
      </x:c>
      <x:c r="B415" s="85" t="n">
        <x:f>'Raw Sales'!B415</x:f>
        <x:v>45449</x:v>
      </x:c>
      <x:c r="C415" s="84" t="n">
        <x:f>YEAR(B415)</x:f>
        <x:v>2024</x:v>
      </x:c>
      <x:c r="D415" s="91" t="n">
        <x:f>DATE(YEAR(B415),MONTH(B415),1)</x:f>
        <x:v>45444</x:v>
      </x:c>
      <x:c r="E415" s="84" t="str">
        <x:f>TEXT(B415,"mmm")</x:f>
        <x:v>Jun</x:v>
      </x:c>
      <x:c r="F415" s="84" t="str">
        <x:f>'Raw Sales'!C415</x:f>
        <x:v>CUST-0596</x:v>
      </x:c>
      <x:c r="G415" s="84" t="str">
        <x:f>PROPER(TRIM('Raw Sales'!D415))</x:f>
        <x:v>Grace Khan</x:v>
      </x:c>
      <x:c r="H415" s="84" t="str">
        <x:f>IF(TRIM('Raw Sales'!E415)="","Unknown",PROPER(TRIM('Raw Sales'!E415)))</x:f>
        <x:v>Consumer</x:v>
      </x:c>
      <x:c r="I415" s="84" t="str">
        <x:f>PROPER(TRIM('Raw Sales'!F415))</x:f>
        <x:v>West</x:v>
      </x:c>
      <x:c r="J415" s="84" t="str">
        <x:f>PROPER(TRIM('Raw Sales'!G415))</x:f>
        <x:v>Denver</x:v>
      </x:c>
      <x:c r="K415" s="84" t="str">
        <x:f>PROPER(TRIM('Raw Sales'!H415))</x:f>
        <x:v>Retail Store</x:v>
      </x:c>
      <x:c r="L415" s="84" t="str">
        <x:f>'Raw Sales'!I415</x:f>
        <x:v>OFFC-002</x:v>
      </x:c>
      <x:c r="M415" s="84" t="str">
        <x:f>IFERROR(VLOOKUP(L415,'Reference Data'!$A$5:$F$40,2,FALSE),"Unknown Product")</x:f>
        <x:v>Standing Desk</x:v>
      </x:c>
      <x:c r="N415" s="84" t="str">
        <x:f>IFERROR(VLOOKUP(L415,'Reference Data'!$A$5:$F$40,3,FALSE),"Unknown")</x:f>
        <x:v>Office</x:v>
      </x:c>
      <x:c r="O415" s="84" t="str">
        <x:f>IFERROR(VLOOKUP(L415,'Reference Data'!$A$5:$F$40,4,FALSE),"Unknown")</x:f>
        <x:v>Furniture</x:v>
      </x:c>
      <x:c r="P415" s="92" t="n">
        <x:f>IFERROR(VLOOKUP(L415,'Reference Data'!$A$5:$F$40,5,FALSE),0)</x:f>
        <x:v>399</x:v>
      </x:c>
      <x:c r="Q415" s="92" t="n">
        <x:f>IFERROR(VLOOKUP(L415,'Reference Data'!$A$5:$F$40,6,FALSE),0)</x:f>
        <x:v>235</x:v>
      </x:c>
      <x:c r="R415" s="84" t="n">
        <x:f>'Raw Sales'!J415</x:f>
        <x:v>1</x:v>
      </x:c>
      <x:c r="S415" s="87" t="n">
        <x:f>'Raw Sales'!K415</x:f>
        <x:v>0</x:v>
      </x:c>
      <x:c r="T415" s="93" t="n">
        <x:f>P415*R415</x:f>
        <x:v>399</x:v>
      </x:c>
      <x:c r="U415" s="93" t="n">
        <x:f>T415*S415</x:f>
        <x:v>0</x:v>
      </x:c>
      <x:c r="V415" s="93" t="str">
        <x:f>PROPER(TRIM('Raw Sales'!L415))</x:f>
        <x:v>Completed</x:v>
      </x:c>
      <x:c r="W415" s="93" t="n">
        <x:f>IF(V415="Returned",0,T415-U415)</x:f>
        <x:v>399</x:v>
      </x:c>
      <x:c r="X415" s="93" t="n">
        <x:f>IF(V415="Returned",Q415*R415*10%,Q415*R415)</x:f>
        <x:v>235</x:v>
      </x:c>
      <x:c r="Y415" s="93" t="n">
        <x:f>W415-X415</x:f>
        <x:v>164</x:v>
      </x:c>
      <x:c r="Z415" s="94" t="n">
        <x:f>IFERROR(Y415/W415,0)</x:f>
        <x:v>0.41102756892230574</x:v>
      </x:c>
      <x:c r="AA415" s="84" t="str">
        <x:f>PROPER(TRIM('Raw Sales'!M415))</x:f>
        <x:v>Credit Card</x:v>
      </x:c>
      <x:c r="AB415" s="84" t="str">
        <x:f>PROPER(TRIM('Raw Sales'!N415))</x:f>
        <x:v>Mia Chen</x:v>
      </x:c>
      <x:c r="AC415" s="85" t="n">
        <x:f>'Raw Sales'!O415</x:f>
        <x:v>45449</x:v>
      </x:c>
      <x:c r="AD415" s="84" t="n">
        <x:f>AC415-B415</x:f>
        <x:v>0</x:v>
      </x:c>
      <x:c r="AE415" s="84" t="str">
        <x:f>IF(COUNTIF($A$5:A415,A415)&gt;1,"Duplicate","Keep")</x:f>
        <x:v>Keep</x:v>
      </x:c>
      <x:c r="AF415" s="84" t="str">
        <x:f>IF(OR(R415&lt;=0,AC415&lt;B415,H415="Unknown",M415="Unknown Product"),"Review","Valid")</x:f>
        <x:v>Valid</x:v>
      </x:c>
      <x:c r="AG415" s="84" t="n">
        <x:f>IF(AND(AE415="Keep",AF415="Valid"),1,0)</x:f>
        <x:v>1</x:v>
      </x:c>
      <x:c r="AH415" s="84" t="n">
        <x:f>IF(AND(AG415=1,OR('Dashboard'!$B$4="All",I415='Dashboard'!$B$4),OR('Dashboard'!$E$4="All",N415='Dashboard'!$E$4),OR('Dashboard'!$H$4="All",K415='Dashboard'!$H$4),OR('Dashboard'!$K$4="All",C415='Dashboard'!$K$4)),1,0)</x:f>
        <x:v>1</x:v>
      </x:c>
      <x:c r="AI415" s="84" t="n">
        <x:f>IF(AND(AG415=1,OR('Dashboard'!$B$4="All",I415='Dashboard'!$B$4),OR('Dashboard'!$E$4="All",N415='Dashboard'!$E$4),OR('Dashboard'!$H$4="All",K415='Dashboard'!$H$4)),1,0)</x:f>
        <x:v>1</x:v>
      </x:c>
    </x:row>
    <x:row r="416">
      <x:c r="A416" s="84" t="str">
        <x:f>'Raw Sales'!A416</x:f>
        <x:v>ORD-2024-01094</x:v>
      </x:c>
      <x:c r="B416" s="85" t="n">
        <x:f>'Raw Sales'!B416</x:f>
        <x:v>45449</x:v>
      </x:c>
      <x:c r="C416" s="84" t="n">
        <x:f>YEAR(B416)</x:f>
        <x:v>2024</x:v>
      </x:c>
      <x:c r="D416" s="91" t="n">
        <x:f>DATE(YEAR(B416),MONTH(B416),1)</x:f>
        <x:v>45444</x:v>
      </x:c>
      <x:c r="E416" s="84" t="str">
        <x:f>TEXT(B416,"mmm")</x:f>
        <x:v>Jun</x:v>
      </x:c>
      <x:c r="F416" s="84" t="str">
        <x:f>'Raw Sales'!C416</x:f>
        <x:v>CUST-0174</x:v>
      </x:c>
      <x:c r="G416" s="84" t="str">
        <x:f>PROPER(TRIM('Raw Sales'!D416))</x:f>
        <x:v>Victoria Walker</x:v>
      </x:c>
      <x:c r="H416" s="84" t="str">
        <x:f>IF(TRIM('Raw Sales'!E416)="","Unknown",PROPER(TRIM('Raw Sales'!E416)))</x:f>
        <x:v>Small Business</x:v>
      </x:c>
      <x:c r="I416" s="84" t="str">
        <x:f>PROPER(TRIM('Raw Sales'!F416))</x:f>
        <x:v>Northeast</x:v>
      </x:c>
      <x:c r="J416" s="84" t="str">
        <x:f>PROPER(TRIM('Raw Sales'!G416))</x:f>
        <x:v>New York</x:v>
      </x:c>
      <x:c r="K416" s="84" t="str">
        <x:f>PROPER(TRIM('Raw Sales'!H416))</x:f>
        <x:v>Online</x:v>
      </x:c>
      <x:c r="L416" s="84" t="str">
        <x:f>'Raw Sales'!I416</x:f>
        <x:v>ELEC-006</x:v>
      </x:c>
      <x:c r="M416" s="84" t="str">
        <x:f>IFERROR(VLOOKUP(L416,'Reference Data'!$A$5:$F$40,2,FALSE),"Unknown Product")</x:f>
        <x:v>Portable SSD</x:v>
      </x:c>
      <x:c r="N416" s="84" t="str">
        <x:f>IFERROR(VLOOKUP(L416,'Reference Data'!$A$5:$F$40,3,FALSE),"Unknown")</x:f>
        <x:v>Electronics</x:v>
      </x:c>
      <x:c r="O416" s="84" t="str">
        <x:f>IFERROR(VLOOKUP(L416,'Reference Data'!$A$5:$F$40,4,FALSE),"Unknown")</x:f>
        <x:v>Storage</x:v>
      </x:c>
      <x:c r="P416" s="92" t="n">
        <x:f>IFERROR(VLOOKUP(L416,'Reference Data'!$A$5:$F$40,5,FALSE),0)</x:f>
        <x:v>129</x:v>
      </x:c>
      <x:c r="Q416" s="92" t="n">
        <x:f>IFERROR(VLOOKUP(L416,'Reference Data'!$A$5:$F$40,6,FALSE),0)</x:f>
        <x:v>75</x:v>
      </x:c>
      <x:c r="R416" s="84" t="n">
        <x:f>'Raw Sales'!J416</x:f>
        <x:v>1</x:v>
      </x:c>
      <x:c r="S416" s="87" t="n">
        <x:f>'Raw Sales'!K416</x:f>
        <x:v>0.1</x:v>
      </x:c>
      <x:c r="T416" s="93" t="n">
        <x:f>P416*R416</x:f>
        <x:v>129</x:v>
      </x:c>
      <x:c r="U416" s="93" t="n">
        <x:f>T416*S416</x:f>
        <x:v>12.9</x:v>
      </x:c>
      <x:c r="V416" s="93" t="str">
        <x:f>PROPER(TRIM('Raw Sales'!L416))</x:f>
        <x:v>Completed</x:v>
      </x:c>
      <x:c r="W416" s="93" t="n">
        <x:f>IF(V416="Returned",0,T416-U416)</x:f>
        <x:v>116.1</x:v>
      </x:c>
      <x:c r="X416" s="93" t="n">
        <x:f>IF(V416="Returned",Q416*R416*10%,Q416*R416)</x:f>
        <x:v>75</x:v>
      </x:c>
      <x:c r="Y416" s="93" t="n">
        <x:f>W416-X416</x:f>
        <x:v>41.099999999999994</x:v>
      </x:c>
      <x:c r="Z416" s="94" t="n">
        <x:f>IFERROR(Y416/W416,0)</x:f>
        <x:v>0.3540051679586563</x:v>
      </x:c>
      <x:c r="AA416" s="84" t="str">
        <x:f>PROPER(TRIM('Raw Sales'!M416))</x:f>
        <x:v>Credit Card</x:v>
      </x:c>
      <x:c r="AB416" s="84" t="str">
        <x:f>PROPER(TRIM('Raw Sales'!N416))</x:f>
        <x:v>Ethan Cole</x:v>
      </x:c>
      <x:c r="AC416" s="85" t="n">
        <x:f>'Raw Sales'!O416</x:f>
        <x:v>45451</x:v>
      </x:c>
      <x:c r="AD416" s="84" t="n">
        <x:f>AC416-B416</x:f>
        <x:v>2</x:v>
      </x:c>
      <x:c r="AE416" s="84" t="str">
        <x:f>IF(COUNTIF($A$5:A416,A416)&gt;1,"Duplicate","Keep")</x:f>
        <x:v>Keep</x:v>
      </x:c>
      <x:c r="AF416" s="84" t="str">
        <x:f>IF(OR(R416&lt;=0,AC416&lt;B416,H416="Unknown",M416="Unknown Product"),"Review","Valid")</x:f>
        <x:v>Valid</x:v>
      </x:c>
      <x:c r="AG416" s="84" t="n">
        <x:f>IF(AND(AE416="Keep",AF416="Valid"),1,0)</x:f>
        <x:v>1</x:v>
      </x:c>
      <x:c r="AH416" s="84" t="n">
        <x:f>IF(AND(AG416=1,OR('Dashboard'!$B$4="All",I416='Dashboard'!$B$4),OR('Dashboard'!$E$4="All",N416='Dashboard'!$E$4),OR('Dashboard'!$H$4="All",K416='Dashboard'!$H$4),OR('Dashboard'!$K$4="All",C416='Dashboard'!$K$4)),1,0)</x:f>
        <x:v>1</x:v>
      </x:c>
      <x:c r="AI416" s="84" t="n">
        <x:f>IF(AND(AG416=1,OR('Dashboard'!$B$4="All",I416='Dashboard'!$B$4),OR('Dashboard'!$E$4="All",N416='Dashboard'!$E$4),OR('Dashboard'!$H$4="All",K416='Dashboard'!$H$4)),1,0)</x:f>
        <x:v>1</x:v>
      </x:c>
    </x:row>
    <x:row r="417">
      <x:c r="A417" s="84" t="str">
        <x:f>'Raw Sales'!A417</x:f>
        <x:v>ORD-2024-01411</x:v>
      </x:c>
      <x:c r="B417" s="85" t="n">
        <x:f>'Raw Sales'!B417</x:f>
        <x:v>45449</x:v>
      </x:c>
      <x:c r="C417" s="84" t="n">
        <x:f>YEAR(B417)</x:f>
        <x:v>2024</x:v>
      </x:c>
      <x:c r="D417" s="91" t="n">
        <x:f>DATE(YEAR(B417),MONTH(B417),1)</x:f>
        <x:v>45444</x:v>
      </x:c>
      <x:c r="E417" s="84" t="str">
        <x:f>TEXT(B417,"mmm")</x:f>
        <x:v>Jun</x:v>
      </x:c>
      <x:c r="F417" s="84" t="str">
        <x:f>'Raw Sales'!C417</x:f>
        <x:v>CUST-0260</x:v>
      </x:c>
      <x:c r="G417" s="84" t="str">
        <x:f>PROPER(TRIM('Raw Sales'!D417))</x:f>
        <x:v>Caleb Ortiz</x:v>
      </x:c>
      <x:c r="H417" s="84" t="str">
        <x:f>IF(TRIM('Raw Sales'!E417)="","Unknown",PROPER(TRIM('Raw Sales'!E417)))</x:f>
        <x:v>Corporate</x:v>
      </x:c>
      <x:c r="I417" s="84" t="str">
        <x:f>PROPER(TRIM('Raw Sales'!F417))</x:f>
        <x:v>West</x:v>
      </x:c>
      <x:c r="J417" s="84" t="str">
        <x:f>PROPER(TRIM('Raw Sales'!G417))</x:f>
        <x:v>Los Angeles</x:v>
      </x:c>
      <x:c r="K417" s="84" t="str">
        <x:f>PROPER(TRIM('Raw Sales'!H417))</x:f>
        <x:v>Retail Store</x:v>
      </x:c>
      <x:c r="L417" s="84" t="str">
        <x:f>'Raw Sales'!I417</x:f>
        <x:v>ELEC-004</x:v>
      </x:c>
      <x:c r="M417" s="84" t="str">
        <x:f>IFERROR(VLOOKUP(L417,'Reference Data'!$A$5:$F$40,2,FALSE),"Unknown Product")</x:f>
        <x:v>Power Bank</x:v>
      </x:c>
      <x:c r="N417" s="84" t="str">
        <x:f>IFERROR(VLOOKUP(L417,'Reference Data'!$A$5:$F$40,3,FALSE),"Unknown")</x:f>
        <x:v>Electronics</x:v>
      </x:c>
      <x:c r="O417" s="84" t="str">
        <x:f>IFERROR(VLOOKUP(L417,'Reference Data'!$A$5:$F$40,4,FALSE),"Unknown")</x:f>
        <x:v>Mobile Accessories</x:v>
      </x:c>
      <x:c r="P417" s="92" t="n">
        <x:f>IFERROR(VLOOKUP(L417,'Reference Data'!$A$5:$F$40,5,FALSE),0)</x:f>
        <x:v>39</x:v>
      </x:c>
      <x:c r="Q417" s="92" t="n">
        <x:f>IFERROR(VLOOKUP(L417,'Reference Data'!$A$5:$F$40,6,FALSE),0)</x:f>
        <x:v>18</x:v>
      </x:c>
      <x:c r="R417" s="84" t="n">
        <x:f>'Raw Sales'!J417</x:f>
        <x:v>6</x:v>
      </x:c>
      <x:c r="S417" s="87" t="n">
        <x:f>'Raw Sales'!K417</x:f>
        <x:v>0.1</x:v>
      </x:c>
      <x:c r="T417" s="93" t="n">
        <x:f>P417*R417</x:f>
        <x:v>234</x:v>
      </x:c>
      <x:c r="U417" s="93" t="n">
        <x:f>T417*S417</x:f>
        <x:v>23.400000000000002</x:v>
      </x:c>
      <x:c r="V417" s="93" t="str">
        <x:f>PROPER(TRIM('Raw Sales'!L417))</x:f>
        <x:v>Completed</x:v>
      </x:c>
      <x:c r="W417" s="93" t="n">
        <x:f>IF(V417="Returned",0,T417-U417)</x:f>
        <x:v>210.6</x:v>
      </x:c>
      <x:c r="X417" s="93" t="n">
        <x:f>IF(V417="Returned",Q417*R417*10%,Q417*R417)</x:f>
        <x:v>108</x:v>
      </x:c>
      <x:c r="Y417" s="93" t="n">
        <x:f>W417-X417</x:f>
        <x:v>102.6</x:v>
      </x:c>
      <x:c r="Z417" s="94" t="n">
        <x:f>IFERROR(Y417/W417,0)</x:f>
        <x:v>0.48717948717948717</x:v>
      </x:c>
      <x:c r="AA417" s="84" t="str">
        <x:f>PROPER(TRIM('Raw Sales'!M417))</x:f>
        <x:v>Cash</x:v>
      </x:c>
      <x:c r="AB417" s="84" t="str">
        <x:f>PROPER(TRIM('Raw Sales'!N417))</x:f>
        <x:v>Mia Chen</x:v>
      </x:c>
      <x:c r="AC417" s="85" t="n">
        <x:f>'Raw Sales'!O417</x:f>
        <x:v>45449</x:v>
      </x:c>
      <x:c r="AD417" s="84" t="n">
        <x:f>AC417-B417</x:f>
        <x:v>0</x:v>
      </x:c>
      <x:c r="AE417" s="84" t="str">
        <x:f>IF(COUNTIF($A$5:A417,A417)&gt;1,"Duplicate","Keep")</x:f>
        <x:v>Keep</x:v>
      </x:c>
      <x:c r="AF417" s="84" t="str">
        <x:f>IF(OR(R417&lt;=0,AC417&lt;B417,H417="Unknown",M417="Unknown Product"),"Review","Valid")</x:f>
        <x:v>Valid</x:v>
      </x:c>
      <x:c r="AG417" s="84" t="n">
        <x:f>IF(AND(AE417="Keep",AF417="Valid"),1,0)</x:f>
        <x:v>1</x:v>
      </x:c>
      <x:c r="AH417" s="84" t="n">
        <x:f>IF(AND(AG417=1,OR('Dashboard'!$B$4="All",I417='Dashboard'!$B$4),OR('Dashboard'!$E$4="All",N417='Dashboard'!$E$4),OR('Dashboard'!$H$4="All",K417='Dashboard'!$H$4),OR('Dashboard'!$K$4="All",C417='Dashboard'!$K$4)),1,0)</x:f>
        <x:v>1</x:v>
      </x:c>
      <x:c r="AI417" s="84" t="n">
        <x:f>IF(AND(AG417=1,OR('Dashboard'!$B$4="All",I417='Dashboard'!$B$4),OR('Dashboard'!$E$4="All",N417='Dashboard'!$E$4),OR('Dashboard'!$H$4="All",K417='Dashboard'!$H$4)),1,0)</x:f>
        <x:v>1</x:v>
      </x:c>
    </x:row>
    <x:row r="418">
      <x:c r="A418" s="84" t="str">
        <x:f>'Raw Sales'!A418</x:f>
        <x:v>ORD-2024-00125</x:v>
      </x:c>
      <x:c r="B418" s="85" t="n">
        <x:f>'Raw Sales'!B418</x:f>
        <x:v>45450</x:v>
      </x:c>
      <x:c r="C418" s="84" t="n">
        <x:f>YEAR(B418)</x:f>
        <x:v>2024</x:v>
      </x:c>
      <x:c r="D418" s="91" t="n">
        <x:f>DATE(YEAR(B418),MONTH(B418),1)</x:f>
        <x:v>45444</x:v>
      </x:c>
      <x:c r="E418" s="84" t="str">
        <x:f>TEXT(B418,"mmm")</x:f>
        <x:v>Jun</x:v>
      </x:c>
      <x:c r="F418" s="84" t="str">
        <x:f>'Raw Sales'!C418</x:f>
        <x:v>CUST-0447</x:v>
      </x:c>
      <x:c r="G418" s="84" t="str">
        <x:f>PROPER(TRIM('Raw Sales'!D418))</x:f>
        <x:v>Elena Patel</x:v>
      </x:c>
      <x:c r="H418" s="84" t="str">
        <x:f>IF(TRIM('Raw Sales'!E418)="","Unknown",PROPER(TRIM('Raw Sales'!E418)))</x:f>
        <x:v>Corporate</x:v>
      </x:c>
      <x:c r="I418" s="84" t="str">
        <x:f>PROPER(TRIM('Raw Sales'!F418))</x:f>
        <x:v>Midwest</x:v>
      </x:c>
      <x:c r="J418" s="84" t="str">
        <x:f>PROPER(TRIM('Raw Sales'!G418))</x:f>
        <x:v>Chicago</x:v>
      </x:c>
      <x:c r="K418" s="84" t="str">
        <x:f>PROPER(TRIM('Raw Sales'!H418))</x:f>
        <x:v>Marketplace</x:v>
      </x:c>
      <x:c r="L418" s="84" t="str">
        <x:f>'Raw Sales'!I418</x:f>
        <x:v>ACCS-003</x:v>
      </x:c>
      <x:c r="M418" s="84" t="str">
        <x:f>IFERROR(VLOOKUP(L418,'Reference Data'!$A$5:$F$40,2,FALSE),"Unknown Product")</x:f>
        <x:v>Polarized Sunglasses</x:v>
      </x:c>
      <x:c r="N418" s="84" t="str">
        <x:f>IFERROR(VLOOKUP(L418,'Reference Data'!$A$5:$F$40,3,FALSE),"Unknown")</x:f>
        <x:v>Accessories</x:v>
      </x:c>
      <x:c r="O418" s="84" t="str">
        <x:f>IFERROR(VLOOKUP(L418,'Reference Data'!$A$5:$F$40,4,FALSE),"Unknown")</x:f>
        <x:v>Eyewear</x:v>
      </x:c>
      <x:c r="P418" s="92" t="n">
        <x:f>IFERROR(VLOOKUP(L418,'Reference Data'!$A$5:$F$40,5,FALSE),0)</x:f>
        <x:v>59</x:v>
      </x:c>
      <x:c r="Q418" s="92" t="n">
        <x:f>IFERROR(VLOOKUP(L418,'Reference Data'!$A$5:$F$40,6,FALSE),0)</x:f>
        <x:v>17</x:v>
      </x:c>
      <x:c r="R418" s="84" t="n">
        <x:f>'Raw Sales'!J418</x:f>
        <x:v>2</x:v>
      </x:c>
      <x:c r="S418" s="87" t="n">
        <x:f>'Raw Sales'!K418</x:f>
        <x:v>0.1</x:v>
      </x:c>
      <x:c r="T418" s="93" t="n">
        <x:f>P418*R418</x:f>
        <x:v>118</x:v>
      </x:c>
      <x:c r="U418" s="93" t="n">
        <x:f>T418*S418</x:f>
        <x:v>11.8</x:v>
      </x:c>
      <x:c r="V418" s="93" t="str">
        <x:f>PROPER(TRIM('Raw Sales'!L418))</x:f>
        <x:v>Completed</x:v>
      </x:c>
      <x:c r="W418" s="93" t="n">
        <x:f>IF(V418="Returned",0,T418-U418)</x:f>
        <x:v>106.2</x:v>
      </x:c>
      <x:c r="X418" s="93" t="n">
        <x:f>IF(V418="Returned",Q418*R418*10%,Q418*R418)</x:f>
        <x:v>34</x:v>
      </x:c>
      <x:c r="Y418" s="93" t="n">
        <x:f>W418-X418</x:f>
        <x:v>72.2</x:v>
      </x:c>
      <x:c r="Z418" s="94" t="n">
        <x:f>IFERROR(Y418/W418,0)</x:f>
        <x:v>0.67984934086629</x:v>
      </x:c>
      <x:c r="AA418" s="84" t="str">
        <x:f>PROPER(TRIM('Raw Sales'!M418))</x:f>
        <x:v>Debit Card</x:v>
      </x:c>
      <x:c r="AB418" s="84" t="str">
        <x:f>PROPER(TRIM('Raw Sales'!N418))</x:f>
        <x:v>Lucas Grant</x:v>
      </x:c>
      <x:c r="AC418" s="85" t="n">
        <x:f>'Raw Sales'!O418</x:f>
        <x:v>45456</x:v>
      </x:c>
      <x:c r="AD418" s="84" t="n">
        <x:f>AC418-B418</x:f>
        <x:v>6</x:v>
      </x:c>
      <x:c r="AE418" s="84" t="str">
        <x:f>IF(COUNTIF($A$5:A418,A418)&gt;1,"Duplicate","Keep")</x:f>
        <x:v>Keep</x:v>
      </x:c>
      <x:c r="AF418" s="84" t="str">
        <x:f>IF(OR(R418&lt;=0,AC418&lt;B418,H418="Unknown",M418="Unknown Product"),"Review","Valid")</x:f>
        <x:v>Valid</x:v>
      </x:c>
      <x:c r="AG418" s="84" t="n">
        <x:f>IF(AND(AE418="Keep",AF418="Valid"),1,0)</x:f>
        <x:v>1</x:v>
      </x:c>
      <x:c r="AH418" s="84" t="n">
        <x:f>IF(AND(AG418=1,OR('Dashboard'!$B$4="All",I418='Dashboard'!$B$4),OR('Dashboard'!$E$4="All",N418='Dashboard'!$E$4),OR('Dashboard'!$H$4="All",K418='Dashboard'!$H$4),OR('Dashboard'!$K$4="All",C418='Dashboard'!$K$4)),1,0)</x:f>
        <x:v>1</x:v>
      </x:c>
      <x:c r="AI418" s="84" t="n">
        <x:f>IF(AND(AG418=1,OR('Dashboard'!$B$4="All",I418='Dashboard'!$B$4),OR('Dashboard'!$E$4="All",N418='Dashboard'!$E$4),OR('Dashboard'!$H$4="All",K418='Dashboard'!$H$4)),1,0)</x:f>
        <x:v>1</x:v>
      </x:c>
    </x:row>
    <x:row r="419">
      <x:c r="A419" s="84" t="str">
        <x:f>'Raw Sales'!A419</x:f>
        <x:v>ORD-2024-00408</x:v>
      </x:c>
      <x:c r="B419" s="85" t="n">
        <x:f>'Raw Sales'!B419</x:f>
        <x:v>45450</x:v>
      </x:c>
      <x:c r="C419" s="84" t="n">
        <x:f>YEAR(B419)</x:f>
        <x:v>2024</x:v>
      </x:c>
      <x:c r="D419" s="91" t="n">
        <x:f>DATE(YEAR(B419),MONTH(B419),1)</x:f>
        <x:v>45444</x:v>
      </x:c>
      <x:c r="E419" s="84" t="str">
        <x:f>TEXT(B419,"mmm")</x:f>
        <x:v>Jun</x:v>
      </x:c>
      <x:c r="F419" s="84" t="str">
        <x:f>'Raw Sales'!C419</x:f>
        <x:v>CUST-0286</x:v>
      </x:c>
      <x:c r="G419" s="84" t="str">
        <x:f>PROPER(TRIM('Raw Sales'!D419))</x:f>
        <x:v>Isaac Hall</x:v>
      </x:c>
      <x:c r="H419" s="84" t="str">
        <x:f>IF(TRIM('Raw Sales'!E419)="","Unknown",PROPER(TRIM('Raw Sales'!E419)))</x:f>
        <x:v>Consumer</x:v>
      </x:c>
      <x:c r="I419" s="84" t="str">
        <x:f>PROPER(TRIM('Raw Sales'!F419))</x:f>
        <x:v>Midwest</x:v>
      </x:c>
      <x:c r="J419" s="84" t="str">
        <x:f>PROPER(TRIM('Raw Sales'!G419))</x:f>
        <x:v>Chicago</x:v>
      </x:c>
      <x:c r="K419" s="84" t="str">
        <x:f>PROPER(TRIM('Raw Sales'!H419))</x:f>
        <x:v>Online</x:v>
      </x:c>
      <x:c r="L419" s="84" t="str">
        <x:f>'Raw Sales'!I419</x:f>
        <x:v>CARE-005</x:v>
      </x:c>
      <x:c r="M419" s="84" t="str">
        <x:f>IFERROR(VLOOKUP(L419,'Reference Data'!$A$5:$F$40,2,FALSE),"Unknown Product")</x:f>
        <x:v>Skin Care Starter Kit</x:v>
      </x:c>
      <x:c r="N419" s="84" t="str">
        <x:f>IFERROR(VLOOKUP(L419,'Reference Data'!$A$5:$F$40,3,FALSE),"Unknown")</x:f>
        <x:v>Personal Care</x:v>
      </x:c>
      <x:c r="O419" s="84" t="str">
        <x:f>IFERROR(VLOOKUP(L419,'Reference Data'!$A$5:$F$40,4,FALSE),"Unknown")</x:f>
        <x:v>Skin Care</x:v>
      </x:c>
      <x:c r="P419" s="92" t="n">
        <x:f>IFERROR(VLOOKUP(L419,'Reference Data'!$A$5:$F$40,5,FALSE),0)</x:f>
        <x:v>58</x:v>
      </x:c>
      <x:c r="Q419" s="92" t="n">
        <x:f>IFERROR(VLOOKUP(L419,'Reference Data'!$A$5:$F$40,6,FALSE),0)</x:f>
        <x:v>24</x:v>
      </x:c>
      <x:c r="R419" s="84" t="n">
        <x:f>'Raw Sales'!J419</x:f>
        <x:v>1</x:v>
      </x:c>
      <x:c r="S419" s="87" t="n">
        <x:f>'Raw Sales'!K419</x:f>
        <x:v>0</x:v>
      </x:c>
      <x:c r="T419" s="93" t="n">
        <x:f>P419*R419</x:f>
        <x:v>58</x:v>
      </x:c>
      <x:c r="U419" s="93" t="n">
        <x:f>T419*S419</x:f>
        <x:v>0</x:v>
      </x:c>
      <x:c r="V419" s="93" t="str">
        <x:f>PROPER(TRIM('Raw Sales'!L419))</x:f>
        <x:v>Completed</x:v>
      </x:c>
      <x:c r="W419" s="93" t="n">
        <x:f>IF(V419="Returned",0,T419-U419)</x:f>
        <x:v>58</x:v>
      </x:c>
      <x:c r="X419" s="93" t="n">
        <x:f>IF(V419="Returned",Q419*R419*10%,Q419*R419)</x:f>
        <x:v>24</x:v>
      </x:c>
      <x:c r="Y419" s="93" t="n">
        <x:f>W419-X419</x:f>
        <x:v>34</x:v>
      </x:c>
      <x:c r="Z419" s="94" t="n">
        <x:f>IFERROR(Y419/W419,0)</x:f>
        <x:v>0.5862068965517241</x:v>
      </x:c>
      <x:c r="AA419" s="84" t="str">
        <x:f>PROPER(TRIM('Raw Sales'!M419))</x:f>
        <x:v>Debit Card</x:v>
      </x:c>
      <x:c r="AB419" s="84" t="str">
        <x:f>PROPER(TRIM('Raw Sales'!N419))</x:f>
        <x:v>Zoe Turner</x:v>
      </x:c>
      <x:c r="AC419" s="85" t="n">
        <x:f>'Raw Sales'!O419</x:f>
        <x:v>45453</x:v>
      </x:c>
      <x:c r="AD419" s="84" t="n">
        <x:f>AC419-B419</x:f>
        <x:v>3</x:v>
      </x:c>
      <x:c r="AE419" s="84" t="str">
        <x:f>IF(COUNTIF($A$5:A419,A419)&gt;1,"Duplicate","Keep")</x:f>
        <x:v>Keep</x:v>
      </x:c>
      <x:c r="AF419" s="84" t="str">
        <x:f>IF(OR(R419&lt;=0,AC419&lt;B419,H419="Unknown",M419="Unknown Product"),"Review","Valid")</x:f>
        <x:v>Valid</x:v>
      </x:c>
      <x:c r="AG419" s="84" t="n">
        <x:f>IF(AND(AE419="Keep",AF419="Valid"),1,0)</x:f>
        <x:v>1</x:v>
      </x:c>
      <x:c r="AH419" s="84" t="n">
        <x:f>IF(AND(AG419=1,OR('Dashboard'!$B$4="All",I419='Dashboard'!$B$4),OR('Dashboard'!$E$4="All",N419='Dashboard'!$E$4),OR('Dashboard'!$H$4="All",K419='Dashboard'!$H$4),OR('Dashboard'!$K$4="All",C419='Dashboard'!$K$4)),1,0)</x:f>
        <x:v>1</x:v>
      </x:c>
      <x:c r="AI419" s="84" t="n">
        <x:f>IF(AND(AG419=1,OR('Dashboard'!$B$4="All",I419='Dashboard'!$B$4),OR('Dashboard'!$E$4="All",N419='Dashboard'!$E$4),OR('Dashboard'!$H$4="All",K419='Dashboard'!$H$4)),1,0)</x:f>
        <x:v>1</x:v>
      </x:c>
    </x:row>
    <x:row r="420">
      <x:c r="A420" s="84" t="str">
        <x:f>'Raw Sales'!A420</x:f>
        <x:v>ORD-2024-01254</x:v>
      </x:c>
      <x:c r="B420" s="85" t="n">
        <x:f>'Raw Sales'!B420</x:f>
        <x:v>45450</x:v>
      </x:c>
      <x:c r="C420" s="84" t="n">
        <x:f>YEAR(B420)</x:f>
        <x:v>2024</x:v>
      </x:c>
      <x:c r="D420" s="91" t="n">
        <x:f>DATE(YEAR(B420),MONTH(B420),1)</x:f>
        <x:v>45444</x:v>
      </x:c>
      <x:c r="E420" s="84" t="str">
        <x:f>TEXT(B420,"mmm")</x:f>
        <x:v>Jun</x:v>
      </x:c>
      <x:c r="F420" s="84" t="str">
        <x:f>'Raw Sales'!C420</x:f>
        <x:v>CUST-0159</x:v>
      </x:c>
      <x:c r="G420" s="84" t="str">
        <x:f>PROPER(TRIM('Raw Sales'!D420))</x:f>
        <x:v>Caleb Khan</x:v>
      </x:c>
      <x:c r="H420" s="84" t="str">
        <x:f>IF(TRIM('Raw Sales'!E420)="","Unknown",PROPER(TRIM('Raw Sales'!E420)))</x:f>
        <x:v>Consumer</x:v>
      </x:c>
      <x:c r="I420" s="84" t="str">
        <x:f>PROPER(TRIM('Raw Sales'!F420))</x:f>
        <x:v>Southeast</x:v>
      </x:c>
      <x:c r="J420" s="84" t="str">
        <x:f>PROPER(TRIM('Raw Sales'!G420))</x:f>
        <x:v>Nashville</x:v>
      </x:c>
      <x:c r="K420" s="84" t="str">
        <x:f>PROPER(TRIM('Raw Sales'!H420))</x:f>
        <x:v>Retail Store</x:v>
      </x:c>
      <x:c r="L420" s="84" t="str">
        <x:f>'Raw Sales'!I420</x:f>
        <x:v>FITN-005</x:v>
      </x:c>
      <x:c r="M420" s="84" t="str">
        <x:f>IFERROR(VLOOKUP(L420,'Reference Data'!$A$5:$F$40,2,FALSE),"Unknown Product")</x:f>
        <x:v>Sports Water Bottle</x:v>
      </x:c>
      <x:c r="N420" s="84" t="str">
        <x:f>IFERROR(VLOOKUP(L420,'Reference Data'!$A$5:$F$40,3,FALSE),"Unknown")</x:f>
        <x:v>Fitness</x:v>
      </x:c>
      <x:c r="O420" s="84" t="str">
        <x:f>IFERROR(VLOOKUP(L420,'Reference Data'!$A$5:$F$40,4,FALSE),"Unknown")</x:f>
        <x:v>Accessories</x:v>
      </x:c>
      <x:c r="P420" s="92" t="n">
        <x:f>IFERROR(VLOOKUP(L420,'Reference Data'!$A$5:$F$40,5,FALSE),0)</x:f>
        <x:v>22</x:v>
      </x:c>
      <x:c r="Q420" s="92" t="n">
        <x:f>IFERROR(VLOOKUP(L420,'Reference Data'!$A$5:$F$40,6,FALSE),0)</x:f>
        <x:v>7</x:v>
      </x:c>
      <x:c r="R420" s="84" t="n">
        <x:f>'Raw Sales'!J420</x:f>
        <x:v>3</x:v>
      </x:c>
      <x:c r="S420" s="87" t="n">
        <x:f>'Raw Sales'!K420</x:f>
        <x:v>0.1</x:v>
      </x:c>
      <x:c r="T420" s="93" t="n">
        <x:f>P420*R420</x:f>
        <x:v>66</x:v>
      </x:c>
      <x:c r="U420" s="93" t="n">
        <x:f>T420*S420</x:f>
        <x:v>6.6000000000000005</x:v>
      </x:c>
      <x:c r="V420" s="93" t="str">
        <x:f>PROPER(TRIM('Raw Sales'!L420))</x:f>
        <x:v>Completed</x:v>
      </x:c>
      <x:c r="W420" s="93" t="n">
        <x:f>IF(V420="Returned",0,T420-U420)</x:f>
        <x:v>59.4</x:v>
      </x:c>
      <x:c r="X420" s="93" t="n">
        <x:f>IF(V420="Returned",Q420*R420*10%,Q420*R420)</x:f>
        <x:v>21</x:v>
      </x:c>
      <x:c r="Y420" s="93" t="n">
        <x:f>W420-X420</x:f>
        <x:v>38.4</x:v>
      </x:c>
      <x:c r="Z420" s="94" t="n">
        <x:f>IFERROR(Y420/W420,0)</x:f>
        <x:v>0.6464646464646464</x:v>
      </x:c>
      <x:c r="AA420" s="84" t="str">
        <x:f>PROPER(TRIM('Raw Sales'!M420))</x:f>
        <x:v>Credit Card</x:v>
      </x:c>
      <x:c r="AB420" s="84" t="str">
        <x:f>PROPER(TRIM('Raw Sales'!N420))</x:f>
        <x:v>Ava Mitchell</x:v>
      </x:c>
      <x:c r="AC420" s="85" t="n">
        <x:f>'Raw Sales'!O420</x:f>
        <x:v>45450</x:v>
      </x:c>
      <x:c r="AD420" s="84" t="n">
        <x:f>AC420-B420</x:f>
        <x:v>0</x:v>
      </x:c>
      <x:c r="AE420" s="84" t="str">
        <x:f>IF(COUNTIF($A$5:A420,A420)&gt;1,"Duplicate","Keep")</x:f>
        <x:v>Keep</x:v>
      </x:c>
      <x:c r="AF420" s="84" t="str">
        <x:f>IF(OR(R420&lt;=0,AC420&lt;B420,H420="Unknown",M420="Unknown Product"),"Review","Valid")</x:f>
        <x:v>Valid</x:v>
      </x:c>
      <x:c r="AG420" s="84" t="n">
        <x:f>IF(AND(AE420="Keep",AF420="Valid"),1,0)</x:f>
        <x:v>1</x:v>
      </x:c>
      <x:c r="AH420" s="84" t="n">
        <x:f>IF(AND(AG420=1,OR('Dashboard'!$B$4="All",I420='Dashboard'!$B$4),OR('Dashboard'!$E$4="All",N420='Dashboard'!$E$4),OR('Dashboard'!$H$4="All",K420='Dashboard'!$H$4),OR('Dashboard'!$K$4="All",C420='Dashboard'!$K$4)),1,0)</x:f>
        <x:v>1</x:v>
      </x:c>
      <x:c r="AI420" s="84" t="n">
        <x:f>IF(AND(AG420=1,OR('Dashboard'!$B$4="All",I420='Dashboard'!$B$4),OR('Dashboard'!$E$4="All",N420='Dashboard'!$E$4),OR('Dashboard'!$H$4="All",K420='Dashboard'!$H$4)),1,0)</x:f>
        <x:v>1</x:v>
      </x:c>
    </x:row>
    <x:row r="421">
      <x:c r="A421" s="84" t="str">
        <x:f>'Raw Sales'!A421</x:f>
        <x:v>ORD-2024-00775</x:v>
      </x:c>
      <x:c r="B421" s="85" t="n">
        <x:f>'Raw Sales'!B421</x:f>
        <x:v>45451</x:v>
      </x:c>
      <x:c r="C421" s="84" t="n">
        <x:f>YEAR(B421)</x:f>
        <x:v>2024</x:v>
      </x:c>
      <x:c r="D421" s="91" t="n">
        <x:f>DATE(YEAR(B421),MONTH(B421),1)</x:f>
        <x:v>45444</x:v>
      </x:c>
      <x:c r="E421" s="84" t="str">
        <x:f>TEXT(B421,"mmm")</x:f>
        <x:v>Jun</x:v>
      </x:c>
      <x:c r="F421" s="84" t="str">
        <x:f>'Raw Sales'!C421</x:f>
        <x:v>CUST-0443</x:v>
      </x:c>
      <x:c r="G421" s="84" t="str">
        <x:f>PROPER(TRIM('Raw Sales'!D421))</x:f>
        <x:v>Samuel Foster</x:v>
      </x:c>
      <x:c r="H421" s="84" t="str">
        <x:f>IF(TRIM('Raw Sales'!E421)="","Unknown",PROPER(TRIM('Raw Sales'!E421)))</x:f>
        <x:v>Consumer</x:v>
      </x:c>
      <x:c r="I421" s="84" t="str">
        <x:f>PROPER(TRIM('Raw Sales'!F421))</x:f>
        <x:v>West</x:v>
      </x:c>
      <x:c r="J421" s="84" t="str">
        <x:f>PROPER(TRIM('Raw Sales'!G421))</x:f>
        <x:v>Denver</x:v>
      </x:c>
      <x:c r="K421" s="84" t="str">
        <x:f>PROPER(TRIM('Raw Sales'!H421))</x:f>
        <x:v>Retail Store</x:v>
      </x:c>
      <x:c r="L421" s="84" t="str">
        <x:f>'Raw Sales'!I421</x:f>
        <x:v>ELEC-005</x:v>
      </x:c>
      <x:c r="M421" s="84" t="str">
        <x:f>IFERROR(VLOOKUP(L421,'Reference Data'!$A$5:$F$40,2,FALSE),"Unknown Product")</x:f>
        <x:v>HD Webcam</x:v>
      </x:c>
      <x:c r="N421" s="84" t="str">
        <x:f>IFERROR(VLOOKUP(L421,'Reference Data'!$A$5:$F$40,3,FALSE),"Unknown")</x:f>
        <x:v>Electronics</x:v>
      </x:c>
      <x:c r="O421" s="84" t="str">
        <x:f>IFERROR(VLOOKUP(L421,'Reference Data'!$A$5:$F$40,4,FALSE),"Unknown")</x:f>
        <x:v>Computer Accessories</x:v>
      </x:c>
      <x:c r="P421" s="92" t="n">
        <x:f>IFERROR(VLOOKUP(L421,'Reference Data'!$A$5:$F$40,5,FALSE),0)</x:f>
        <x:v>79</x:v>
      </x:c>
      <x:c r="Q421" s="92" t="n">
        <x:f>IFERROR(VLOOKUP(L421,'Reference Data'!$A$5:$F$40,6,FALSE),0)</x:f>
        <x:v>37</x:v>
      </x:c>
      <x:c r="R421" s="84" t="n">
        <x:f>'Raw Sales'!J421</x:f>
        <x:v>1</x:v>
      </x:c>
      <x:c r="S421" s="87" t="n">
        <x:f>'Raw Sales'!K421</x:f>
        <x:v>0</x:v>
      </x:c>
      <x:c r="T421" s="93" t="n">
        <x:f>P421*R421</x:f>
        <x:v>79</x:v>
      </x:c>
      <x:c r="U421" s="93" t="n">
        <x:f>T421*S421</x:f>
        <x:v>0</x:v>
      </x:c>
      <x:c r="V421" s="93" t="str">
        <x:f>PROPER(TRIM('Raw Sales'!L421))</x:f>
        <x:v>Completed</x:v>
      </x:c>
      <x:c r="W421" s="93" t="n">
        <x:f>IF(V421="Returned",0,T421-U421)</x:f>
        <x:v>79</x:v>
      </x:c>
      <x:c r="X421" s="93" t="n">
        <x:f>IF(V421="Returned",Q421*R421*10%,Q421*R421)</x:f>
        <x:v>37</x:v>
      </x:c>
      <x:c r="Y421" s="93" t="n">
        <x:f>W421-X421</x:f>
        <x:v>42</x:v>
      </x:c>
      <x:c r="Z421" s="94" t="n">
        <x:f>IFERROR(Y421/W421,0)</x:f>
        <x:v>0.5316455696202531</x:v>
      </x:c>
      <x:c r="AA421" s="84" t="str">
        <x:f>PROPER(TRIM('Raw Sales'!M421))</x:f>
        <x:v>Credit Card</x:v>
      </x:c>
      <x:c r="AB421" s="84" t="str">
        <x:f>PROPER(TRIM('Raw Sales'!N421))</x:f>
        <x:v>Leo Martinez</x:v>
      </x:c>
      <x:c r="AC421" s="85" t="n">
        <x:f>'Raw Sales'!O421</x:f>
        <x:v>45451</x:v>
      </x:c>
      <x:c r="AD421" s="84" t="n">
        <x:f>AC421-B421</x:f>
        <x:v>0</x:v>
      </x:c>
      <x:c r="AE421" s="84" t="str">
        <x:f>IF(COUNTIF($A$5:A421,A421)&gt;1,"Duplicate","Keep")</x:f>
        <x:v>Keep</x:v>
      </x:c>
      <x:c r="AF421" s="84" t="str">
        <x:f>IF(OR(R421&lt;=0,AC421&lt;B421,H421="Unknown",M421="Unknown Product"),"Review","Valid")</x:f>
        <x:v>Valid</x:v>
      </x:c>
      <x:c r="AG421" s="84" t="n">
        <x:f>IF(AND(AE421="Keep",AF421="Valid"),1,0)</x:f>
        <x:v>1</x:v>
      </x:c>
      <x:c r="AH421" s="84" t="n">
        <x:f>IF(AND(AG421=1,OR('Dashboard'!$B$4="All",I421='Dashboard'!$B$4),OR('Dashboard'!$E$4="All",N421='Dashboard'!$E$4),OR('Dashboard'!$H$4="All",K421='Dashboard'!$H$4),OR('Dashboard'!$K$4="All",C421='Dashboard'!$K$4)),1,0)</x:f>
        <x:v>1</x:v>
      </x:c>
      <x:c r="AI421" s="84" t="n">
        <x:f>IF(AND(AG421=1,OR('Dashboard'!$B$4="All",I421='Dashboard'!$B$4),OR('Dashboard'!$E$4="All",N421='Dashboard'!$E$4),OR('Dashboard'!$H$4="All",K421='Dashboard'!$H$4)),1,0)</x:f>
        <x:v>1</x:v>
      </x:c>
    </x:row>
    <x:row r="422">
      <x:c r="A422" s="84" t="str">
        <x:f>'Raw Sales'!A422</x:f>
        <x:v>ORD-2024-01695</x:v>
      </x:c>
      <x:c r="B422" s="85" t="n">
        <x:f>'Raw Sales'!B422</x:f>
        <x:v>45451</x:v>
      </x:c>
      <x:c r="C422" s="84" t="n">
        <x:f>YEAR(B422)</x:f>
        <x:v>2024</x:v>
      </x:c>
      <x:c r="D422" s="91" t="n">
        <x:f>DATE(YEAR(B422),MONTH(B422),1)</x:f>
        <x:v>45444</x:v>
      </x:c>
      <x:c r="E422" s="84" t="str">
        <x:f>TEXT(B422,"mmm")</x:f>
        <x:v>Jun</x:v>
      </x:c>
      <x:c r="F422" s="84" t="str">
        <x:f>'Raw Sales'!C422</x:f>
        <x:v>CUST-0501</x:v>
      </x:c>
      <x:c r="G422" s="84" t="str">
        <x:f>PROPER(TRIM('Raw Sales'!D422))</x:f>
        <x:v>Priya Garcia</x:v>
      </x:c>
      <x:c r="H422" s="84" t="str">
        <x:f>IF(TRIM('Raw Sales'!E422)="","Unknown",PROPER(TRIM('Raw Sales'!E422)))</x:f>
        <x:v>Consumer</x:v>
      </x:c>
      <x:c r="I422" s="84" t="str">
        <x:f>PROPER(TRIM('Raw Sales'!F422))</x:f>
        <x:v>Northeast</x:v>
      </x:c>
      <x:c r="J422" s="84" t="str">
        <x:f>PROPER(TRIM('Raw Sales'!G422))</x:f>
        <x:v>Boston</x:v>
      </x:c>
      <x:c r="K422" s="84" t="str">
        <x:f>PROPER(TRIM('Raw Sales'!H422))</x:f>
        <x:v>Online</x:v>
      </x:c>
      <x:c r="L422" s="84" t="str">
        <x:f>'Raw Sales'!I422</x:f>
        <x:v>FITN-002</x:v>
      </x:c>
      <x:c r="M422" s="84" t="str">
        <x:f>IFERROR(VLOOKUP(L422,'Reference Data'!$A$5:$F$40,2,FALSE),"Unknown Product")</x:f>
        <x:v>Adjustable Dumbbell Set</x:v>
      </x:c>
      <x:c r="N422" s="84" t="str">
        <x:f>IFERROR(VLOOKUP(L422,'Reference Data'!$A$5:$F$40,3,FALSE),"Unknown")</x:f>
        <x:v>Fitness</x:v>
      </x:c>
      <x:c r="O422" s="84" t="str">
        <x:f>IFERROR(VLOOKUP(L422,'Reference Data'!$A$5:$F$40,4,FALSE),"Unknown")</x:f>
        <x:v>Strength</x:v>
      </x:c>
      <x:c r="P422" s="92" t="n">
        <x:f>IFERROR(VLOOKUP(L422,'Reference Data'!$A$5:$F$40,5,FALSE),0)</x:f>
        <x:v>99</x:v>
      </x:c>
      <x:c r="Q422" s="92" t="n">
        <x:f>IFERROR(VLOOKUP(L422,'Reference Data'!$A$5:$F$40,6,FALSE),0)</x:f>
        <x:v>57</x:v>
      </x:c>
      <x:c r="R422" s="84" t="n">
        <x:f>'Raw Sales'!J422</x:f>
        <x:v>1</x:v>
      </x:c>
      <x:c r="S422" s="87" t="n">
        <x:f>'Raw Sales'!K422</x:f>
        <x:v>0</x:v>
      </x:c>
      <x:c r="T422" s="93" t="n">
        <x:f>P422*R422</x:f>
        <x:v>99</x:v>
      </x:c>
      <x:c r="U422" s="93" t="n">
        <x:f>T422*S422</x:f>
        <x:v>0</x:v>
      </x:c>
      <x:c r="V422" s="93" t="str">
        <x:f>PROPER(TRIM('Raw Sales'!L422))</x:f>
        <x:v>Completed</x:v>
      </x:c>
      <x:c r="W422" s="93" t="n">
        <x:f>IF(V422="Returned",0,T422-U422)</x:f>
        <x:v>99</x:v>
      </x:c>
      <x:c r="X422" s="93" t="n">
        <x:f>IF(V422="Returned",Q422*R422*10%,Q422*R422)</x:f>
        <x:v>57</x:v>
      </x:c>
      <x:c r="Y422" s="93" t="n">
        <x:f>W422-X422</x:f>
        <x:v>42</x:v>
      </x:c>
      <x:c r="Z422" s="94" t="n">
        <x:f>IFERROR(Y422/W422,0)</x:f>
        <x:v>0.42424242424242425</x:v>
      </x:c>
      <x:c r="AA422" s="84" t="str">
        <x:f>PROPER(TRIM('Raw Sales'!M422))</x:f>
        <x:v>Debit Card</x:v>
      </x:c>
      <x:c r="AB422" s="84" t="str">
        <x:f>PROPER(TRIM('Raw Sales'!N422))</x:f>
        <x:v>Sofia Bennett</x:v>
      </x:c>
      <x:c r="AC422" s="85" t="n">
        <x:f>'Raw Sales'!O422</x:f>
        <x:v>45455</x:v>
      </x:c>
      <x:c r="AD422" s="84" t="n">
        <x:f>AC422-B422</x:f>
        <x:v>4</x:v>
      </x:c>
      <x:c r="AE422" s="84" t="str">
        <x:f>IF(COUNTIF($A$5:A422,A422)&gt;1,"Duplicate","Keep")</x:f>
        <x:v>Keep</x:v>
      </x:c>
      <x:c r="AF422" s="84" t="str">
        <x:f>IF(OR(R422&lt;=0,AC422&lt;B422,H422="Unknown",M422="Unknown Product"),"Review","Valid")</x:f>
        <x:v>Valid</x:v>
      </x:c>
      <x:c r="AG422" s="84" t="n">
        <x:f>IF(AND(AE422="Keep",AF422="Valid"),1,0)</x:f>
        <x:v>1</x:v>
      </x:c>
      <x:c r="AH422" s="84" t="n">
        <x:f>IF(AND(AG422=1,OR('Dashboard'!$B$4="All",I422='Dashboard'!$B$4),OR('Dashboard'!$E$4="All",N422='Dashboard'!$E$4),OR('Dashboard'!$H$4="All",K422='Dashboard'!$H$4),OR('Dashboard'!$K$4="All",C422='Dashboard'!$K$4)),1,0)</x:f>
        <x:v>1</x:v>
      </x:c>
      <x:c r="AI422" s="84" t="n">
        <x:f>IF(AND(AG422=1,OR('Dashboard'!$B$4="All",I422='Dashboard'!$B$4),OR('Dashboard'!$E$4="All",N422='Dashboard'!$E$4),OR('Dashboard'!$H$4="All",K422='Dashboard'!$H$4)),1,0)</x:f>
        <x:v>1</x:v>
      </x:c>
    </x:row>
    <x:row r="423">
      <x:c r="A423" s="84" t="str">
        <x:f>'Raw Sales'!A423</x:f>
        <x:v>ORD-2024-01898</x:v>
      </x:c>
      <x:c r="B423" s="85" t="n">
        <x:f>'Raw Sales'!B423</x:f>
        <x:v>45451</x:v>
      </x:c>
      <x:c r="C423" s="84" t="n">
        <x:f>YEAR(B423)</x:f>
        <x:v>2024</x:v>
      </x:c>
      <x:c r="D423" s="91" t="n">
        <x:f>DATE(YEAR(B423),MONTH(B423),1)</x:f>
        <x:v>45444</x:v>
      </x:c>
      <x:c r="E423" s="84" t="str">
        <x:f>TEXT(B423,"mmm")</x:f>
        <x:v>Jun</x:v>
      </x:c>
      <x:c r="F423" s="84" t="str">
        <x:f>'Raw Sales'!C423</x:f>
        <x:v>CUST-0511</x:v>
      </x:c>
      <x:c r="G423" s="84" t="str">
        <x:f>PROPER(TRIM('Raw Sales'!D423))</x:f>
        <x:v>Marcus Walker</x:v>
      </x:c>
      <x:c r="H423" s="84" t="str">
        <x:f>IF(TRIM('Raw Sales'!E423)="","Unknown",PROPER(TRIM('Raw Sales'!E423)))</x:f>
        <x:v>Corporate</x:v>
      </x:c>
      <x:c r="I423" s="84" t="str">
        <x:f>PROPER(TRIM('Raw Sales'!F423))</x:f>
        <x:v>Northeast</x:v>
      </x:c>
      <x:c r="J423" s="84" t="str">
        <x:f>PROPER(TRIM('Raw Sales'!G423))</x:f>
        <x:v>Newark</x:v>
      </x:c>
      <x:c r="K423" s="84" t="str">
        <x:f>PROPER(TRIM('Raw Sales'!H423))</x:f>
        <x:v>Online</x:v>
      </x:c>
      <x:c r="L423" s="84" t="str">
        <x:f>'Raw Sales'!I423</x:f>
        <x:v>CARE-002</x:v>
      </x:c>
      <x:c r="M423" s="84" t="str">
        <x:f>IFERROR(VLOOKUP(L423,'Reference Data'!$A$5:$F$40,2,FALSE),"Unknown Product")</x:f>
        <x:v>Rechargeable Trimmer</x:v>
      </x:c>
      <x:c r="N423" s="84" t="str">
        <x:f>IFERROR(VLOOKUP(L423,'Reference Data'!$A$5:$F$40,3,FALSE),"Unknown")</x:f>
        <x:v>Personal Care</x:v>
      </x:c>
      <x:c r="O423" s="84" t="str">
        <x:f>IFERROR(VLOOKUP(L423,'Reference Data'!$A$5:$F$40,4,FALSE),"Unknown")</x:f>
        <x:v>Grooming</x:v>
      </x:c>
      <x:c r="P423" s="92" t="n">
        <x:f>IFERROR(VLOOKUP(L423,'Reference Data'!$A$5:$F$40,5,FALSE),0)</x:f>
        <x:v>45</x:v>
      </x:c>
      <x:c r="Q423" s="92" t="n">
        <x:f>IFERROR(VLOOKUP(L423,'Reference Data'!$A$5:$F$40,6,FALSE),0)</x:f>
        <x:v>19</x:v>
      </x:c>
      <x:c r="R423" s="84" t="n">
        <x:f>'Raw Sales'!J423</x:f>
        <x:v>2</x:v>
      </x:c>
      <x:c r="S423" s="87" t="n">
        <x:f>'Raw Sales'!K423</x:f>
        <x:v>0</x:v>
      </x:c>
      <x:c r="T423" s="93" t="n">
        <x:f>P423*R423</x:f>
        <x:v>90</x:v>
      </x:c>
      <x:c r="U423" s="93" t="n">
        <x:f>T423*S423</x:f>
        <x:v>0</x:v>
      </x:c>
      <x:c r="V423" s="93" t="str">
        <x:f>PROPER(TRIM('Raw Sales'!L423))</x:f>
        <x:v>Completed</x:v>
      </x:c>
      <x:c r="W423" s="93" t="n">
        <x:f>IF(V423="Returned",0,T423-U423)</x:f>
        <x:v>90</x:v>
      </x:c>
      <x:c r="X423" s="93" t="n">
        <x:f>IF(V423="Returned",Q423*R423*10%,Q423*R423)</x:f>
        <x:v>38</x:v>
      </x:c>
      <x:c r="Y423" s="93" t="n">
        <x:f>W423-X423</x:f>
        <x:v>52</x:v>
      </x:c>
      <x:c r="Z423" s="94" t="n">
        <x:f>IFERROR(Y423/W423,0)</x:f>
        <x:v>0.5777777777777777</x:v>
      </x:c>
      <x:c r="AA423" s="84" t="str">
        <x:f>PROPER(TRIM('Raw Sales'!M423))</x:f>
        <x:v>Paypal</x:v>
      </x:c>
      <x:c r="AB423" s="84" t="str">
        <x:f>PROPER(TRIM('Raw Sales'!N423))</x:f>
        <x:v>Ethan Cole</x:v>
      </x:c>
      <x:c r="AC423" s="85" t="n">
        <x:f>'Raw Sales'!O423</x:f>
        <x:v>45454</x:v>
      </x:c>
      <x:c r="AD423" s="84" t="n">
        <x:f>AC423-B423</x:f>
        <x:v>3</x:v>
      </x:c>
      <x:c r="AE423" s="84" t="str">
        <x:f>IF(COUNTIF($A$5:A423,A423)&gt;1,"Duplicate","Keep")</x:f>
        <x:v>Keep</x:v>
      </x:c>
      <x:c r="AF423" s="84" t="str">
        <x:f>IF(OR(R423&lt;=0,AC423&lt;B423,H423="Unknown",M423="Unknown Product"),"Review","Valid")</x:f>
        <x:v>Valid</x:v>
      </x:c>
      <x:c r="AG423" s="84" t="n">
        <x:f>IF(AND(AE423="Keep",AF423="Valid"),1,0)</x:f>
        <x:v>1</x:v>
      </x:c>
      <x:c r="AH423" s="84" t="n">
        <x:f>IF(AND(AG423=1,OR('Dashboard'!$B$4="All",I423='Dashboard'!$B$4),OR('Dashboard'!$E$4="All",N423='Dashboard'!$E$4),OR('Dashboard'!$H$4="All",K423='Dashboard'!$H$4),OR('Dashboard'!$K$4="All",C423='Dashboard'!$K$4)),1,0)</x:f>
        <x:v>1</x:v>
      </x:c>
      <x:c r="AI423" s="84" t="n">
        <x:f>IF(AND(AG423=1,OR('Dashboard'!$B$4="All",I423='Dashboard'!$B$4),OR('Dashboard'!$E$4="All",N423='Dashboard'!$E$4),OR('Dashboard'!$H$4="All",K423='Dashboard'!$H$4)),1,0)</x:f>
        <x:v>1</x:v>
      </x:c>
    </x:row>
    <x:row r="424">
      <x:c r="A424" s="84" t="str">
        <x:f>'Raw Sales'!A424</x:f>
        <x:v>ORD-2024-02334</x:v>
      </x:c>
      <x:c r="B424" s="85" t="n">
        <x:f>'Raw Sales'!B424</x:f>
        <x:v>45451</x:v>
      </x:c>
      <x:c r="C424" s="84" t="n">
        <x:f>YEAR(B424)</x:f>
        <x:v>2024</x:v>
      </x:c>
      <x:c r="D424" s="91" t="n">
        <x:f>DATE(YEAR(B424),MONTH(B424),1)</x:f>
        <x:v>45444</x:v>
      </x:c>
      <x:c r="E424" s="84" t="str">
        <x:f>TEXT(B424,"mmm")</x:f>
        <x:v>Jun</x:v>
      </x:c>
      <x:c r="F424" s="84" t="str">
        <x:f>'Raw Sales'!C424</x:f>
        <x:v>CUST-0297</x:v>
      </x:c>
      <x:c r="G424" s="84" t="str">
        <x:f>PROPER(TRIM('Raw Sales'!D424))</x:f>
        <x:v>Nathan Davis</x:v>
      </x:c>
      <x:c r="H424" s="84" t="str">
        <x:f>IF(TRIM('Raw Sales'!E424)="","Unknown",PROPER(TRIM('Raw Sales'!E424)))</x:f>
        <x:v>Consumer</x:v>
      </x:c>
      <x:c r="I424" s="84" t="str">
        <x:f>PROPER(TRIM('Raw Sales'!F424))</x:f>
        <x:v>Midwest</x:v>
      </x:c>
      <x:c r="J424" s="84" t="str">
        <x:f>PROPER(TRIM('Raw Sales'!G424))</x:f>
        <x:v>Minneapolis</x:v>
      </x:c>
      <x:c r="K424" s="84" t="str">
        <x:f>PROPER(TRIM('Raw Sales'!H424))</x:f>
        <x:v>Retail Store</x:v>
      </x:c>
      <x:c r="L424" s="84" t="str">
        <x:f>'Raw Sales'!I424</x:f>
        <x:v>CARE-002</x:v>
      </x:c>
      <x:c r="M424" s="84" t="str">
        <x:f>IFERROR(VLOOKUP(L424,'Reference Data'!$A$5:$F$40,2,FALSE),"Unknown Product")</x:f>
        <x:v>Rechargeable Trimmer</x:v>
      </x:c>
      <x:c r="N424" s="84" t="str">
        <x:f>IFERROR(VLOOKUP(L424,'Reference Data'!$A$5:$F$40,3,FALSE),"Unknown")</x:f>
        <x:v>Personal Care</x:v>
      </x:c>
      <x:c r="O424" s="84" t="str">
        <x:f>IFERROR(VLOOKUP(L424,'Reference Data'!$A$5:$F$40,4,FALSE),"Unknown")</x:f>
        <x:v>Grooming</x:v>
      </x:c>
      <x:c r="P424" s="92" t="n">
        <x:f>IFERROR(VLOOKUP(L424,'Reference Data'!$A$5:$F$40,5,FALSE),0)</x:f>
        <x:v>45</x:v>
      </x:c>
      <x:c r="Q424" s="92" t="n">
        <x:f>IFERROR(VLOOKUP(L424,'Reference Data'!$A$5:$F$40,6,FALSE),0)</x:f>
        <x:v>19</x:v>
      </x:c>
      <x:c r="R424" s="84" t="n">
        <x:f>'Raw Sales'!J424</x:f>
        <x:v>1</x:v>
      </x:c>
      <x:c r="S424" s="87" t="n">
        <x:f>'Raw Sales'!K424</x:f>
        <x:v>0.15</x:v>
      </x:c>
      <x:c r="T424" s="93" t="n">
        <x:f>P424*R424</x:f>
        <x:v>45</x:v>
      </x:c>
      <x:c r="U424" s="93" t="n">
        <x:f>T424*S424</x:f>
        <x:v>6.75</x:v>
      </x:c>
      <x:c r="V424" s="93" t="str">
        <x:f>PROPER(TRIM('Raw Sales'!L424))</x:f>
        <x:v>Completed</x:v>
      </x:c>
      <x:c r="W424" s="93" t="n">
        <x:f>IF(V424="Returned",0,T424-U424)</x:f>
        <x:v>38.25</x:v>
      </x:c>
      <x:c r="X424" s="93" t="n">
        <x:f>IF(V424="Returned",Q424*R424*10%,Q424*R424)</x:f>
        <x:v>19</x:v>
      </x:c>
      <x:c r="Y424" s="93" t="n">
        <x:f>W424-X424</x:f>
        <x:v>19.25</x:v>
      </x:c>
      <x:c r="Z424" s="94" t="n">
        <x:f>IFERROR(Y424/W424,0)</x:f>
        <x:v>0.5032679738562091</x:v>
      </x:c>
      <x:c r="AA424" s="84" t="str">
        <x:f>PROPER(TRIM('Raw Sales'!M424))</x:f>
        <x:v>Credit Card</x:v>
      </x:c>
      <x:c r="AB424" s="84" t="str">
        <x:f>PROPER(TRIM('Raw Sales'!N424))</x:f>
        <x:v>Emma Hayes</x:v>
      </x:c>
      <x:c r="AC424" s="85" t="n">
        <x:f>'Raw Sales'!O424</x:f>
        <x:v>45452</x:v>
      </x:c>
      <x:c r="AD424" s="84" t="n">
        <x:f>AC424-B424</x:f>
        <x:v>1</x:v>
      </x:c>
      <x:c r="AE424" s="84" t="str">
        <x:f>IF(COUNTIF($A$5:A424,A424)&gt;1,"Duplicate","Keep")</x:f>
        <x:v>Keep</x:v>
      </x:c>
      <x:c r="AF424" s="84" t="str">
        <x:f>IF(OR(R424&lt;=0,AC424&lt;B424,H424="Unknown",M424="Unknown Product"),"Review","Valid")</x:f>
        <x:v>Valid</x:v>
      </x:c>
      <x:c r="AG424" s="84" t="n">
        <x:f>IF(AND(AE424="Keep",AF424="Valid"),1,0)</x:f>
        <x:v>1</x:v>
      </x:c>
      <x:c r="AH424" s="84" t="n">
        <x:f>IF(AND(AG424=1,OR('Dashboard'!$B$4="All",I424='Dashboard'!$B$4),OR('Dashboard'!$E$4="All",N424='Dashboard'!$E$4),OR('Dashboard'!$H$4="All",K424='Dashboard'!$H$4),OR('Dashboard'!$K$4="All",C424='Dashboard'!$K$4)),1,0)</x:f>
        <x:v>1</x:v>
      </x:c>
      <x:c r="AI424" s="84" t="n">
        <x:f>IF(AND(AG424=1,OR('Dashboard'!$B$4="All",I424='Dashboard'!$B$4),OR('Dashboard'!$E$4="All",N424='Dashboard'!$E$4),OR('Dashboard'!$H$4="All",K424='Dashboard'!$H$4)),1,0)</x:f>
        <x:v>1</x:v>
      </x:c>
    </x:row>
    <x:row r="425">
      <x:c r="A425" s="84" t="str">
        <x:f>'Raw Sales'!A425</x:f>
        <x:v>ORD-2024-00041</x:v>
      </x:c>
      <x:c r="B425" s="85" t="n">
        <x:f>'Raw Sales'!B425</x:f>
        <x:v>45452</x:v>
      </x:c>
      <x:c r="C425" s="84" t="n">
        <x:f>YEAR(B425)</x:f>
        <x:v>2024</x:v>
      </x:c>
      <x:c r="D425" s="91" t="n">
        <x:f>DATE(YEAR(B425),MONTH(B425),1)</x:f>
        <x:v>45444</x:v>
      </x:c>
      <x:c r="E425" s="84" t="str">
        <x:f>TEXT(B425,"mmm")</x:f>
        <x:v>Jun</x:v>
      </x:c>
      <x:c r="F425" s="84" t="str">
        <x:f>'Raw Sales'!C425</x:f>
        <x:v>CUST-0107</x:v>
      </x:c>
      <x:c r="G425" s="84" t="str">
        <x:f>PROPER(TRIM('Raw Sales'!D425))</x:f>
        <x:v>Elena Hall</x:v>
      </x:c>
      <x:c r="H425" s="84" t="str">
        <x:f>IF(TRIM('Raw Sales'!E425)="","Unknown",PROPER(TRIM('Raw Sales'!E425)))</x:f>
        <x:v>Consumer</x:v>
      </x:c>
      <x:c r="I425" s="84" t="str">
        <x:f>PROPER(TRIM('Raw Sales'!F425))</x:f>
        <x:v>Midwest</x:v>
      </x:c>
      <x:c r="J425" s="84" t="str">
        <x:f>PROPER(TRIM('Raw Sales'!G425))</x:f>
        <x:v>Columbus</x:v>
      </x:c>
      <x:c r="K425" s="84" t="str">
        <x:f>PROPER(TRIM('Raw Sales'!H425))</x:f>
        <x:v>Online</x:v>
      </x:c>
      <x:c r="L425" s="84" t="str">
        <x:f>'Raw Sales'!I425</x:f>
        <x:v>HOME-001</x:v>
      </x:c>
      <x:c r="M425" s="84" t="str">
        <x:f>IFERROR(VLOOKUP(L425,'Reference Data'!$A$5:$F$40,2,FALSE),"Unknown Product")</x:f>
        <x:v>Air Fryer</x:v>
      </x:c>
      <x:c r="N425" s="84" t="str">
        <x:f>IFERROR(VLOOKUP(L425,'Reference Data'!$A$5:$F$40,3,FALSE),"Unknown")</x:f>
        <x:v>Home &amp; Kitchen</x:v>
      </x:c>
      <x:c r="O425" s="84" t="str">
        <x:f>IFERROR(VLOOKUP(L425,'Reference Data'!$A$5:$F$40,4,FALSE),"Unknown")</x:f>
        <x:v>Small Appliances</x:v>
      </x:c>
      <x:c r="P425" s="92" t="n">
        <x:f>IFERROR(VLOOKUP(L425,'Reference Data'!$A$5:$F$40,5,FALSE),0)</x:f>
        <x:v>119</x:v>
      </x:c>
      <x:c r="Q425" s="92" t="n">
        <x:f>IFERROR(VLOOKUP(L425,'Reference Data'!$A$5:$F$40,6,FALSE),0)</x:f>
        <x:v>68</x:v>
      </x:c>
      <x:c r="R425" s="84" t="n">
        <x:f>'Raw Sales'!J425</x:f>
        <x:v>1</x:v>
      </x:c>
      <x:c r="S425" s="87" t="n">
        <x:f>'Raw Sales'!K425</x:f>
        <x:v>0</x:v>
      </x:c>
      <x:c r="T425" s="93" t="n">
        <x:f>P425*R425</x:f>
        <x:v>119</x:v>
      </x:c>
      <x:c r="U425" s="93" t="n">
        <x:f>T425*S425</x:f>
        <x:v>0</x:v>
      </x:c>
      <x:c r="V425" s="93" t="str">
        <x:f>PROPER(TRIM('Raw Sales'!L425))</x:f>
        <x:v>Completed</x:v>
      </x:c>
      <x:c r="W425" s="93" t="n">
        <x:f>IF(V425="Returned",0,T425-U425)</x:f>
        <x:v>119</x:v>
      </x:c>
      <x:c r="X425" s="93" t="n">
        <x:f>IF(V425="Returned",Q425*R425*10%,Q425*R425)</x:f>
        <x:v>68</x:v>
      </x:c>
      <x:c r="Y425" s="93" t="n">
        <x:f>W425-X425</x:f>
        <x:v>51</x:v>
      </x:c>
      <x:c r="Z425" s="94" t="n">
        <x:f>IFERROR(Y425/W425,0)</x:f>
        <x:v>0.42857142857142855</x:v>
      </x:c>
      <x:c r="AA425" s="84" t="str">
        <x:f>PROPER(TRIM('Raw Sales'!M425))</x:f>
        <x:v>Credit Card</x:v>
      </x:c>
      <x:c r="AB425" s="84" t="str">
        <x:f>PROPER(TRIM('Raw Sales'!N425))</x:f>
        <x:v>Zoe Turner</x:v>
      </x:c>
      <x:c r="AC425" s="85" t="n">
        <x:f>'Raw Sales'!O425</x:f>
        <x:v>45456</x:v>
      </x:c>
      <x:c r="AD425" s="84" t="n">
        <x:f>AC425-B425</x:f>
        <x:v>4</x:v>
      </x:c>
      <x:c r="AE425" s="84" t="str">
        <x:f>IF(COUNTIF($A$5:A425,A425)&gt;1,"Duplicate","Keep")</x:f>
        <x:v>Keep</x:v>
      </x:c>
      <x:c r="AF425" s="84" t="str">
        <x:f>IF(OR(R425&lt;=0,AC425&lt;B425,H425="Unknown",M425="Unknown Product"),"Review","Valid")</x:f>
        <x:v>Valid</x:v>
      </x:c>
      <x:c r="AG425" s="84" t="n">
        <x:f>IF(AND(AE425="Keep",AF425="Valid"),1,0)</x:f>
        <x:v>1</x:v>
      </x:c>
      <x:c r="AH425" s="84" t="n">
        <x:f>IF(AND(AG425=1,OR('Dashboard'!$B$4="All",I425='Dashboard'!$B$4),OR('Dashboard'!$E$4="All",N425='Dashboard'!$E$4),OR('Dashboard'!$H$4="All",K425='Dashboard'!$H$4),OR('Dashboard'!$K$4="All",C425='Dashboard'!$K$4)),1,0)</x:f>
        <x:v>1</x:v>
      </x:c>
      <x:c r="AI425" s="84" t="n">
        <x:f>IF(AND(AG425=1,OR('Dashboard'!$B$4="All",I425='Dashboard'!$B$4),OR('Dashboard'!$E$4="All",N425='Dashboard'!$E$4),OR('Dashboard'!$H$4="All",K425='Dashboard'!$H$4)),1,0)</x:f>
        <x:v>1</x:v>
      </x:c>
    </x:row>
    <x:row r="426">
      <x:c r="A426" s="84" t="str">
        <x:f>'Raw Sales'!A426</x:f>
        <x:v>ORD-2024-00371</x:v>
      </x:c>
      <x:c r="B426" s="85" t="n">
        <x:f>'Raw Sales'!B426</x:f>
        <x:v>45452</x:v>
      </x:c>
      <x:c r="C426" s="84" t="n">
        <x:f>YEAR(B426)</x:f>
        <x:v>2024</x:v>
      </x:c>
      <x:c r="D426" s="91" t="n">
        <x:f>DATE(YEAR(B426),MONTH(B426),1)</x:f>
        <x:v>45444</x:v>
      </x:c>
      <x:c r="E426" s="84" t="str">
        <x:f>TEXT(B426,"mmm")</x:f>
        <x:v>Jun</x:v>
      </x:c>
      <x:c r="F426" s="84" t="str">
        <x:f>'Raw Sales'!C426</x:f>
        <x:v>CUST-0458</x:v>
      </x:c>
      <x:c r="G426" s="84" t="str">
        <x:f>PROPER(TRIM('Raw Sales'!D426))</x:f>
        <x:v>Samuel Carter</x:v>
      </x:c>
      <x:c r="H426" s="84" t="str">
        <x:f>IF(TRIM('Raw Sales'!E426)="","Unknown",PROPER(TRIM('Raw Sales'!E426)))</x:f>
        <x:v>Consumer</x:v>
      </x:c>
      <x:c r="I426" s="84" t="str">
        <x:f>PROPER(TRIM('Raw Sales'!F426))</x:f>
        <x:v>Southeast</x:v>
      </x:c>
      <x:c r="J426" s="84" t="str">
        <x:f>PROPER(TRIM('Raw Sales'!G426))</x:f>
        <x:v>Atlanta</x:v>
      </x:c>
      <x:c r="K426" s="84" t="str">
        <x:f>PROPER(TRIM('Raw Sales'!H426))</x:f>
        <x:v>Retail Store</x:v>
      </x:c>
      <x:c r="L426" s="84" t="str">
        <x:f>'Raw Sales'!I426</x:f>
        <x:v>OFFC-001</x:v>
      </x:c>
      <x:c r="M426" s="84" t="str">
        <x:f>IFERROR(VLOOKUP(L426,'Reference Data'!$A$5:$F$40,2,FALSE),"Unknown Product")</x:f>
        <x:v>Ergonomic Chair</x:v>
      </x:c>
      <x:c r="N426" s="84" t="str">
        <x:f>IFERROR(VLOOKUP(L426,'Reference Data'!$A$5:$F$40,3,FALSE),"Unknown")</x:f>
        <x:v>Office</x:v>
      </x:c>
      <x:c r="O426" s="84" t="str">
        <x:f>IFERROR(VLOOKUP(L426,'Reference Data'!$A$5:$F$40,4,FALSE),"Unknown")</x:f>
        <x:v>Furniture</x:v>
      </x:c>
      <x:c r="P426" s="92" t="n">
        <x:f>IFERROR(VLOOKUP(L426,'Reference Data'!$A$5:$F$40,5,FALSE),0)</x:f>
        <x:v>249</x:v>
      </x:c>
      <x:c r="Q426" s="92" t="n">
        <x:f>IFERROR(VLOOKUP(L426,'Reference Data'!$A$5:$F$40,6,FALSE),0)</x:f>
        <x:v>145</x:v>
      </x:c>
      <x:c r="R426" s="84" t="n">
        <x:f>'Raw Sales'!J426</x:f>
        <x:v>1</x:v>
      </x:c>
      <x:c r="S426" s="87" t="n">
        <x:f>'Raw Sales'!K426</x:f>
        <x:v>0</x:v>
      </x:c>
      <x:c r="T426" s="93" t="n">
        <x:f>P426*R426</x:f>
        <x:v>249</x:v>
      </x:c>
      <x:c r="U426" s="93" t="n">
        <x:f>T426*S426</x:f>
        <x:v>0</x:v>
      </x:c>
      <x:c r="V426" s="93" t="str">
        <x:f>PROPER(TRIM('Raw Sales'!L426))</x:f>
        <x:v>Completed</x:v>
      </x:c>
      <x:c r="W426" s="93" t="n">
        <x:f>IF(V426="Returned",0,T426-U426)</x:f>
        <x:v>249</x:v>
      </x:c>
      <x:c r="X426" s="93" t="n">
        <x:f>IF(V426="Returned",Q426*R426*10%,Q426*R426)</x:f>
        <x:v>145</x:v>
      </x:c>
      <x:c r="Y426" s="93" t="n">
        <x:f>W426-X426</x:f>
        <x:v>104</x:v>
      </x:c>
      <x:c r="Z426" s="94" t="n">
        <x:f>IFERROR(Y426/W426,0)</x:f>
        <x:v>0.41767068273092367</x:v>
      </x:c>
      <x:c r="AA426" s="84" t="str">
        <x:f>PROPER(TRIM('Raw Sales'!M426))</x:f>
        <x:v>Credit Card</x:v>
      </x:c>
      <x:c r="AB426" s="84" t="str">
        <x:f>PROPER(TRIM('Raw Sales'!N426))</x:f>
        <x:v>Ava Mitchell</x:v>
      </x:c>
      <x:c r="AC426" s="85" t="n">
        <x:f>'Raw Sales'!O426</x:f>
        <x:v>45452</x:v>
      </x:c>
      <x:c r="AD426" s="84" t="n">
        <x:f>AC426-B426</x:f>
        <x:v>0</x:v>
      </x:c>
      <x:c r="AE426" s="84" t="str">
        <x:f>IF(COUNTIF($A$5:A426,A426)&gt;1,"Duplicate","Keep")</x:f>
        <x:v>Keep</x:v>
      </x:c>
      <x:c r="AF426" s="84" t="str">
        <x:f>IF(OR(R426&lt;=0,AC426&lt;B426,H426="Unknown",M426="Unknown Product"),"Review","Valid")</x:f>
        <x:v>Valid</x:v>
      </x:c>
      <x:c r="AG426" s="84" t="n">
        <x:f>IF(AND(AE426="Keep",AF426="Valid"),1,0)</x:f>
        <x:v>1</x:v>
      </x:c>
      <x:c r="AH426" s="84" t="n">
        <x:f>IF(AND(AG426=1,OR('Dashboard'!$B$4="All",I426='Dashboard'!$B$4),OR('Dashboard'!$E$4="All",N426='Dashboard'!$E$4),OR('Dashboard'!$H$4="All",K426='Dashboard'!$H$4),OR('Dashboard'!$K$4="All",C426='Dashboard'!$K$4)),1,0)</x:f>
        <x:v>1</x:v>
      </x:c>
      <x:c r="AI426" s="84" t="n">
        <x:f>IF(AND(AG426=1,OR('Dashboard'!$B$4="All",I426='Dashboard'!$B$4),OR('Dashboard'!$E$4="All",N426='Dashboard'!$E$4),OR('Dashboard'!$H$4="All",K426='Dashboard'!$H$4)),1,0)</x:f>
        <x:v>1</x:v>
      </x:c>
    </x:row>
    <x:row r="427">
      <x:c r="A427" s="84" t="str">
        <x:f>'Raw Sales'!A427</x:f>
        <x:v>ORD-2024-00878</x:v>
      </x:c>
      <x:c r="B427" s="85" t="n">
        <x:f>'Raw Sales'!B427</x:f>
        <x:v>45452</x:v>
      </x:c>
      <x:c r="C427" s="84" t="n">
        <x:f>YEAR(B427)</x:f>
        <x:v>2024</x:v>
      </x:c>
      <x:c r="D427" s="91" t="n">
        <x:f>DATE(YEAR(B427),MONTH(B427),1)</x:f>
        <x:v>45444</x:v>
      </x:c>
      <x:c r="E427" s="84" t="str">
        <x:f>TEXT(B427,"mmm")</x:f>
        <x:v>Jun</x:v>
      </x:c>
      <x:c r="F427" s="84" t="str">
        <x:f>'Raw Sales'!C427</x:f>
        <x:v>CUST-0002</x:v>
      </x:c>
      <x:c r="G427" s="84" t="str">
        <x:f>PROPER(TRIM('Raw Sales'!D427))</x:f>
        <x:v>Isaac Ortiz</x:v>
      </x:c>
      <x:c r="H427" s="84" t="str">
        <x:f>IF(TRIM('Raw Sales'!E427)="","Unknown",PROPER(TRIM('Raw Sales'!E427)))</x:f>
        <x:v>Corporate</x:v>
      </x:c>
      <x:c r="I427" s="84" t="str">
        <x:f>PROPER(TRIM('Raw Sales'!F427))</x:f>
        <x:v>Northeast</x:v>
      </x:c>
      <x:c r="J427" s="84" t="str">
        <x:f>PROPER(TRIM('Raw Sales'!G427))</x:f>
        <x:v>New York</x:v>
      </x:c>
      <x:c r="K427" s="84" t="str">
        <x:f>PROPER(TRIM('Raw Sales'!H427))</x:f>
        <x:v>Retail Store</x:v>
      </x:c>
      <x:c r="L427" s="84" t="str">
        <x:f>'Raw Sales'!I427</x:f>
        <x:v>OFFC-003</x:v>
      </x:c>
      <x:c r="M427" s="84" t="str">
        <x:f>IFERROR(VLOOKUP(L427,'Reference Data'!$A$5:$F$40,2,FALSE),"Unknown Product")</x:f>
        <x:v>LED Desk Lamp</x:v>
      </x:c>
      <x:c r="N427" s="84" t="str">
        <x:f>IFERROR(VLOOKUP(L427,'Reference Data'!$A$5:$F$40,3,FALSE),"Unknown")</x:f>
        <x:v>Office</x:v>
      </x:c>
      <x:c r="O427" s="84" t="str">
        <x:f>IFERROR(VLOOKUP(L427,'Reference Data'!$A$5:$F$40,4,FALSE),"Unknown")</x:f>
        <x:v>Desk Accessories</x:v>
      </x:c>
      <x:c r="P427" s="92" t="n">
        <x:f>IFERROR(VLOOKUP(L427,'Reference Data'!$A$5:$F$40,5,FALSE),0)</x:f>
        <x:v>45</x:v>
      </x:c>
      <x:c r="Q427" s="92" t="n">
        <x:f>IFERROR(VLOOKUP(L427,'Reference Data'!$A$5:$F$40,6,FALSE),0)</x:f>
        <x:v>20</x:v>
      </x:c>
      <x:c r="R427" s="84" t="n">
        <x:f>'Raw Sales'!J427</x:f>
        <x:v>6</x:v>
      </x:c>
      <x:c r="S427" s="87" t="n">
        <x:f>'Raw Sales'!K427</x:f>
        <x:v>0</x:v>
      </x:c>
      <x:c r="T427" s="93" t="n">
        <x:f>P427*R427</x:f>
        <x:v>270</x:v>
      </x:c>
      <x:c r="U427" s="93" t="n">
        <x:f>T427*S427</x:f>
        <x:v>0</x:v>
      </x:c>
      <x:c r="V427" s="93" t="str">
        <x:f>PROPER(TRIM('Raw Sales'!L427))</x:f>
        <x:v>Completed</x:v>
      </x:c>
      <x:c r="W427" s="93" t="n">
        <x:f>IF(V427="Returned",0,T427-U427)</x:f>
        <x:v>270</x:v>
      </x:c>
      <x:c r="X427" s="93" t="n">
        <x:f>IF(V427="Returned",Q427*R427*10%,Q427*R427)</x:f>
        <x:v>120</x:v>
      </x:c>
      <x:c r="Y427" s="93" t="n">
        <x:f>W427-X427</x:f>
        <x:v>150</x:v>
      </x:c>
      <x:c r="Z427" s="94" t="n">
        <x:f>IFERROR(Y427/W427,0)</x:f>
        <x:v>0.5555555555555556</x:v>
      </x:c>
      <x:c r="AA427" s="84" t="str">
        <x:f>PROPER(TRIM('Raw Sales'!M427))</x:f>
        <x:v>Debit Card</x:v>
      </x:c>
      <x:c r="AB427" s="84" t="str">
        <x:f>PROPER(TRIM('Raw Sales'!N427))</x:f>
        <x:v>Sofia Bennett</x:v>
      </x:c>
      <x:c r="AC427" s="85" t="n">
        <x:f>'Raw Sales'!O427</x:f>
        <x:v>45452</x:v>
      </x:c>
      <x:c r="AD427" s="84" t="n">
        <x:f>AC427-B427</x:f>
        <x:v>0</x:v>
      </x:c>
      <x:c r="AE427" s="84" t="str">
        <x:f>IF(COUNTIF($A$5:A427,A427)&gt;1,"Duplicate","Keep")</x:f>
        <x:v>Keep</x:v>
      </x:c>
      <x:c r="AF427" s="84" t="str">
        <x:f>IF(OR(R427&lt;=0,AC427&lt;B427,H427="Unknown",M427="Unknown Product"),"Review","Valid")</x:f>
        <x:v>Valid</x:v>
      </x:c>
      <x:c r="AG427" s="84" t="n">
        <x:f>IF(AND(AE427="Keep",AF427="Valid"),1,0)</x:f>
        <x:v>1</x:v>
      </x:c>
      <x:c r="AH427" s="84" t="n">
        <x:f>IF(AND(AG427=1,OR('Dashboard'!$B$4="All",I427='Dashboard'!$B$4),OR('Dashboard'!$E$4="All",N427='Dashboard'!$E$4),OR('Dashboard'!$H$4="All",K427='Dashboard'!$H$4),OR('Dashboard'!$K$4="All",C427='Dashboard'!$K$4)),1,0)</x:f>
        <x:v>1</x:v>
      </x:c>
      <x:c r="AI427" s="84" t="n">
        <x:f>IF(AND(AG427=1,OR('Dashboard'!$B$4="All",I427='Dashboard'!$B$4),OR('Dashboard'!$E$4="All",N427='Dashboard'!$E$4),OR('Dashboard'!$H$4="All",K427='Dashboard'!$H$4)),1,0)</x:f>
        <x:v>1</x:v>
      </x:c>
    </x:row>
    <x:row r="428">
      <x:c r="A428" s="84" t="str">
        <x:f>'Raw Sales'!A428</x:f>
        <x:v>ORD-2024-01623</x:v>
      </x:c>
      <x:c r="B428" s="85" t="n">
        <x:f>'Raw Sales'!B428</x:f>
        <x:v>45452</x:v>
      </x:c>
      <x:c r="C428" s="84" t="n">
        <x:f>YEAR(B428)</x:f>
        <x:v>2024</x:v>
      </x:c>
      <x:c r="D428" s="91" t="n">
        <x:f>DATE(YEAR(B428),MONTH(B428),1)</x:f>
        <x:v>45444</x:v>
      </x:c>
      <x:c r="E428" s="84" t="str">
        <x:f>TEXT(B428,"mmm")</x:f>
        <x:v>Jun</x:v>
      </x:c>
      <x:c r="F428" s="84" t="str">
        <x:f>'Raw Sales'!C428</x:f>
        <x:v>CUST-0334</x:v>
      </x:c>
      <x:c r="G428" s="84" t="str">
        <x:f>PROPER(TRIM('Raw Sales'!D428))</x:f>
        <x:v>Maya Lewis</x:v>
      </x:c>
      <x:c r="H428" s="84" t="str">
        <x:f>IF(TRIM('Raw Sales'!E428)="","Unknown",PROPER(TRIM('Raw Sales'!E428)))</x:f>
        <x:v>Corporate</x:v>
      </x:c>
      <x:c r="I428" s="84" t="str">
        <x:f>PROPER(TRIM('Raw Sales'!F428))</x:f>
        <x:v>Southeast</x:v>
      </x:c>
      <x:c r="J428" s="84" t="str">
        <x:f>PROPER(TRIM('Raw Sales'!G428))</x:f>
        <x:v>Miami</x:v>
      </x:c>
      <x:c r="K428" s="84" t="str">
        <x:f>PROPER(TRIM('Raw Sales'!H428))</x:f>
        <x:v>Online</x:v>
      </x:c>
      <x:c r="L428" s="84" t="str">
        <x:f>'Raw Sales'!I428</x:f>
        <x:v>CARE-005</x:v>
      </x:c>
      <x:c r="M428" s="84" t="str">
        <x:f>IFERROR(VLOOKUP(L428,'Reference Data'!$A$5:$F$40,2,FALSE),"Unknown Product")</x:f>
        <x:v>Skin Care Starter Kit</x:v>
      </x:c>
      <x:c r="N428" s="84" t="str">
        <x:f>IFERROR(VLOOKUP(L428,'Reference Data'!$A$5:$F$40,3,FALSE),"Unknown")</x:f>
        <x:v>Personal Care</x:v>
      </x:c>
      <x:c r="O428" s="84" t="str">
        <x:f>IFERROR(VLOOKUP(L428,'Reference Data'!$A$5:$F$40,4,FALSE),"Unknown")</x:f>
        <x:v>Skin Care</x:v>
      </x:c>
      <x:c r="P428" s="92" t="n">
        <x:f>IFERROR(VLOOKUP(L428,'Reference Data'!$A$5:$F$40,5,FALSE),0)</x:f>
        <x:v>58</x:v>
      </x:c>
      <x:c r="Q428" s="92" t="n">
        <x:f>IFERROR(VLOOKUP(L428,'Reference Data'!$A$5:$F$40,6,FALSE),0)</x:f>
        <x:v>24</x:v>
      </x:c>
      <x:c r="R428" s="84" t="n">
        <x:f>'Raw Sales'!J428</x:f>
        <x:v>6</x:v>
      </x:c>
      <x:c r="S428" s="87" t="n">
        <x:f>'Raw Sales'!K428</x:f>
        <x:v>0</x:v>
      </x:c>
      <x:c r="T428" s="93" t="n">
        <x:f>P428*R428</x:f>
        <x:v>348</x:v>
      </x:c>
      <x:c r="U428" s="93" t="n">
        <x:f>T428*S428</x:f>
        <x:v>0</x:v>
      </x:c>
      <x:c r="V428" s="93" t="str">
        <x:f>PROPER(TRIM('Raw Sales'!L428))</x:f>
        <x:v>Returned</x:v>
      </x:c>
      <x:c r="W428" s="93" t="n">
        <x:f>IF(V428="Returned",0,T428-U428)</x:f>
        <x:v>0</x:v>
      </x:c>
      <x:c r="X428" s="93" t="n">
        <x:f>IF(V428="Returned",Q428*R428*10%,Q428*R428)</x:f>
        <x:v>14.4</x:v>
      </x:c>
      <x:c r="Y428" s="93" t="n">
        <x:f>W428-X428</x:f>
        <x:v>-14.4</x:v>
      </x:c>
      <x:c r="Z428" s="94" t="n">
        <x:f>IFERROR(Y428/W428,0)</x:f>
        <x:v>0</x:v>
      </x:c>
      <x:c r="AA428" s="84" t="str">
        <x:f>PROPER(TRIM('Raw Sales'!M428))</x:f>
        <x:v>Credit Card</x:v>
      </x:c>
      <x:c r="AB428" s="84" t="str">
        <x:f>PROPER(TRIM('Raw Sales'!N428))</x:f>
        <x:v>Noah Reed</x:v>
      </x:c>
      <x:c r="AC428" s="85" t="n">
        <x:f>'Raw Sales'!O428</x:f>
        <x:v>45456</x:v>
      </x:c>
      <x:c r="AD428" s="84" t="n">
        <x:f>AC428-B428</x:f>
        <x:v>4</x:v>
      </x:c>
      <x:c r="AE428" s="84" t="str">
        <x:f>IF(COUNTIF($A$5:A428,A428)&gt;1,"Duplicate","Keep")</x:f>
        <x:v>Keep</x:v>
      </x:c>
      <x:c r="AF428" s="84" t="str">
        <x:f>IF(OR(R428&lt;=0,AC428&lt;B428,H428="Unknown",M428="Unknown Product"),"Review","Valid")</x:f>
        <x:v>Valid</x:v>
      </x:c>
      <x:c r="AG428" s="84" t="n">
        <x:f>IF(AND(AE428="Keep",AF428="Valid"),1,0)</x:f>
        <x:v>1</x:v>
      </x:c>
      <x:c r="AH428" s="84" t="n">
        <x:f>IF(AND(AG428=1,OR('Dashboard'!$B$4="All",I428='Dashboard'!$B$4),OR('Dashboard'!$E$4="All",N428='Dashboard'!$E$4),OR('Dashboard'!$H$4="All",K428='Dashboard'!$H$4),OR('Dashboard'!$K$4="All",C428='Dashboard'!$K$4)),1,0)</x:f>
        <x:v>1</x:v>
      </x:c>
      <x:c r="AI428" s="84" t="n">
        <x:f>IF(AND(AG428=1,OR('Dashboard'!$B$4="All",I428='Dashboard'!$B$4),OR('Dashboard'!$E$4="All",N428='Dashboard'!$E$4),OR('Dashboard'!$H$4="All",K428='Dashboard'!$H$4)),1,0)</x:f>
        <x:v>1</x:v>
      </x:c>
    </x:row>
    <x:row r="429">
      <x:c r="A429" s="84" t="str">
        <x:f>'Raw Sales'!A429</x:f>
        <x:v>ORD-2024-02156</x:v>
      </x:c>
      <x:c r="B429" s="85" t="n">
        <x:f>'Raw Sales'!B429</x:f>
        <x:v>45452</x:v>
      </x:c>
      <x:c r="C429" s="84" t="n">
        <x:f>YEAR(B429)</x:f>
        <x:v>2024</x:v>
      </x:c>
      <x:c r="D429" s="91" t="n">
        <x:f>DATE(YEAR(B429),MONTH(B429),1)</x:f>
        <x:v>45444</x:v>
      </x:c>
      <x:c r="E429" s="84" t="str">
        <x:f>TEXT(B429,"mmm")</x:f>
        <x:v>Jun</x:v>
      </x:c>
      <x:c r="F429" s="84" t="str">
        <x:f>'Raw Sales'!C429</x:f>
        <x:v>CUST-0336</x:v>
      </x:c>
      <x:c r="G429" s="84" t="str">
        <x:f>PROPER(TRIM('Raw Sales'!D429))</x:f>
        <x:v>Jonah Garcia</x:v>
      </x:c>
      <x:c r="H429" s="84" t="str">
        <x:f>IF(TRIM('Raw Sales'!E429)="","Unknown",PROPER(TRIM('Raw Sales'!E429)))</x:f>
        <x:v>Consumer</x:v>
      </x:c>
      <x:c r="I429" s="84" t="str">
        <x:f>PROPER(TRIM('Raw Sales'!F429))</x:f>
        <x:v>West</x:v>
      </x:c>
      <x:c r="J429" s="84" t="str">
        <x:f>PROPER(TRIM('Raw Sales'!G429))</x:f>
        <x:v>Phoenix</x:v>
      </x:c>
      <x:c r="K429" s="84" t="str">
        <x:f>PROPER(TRIM('Raw Sales'!H429))</x:f>
        <x:v>Retail Store</x:v>
      </x:c>
      <x:c r="L429" s="84" t="str">
        <x:f>'Raw Sales'!I429</x:f>
        <x:v>ELEC-004</x:v>
      </x:c>
      <x:c r="M429" s="84" t="str">
        <x:f>IFERROR(VLOOKUP(L429,'Reference Data'!$A$5:$F$40,2,FALSE),"Unknown Product")</x:f>
        <x:v>Power Bank</x:v>
      </x:c>
      <x:c r="N429" s="84" t="str">
        <x:f>IFERROR(VLOOKUP(L429,'Reference Data'!$A$5:$F$40,3,FALSE),"Unknown")</x:f>
        <x:v>Electronics</x:v>
      </x:c>
      <x:c r="O429" s="84" t="str">
        <x:f>IFERROR(VLOOKUP(L429,'Reference Data'!$A$5:$F$40,4,FALSE),"Unknown")</x:f>
        <x:v>Mobile Accessories</x:v>
      </x:c>
      <x:c r="P429" s="92" t="n">
        <x:f>IFERROR(VLOOKUP(L429,'Reference Data'!$A$5:$F$40,5,FALSE),0)</x:f>
        <x:v>39</x:v>
      </x:c>
      <x:c r="Q429" s="92" t="n">
        <x:f>IFERROR(VLOOKUP(L429,'Reference Data'!$A$5:$F$40,6,FALSE),0)</x:f>
        <x:v>18</x:v>
      </x:c>
      <x:c r="R429" s="84" t="n">
        <x:f>'Raw Sales'!J429</x:f>
        <x:v>3</x:v>
      </x:c>
      <x:c r="S429" s="87" t="n">
        <x:f>'Raw Sales'!K429</x:f>
        <x:v>0.05</x:v>
      </x:c>
      <x:c r="T429" s="93" t="n">
        <x:f>P429*R429</x:f>
        <x:v>117</x:v>
      </x:c>
      <x:c r="U429" s="93" t="n">
        <x:f>T429*S429</x:f>
        <x:v>5.8500000000000005</x:v>
      </x:c>
      <x:c r="V429" s="93" t="str">
        <x:f>PROPER(TRIM('Raw Sales'!L429))</x:f>
        <x:v>Completed</x:v>
      </x:c>
      <x:c r="W429" s="93" t="n">
        <x:f>IF(V429="Returned",0,T429-U429)</x:f>
        <x:v>111.15</x:v>
      </x:c>
      <x:c r="X429" s="93" t="n">
        <x:f>IF(V429="Returned",Q429*R429*10%,Q429*R429)</x:f>
        <x:v>54</x:v>
      </x:c>
      <x:c r="Y429" s="93" t="n">
        <x:f>W429-X429</x:f>
        <x:v>57.150000000000006</x:v>
      </x:c>
      <x:c r="Z429" s="94" t="n">
        <x:f>IFERROR(Y429/W429,0)</x:f>
        <x:v>0.51417004048583</x:v>
      </x:c>
      <x:c r="AA429" s="84" t="str">
        <x:f>PROPER(TRIM('Raw Sales'!M429))</x:f>
        <x:v>Debit Card</x:v>
      </x:c>
      <x:c r="AB429" s="84" t="str">
        <x:f>PROPER(TRIM('Raw Sales'!N429))</x:f>
        <x:v>Mia Chen</x:v>
      </x:c>
      <x:c r="AC429" s="85" t="n">
        <x:f>'Raw Sales'!O429</x:f>
        <x:v>45452</x:v>
      </x:c>
      <x:c r="AD429" s="84" t="n">
        <x:f>AC429-B429</x:f>
        <x:v>0</x:v>
      </x:c>
      <x:c r="AE429" s="84" t="str">
        <x:f>IF(COUNTIF($A$5:A429,A429)&gt;1,"Duplicate","Keep")</x:f>
        <x:v>Keep</x:v>
      </x:c>
      <x:c r="AF429" s="84" t="str">
        <x:f>IF(OR(R429&lt;=0,AC429&lt;B429,H429="Unknown",M429="Unknown Product"),"Review","Valid")</x:f>
        <x:v>Valid</x:v>
      </x:c>
      <x:c r="AG429" s="84" t="n">
        <x:f>IF(AND(AE429="Keep",AF429="Valid"),1,0)</x:f>
        <x:v>1</x:v>
      </x:c>
      <x:c r="AH429" s="84" t="n">
        <x:f>IF(AND(AG429=1,OR('Dashboard'!$B$4="All",I429='Dashboard'!$B$4),OR('Dashboard'!$E$4="All",N429='Dashboard'!$E$4),OR('Dashboard'!$H$4="All",K429='Dashboard'!$H$4),OR('Dashboard'!$K$4="All",C429='Dashboard'!$K$4)),1,0)</x:f>
        <x:v>1</x:v>
      </x:c>
      <x:c r="AI429" s="84" t="n">
        <x:f>IF(AND(AG429=1,OR('Dashboard'!$B$4="All",I429='Dashboard'!$B$4),OR('Dashboard'!$E$4="All",N429='Dashboard'!$E$4),OR('Dashboard'!$H$4="All",K429='Dashboard'!$H$4)),1,0)</x:f>
        <x:v>1</x:v>
      </x:c>
    </x:row>
    <x:row r="430">
      <x:c r="A430" s="84" t="str">
        <x:f>'Raw Sales'!A430</x:f>
        <x:v>ORD-2024-00937</x:v>
      </x:c>
      <x:c r="B430" s="85" t="n">
        <x:f>'Raw Sales'!B430</x:f>
        <x:v>45453</x:v>
      </x:c>
      <x:c r="C430" s="84" t="n">
        <x:f>YEAR(B430)</x:f>
        <x:v>2024</x:v>
      </x:c>
      <x:c r="D430" s="91" t="n">
        <x:f>DATE(YEAR(B430),MONTH(B430),1)</x:f>
        <x:v>45444</x:v>
      </x:c>
      <x:c r="E430" s="84" t="str">
        <x:f>TEXT(B430,"mmm")</x:f>
        <x:v>Jun</x:v>
      </x:c>
      <x:c r="F430" s="84" t="str">
        <x:f>'Raw Sales'!C430</x:f>
        <x:v>CUST-0307</x:v>
      </x:c>
      <x:c r="G430" s="84" t="str">
        <x:f>PROPER(TRIM('Raw Sales'!D430))</x:f>
        <x:v>Theo Patel</x:v>
      </x:c>
      <x:c r="H430" s="84" t="str">
        <x:f>IF(TRIM('Raw Sales'!E430)="","Unknown",PROPER(TRIM('Raw Sales'!E430)))</x:f>
        <x:v>Consumer</x:v>
      </x:c>
      <x:c r="I430" s="84" t="str">
        <x:f>PROPER(TRIM('Raw Sales'!F430))</x:f>
        <x:v>Midwest</x:v>
      </x:c>
      <x:c r="J430" s="84" t="str">
        <x:f>PROPER(TRIM('Raw Sales'!G430))</x:f>
        <x:v>Chicago</x:v>
      </x:c>
      <x:c r="K430" s="84" t="str">
        <x:f>PROPER(TRIM('Raw Sales'!H430))</x:f>
        <x:v>Online</x:v>
      </x:c>
      <x:c r="L430" s="84" t="str">
        <x:f>'Raw Sales'!I430</x:f>
        <x:v>OFFC-005</x:v>
      </x:c>
      <x:c r="M430" s="84" t="str">
        <x:f>IFERROR(VLOOKUP(L430,'Reference Data'!$A$5:$F$40,2,FALSE),"Unknown Product")</x:f>
        <x:v>Wireless Keyboard</x:v>
      </x:c>
      <x:c r="N430" s="84" t="str">
        <x:f>IFERROR(VLOOKUP(L430,'Reference Data'!$A$5:$F$40,3,FALSE),"Unknown")</x:f>
        <x:v>Office</x:v>
      </x:c>
      <x:c r="O430" s="84" t="str">
        <x:f>IFERROR(VLOOKUP(L430,'Reference Data'!$A$5:$F$40,4,FALSE),"Unknown")</x:f>
        <x:v>Computer Accessories</x:v>
      </x:c>
      <x:c r="P430" s="92" t="n">
        <x:f>IFERROR(VLOOKUP(L430,'Reference Data'!$A$5:$F$40,5,FALSE),0)</x:f>
        <x:v>59</x:v>
      </x:c>
      <x:c r="Q430" s="92" t="n">
        <x:f>IFERROR(VLOOKUP(L430,'Reference Data'!$A$5:$F$40,6,FALSE),0)</x:f>
        <x:v>28</x:v>
      </x:c>
      <x:c r="R430" s="84" t="n">
        <x:f>'Raw Sales'!J430</x:f>
        <x:v>1</x:v>
      </x:c>
      <x:c r="S430" s="87" t="n">
        <x:f>'Raw Sales'!K430</x:f>
        <x:v>0.15</x:v>
      </x:c>
      <x:c r="T430" s="93" t="n">
        <x:f>P430*R430</x:f>
        <x:v>59</x:v>
      </x:c>
      <x:c r="U430" s="93" t="n">
        <x:f>T430*S430</x:f>
        <x:v>8.85</x:v>
      </x:c>
      <x:c r="V430" s="93" t="str">
        <x:f>PROPER(TRIM('Raw Sales'!L430))</x:f>
        <x:v>Completed</x:v>
      </x:c>
      <x:c r="W430" s="93" t="n">
        <x:f>IF(V430="Returned",0,T430-U430)</x:f>
        <x:v>50.15</x:v>
      </x:c>
      <x:c r="X430" s="93" t="n">
        <x:f>IF(V430="Returned",Q430*R430*10%,Q430*R430)</x:f>
        <x:v>28</x:v>
      </x:c>
      <x:c r="Y430" s="93" t="n">
        <x:f>W430-X430</x:f>
        <x:v>22.15</x:v>
      </x:c>
      <x:c r="Z430" s="94" t="n">
        <x:f>IFERROR(Y430/W430,0)</x:f>
        <x:v>0.44167497507477566</x:v>
      </x:c>
      <x:c r="AA430" s="84" t="str">
        <x:f>PROPER(TRIM('Raw Sales'!M430))</x:f>
        <x:v>Debit Card</x:v>
      </x:c>
      <x:c r="AB430" s="84" t="str">
        <x:f>PROPER(TRIM('Raw Sales'!N430))</x:f>
        <x:v>Emma Hayes</x:v>
      </x:c>
      <x:c r="AC430" s="85" t="n">
        <x:f>'Raw Sales'!O430</x:f>
        <x:v>45457</x:v>
      </x:c>
      <x:c r="AD430" s="84" t="n">
        <x:f>AC430-B430</x:f>
        <x:v>4</x:v>
      </x:c>
      <x:c r="AE430" s="84" t="str">
        <x:f>IF(COUNTIF($A$5:A430,A430)&gt;1,"Duplicate","Keep")</x:f>
        <x:v>Keep</x:v>
      </x:c>
      <x:c r="AF430" s="84" t="str">
        <x:f>IF(OR(R430&lt;=0,AC430&lt;B430,H430="Unknown",M430="Unknown Product"),"Review","Valid")</x:f>
        <x:v>Valid</x:v>
      </x:c>
      <x:c r="AG430" s="84" t="n">
        <x:f>IF(AND(AE430="Keep",AF430="Valid"),1,0)</x:f>
        <x:v>1</x:v>
      </x:c>
      <x:c r="AH430" s="84" t="n">
        <x:f>IF(AND(AG430=1,OR('Dashboard'!$B$4="All",I430='Dashboard'!$B$4),OR('Dashboard'!$E$4="All",N430='Dashboard'!$E$4),OR('Dashboard'!$H$4="All",K430='Dashboard'!$H$4),OR('Dashboard'!$K$4="All",C430='Dashboard'!$K$4)),1,0)</x:f>
        <x:v>1</x:v>
      </x:c>
      <x:c r="AI430" s="84" t="n">
        <x:f>IF(AND(AG430=1,OR('Dashboard'!$B$4="All",I430='Dashboard'!$B$4),OR('Dashboard'!$E$4="All",N430='Dashboard'!$E$4),OR('Dashboard'!$H$4="All",K430='Dashboard'!$H$4)),1,0)</x:f>
        <x:v>1</x:v>
      </x:c>
    </x:row>
    <x:row r="431">
      <x:c r="A431" s="84" t="str">
        <x:f>'Raw Sales'!A431</x:f>
        <x:v>ORD-2024-00970</x:v>
      </x:c>
      <x:c r="B431" s="85" t="n">
        <x:f>'Raw Sales'!B431</x:f>
        <x:v>45453</x:v>
      </x:c>
      <x:c r="C431" s="84" t="n">
        <x:f>YEAR(B431)</x:f>
        <x:v>2024</x:v>
      </x:c>
      <x:c r="D431" s="91" t="n">
        <x:f>DATE(YEAR(B431),MONTH(B431),1)</x:f>
        <x:v>45444</x:v>
      </x:c>
      <x:c r="E431" s="84" t="str">
        <x:f>TEXT(B431,"mmm")</x:f>
        <x:v>Jun</x:v>
      </x:c>
      <x:c r="F431" s="84" t="str">
        <x:f>'Raw Sales'!C431</x:f>
        <x:v>CUST-0335</x:v>
      </x:c>
      <x:c r="G431" s="84" t="str">
        <x:f>PROPER(TRIM('Raw Sales'!D431))</x:f>
        <x:v>Elias Roberts</x:v>
      </x:c>
      <x:c r="H431" s="84" t="str">
        <x:f>IF(TRIM('Raw Sales'!E431)="","Unknown",PROPER(TRIM('Raw Sales'!E431)))</x:f>
        <x:v>Consumer</x:v>
      </x:c>
      <x:c r="I431" s="84" t="str">
        <x:f>PROPER(TRIM('Raw Sales'!F431))</x:f>
        <x:v>West</x:v>
      </x:c>
      <x:c r="J431" s="84" t="str">
        <x:f>PROPER(TRIM('Raw Sales'!G431))</x:f>
        <x:v>Los Angeles</x:v>
      </x:c>
      <x:c r="K431" s="84" t="str">
        <x:f>PROPER(TRIM('Raw Sales'!H431))</x:f>
        <x:v>Retail Store</x:v>
      </x:c>
      <x:c r="L431" s="84" t="str">
        <x:f>'Raw Sales'!I431</x:f>
        <x:v>FITN-004</x:v>
      </x:c>
      <x:c r="M431" s="84" t="str">
        <x:f>IFERROR(VLOOKUP(L431,'Reference Data'!$A$5:$F$40,2,FALSE),"Unknown Product")</x:f>
        <x:v>Fitness Tracker</x:v>
      </x:c>
      <x:c r="N431" s="84" t="str">
        <x:f>IFERROR(VLOOKUP(L431,'Reference Data'!$A$5:$F$40,3,FALSE),"Unknown")</x:f>
        <x:v>Fitness</x:v>
      </x:c>
      <x:c r="O431" s="84" t="str">
        <x:f>IFERROR(VLOOKUP(L431,'Reference Data'!$A$5:$F$40,4,FALSE),"Unknown")</x:f>
        <x:v>Wearables</x:v>
      </x:c>
      <x:c r="P431" s="92" t="n">
        <x:f>IFERROR(VLOOKUP(L431,'Reference Data'!$A$5:$F$40,5,FALSE),0)</x:f>
        <x:v>89</x:v>
      </x:c>
      <x:c r="Q431" s="92" t="n">
        <x:f>IFERROR(VLOOKUP(L431,'Reference Data'!$A$5:$F$40,6,FALSE),0)</x:f>
        <x:v>44</x:v>
      </x:c>
      <x:c r="R431" s="84" t="n">
        <x:f>'Raw Sales'!J431</x:f>
        <x:v>1</x:v>
      </x:c>
      <x:c r="S431" s="87" t="n">
        <x:f>'Raw Sales'!K431</x:f>
        <x:v>0</x:v>
      </x:c>
      <x:c r="T431" s="93" t="n">
        <x:f>P431*R431</x:f>
        <x:v>89</x:v>
      </x:c>
      <x:c r="U431" s="93" t="n">
        <x:f>T431*S431</x:f>
        <x:v>0</x:v>
      </x:c>
      <x:c r="V431" s="93" t="str">
        <x:f>PROPER(TRIM('Raw Sales'!L431))</x:f>
        <x:v>Completed</x:v>
      </x:c>
      <x:c r="W431" s="93" t="n">
        <x:f>IF(V431="Returned",0,T431-U431)</x:f>
        <x:v>89</x:v>
      </x:c>
      <x:c r="X431" s="93" t="n">
        <x:f>IF(V431="Returned",Q431*R431*10%,Q431*R431)</x:f>
        <x:v>44</x:v>
      </x:c>
      <x:c r="Y431" s="93" t="n">
        <x:f>W431-X431</x:f>
        <x:v>45</x:v>
      </x:c>
      <x:c r="Z431" s="94" t="n">
        <x:f>IFERROR(Y431/W431,0)</x:f>
        <x:v>0.5056179775280899</x:v>
      </x:c>
      <x:c r="AA431" s="84" t="str">
        <x:f>PROPER(TRIM('Raw Sales'!M431))</x:f>
        <x:v>Debit Card</x:v>
      </x:c>
      <x:c r="AB431" s="84" t="str">
        <x:f>PROPER(TRIM('Raw Sales'!N431))</x:f>
        <x:v>Leo Martinez</x:v>
      </x:c>
      <x:c r="AC431" s="85" t="n">
        <x:f>'Raw Sales'!O431</x:f>
        <x:v>45453</x:v>
      </x:c>
      <x:c r="AD431" s="84" t="n">
        <x:f>AC431-B431</x:f>
        <x:v>0</x:v>
      </x:c>
      <x:c r="AE431" s="84" t="str">
        <x:f>IF(COUNTIF($A$5:A431,A431)&gt;1,"Duplicate","Keep")</x:f>
        <x:v>Keep</x:v>
      </x:c>
      <x:c r="AF431" s="84" t="str">
        <x:f>IF(OR(R431&lt;=0,AC431&lt;B431,H431="Unknown",M431="Unknown Product"),"Review","Valid")</x:f>
        <x:v>Valid</x:v>
      </x:c>
      <x:c r="AG431" s="84" t="n">
        <x:f>IF(AND(AE431="Keep",AF431="Valid"),1,0)</x:f>
        <x:v>1</x:v>
      </x:c>
      <x:c r="AH431" s="84" t="n">
        <x:f>IF(AND(AG431=1,OR('Dashboard'!$B$4="All",I431='Dashboard'!$B$4),OR('Dashboard'!$E$4="All",N431='Dashboard'!$E$4),OR('Dashboard'!$H$4="All",K431='Dashboard'!$H$4),OR('Dashboard'!$K$4="All",C431='Dashboard'!$K$4)),1,0)</x:f>
        <x:v>1</x:v>
      </x:c>
      <x:c r="AI431" s="84" t="n">
        <x:f>IF(AND(AG431=1,OR('Dashboard'!$B$4="All",I431='Dashboard'!$B$4),OR('Dashboard'!$E$4="All",N431='Dashboard'!$E$4),OR('Dashboard'!$H$4="All",K431='Dashboard'!$H$4)),1,0)</x:f>
        <x:v>1</x:v>
      </x:c>
    </x:row>
    <x:row r="432">
      <x:c r="A432" s="84" t="str">
        <x:f>'Raw Sales'!A432</x:f>
        <x:v>ORD-2024-01099</x:v>
      </x:c>
      <x:c r="B432" s="85" t="n">
        <x:f>'Raw Sales'!B432</x:f>
        <x:v>45453</x:v>
      </x:c>
      <x:c r="C432" s="84" t="n">
        <x:f>YEAR(B432)</x:f>
        <x:v>2024</x:v>
      </x:c>
      <x:c r="D432" s="91" t="n">
        <x:f>DATE(YEAR(B432),MONTH(B432),1)</x:f>
        <x:v>45444</x:v>
      </x:c>
      <x:c r="E432" s="84" t="str">
        <x:f>TEXT(B432,"mmm")</x:f>
        <x:v>Jun</x:v>
      </x:c>
      <x:c r="F432" s="84" t="str">
        <x:f>'Raw Sales'!C432</x:f>
        <x:v>CUST-0485</x:v>
      </x:c>
      <x:c r="G432" s="84" t="str">
        <x:f>PROPER(TRIM('Raw Sales'!D432))</x:f>
        <x:v>Elias Ortiz</x:v>
      </x:c>
      <x:c r="H432" s="84" t="str">
        <x:f>IF(TRIM('Raw Sales'!E432)="","Unknown",PROPER(TRIM('Raw Sales'!E432)))</x:f>
        <x:v>Consumer</x:v>
      </x:c>
      <x:c r="I432" s="84" t="str">
        <x:f>PROPER(TRIM('Raw Sales'!F432))</x:f>
        <x:v>Southeast</x:v>
      </x:c>
      <x:c r="J432" s="84" t="str">
        <x:f>PROPER(TRIM('Raw Sales'!G432))</x:f>
        <x:v>Atlanta</x:v>
      </x:c>
      <x:c r="K432" s="84" t="str">
        <x:f>PROPER(TRIM('Raw Sales'!H432))</x:f>
        <x:v>Online</x:v>
      </x:c>
      <x:c r="L432" s="84" t="str">
        <x:f>'Raw Sales'!I432</x:f>
        <x:v>FITN-006</x:v>
      </x:c>
      <x:c r="M432" s="84" t="str">
        <x:f>IFERROR(VLOOKUP(L432,'Reference Data'!$A$5:$F$40,2,FALSE),"Unknown Product")</x:f>
        <x:v>Foam Roller</x:v>
      </x:c>
      <x:c r="N432" s="84" t="str">
        <x:f>IFERROR(VLOOKUP(L432,'Reference Data'!$A$5:$F$40,3,FALSE),"Unknown")</x:f>
        <x:v>Fitness</x:v>
      </x:c>
      <x:c r="O432" s="84" t="str">
        <x:f>IFERROR(VLOOKUP(L432,'Reference Data'!$A$5:$F$40,4,FALSE),"Unknown")</x:f>
        <x:v>Recovery</x:v>
      </x:c>
      <x:c r="P432" s="92" t="n">
        <x:f>IFERROR(VLOOKUP(L432,'Reference Data'!$A$5:$F$40,5,FALSE),0)</x:f>
        <x:v>31</x:v>
      </x:c>
      <x:c r="Q432" s="92" t="n">
        <x:f>IFERROR(VLOOKUP(L432,'Reference Data'!$A$5:$F$40,6,FALSE),0)</x:f>
        <x:v>12</x:v>
      </x:c>
      <x:c r="R432" s="84" t="n">
        <x:f>'Raw Sales'!J432</x:f>
        <x:v>2</x:v>
      </x:c>
      <x:c r="S432" s="87" t="n">
        <x:f>'Raw Sales'!K432</x:f>
        <x:v>0</x:v>
      </x:c>
      <x:c r="T432" s="93" t="n">
        <x:f>P432*R432</x:f>
        <x:v>62</x:v>
      </x:c>
      <x:c r="U432" s="93" t="n">
        <x:f>T432*S432</x:f>
        <x:v>0</x:v>
      </x:c>
      <x:c r="V432" s="93" t="str">
        <x:f>PROPER(TRIM('Raw Sales'!L432))</x:f>
        <x:v>Completed</x:v>
      </x:c>
      <x:c r="W432" s="93" t="n">
        <x:f>IF(V432="Returned",0,T432-U432)</x:f>
        <x:v>62</x:v>
      </x:c>
      <x:c r="X432" s="93" t="n">
        <x:f>IF(V432="Returned",Q432*R432*10%,Q432*R432)</x:f>
        <x:v>24</x:v>
      </x:c>
      <x:c r="Y432" s="93" t="n">
        <x:f>W432-X432</x:f>
        <x:v>38</x:v>
      </x:c>
      <x:c r="Z432" s="94" t="n">
        <x:f>IFERROR(Y432/W432,0)</x:f>
        <x:v>0.6129032258064516</x:v>
      </x:c>
      <x:c r="AA432" s="84" t="str">
        <x:f>PROPER(TRIM('Raw Sales'!M432))</x:f>
        <x:v>Mobile Wallet</x:v>
      </x:c>
      <x:c r="AB432" s="84" t="str">
        <x:f>PROPER(TRIM('Raw Sales'!N432))</x:f>
        <x:v>Noah Reed</x:v>
      </x:c>
      <x:c r="AC432" s="85" t="n">
        <x:f>'Raw Sales'!O432</x:f>
        <x:v>45457</x:v>
      </x:c>
      <x:c r="AD432" s="84" t="n">
        <x:f>AC432-B432</x:f>
        <x:v>4</x:v>
      </x:c>
      <x:c r="AE432" s="84" t="str">
        <x:f>IF(COUNTIF($A$5:A432,A432)&gt;1,"Duplicate","Keep")</x:f>
        <x:v>Keep</x:v>
      </x:c>
      <x:c r="AF432" s="84" t="str">
        <x:f>IF(OR(R432&lt;=0,AC432&lt;B432,H432="Unknown",M432="Unknown Product"),"Review","Valid")</x:f>
        <x:v>Valid</x:v>
      </x:c>
      <x:c r="AG432" s="84" t="n">
        <x:f>IF(AND(AE432="Keep",AF432="Valid"),1,0)</x:f>
        <x:v>1</x:v>
      </x:c>
      <x:c r="AH432" s="84" t="n">
        <x:f>IF(AND(AG432=1,OR('Dashboard'!$B$4="All",I432='Dashboard'!$B$4),OR('Dashboard'!$E$4="All",N432='Dashboard'!$E$4),OR('Dashboard'!$H$4="All",K432='Dashboard'!$H$4),OR('Dashboard'!$K$4="All",C432='Dashboard'!$K$4)),1,0)</x:f>
        <x:v>1</x:v>
      </x:c>
      <x:c r="AI432" s="84" t="n">
        <x:f>IF(AND(AG432=1,OR('Dashboard'!$B$4="All",I432='Dashboard'!$B$4),OR('Dashboard'!$E$4="All",N432='Dashboard'!$E$4),OR('Dashboard'!$H$4="All",K432='Dashboard'!$H$4)),1,0)</x:f>
        <x:v>1</x:v>
      </x:c>
    </x:row>
    <x:row r="433">
      <x:c r="A433" s="84" t="str">
        <x:f>'Raw Sales'!A433</x:f>
        <x:v>ORD-2024-01769</x:v>
      </x:c>
      <x:c r="B433" s="85" t="n">
        <x:f>'Raw Sales'!B433</x:f>
        <x:v>45453</x:v>
      </x:c>
      <x:c r="C433" s="84" t="n">
        <x:f>YEAR(B433)</x:f>
        <x:v>2024</x:v>
      </x:c>
      <x:c r="D433" s="91" t="n">
        <x:f>DATE(YEAR(B433),MONTH(B433),1)</x:f>
        <x:v>45444</x:v>
      </x:c>
      <x:c r="E433" s="84" t="str">
        <x:f>TEXT(B433,"mmm")</x:f>
        <x:v>Jun</x:v>
      </x:c>
      <x:c r="F433" s="84" t="str">
        <x:f>'Raw Sales'!C433</x:f>
        <x:v>CUST-0090</x:v>
      </x:c>
      <x:c r="G433" s="84" t="str">
        <x:f>PROPER(TRIM('Raw Sales'!D433))</x:f>
        <x:v>Jasmine Baker</x:v>
      </x:c>
      <x:c r="H433" s="84" t="str">
        <x:f>IF(TRIM('Raw Sales'!E433)="","Unknown",PROPER(TRIM('Raw Sales'!E433)))</x:f>
        <x:v>Unknown</x:v>
      </x:c>
      <x:c r="I433" s="84" t="str">
        <x:f>PROPER(TRIM('Raw Sales'!F433))</x:f>
        <x:v>West</x:v>
      </x:c>
      <x:c r="J433" s="84" t="str">
        <x:f>PROPER(TRIM('Raw Sales'!G433))</x:f>
        <x:v>Los Angeles</x:v>
      </x:c>
      <x:c r="K433" s="84" t="str">
        <x:f>PROPER(TRIM('Raw Sales'!H433))</x:f>
        <x:v>Marketplace</x:v>
      </x:c>
      <x:c r="L433" s="84" t="str">
        <x:f>'Raw Sales'!I433</x:f>
        <x:v>ACCS-005</x:v>
      </x:c>
      <x:c r="M433" s="84" t="str">
        <x:f>IFERROR(VLOOKUP(L433,'Reference Data'!$A$5:$F$40,2,FALSE),"Unknown Product")</x:f>
        <x:v>Protective Phone Case</x:v>
      </x:c>
      <x:c r="N433" s="84" t="str">
        <x:f>IFERROR(VLOOKUP(L433,'Reference Data'!$A$5:$F$40,3,FALSE),"Unknown")</x:f>
        <x:v>Accessories</x:v>
      </x:c>
      <x:c r="O433" s="84" t="str">
        <x:f>IFERROR(VLOOKUP(L433,'Reference Data'!$A$5:$F$40,4,FALSE),"Unknown")</x:f>
        <x:v>Mobile Accessories</x:v>
      </x:c>
      <x:c r="P433" s="92" t="n">
        <x:f>IFERROR(VLOOKUP(L433,'Reference Data'!$A$5:$F$40,5,FALSE),0)</x:f>
        <x:v>24</x:v>
      </x:c>
      <x:c r="Q433" s="92" t="n">
        <x:f>IFERROR(VLOOKUP(L433,'Reference Data'!$A$5:$F$40,6,FALSE),0)</x:f>
        <x:v>5</x:v>
      </x:c>
      <x:c r="R433" s="84" t="n">
        <x:f>'Raw Sales'!J433</x:f>
        <x:v>2</x:v>
      </x:c>
      <x:c r="S433" s="87" t="n">
        <x:f>'Raw Sales'!K433</x:f>
        <x:v>0.05</x:v>
      </x:c>
      <x:c r="T433" s="93" t="n">
        <x:f>P433*R433</x:f>
        <x:v>48</x:v>
      </x:c>
      <x:c r="U433" s="93" t="n">
        <x:f>T433*S433</x:f>
        <x:v>2.4000000000000004</x:v>
      </x:c>
      <x:c r="V433" s="93" t="str">
        <x:f>PROPER(TRIM('Raw Sales'!L433))</x:f>
        <x:v>Completed</x:v>
      </x:c>
      <x:c r="W433" s="93" t="n">
        <x:f>IF(V433="Returned",0,T433-U433)</x:f>
        <x:v>45.6</x:v>
      </x:c>
      <x:c r="X433" s="93" t="n">
        <x:f>IF(V433="Returned",Q433*R433*10%,Q433*R433)</x:f>
        <x:v>10</x:v>
      </x:c>
      <x:c r="Y433" s="93" t="n">
        <x:f>W433-X433</x:f>
        <x:v>35.6</x:v>
      </x:c>
      <x:c r="Z433" s="94" t="n">
        <x:f>IFERROR(Y433/W433,0)</x:f>
        <x:v>0.7807017543859649</x:v>
      </x:c>
      <x:c r="AA433" s="84" t="str">
        <x:f>PROPER(TRIM('Raw Sales'!M433))</x:f>
        <x:v>Credit Card</x:v>
      </x:c>
      <x:c r="AB433" s="84" t="str">
        <x:f>PROPER(TRIM('Raw Sales'!N433))</x:f>
        <x:v>Leo Martinez</x:v>
      </x:c>
      <x:c r="AC433" s="85" t="n">
        <x:f>'Raw Sales'!O433</x:f>
        <x:v>45457</x:v>
      </x:c>
      <x:c r="AD433" s="84" t="n">
        <x:f>AC433-B433</x:f>
        <x:v>4</x:v>
      </x:c>
      <x:c r="AE433" s="84" t="str">
        <x:f>IF(COUNTIF($A$5:A433,A433)&gt;1,"Duplicate","Keep")</x:f>
        <x:v>Keep</x:v>
      </x:c>
      <x:c r="AF433" s="84" t="str">
        <x:f>IF(OR(R433&lt;=0,AC433&lt;B433,H433="Unknown",M433="Unknown Product"),"Review","Valid")</x:f>
        <x:v>Review</x:v>
      </x:c>
      <x:c r="AG433" s="84" t="n">
        <x:f>IF(AND(AE433="Keep",AF433="Valid"),1,0)</x:f>
        <x:v>0</x:v>
      </x:c>
      <x:c r="AH433" s="84" t="n">
        <x:f>IF(AND(AG433=1,OR('Dashboard'!$B$4="All",I433='Dashboard'!$B$4),OR('Dashboard'!$E$4="All",N433='Dashboard'!$E$4),OR('Dashboard'!$H$4="All",K433='Dashboard'!$H$4),OR('Dashboard'!$K$4="All",C433='Dashboard'!$K$4)),1,0)</x:f>
        <x:v>0</x:v>
      </x:c>
      <x:c r="AI433" s="84" t="n">
        <x:f>IF(AND(AG433=1,OR('Dashboard'!$B$4="All",I433='Dashboard'!$B$4),OR('Dashboard'!$E$4="All",N433='Dashboard'!$E$4),OR('Dashboard'!$H$4="All",K433='Dashboard'!$H$4)),1,0)</x:f>
        <x:v>0</x:v>
      </x:c>
    </x:row>
    <x:row r="434">
      <x:c r="A434" s="84" t="str">
        <x:f>'Raw Sales'!A434</x:f>
        <x:v>ORD-2024-01888</x:v>
      </x:c>
      <x:c r="B434" s="85" t="n">
        <x:f>'Raw Sales'!B434</x:f>
        <x:v>45453</x:v>
      </x:c>
      <x:c r="C434" s="84" t="n">
        <x:f>YEAR(B434)</x:f>
        <x:v>2024</x:v>
      </x:c>
      <x:c r="D434" s="91" t="n">
        <x:f>DATE(YEAR(B434),MONTH(B434),1)</x:f>
        <x:v>45444</x:v>
      </x:c>
      <x:c r="E434" s="84" t="str">
        <x:f>TEXT(B434,"mmm")</x:f>
        <x:v>Jun</x:v>
      </x:c>
      <x:c r="F434" s="84" t="str">
        <x:f>'Raw Sales'!C434</x:f>
        <x:v>CUST-0133</x:v>
      </x:c>
      <x:c r="G434" s="84" t="str">
        <x:f>PROPER(TRIM('Raw Sales'!D434))</x:f>
        <x:v>Caleb Evans</x:v>
      </x:c>
      <x:c r="H434" s="84" t="str">
        <x:f>IF(TRIM('Raw Sales'!E434)="","Unknown",PROPER(TRIM('Raw Sales'!E434)))</x:f>
        <x:v>Small Business</x:v>
      </x:c>
      <x:c r="I434" s="84" t="str">
        <x:f>PROPER(TRIM('Raw Sales'!F434))</x:f>
        <x:v>West</x:v>
      </x:c>
      <x:c r="J434" s="84" t="str">
        <x:f>PROPER(TRIM('Raw Sales'!G434))</x:f>
        <x:v>Seattle</x:v>
      </x:c>
      <x:c r="K434" s="84" t="str">
        <x:f>PROPER(TRIM('Raw Sales'!H434))</x:f>
        <x:v>Online</x:v>
      </x:c>
      <x:c r="L434" s="84" t="str">
        <x:f>'Raw Sales'!I434</x:f>
        <x:v>ACCS-001</x:v>
      </x:c>
      <x:c r="M434" s="84" t="str">
        <x:f>IFERROR(VLOOKUP(L434,'Reference Data'!$A$5:$F$40,2,FALSE),"Unknown Product")</x:f>
        <x:v>Canvas Tote Bag</x:v>
      </x:c>
      <x:c r="N434" s="84" t="str">
        <x:f>IFERROR(VLOOKUP(L434,'Reference Data'!$A$5:$F$40,3,FALSE),"Unknown")</x:f>
        <x:v>Accessories</x:v>
      </x:c>
      <x:c r="O434" s="84" t="str">
        <x:f>IFERROR(VLOOKUP(L434,'Reference Data'!$A$5:$F$40,4,FALSE),"Unknown")</x:f>
        <x:v>Bags</x:v>
      </x:c>
      <x:c r="P434" s="92" t="n">
        <x:f>IFERROR(VLOOKUP(L434,'Reference Data'!$A$5:$F$40,5,FALSE),0)</x:f>
        <x:v>39</x:v>
      </x:c>
      <x:c r="Q434" s="92" t="n">
        <x:f>IFERROR(VLOOKUP(L434,'Reference Data'!$A$5:$F$40,6,FALSE),0)</x:f>
        <x:v>14</x:v>
      </x:c>
      <x:c r="R434" s="84" t="n">
        <x:f>'Raw Sales'!J434</x:f>
        <x:v>2</x:v>
      </x:c>
      <x:c r="S434" s="87" t="n">
        <x:f>'Raw Sales'!K434</x:f>
        <x:v>0.15</x:v>
      </x:c>
      <x:c r="T434" s="93" t="n">
        <x:f>P434*R434</x:f>
        <x:v>78</x:v>
      </x:c>
      <x:c r="U434" s="93" t="n">
        <x:f>T434*S434</x:f>
        <x:v>11.7</x:v>
      </x:c>
      <x:c r="V434" s="93" t="str">
        <x:f>PROPER(TRIM('Raw Sales'!L434))</x:f>
        <x:v>Completed</x:v>
      </x:c>
      <x:c r="W434" s="93" t="n">
        <x:f>IF(V434="Returned",0,T434-U434)</x:f>
        <x:v>66.3</x:v>
      </x:c>
      <x:c r="X434" s="93" t="n">
        <x:f>IF(V434="Returned",Q434*R434*10%,Q434*R434)</x:f>
        <x:v>28</x:v>
      </x:c>
      <x:c r="Y434" s="93" t="n">
        <x:f>W434-X434</x:f>
        <x:v>38.3</x:v>
      </x:c>
      <x:c r="Z434" s="94" t="n">
        <x:f>IFERROR(Y434/W434,0)</x:f>
        <x:v>0.5776772247360482</x:v>
      </x:c>
      <x:c r="AA434" s="84" t="str">
        <x:f>PROPER(TRIM('Raw Sales'!M434))</x:f>
        <x:v>Mobile Wallet</x:v>
      </x:c>
      <x:c r="AB434" s="84" t="str">
        <x:f>PROPER(TRIM('Raw Sales'!N434))</x:f>
        <x:v>Mia Chen</x:v>
      </x:c>
      <x:c r="AC434" s="85" t="n">
        <x:f>'Raw Sales'!O434</x:f>
        <x:v>45456</x:v>
      </x:c>
      <x:c r="AD434" s="84" t="n">
        <x:f>AC434-B434</x:f>
        <x:v>3</x:v>
      </x:c>
      <x:c r="AE434" s="84" t="str">
        <x:f>IF(COUNTIF($A$5:A434,A434)&gt;1,"Duplicate","Keep")</x:f>
        <x:v>Keep</x:v>
      </x:c>
      <x:c r="AF434" s="84" t="str">
        <x:f>IF(OR(R434&lt;=0,AC434&lt;B434,H434="Unknown",M434="Unknown Product"),"Review","Valid")</x:f>
        <x:v>Valid</x:v>
      </x:c>
      <x:c r="AG434" s="84" t="n">
        <x:f>IF(AND(AE434="Keep",AF434="Valid"),1,0)</x:f>
        <x:v>1</x:v>
      </x:c>
      <x:c r="AH434" s="84" t="n">
        <x:f>IF(AND(AG434=1,OR('Dashboard'!$B$4="All",I434='Dashboard'!$B$4),OR('Dashboard'!$E$4="All",N434='Dashboard'!$E$4),OR('Dashboard'!$H$4="All",K434='Dashboard'!$H$4),OR('Dashboard'!$K$4="All",C434='Dashboard'!$K$4)),1,0)</x:f>
        <x:v>1</x:v>
      </x:c>
      <x:c r="AI434" s="84" t="n">
        <x:f>IF(AND(AG434=1,OR('Dashboard'!$B$4="All",I434='Dashboard'!$B$4),OR('Dashboard'!$E$4="All",N434='Dashboard'!$E$4),OR('Dashboard'!$H$4="All",K434='Dashboard'!$H$4)),1,0)</x:f>
        <x:v>1</x:v>
      </x:c>
    </x:row>
    <x:row r="435">
      <x:c r="A435" s="84" t="str">
        <x:f>'Raw Sales'!A435</x:f>
        <x:v>ORD-2024-00547</x:v>
      </x:c>
      <x:c r="B435" s="85" t="n">
        <x:f>'Raw Sales'!B435</x:f>
        <x:v>45454</x:v>
      </x:c>
      <x:c r="C435" s="84" t="n">
        <x:f>YEAR(B435)</x:f>
        <x:v>2024</x:v>
      </x:c>
      <x:c r="D435" s="91" t="n">
        <x:f>DATE(YEAR(B435),MONTH(B435),1)</x:f>
        <x:v>45444</x:v>
      </x:c>
      <x:c r="E435" s="84" t="str">
        <x:f>TEXT(B435,"mmm")</x:f>
        <x:v>Jun</x:v>
      </x:c>
      <x:c r="F435" s="84" t="str">
        <x:f>'Raw Sales'!C435</x:f>
        <x:v>CUST-0303</x:v>
      </x:c>
      <x:c r="G435" s="84" t="str">
        <x:f>PROPER(TRIM('Raw Sales'!D435))</x:f>
        <x:v>Caleb Roberts</x:v>
      </x:c>
      <x:c r="H435" s="84" t="str">
        <x:f>IF(TRIM('Raw Sales'!E435)="","Unknown",PROPER(TRIM('Raw Sales'!E435)))</x:f>
        <x:v>Corporate</x:v>
      </x:c>
      <x:c r="I435" s="84" t="str">
        <x:f>PROPER(TRIM('Raw Sales'!F435))</x:f>
        <x:v>West</x:v>
      </x:c>
      <x:c r="J435" s="84" t="str">
        <x:f>PROPER(TRIM('Raw Sales'!G435))</x:f>
        <x:v>Seattle</x:v>
      </x:c>
      <x:c r="K435" s="84" t="str">
        <x:f>PROPER(TRIM('Raw Sales'!H435))</x:f>
        <x:v>Retail Store</x:v>
      </x:c>
      <x:c r="L435" s="84" t="str">
        <x:f>'Raw Sales'!I435</x:f>
        <x:v>CARE-001</x:v>
      </x:c>
      <x:c r="M435" s="84" t="str">
        <x:f>IFERROR(VLOOKUP(L435,'Reference Data'!$A$5:$F$40,2,FALSE),"Unknown Product")</x:f>
        <x:v>Ionic Hair Dryer</x:v>
      </x:c>
      <x:c r="N435" s="84" t="str">
        <x:f>IFERROR(VLOOKUP(L435,'Reference Data'!$A$5:$F$40,3,FALSE),"Unknown")</x:f>
        <x:v>Personal Care</x:v>
      </x:c>
      <x:c r="O435" s="84" t="str">
        <x:f>IFERROR(VLOOKUP(L435,'Reference Data'!$A$5:$F$40,4,FALSE),"Unknown")</x:f>
        <x:v>Hair Care</x:v>
      </x:c>
      <x:c r="P435" s="92" t="n">
        <x:f>IFERROR(VLOOKUP(L435,'Reference Data'!$A$5:$F$40,5,FALSE),0)</x:f>
        <x:v>54</x:v>
      </x:c>
      <x:c r="Q435" s="92" t="n">
        <x:f>IFERROR(VLOOKUP(L435,'Reference Data'!$A$5:$F$40,6,FALSE),0)</x:f>
        <x:v>25</x:v>
      </x:c>
      <x:c r="R435" s="84" t="n">
        <x:f>'Raw Sales'!J435</x:f>
        <x:v>3</x:v>
      </x:c>
      <x:c r="S435" s="87" t="n">
        <x:f>'Raw Sales'!K435</x:f>
        <x:v>0.15</x:v>
      </x:c>
      <x:c r="T435" s="93" t="n">
        <x:f>P435*R435</x:f>
        <x:v>162</x:v>
      </x:c>
      <x:c r="U435" s="93" t="n">
        <x:f>T435*S435</x:f>
        <x:v>24.3</x:v>
      </x:c>
      <x:c r="V435" s="93" t="str">
        <x:f>PROPER(TRIM('Raw Sales'!L435))</x:f>
        <x:v>Completed</x:v>
      </x:c>
      <x:c r="W435" s="93" t="n">
        <x:f>IF(V435="Returned",0,T435-U435)</x:f>
        <x:v>137.7</x:v>
      </x:c>
      <x:c r="X435" s="93" t="n">
        <x:f>IF(V435="Returned",Q435*R435*10%,Q435*R435)</x:f>
        <x:v>75</x:v>
      </x:c>
      <x:c r="Y435" s="93" t="n">
        <x:f>W435-X435</x:f>
        <x:v>62.69999999999999</x:v>
      </x:c>
      <x:c r="Z435" s="94" t="n">
        <x:f>IFERROR(Y435/W435,0)</x:f>
        <x:v>0.45533769063180823</x:v>
      </x:c>
      <x:c r="AA435" s="84" t="str">
        <x:f>PROPER(TRIM('Raw Sales'!M435))</x:f>
        <x:v>Credit Card</x:v>
      </x:c>
      <x:c r="AB435" s="84" t="str">
        <x:f>PROPER(TRIM('Raw Sales'!N435))</x:f>
        <x:v>Nora Kim</x:v>
      </x:c>
      <x:c r="AC435" s="85" t="n">
        <x:f>'Raw Sales'!O435</x:f>
        <x:v>45455</x:v>
      </x:c>
      <x:c r="AD435" s="84" t="n">
        <x:f>AC435-B435</x:f>
        <x:v>1</x:v>
      </x:c>
      <x:c r="AE435" s="84" t="str">
        <x:f>IF(COUNTIF($A$5:A435,A435)&gt;1,"Duplicate","Keep")</x:f>
        <x:v>Keep</x:v>
      </x:c>
      <x:c r="AF435" s="84" t="str">
        <x:f>IF(OR(R435&lt;=0,AC435&lt;B435,H435="Unknown",M435="Unknown Product"),"Review","Valid")</x:f>
        <x:v>Valid</x:v>
      </x:c>
      <x:c r="AG435" s="84" t="n">
        <x:f>IF(AND(AE435="Keep",AF435="Valid"),1,0)</x:f>
        <x:v>1</x:v>
      </x:c>
      <x:c r="AH435" s="84" t="n">
        <x:f>IF(AND(AG435=1,OR('Dashboard'!$B$4="All",I435='Dashboard'!$B$4),OR('Dashboard'!$E$4="All",N435='Dashboard'!$E$4),OR('Dashboard'!$H$4="All",K435='Dashboard'!$H$4),OR('Dashboard'!$K$4="All",C435='Dashboard'!$K$4)),1,0)</x:f>
        <x:v>1</x:v>
      </x:c>
      <x:c r="AI435" s="84" t="n">
        <x:f>IF(AND(AG435=1,OR('Dashboard'!$B$4="All",I435='Dashboard'!$B$4),OR('Dashboard'!$E$4="All",N435='Dashboard'!$E$4),OR('Dashboard'!$H$4="All",K435='Dashboard'!$H$4)),1,0)</x:f>
        <x:v>1</x:v>
      </x:c>
    </x:row>
    <x:row r="436">
      <x:c r="A436" s="84" t="str">
        <x:f>'Raw Sales'!A436</x:f>
        <x:v>ORD-2024-01508</x:v>
      </x:c>
      <x:c r="B436" s="85" t="n">
        <x:f>'Raw Sales'!B436</x:f>
        <x:v>45454</x:v>
      </x:c>
      <x:c r="C436" s="84" t="n">
        <x:f>YEAR(B436)</x:f>
        <x:v>2024</x:v>
      </x:c>
      <x:c r="D436" s="91" t="n">
        <x:f>DATE(YEAR(B436),MONTH(B436),1)</x:f>
        <x:v>45444</x:v>
      </x:c>
      <x:c r="E436" s="84" t="str">
        <x:f>TEXT(B436,"mmm")</x:f>
        <x:v>Jun</x:v>
      </x:c>
      <x:c r="F436" s="84" t="str">
        <x:f>'Raw Sales'!C436</x:f>
        <x:v>CUST-0461</x:v>
      </x:c>
      <x:c r="G436" s="84" t="str">
        <x:f>PROPER(TRIM('Raw Sales'!D436))</x:f>
        <x:v>Nina Irwin</x:v>
      </x:c>
      <x:c r="H436" s="84" t="str">
        <x:f>IF(TRIM('Raw Sales'!E436)="","Unknown",PROPER(TRIM('Raw Sales'!E436)))</x:f>
        <x:v>Corporate</x:v>
      </x:c>
      <x:c r="I436" s="84" t="str">
        <x:f>PROPER(TRIM('Raw Sales'!F436))</x:f>
        <x:v>Southeast</x:v>
      </x:c>
      <x:c r="J436" s="84" t="str">
        <x:f>PROPER(TRIM('Raw Sales'!G436))</x:f>
        <x:v>Miami</x:v>
      </x:c>
      <x:c r="K436" s="84" t="str">
        <x:f>PROPER(TRIM('Raw Sales'!H436))</x:f>
        <x:v>Marketplace</x:v>
      </x:c>
      <x:c r="L436" s="84" t="str">
        <x:f>'Raw Sales'!I436</x:f>
        <x:v>ELEC-006</x:v>
      </x:c>
      <x:c r="M436" s="84" t="str">
        <x:f>IFERROR(VLOOKUP(L436,'Reference Data'!$A$5:$F$40,2,FALSE),"Unknown Product")</x:f>
        <x:v>Portable SSD</x:v>
      </x:c>
      <x:c r="N436" s="84" t="str">
        <x:f>IFERROR(VLOOKUP(L436,'Reference Data'!$A$5:$F$40,3,FALSE),"Unknown")</x:f>
        <x:v>Electronics</x:v>
      </x:c>
      <x:c r="O436" s="84" t="str">
        <x:f>IFERROR(VLOOKUP(L436,'Reference Data'!$A$5:$F$40,4,FALSE),"Unknown")</x:f>
        <x:v>Storage</x:v>
      </x:c>
      <x:c r="P436" s="92" t="n">
        <x:f>IFERROR(VLOOKUP(L436,'Reference Data'!$A$5:$F$40,5,FALSE),0)</x:f>
        <x:v>129</x:v>
      </x:c>
      <x:c r="Q436" s="92" t="n">
        <x:f>IFERROR(VLOOKUP(L436,'Reference Data'!$A$5:$F$40,6,FALSE),0)</x:f>
        <x:v>75</x:v>
      </x:c>
      <x:c r="R436" s="84" t="n">
        <x:f>'Raw Sales'!J436</x:f>
        <x:v>3</x:v>
      </x:c>
      <x:c r="S436" s="87" t="n">
        <x:f>'Raw Sales'!K436</x:f>
        <x:v>0.15</x:v>
      </x:c>
      <x:c r="T436" s="93" t="n">
        <x:f>P436*R436</x:f>
        <x:v>387</x:v>
      </x:c>
      <x:c r="U436" s="93" t="n">
        <x:f>T436*S436</x:f>
        <x:v>58.05</x:v>
      </x:c>
      <x:c r="V436" s="93" t="str">
        <x:f>PROPER(TRIM('Raw Sales'!L436))</x:f>
        <x:v>Completed</x:v>
      </x:c>
      <x:c r="W436" s="93" t="n">
        <x:f>IF(V436="Returned",0,T436-U436)</x:f>
        <x:v>328.95</x:v>
      </x:c>
      <x:c r="X436" s="93" t="n">
        <x:f>IF(V436="Returned",Q436*R436*10%,Q436*R436)</x:f>
        <x:v>225</x:v>
      </x:c>
      <x:c r="Y436" s="93" t="n">
        <x:f>W436-X436</x:f>
        <x:v>103.94999999999999</x:v>
      </x:c>
      <x:c r="Z436" s="94" t="n">
        <x:f>IFERROR(Y436/W436,0)</x:f>
        <x:v>0.3160054719562243</x:v>
      </x:c>
      <x:c r="AA436" s="84" t="str">
        <x:f>PROPER(TRIM('Raw Sales'!M436))</x:f>
        <x:v>Debit Card</x:v>
      </x:c>
      <x:c r="AB436" s="84" t="str">
        <x:f>PROPER(TRIM('Raw Sales'!N436))</x:f>
        <x:v>Ava Mitchell</x:v>
      </x:c>
      <x:c r="AC436" s="85" t="n">
        <x:f>'Raw Sales'!O436</x:f>
        <x:v>45460</x:v>
      </x:c>
      <x:c r="AD436" s="84" t="n">
        <x:f>AC436-B436</x:f>
        <x:v>6</x:v>
      </x:c>
      <x:c r="AE436" s="84" t="str">
        <x:f>IF(COUNTIF($A$5:A436,A436)&gt;1,"Duplicate","Keep")</x:f>
        <x:v>Keep</x:v>
      </x:c>
      <x:c r="AF436" s="84" t="str">
        <x:f>IF(OR(R436&lt;=0,AC436&lt;B436,H436="Unknown",M436="Unknown Product"),"Review","Valid")</x:f>
        <x:v>Valid</x:v>
      </x:c>
      <x:c r="AG436" s="84" t="n">
        <x:f>IF(AND(AE436="Keep",AF436="Valid"),1,0)</x:f>
        <x:v>1</x:v>
      </x:c>
      <x:c r="AH436" s="84" t="n">
        <x:f>IF(AND(AG436=1,OR('Dashboard'!$B$4="All",I436='Dashboard'!$B$4),OR('Dashboard'!$E$4="All",N436='Dashboard'!$E$4),OR('Dashboard'!$H$4="All",K436='Dashboard'!$H$4),OR('Dashboard'!$K$4="All",C436='Dashboard'!$K$4)),1,0)</x:f>
        <x:v>1</x:v>
      </x:c>
      <x:c r="AI436" s="84" t="n">
        <x:f>IF(AND(AG436=1,OR('Dashboard'!$B$4="All",I436='Dashboard'!$B$4),OR('Dashboard'!$E$4="All",N436='Dashboard'!$E$4),OR('Dashboard'!$H$4="All",K436='Dashboard'!$H$4)),1,0)</x:f>
        <x:v>1</x:v>
      </x:c>
    </x:row>
    <x:row r="437">
      <x:c r="A437" s="84" t="str">
        <x:f>'Raw Sales'!A437</x:f>
        <x:v>ORD-2024-02197</x:v>
      </x:c>
      <x:c r="B437" s="85" t="n">
        <x:f>'Raw Sales'!B437</x:f>
        <x:v>45454</x:v>
      </x:c>
      <x:c r="C437" s="84" t="n">
        <x:f>YEAR(B437)</x:f>
        <x:v>2024</x:v>
      </x:c>
      <x:c r="D437" s="91" t="n">
        <x:f>DATE(YEAR(B437),MONTH(B437),1)</x:f>
        <x:v>45444</x:v>
      </x:c>
      <x:c r="E437" s="84" t="str">
        <x:f>TEXT(B437,"mmm")</x:f>
        <x:v>Jun</x:v>
      </x:c>
      <x:c r="F437" s="84" t="str">
        <x:f>'Raw Sales'!C437</x:f>
        <x:v>CUST-0289</x:v>
      </x:c>
      <x:c r="G437" s="84" t="str">
        <x:f>PROPER(TRIM('Raw Sales'!D437))</x:f>
        <x:v>Chloe Patel</x:v>
      </x:c>
      <x:c r="H437" s="84" t="str">
        <x:f>IF(TRIM('Raw Sales'!E437)="","Unknown",PROPER(TRIM('Raw Sales'!E437)))</x:f>
        <x:v>Consumer</x:v>
      </x:c>
      <x:c r="I437" s="84" t="str">
        <x:f>PROPER(TRIM('Raw Sales'!F437))</x:f>
        <x:v>West</x:v>
      </x:c>
      <x:c r="J437" s="84" t="str">
        <x:f>PROPER(TRIM('Raw Sales'!G437))</x:f>
        <x:v>Denver</x:v>
      </x:c>
      <x:c r="K437" s="84" t="str">
        <x:f>PROPER(TRIM('Raw Sales'!H437))</x:f>
        <x:v>Retail Store</x:v>
      </x:c>
      <x:c r="L437" s="84" t="str">
        <x:f>'Raw Sales'!I437</x:f>
        <x:v>ELEC-002</x:v>
      </x:c>
      <x:c r="M437" s="84" t="str">
        <x:f>IFERROR(VLOOKUP(L437,'Reference Data'!$A$5:$F$40,2,FALSE),"Unknown Product")</x:f>
        <x:v>Smartwatch</x:v>
      </x:c>
      <x:c r="N437" s="84" t="str">
        <x:f>IFERROR(VLOOKUP(L437,'Reference Data'!$A$5:$F$40,3,FALSE),"Unknown")</x:f>
        <x:v>Electronics</x:v>
      </x:c>
      <x:c r="O437" s="84" t="str">
        <x:f>IFERROR(VLOOKUP(L437,'Reference Data'!$A$5:$F$40,4,FALSE),"Unknown")</x:f>
        <x:v>Wearables</x:v>
      </x:c>
      <x:c r="P437" s="92" t="n">
        <x:f>IFERROR(VLOOKUP(L437,'Reference Data'!$A$5:$F$40,5,FALSE),0)</x:f>
        <x:v>159</x:v>
      </x:c>
      <x:c r="Q437" s="92" t="n">
        <x:f>IFERROR(VLOOKUP(L437,'Reference Data'!$A$5:$F$40,6,FALSE),0)</x:f>
        <x:v>92</x:v>
      </x:c>
      <x:c r="R437" s="84" t="n">
        <x:f>'Raw Sales'!J437</x:f>
        <x:v>3</x:v>
      </x:c>
      <x:c r="S437" s="87" t="n">
        <x:f>'Raw Sales'!K437</x:f>
        <x:v>0</x:v>
      </x:c>
      <x:c r="T437" s="93" t="n">
        <x:f>P437*R437</x:f>
        <x:v>477</x:v>
      </x:c>
      <x:c r="U437" s="93" t="n">
        <x:f>T437*S437</x:f>
        <x:v>0</x:v>
      </x:c>
      <x:c r="V437" s="93" t="str">
        <x:f>PROPER(TRIM('Raw Sales'!L437))</x:f>
        <x:v>Completed</x:v>
      </x:c>
      <x:c r="W437" s="93" t="n">
        <x:f>IF(V437="Returned",0,T437-U437)</x:f>
        <x:v>477</x:v>
      </x:c>
      <x:c r="X437" s="93" t="n">
        <x:f>IF(V437="Returned",Q437*R437*10%,Q437*R437)</x:f>
        <x:v>276</x:v>
      </x:c>
      <x:c r="Y437" s="93" t="n">
        <x:f>W437-X437</x:f>
        <x:v>201</x:v>
      </x:c>
      <x:c r="Z437" s="94" t="n">
        <x:f>IFERROR(Y437/W437,0)</x:f>
        <x:v>0.42138364779874216</x:v>
      </x:c>
      <x:c r="AA437" s="84" t="str">
        <x:f>PROPER(TRIM('Raw Sales'!M437))</x:f>
        <x:v>Mobile Wallet</x:v>
      </x:c>
      <x:c r="AB437" s="84" t="str">
        <x:f>PROPER(TRIM('Raw Sales'!N437))</x:f>
        <x:v>Nora Kim</x:v>
      </x:c>
      <x:c r="AC437" s="85" t="n">
        <x:f>'Raw Sales'!O437</x:f>
        <x:v>45454</x:v>
      </x:c>
      <x:c r="AD437" s="84" t="n">
        <x:f>AC437-B437</x:f>
        <x:v>0</x:v>
      </x:c>
      <x:c r="AE437" s="84" t="str">
        <x:f>IF(COUNTIF($A$5:A437,A437)&gt;1,"Duplicate","Keep")</x:f>
        <x:v>Keep</x:v>
      </x:c>
      <x:c r="AF437" s="84" t="str">
        <x:f>IF(OR(R437&lt;=0,AC437&lt;B437,H437="Unknown",M437="Unknown Product"),"Review","Valid")</x:f>
        <x:v>Valid</x:v>
      </x:c>
      <x:c r="AG437" s="84" t="n">
        <x:f>IF(AND(AE437="Keep",AF437="Valid"),1,0)</x:f>
        <x:v>1</x:v>
      </x:c>
      <x:c r="AH437" s="84" t="n">
        <x:f>IF(AND(AG437=1,OR('Dashboard'!$B$4="All",I437='Dashboard'!$B$4),OR('Dashboard'!$E$4="All",N437='Dashboard'!$E$4),OR('Dashboard'!$H$4="All",K437='Dashboard'!$H$4),OR('Dashboard'!$K$4="All",C437='Dashboard'!$K$4)),1,0)</x:f>
        <x:v>1</x:v>
      </x:c>
      <x:c r="AI437" s="84" t="n">
        <x:f>IF(AND(AG437=1,OR('Dashboard'!$B$4="All",I437='Dashboard'!$B$4),OR('Dashboard'!$E$4="All",N437='Dashboard'!$E$4),OR('Dashboard'!$H$4="All",K437='Dashboard'!$H$4)),1,0)</x:f>
        <x:v>1</x:v>
      </x:c>
    </x:row>
    <x:row r="438">
      <x:c r="A438" s="84" t="str">
        <x:f>'Raw Sales'!A438</x:f>
        <x:v>ORD-2024-00734</x:v>
      </x:c>
      <x:c r="B438" s="85" t="n">
        <x:f>'Raw Sales'!B438</x:f>
        <x:v>45455</x:v>
      </x:c>
      <x:c r="C438" s="84" t="n">
        <x:f>YEAR(B438)</x:f>
        <x:v>2024</x:v>
      </x:c>
      <x:c r="D438" s="91" t="n">
        <x:f>DATE(YEAR(B438),MONTH(B438),1)</x:f>
        <x:v>45444</x:v>
      </x:c>
      <x:c r="E438" s="84" t="str">
        <x:f>TEXT(B438,"mmm")</x:f>
        <x:v>Jun</x:v>
      </x:c>
      <x:c r="F438" s="84" t="str">
        <x:f>'Raw Sales'!C438</x:f>
        <x:v>CUST-0012</x:v>
      </x:c>
      <x:c r="G438" s="84" t="str">
        <x:f>PROPER(TRIM('Raw Sales'!D438))</x:f>
        <x:v>William Lewis</x:v>
      </x:c>
      <x:c r="H438" s="84" t="str">
        <x:f>IF(TRIM('Raw Sales'!E438)="","Unknown",PROPER(TRIM('Raw Sales'!E438)))</x:f>
        <x:v>Consumer</x:v>
      </x:c>
      <x:c r="I438" s="84" t="str">
        <x:f>PROPER(TRIM('Raw Sales'!F438))</x:f>
        <x:v>West</x:v>
      </x:c>
      <x:c r="J438" s="84" t="str">
        <x:f>PROPER(TRIM('Raw Sales'!G438))</x:f>
        <x:v>Denver</x:v>
      </x:c>
      <x:c r="K438" s="84" t="str">
        <x:f>PROPER(TRIM('Raw Sales'!H438))</x:f>
        <x:v>Retail Store</x:v>
      </x:c>
      <x:c r="L438" s="84" t="str">
        <x:f>'Raw Sales'!I438</x:f>
        <x:v>HOME-002</x:v>
      </x:c>
      <x:c r="M438" s="84" t="str">
        <x:f>IFERROR(VLOOKUP(L438,'Reference Data'!$A$5:$F$40,2,FALSE),"Unknown Product")</x:f>
        <x:v>Electric Kettle</x:v>
      </x:c>
      <x:c r="N438" s="84" t="str">
        <x:f>IFERROR(VLOOKUP(L438,'Reference Data'!$A$5:$F$40,3,FALSE),"Unknown")</x:f>
        <x:v>Home &amp; Kitchen</x:v>
      </x:c>
      <x:c r="O438" s="84" t="str">
        <x:f>IFERROR(VLOOKUP(L438,'Reference Data'!$A$5:$F$40,4,FALSE),"Unknown")</x:f>
        <x:v>Small Appliances</x:v>
      </x:c>
      <x:c r="P438" s="92" t="n">
        <x:f>IFERROR(VLOOKUP(L438,'Reference Data'!$A$5:$F$40,5,FALSE),0)</x:f>
        <x:v>49</x:v>
      </x:c>
      <x:c r="Q438" s="92" t="n">
        <x:f>IFERROR(VLOOKUP(L438,'Reference Data'!$A$5:$F$40,6,FALSE),0)</x:f>
        <x:v>23</x:v>
      </x:c>
      <x:c r="R438" s="84" t="n">
        <x:f>'Raw Sales'!J438</x:f>
        <x:v>2</x:v>
      </x:c>
      <x:c r="S438" s="87" t="n">
        <x:f>'Raw Sales'!K438</x:f>
        <x:v>0</x:v>
      </x:c>
      <x:c r="T438" s="93" t="n">
        <x:f>P438*R438</x:f>
        <x:v>98</x:v>
      </x:c>
      <x:c r="U438" s="93" t="n">
        <x:f>T438*S438</x:f>
        <x:v>0</x:v>
      </x:c>
      <x:c r="V438" s="93" t="str">
        <x:f>PROPER(TRIM('Raw Sales'!L438))</x:f>
        <x:v>Completed</x:v>
      </x:c>
      <x:c r="W438" s="93" t="n">
        <x:f>IF(V438="Returned",0,T438-U438)</x:f>
        <x:v>98</x:v>
      </x:c>
      <x:c r="X438" s="93" t="n">
        <x:f>IF(V438="Returned",Q438*R438*10%,Q438*R438)</x:f>
        <x:v>46</x:v>
      </x:c>
      <x:c r="Y438" s="93" t="n">
        <x:f>W438-X438</x:f>
        <x:v>52</x:v>
      </x:c>
      <x:c r="Z438" s="94" t="n">
        <x:f>IFERROR(Y438/W438,0)</x:f>
        <x:v>0.5306122448979592</x:v>
      </x:c>
      <x:c r="AA438" s="84" t="str">
        <x:f>PROPER(TRIM('Raw Sales'!M438))</x:f>
        <x:v>Cash</x:v>
      </x:c>
      <x:c r="AB438" s="84" t="str">
        <x:f>PROPER(TRIM('Raw Sales'!N438))</x:f>
        <x:v>Leo Martinez</x:v>
      </x:c>
      <x:c r="AC438" s="85" t="n">
        <x:f>'Raw Sales'!O438</x:f>
        <x:v>45456</x:v>
      </x:c>
      <x:c r="AD438" s="84" t="n">
        <x:f>AC438-B438</x:f>
        <x:v>1</x:v>
      </x:c>
      <x:c r="AE438" s="84" t="str">
        <x:f>IF(COUNTIF($A$5:A438,A438)&gt;1,"Duplicate","Keep")</x:f>
        <x:v>Keep</x:v>
      </x:c>
      <x:c r="AF438" s="84" t="str">
        <x:f>IF(OR(R438&lt;=0,AC438&lt;B438,H438="Unknown",M438="Unknown Product"),"Review","Valid")</x:f>
        <x:v>Valid</x:v>
      </x:c>
      <x:c r="AG438" s="84" t="n">
        <x:f>IF(AND(AE438="Keep",AF438="Valid"),1,0)</x:f>
        <x:v>1</x:v>
      </x:c>
      <x:c r="AH438" s="84" t="n">
        <x:f>IF(AND(AG438=1,OR('Dashboard'!$B$4="All",I438='Dashboard'!$B$4),OR('Dashboard'!$E$4="All",N438='Dashboard'!$E$4),OR('Dashboard'!$H$4="All",K438='Dashboard'!$H$4),OR('Dashboard'!$K$4="All",C438='Dashboard'!$K$4)),1,0)</x:f>
        <x:v>1</x:v>
      </x:c>
      <x:c r="AI438" s="84" t="n">
        <x:f>IF(AND(AG438=1,OR('Dashboard'!$B$4="All",I438='Dashboard'!$B$4),OR('Dashboard'!$E$4="All",N438='Dashboard'!$E$4),OR('Dashboard'!$H$4="All",K438='Dashboard'!$H$4)),1,0)</x:f>
        <x:v>1</x:v>
      </x:c>
    </x:row>
    <x:row r="439">
      <x:c r="A439" s="84" t="str">
        <x:f>'Raw Sales'!A439</x:f>
        <x:v>ORD-2024-00215</x:v>
      </x:c>
      <x:c r="B439" s="85" t="n">
        <x:f>'Raw Sales'!B439</x:f>
        <x:v>45456</x:v>
      </x:c>
      <x:c r="C439" s="84" t="n">
        <x:f>YEAR(B439)</x:f>
        <x:v>2024</x:v>
      </x:c>
      <x:c r="D439" s="91" t="n">
        <x:f>DATE(YEAR(B439),MONTH(B439),1)</x:f>
        <x:v>45444</x:v>
      </x:c>
      <x:c r="E439" s="84" t="str">
        <x:f>TEXT(B439,"mmm")</x:f>
        <x:v>Jun</x:v>
      </x:c>
      <x:c r="F439" s="84" t="str">
        <x:f>'Raw Sales'!C439</x:f>
        <x:v>CUST-0358</x:v>
      </x:c>
      <x:c r="G439" s="84" t="str">
        <x:f>PROPER(TRIM('Raw Sales'!D439))</x:f>
        <x:v>Grace Roberts</x:v>
      </x:c>
      <x:c r="H439" s="84" t="str">
        <x:f>IF(TRIM('Raw Sales'!E439)="","Unknown",PROPER(TRIM('Raw Sales'!E439)))</x:f>
        <x:v>Consumer</x:v>
      </x:c>
      <x:c r="I439" s="84" t="str">
        <x:f>PROPER(TRIM('Raw Sales'!F439))</x:f>
        <x:v>West</x:v>
      </x:c>
      <x:c r="J439" s="84" t="str">
        <x:f>PROPER(TRIM('Raw Sales'!G439))</x:f>
        <x:v>Seattle</x:v>
      </x:c>
      <x:c r="K439" s="84" t="str">
        <x:f>PROPER(TRIM('Raw Sales'!H439))</x:f>
        <x:v>Retail Store</x:v>
      </x:c>
      <x:c r="L439" s="84" t="str">
        <x:f>'Raw Sales'!I439</x:f>
        <x:v>HOME-005</x:v>
      </x:c>
      <x:c r="M439" s="84" t="str">
        <x:f>IFERROR(VLOOKUP(L439,'Reference Data'!$A$5:$F$40,2,FALSE),"Unknown Product")</x:f>
        <x:v>Cordless Vacuum</x:v>
      </x:c>
      <x:c r="N439" s="84" t="str">
        <x:f>IFERROR(VLOOKUP(L439,'Reference Data'!$A$5:$F$40,3,FALSE),"Unknown")</x:f>
        <x:v>Home &amp; Kitchen</x:v>
      </x:c>
      <x:c r="O439" s="84" t="str">
        <x:f>IFERROR(VLOOKUP(L439,'Reference Data'!$A$5:$F$40,4,FALSE),"Unknown")</x:f>
        <x:v>Cleaning</x:v>
      </x:c>
      <x:c r="P439" s="92" t="n">
        <x:f>IFERROR(VLOOKUP(L439,'Reference Data'!$A$5:$F$40,5,FALSE),0)</x:f>
        <x:v>179</x:v>
      </x:c>
      <x:c r="Q439" s="92" t="n">
        <x:f>IFERROR(VLOOKUP(L439,'Reference Data'!$A$5:$F$40,6,FALSE),0)</x:f>
        <x:v>102</x:v>
      </x:c>
      <x:c r="R439" s="84" t="n">
        <x:f>'Raw Sales'!J439</x:f>
        <x:v>1</x:v>
      </x:c>
      <x:c r="S439" s="87" t="n">
        <x:f>'Raw Sales'!K439</x:f>
        <x:v>0</x:v>
      </x:c>
      <x:c r="T439" s="93" t="n">
        <x:f>P439*R439</x:f>
        <x:v>179</x:v>
      </x:c>
      <x:c r="U439" s="93" t="n">
        <x:f>T439*S439</x:f>
        <x:v>0</x:v>
      </x:c>
      <x:c r="V439" s="93" t="str">
        <x:f>PROPER(TRIM('Raw Sales'!L439))</x:f>
        <x:v>Completed</x:v>
      </x:c>
      <x:c r="W439" s="93" t="n">
        <x:f>IF(V439="Returned",0,T439-U439)</x:f>
        <x:v>179</x:v>
      </x:c>
      <x:c r="X439" s="93" t="n">
        <x:f>IF(V439="Returned",Q439*R439*10%,Q439*R439)</x:f>
        <x:v>102</x:v>
      </x:c>
      <x:c r="Y439" s="93" t="n">
        <x:f>W439-X439</x:f>
        <x:v>77</x:v>
      </x:c>
      <x:c r="Z439" s="94" t="n">
        <x:f>IFERROR(Y439/W439,0)</x:f>
        <x:v>0.4301675977653631</x:v>
      </x:c>
      <x:c r="AA439" s="84" t="str">
        <x:f>PROPER(TRIM('Raw Sales'!M439))</x:f>
        <x:v>Debit Card</x:v>
      </x:c>
      <x:c r="AB439" s="84" t="str">
        <x:f>PROPER(TRIM('Raw Sales'!N439))</x:f>
        <x:v>Nora Kim</x:v>
      </x:c>
      <x:c r="AC439" s="85" t="n">
        <x:f>'Raw Sales'!O439</x:f>
        <x:v>45457</x:v>
      </x:c>
      <x:c r="AD439" s="84" t="n">
        <x:f>AC439-B439</x:f>
        <x:v>1</x:v>
      </x:c>
      <x:c r="AE439" s="84" t="str">
        <x:f>IF(COUNTIF($A$5:A439,A439)&gt;1,"Duplicate","Keep")</x:f>
        <x:v>Keep</x:v>
      </x:c>
      <x:c r="AF439" s="84" t="str">
        <x:f>IF(OR(R439&lt;=0,AC439&lt;B439,H439="Unknown",M439="Unknown Product"),"Review","Valid")</x:f>
        <x:v>Valid</x:v>
      </x:c>
      <x:c r="AG439" s="84" t="n">
        <x:f>IF(AND(AE439="Keep",AF439="Valid"),1,0)</x:f>
        <x:v>1</x:v>
      </x:c>
      <x:c r="AH439" s="84" t="n">
        <x:f>IF(AND(AG439=1,OR('Dashboard'!$B$4="All",I439='Dashboard'!$B$4),OR('Dashboard'!$E$4="All",N439='Dashboard'!$E$4),OR('Dashboard'!$H$4="All",K439='Dashboard'!$H$4),OR('Dashboard'!$K$4="All",C439='Dashboard'!$K$4)),1,0)</x:f>
        <x:v>1</x:v>
      </x:c>
      <x:c r="AI439" s="84" t="n">
        <x:f>IF(AND(AG439=1,OR('Dashboard'!$B$4="All",I439='Dashboard'!$B$4),OR('Dashboard'!$E$4="All",N439='Dashboard'!$E$4),OR('Dashboard'!$H$4="All",K439='Dashboard'!$H$4)),1,0)</x:f>
        <x:v>1</x:v>
      </x:c>
    </x:row>
    <x:row r="440">
      <x:c r="A440" s="84" t="str">
        <x:f>'Raw Sales'!A440</x:f>
        <x:v>ORD-2024-00233</x:v>
      </x:c>
      <x:c r="B440" s="85" t="n">
        <x:f>'Raw Sales'!B440</x:f>
        <x:v>45456</x:v>
      </x:c>
      <x:c r="C440" s="84" t="n">
        <x:f>YEAR(B440)</x:f>
        <x:v>2024</x:v>
      </x:c>
      <x:c r="D440" s="91" t="n">
        <x:f>DATE(YEAR(B440),MONTH(B440),1)</x:f>
        <x:v>45444</x:v>
      </x:c>
      <x:c r="E440" s="84" t="str">
        <x:f>TEXT(B440,"mmm")</x:f>
        <x:v>Jun</x:v>
      </x:c>
      <x:c r="F440" s="84" t="str">
        <x:f>'Raw Sales'!C440</x:f>
        <x:v>CUST-0231</x:v>
      </x:c>
      <x:c r="G440" s="84" t="str">
        <x:f>PROPER(TRIM('Raw Sales'!D440))</x:f>
        <x:v>Elias Quinn</x:v>
      </x:c>
      <x:c r="H440" s="84" t="str">
        <x:f>IF(TRIM('Raw Sales'!E440)="","Unknown",PROPER(TRIM('Raw Sales'!E440)))</x:f>
        <x:v>Consumer</x:v>
      </x:c>
      <x:c r="I440" s="84" t="str">
        <x:f>PROPER(TRIM('Raw Sales'!F440))</x:f>
        <x:v>Southeast</x:v>
      </x:c>
      <x:c r="J440" s="84" t="str">
        <x:f>PROPER(TRIM('Raw Sales'!G440))</x:f>
        <x:v>Nashville</x:v>
      </x:c>
      <x:c r="K440" s="84" t="str">
        <x:f>PROPER(TRIM('Raw Sales'!H440))</x:f>
        <x:v>Online</x:v>
      </x:c>
      <x:c r="L440" s="84" t="str">
        <x:f>'Raw Sales'!I440</x:f>
        <x:v>FITN-004</x:v>
      </x:c>
      <x:c r="M440" s="84" t="str">
        <x:f>IFERROR(VLOOKUP(L440,'Reference Data'!$A$5:$F$40,2,FALSE),"Unknown Product")</x:f>
        <x:v>Fitness Tracker</x:v>
      </x:c>
      <x:c r="N440" s="84" t="str">
        <x:f>IFERROR(VLOOKUP(L440,'Reference Data'!$A$5:$F$40,3,FALSE),"Unknown")</x:f>
        <x:v>Fitness</x:v>
      </x:c>
      <x:c r="O440" s="84" t="str">
        <x:f>IFERROR(VLOOKUP(L440,'Reference Data'!$A$5:$F$40,4,FALSE),"Unknown")</x:f>
        <x:v>Wearables</x:v>
      </x:c>
      <x:c r="P440" s="92" t="n">
        <x:f>IFERROR(VLOOKUP(L440,'Reference Data'!$A$5:$F$40,5,FALSE),0)</x:f>
        <x:v>89</x:v>
      </x:c>
      <x:c r="Q440" s="92" t="n">
        <x:f>IFERROR(VLOOKUP(L440,'Reference Data'!$A$5:$F$40,6,FALSE),0)</x:f>
        <x:v>44</x:v>
      </x:c>
      <x:c r="R440" s="84" t="n">
        <x:f>'Raw Sales'!J440</x:f>
        <x:v>1</x:v>
      </x:c>
      <x:c r="S440" s="87" t="n">
        <x:f>'Raw Sales'!K440</x:f>
        <x:v>0</x:v>
      </x:c>
      <x:c r="T440" s="93" t="n">
        <x:f>P440*R440</x:f>
        <x:v>89</x:v>
      </x:c>
      <x:c r="U440" s="93" t="n">
        <x:f>T440*S440</x:f>
        <x:v>0</x:v>
      </x:c>
      <x:c r="V440" s="93" t="str">
        <x:f>PROPER(TRIM('Raw Sales'!L440))</x:f>
        <x:v>Returned</x:v>
      </x:c>
      <x:c r="W440" s="93" t="n">
        <x:f>IF(V440="Returned",0,T440-U440)</x:f>
        <x:v>0</x:v>
      </x:c>
      <x:c r="X440" s="93" t="n">
        <x:f>IF(V440="Returned",Q440*R440*10%,Q440*R440)</x:f>
        <x:v>4.4</x:v>
      </x:c>
      <x:c r="Y440" s="93" t="n">
        <x:f>W440-X440</x:f>
        <x:v>-4.4</x:v>
      </x:c>
      <x:c r="Z440" s="94" t="n">
        <x:f>IFERROR(Y440/W440,0)</x:f>
        <x:v>0</x:v>
      </x:c>
      <x:c r="AA440" s="84" t="str">
        <x:f>PROPER(TRIM('Raw Sales'!M440))</x:f>
        <x:v>Mobile Wallet</x:v>
      </x:c>
      <x:c r="AB440" s="84" t="str">
        <x:f>PROPER(TRIM('Raw Sales'!N440))</x:f>
        <x:v>Noah Reed</x:v>
      </x:c>
      <x:c r="AC440" s="85" t="n">
        <x:f>'Raw Sales'!O440</x:f>
        <x:v>45459</x:v>
      </x:c>
      <x:c r="AD440" s="84" t="n">
        <x:f>AC440-B440</x:f>
        <x:v>3</x:v>
      </x:c>
      <x:c r="AE440" s="84" t="str">
        <x:f>IF(COUNTIF($A$5:A440,A440)&gt;1,"Duplicate","Keep")</x:f>
        <x:v>Keep</x:v>
      </x:c>
      <x:c r="AF440" s="84" t="str">
        <x:f>IF(OR(R440&lt;=0,AC440&lt;B440,H440="Unknown",M440="Unknown Product"),"Review","Valid")</x:f>
        <x:v>Valid</x:v>
      </x:c>
      <x:c r="AG440" s="84" t="n">
        <x:f>IF(AND(AE440="Keep",AF440="Valid"),1,0)</x:f>
        <x:v>1</x:v>
      </x:c>
      <x:c r="AH440" s="84" t="n">
        <x:f>IF(AND(AG440=1,OR('Dashboard'!$B$4="All",I440='Dashboard'!$B$4),OR('Dashboard'!$E$4="All",N440='Dashboard'!$E$4),OR('Dashboard'!$H$4="All",K440='Dashboard'!$H$4),OR('Dashboard'!$K$4="All",C440='Dashboard'!$K$4)),1,0)</x:f>
        <x:v>1</x:v>
      </x:c>
      <x:c r="AI440" s="84" t="n">
        <x:f>IF(AND(AG440=1,OR('Dashboard'!$B$4="All",I440='Dashboard'!$B$4),OR('Dashboard'!$E$4="All",N440='Dashboard'!$E$4),OR('Dashboard'!$H$4="All",K440='Dashboard'!$H$4)),1,0)</x:f>
        <x:v>1</x:v>
      </x:c>
    </x:row>
    <x:row r="441">
      <x:c r="A441" s="84" t="str">
        <x:f>'Raw Sales'!A441</x:f>
        <x:v>ORD-2024-00695</x:v>
      </x:c>
      <x:c r="B441" s="85" t="n">
        <x:f>'Raw Sales'!B441</x:f>
        <x:v>45456</x:v>
      </x:c>
      <x:c r="C441" s="84" t="n">
        <x:f>YEAR(B441)</x:f>
        <x:v>2024</x:v>
      </x:c>
      <x:c r="D441" s="91" t="n">
        <x:f>DATE(YEAR(B441),MONTH(B441),1)</x:f>
        <x:v>45444</x:v>
      </x:c>
      <x:c r="E441" s="84" t="str">
        <x:f>TEXT(B441,"mmm")</x:f>
        <x:v>Jun</x:v>
      </x:c>
      <x:c r="F441" s="84" t="str">
        <x:f>'Raw Sales'!C441</x:f>
        <x:v>CUST-0605</x:v>
      </x:c>
      <x:c r="G441" s="84" t="str">
        <x:f>PROPER(TRIM('Raw Sales'!D441))</x:f>
        <x:v>Layla Adams</x:v>
      </x:c>
      <x:c r="H441" s="84" t="str">
        <x:f>IF(TRIM('Raw Sales'!E441)="","Unknown",PROPER(TRIM('Raw Sales'!E441)))</x:f>
        <x:v>Consumer</x:v>
      </x:c>
      <x:c r="I441" s="84" t="str">
        <x:f>PROPER(TRIM('Raw Sales'!F441))</x:f>
        <x:v>Northeast</x:v>
      </x:c>
      <x:c r="J441" s="84" t="str">
        <x:f>PROPER(TRIM('Raw Sales'!G441))</x:f>
        <x:v>Philadelphia</x:v>
      </x:c>
      <x:c r="K441" s="84" t="str">
        <x:f>PROPER(TRIM('Raw Sales'!H441))</x:f>
        <x:v>Marketplace</x:v>
      </x:c>
      <x:c r="L441" s="84" t="str">
        <x:f>'Raw Sales'!I441</x:f>
        <x:v>CARE-002</x:v>
      </x:c>
      <x:c r="M441" s="84" t="str">
        <x:f>IFERROR(VLOOKUP(L441,'Reference Data'!$A$5:$F$40,2,FALSE),"Unknown Product")</x:f>
        <x:v>Rechargeable Trimmer</x:v>
      </x:c>
      <x:c r="N441" s="84" t="str">
        <x:f>IFERROR(VLOOKUP(L441,'Reference Data'!$A$5:$F$40,3,FALSE),"Unknown")</x:f>
        <x:v>Personal Care</x:v>
      </x:c>
      <x:c r="O441" s="84" t="str">
        <x:f>IFERROR(VLOOKUP(L441,'Reference Data'!$A$5:$F$40,4,FALSE),"Unknown")</x:f>
        <x:v>Grooming</x:v>
      </x:c>
      <x:c r="P441" s="92" t="n">
        <x:f>IFERROR(VLOOKUP(L441,'Reference Data'!$A$5:$F$40,5,FALSE),0)</x:f>
        <x:v>45</x:v>
      </x:c>
      <x:c r="Q441" s="92" t="n">
        <x:f>IFERROR(VLOOKUP(L441,'Reference Data'!$A$5:$F$40,6,FALSE),0)</x:f>
        <x:v>19</x:v>
      </x:c>
      <x:c r="R441" s="84" t="n">
        <x:f>'Raw Sales'!J441</x:f>
        <x:v>2</x:v>
      </x:c>
      <x:c r="S441" s="87" t="n">
        <x:f>'Raw Sales'!K441</x:f>
        <x:v>0</x:v>
      </x:c>
      <x:c r="T441" s="93" t="n">
        <x:f>P441*R441</x:f>
        <x:v>90</x:v>
      </x:c>
      <x:c r="U441" s="93" t="n">
        <x:f>T441*S441</x:f>
        <x:v>0</x:v>
      </x:c>
      <x:c r="V441" s="93" t="str">
        <x:f>PROPER(TRIM('Raw Sales'!L441))</x:f>
        <x:v>Returned</x:v>
      </x:c>
      <x:c r="W441" s="93" t="n">
        <x:f>IF(V441="Returned",0,T441-U441)</x:f>
        <x:v>0</x:v>
      </x:c>
      <x:c r="X441" s="93" t="n">
        <x:f>IF(V441="Returned",Q441*R441*10%,Q441*R441)</x:f>
        <x:v>3.8000000000000003</x:v>
      </x:c>
      <x:c r="Y441" s="93" t="n">
        <x:f>W441-X441</x:f>
        <x:v>-3.8000000000000003</x:v>
      </x:c>
      <x:c r="Z441" s="94" t="n">
        <x:f>IFERROR(Y441/W441,0)</x:f>
        <x:v>0</x:v>
      </x:c>
      <x:c r="AA441" s="84" t="str">
        <x:f>PROPER(TRIM('Raw Sales'!M441))</x:f>
        <x:v>Credit Card</x:v>
      </x:c>
      <x:c r="AB441" s="84" t="str">
        <x:f>PROPER(TRIM('Raw Sales'!N441))</x:f>
        <x:v>Maya Brooks</x:v>
      </x:c>
      <x:c r="AC441" s="85" t="n">
        <x:f>'Raw Sales'!O441</x:f>
        <x:v>45462</x:v>
      </x:c>
      <x:c r="AD441" s="84" t="n">
        <x:f>AC441-B441</x:f>
        <x:v>6</x:v>
      </x:c>
      <x:c r="AE441" s="84" t="str">
        <x:f>IF(COUNTIF($A$5:A441,A441)&gt;1,"Duplicate","Keep")</x:f>
        <x:v>Keep</x:v>
      </x:c>
      <x:c r="AF441" s="84" t="str">
        <x:f>IF(OR(R441&lt;=0,AC441&lt;B441,H441="Unknown",M441="Unknown Product"),"Review","Valid")</x:f>
        <x:v>Valid</x:v>
      </x:c>
      <x:c r="AG441" s="84" t="n">
        <x:f>IF(AND(AE441="Keep",AF441="Valid"),1,0)</x:f>
        <x:v>1</x:v>
      </x:c>
      <x:c r="AH441" s="84" t="n">
        <x:f>IF(AND(AG441=1,OR('Dashboard'!$B$4="All",I441='Dashboard'!$B$4),OR('Dashboard'!$E$4="All",N441='Dashboard'!$E$4),OR('Dashboard'!$H$4="All",K441='Dashboard'!$H$4),OR('Dashboard'!$K$4="All",C441='Dashboard'!$K$4)),1,0)</x:f>
        <x:v>1</x:v>
      </x:c>
      <x:c r="AI441" s="84" t="n">
        <x:f>IF(AND(AG441=1,OR('Dashboard'!$B$4="All",I441='Dashboard'!$B$4),OR('Dashboard'!$E$4="All",N441='Dashboard'!$E$4),OR('Dashboard'!$H$4="All",K441='Dashboard'!$H$4)),1,0)</x:f>
        <x:v>1</x:v>
      </x:c>
    </x:row>
    <x:row r="442">
      <x:c r="A442" s="84" t="str">
        <x:f>'Raw Sales'!A442</x:f>
        <x:v>ORD-2024-01338</x:v>
      </x:c>
      <x:c r="B442" s="85" t="n">
        <x:f>'Raw Sales'!B442</x:f>
        <x:v>45456</x:v>
      </x:c>
      <x:c r="C442" s="84" t="n">
        <x:f>YEAR(B442)</x:f>
        <x:v>2024</x:v>
      </x:c>
      <x:c r="D442" s="91" t="n">
        <x:f>DATE(YEAR(B442),MONTH(B442),1)</x:f>
        <x:v>45444</x:v>
      </x:c>
      <x:c r="E442" s="84" t="str">
        <x:f>TEXT(B442,"mmm")</x:f>
        <x:v>Jun</x:v>
      </x:c>
      <x:c r="F442" s="84" t="str">
        <x:f>'Raw Sales'!C442</x:f>
        <x:v>CUST-0144</x:v>
      </x:c>
      <x:c r="G442" s="84" t="str">
        <x:f>PROPER(TRIM('Raw Sales'!D442))</x:f>
        <x:v>Grace Patel</x:v>
      </x:c>
      <x:c r="H442" s="84" t="str">
        <x:f>IF(TRIM('Raw Sales'!E442)="","Unknown",PROPER(TRIM('Raw Sales'!E442)))</x:f>
        <x:v>Corporate</x:v>
      </x:c>
      <x:c r="I442" s="84" t="str">
        <x:f>PROPER(TRIM('Raw Sales'!F442))</x:f>
        <x:v>West</x:v>
      </x:c>
      <x:c r="J442" s="84" t="str">
        <x:f>PROPER(TRIM('Raw Sales'!G442))</x:f>
        <x:v>Phoenix</x:v>
      </x:c>
      <x:c r="K442" s="84" t="str">
        <x:f>PROPER(TRIM('Raw Sales'!H442))</x:f>
        <x:v>Retail Store</x:v>
      </x:c>
      <x:c r="L442" s="84" t="str">
        <x:f>'Raw Sales'!I442</x:f>
        <x:v>CARE-003</x:v>
      </x:c>
      <x:c r="M442" s="84" t="str">
        <x:f>IFERROR(VLOOKUP(L442,'Reference Data'!$A$5:$F$40,2,FALSE),"Unknown Product")</x:f>
        <x:v>Facial Cleanser</x:v>
      </x:c>
      <x:c r="N442" s="84" t="str">
        <x:f>IFERROR(VLOOKUP(L442,'Reference Data'!$A$5:$F$40,3,FALSE),"Unknown")</x:f>
        <x:v>Personal Care</x:v>
      </x:c>
      <x:c r="O442" s="84" t="str">
        <x:f>IFERROR(VLOOKUP(L442,'Reference Data'!$A$5:$F$40,4,FALSE),"Unknown")</x:f>
        <x:v>Skin Care</x:v>
      </x:c>
      <x:c r="P442" s="92" t="n">
        <x:f>IFERROR(VLOOKUP(L442,'Reference Data'!$A$5:$F$40,5,FALSE),0)</x:f>
        <x:v>18</x:v>
      </x:c>
      <x:c r="Q442" s="92" t="n">
        <x:f>IFERROR(VLOOKUP(L442,'Reference Data'!$A$5:$F$40,6,FALSE),0)</x:f>
        <x:v>6</x:v>
      </x:c>
      <x:c r="R442" s="84" t="n">
        <x:f>'Raw Sales'!J442</x:f>
        <x:v>2</x:v>
      </x:c>
      <x:c r="S442" s="87" t="n">
        <x:f>'Raw Sales'!K442</x:f>
        <x:v>0.1</x:v>
      </x:c>
      <x:c r="T442" s="93" t="n">
        <x:f>P442*R442</x:f>
        <x:v>36</x:v>
      </x:c>
      <x:c r="U442" s="93" t="n">
        <x:f>T442*S442</x:f>
        <x:v>3.6</x:v>
      </x:c>
      <x:c r="V442" s="93" t="str">
        <x:f>PROPER(TRIM('Raw Sales'!L442))</x:f>
        <x:v>Completed</x:v>
      </x:c>
      <x:c r="W442" s="93" t="n">
        <x:f>IF(V442="Returned",0,T442-U442)</x:f>
        <x:v>32.4</x:v>
      </x:c>
      <x:c r="X442" s="93" t="n">
        <x:f>IF(V442="Returned",Q442*R442*10%,Q442*R442)</x:f>
        <x:v>12</x:v>
      </x:c>
      <x:c r="Y442" s="93" t="n">
        <x:f>W442-X442</x:f>
        <x:v>20.4</x:v>
      </x:c>
      <x:c r="Z442" s="94" t="n">
        <x:f>IFERROR(Y442/W442,0)</x:f>
        <x:v>0.6296296296296297</x:v>
      </x:c>
      <x:c r="AA442" s="84" t="str">
        <x:f>PROPER(TRIM('Raw Sales'!M442))</x:f>
        <x:v>Credit Card</x:v>
      </x:c>
      <x:c r="AB442" s="84" t="str">
        <x:f>PROPER(TRIM('Raw Sales'!N442))</x:f>
        <x:v>Mia Chen</x:v>
      </x:c>
      <x:c r="AC442" s="85" t="n">
        <x:f>'Raw Sales'!O442</x:f>
        <x:v>45456</x:v>
      </x:c>
      <x:c r="AD442" s="84" t="n">
        <x:f>AC442-B442</x:f>
        <x:v>0</x:v>
      </x:c>
      <x:c r="AE442" s="84" t="str">
        <x:f>IF(COUNTIF($A$5:A442,A442)&gt;1,"Duplicate","Keep")</x:f>
        <x:v>Keep</x:v>
      </x:c>
      <x:c r="AF442" s="84" t="str">
        <x:f>IF(OR(R442&lt;=0,AC442&lt;B442,H442="Unknown",M442="Unknown Product"),"Review","Valid")</x:f>
        <x:v>Valid</x:v>
      </x:c>
      <x:c r="AG442" s="84" t="n">
        <x:f>IF(AND(AE442="Keep",AF442="Valid"),1,0)</x:f>
        <x:v>1</x:v>
      </x:c>
      <x:c r="AH442" s="84" t="n">
        <x:f>IF(AND(AG442=1,OR('Dashboard'!$B$4="All",I442='Dashboard'!$B$4),OR('Dashboard'!$E$4="All",N442='Dashboard'!$E$4),OR('Dashboard'!$H$4="All",K442='Dashboard'!$H$4),OR('Dashboard'!$K$4="All",C442='Dashboard'!$K$4)),1,0)</x:f>
        <x:v>1</x:v>
      </x:c>
      <x:c r="AI442" s="84" t="n">
        <x:f>IF(AND(AG442=1,OR('Dashboard'!$B$4="All",I442='Dashboard'!$B$4),OR('Dashboard'!$E$4="All",N442='Dashboard'!$E$4),OR('Dashboard'!$H$4="All",K442='Dashboard'!$H$4)),1,0)</x:f>
        <x:v>1</x:v>
      </x:c>
    </x:row>
    <x:row r="443">
      <x:c r="A443" s="84" t="str">
        <x:f>'Raw Sales'!A443</x:f>
        <x:v>ORD-2024-01573</x:v>
      </x:c>
      <x:c r="B443" s="85" t="n">
        <x:f>'Raw Sales'!B443</x:f>
        <x:v>45456</x:v>
      </x:c>
      <x:c r="C443" s="84" t="n">
        <x:f>YEAR(B443)</x:f>
        <x:v>2024</x:v>
      </x:c>
      <x:c r="D443" s="91" t="n">
        <x:f>DATE(YEAR(B443),MONTH(B443),1)</x:f>
        <x:v>45444</x:v>
      </x:c>
      <x:c r="E443" s="84" t="str">
        <x:f>TEXT(B443,"mmm")</x:f>
        <x:v>Jun</x:v>
      </x:c>
      <x:c r="F443" s="84" t="str">
        <x:f>'Raw Sales'!C443</x:f>
        <x:v>CUST-0366</x:v>
      </x:c>
      <x:c r="G443" s="84" t="str">
        <x:f>PROPER(TRIM('Raw Sales'!D443))</x:f>
        <x:v>Priya Foster</x:v>
      </x:c>
      <x:c r="H443" s="84" t="str">
        <x:f>IF(TRIM('Raw Sales'!E443)="","Unknown",PROPER(TRIM('Raw Sales'!E443)))</x:f>
        <x:v>Corporate</x:v>
      </x:c>
      <x:c r="I443" s="84" t="str">
        <x:f>PROPER(TRIM('Raw Sales'!F443))</x:f>
        <x:v>Southeast</x:v>
      </x:c>
      <x:c r="J443" s="84" t="str">
        <x:f>PROPER(TRIM('Raw Sales'!G443))</x:f>
        <x:v>Charlotte</x:v>
      </x:c>
      <x:c r="K443" s="84" t="str">
        <x:f>PROPER(TRIM('Raw Sales'!H443))</x:f>
        <x:v>Online</x:v>
      </x:c>
      <x:c r="L443" s="84" t="str">
        <x:f>'Raw Sales'!I443</x:f>
        <x:v>OFFC-001</x:v>
      </x:c>
      <x:c r="M443" s="84" t="str">
        <x:f>IFERROR(VLOOKUP(L443,'Reference Data'!$A$5:$F$40,2,FALSE),"Unknown Product")</x:f>
        <x:v>Ergonomic Chair</x:v>
      </x:c>
      <x:c r="N443" s="84" t="str">
        <x:f>IFERROR(VLOOKUP(L443,'Reference Data'!$A$5:$F$40,3,FALSE),"Unknown")</x:f>
        <x:v>Office</x:v>
      </x:c>
      <x:c r="O443" s="84" t="str">
        <x:f>IFERROR(VLOOKUP(L443,'Reference Data'!$A$5:$F$40,4,FALSE),"Unknown")</x:f>
        <x:v>Furniture</x:v>
      </x:c>
      <x:c r="P443" s="92" t="n">
        <x:f>IFERROR(VLOOKUP(L443,'Reference Data'!$A$5:$F$40,5,FALSE),0)</x:f>
        <x:v>249</x:v>
      </x:c>
      <x:c r="Q443" s="92" t="n">
        <x:f>IFERROR(VLOOKUP(L443,'Reference Data'!$A$5:$F$40,6,FALSE),0)</x:f>
        <x:v>145</x:v>
      </x:c>
      <x:c r="R443" s="84" t="n">
        <x:f>'Raw Sales'!J443</x:f>
        <x:v>4</x:v>
      </x:c>
      <x:c r="S443" s="87" t="n">
        <x:f>'Raw Sales'!K443</x:f>
        <x:v>0.05</x:v>
      </x:c>
      <x:c r="T443" s="93" t="n">
        <x:f>P443*R443</x:f>
        <x:v>996</x:v>
      </x:c>
      <x:c r="U443" s="93" t="n">
        <x:f>T443*S443</x:f>
        <x:v>49.800000000000004</x:v>
      </x:c>
      <x:c r="V443" s="93" t="str">
        <x:f>PROPER(TRIM('Raw Sales'!L443))</x:f>
        <x:v>Completed</x:v>
      </x:c>
      <x:c r="W443" s="93" t="n">
        <x:f>IF(V443="Returned",0,T443-U443)</x:f>
        <x:v>946.2</x:v>
      </x:c>
      <x:c r="X443" s="93" t="n">
        <x:f>IF(V443="Returned",Q443*R443*10%,Q443*R443)</x:f>
        <x:v>580</x:v>
      </x:c>
      <x:c r="Y443" s="93" t="n">
        <x:f>W443-X443</x:f>
        <x:v>366.20000000000005</x:v>
      </x:c>
      <x:c r="Z443" s="94" t="n">
        <x:f>IFERROR(Y443/W443,0)</x:f>
        <x:v>0.3870217712957092</x:v>
      </x:c>
      <x:c r="AA443" s="84" t="str">
        <x:f>PROPER(TRIM('Raw Sales'!M443))</x:f>
        <x:v>Debit Card</x:v>
      </x:c>
      <x:c r="AB443" s="84" t="str">
        <x:f>PROPER(TRIM('Raw Sales'!N443))</x:f>
        <x:v>Ava Mitchell</x:v>
      </x:c>
      <x:c r="AC443" s="85" t="n">
        <x:f>'Raw Sales'!O443</x:f>
        <x:v>45459</x:v>
      </x:c>
      <x:c r="AD443" s="84" t="n">
        <x:f>AC443-B443</x:f>
        <x:v>3</x:v>
      </x:c>
      <x:c r="AE443" s="84" t="str">
        <x:f>IF(COUNTIF($A$5:A443,A443)&gt;1,"Duplicate","Keep")</x:f>
        <x:v>Keep</x:v>
      </x:c>
      <x:c r="AF443" s="84" t="str">
        <x:f>IF(OR(R443&lt;=0,AC443&lt;B443,H443="Unknown",M443="Unknown Product"),"Review","Valid")</x:f>
        <x:v>Valid</x:v>
      </x:c>
      <x:c r="AG443" s="84" t="n">
        <x:f>IF(AND(AE443="Keep",AF443="Valid"),1,0)</x:f>
        <x:v>1</x:v>
      </x:c>
      <x:c r="AH443" s="84" t="n">
        <x:f>IF(AND(AG443=1,OR('Dashboard'!$B$4="All",I443='Dashboard'!$B$4),OR('Dashboard'!$E$4="All",N443='Dashboard'!$E$4),OR('Dashboard'!$H$4="All",K443='Dashboard'!$H$4),OR('Dashboard'!$K$4="All",C443='Dashboard'!$K$4)),1,0)</x:f>
        <x:v>1</x:v>
      </x:c>
      <x:c r="AI443" s="84" t="n">
        <x:f>IF(AND(AG443=1,OR('Dashboard'!$B$4="All",I443='Dashboard'!$B$4),OR('Dashboard'!$E$4="All",N443='Dashboard'!$E$4),OR('Dashboard'!$H$4="All",K443='Dashboard'!$H$4)),1,0)</x:f>
        <x:v>1</x:v>
      </x:c>
    </x:row>
    <x:row r="444">
      <x:c r="A444" s="84" t="str">
        <x:f>'Raw Sales'!A444</x:f>
        <x:v>ORD-2024-00590</x:v>
      </x:c>
      <x:c r="B444" s="85" t="n">
        <x:f>'Raw Sales'!B444</x:f>
        <x:v>45458</x:v>
      </x:c>
      <x:c r="C444" s="84" t="n">
        <x:f>YEAR(B444)</x:f>
        <x:v>2024</x:v>
      </x:c>
      <x:c r="D444" s="91" t="n">
        <x:f>DATE(YEAR(B444),MONTH(B444),1)</x:f>
        <x:v>45444</x:v>
      </x:c>
      <x:c r="E444" s="84" t="str">
        <x:f>TEXT(B444,"mmm")</x:f>
        <x:v>Jun</x:v>
      </x:c>
      <x:c r="F444" s="84" t="str">
        <x:f>'Raw Sales'!C444</x:f>
        <x:v>CUST-0527</x:v>
      </x:c>
      <x:c r="G444" s="84" t="str">
        <x:f>PROPER(TRIM('Raw Sales'!D444))</x:f>
        <x:v>Theo Hall</x:v>
      </x:c>
      <x:c r="H444" s="84" t="str">
        <x:f>IF(TRIM('Raw Sales'!E444)="","Unknown",PROPER(TRIM('Raw Sales'!E444)))</x:f>
        <x:v>Consumer</x:v>
      </x:c>
      <x:c r="I444" s="84" t="str">
        <x:f>PROPER(TRIM('Raw Sales'!F444))</x:f>
        <x:v>Southeast</x:v>
      </x:c>
      <x:c r="J444" s="84" t="str">
        <x:f>PROPER(TRIM('Raw Sales'!G444))</x:f>
        <x:v>Nashville</x:v>
      </x:c>
      <x:c r="K444" s="84" t="str">
        <x:f>PROPER(TRIM('Raw Sales'!H444))</x:f>
        <x:v>Online</x:v>
      </x:c>
      <x:c r="L444" s="84" t="str">
        <x:f>'Raw Sales'!I444</x:f>
        <x:v>FITN-004</x:v>
      </x:c>
      <x:c r="M444" s="84" t="str">
        <x:f>IFERROR(VLOOKUP(L444,'Reference Data'!$A$5:$F$40,2,FALSE),"Unknown Product")</x:f>
        <x:v>Fitness Tracker</x:v>
      </x:c>
      <x:c r="N444" s="84" t="str">
        <x:f>IFERROR(VLOOKUP(L444,'Reference Data'!$A$5:$F$40,3,FALSE),"Unknown")</x:f>
        <x:v>Fitness</x:v>
      </x:c>
      <x:c r="O444" s="84" t="str">
        <x:f>IFERROR(VLOOKUP(L444,'Reference Data'!$A$5:$F$40,4,FALSE),"Unknown")</x:f>
        <x:v>Wearables</x:v>
      </x:c>
      <x:c r="P444" s="92" t="n">
        <x:f>IFERROR(VLOOKUP(L444,'Reference Data'!$A$5:$F$40,5,FALSE),0)</x:f>
        <x:v>89</x:v>
      </x:c>
      <x:c r="Q444" s="92" t="n">
        <x:f>IFERROR(VLOOKUP(L444,'Reference Data'!$A$5:$F$40,6,FALSE),0)</x:f>
        <x:v>44</x:v>
      </x:c>
      <x:c r="R444" s="84" t="n">
        <x:f>'Raw Sales'!J444</x:f>
        <x:v>1</x:v>
      </x:c>
      <x:c r="S444" s="87" t="n">
        <x:f>'Raw Sales'!K444</x:f>
        <x:v>0</x:v>
      </x:c>
      <x:c r="T444" s="93" t="n">
        <x:f>P444*R444</x:f>
        <x:v>89</x:v>
      </x:c>
      <x:c r="U444" s="93" t="n">
        <x:f>T444*S444</x:f>
        <x:v>0</x:v>
      </x:c>
      <x:c r="V444" s="93" t="str">
        <x:f>PROPER(TRIM('Raw Sales'!L444))</x:f>
        <x:v>Completed</x:v>
      </x:c>
      <x:c r="W444" s="93" t="n">
        <x:f>IF(V444="Returned",0,T444-U444)</x:f>
        <x:v>89</x:v>
      </x:c>
      <x:c r="X444" s="93" t="n">
        <x:f>IF(V444="Returned",Q444*R444*10%,Q444*R444)</x:f>
        <x:v>44</x:v>
      </x:c>
      <x:c r="Y444" s="93" t="n">
        <x:f>W444-X444</x:f>
        <x:v>45</x:v>
      </x:c>
      <x:c r="Z444" s="94" t="n">
        <x:f>IFERROR(Y444/W444,0)</x:f>
        <x:v>0.5056179775280899</x:v>
      </x:c>
      <x:c r="AA444" s="84" t="str">
        <x:f>PROPER(TRIM('Raw Sales'!M444))</x:f>
        <x:v>Credit Card</x:v>
      </x:c>
      <x:c r="AB444" s="84" t="str">
        <x:f>PROPER(TRIM('Raw Sales'!N444))</x:f>
        <x:v>Ava Mitchell</x:v>
      </x:c>
      <x:c r="AC444" s="85" t="n">
        <x:f>'Raw Sales'!O444</x:f>
        <x:v>45462</x:v>
      </x:c>
      <x:c r="AD444" s="84" t="n">
        <x:f>AC444-B444</x:f>
        <x:v>4</x:v>
      </x:c>
      <x:c r="AE444" s="84" t="str">
        <x:f>IF(COUNTIF($A$5:A444,A444)&gt;1,"Duplicate","Keep")</x:f>
        <x:v>Keep</x:v>
      </x:c>
      <x:c r="AF444" s="84" t="str">
        <x:f>IF(OR(R444&lt;=0,AC444&lt;B444,H444="Unknown",M444="Unknown Product"),"Review","Valid")</x:f>
        <x:v>Valid</x:v>
      </x:c>
      <x:c r="AG444" s="84" t="n">
        <x:f>IF(AND(AE444="Keep",AF444="Valid"),1,0)</x:f>
        <x:v>1</x:v>
      </x:c>
      <x:c r="AH444" s="84" t="n">
        <x:f>IF(AND(AG444=1,OR('Dashboard'!$B$4="All",I444='Dashboard'!$B$4),OR('Dashboard'!$E$4="All",N444='Dashboard'!$E$4),OR('Dashboard'!$H$4="All",K444='Dashboard'!$H$4),OR('Dashboard'!$K$4="All",C444='Dashboard'!$K$4)),1,0)</x:f>
        <x:v>1</x:v>
      </x:c>
      <x:c r="AI444" s="84" t="n">
        <x:f>IF(AND(AG444=1,OR('Dashboard'!$B$4="All",I444='Dashboard'!$B$4),OR('Dashboard'!$E$4="All",N444='Dashboard'!$E$4),OR('Dashboard'!$H$4="All",K444='Dashboard'!$H$4)),1,0)</x:f>
        <x:v>1</x:v>
      </x:c>
    </x:row>
    <x:row r="445">
      <x:c r="A445" s="84" t="str">
        <x:f>'Raw Sales'!A445</x:f>
        <x:v>ORD-2024-01135</x:v>
      </x:c>
      <x:c r="B445" s="85" t="n">
        <x:f>'Raw Sales'!B445</x:f>
        <x:v>45458</x:v>
      </x:c>
      <x:c r="C445" s="84" t="n">
        <x:f>YEAR(B445)</x:f>
        <x:v>2024</x:v>
      </x:c>
      <x:c r="D445" s="91" t="n">
        <x:f>DATE(YEAR(B445),MONTH(B445),1)</x:f>
        <x:v>45444</x:v>
      </x:c>
      <x:c r="E445" s="84" t="str">
        <x:f>TEXT(B445,"mmm")</x:f>
        <x:v>Jun</x:v>
      </x:c>
      <x:c r="F445" s="84" t="str">
        <x:f>'Raw Sales'!C445</x:f>
        <x:v>CUST-0638</x:v>
      </x:c>
      <x:c r="G445" s="84" t="str">
        <x:f>PROPER(TRIM('Raw Sales'!D445))</x:f>
        <x:v>Zara Roberts</x:v>
      </x:c>
      <x:c r="H445" s="84" t="str">
        <x:f>IF(TRIM('Raw Sales'!E445)="","Unknown",PROPER(TRIM('Raw Sales'!E445)))</x:f>
        <x:v>Consumer</x:v>
      </x:c>
      <x:c r="I445" s="84" t="str">
        <x:f>PROPER(TRIM('Raw Sales'!F445))</x:f>
        <x:v>Northeast</x:v>
      </x:c>
      <x:c r="J445" s="84" t="str">
        <x:f>PROPER(TRIM('Raw Sales'!G445))</x:f>
        <x:v>Philadelphia</x:v>
      </x:c>
      <x:c r="K445" s="84" t="str">
        <x:f>PROPER(TRIM('Raw Sales'!H445))</x:f>
        <x:v>Marketplace</x:v>
      </x:c>
      <x:c r="L445" s="84" t="str">
        <x:f>'Raw Sales'!I445</x:f>
        <x:v>ELEC-005</x:v>
      </x:c>
      <x:c r="M445" s="84" t="str">
        <x:f>IFERROR(VLOOKUP(L445,'Reference Data'!$A$5:$F$40,2,FALSE),"Unknown Product")</x:f>
        <x:v>HD Webcam</x:v>
      </x:c>
      <x:c r="N445" s="84" t="str">
        <x:f>IFERROR(VLOOKUP(L445,'Reference Data'!$A$5:$F$40,3,FALSE),"Unknown")</x:f>
        <x:v>Electronics</x:v>
      </x:c>
      <x:c r="O445" s="84" t="str">
        <x:f>IFERROR(VLOOKUP(L445,'Reference Data'!$A$5:$F$40,4,FALSE),"Unknown")</x:f>
        <x:v>Computer Accessories</x:v>
      </x:c>
      <x:c r="P445" s="92" t="n">
        <x:f>IFERROR(VLOOKUP(L445,'Reference Data'!$A$5:$F$40,5,FALSE),0)</x:f>
        <x:v>79</x:v>
      </x:c>
      <x:c r="Q445" s="92" t="n">
        <x:f>IFERROR(VLOOKUP(L445,'Reference Data'!$A$5:$F$40,6,FALSE),0)</x:f>
        <x:v>37</x:v>
      </x:c>
      <x:c r="R445" s="84" t="n">
        <x:f>'Raw Sales'!J445</x:f>
        <x:v>2</x:v>
      </x:c>
      <x:c r="S445" s="87" t="n">
        <x:f>'Raw Sales'!K445</x:f>
        <x:v>0.05</x:v>
      </x:c>
      <x:c r="T445" s="93" t="n">
        <x:f>P445*R445</x:f>
        <x:v>158</x:v>
      </x:c>
      <x:c r="U445" s="93" t="n">
        <x:f>T445*S445</x:f>
        <x:v>7.9</x:v>
      </x:c>
      <x:c r="V445" s="93" t="str">
        <x:f>PROPER(TRIM('Raw Sales'!L445))</x:f>
        <x:v>Completed</x:v>
      </x:c>
      <x:c r="W445" s="93" t="n">
        <x:f>IF(V445="Returned",0,T445-U445)</x:f>
        <x:v>150.1</x:v>
      </x:c>
      <x:c r="X445" s="93" t="n">
        <x:f>IF(V445="Returned",Q445*R445*10%,Q445*R445)</x:f>
        <x:v>74</x:v>
      </x:c>
      <x:c r="Y445" s="93" t="n">
        <x:f>W445-X445</x:f>
        <x:v>76.1</x:v>
      </x:c>
      <x:c r="Z445" s="94" t="n">
        <x:f>IFERROR(Y445/W445,0)</x:f>
        <x:v>0.5069953364423717</x:v>
      </x:c>
      <x:c r="AA445" s="84" t="str">
        <x:f>PROPER(TRIM('Raw Sales'!M445))</x:f>
        <x:v>Debit Card</x:v>
      </x:c>
      <x:c r="AB445" s="84" t="str">
        <x:f>PROPER(TRIM('Raw Sales'!N445))</x:f>
        <x:v>Ethan Cole</x:v>
      </x:c>
      <x:c r="AC445" s="85" t="n">
        <x:f>'Raw Sales'!O445</x:f>
        <x:v>45465</x:v>
      </x:c>
      <x:c r="AD445" s="84" t="n">
        <x:f>AC445-B445</x:f>
        <x:v>7</x:v>
      </x:c>
      <x:c r="AE445" s="84" t="str">
        <x:f>IF(COUNTIF($A$5:A445,A445)&gt;1,"Duplicate","Keep")</x:f>
        <x:v>Keep</x:v>
      </x:c>
      <x:c r="AF445" s="84" t="str">
        <x:f>IF(OR(R445&lt;=0,AC445&lt;B445,H445="Unknown",M445="Unknown Product"),"Review","Valid")</x:f>
        <x:v>Valid</x:v>
      </x:c>
      <x:c r="AG445" s="84" t="n">
        <x:f>IF(AND(AE445="Keep",AF445="Valid"),1,0)</x:f>
        <x:v>1</x:v>
      </x:c>
      <x:c r="AH445" s="84" t="n">
        <x:f>IF(AND(AG445=1,OR('Dashboard'!$B$4="All",I445='Dashboard'!$B$4),OR('Dashboard'!$E$4="All",N445='Dashboard'!$E$4),OR('Dashboard'!$H$4="All",K445='Dashboard'!$H$4),OR('Dashboard'!$K$4="All",C445='Dashboard'!$K$4)),1,0)</x:f>
        <x:v>1</x:v>
      </x:c>
      <x:c r="AI445" s="84" t="n">
        <x:f>IF(AND(AG445=1,OR('Dashboard'!$B$4="All",I445='Dashboard'!$B$4),OR('Dashboard'!$E$4="All",N445='Dashboard'!$E$4),OR('Dashboard'!$H$4="All",K445='Dashboard'!$H$4)),1,0)</x:f>
        <x:v>1</x:v>
      </x:c>
    </x:row>
    <x:row r="446">
      <x:c r="A446" s="84" t="str">
        <x:f>'Raw Sales'!A446</x:f>
        <x:v>ORD-2024-00126</x:v>
      </x:c>
      <x:c r="B446" s="85" t="n">
        <x:f>'Raw Sales'!B446</x:f>
        <x:v>45459</x:v>
      </x:c>
      <x:c r="C446" s="84" t="n">
        <x:f>YEAR(B446)</x:f>
        <x:v>2024</x:v>
      </x:c>
      <x:c r="D446" s="91" t="n">
        <x:f>DATE(YEAR(B446),MONTH(B446),1)</x:f>
        <x:v>45444</x:v>
      </x:c>
      <x:c r="E446" s="84" t="str">
        <x:f>TEXT(B446,"mmm")</x:f>
        <x:v>Jun</x:v>
      </x:c>
      <x:c r="F446" s="84" t="str">
        <x:f>'Raw Sales'!C446</x:f>
        <x:v>CUST-0293</x:v>
      </x:c>
      <x:c r="G446" s="84" t="str">
        <x:f>PROPER(TRIM('Raw Sales'!D446))</x:f>
        <x:v>Marcus Johnson</x:v>
      </x:c>
      <x:c r="H446" s="84" t="str">
        <x:f>IF(TRIM('Raw Sales'!E446)="","Unknown",PROPER(TRIM('Raw Sales'!E446)))</x:f>
        <x:v>Consumer</x:v>
      </x:c>
      <x:c r="I446" s="84" t="str">
        <x:f>PROPER(TRIM('Raw Sales'!F446))</x:f>
        <x:v>West</x:v>
      </x:c>
      <x:c r="J446" s="84" t="str">
        <x:f>PROPER(TRIM('Raw Sales'!G446))</x:f>
        <x:v>Denver</x:v>
      </x:c>
      <x:c r="K446" s="84" t="str">
        <x:f>PROPER(TRIM('Raw Sales'!H446))</x:f>
        <x:v>Retail Store</x:v>
      </x:c>
      <x:c r="L446" s="84" t="str">
        <x:f>'Raw Sales'!I446</x:f>
        <x:v>FITN-001</x:v>
      </x:c>
      <x:c r="M446" s="84" t="str">
        <x:f>IFERROR(VLOOKUP(L446,'Reference Data'!$A$5:$F$40,2,FALSE),"Unknown Product")</x:f>
        <x:v>Yoga Mat</x:v>
      </x:c>
      <x:c r="N446" s="84" t="str">
        <x:f>IFERROR(VLOOKUP(L446,'Reference Data'!$A$5:$F$40,3,FALSE),"Unknown")</x:f>
        <x:v>Fitness</x:v>
      </x:c>
      <x:c r="O446" s="84" t="str">
        <x:f>IFERROR(VLOOKUP(L446,'Reference Data'!$A$5:$F$40,4,FALSE),"Unknown")</x:f>
        <x:v>Yoga</x:v>
      </x:c>
      <x:c r="P446" s="92" t="n">
        <x:f>IFERROR(VLOOKUP(L446,'Reference Data'!$A$5:$F$40,5,FALSE),0)</x:f>
        <x:v>35</x:v>
      </x:c>
      <x:c r="Q446" s="92" t="n">
        <x:f>IFERROR(VLOOKUP(L446,'Reference Data'!$A$5:$F$40,6,FALSE),0)</x:f>
        <x:v>13</x:v>
      </x:c>
      <x:c r="R446" s="84" t="n">
        <x:f>'Raw Sales'!J446</x:f>
        <x:v>1</x:v>
      </x:c>
      <x:c r="S446" s="87" t="n">
        <x:f>'Raw Sales'!K446</x:f>
        <x:v>0</x:v>
      </x:c>
      <x:c r="T446" s="93" t="n">
        <x:f>P446*R446</x:f>
        <x:v>35</x:v>
      </x:c>
      <x:c r="U446" s="93" t="n">
        <x:f>T446*S446</x:f>
        <x:v>0</x:v>
      </x:c>
      <x:c r="V446" s="93" t="str">
        <x:f>PROPER(TRIM('Raw Sales'!L446))</x:f>
        <x:v>Completed</x:v>
      </x:c>
      <x:c r="W446" s="93" t="n">
        <x:f>IF(V446="Returned",0,T446-U446)</x:f>
        <x:v>35</x:v>
      </x:c>
      <x:c r="X446" s="93" t="n">
        <x:f>IF(V446="Returned",Q446*R446*10%,Q446*R446)</x:f>
        <x:v>13</x:v>
      </x:c>
      <x:c r="Y446" s="93" t="n">
        <x:f>W446-X446</x:f>
        <x:v>22</x:v>
      </x:c>
      <x:c r="Z446" s="94" t="n">
        <x:f>IFERROR(Y446/W446,0)</x:f>
        <x:v>0.6285714285714286</x:v>
      </x:c>
      <x:c r="AA446" s="84" t="str">
        <x:f>PROPER(TRIM('Raw Sales'!M446))</x:f>
        <x:v>Mobile Wallet</x:v>
      </x:c>
      <x:c r="AB446" s="84" t="str">
        <x:f>PROPER(TRIM('Raw Sales'!N446))</x:f>
        <x:v>Nora Kim</x:v>
      </x:c>
      <x:c r="AC446" s="85" t="n">
        <x:f>'Raw Sales'!O446</x:f>
        <x:v>45459</x:v>
      </x:c>
      <x:c r="AD446" s="84" t="n">
        <x:f>AC446-B446</x:f>
        <x:v>0</x:v>
      </x:c>
      <x:c r="AE446" s="84" t="str">
        <x:f>IF(COUNTIF($A$5:A446,A446)&gt;1,"Duplicate","Keep")</x:f>
        <x:v>Keep</x:v>
      </x:c>
      <x:c r="AF446" s="84" t="str">
        <x:f>IF(OR(R446&lt;=0,AC446&lt;B446,H446="Unknown",M446="Unknown Product"),"Review","Valid")</x:f>
        <x:v>Valid</x:v>
      </x:c>
      <x:c r="AG446" s="84" t="n">
        <x:f>IF(AND(AE446="Keep",AF446="Valid"),1,0)</x:f>
        <x:v>1</x:v>
      </x:c>
      <x:c r="AH446" s="84" t="n">
        <x:f>IF(AND(AG446=1,OR('Dashboard'!$B$4="All",I446='Dashboard'!$B$4),OR('Dashboard'!$E$4="All",N446='Dashboard'!$E$4),OR('Dashboard'!$H$4="All",K446='Dashboard'!$H$4),OR('Dashboard'!$K$4="All",C446='Dashboard'!$K$4)),1,0)</x:f>
        <x:v>1</x:v>
      </x:c>
      <x:c r="AI446" s="84" t="n">
        <x:f>IF(AND(AG446=1,OR('Dashboard'!$B$4="All",I446='Dashboard'!$B$4),OR('Dashboard'!$E$4="All",N446='Dashboard'!$E$4),OR('Dashboard'!$H$4="All",K446='Dashboard'!$H$4)),1,0)</x:f>
        <x:v>1</x:v>
      </x:c>
    </x:row>
    <x:row r="447">
      <x:c r="A447" s="84" t="str">
        <x:f>'Raw Sales'!A447</x:f>
        <x:v>ORD-2024-00524</x:v>
      </x:c>
      <x:c r="B447" s="85" t="n">
        <x:f>'Raw Sales'!B447</x:f>
        <x:v>45459</x:v>
      </x:c>
      <x:c r="C447" s="84" t="n">
        <x:f>YEAR(B447)</x:f>
        <x:v>2024</x:v>
      </x:c>
      <x:c r="D447" s="91" t="n">
        <x:f>DATE(YEAR(B447),MONTH(B447),1)</x:f>
        <x:v>45444</x:v>
      </x:c>
      <x:c r="E447" s="84" t="str">
        <x:f>TEXT(B447,"mmm")</x:f>
        <x:v>Jun</x:v>
      </x:c>
      <x:c r="F447" s="84" t="str">
        <x:f>'Raw Sales'!C447</x:f>
        <x:v>CUST-0080</x:v>
      </x:c>
      <x:c r="G447" s="84" t="str">
        <x:f>PROPER(TRIM('Raw Sales'!D447))</x:f>
        <x:v>Maya Patel</x:v>
      </x:c>
      <x:c r="H447" s="84" t="str">
        <x:f>IF(TRIM('Raw Sales'!E447)="","Unknown",PROPER(TRIM('Raw Sales'!E447)))</x:f>
        <x:v>Corporate</x:v>
      </x:c>
      <x:c r="I447" s="84" t="str">
        <x:f>PROPER(TRIM('Raw Sales'!F447))</x:f>
        <x:v>Midwest</x:v>
      </x:c>
      <x:c r="J447" s="84" t="str">
        <x:f>PROPER(TRIM('Raw Sales'!G447))</x:f>
        <x:v>Columbus</x:v>
      </x:c>
      <x:c r="K447" s="84" t="str">
        <x:f>PROPER(TRIM('Raw Sales'!H447))</x:f>
        <x:v>Retail Store</x:v>
      </x:c>
      <x:c r="L447" s="84" t="str">
        <x:f>'Raw Sales'!I447</x:f>
        <x:v>FITN-003</x:v>
      </x:c>
      <x:c r="M447" s="84" t="str">
        <x:f>IFERROR(VLOOKUP(L447,'Reference Data'!$A$5:$F$40,2,FALSE),"Unknown Product")</x:f>
        <x:v>Resistance Band Set</x:v>
      </x:c>
      <x:c r="N447" s="84" t="str">
        <x:f>IFERROR(VLOOKUP(L447,'Reference Data'!$A$5:$F$40,3,FALSE),"Unknown")</x:f>
        <x:v>Fitness</x:v>
      </x:c>
      <x:c r="O447" s="84" t="str">
        <x:f>IFERROR(VLOOKUP(L447,'Reference Data'!$A$5:$F$40,4,FALSE),"Unknown")</x:f>
        <x:v>Strength</x:v>
      </x:c>
      <x:c r="P447" s="92" t="n">
        <x:f>IFERROR(VLOOKUP(L447,'Reference Data'!$A$5:$F$40,5,FALSE),0)</x:f>
        <x:v>24</x:v>
      </x:c>
      <x:c r="Q447" s="92" t="n">
        <x:f>IFERROR(VLOOKUP(L447,'Reference Data'!$A$5:$F$40,6,FALSE),0)</x:f>
        <x:v>8</x:v>
      </x:c>
      <x:c r="R447" s="84" t="n">
        <x:f>'Raw Sales'!J447</x:f>
        <x:v>1</x:v>
      </x:c>
      <x:c r="S447" s="87" t="n">
        <x:f>'Raw Sales'!K447</x:f>
        <x:v>0.1</x:v>
      </x:c>
      <x:c r="T447" s="93" t="n">
        <x:f>P447*R447</x:f>
        <x:v>24</x:v>
      </x:c>
      <x:c r="U447" s="93" t="n">
        <x:f>T447*S447</x:f>
        <x:v>2.4000000000000004</x:v>
      </x:c>
      <x:c r="V447" s="93" t="str">
        <x:f>PROPER(TRIM('Raw Sales'!L447))</x:f>
        <x:v>Completed</x:v>
      </x:c>
      <x:c r="W447" s="93" t="n">
        <x:f>IF(V447="Returned",0,T447-U447)</x:f>
        <x:v>21.6</x:v>
      </x:c>
      <x:c r="X447" s="93" t="n">
        <x:f>IF(V447="Returned",Q447*R447*10%,Q447*R447)</x:f>
        <x:v>8</x:v>
      </x:c>
      <x:c r="Y447" s="93" t="n">
        <x:f>W447-X447</x:f>
        <x:v>13.600000000000001</x:v>
      </x:c>
      <x:c r="Z447" s="94" t="n">
        <x:f>IFERROR(Y447/W447,0)</x:f>
        <x:v>0.6296296296296297</x:v>
      </x:c>
      <x:c r="AA447" s="84" t="str">
        <x:f>PROPER(TRIM('Raw Sales'!M447))</x:f>
        <x:v>Cash</x:v>
      </x:c>
      <x:c r="AB447" s="84" t="str">
        <x:f>PROPER(TRIM('Raw Sales'!N447))</x:f>
        <x:v>Emma Hayes</x:v>
      </x:c>
      <x:c r="AC447" s="85" t="n">
        <x:f>'Raw Sales'!O447</x:f>
        <x:v>45459</x:v>
      </x:c>
      <x:c r="AD447" s="84" t="n">
        <x:f>AC447-B447</x:f>
        <x:v>0</x:v>
      </x:c>
      <x:c r="AE447" s="84" t="str">
        <x:f>IF(COUNTIF($A$5:A447,A447)&gt;1,"Duplicate","Keep")</x:f>
        <x:v>Keep</x:v>
      </x:c>
      <x:c r="AF447" s="84" t="str">
        <x:f>IF(OR(R447&lt;=0,AC447&lt;B447,H447="Unknown",M447="Unknown Product"),"Review","Valid")</x:f>
        <x:v>Valid</x:v>
      </x:c>
      <x:c r="AG447" s="84" t="n">
        <x:f>IF(AND(AE447="Keep",AF447="Valid"),1,0)</x:f>
        <x:v>1</x:v>
      </x:c>
      <x:c r="AH447" s="84" t="n">
        <x:f>IF(AND(AG447=1,OR('Dashboard'!$B$4="All",I447='Dashboard'!$B$4),OR('Dashboard'!$E$4="All",N447='Dashboard'!$E$4),OR('Dashboard'!$H$4="All",K447='Dashboard'!$H$4),OR('Dashboard'!$K$4="All",C447='Dashboard'!$K$4)),1,0)</x:f>
        <x:v>1</x:v>
      </x:c>
      <x:c r="AI447" s="84" t="n">
        <x:f>IF(AND(AG447=1,OR('Dashboard'!$B$4="All",I447='Dashboard'!$B$4),OR('Dashboard'!$E$4="All",N447='Dashboard'!$E$4),OR('Dashboard'!$H$4="All",K447='Dashboard'!$H$4)),1,0)</x:f>
        <x:v>1</x:v>
      </x:c>
    </x:row>
    <x:row r="448">
      <x:c r="A448" s="84" t="str">
        <x:f>'Raw Sales'!A448</x:f>
        <x:v>ORD-2024-00598</x:v>
      </x:c>
      <x:c r="B448" s="85" t="n">
        <x:f>'Raw Sales'!B448</x:f>
        <x:v>45459</x:v>
      </x:c>
      <x:c r="C448" s="84" t="n">
        <x:f>YEAR(B448)</x:f>
        <x:v>2024</x:v>
      </x:c>
      <x:c r="D448" s="91" t="n">
        <x:f>DATE(YEAR(B448),MONTH(B448),1)</x:f>
        <x:v>45444</x:v>
      </x:c>
      <x:c r="E448" s="84" t="str">
        <x:f>TEXT(B448,"mmm")</x:f>
        <x:v>Jun</x:v>
      </x:c>
      <x:c r="F448" s="84" t="str">
        <x:f>'Raw Sales'!C448</x:f>
        <x:v>CUST-0157</x:v>
      </x:c>
      <x:c r="G448" s="84" t="str">
        <x:f>PROPER(TRIM('Raw Sales'!D448))</x:f>
        <x:v>Isaac Smith</x:v>
      </x:c>
      <x:c r="H448" s="84" t="str">
        <x:f>IF(TRIM('Raw Sales'!E448)="","Unknown",PROPER(TRIM('Raw Sales'!E448)))</x:f>
        <x:v>Corporate</x:v>
      </x:c>
      <x:c r="I448" s="84" t="str">
        <x:f>PROPER(TRIM('Raw Sales'!F448))</x:f>
        <x:v>West</x:v>
      </x:c>
      <x:c r="J448" s="84" t="str">
        <x:f>PROPER(TRIM('Raw Sales'!G448))</x:f>
        <x:v>Los Angeles</x:v>
      </x:c>
      <x:c r="K448" s="84" t="str">
        <x:f>PROPER(TRIM('Raw Sales'!H448))</x:f>
        <x:v>Online</x:v>
      </x:c>
      <x:c r="L448" s="84" t="str">
        <x:f>'Raw Sales'!I448</x:f>
        <x:v>OFFC-002</x:v>
      </x:c>
      <x:c r="M448" s="84" t="str">
        <x:f>IFERROR(VLOOKUP(L448,'Reference Data'!$A$5:$F$40,2,FALSE),"Unknown Product")</x:f>
        <x:v>Standing Desk</x:v>
      </x:c>
      <x:c r="N448" s="84" t="str">
        <x:f>IFERROR(VLOOKUP(L448,'Reference Data'!$A$5:$F$40,3,FALSE),"Unknown")</x:f>
        <x:v>Office</x:v>
      </x:c>
      <x:c r="O448" s="84" t="str">
        <x:f>IFERROR(VLOOKUP(L448,'Reference Data'!$A$5:$F$40,4,FALSE),"Unknown")</x:f>
        <x:v>Furniture</x:v>
      </x:c>
      <x:c r="P448" s="92" t="n">
        <x:f>IFERROR(VLOOKUP(L448,'Reference Data'!$A$5:$F$40,5,FALSE),0)</x:f>
        <x:v>399</x:v>
      </x:c>
      <x:c r="Q448" s="92" t="n">
        <x:f>IFERROR(VLOOKUP(L448,'Reference Data'!$A$5:$F$40,6,FALSE),0)</x:f>
        <x:v>235</x:v>
      </x:c>
      <x:c r="R448" s="84" t="n">
        <x:f>'Raw Sales'!J448</x:f>
        <x:v>5</x:v>
      </x:c>
      <x:c r="S448" s="87" t="n">
        <x:f>'Raw Sales'!K448</x:f>
        <x:v>0</x:v>
      </x:c>
      <x:c r="T448" s="93" t="n">
        <x:f>P448*R448</x:f>
        <x:v>1995</x:v>
      </x:c>
      <x:c r="U448" s="93" t="n">
        <x:f>T448*S448</x:f>
        <x:v>0</x:v>
      </x:c>
      <x:c r="V448" s="93" t="str">
        <x:f>PROPER(TRIM('Raw Sales'!L448))</x:f>
        <x:v>Completed</x:v>
      </x:c>
      <x:c r="W448" s="93" t="n">
        <x:f>IF(V448="Returned",0,T448-U448)</x:f>
        <x:v>1995</x:v>
      </x:c>
      <x:c r="X448" s="93" t="n">
        <x:f>IF(V448="Returned",Q448*R448*10%,Q448*R448)</x:f>
        <x:v>1175</x:v>
      </x:c>
      <x:c r="Y448" s="93" t="n">
        <x:f>W448-X448</x:f>
        <x:v>820</x:v>
      </x:c>
      <x:c r="Z448" s="94" t="n">
        <x:f>IFERROR(Y448/W448,0)</x:f>
        <x:v>0.41102756892230574</x:v>
      </x:c>
      <x:c r="AA448" s="84" t="str">
        <x:f>PROPER(TRIM('Raw Sales'!M448))</x:f>
        <x:v>Debit Card</x:v>
      </x:c>
      <x:c r="AB448" s="84" t="str">
        <x:f>PROPER(TRIM('Raw Sales'!N448))</x:f>
        <x:v>Leo Martinez</x:v>
      </x:c>
      <x:c r="AC448" s="85" t="n">
        <x:f>'Raw Sales'!O448</x:f>
        <x:v>45463</x:v>
      </x:c>
      <x:c r="AD448" s="84" t="n">
        <x:f>AC448-B448</x:f>
        <x:v>4</x:v>
      </x:c>
      <x:c r="AE448" s="84" t="str">
        <x:f>IF(COUNTIF($A$5:A448,A448)&gt;1,"Duplicate","Keep")</x:f>
        <x:v>Keep</x:v>
      </x:c>
      <x:c r="AF448" s="84" t="str">
        <x:f>IF(OR(R448&lt;=0,AC448&lt;B448,H448="Unknown",M448="Unknown Product"),"Review","Valid")</x:f>
        <x:v>Valid</x:v>
      </x:c>
      <x:c r="AG448" s="84" t="n">
        <x:f>IF(AND(AE448="Keep",AF448="Valid"),1,0)</x:f>
        <x:v>1</x:v>
      </x:c>
      <x:c r="AH448" s="84" t="n">
        <x:f>IF(AND(AG448=1,OR('Dashboard'!$B$4="All",I448='Dashboard'!$B$4),OR('Dashboard'!$E$4="All",N448='Dashboard'!$E$4),OR('Dashboard'!$H$4="All",K448='Dashboard'!$H$4),OR('Dashboard'!$K$4="All",C448='Dashboard'!$K$4)),1,0)</x:f>
        <x:v>1</x:v>
      </x:c>
      <x:c r="AI448" s="84" t="n">
        <x:f>IF(AND(AG448=1,OR('Dashboard'!$B$4="All",I448='Dashboard'!$B$4),OR('Dashboard'!$E$4="All",N448='Dashboard'!$E$4),OR('Dashboard'!$H$4="All",K448='Dashboard'!$H$4)),1,0)</x:f>
        <x:v>1</x:v>
      </x:c>
    </x:row>
    <x:row r="449">
      <x:c r="A449" s="84" t="str">
        <x:f>'Raw Sales'!A449</x:f>
        <x:v>ORD-2024-00781</x:v>
      </x:c>
      <x:c r="B449" s="85" t="n">
        <x:f>'Raw Sales'!B449</x:f>
        <x:v>45459</x:v>
      </x:c>
      <x:c r="C449" s="84" t="n">
        <x:f>YEAR(B449)</x:f>
        <x:v>2024</x:v>
      </x:c>
      <x:c r="D449" s="91" t="n">
        <x:f>DATE(YEAR(B449),MONTH(B449),1)</x:f>
        <x:v>45444</x:v>
      </x:c>
      <x:c r="E449" s="84" t="str">
        <x:f>TEXT(B449,"mmm")</x:f>
        <x:v>Jun</x:v>
      </x:c>
      <x:c r="F449" s="84" t="str">
        <x:f>'Raw Sales'!C449</x:f>
        <x:v>CUST-0382</x:v>
      </x:c>
      <x:c r="G449" s="84" t="str">
        <x:f>PROPER(TRIM('Raw Sales'!D449))</x:f>
        <x:v>Samuel Adams</x:v>
      </x:c>
      <x:c r="H449" s="84" t="str">
        <x:f>IF(TRIM('Raw Sales'!E449)="","Unknown",PROPER(TRIM('Raw Sales'!E449)))</x:f>
        <x:v>Corporate</x:v>
      </x:c>
      <x:c r="I449" s="84" t="str">
        <x:f>PROPER(TRIM('Raw Sales'!F449))</x:f>
        <x:v>Northeast</x:v>
      </x:c>
      <x:c r="J449" s="84" t="str">
        <x:f>PROPER(TRIM('Raw Sales'!G449))</x:f>
        <x:v>Boston</x:v>
      </x:c>
      <x:c r="K449" s="84" t="str">
        <x:f>PROPER(TRIM('Raw Sales'!H449))</x:f>
        <x:v>Online</x:v>
      </x:c>
      <x:c r="L449" s="84" t="str">
        <x:f>'Raw Sales'!I449</x:f>
        <x:v>HOME-004</x:v>
      </x:c>
      <x:c r="M449" s="84" t="str">
        <x:f>IFERROR(VLOOKUP(L449,'Reference Data'!$A$5:$F$40,2,FALSE),"Unknown Product")</x:f>
        <x:v>Coffee Maker</x:v>
      </x:c>
      <x:c r="N449" s="84" t="str">
        <x:f>IFERROR(VLOOKUP(L449,'Reference Data'!$A$5:$F$40,3,FALSE),"Unknown")</x:f>
        <x:v>Home &amp; Kitchen</x:v>
      </x:c>
      <x:c r="O449" s="84" t="str">
        <x:f>IFERROR(VLOOKUP(L449,'Reference Data'!$A$5:$F$40,4,FALSE),"Unknown")</x:f>
        <x:v>Small Appliances</x:v>
      </x:c>
      <x:c r="P449" s="92" t="n">
        <x:f>IFERROR(VLOOKUP(L449,'Reference Data'!$A$5:$F$40,5,FALSE),0)</x:f>
        <x:v>99</x:v>
      </x:c>
      <x:c r="Q449" s="92" t="n">
        <x:f>IFERROR(VLOOKUP(L449,'Reference Data'!$A$5:$F$40,6,FALSE),0)</x:f>
        <x:v>51</x:v>
      </x:c>
      <x:c r="R449" s="84" t="n">
        <x:f>'Raw Sales'!J449</x:f>
        <x:v>1</x:v>
      </x:c>
      <x:c r="S449" s="87" t="n">
        <x:f>'Raw Sales'!K449</x:f>
        <x:v>0</x:v>
      </x:c>
      <x:c r="T449" s="93" t="n">
        <x:f>P449*R449</x:f>
        <x:v>99</x:v>
      </x:c>
      <x:c r="U449" s="93" t="n">
        <x:f>T449*S449</x:f>
        <x:v>0</x:v>
      </x:c>
      <x:c r="V449" s="93" t="str">
        <x:f>PROPER(TRIM('Raw Sales'!L449))</x:f>
        <x:v>Completed</x:v>
      </x:c>
      <x:c r="W449" s="93" t="n">
        <x:f>IF(V449="Returned",0,T449-U449)</x:f>
        <x:v>99</x:v>
      </x:c>
      <x:c r="X449" s="93" t="n">
        <x:f>IF(V449="Returned",Q449*R449*10%,Q449*R449)</x:f>
        <x:v>51</x:v>
      </x:c>
      <x:c r="Y449" s="93" t="n">
        <x:f>W449-X449</x:f>
        <x:v>48</x:v>
      </x:c>
      <x:c r="Z449" s="94" t="n">
        <x:f>IFERROR(Y449/W449,0)</x:f>
        <x:v>0.48484848484848486</x:v>
      </x:c>
      <x:c r="AA449" s="84" t="str">
        <x:f>PROPER(TRIM('Raw Sales'!M449))</x:f>
        <x:v>Mobile Wallet</x:v>
      </x:c>
      <x:c r="AB449" s="84" t="str">
        <x:f>PROPER(TRIM('Raw Sales'!N449))</x:f>
        <x:v>Ethan Cole</x:v>
      </x:c>
      <x:c r="AC449" s="85" t="n">
        <x:f>'Raw Sales'!O449</x:f>
        <x:v>45462</x:v>
      </x:c>
      <x:c r="AD449" s="84" t="n">
        <x:f>AC449-B449</x:f>
        <x:v>3</x:v>
      </x:c>
      <x:c r="AE449" s="84" t="str">
        <x:f>IF(COUNTIF($A$5:A449,A449)&gt;1,"Duplicate","Keep")</x:f>
        <x:v>Keep</x:v>
      </x:c>
      <x:c r="AF449" s="84" t="str">
        <x:f>IF(OR(R449&lt;=0,AC449&lt;B449,H449="Unknown",M449="Unknown Product"),"Review","Valid")</x:f>
        <x:v>Valid</x:v>
      </x:c>
      <x:c r="AG449" s="84" t="n">
        <x:f>IF(AND(AE449="Keep",AF449="Valid"),1,0)</x:f>
        <x:v>1</x:v>
      </x:c>
      <x:c r="AH449" s="84" t="n">
        <x:f>IF(AND(AG449=1,OR('Dashboard'!$B$4="All",I449='Dashboard'!$B$4),OR('Dashboard'!$E$4="All",N449='Dashboard'!$E$4),OR('Dashboard'!$H$4="All",K449='Dashboard'!$H$4),OR('Dashboard'!$K$4="All",C449='Dashboard'!$K$4)),1,0)</x:f>
        <x:v>1</x:v>
      </x:c>
      <x:c r="AI449" s="84" t="n">
        <x:f>IF(AND(AG449=1,OR('Dashboard'!$B$4="All",I449='Dashboard'!$B$4),OR('Dashboard'!$E$4="All",N449='Dashboard'!$E$4),OR('Dashboard'!$H$4="All",K449='Dashboard'!$H$4)),1,0)</x:f>
        <x:v>1</x:v>
      </x:c>
    </x:row>
    <x:row r="450">
      <x:c r="A450" s="84" t="str">
        <x:f>'Raw Sales'!A450</x:f>
        <x:v>ORD-2024-01937</x:v>
      </x:c>
      <x:c r="B450" s="85" t="n">
        <x:f>'Raw Sales'!B450</x:f>
        <x:v>45459</x:v>
      </x:c>
      <x:c r="C450" s="84" t="n">
        <x:f>YEAR(B450)</x:f>
        <x:v>2024</x:v>
      </x:c>
      <x:c r="D450" s="91" t="n">
        <x:f>DATE(YEAR(B450),MONTH(B450),1)</x:f>
        <x:v>45444</x:v>
      </x:c>
      <x:c r="E450" s="84" t="str">
        <x:f>TEXT(B450,"mmm")</x:f>
        <x:v>Jun</x:v>
      </x:c>
      <x:c r="F450" s="84" t="str">
        <x:f>'Raw Sales'!C450</x:f>
        <x:v>CUST-0386</x:v>
      </x:c>
      <x:c r="G450" s="84" t="str">
        <x:f>PROPER(TRIM('Raw Sales'!D450))</x:f>
        <x:v>Marcus Foster</x:v>
      </x:c>
      <x:c r="H450" s="84" t="str">
        <x:f>IF(TRIM('Raw Sales'!E450)="","Unknown",PROPER(TRIM('Raw Sales'!E450)))</x:f>
        <x:v>Small Business</x:v>
      </x:c>
      <x:c r="I450" s="84" t="str">
        <x:f>PROPER(TRIM('Raw Sales'!F450))</x:f>
        <x:v>Southeast</x:v>
      </x:c>
      <x:c r="J450" s="84" t="str">
        <x:f>PROPER(TRIM('Raw Sales'!G450))</x:f>
        <x:v>Miami</x:v>
      </x:c>
      <x:c r="K450" s="84" t="str">
        <x:f>PROPER(TRIM('Raw Sales'!H450))</x:f>
        <x:v>Retail Store</x:v>
      </x:c>
      <x:c r="L450" s="84" t="str">
        <x:f>'Raw Sales'!I450</x:f>
        <x:v>CARE-006</x:v>
      </x:c>
      <x:c r="M450" s="84" t="str">
        <x:f>IFERROR(VLOOKUP(L450,'Reference Data'!$A$5:$F$40,2,FALSE),"Unknown Product")</x:f>
        <x:v>Percussion Massage Gun</x:v>
      </x:c>
      <x:c r="N450" s="84" t="str">
        <x:f>IFERROR(VLOOKUP(L450,'Reference Data'!$A$5:$F$40,3,FALSE),"Unknown")</x:f>
        <x:v>Personal Care</x:v>
      </x:c>
      <x:c r="O450" s="84" t="str">
        <x:f>IFERROR(VLOOKUP(L450,'Reference Data'!$A$5:$F$40,4,FALSE),"Unknown")</x:f>
        <x:v>Wellness</x:v>
      </x:c>
      <x:c r="P450" s="92" t="n">
        <x:f>IFERROR(VLOOKUP(L450,'Reference Data'!$A$5:$F$40,5,FALSE),0)</x:f>
        <x:v>129</x:v>
      </x:c>
      <x:c r="Q450" s="92" t="n">
        <x:f>IFERROR(VLOOKUP(L450,'Reference Data'!$A$5:$F$40,6,FALSE),0)</x:f>
        <x:v>70</x:v>
      </x:c>
      <x:c r="R450" s="84" t="n">
        <x:f>'Raw Sales'!J450</x:f>
        <x:v>2</x:v>
      </x:c>
      <x:c r="S450" s="87" t="n">
        <x:f>'Raw Sales'!K450</x:f>
        <x:v>0.05</x:v>
      </x:c>
      <x:c r="T450" s="93" t="n">
        <x:f>P450*R450</x:f>
        <x:v>258</x:v>
      </x:c>
      <x:c r="U450" s="93" t="n">
        <x:f>T450*S450</x:f>
        <x:v>12.9</x:v>
      </x:c>
      <x:c r="V450" s="93" t="str">
        <x:f>PROPER(TRIM('Raw Sales'!L450))</x:f>
        <x:v>Completed</x:v>
      </x:c>
      <x:c r="W450" s="93" t="n">
        <x:f>IF(V450="Returned",0,T450-U450)</x:f>
        <x:v>245.1</x:v>
      </x:c>
      <x:c r="X450" s="93" t="n">
        <x:f>IF(V450="Returned",Q450*R450*10%,Q450*R450)</x:f>
        <x:v>140</x:v>
      </x:c>
      <x:c r="Y450" s="93" t="n">
        <x:f>W450-X450</x:f>
        <x:v>105.1</x:v>
      </x:c>
      <x:c r="Z450" s="94" t="n">
        <x:f>IFERROR(Y450/W450,0)</x:f>
        <x:v>0.4288045695634435</x:v>
      </x:c>
      <x:c r="AA450" s="84" t="str">
        <x:f>PROPER(TRIM('Raw Sales'!M450))</x:f>
        <x:v>Cash</x:v>
      </x:c>
      <x:c r="AB450" s="84" t="str">
        <x:f>PROPER(TRIM('Raw Sales'!N450))</x:f>
        <x:v>Ava Mitchell</x:v>
      </x:c>
      <x:c r="AC450" s="85" t="n">
        <x:f>'Raw Sales'!O450</x:f>
        <x:v>45460</x:v>
      </x:c>
      <x:c r="AD450" s="84" t="n">
        <x:f>AC450-B450</x:f>
        <x:v>1</x:v>
      </x:c>
      <x:c r="AE450" s="84" t="str">
        <x:f>IF(COUNTIF($A$5:A450,A450)&gt;1,"Duplicate","Keep")</x:f>
        <x:v>Keep</x:v>
      </x:c>
      <x:c r="AF450" s="84" t="str">
        <x:f>IF(OR(R450&lt;=0,AC450&lt;B450,H450="Unknown",M450="Unknown Product"),"Review","Valid")</x:f>
        <x:v>Valid</x:v>
      </x:c>
      <x:c r="AG450" s="84" t="n">
        <x:f>IF(AND(AE450="Keep",AF450="Valid"),1,0)</x:f>
        <x:v>1</x:v>
      </x:c>
      <x:c r="AH450" s="84" t="n">
        <x:f>IF(AND(AG450=1,OR('Dashboard'!$B$4="All",I450='Dashboard'!$B$4),OR('Dashboard'!$E$4="All",N450='Dashboard'!$E$4),OR('Dashboard'!$H$4="All",K450='Dashboard'!$H$4),OR('Dashboard'!$K$4="All",C450='Dashboard'!$K$4)),1,0)</x:f>
        <x:v>1</x:v>
      </x:c>
      <x:c r="AI450" s="84" t="n">
        <x:f>IF(AND(AG450=1,OR('Dashboard'!$B$4="All",I450='Dashboard'!$B$4),OR('Dashboard'!$E$4="All",N450='Dashboard'!$E$4),OR('Dashboard'!$H$4="All",K450='Dashboard'!$H$4)),1,0)</x:f>
        <x:v>1</x:v>
      </x:c>
    </x:row>
    <x:row r="451">
      <x:c r="A451" s="84" t="str">
        <x:f>'Raw Sales'!A451</x:f>
        <x:v>ORD-2024-00149</x:v>
      </x:c>
      <x:c r="B451" s="85" t="n">
        <x:f>'Raw Sales'!B451</x:f>
        <x:v>45460</x:v>
      </x:c>
      <x:c r="C451" s="84" t="n">
        <x:f>YEAR(B451)</x:f>
        <x:v>2024</x:v>
      </x:c>
      <x:c r="D451" s="91" t="n">
        <x:f>DATE(YEAR(B451),MONTH(B451),1)</x:f>
        <x:v>45444</x:v>
      </x:c>
      <x:c r="E451" s="84" t="str">
        <x:f>TEXT(B451,"mmm")</x:f>
        <x:v>Jun</x:v>
      </x:c>
      <x:c r="F451" s="84" t="str">
        <x:f>'Raw Sales'!C451</x:f>
        <x:v>CUST-0026</x:v>
      </x:c>
      <x:c r="G451" s="84" t="str">
        <x:f>PROPER(TRIM('Raw Sales'!D451))</x:f>
        <x:v>Nina Roberts</x:v>
      </x:c>
      <x:c r="H451" s="84" t="str">
        <x:f>IF(TRIM('Raw Sales'!E451)="","Unknown",PROPER(TRIM('Raw Sales'!E451)))</x:f>
        <x:v>Small Business</x:v>
      </x:c>
      <x:c r="I451" s="84" t="str">
        <x:f>PROPER(TRIM('Raw Sales'!F451))</x:f>
        <x:v>West</x:v>
      </x:c>
      <x:c r="J451" s="84" t="str">
        <x:f>PROPER(TRIM('Raw Sales'!G451))</x:f>
        <x:v>Denver</x:v>
      </x:c>
      <x:c r="K451" s="84" t="str">
        <x:f>PROPER(TRIM('Raw Sales'!H451))</x:f>
        <x:v>Online</x:v>
      </x:c>
      <x:c r="L451" s="84" t="str">
        <x:f>'Raw Sales'!I451</x:f>
        <x:v>OFFC-003</x:v>
      </x:c>
      <x:c r="M451" s="84" t="str">
        <x:f>IFERROR(VLOOKUP(L451,'Reference Data'!$A$5:$F$40,2,FALSE),"Unknown Product")</x:f>
        <x:v>LED Desk Lamp</x:v>
      </x:c>
      <x:c r="N451" s="84" t="str">
        <x:f>IFERROR(VLOOKUP(L451,'Reference Data'!$A$5:$F$40,3,FALSE),"Unknown")</x:f>
        <x:v>Office</x:v>
      </x:c>
      <x:c r="O451" s="84" t="str">
        <x:f>IFERROR(VLOOKUP(L451,'Reference Data'!$A$5:$F$40,4,FALSE),"Unknown")</x:f>
        <x:v>Desk Accessories</x:v>
      </x:c>
      <x:c r="P451" s="92" t="n">
        <x:f>IFERROR(VLOOKUP(L451,'Reference Data'!$A$5:$F$40,5,FALSE),0)</x:f>
        <x:v>45</x:v>
      </x:c>
      <x:c r="Q451" s="92" t="n">
        <x:f>IFERROR(VLOOKUP(L451,'Reference Data'!$A$5:$F$40,6,FALSE),0)</x:f>
        <x:v>20</x:v>
      </x:c>
      <x:c r="R451" s="84" t="n">
        <x:f>'Raw Sales'!J451</x:f>
        <x:v>1</x:v>
      </x:c>
      <x:c r="S451" s="87" t="n">
        <x:f>'Raw Sales'!K451</x:f>
        <x:v>0.1</x:v>
      </x:c>
      <x:c r="T451" s="93" t="n">
        <x:f>P451*R451</x:f>
        <x:v>45</x:v>
      </x:c>
      <x:c r="U451" s="93" t="n">
        <x:f>T451*S451</x:f>
        <x:v>4.5</x:v>
      </x:c>
      <x:c r="V451" s="93" t="str">
        <x:f>PROPER(TRIM('Raw Sales'!L451))</x:f>
        <x:v>Completed</x:v>
      </x:c>
      <x:c r="W451" s="93" t="n">
        <x:f>IF(V451="Returned",0,T451-U451)</x:f>
        <x:v>40.5</x:v>
      </x:c>
      <x:c r="X451" s="93" t="n">
        <x:f>IF(V451="Returned",Q451*R451*10%,Q451*R451)</x:f>
        <x:v>20</x:v>
      </x:c>
      <x:c r="Y451" s="93" t="n">
        <x:f>W451-X451</x:f>
        <x:v>20.5</x:v>
      </x:c>
      <x:c r="Z451" s="94" t="n">
        <x:f>IFERROR(Y451/W451,0)</x:f>
        <x:v>0.5061728395061729</x:v>
      </x:c>
      <x:c r="AA451" s="84" t="str">
        <x:f>PROPER(TRIM('Raw Sales'!M451))</x:f>
        <x:v>Credit Card</x:v>
      </x:c>
      <x:c r="AB451" s="84" t="str">
        <x:f>PROPER(TRIM('Raw Sales'!N451))</x:f>
        <x:v>Mia Chen</x:v>
      </x:c>
      <x:c r="AC451" s="85" t="n">
        <x:f>'Raw Sales'!O451</x:f>
        <x:v>45464</x:v>
      </x:c>
      <x:c r="AD451" s="84" t="n">
        <x:f>AC451-B451</x:f>
        <x:v>4</x:v>
      </x:c>
      <x:c r="AE451" s="84" t="str">
        <x:f>IF(COUNTIF($A$5:A451,A451)&gt;1,"Duplicate","Keep")</x:f>
        <x:v>Keep</x:v>
      </x:c>
      <x:c r="AF451" s="84" t="str">
        <x:f>IF(OR(R451&lt;=0,AC451&lt;B451,H451="Unknown",M451="Unknown Product"),"Review","Valid")</x:f>
        <x:v>Valid</x:v>
      </x:c>
      <x:c r="AG451" s="84" t="n">
        <x:f>IF(AND(AE451="Keep",AF451="Valid"),1,0)</x:f>
        <x:v>1</x:v>
      </x:c>
      <x:c r="AH451" s="84" t="n">
        <x:f>IF(AND(AG451=1,OR('Dashboard'!$B$4="All",I451='Dashboard'!$B$4),OR('Dashboard'!$E$4="All",N451='Dashboard'!$E$4),OR('Dashboard'!$H$4="All",K451='Dashboard'!$H$4),OR('Dashboard'!$K$4="All",C451='Dashboard'!$K$4)),1,0)</x:f>
        <x:v>1</x:v>
      </x:c>
      <x:c r="AI451" s="84" t="n">
        <x:f>IF(AND(AG451=1,OR('Dashboard'!$B$4="All",I451='Dashboard'!$B$4),OR('Dashboard'!$E$4="All",N451='Dashboard'!$E$4),OR('Dashboard'!$H$4="All",K451='Dashboard'!$H$4)),1,0)</x:f>
        <x:v>1</x:v>
      </x:c>
    </x:row>
    <x:row r="452">
      <x:c r="A452" s="84" t="str">
        <x:f>'Raw Sales'!A452</x:f>
        <x:v>ORD-2024-00506</x:v>
      </x:c>
      <x:c r="B452" s="85" t="n">
        <x:f>'Raw Sales'!B452</x:f>
        <x:v>45460</x:v>
      </x:c>
      <x:c r="C452" s="84" t="n">
        <x:f>YEAR(B452)</x:f>
        <x:v>2024</x:v>
      </x:c>
      <x:c r="D452" s="91" t="n">
        <x:f>DATE(YEAR(B452),MONTH(B452),1)</x:f>
        <x:v>45444</x:v>
      </x:c>
      <x:c r="E452" s="84" t="str">
        <x:f>TEXT(B452,"mmm")</x:f>
        <x:v>Jun</x:v>
      </x:c>
      <x:c r="F452" s="84" t="str">
        <x:f>'Raw Sales'!C452</x:f>
        <x:v>CUST-0578</x:v>
      </x:c>
      <x:c r="G452" s="84" t="str">
        <x:f>PROPER(TRIM('Raw Sales'!D452))</x:f>
        <x:v>Priya Smith</x:v>
      </x:c>
      <x:c r="H452" s="84" t="str">
        <x:f>IF(TRIM('Raw Sales'!E452)="","Unknown",PROPER(TRIM('Raw Sales'!E452)))</x:f>
        <x:v>Corporate</x:v>
      </x:c>
      <x:c r="I452" s="84" t="str">
        <x:f>PROPER(TRIM('Raw Sales'!F452))</x:f>
        <x:v>Northeast</x:v>
      </x:c>
      <x:c r="J452" s="84" t="str">
        <x:f>PROPER(TRIM('Raw Sales'!G452))</x:f>
        <x:v>Newark</x:v>
      </x:c>
      <x:c r="K452" s="84" t="str">
        <x:f>PROPER(TRIM('Raw Sales'!H452))</x:f>
        <x:v>Online</x:v>
      </x:c>
      <x:c r="L452" s="84" t="str">
        <x:f>'Raw Sales'!I452</x:f>
        <x:v>ACCS-002</x:v>
      </x:c>
      <x:c r="M452" s="84" t="str">
        <x:f>IFERROR(VLOOKUP(L452,'Reference Data'!$A$5:$F$40,2,FALSE),"Unknown Product")</x:f>
        <x:v>Travel Backpack</x:v>
      </x:c>
      <x:c r="N452" s="84" t="str">
        <x:f>IFERROR(VLOOKUP(L452,'Reference Data'!$A$5:$F$40,3,FALSE),"Unknown")</x:f>
        <x:v>Accessories</x:v>
      </x:c>
      <x:c r="O452" s="84" t="str">
        <x:f>IFERROR(VLOOKUP(L452,'Reference Data'!$A$5:$F$40,4,FALSE),"Unknown")</x:f>
        <x:v>Bags</x:v>
      </x:c>
      <x:c r="P452" s="92" t="n">
        <x:f>IFERROR(VLOOKUP(L452,'Reference Data'!$A$5:$F$40,5,FALSE),0)</x:f>
        <x:v>89</x:v>
      </x:c>
      <x:c r="Q452" s="92" t="n">
        <x:f>IFERROR(VLOOKUP(L452,'Reference Data'!$A$5:$F$40,6,FALSE),0)</x:f>
        <x:v>36</x:v>
      </x:c>
      <x:c r="R452" s="84" t="n">
        <x:f>'Raw Sales'!J452</x:f>
        <x:v>5</x:v>
      </x:c>
      <x:c r="S452" s="87" t="n">
        <x:f>'Raw Sales'!K452</x:f>
        <x:v>0</x:v>
      </x:c>
      <x:c r="T452" s="93" t="n">
        <x:f>P452*R452</x:f>
        <x:v>445</x:v>
      </x:c>
      <x:c r="U452" s="93" t="n">
        <x:f>T452*S452</x:f>
        <x:v>0</x:v>
      </x:c>
      <x:c r="V452" s="93" t="str">
        <x:f>PROPER(TRIM('Raw Sales'!L452))</x:f>
        <x:v>Completed</x:v>
      </x:c>
      <x:c r="W452" s="93" t="n">
        <x:f>IF(V452="Returned",0,T452-U452)</x:f>
        <x:v>445</x:v>
      </x:c>
      <x:c r="X452" s="93" t="n">
        <x:f>IF(V452="Returned",Q452*R452*10%,Q452*R452)</x:f>
        <x:v>180</x:v>
      </x:c>
      <x:c r="Y452" s="93" t="n">
        <x:f>W452-X452</x:f>
        <x:v>265</x:v>
      </x:c>
      <x:c r="Z452" s="94" t="n">
        <x:f>IFERROR(Y452/W452,0)</x:f>
        <x:v>0.5955056179775281</x:v>
      </x:c>
      <x:c r="AA452" s="84" t="str">
        <x:f>PROPER(TRIM('Raw Sales'!M452))</x:f>
        <x:v>Mobile Wallet</x:v>
      </x:c>
      <x:c r="AB452" s="84" t="str">
        <x:f>PROPER(TRIM('Raw Sales'!N452))</x:f>
        <x:v>Ethan Cole</x:v>
      </x:c>
      <x:c r="AC452" s="85" t="n">
        <x:f>'Raw Sales'!O452</x:f>
        <x:v>45466</x:v>
      </x:c>
      <x:c r="AD452" s="84" t="n">
        <x:f>AC452-B452</x:f>
        <x:v>6</x:v>
      </x:c>
      <x:c r="AE452" s="84" t="str">
        <x:f>IF(COUNTIF($A$5:A452,A452)&gt;1,"Duplicate","Keep")</x:f>
        <x:v>Keep</x:v>
      </x:c>
      <x:c r="AF452" s="84" t="str">
        <x:f>IF(OR(R452&lt;=0,AC452&lt;B452,H452="Unknown",M452="Unknown Product"),"Review","Valid")</x:f>
        <x:v>Valid</x:v>
      </x:c>
      <x:c r="AG452" s="84" t="n">
        <x:f>IF(AND(AE452="Keep",AF452="Valid"),1,0)</x:f>
        <x:v>1</x:v>
      </x:c>
      <x:c r="AH452" s="84" t="n">
        <x:f>IF(AND(AG452=1,OR('Dashboard'!$B$4="All",I452='Dashboard'!$B$4),OR('Dashboard'!$E$4="All",N452='Dashboard'!$E$4),OR('Dashboard'!$H$4="All",K452='Dashboard'!$H$4),OR('Dashboard'!$K$4="All",C452='Dashboard'!$K$4)),1,0)</x:f>
        <x:v>1</x:v>
      </x:c>
      <x:c r="AI452" s="84" t="n">
        <x:f>IF(AND(AG452=1,OR('Dashboard'!$B$4="All",I452='Dashboard'!$B$4),OR('Dashboard'!$E$4="All",N452='Dashboard'!$E$4),OR('Dashboard'!$H$4="All",K452='Dashboard'!$H$4)),1,0)</x:f>
        <x:v>1</x:v>
      </x:c>
    </x:row>
    <x:row r="453">
      <x:c r="A453" s="84" t="str">
        <x:f>'Raw Sales'!A453</x:f>
        <x:v>ORD-2024-01243</x:v>
      </x:c>
      <x:c r="B453" s="85" t="n">
        <x:f>'Raw Sales'!B453</x:f>
        <x:v>45460</x:v>
      </x:c>
      <x:c r="C453" s="84" t="n">
        <x:f>YEAR(B453)</x:f>
        <x:v>2024</x:v>
      </x:c>
      <x:c r="D453" s="91" t="n">
        <x:f>DATE(YEAR(B453),MONTH(B453),1)</x:f>
        <x:v>45444</x:v>
      </x:c>
      <x:c r="E453" s="84" t="str">
        <x:f>TEXT(B453,"mmm")</x:f>
        <x:v>Jun</x:v>
      </x:c>
      <x:c r="F453" s="84" t="str">
        <x:f>'Raw Sales'!C453</x:f>
        <x:v>CUST-0536</x:v>
      </x:c>
      <x:c r="G453" s="84" t="str">
        <x:f>PROPER(TRIM('Raw Sales'!D453))</x:f>
        <x:v>Isaac Adams</x:v>
      </x:c>
      <x:c r="H453" s="84" t="str">
        <x:f>IF(TRIM('Raw Sales'!E453)="","Unknown",PROPER(TRIM('Raw Sales'!E453)))</x:f>
        <x:v>Corporate</x:v>
      </x:c>
      <x:c r="I453" s="84" t="str">
        <x:f>PROPER(TRIM('Raw Sales'!F453))</x:f>
        <x:v>Southeast</x:v>
      </x:c>
      <x:c r="J453" s="84" t="str">
        <x:f>PROPER(TRIM('Raw Sales'!G453))</x:f>
        <x:v>Miami</x:v>
      </x:c>
      <x:c r="K453" s="84" t="str">
        <x:f>PROPER(TRIM('Raw Sales'!H453))</x:f>
        <x:v>Retail Store</x:v>
      </x:c>
      <x:c r="L453" s="84" t="str">
        <x:f>'Raw Sales'!I453</x:f>
        <x:v>HOME-002</x:v>
      </x:c>
      <x:c r="M453" s="84" t="str">
        <x:f>IFERROR(VLOOKUP(L453,'Reference Data'!$A$5:$F$40,2,FALSE),"Unknown Product")</x:f>
        <x:v>Electric Kettle</x:v>
      </x:c>
      <x:c r="N453" s="84" t="str">
        <x:f>IFERROR(VLOOKUP(L453,'Reference Data'!$A$5:$F$40,3,FALSE),"Unknown")</x:f>
        <x:v>Home &amp; Kitchen</x:v>
      </x:c>
      <x:c r="O453" s="84" t="str">
        <x:f>IFERROR(VLOOKUP(L453,'Reference Data'!$A$5:$F$40,4,FALSE),"Unknown")</x:f>
        <x:v>Small Appliances</x:v>
      </x:c>
      <x:c r="P453" s="92" t="n">
        <x:f>IFERROR(VLOOKUP(L453,'Reference Data'!$A$5:$F$40,5,FALSE),0)</x:f>
        <x:v>49</x:v>
      </x:c>
      <x:c r="Q453" s="92" t="n">
        <x:f>IFERROR(VLOOKUP(L453,'Reference Data'!$A$5:$F$40,6,FALSE),0)</x:f>
        <x:v>23</x:v>
      </x:c>
      <x:c r="R453" s="84" t="n">
        <x:f>'Raw Sales'!J453</x:f>
        <x:v>4</x:v>
      </x:c>
      <x:c r="S453" s="87" t="n">
        <x:f>'Raw Sales'!K453</x:f>
        <x:v>0</x:v>
      </x:c>
      <x:c r="T453" s="93" t="n">
        <x:f>P453*R453</x:f>
        <x:v>196</x:v>
      </x:c>
      <x:c r="U453" s="93" t="n">
        <x:f>T453*S453</x:f>
        <x:v>0</x:v>
      </x:c>
      <x:c r="V453" s="93" t="str">
        <x:f>PROPER(TRIM('Raw Sales'!L453))</x:f>
        <x:v>Completed</x:v>
      </x:c>
      <x:c r="W453" s="93" t="n">
        <x:f>IF(V453="Returned",0,T453-U453)</x:f>
        <x:v>196</x:v>
      </x:c>
      <x:c r="X453" s="93" t="n">
        <x:f>IF(V453="Returned",Q453*R453*10%,Q453*R453)</x:f>
        <x:v>92</x:v>
      </x:c>
      <x:c r="Y453" s="93" t="n">
        <x:f>W453-X453</x:f>
        <x:v>104</x:v>
      </x:c>
      <x:c r="Z453" s="94" t="n">
        <x:f>IFERROR(Y453/W453,0)</x:f>
        <x:v>0.5306122448979592</x:v>
      </x:c>
      <x:c r="AA453" s="84" t="str">
        <x:f>PROPER(TRIM('Raw Sales'!M453))</x:f>
        <x:v>Debit Card</x:v>
      </x:c>
      <x:c r="AB453" s="84" t="str">
        <x:f>PROPER(TRIM('Raw Sales'!N453))</x:f>
        <x:v>Noah Reed</x:v>
      </x:c>
      <x:c r="AC453" s="85" t="n">
        <x:f>'Raw Sales'!O453</x:f>
        <x:v>45460</x:v>
      </x:c>
      <x:c r="AD453" s="84" t="n">
        <x:f>AC453-B453</x:f>
        <x:v>0</x:v>
      </x:c>
      <x:c r="AE453" s="84" t="str">
        <x:f>IF(COUNTIF($A$5:A453,A453)&gt;1,"Duplicate","Keep")</x:f>
        <x:v>Keep</x:v>
      </x:c>
      <x:c r="AF453" s="84" t="str">
        <x:f>IF(OR(R453&lt;=0,AC453&lt;B453,H453="Unknown",M453="Unknown Product"),"Review","Valid")</x:f>
        <x:v>Valid</x:v>
      </x:c>
      <x:c r="AG453" s="84" t="n">
        <x:f>IF(AND(AE453="Keep",AF453="Valid"),1,0)</x:f>
        <x:v>1</x:v>
      </x:c>
      <x:c r="AH453" s="84" t="n">
        <x:f>IF(AND(AG453=1,OR('Dashboard'!$B$4="All",I453='Dashboard'!$B$4),OR('Dashboard'!$E$4="All",N453='Dashboard'!$E$4),OR('Dashboard'!$H$4="All",K453='Dashboard'!$H$4),OR('Dashboard'!$K$4="All",C453='Dashboard'!$K$4)),1,0)</x:f>
        <x:v>1</x:v>
      </x:c>
      <x:c r="AI453" s="84" t="n">
        <x:f>IF(AND(AG453=1,OR('Dashboard'!$B$4="All",I453='Dashboard'!$B$4),OR('Dashboard'!$E$4="All",N453='Dashboard'!$E$4),OR('Dashboard'!$H$4="All",K453='Dashboard'!$H$4)),1,0)</x:f>
        <x:v>1</x:v>
      </x:c>
    </x:row>
    <x:row r="454">
      <x:c r="A454" s="84" t="str">
        <x:f>'Raw Sales'!A454</x:f>
        <x:v>ORD-2024-00659</x:v>
      </x:c>
      <x:c r="B454" s="85" t="n">
        <x:f>'Raw Sales'!B454</x:f>
        <x:v>45461</x:v>
      </x:c>
      <x:c r="C454" s="84" t="n">
        <x:f>YEAR(B454)</x:f>
        <x:v>2024</x:v>
      </x:c>
      <x:c r="D454" s="91" t="n">
        <x:f>DATE(YEAR(B454),MONTH(B454),1)</x:f>
        <x:v>45444</x:v>
      </x:c>
      <x:c r="E454" s="84" t="str">
        <x:f>TEXT(B454,"mmm")</x:f>
        <x:v>Jun</x:v>
      </x:c>
      <x:c r="F454" s="84" t="str">
        <x:f>'Raw Sales'!C454</x:f>
        <x:v>CUST-0278</x:v>
      </x:c>
      <x:c r="G454" s="84" t="str">
        <x:f>PROPER(TRIM('Raw Sales'!D454))</x:f>
        <x:v>Sara Ortiz</x:v>
      </x:c>
      <x:c r="H454" s="84" t="str">
        <x:f>IF(TRIM('Raw Sales'!E454)="","Unknown",PROPER(TRIM('Raw Sales'!E454)))</x:f>
        <x:v>Corporate</x:v>
      </x:c>
      <x:c r="I454" s="84" t="str">
        <x:f>PROPER(TRIM('Raw Sales'!F454))</x:f>
        <x:v>Southeast</x:v>
      </x:c>
      <x:c r="J454" s="84" t="str">
        <x:f>PROPER(TRIM('Raw Sales'!G454))</x:f>
        <x:v>Charlotte</x:v>
      </x:c>
      <x:c r="K454" s="84" t="str">
        <x:f>PROPER(TRIM('Raw Sales'!H454))</x:f>
        <x:v>Marketplace</x:v>
      </x:c>
      <x:c r="L454" s="84" t="str">
        <x:f>'Raw Sales'!I454</x:f>
        <x:v>ELEC-004</x:v>
      </x:c>
      <x:c r="M454" s="84" t="str">
        <x:f>IFERROR(VLOOKUP(L454,'Reference Data'!$A$5:$F$40,2,FALSE),"Unknown Product")</x:f>
        <x:v>Power Bank</x:v>
      </x:c>
      <x:c r="N454" s="84" t="str">
        <x:f>IFERROR(VLOOKUP(L454,'Reference Data'!$A$5:$F$40,3,FALSE),"Unknown")</x:f>
        <x:v>Electronics</x:v>
      </x:c>
      <x:c r="O454" s="84" t="str">
        <x:f>IFERROR(VLOOKUP(L454,'Reference Data'!$A$5:$F$40,4,FALSE),"Unknown")</x:f>
        <x:v>Mobile Accessories</x:v>
      </x:c>
      <x:c r="P454" s="92" t="n">
        <x:f>IFERROR(VLOOKUP(L454,'Reference Data'!$A$5:$F$40,5,FALSE),0)</x:f>
        <x:v>39</x:v>
      </x:c>
      <x:c r="Q454" s="92" t="n">
        <x:f>IFERROR(VLOOKUP(L454,'Reference Data'!$A$5:$F$40,6,FALSE),0)</x:f>
        <x:v>18</x:v>
      </x:c>
      <x:c r="R454" s="84" t="n">
        <x:f>'Raw Sales'!J454</x:f>
        <x:v>6</x:v>
      </x:c>
      <x:c r="S454" s="87" t="n">
        <x:f>'Raw Sales'!K454</x:f>
        <x:v>0.05</x:v>
      </x:c>
      <x:c r="T454" s="93" t="n">
        <x:f>P454*R454</x:f>
        <x:v>234</x:v>
      </x:c>
      <x:c r="U454" s="93" t="n">
        <x:f>T454*S454</x:f>
        <x:v>11.700000000000001</x:v>
      </x:c>
      <x:c r="V454" s="93" t="str">
        <x:f>PROPER(TRIM('Raw Sales'!L454))</x:f>
        <x:v>Completed</x:v>
      </x:c>
      <x:c r="W454" s="93" t="n">
        <x:f>IF(V454="Returned",0,T454-U454)</x:f>
        <x:v>222.3</x:v>
      </x:c>
      <x:c r="X454" s="93" t="n">
        <x:f>IF(V454="Returned",Q454*R454*10%,Q454*R454)</x:f>
        <x:v>108</x:v>
      </x:c>
      <x:c r="Y454" s="93" t="n">
        <x:f>W454-X454</x:f>
        <x:v>114.30000000000001</x:v>
      </x:c>
      <x:c r="Z454" s="94" t="n">
        <x:f>IFERROR(Y454/W454,0)</x:f>
        <x:v>0.51417004048583</x:v>
      </x:c>
      <x:c r="AA454" s="84" t="str">
        <x:f>PROPER(TRIM('Raw Sales'!M454))</x:f>
        <x:v>Paypal</x:v>
      </x:c>
      <x:c r="AB454" s="84" t="str">
        <x:f>PROPER(TRIM('Raw Sales'!N454))</x:f>
        <x:v>Liam Parker</x:v>
      </x:c>
      <x:c r="AC454" s="85" t="n">
        <x:f>'Raw Sales'!O454</x:f>
        <x:v>45466</x:v>
      </x:c>
      <x:c r="AD454" s="84" t="n">
        <x:f>AC454-B454</x:f>
        <x:v>5</x:v>
      </x:c>
      <x:c r="AE454" s="84" t="str">
        <x:f>IF(COUNTIF($A$5:A454,A454)&gt;1,"Duplicate","Keep")</x:f>
        <x:v>Keep</x:v>
      </x:c>
      <x:c r="AF454" s="84" t="str">
        <x:f>IF(OR(R454&lt;=0,AC454&lt;B454,H454="Unknown",M454="Unknown Product"),"Review","Valid")</x:f>
        <x:v>Valid</x:v>
      </x:c>
      <x:c r="AG454" s="84" t="n">
        <x:f>IF(AND(AE454="Keep",AF454="Valid"),1,0)</x:f>
        <x:v>1</x:v>
      </x:c>
      <x:c r="AH454" s="84" t="n">
        <x:f>IF(AND(AG454=1,OR('Dashboard'!$B$4="All",I454='Dashboard'!$B$4),OR('Dashboard'!$E$4="All",N454='Dashboard'!$E$4),OR('Dashboard'!$H$4="All",K454='Dashboard'!$H$4),OR('Dashboard'!$K$4="All",C454='Dashboard'!$K$4)),1,0)</x:f>
        <x:v>1</x:v>
      </x:c>
      <x:c r="AI454" s="84" t="n">
        <x:f>IF(AND(AG454=1,OR('Dashboard'!$B$4="All",I454='Dashboard'!$B$4),OR('Dashboard'!$E$4="All",N454='Dashboard'!$E$4),OR('Dashboard'!$H$4="All",K454='Dashboard'!$H$4)),1,0)</x:f>
        <x:v>1</x:v>
      </x:c>
    </x:row>
    <x:row r="455">
      <x:c r="A455" s="84" t="str">
        <x:f>'Raw Sales'!A455</x:f>
        <x:v>ORD-2024-01251</x:v>
      </x:c>
      <x:c r="B455" s="85" t="n">
        <x:f>'Raw Sales'!B455</x:f>
        <x:v>45461</x:v>
      </x:c>
      <x:c r="C455" s="84" t="n">
        <x:f>YEAR(B455)</x:f>
        <x:v>2024</x:v>
      </x:c>
      <x:c r="D455" s="91" t="n">
        <x:f>DATE(YEAR(B455),MONTH(B455),1)</x:f>
        <x:v>45444</x:v>
      </x:c>
      <x:c r="E455" s="84" t="str">
        <x:f>TEXT(B455,"mmm")</x:f>
        <x:v>Jun</x:v>
      </x:c>
      <x:c r="F455" s="84" t="str">
        <x:f>'Raw Sales'!C455</x:f>
        <x:v>CUST-0050</x:v>
      </x:c>
      <x:c r="G455" s="84" t="str">
        <x:f>PROPER(TRIM('Raw Sales'!D455))</x:f>
        <x:v>Isaac Davis</x:v>
      </x:c>
      <x:c r="H455" s="84" t="str">
        <x:f>IF(TRIM('Raw Sales'!E455)="","Unknown",PROPER(TRIM('Raw Sales'!E455)))</x:f>
        <x:v>Consumer</x:v>
      </x:c>
      <x:c r="I455" s="84" t="str">
        <x:f>PROPER(TRIM('Raw Sales'!F455))</x:f>
        <x:v>Northeast</x:v>
      </x:c>
      <x:c r="J455" s="84" t="str">
        <x:f>PROPER(TRIM('Raw Sales'!G455))</x:f>
        <x:v>Newark</x:v>
      </x:c>
      <x:c r="K455" s="84" t="str">
        <x:f>PROPER(TRIM('Raw Sales'!H455))</x:f>
        <x:v>Retail Store</x:v>
      </x:c>
      <x:c r="L455" s="84" t="str">
        <x:f>'Raw Sales'!I455</x:f>
        <x:v>FITN-001</x:v>
      </x:c>
      <x:c r="M455" s="84" t="str">
        <x:f>IFERROR(VLOOKUP(L455,'Reference Data'!$A$5:$F$40,2,FALSE),"Unknown Product")</x:f>
        <x:v>Yoga Mat</x:v>
      </x:c>
      <x:c r="N455" s="84" t="str">
        <x:f>IFERROR(VLOOKUP(L455,'Reference Data'!$A$5:$F$40,3,FALSE),"Unknown")</x:f>
        <x:v>Fitness</x:v>
      </x:c>
      <x:c r="O455" s="84" t="str">
        <x:f>IFERROR(VLOOKUP(L455,'Reference Data'!$A$5:$F$40,4,FALSE),"Unknown")</x:f>
        <x:v>Yoga</x:v>
      </x:c>
      <x:c r="P455" s="92" t="n">
        <x:f>IFERROR(VLOOKUP(L455,'Reference Data'!$A$5:$F$40,5,FALSE),0)</x:f>
        <x:v>35</x:v>
      </x:c>
      <x:c r="Q455" s="92" t="n">
        <x:f>IFERROR(VLOOKUP(L455,'Reference Data'!$A$5:$F$40,6,FALSE),0)</x:f>
        <x:v>13</x:v>
      </x:c>
      <x:c r="R455" s="84" t="n">
        <x:f>'Raw Sales'!J455</x:f>
        <x:v>1</x:v>
      </x:c>
      <x:c r="S455" s="87" t="n">
        <x:f>'Raw Sales'!K455</x:f>
        <x:v>0.15</x:v>
      </x:c>
      <x:c r="T455" s="93" t="n">
        <x:f>P455*R455</x:f>
        <x:v>35</x:v>
      </x:c>
      <x:c r="U455" s="93" t="n">
        <x:f>T455*S455</x:f>
        <x:v>5.25</x:v>
      </x:c>
      <x:c r="V455" s="93" t="str">
        <x:f>PROPER(TRIM('Raw Sales'!L455))</x:f>
        <x:v>Completed</x:v>
      </x:c>
      <x:c r="W455" s="93" t="n">
        <x:f>IF(V455="Returned",0,T455-U455)</x:f>
        <x:v>29.75</x:v>
      </x:c>
      <x:c r="X455" s="93" t="n">
        <x:f>IF(V455="Returned",Q455*R455*10%,Q455*R455)</x:f>
        <x:v>13</x:v>
      </x:c>
      <x:c r="Y455" s="93" t="n">
        <x:f>W455-X455</x:f>
        <x:v>16.75</x:v>
      </x:c>
      <x:c r="Z455" s="94" t="n">
        <x:f>IFERROR(Y455/W455,0)</x:f>
        <x:v>0.5630252100840336</x:v>
      </x:c>
      <x:c r="AA455" s="84" t="str">
        <x:f>PROPER(TRIM('Raw Sales'!M455))</x:f>
        <x:v>Credit Card</x:v>
      </x:c>
      <x:c r="AB455" s="84" t="str">
        <x:f>PROPER(TRIM('Raw Sales'!N455))</x:f>
        <x:v>Sofia Bennett</x:v>
      </x:c>
      <x:c r="AC455" s="85" t="n">
        <x:f>'Raw Sales'!O455</x:f>
        <x:v>45461</x:v>
      </x:c>
      <x:c r="AD455" s="84" t="n">
        <x:f>AC455-B455</x:f>
        <x:v>0</x:v>
      </x:c>
      <x:c r="AE455" s="84" t="str">
        <x:f>IF(COUNTIF($A$5:A455,A455)&gt;1,"Duplicate","Keep")</x:f>
        <x:v>Keep</x:v>
      </x:c>
      <x:c r="AF455" s="84" t="str">
        <x:f>IF(OR(R455&lt;=0,AC455&lt;B455,H455="Unknown",M455="Unknown Product"),"Review","Valid")</x:f>
        <x:v>Valid</x:v>
      </x:c>
      <x:c r="AG455" s="84" t="n">
        <x:f>IF(AND(AE455="Keep",AF455="Valid"),1,0)</x:f>
        <x:v>1</x:v>
      </x:c>
      <x:c r="AH455" s="84" t="n">
        <x:f>IF(AND(AG455=1,OR('Dashboard'!$B$4="All",I455='Dashboard'!$B$4),OR('Dashboard'!$E$4="All",N455='Dashboard'!$E$4),OR('Dashboard'!$H$4="All",K455='Dashboard'!$H$4),OR('Dashboard'!$K$4="All",C455='Dashboard'!$K$4)),1,0)</x:f>
        <x:v>1</x:v>
      </x:c>
      <x:c r="AI455" s="84" t="n">
        <x:f>IF(AND(AG455=1,OR('Dashboard'!$B$4="All",I455='Dashboard'!$B$4),OR('Dashboard'!$E$4="All",N455='Dashboard'!$E$4),OR('Dashboard'!$H$4="All",K455='Dashboard'!$H$4)),1,0)</x:f>
        <x:v>1</x:v>
      </x:c>
    </x:row>
    <x:row r="456">
      <x:c r="A456" s="84" t="str">
        <x:f>'Raw Sales'!A456</x:f>
        <x:v>ORD-2024-01439</x:v>
      </x:c>
      <x:c r="B456" s="85" t="n">
        <x:f>'Raw Sales'!B456</x:f>
        <x:v>45462</x:v>
      </x:c>
      <x:c r="C456" s="84" t="n">
        <x:f>YEAR(B456)</x:f>
        <x:v>2024</x:v>
      </x:c>
      <x:c r="D456" s="91" t="n">
        <x:f>DATE(YEAR(B456),MONTH(B456),1)</x:f>
        <x:v>45444</x:v>
      </x:c>
      <x:c r="E456" s="84" t="str">
        <x:f>TEXT(B456,"mmm")</x:f>
        <x:v>Jun</x:v>
      </x:c>
      <x:c r="F456" s="84" t="str">
        <x:f>'Raw Sales'!C456</x:f>
        <x:v>CUST-0150</x:v>
      </x:c>
      <x:c r="G456" s="84" t="str">
        <x:f>PROPER(TRIM('Raw Sales'!D456))</x:f>
        <x:v>Aiden Carter</x:v>
      </x:c>
      <x:c r="H456" s="84" t="str">
        <x:f>IF(TRIM('Raw Sales'!E456)="","Unknown",PROPER(TRIM('Raw Sales'!E456)))</x:f>
        <x:v>Consumer</x:v>
      </x:c>
      <x:c r="I456" s="84" t="str">
        <x:f>PROPER(TRIM('Raw Sales'!F456))</x:f>
        <x:v>Southeast</x:v>
      </x:c>
      <x:c r="J456" s="84" t="str">
        <x:f>PROPER(TRIM('Raw Sales'!G456))</x:f>
        <x:v>Atlanta</x:v>
      </x:c>
      <x:c r="K456" s="84" t="str">
        <x:f>PROPER(TRIM('Raw Sales'!H456))</x:f>
        <x:v>Online</x:v>
      </x:c>
      <x:c r="L456" s="84" t="str">
        <x:f>'Raw Sales'!I456</x:f>
        <x:v>ELEC-002</x:v>
      </x:c>
      <x:c r="M456" s="84" t="str">
        <x:f>IFERROR(VLOOKUP(L456,'Reference Data'!$A$5:$F$40,2,FALSE),"Unknown Product")</x:f>
        <x:v>Smartwatch</x:v>
      </x:c>
      <x:c r="N456" s="84" t="str">
        <x:f>IFERROR(VLOOKUP(L456,'Reference Data'!$A$5:$F$40,3,FALSE),"Unknown")</x:f>
        <x:v>Electronics</x:v>
      </x:c>
      <x:c r="O456" s="84" t="str">
        <x:f>IFERROR(VLOOKUP(L456,'Reference Data'!$A$5:$F$40,4,FALSE),"Unknown")</x:f>
        <x:v>Wearables</x:v>
      </x:c>
      <x:c r="P456" s="92" t="n">
        <x:f>IFERROR(VLOOKUP(L456,'Reference Data'!$A$5:$F$40,5,FALSE),0)</x:f>
        <x:v>159</x:v>
      </x:c>
      <x:c r="Q456" s="92" t="n">
        <x:f>IFERROR(VLOOKUP(L456,'Reference Data'!$A$5:$F$40,6,FALSE),0)</x:f>
        <x:v>92</x:v>
      </x:c>
      <x:c r="R456" s="84" t="n">
        <x:f>'Raw Sales'!J456</x:f>
        <x:v>1</x:v>
      </x:c>
      <x:c r="S456" s="87" t="n">
        <x:f>'Raw Sales'!K456</x:f>
        <x:v>0</x:v>
      </x:c>
      <x:c r="T456" s="93" t="n">
        <x:f>P456*R456</x:f>
        <x:v>159</x:v>
      </x:c>
      <x:c r="U456" s="93" t="n">
        <x:f>T456*S456</x:f>
        <x:v>0</x:v>
      </x:c>
      <x:c r="V456" s="93" t="str">
        <x:f>PROPER(TRIM('Raw Sales'!L456))</x:f>
        <x:v>Completed</x:v>
      </x:c>
      <x:c r="W456" s="93" t="n">
        <x:f>IF(V456="Returned",0,T456-U456)</x:f>
        <x:v>159</x:v>
      </x:c>
      <x:c r="X456" s="93" t="n">
        <x:f>IF(V456="Returned",Q456*R456*10%,Q456*R456)</x:f>
        <x:v>92</x:v>
      </x:c>
      <x:c r="Y456" s="93" t="n">
        <x:f>W456-X456</x:f>
        <x:v>67</x:v>
      </x:c>
      <x:c r="Z456" s="94" t="n">
        <x:f>IFERROR(Y456/W456,0)</x:f>
        <x:v>0.42138364779874216</x:v>
      </x:c>
      <x:c r="AA456" s="84" t="str">
        <x:f>PROPER(TRIM('Raw Sales'!M456))</x:f>
        <x:v>Debit Card</x:v>
      </x:c>
      <x:c r="AB456" s="84" t="str">
        <x:f>PROPER(TRIM('Raw Sales'!N456))</x:f>
        <x:v>Ava Mitchell</x:v>
      </x:c>
      <x:c r="AC456" s="85" t="n">
        <x:f>'Raw Sales'!O456</x:f>
        <x:v>45466</x:v>
      </x:c>
      <x:c r="AD456" s="84" t="n">
        <x:f>AC456-B456</x:f>
        <x:v>4</x:v>
      </x:c>
      <x:c r="AE456" s="84" t="str">
        <x:f>IF(COUNTIF($A$5:A456,A456)&gt;1,"Duplicate","Keep")</x:f>
        <x:v>Keep</x:v>
      </x:c>
      <x:c r="AF456" s="84" t="str">
        <x:f>IF(OR(R456&lt;=0,AC456&lt;B456,H456="Unknown",M456="Unknown Product"),"Review","Valid")</x:f>
        <x:v>Valid</x:v>
      </x:c>
      <x:c r="AG456" s="84" t="n">
        <x:f>IF(AND(AE456="Keep",AF456="Valid"),1,0)</x:f>
        <x:v>1</x:v>
      </x:c>
      <x:c r="AH456" s="84" t="n">
        <x:f>IF(AND(AG456=1,OR('Dashboard'!$B$4="All",I456='Dashboard'!$B$4),OR('Dashboard'!$E$4="All",N456='Dashboard'!$E$4),OR('Dashboard'!$H$4="All",K456='Dashboard'!$H$4),OR('Dashboard'!$K$4="All",C456='Dashboard'!$K$4)),1,0)</x:f>
        <x:v>1</x:v>
      </x:c>
      <x:c r="AI456" s="84" t="n">
        <x:f>IF(AND(AG456=1,OR('Dashboard'!$B$4="All",I456='Dashboard'!$B$4),OR('Dashboard'!$E$4="All",N456='Dashboard'!$E$4),OR('Dashboard'!$H$4="All",K456='Dashboard'!$H$4)),1,0)</x:f>
        <x:v>1</x:v>
      </x:c>
    </x:row>
    <x:row r="457">
      <x:c r="A457" s="84" t="str">
        <x:f>'Raw Sales'!A457</x:f>
        <x:v>ORD-2024-02091</x:v>
      </x:c>
      <x:c r="B457" s="85" t="n">
        <x:f>'Raw Sales'!B457</x:f>
        <x:v>45462</x:v>
      </x:c>
      <x:c r="C457" s="84" t="n">
        <x:f>YEAR(B457)</x:f>
        <x:v>2024</x:v>
      </x:c>
      <x:c r="D457" s="91" t="n">
        <x:f>DATE(YEAR(B457),MONTH(B457),1)</x:f>
        <x:v>45444</x:v>
      </x:c>
      <x:c r="E457" s="84" t="str">
        <x:f>TEXT(B457,"mmm")</x:f>
        <x:v>Jun</x:v>
      </x:c>
      <x:c r="F457" s="84" t="str">
        <x:f>'Raw Sales'!C457</x:f>
        <x:v>CUST-0315</x:v>
      </x:c>
      <x:c r="G457" s="84" t="str">
        <x:f>PROPER(TRIM('Raw Sales'!D457))</x:f>
        <x:v>Caleb Lewis</x:v>
      </x:c>
      <x:c r="H457" s="84" t="str">
        <x:f>IF(TRIM('Raw Sales'!E457)="","Unknown",PROPER(TRIM('Raw Sales'!E457)))</x:f>
        <x:v>Small Business</x:v>
      </x:c>
      <x:c r="I457" s="84" t="str">
        <x:f>PROPER(TRIM('Raw Sales'!F457))</x:f>
        <x:v>West</x:v>
      </x:c>
      <x:c r="J457" s="84" t="str">
        <x:f>PROPER(TRIM('Raw Sales'!G457))</x:f>
        <x:v>Seattle</x:v>
      </x:c>
      <x:c r="K457" s="84" t="str">
        <x:f>PROPER(TRIM('Raw Sales'!H457))</x:f>
        <x:v>Retail Store</x:v>
      </x:c>
      <x:c r="L457" s="84" t="str">
        <x:f>'Raw Sales'!I457</x:f>
        <x:v>CARE-005</x:v>
      </x:c>
      <x:c r="M457" s="84" t="str">
        <x:f>IFERROR(VLOOKUP(L457,'Reference Data'!$A$5:$F$40,2,FALSE),"Unknown Product")</x:f>
        <x:v>Skin Care Starter Kit</x:v>
      </x:c>
      <x:c r="N457" s="84" t="str">
        <x:f>IFERROR(VLOOKUP(L457,'Reference Data'!$A$5:$F$40,3,FALSE),"Unknown")</x:f>
        <x:v>Personal Care</x:v>
      </x:c>
      <x:c r="O457" s="84" t="str">
        <x:f>IFERROR(VLOOKUP(L457,'Reference Data'!$A$5:$F$40,4,FALSE),"Unknown")</x:f>
        <x:v>Skin Care</x:v>
      </x:c>
      <x:c r="P457" s="92" t="n">
        <x:f>IFERROR(VLOOKUP(L457,'Reference Data'!$A$5:$F$40,5,FALSE),0)</x:f>
        <x:v>58</x:v>
      </x:c>
      <x:c r="Q457" s="92" t="n">
        <x:f>IFERROR(VLOOKUP(L457,'Reference Data'!$A$5:$F$40,6,FALSE),0)</x:f>
        <x:v>24</x:v>
      </x:c>
      <x:c r="R457" s="84" t="n">
        <x:f>'Raw Sales'!J457</x:f>
        <x:v>1</x:v>
      </x:c>
      <x:c r="S457" s="87" t="n">
        <x:f>'Raw Sales'!K457</x:f>
        <x:v>0.05</x:v>
      </x:c>
      <x:c r="T457" s="93" t="n">
        <x:f>P457*R457</x:f>
        <x:v>58</x:v>
      </x:c>
      <x:c r="U457" s="93" t="n">
        <x:f>T457*S457</x:f>
        <x:v>2.9000000000000004</x:v>
      </x:c>
      <x:c r="V457" s="93" t="str">
        <x:f>PROPER(TRIM('Raw Sales'!L457))</x:f>
        <x:v>Completed</x:v>
      </x:c>
      <x:c r="W457" s="93" t="n">
        <x:f>IF(V457="Returned",0,T457-U457)</x:f>
        <x:v>55.1</x:v>
      </x:c>
      <x:c r="X457" s="93" t="n">
        <x:f>IF(V457="Returned",Q457*R457*10%,Q457*R457)</x:f>
        <x:v>24</x:v>
      </x:c>
      <x:c r="Y457" s="93" t="n">
        <x:f>W457-X457</x:f>
        <x:v>31.1</x:v>
      </x:c>
      <x:c r="Z457" s="94" t="n">
        <x:f>IFERROR(Y457/W457,0)</x:f>
        <x:v>0.5644283121597097</x:v>
      </x:c>
      <x:c r="AA457" s="84" t="str">
        <x:f>PROPER(TRIM('Raw Sales'!M457))</x:f>
        <x:v>Cash</x:v>
      </x:c>
      <x:c r="AB457" s="84" t="str">
        <x:f>PROPER(TRIM('Raw Sales'!N457))</x:f>
        <x:v>Mia Chen</x:v>
      </x:c>
      <x:c r="AC457" s="85" t="n">
        <x:f>'Raw Sales'!O457</x:f>
        <x:v>45462</x:v>
      </x:c>
      <x:c r="AD457" s="84" t="n">
        <x:f>AC457-B457</x:f>
        <x:v>0</x:v>
      </x:c>
      <x:c r="AE457" s="84" t="str">
        <x:f>IF(COUNTIF($A$5:A457,A457)&gt;1,"Duplicate","Keep")</x:f>
        <x:v>Keep</x:v>
      </x:c>
      <x:c r="AF457" s="84" t="str">
        <x:f>IF(OR(R457&lt;=0,AC457&lt;B457,H457="Unknown",M457="Unknown Product"),"Review","Valid")</x:f>
        <x:v>Valid</x:v>
      </x:c>
      <x:c r="AG457" s="84" t="n">
        <x:f>IF(AND(AE457="Keep",AF457="Valid"),1,0)</x:f>
        <x:v>1</x:v>
      </x:c>
      <x:c r="AH457" s="84" t="n">
        <x:f>IF(AND(AG457=1,OR('Dashboard'!$B$4="All",I457='Dashboard'!$B$4),OR('Dashboard'!$E$4="All",N457='Dashboard'!$E$4),OR('Dashboard'!$H$4="All",K457='Dashboard'!$H$4),OR('Dashboard'!$K$4="All",C457='Dashboard'!$K$4)),1,0)</x:f>
        <x:v>1</x:v>
      </x:c>
      <x:c r="AI457" s="84" t="n">
        <x:f>IF(AND(AG457=1,OR('Dashboard'!$B$4="All",I457='Dashboard'!$B$4),OR('Dashboard'!$E$4="All",N457='Dashboard'!$E$4),OR('Dashboard'!$H$4="All",K457='Dashboard'!$H$4)),1,0)</x:f>
        <x:v>1</x:v>
      </x:c>
    </x:row>
    <x:row r="458">
      <x:c r="A458" s="84" t="str">
        <x:f>'Raw Sales'!A458</x:f>
        <x:v>ORD-2024-02230</x:v>
      </x:c>
      <x:c r="B458" s="85" t="n">
        <x:f>'Raw Sales'!B458</x:f>
        <x:v>45462</x:v>
      </x:c>
      <x:c r="C458" s="84" t="n">
        <x:f>YEAR(B458)</x:f>
        <x:v>2024</x:v>
      </x:c>
      <x:c r="D458" s="91" t="n">
        <x:f>DATE(YEAR(B458),MONTH(B458),1)</x:f>
        <x:v>45444</x:v>
      </x:c>
      <x:c r="E458" s="84" t="str">
        <x:f>TEXT(B458,"mmm")</x:f>
        <x:v>Jun</x:v>
      </x:c>
      <x:c r="F458" s="84" t="str">
        <x:f>'Raw Sales'!C458</x:f>
        <x:v>CUST-0260</x:v>
      </x:c>
      <x:c r="G458" s="84" t="str">
        <x:f>PROPER(TRIM('Raw Sales'!D458))</x:f>
        <x:v>Caleb Ortiz</x:v>
      </x:c>
      <x:c r="H458" s="84" t="str">
        <x:f>IF(TRIM('Raw Sales'!E458)="","Unknown",PROPER(TRIM('Raw Sales'!E458)))</x:f>
        <x:v>Corporate</x:v>
      </x:c>
      <x:c r="I458" s="84" t="str">
        <x:f>PROPER(TRIM('Raw Sales'!F458))</x:f>
        <x:v>West</x:v>
      </x:c>
      <x:c r="J458" s="84" t="str">
        <x:f>PROPER(TRIM('Raw Sales'!G458))</x:f>
        <x:v>Los Angeles</x:v>
      </x:c>
      <x:c r="K458" s="84" t="str">
        <x:f>PROPER(TRIM('Raw Sales'!H458))</x:f>
        <x:v>Online</x:v>
      </x:c>
      <x:c r="L458" s="84" t="str">
        <x:f>'Raw Sales'!I458</x:f>
        <x:v>ACCS-006</x:v>
      </x:c>
      <x:c r="M458" s="84" t="str">
        <x:f>IFERROR(VLOOKUP(L458,'Reference Data'!$A$5:$F$40,2,FALSE),"Unknown Product")</x:f>
        <x:v>Insulated Lunch Bag</x:v>
      </x:c>
      <x:c r="N458" s="84" t="str">
        <x:f>IFERROR(VLOOKUP(L458,'Reference Data'!$A$5:$F$40,3,FALSE),"Unknown")</x:f>
        <x:v>Accessories</x:v>
      </x:c>
      <x:c r="O458" s="84" t="str">
        <x:f>IFERROR(VLOOKUP(L458,'Reference Data'!$A$5:$F$40,4,FALSE),"Unknown")</x:f>
        <x:v>Bags</x:v>
      </x:c>
      <x:c r="P458" s="92" t="n">
        <x:f>IFERROR(VLOOKUP(L458,'Reference Data'!$A$5:$F$40,5,FALSE),0)</x:f>
        <x:v>29</x:v>
      </x:c>
      <x:c r="Q458" s="92" t="n">
        <x:f>IFERROR(VLOOKUP(L458,'Reference Data'!$A$5:$F$40,6,FALSE),0)</x:f>
        <x:v>10</x:v>
      </x:c>
      <x:c r="R458" s="84" t="n">
        <x:f>'Raw Sales'!J458</x:f>
        <x:v>1</x:v>
      </x:c>
      <x:c r="S458" s="87" t="n">
        <x:f>'Raw Sales'!K458</x:f>
        <x:v>0</x:v>
      </x:c>
      <x:c r="T458" s="93" t="n">
        <x:f>P458*R458</x:f>
        <x:v>29</x:v>
      </x:c>
      <x:c r="U458" s="93" t="n">
        <x:f>T458*S458</x:f>
        <x:v>0</x:v>
      </x:c>
      <x:c r="V458" s="93" t="str">
        <x:f>PROPER(TRIM('Raw Sales'!L458))</x:f>
        <x:v>Completed</x:v>
      </x:c>
      <x:c r="W458" s="93" t="n">
        <x:f>IF(V458="Returned",0,T458-U458)</x:f>
        <x:v>29</x:v>
      </x:c>
      <x:c r="X458" s="93" t="n">
        <x:f>IF(V458="Returned",Q458*R458*10%,Q458*R458)</x:f>
        <x:v>10</x:v>
      </x:c>
      <x:c r="Y458" s="93" t="n">
        <x:f>W458-X458</x:f>
        <x:v>19</x:v>
      </x:c>
      <x:c r="Z458" s="94" t="n">
        <x:f>IFERROR(Y458/W458,0)</x:f>
        <x:v>0.6551724137931034</x:v>
      </x:c>
      <x:c r="AA458" s="84" t="str">
        <x:f>PROPER(TRIM('Raw Sales'!M458))</x:f>
        <x:v>Paypal</x:v>
      </x:c>
      <x:c r="AB458" s="84" t="str">
        <x:f>PROPER(TRIM('Raw Sales'!N458))</x:f>
        <x:v>Mia Chen</x:v>
      </x:c>
      <x:c r="AC458" s="85" t="n">
        <x:f>'Raw Sales'!O458</x:f>
        <x:v>45464</x:v>
      </x:c>
      <x:c r="AD458" s="84" t="n">
        <x:f>AC458-B458</x:f>
        <x:v>2</x:v>
      </x:c>
      <x:c r="AE458" s="84" t="str">
        <x:f>IF(COUNTIF($A$5:A458,A458)&gt;1,"Duplicate","Keep")</x:f>
        <x:v>Keep</x:v>
      </x:c>
      <x:c r="AF458" s="84" t="str">
        <x:f>IF(OR(R458&lt;=0,AC458&lt;B458,H458="Unknown",M458="Unknown Product"),"Review","Valid")</x:f>
        <x:v>Valid</x:v>
      </x:c>
      <x:c r="AG458" s="84" t="n">
        <x:f>IF(AND(AE458="Keep",AF458="Valid"),1,0)</x:f>
        <x:v>1</x:v>
      </x:c>
      <x:c r="AH458" s="84" t="n">
        <x:f>IF(AND(AG458=1,OR('Dashboard'!$B$4="All",I458='Dashboard'!$B$4),OR('Dashboard'!$E$4="All",N458='Dashboard'!$E$4),OR('Dashboard'!$H$4="All",K458='Dashboard'!$H$4),OR('Dashboard'!$K$4="All",C458='Dashboard'!$K$4)),1,0)</x:f>
        <x:v>1</x:v>
      </x:c>
      <x:c r="AI458" s="84" t="n">
        <x:f>IF(AND(AG458=1,OR('Dashboard'!$B$4="All",I458='Dashboard'!$B$4),OR('Dashboard'!$E$4="All",N458='Dashboard'!$E$4),OR('Dashboard'!$H$4="All",K458='Dashboard'!$H$4)),1,0)</x:f>
        <x:v>1</x:v>
      </x:c>
    </x:row>
    <x:row r="459">
      <x:c r="A459" s="84" t="str">
        <x:f>'Raw Sales'!A459</x:f>
        <x:v>ORD-2024-00344</x:v>
      </x:c>
      <x:c r="B459" s="85" t="n">
        <x:f>'Raw Sales'!B459</x:f>
        <x:v>45463</x:v>
      </x:c>
      <x:c r="C459" s="84" t="n">
        <x:f>YEAR(B459)</x:f>
        <x:v>2024</x:v>
      </x:c>
      <x:c r="D459" s="91" t="n">
        <x:f>DATE(YEAR(B459),MONTH(B459),1)</x:f>
        <x:v>45444</x:v>
      </x:c>
      <x:c r="E459" s="84" t="str">
        <x:f>TEXT(B459,"mmm")</x:f>
        <x:v>Jun</x:v>
      </x:c>
      <x:c r="F459" s="84" t="str">
        <x:f>'Raw Sales'!C459</x:f>
        <x:v>CUST-0310</x:v>
      </x:c>
      <x:c r="G459" s="84" t="str">
        <x:f>PROPER(TRIM('Raw Sales'!D459))</x:f>
        <x:v>Marcus Patel</x:v>
      </x:c>
      <x:c r="H459" s="84" t="str">
        <x:f>IF(TRIM('Raw Sales'!E459)="","Unknown",PROPER(TRIM('Raw Sales'!E459)))</x:f>
        <x:v>Consumer</x:v>
      </x:c>
      <x:c r="I459" s="84" t="str">
        <x:f>PROPER(TRIM('Raw Sales'!F459))</x:f>
        <x:v>Midwest</x:v>
      </x:c>
      <x:c r="J459" s="84" t="str">
        <x:f>PROPER(TRIM('Raw Sales'!G459))</x:f>
        <x:v>Columbus</x:v>
      </x:c>
      <x:c r="K459" s="84" t="str">
        <x:f>PROPER(TRIM('Raw Sales'!H459))</x:f>
        <x:v>Online</x:v>
      </x:c>
      <x:c r="L459" s="84" t="str">
        <x:f>'Raw Sales'!I459</x:f>
        <x:v>FITN-002</x:v>
      </x:c>
      <x:c r="M459" s="84" t="str">
        <x:f>IFERROR(VLOOKUP(L459,'Reference Data'!$A$5:$F$40,2,FALSE),"Unknown Product")</x:f>
        <x:v>Adjustable Dumbbell Set</x:v>
      </x:c>
      <x:c r="N459" s="84" t="str">
        <x:f>IFERROR(VLOOKUP(L459,'Reference Data'!$A$5:$F$40,3,FALSE),"Unknown")</x:f>
        <x:v>Fitness</x:v>
      </x:c>
      <x:c r="O459" s="84" t="str">
        <x:f>IFERROR(VLOOKUP(L459,'Reference Data'!$A$5:$F$40,4,FALSE),"Unknown")</x:f>
        <x:v>Strength</x:v>
      </x:c>
      <x:c r="P459" s="92" t="n">
        <x:f>IFERROR(VLOOKUP(L459,'Reference Data'!$A$5:$F$40,5,FALSE),0)</x:f>
        <x:v>99</x:v>
      </x:c>
      <x:c r="Q459" s="92" t="n">
        <x:f>IFERROR(VLOOKUP(L459,'Reference Data'!$A$5:$F$40,6,FALSE),0)</x:f>
        <x:v>57</x:v>
      </x:c>
      <x:c r="R459" s="84" t="n">
        <x:f>'Raw Sales'!J459</x:f>
        <x:v>2</x:v>
      </x:c>
      <x:c r="S459" s="87" t="n">
        <x:f>'Raw Sales'!K459</x:f>
        <x:v>0</x:v>
      </x:c>
      <x:c r="T459" s="93" t="n">
        <x:f>P459*R459</x:f>
        <x:v>198</x:v>
      </x:c>
      <x:c r="U459" s="93" t="n">
        <x:f>T459*S459</x:f>
        <x:v>0</x:v>
      </x:c>
      <x:c r="V459" s="93" t="str">
        <x:f>PROPER(TRIM('Raw Sales'!L459))</x:f>
        <x:v>Completed</x:v>
      </x:c>
      <x:c r="W459" s="93" t="n">
        <x:f>IF(V459="Returned",0,T459-U459)</x:f>
        <x:v>198</x:v>
      </x:c>
      <x:c r="X459" s="93" t="n">
        <x:f>IF(V459="Returned",Q459*R459*10%,Q459*R459)</x:f>
        <x:v>114</x:v>
      </x:c>
      <x:c r="Y459" s="93" t="n">
        <x:f>W459-X459</x:f>
        <x:v>84</x:v>
      </x:c>
      <x:c r="Z459" s="94" t="n">
        <x:f>IFERROR(Y459/W459,0)</x:f>
        <x:v>0.42424242424242425</x:v>
      </x:c>
      <x:c r="AA459" s="84" t="str">
        <x:f>PROPER(TRIM('Raw Sales'!M459))</x:f>
        <x:v>Debit Card</x:v>
      </x:c>
      <x:c r="AB459" s="84" t="str">
        <x:f>PROPER(TRIM('Raw Sales'!N459))</x:f>
        <x:v>Emma Hayes</x:v>
      </x:c>
      <x:c r="AC459" s="85" t="n">
        <x:f>'Raw Sales'!O459</x:f>
        <x:v>45465</x:v>
      </x:c>
      <x:c r="AD459" s="84" t="n">
        <x:f>AC459-B459</x:f>
        <x:v>2</x:v>
      </x:c>
      <x:c r="AE459" s="84" t="str">
        <x:f>IF(COUNTIF($A$5:A459,A459)&gt;1,"Duplicate","Keep")</x:f>
        <x:v>Keep</x:v>
      </x:c>
      <x:c r="AF459" s="84" t="str">
        <x:f>IF(OR(R459&lt;=0,AC459&lt;B459,H459="Unknown",M459="Unknown Product"),"Review","Valid")</x:f>
        <x:v>Valid</x:v>
      </x:c>
      <x:c r="AG459" s="84" t="n">
        <x:f>IF(AND(AE459="Keep",AF459="Valid"),1,0)</x:f>
        <x:v>1</x:v>
      </x:c>
      <x:c r="AH459" s="84" t="n">
        <x:f>IF(AND(AG459=1,OR('Dashboard'!$B$4="All",I459='Dashboard'!$B$4),OR('Dashboard'!$E$4="All",N459='Dashboard'!$E$4),OR('Dashboard'!$H$4="All",K459='Dashboard'!$H$4),OR('Dashboard'!$K$4="All",C459='Dashboard'!$K$4)),1,0)</x:f>
        <x:v>1</x:v>
      </x:c>
      <x:c r="AI459" s="84" t="n">
        <x:f>IF(AND(AG459=1,OR('Dashboard'!$B$4="All",I459='Dashboard'!$B$4),OR('Dashboard'!$E$4="All",N459='Dashboard'!$E$4),OR('Dashboard'!$H$4="All",K459='Dashboard'!$H$4)),1,0)</x:f>
        <x:v>1</x:v>
      </x:c>
    </x:row>
    <x:row r="460">
      <x:c r="A460" s="84" t="str">
        <x:f>'Raw Sales'!A460</x:f>
        <x:v>ORD-2024-00370</x:v>
      </x:c>
      <x:c r="B460" s="85" t="n">
        <x:f>'Raw Sales'!B460</x:f>
        <x:v>45463</x:v>
      </x:c>
      <x:c r="C460" s="84" t="n">
        <x:f>YEAR(B460)</x:f>
        <x:v>2024</x:v>
      </x:c>
      <x:c r="D460" s="91" t="n">
        <x:f>DATE(YEAR(B460),MONTH(B460),1)</x:f>
        <x:v>45444</x:v>
      </x:c>
      <x:c r="E460" s="84" t="str">
        <x:f>TEXT(B460,"mmm")</x:f>
        <x:v>Jun</x:v>
      </x:c>
      <x:c r="F460" s="84" t="str">
        <x:f>'Raw Sales'!C460</x:f>
        <x:v>CUST-0097</x:v>
      </x:c>
      <x:c r="G460" s="84" t="str">
        <x:f>PROPER(TRIM('Raw Sales'!D460))</x:f>
        <x:v>Sara Ortiz</x:v>
      </x:c>
      <x:c r="H460" s="84" t="str">
        <x:f>IF(TRIM('Raw Sales'!E460)="","Unknown",PROPER(TRIM('Raw Sales'!E460)))</x:f>
        <x:v>Corporate</x:v>
      </x:c>
      <x:c r="I460" s="84" t="str">
        <x:f>PROPER(TRIM('Raw Sales'!F460))</x:f>
        <x:v>Northeast</x:v>
      </x:c>
      <x:c r="J460" s="84" t="str">
        <x:f>PROPER(TRIM('Raw Sales'!G460))</x:f>
        <x:v>New York</x:v>
      </x:c>
      <x:c r="K460" s="84" t="str">
        <x:f>PROPER(TRIM('Raw Sales'!H460))</x:f>
        <x:v>Online</x:v>
      </x:c>
      <x:c r="L460" s="84" t="str">
        <x:f>'Raw Sales'!I460</x:f>
        <x:v>HOME-006</x:v>
      </x:c>
      <x:c r="M460" s="84" t="str">
        <x:f>IFERROR(VLOOKUP(L460,'Reference Data'!$A$5:$F$40,2,FALSE),"Unknown Product")</x:f>
        <x:v>Food Storage Set</x:v>
      </x:c>
      <x:c r="N460" s="84" t="str">
        <x:f>IFERROR(VLOOKUP(L460,'Reference Data'!$A$5:$F$40,3,FALSE),"Unknown")</x:f>
        <x:v>Home &amp; Kitchen</x:v>
      </x:c>
      <x:c r="O460" s="84" t="str">
        <x:f>IFERROR(VLOOKUP(L460,'Reference Data'!$A$5:$F$40,4,FALSE),"Unknown")</x:f>
        <x:v>Kitchenware</x:v>
      </x:c>
      <x:c r="P460" s="92" t="n">
        <x:f>IFERROR(VLOOKUP(L460,'Reference Data'!$A$5:$F$40,5,FALSE),0)</x:f>
        <x:v>34</x:v>
      </x:c>
      <x:c r="Q460" s="92" t="n">
        <x:f>IFERROR(VLOOKUP(L460,'Reference Data'!$A$5:$F$40,6,FALSE),0)</x:f>
        <x:v>15</x:v>
      </x:c>
      <x:c r="R460" s="84" t="n">
        <x:f>'Raw Sales'!J460</x:f>
        <x:v>6</x:v>
      </x:c>
      <x:c r="S460" s="87" t="n">
        <x:f>'Raw Sales'!K460</x:f>
        <x:v>0</x:v>
      </x:c>
      <x:c r="T460" s="93" t="n">
        <x:f>P460*R460</x:f>
        <x:v>204</x:v>
      </x:c>
      <x:c r="U460" s="93" t="n">
        <x:f>T460*S460</x:f>
        <x:v>0</x:v>
      </x:c>
      <x:c r="V460" s="93" t="str">
        <x:f>PROPER(TRIM('Raw Sales'!L460))</x:f>
        <x:v>Completed</x:v>
      </x:c>
      <x:c r="W460" s="93" t="n">
        <x:f>IF(V460="Returned",0,T460-U460)</x:f>
        <x:v>204</x:v>
      </x:c>
      <x:c r="X460" s="93" t="n">
        <x:f>IF(V460="Returned",Q460*R460*10%,Q460*R460)</x:f>
        <x:v>90</x:v>
      </x:c>
      <x:c r="Y460" s="93" t="n">
        <x:f>W460-X460</x:f>
        <x:v>114</x:v>
      </x:c>
      <x:c r="Z460" s="94" t="n">
        <x:f>IFERROR(Y460/W460,0)</x:f>
        <x:v>0.5588235294117647</x:v>
      </x:c>
      <x:c r="AA460" s="84" t="str">
        <x:f>PROPER(TRIM('Raw Sales'!M460))</x:f>
        <x:v>Mobile Wallet</x:v>
      </x:c>
      <x:c r="AB460" s="84" t="str">
        <x:f>PROPER(TRIM('Raw Sales'!N460))</x:f>
        <x:v>Ethan Cole</x:v>
      </x:c>
      <x:c r="AC460" s="85" t="n">
        <x:f>'Raw Sales'!O460</x:f>
        <x:v>45466</x:v>
      </x:c>
      <x:c r="AD460" s="84" t="n">
        <x:f>AC460-B460</x:f>
        <x:v>3</x:v>
      </x:c>
      <x:c r="AE460" s="84" t="str">
        <x:f>IF(COUNTIF($A$5:A460,A460)&gt;1,"Duplicate","Keep")</x:f>
        <x:v>Keep</x:v>
      </x:c>
      <x:c r="AF460" s="84" t="str">
        <x:f>IF(OR(R460&lt;=0,AC460&lt;B460,H460="Unknown",M460="Unknown Product"),"Review","Valid")</x:f>
        <x:v>Valid</x:v>
      </x:c>
      <x:c r="AG460" s="84" t="n">
        <x:f>IF(AND(AE460="Keep",AF460="Valid"),1,0)</x:f>
        <x:v>1</x:v>
      </x:c>
      <x:c r="AH460" s="84" t="n">
        <x:f>IF(AND(AG460=1,OR('Dashboard'!$B$4="All",I460='Dashboard'!$B$4),OR('Dashboard'!$E$4="All",N460='Dashboard'!$E$4),OR('Dashboard'!$H$4="All",K460='Dashboard'!$H$4),OR('Dashboard'!$K$4="All",C460='Dashboard'!$K$4)),1,0)</x:f>
        <x:v>1</x:v>
      </x:c>
      <x:c r="AI460" s="84" t="n">
        <x:f>IF(AND(AG460=1,OR('Dashboard'!$B$4="All",I460='Dashboard'!$B$4),OR('Dashboard'!$E$4="All",N460='Dashboard'!$E$4),OR('Dashboard'!$H$4="All",K460='Dashboard'!$H$4)),1,0)</x:f>
        <x:v>1</x:v>
      </x:c>
    </x:row>
    <x:row r="461">
      <x:c r="A461" s="84" t="str">
        <x:f>'Raw Sales'!A461</x:f>
        <x:v>ORD-2024-00463</x:v>
      </x:c>
      <x:c r="B461" s="85" t="n">
        <x:f>'Raw Sales'!B461</x:f>
        <x:v>45463</x:v>
      </x:c>
      <x:c r="C461" s="84" t="n">
        <x:f>YEAR(B461)</x:f>
        <x:v>2024</x:v>
      </x:c>
      <x:c r="D461" s="91" t="n">
        <x:f>DATE(YEAR(B461),MONTH(B461),1)</x:f>
        <x:v>45444</x:v>
      </x:c>
      <x:c r="E461" s="84" t="str">
        <x:f>TEXT(B461,"mmm")</x:f>
        <x:v>Jun</x:v>
      </x:c>
      <x:c r="F461" s="84" t="str">
        <x:f>'Raw Sales'!C461</x:f>
        <x:v>CUST-0451</x:v>
      </x:c>
      <x:c r="G461" s="84" t="str">
        <x:f>PROPER(TRIM('Raw Sales'!D461))</x:f>
        <x:v>Theo Roberts</x:v>
      </x:c>
      <x:c r="H461" s="84" t="str">
        <x:f>IF(TRIM('Raw Sales'!E461)="","Unknown",PROPER(TRIM('Raw Sales'!E461)))</x:f>
        <x:v>Small Business</x:v>
      </x:c>
      <x:c r="I461" s="84" t="str">
        <x:f>PROPER(TRIM('Raw Sales'!F461))</x:f>
        <x:v>West</x:v>
      </x:c>
      <x:c r="J461" s="84" t="str">
        <x:f>PROPER(TRIM('Raw Sales'!G461))</x:f>
        <x:v>Phoenix</x:v>
      </x:c>
      <x:c r="K461" s="84" t="str">
        <x:f>PROPER(TRIM('Raw Sales'!H461))</x:f>
        <x:v>Marketplace</x:v>
      </x:c>
      <x:c r="L461" s="84" t="str">
        <x:f>'Raw Sales'!I461</x:f>
        <x:v>ELEC-005</x:v>
      </x:c>
      <x:c r="M461" s="84" t="str">
        <x:f>IFERROR(VLOOKUP(L461,'Reference Data'!$A$5:$F$40,2,FALSE),"Unknown Product")</x:f>
        <x:v>HD Webcam</x:v>
      </x:c>
      <x:c r="N461" s="84" t="str">
        <x:f>IFERROR(VLOOKUP(L461,'Reference Data'!$A$5:$F$40,3,FALSE),"Unknown")</x:f>
        <x:v>Electronics</x:v>
      </x:c>
      <x:c r="O461" s="84" t="str">
        <x:f>IFERROR(VLOOKUP(L461,'Reference Data'!$A$5:$F$40,4,FALSE),"Unknown")</x:f>
        <x:v>Computer Accessories</x:v>
      </x:c>
      <x:c r="P461" s="92" t="n">
        <x:f>IFERROR(VLOOKUP(L461,'Reference Data'!$A$5:$F$40,5,FALSE),0)</x:f>
        <x:v>79</x:v>
      </x:c>
      <x:c r="Q461" s="92" t="n">
        <x:f>IFERROR(VLOOKUP(L461,'Reference Data'!$A$5:$F$40,6,FALSE),0)</x:f>
        <x:v>37</x:v>
      </x:c>
      <x:c r="R461" s="84" t="n">
        <x:f>'Raw Sales'!J461</x:f>
        <x:v>4</x:v>
      </x:c>
      <x:c r="S461" s="87" t="n">
        <x:f>'Raw Sales'!K461</x:f>
        <x:v>0.1</x:v>
      </x:c>
      <x:c r="T461" s="93" t="n">
        <x:f>P461*R461</x:f>
        <x:v>316</x:v>
      </x:c>
      <x:c r="U461" s="93" t="n">
        <x:f>T461*S461</x:f>
        <x:v>31.6</x:v>
      </x:c>
      <x:c r="V461" s="93" t="str">
        <x:f>PROPER(TRIM('Raw Sales'!L461))</x:f>
        <x:v>Completed</x:v>
      </x:c>
      <x:c r="W461" s="93" t="n">
        <x:f>IF(V461="Returned",0,T461-U461)</x:f>
        <x:v>284.4</x:v>
      </x:c>
      <x:c r="X461" s="93" t="n">
        <x:f>IF(V461="Returned",Q461*R461*10%,Q461*R461)</x:f>
        <x:v>148</x:v>
      </x:c>
      <x:c r="Y461" s="93" t="n">
        <x:f>W461-X461</x:f>
        <x:v>136.39999999999998</x:v>
      </x:c>
      <x:c r="Z461" s="94" t="n">
        <x:f>IFERROR(Y461/W461,0)</x:f>
        <x:v>0.4796061884669479</x:v>
      </x:c>
      <x:c r="AA461" s="84" t="str">
        <x:f>PROPER(TRIM('Raw Sales'!M461))</x:f>
        <x:v>Credit Card</x:v>
      </x:c>
      <x:c r="AB461" s="84" t="str">
        <x:f>PROPER(TRIM('Raw Sales'!N461))</x:f>
        <x:v>Mia Chen</x:v>
      </x:c>
      <x:c r="AC461" s="85" t="n">
        <x:f>'Raw Sales'!O461</x:f>
        <x:v>45467</x:v>
      </x:c>
      <x:c r="AD461" s="84" t="n">
        <x:f>AC461-B461</x:f>
        <x:v>4</x:v>
      </x:c>
      <x:c r="AE461" s="84" t="str">
        <x:f>IF(COUNTIF($A$5:A461,A461)&gt;1,"Duplicate","Keep")</x:f>
        <x:v>Keep</x:v>
      </x:c>
      <x:c r="AF461" s="84" t="str">
        <x:f>IF(OR(R461&lt;=0,AC461&lt;B461,H461="Unknown",M461="Unknown Product"),"Review","Valid")</x:f>
        <x:v>Valid</x:v>
      </x:c>
      <x:c r="AG461" s="84" t="n">
        <x:f>IF(AND(AE461="Keep",AF461="Valid"),1,0)</x:f>
        <x:v>1</x:v>
      </x:c>
      <x:c r="AH461" s="84" t="n">
        <x:f>IF(AND(AG461=1,OR('Dashboard'!$B$4="All",I461='Dashboard'!$B$4),OR('Dashboard'!$E$4="All",N461='Dashboard'!$E$4),OR('Dashboard'!$H$4="All",K461='Dashboard'!$H$4),OR('Dashboard'!$K$4="All",C461='Dashboard'!$K$4)),1,0)</x:f>
        <x:v>1</x:v>
      </x:c>
      <x:c r="AI461" s="84" t="n">
        <x:f>IF(AND(AG461=1,OR('Dashboard'!$B$4="All",I461='Dashboard'!$B$4),OR('Dashboard'!$E$4="All",N461='Dashboard'!$E$4),OR('Dashboard'!$H$4="All",K461='Dashboard'!$H$4)),1,0)</x:f>
        <x:v>1</x:v>
      </x:c>
    </x:row>
    <x:row r="462">
      <x:c r="A462" s="84" t="str">
        <x:f>'Raw Sales'!A462</x:f>
        <x:v>ORD-2024-00612</x:v>
      </x:c>
      <x:c r="B462" s="85" t="n">
        <x:f>'Raw Sales'!B462</x:f>
        <x:v>45463</x:v>
      </x:c>
      <x:c r="C462" s="84" t="n">
        <x:f>YEAR(B462)</x:f>
        <x:v>2024</x:v>
      </x:c>
      <x:c r="D462" s="91" t="n">
        <x:f>DATE(YEAR(B462),MONTH(B462),1)</x:f>
        <x:v>45444</x:v>
      </x:c>
      <x:c r="E462" s="84" t="str">
        <x:f>TEXT(B462,"mmm")</x:f>
        <x:v>Jun</x:v>
      </x:c>
      <x:c r="F462" s="84" t="str">
        <x:f>'Raw Sales'!C462</x:f>
        <x:v>CUST-0310</x:v>
      </x:c>
      <x:c r="G462" s="84" t="str">
        <x:f>PROPER(TRIM('Raw Sales'!D462))</x:f>
        <x:v>Marcus Patel</x:v>
      </x:c>
      <x:c r="H462" s="84" t="str">
        <x:f>IF(TRIM('Raw Sales'!E462)="","Unknown",PROPER(TRIM('Raw Sales'!E462)))</x:f>
        <x:v>Consumer</x:v>
      </x:c>
      <x:c r="I462" s="84" t="str">
        <x:f>PROPER(TRIM('Raw Sales'!F462))</x:f>
        <x:v>Midwest</x:v>
      </x:c>
      <x:c r="J462" s="84" t="str">
        <x:f>PROPER(TRIM('Raw Sales'!G462))</x:f>
        <x:v>Columbus</x:v>
      </x:c>
      <x:c r="K462" s="84" t="str">
        <x:f>PROPER(TRIM('Raw Sales'!H462))</x:f>
        <x:v>Online</x:v>
      </x:c>
      <x:c r="L462" s="84" t="str">
        <x:f>'Raw Sales'!I462</x:f>
        <x:v>HOME-002</x:v>
      </x:c>
      <x:c r="M462" s="84" t="str">
        <x:f>IFERROR(VLOOKUP(L462,'Reference Data'!$A$5:$F$40,2,FALSE),"Unknown Product")</x:f>
        <x:v>Electric Kettle</x:v>
      </x:c>
      <x:c r="N462" s="84" t="str">
        <x:f>IFERROR(VLOOKUP(L462,'Reference Data'!$A$5:$F$40,3,FALSE),"Unknown")</x:f>
        <x:v>Home &amp; Kitchen</x:v>
      </x:c>
      <x:c r="O462" s="84" t="str">
        <x:f>IFERROR(VLOOKUP(L462,'Reference Data'!$A$5:$F$40,4,FALSE),"Unknown")</x:f>
        <x:v>Small Appliances</x:v>
      </x:c>
      <x:c r="P462" s="92" t="n">
        <x:f>IFERROR(VLOOKUP(L462,'Reference Data'!$A$5:$F$40,5,FALSE),0)</x:f>
        <x:v>49</x:v>
      </x:c>
      <x:c r="Q462" s="92" t="n">
        <x:f>IFERROR(VLOOKUP(L462,'Reference Data'!$A$5:$F$40,6,FALSE),0)</x:f>
        <x:v>23</x:v>
      </x:c>
      <x:c r="R462" s="84" t="n">
        <x:f>'Raw Sales'!J462</x:f>
        <x:v>1</x:v>
      </x:c>
      <x:c r="S462" s="87" t="n">
        <x:f>'Raw Sales'!K462</x:f>
        <x:v>0.1</x:v>
      </x:c>
      <x:c r="T462" s="93" t="n">
        <x:f>P462*R462</x:f>
        <x:v>49</x:v>
      </x:c>
      <x:c r="U462" s="93" t="n">
        <x:f>T462*S462</x:f>
        <x:v>4.9</x:v>
      </x:c>
      <x:c r="V462" s="93" t="str">
        <x:f>PROPER(TRIM('Raw Sales'!L462))</x:f>
        <x:v>Completed</x:v>
      </x:c>
      <x:c r="W462" s="93" t="n">
        <x:f>IF(V462="Returned",0,T462-U462)</x:f>
        <x:v>44.1</x:v>
      </x:c>
      <x:c r="X462" s="93" t="n">
        <x:f>IF(V462="Returned",Q462*R462*10%,Q462*R462)</x:f>
        <x:v>23</x:v>
      </x:c>
      <x:c r="Y462" s="93" t="n">
        <x:f>W462-X462</x:f>
        <x:v>21.1</x:v>
      </x:c>
      <x:c r="Z462" s="94" t="n">
        <x:f>IFERROR(Y462/W462,0)</x:f>
        <x:v>0.47845804988662133</x:v>
      </x:c>
      <x:c r="AA462" s="84" t="str">
        <x:f>PROPER(TRIM('Raw Sales'!M462))</x:f>
        <x:v>Mobile Wallet</x:v>
      </x:c>
      <x:c r="AB462" s="84" t="str">
        <x:f>PROPER(TRIM('Raw Sales'!N462))</x:f>
        <x:v>Lucas Grant</x:v>
      </x:c>
      <x:c r="AC462" s="85" t="n">
        <x:f>'Raw Sales'!O462</x:f>
        <x:v>45466</x:v>
      </x:c>
      <x:c r="AD462" s="84" t="n">
        <x:f>AC462-B462</x:f>
        <x:v>3</x:v>
      </x:c>
      <x:c r="AE462" s="84" t="str">
        <x:f>IF(COUNTIF($A$5:A462,A462)&gt;1,"Duplicate","Keep")</x:f>
        <x:v>Keep</x:v>
      </x:c>
      <x:c r="AF462" s="84" t="str">
        <x:f>IF(OR(R462&lt;=0,AC462&lt;B462,H462="Unknown",M462="Unknown Product"),"Review","Valid")</x:f>
        <x:v>Valid</x:v>
      </x:c>
      <x:c r="AG462" s="84" t="n">
        <x:f>IF(AND(AE462="Keep",AF462="Valid"),1,0)</x:f>
        <x:v>1</x:v>
      </x:c>
      <x:c r="AH462" s="84" t="n">
        <x:f>IF(AND(AG462=1,OR('Dashboard'!$B$4="All",I462='Dashboard'!$B$4),OR('Dashboard'!$E$4="All",N462='Dashboard'!$E$4),OR('Dashboard'!$H$4="All",K462='Dashboard'!$H$4),OR('Dashboard'!$K$4="All",C462='Dashboard'!$K$4)),1,0)</x:f>
        <x:v>1</x:v>
      </x:c>
      <x:c r="AI462" s="84" t="n">
        <x:f>IF(AND(AG462=1,OR('Dashboard'!$B$4="All",I462='Dashboard'!$B$4),OR('Dashboard'!$E$4="All",N462='Dashboard'!$E$4),OR('Dashboard'!$H$4="All",K462='Dashboard'!$H$4)),1,0)</x:f>
        <x:v>1</x:v>
      </x:c>
    </x:row>
    <x:row r="463">
      <x:c r="A463" s="84" t="str">
        <x:f>'Raw Sales'!A463</x:f>
        <x:v>ORD-2024-01533</x:v>
      </x:c>
      <x:c r="B463" s="85" t="n">
        <x:f>'Raw Sales'!B463</x:f>
        <x:v>45463</x:v>
      </x:c>
      <x:c r="C463" s="84" t="n">
        <x:f>YEAR(B463)</x:f>
        <x:v>2024</x:v>
      </x:c>
      <x:c r="D463" s="91" t="n">
        <x:f>DATE(YEAR(B463),MONTH(B463),1)</x:f>
        <x:v>45444</x:v>
      </x:c>
      <x:c r="E463" s="84" t="str">
        <x:f>TEXT(B463,"mmm")</x:f>
        <x:v>Jun</x:v>
      </x:c>
      <x:c r="F463" s="84" t="str">
        <x:f>'Raw Sales'!C463</x:f>
        <x:v>CUST-0561</x:v>
      </x:c>
      <x:c r="G463" s="84" t="str">
        <x:f>PROPER(TRIM('Raw Sales'!D463))</x:f>
        <x:v>Marcus Johnson</x:v>
      </x:c>
      <x:c r="H463" s="84" t="str">
        <x:f>IF(TRIM('Raw Sales'!E463)="","Unknown",PROPER(TRIM('Raw Sales'!E463)))</x:f>
        <x:v>Consumer</x:v>
      </x:c>
      <x:c r="I463" s="84" t="str">
        <x:f>PROPER(TRIM('Raw Sales'!F463))</x:f>
        <x:v>Southeast</x:v>
      </x:c>
      <x:c r="J463" s="84" t="str">
        <x:f>PROPER(TRIM('Raw Sales'!G463))</x:f>
        <x:v>Nashville</x:v>
      </x:c>
      <x:c r="K463" s="84" t="str">
        <x:f>PROPER(TRIM('Raw Sales'!H463))</x:f>
        <x:v>Online</x:v>
      </x:c>
      <x:c r="L463" s="84" t="str">
        <x:f>'Raw Sales'!I463</x:f>
        <x:v>ELEC-004</x:v>
      </x:c>
      <x:c r="M463" s="84" t="str">
        <x:f>IFERROR(VLOOKUP(L463,'Reference Data'!$A$5:$F$40,2,FALSE),"Unknown Product")</x:f>
        <x:v>Power Bank</x:v>
      </x:c>
      <x:c r="N463" s="84" t="str">
        <x:f>IFERROR(VLOOKUP(L463,'Reference Data'!$A$5:$F$40,3,FALSE),"Unknown")</x:f>
        <x:v>Electronics</x:v>
      </x:c>
      <x:c r="O463" s="84" t="str">
        <x:f>IFERROR(VLOOKUP(L463,'Reference Data'!$A$5:$F$40,4,FALSE),"Unknown")</x:f>
        <x:v>Mobile Accessories</x:v>
      </x:c>
      <x:c r="P463" s="92" t="n">
        <x:f>IFERROR(VLOOKUP(L463,'Reference Data'!$A$5:$F$40,5,FALSE),0)</x:f>
        <x:v>39</x:v>
      </x:c>
      <x:c r="Q463" s="92" t="n">
        <x:f>IFERROR(VLOOKUP(L463,'Reference Data'!$A$5:$F$40,6,FALSE),0)</x:f>
        <x:v>18</x:v>
      </x:c>
      <x:c r="R463" s="84" t="n">
        <x:f>'Raw Sales'!J463</x:f>
        <x:v>1</x:v>
      </x:c>
      <x:c r="S463" s="87" t="n">
        <x:f>'Raw Sales'!K463</x:f>
        <x:v>0</x:v>
      </x:c>
      <x:c r="T463" s="93" t="n">
        <x:f>P463*R463</x:f>
        <x:v>39</x:v>
      </x:c>
      <x:c r="U463" s="93" t="n">
        <x:f>T463*S463</x:f>
        <x:v>0</x:v>
      </x:c>
      <x:c r="V463" s="93" t="str">
        <x:f>PROPER(TRIM('Raw Sales'!L463))</x:f>
        <x:v>Completed</x:v>
      </x:c>
      <x:c r="W463" s="93" t="n">
        <x:f>IF(V463="Returned",0,T463-U463)</x:f>
        <x:v>39</x:v>
      </x:c>
      <x:c r="X463" s="93" t="n">
        <x:f>IF(V463="Returned",Q463*R463*10%,Q463*R463)</x:f>
        <x:v>18</x:v>
      </x:c>
      <x:c r="Y463" s="93" t="n">
        <x:f>W463-X463</x:f>
        <x:v>21</x:v>
      </x:c>
      <x:c r="Z463" s="94" t="n">
        <x:f>IFERROR(Y463/W463,0)</x:f>
        <x:v>0.5384615384615384</x:v>
      </x:c>
      <x:c r="AA463" s="84" t="str">
        <x:f>PROPER(TRIM('Raw Sales'!M463))</x:f>
        <x:v>Paypal</x:v>
      </x:c>
      <x:c r="AB463" s="84" t="str">
        <x:f>PROPER(TRIM('Raw Sales'!N463))</x:f>
        <x:v>Ava Mitchell</x:v>
      </x:c>
      <x:c r="AC463" s="85" t="n">
        <x:f>'Raw Sales'!O463</x:f>
        <x:v>45467</x:v>
      </x:c>
      <x:c r="AD463" s="84" t="n">
        <x:f>AC463-B463</x:f>
        <x:v>4</x:v>
      </x:c>
      <x:c r="AE463" s="84" t="str">
        <x:f>IF(COUNTIF($A$5:A463,A463)&gt;1,"Duplicate","Keep")</x:f>
        <x:v>Keep</x:v>
      </x:c>
      <x:c r="AF463" s="84" t="str">
        <x:f>IF(OR(R463&lt;=0,AC463&lt;B463,H463="Unknown",M463="Unknown Product"),"Review","Valid")</x:f>
        <x:v>Valid</x:v>
      </x:c>
      <x:c r="AG463" s="84" t="n">
        <x:f>IF(AND(AE463="Keep",AF463="Valid"),1,0)</x:f>
        <x:v>1</x:v>
      </x:c>
      <x:c r="AH463" s="84" t="n">
        <x:f>IF(AND(AG463=1,OR('Dashboard'!$B$4="All",I463='Dashboard'!$B$4),OR('Dashboard'!$E$4="All",N463='Dashboard'!$E$4),OR('Dashboard'!$H$4="All",K463='Dashboard'!$H$4),OR('Dashboard'!$K$4="All",C463='Dashboard'!$K$4)),1,0)</x:f>
        <x:v>1</x:v>
      </x:c>
      <x:c r="AI463" s="84" t="n">
        <x:f>IF(AND(AG463=1,OR('Dashboard'!$B$4="All",I463='Dashboard'!$B$4),OR('Dashboard'!$E$4="All",N463='Dashboard'!$E$4),OR('Dashboard'!$H$4="All",K463='Dashboard'!$H$4)),1,0)</x:f>
        <x:v>1</x:v>
      </x:c>
    </x:row>
    <x:row r="464">
      <x:c r="A464" s="84" t="str">
        <x:f>'Raw Sales'!A464</x:f>
        <x:v>ORD-2024-00299</x:v>
      </x:c>
      <x:c r="B464" s="85" t="n">
        <x:f>'Raw Sales'!B464</x:f>
        <x:v>45464</x:v>
      </x:c>
      <x:c r="C464" s="84" t="n">
        <x:f>YEAR(B464)</x:f>
        <x:v>2024</x:v>
      </x:c>
      <x:c r="D464" s="91" t="n">
        <x:f>DATE(YEAR(B464),MONTH(B464),1)</x:f>
        <x:v>45444</x:v>
      </x:c>
      <x:c r="E464" s="84" t="str">
        <x:f>TEXT(B464,"mmm")</x:f>
        <x:v>Jun</x:v>
      </x:c>
      <x:c r="F464" s="84" t="str">
        <x:f>'Raw Sales'!C464</x:f>
        <x:v>CUST-0606</x:v>
      </x:c>
      <x:c r="G464" s="84" t="str">
        <x:f>PROPER(TRIM('Raw Sales'!D464))</x:f>
        <x:v>Isaac Taylor</x:v>
      </x:c>
      <x:c r="H464" s="84" t="str">
        <x:f>IF(TRIM('Raw Sales'!E464)="","Unknown",PROPER(TRIM('Raw Sales'!E464)))</x:f>
        <x:v>Corporate</x:v>
      </x:c>
      <x:c r="I464" s="84" t="str">
        <x:f>PROPER(TRIM('Raw Sales'!F464))</x:f>
        <x:v>Southeast</x:v>
      </x:c>
      <x:c r="J464" s="84" t="str">
        <x:f>PROPER(TRIM('Raw Sales'!G464))</x:f>
        <x:v>Charlotte</x:v>
      </x:c>
      <x:c r="K464" s="84" t="str">
        <x:f>PROPER(TRIM('Raw Sales'!H464))</x:f>
        <x:v>Marketplace</x:v>
      </x:c>
      <x:c r="L464" s="84" t="str">
        <x:f>'Raw Sales'!I464</x:f>
        <x:v>OFFC-004</x:v>
      </x:c>
      <x:c r="M464" s="84" t="str">
        <x:f>IFERROR(VLOOKUP(L464,'Reference Data'!$A$5:$F$40,2,FALSE),"Unknown Product")</x:f>
        <x:v>Premium Notebook Pack</x:v>
      </x:c>
      <x:c r="N464" s="84" t="str">
        <x:f>IFERROR(VLOOKUP(L464,'Reference Data'!$A$5:$F$40,3,FALSE),"Unknown")</x:f>
        <x:v>Office</x:v>
      </x:c>
      <x:c r="O464" s="84" t="str">
        <x:f>IFERROR(VLOOKUP(L464,'Reference Data'!$A$5:$F$40,4,FALSE),"Unknown")</x:f>
        <x:v>Stationery</x:v>
      </x:c>
      <x:c r="P464" s="92" t="n">
        <x:f>IFERROR(VLOOKUP(L464,'Reference Data'!$A$5:$F$40,5,FALSE),0)</x:f>
        <x:v>18</x:v>
      </x:c>
      <x:c r="Q464" s="92" t="n">
        <x:f>IFERROR(VLOOKUP(L464,'Reference Data'!$A$5:$F$40,6,FALSE),0)</x:f>
        <x:v>6.5</x:v>
      </x:c>
      <x:c r="R464" s="84" t="n">
        <x:f>'Raw Sales'!J464</x:f>
        <x:v>3</x:v>
      </x:c>
      <x:c r="S464" s="87" t="n">
        <x:f>'Raw Sales'!K464</x:f>
        <x:v>0.15</x:v>
      </x:c>
      <x:c r="T464" s="93" t="n">
        <x:f>P464*R464</x:f>
        <x:v>54</x:v>
      </x:c>
      <x:c r="U464" s="93" t="n">
        <x:f>T464*S464</x:f>
        <x:v>8.1</x:v>
      </x:c>
      <x:c r="V464" s="93" t="str">
        <x:f>PROPER(TRIM('Raw Sales'!L464))</x:f>
        <x:v>Completed</x:v>
      </x:c>
      <x:c r="W464" s="93" t="n">
        <x:f>IF(V464="Returned",0,T464-U464)</x:f>
        <x:v>45.9</x:v>
      </x:c>
      <x:c r="X464" s="93" t="n">
        <x:f>IF(V464="Returned",Q464*R464*10%,Q464*R464)</x:f>
        <x:v>19.5</x:v>
      </x:c>
      <x:c r="Y464" s="93" t="n">
        <x:f>W464-X464</x:f>
        <x:v>26.4</x:v>
      </x:c>
      <x:c r="Z464" s="94" t="n">
        <x:f>IFERROR(Y464/W464,0)</x:f>
        <x:v>0.5751633986928104</x:v>
      </x:c>
      <x:c r="AA464" s="84" t="str">
        <x:f>PROPER(TRIM('Raw Sales'!M464))</x:f>
        <x:v>Credit Card</x:v>
      </x:c>
      <x:c r="AB464" s="84" t="str">
        <x:f>PROPER(TRIM('Raw Sales'!N464))</x:f>
        <x:v>Liam Parker</x:v>
      </x:c>
      <x:c r="AC464" s="85" t="n">
        <x:f>'Raw Sales'!O464</x:f>
        <x:v>45468</x:v>
      </x:c>
      <x:c r="AD464" s="84" t="n">
        <x:f>AC464-B464</x:f>
        <x:v>4</x:v>
      </x:c>
      <x:c r="AE464" s="84" t="str">
        <x:f>IF(COUNTIF($A$5:A464,A464)&gt;1,"Duplicate","Keep")</x:f>
        <x:v>Keep</x:v>
      </x:c>
      <x:c r="AF464" s="84" t="str">
        <x:f>IF(OR(R464&lt;=0,AC464&lt;B464,H464="Unknown",M464="Unknown Product"),"Review","Valid")</x:f>
        <x:v>Valid</x:v>
      </x:c>
      <x:c r="AG464" s="84" t="n">
        <x:f>IF(AND(AE464="Keep",AF464="Valid"),1,0)</x:f>
        <x:v>1</x:v>
      </x:c>
      <x:c r="AH464" s="84" t="n">
        <x:f>IF(AND(AG464=1,OR('Dashboard'!$B$4="All",I464='Dashboard'!$B$4),OR('Dashboard'!$E$4="All",N464='Dashboard'!$E$4),OR('Dashboard'!$H$4="All",K464='Dashboard'!$H$4),OR('Dashboard'!$K$4="All",C464='Dashboard'!$K$4)),1,0)</x:f>
        <x:v>1</x:v>
      </x:c>
      <x:c r="AI464" s="84" t="n">
        <x:f>IF(AND(AG464=1,OR('Dashboard'!$B$4="All",I464='Dashboard'!$B$4),OR('Dashboard'!$E$4="All",N464='Dashboard'!$E$4),OR('Dashboard'!$H$4="All",K464='Dashboard'!$H$4)),1,0)</x:f>
        <x:v>1</x:v>
      </x:c>
    </x:row>
    <x:row r="465">
      <x:c r="A465" s="84" t="str">
        <x:f>'Raw Sales'!A465</x:f>
        <x:v>ORD-2024-00517</x:v>
      </x:c>
      <x:c r="B465" s="85" t="n">
        <x:f>'Raw Sales'!B465</x:f>
        <x:v>45464</x:v>
      </x:c>
      <x:c r="C465" s="84" t="n">
        <x:f>YEAR(B465)</x:f>
        <x:v>2024</x:v>
      </x:c>
      <x:c r="D465" s="91" t="n">
        <x:f>DATE(YEAR(B465),MONTH(B465),1)</x:f>
        <x:v>45444</x:v>
      </x:c>
      <x:c r="E465" s="84" t="str">
        <x:f>TEXT(B465,"mmm")</x:f>
        <x:v>Jun</x:v>
      </x:c>
      <x:c r="F465" s="84" t="str">
        <x:f>'Raw Sales'!C465</x:f>
        <x:v>CUST-0201</x:v>
      </x:c>
      <x:c r="G465" s="84" t="str">
        <x:f>PROPER(TRIM('Raw Sales'!D465))</x:f>
        <x:v>Chloe Evans</x:v>
      </x:c>
      <x:c r="H465" s="84" t="str">
        <x:f>IF(TRIM('Raw Sales'!E465)="","Unknown",PROPER(TRIM('Raw Sales'!E465)))</x:f>
        <x:v>Corporate</x:v>
      </x:c>
      <x:c r="I465" s="84" t="str">
        <x:f>PROPER(TRIM('Raw Sales'!F465))</x:f>
        <x:v>Southeast</x:v>
      </x:c>
      <x:c r="J465" s="84" t="str">
        <x:f>PROPER(TRIM('Raw Sales'!G465))</x:f>
        <x:v>Atlanta</x:v>
      </x:c>
      <x:c r="K465" s="84" t="str">
        <x:f>PROPER(TRIM('Raw Sales'!H465))</x:f>
        <x:v>Retail Store</x:v>
      </x:c>
      <x:c r="L465" s="84" t="str">
        <x:f>'Raw Sales'!I465</x:f>
        <x:v>HOME-006</x:v>
      </x:c>
      <x:c r="M465" s="84" t="str">
        <x:f>IFERROR(VLOOKUP(L465,'Reference Data'!$A$5:$F$40,2,FALSE),"Unknown Product")</x:f>
        <x:v>Food Storage Set</x:v>
      </x:c>
      <x:c r="N465" s="84" t="str">
        <x:f>IFERROR(VLOOKUP(L465,'Reference Data'!$A$5:$F$40,3,FALSE),"Unknown")</x:f>
        <x:v>Home &amp; Kitchen</x:v>
      </x:c>
      <x:c r="O465" s="84" t="str">
        <x:f>IFERROR(VLOOKUP(L465,'Reference Data'!$A$5:$F$40,4,FALSE),"Unknown")</x:f>
        <x:v>Kitchenware</x:v>
      </x:c>
      <x:c r="P465" s="92" t="n">
        <x:f>IFERROR(VLOOKUP(L465,'Reference Data'!$A$5:$F$40,5,FALSE),0)</x:f>
        <x:v>34</x:v>
      </x:c>
      <x:c r="Q465" s="92" t="n">
        <x:f>IFERROR(VLOOKUP(L465,'Reference Data'!$A$5:$F$40,6,FALSE),0)</x:f>
        <x:v>15</x:v>
      </x:c>
      <x:c r="R465" s="84" t="n">
        <x:f>'Raw Sales'!J465</x:f>
        <x:v>2</x:v>
      </x:c>
      <x:c r="S465" s="87" t="n">
        <x:f>'Raw Sales'!K465</x:f>
        <x:v>0.1</x:v>
      </x:c>
      <x:c r="T465" s="93" t="n">
        <x:f>P465*R465</x:f>
        <x:v>68</x:v>
      </x:c>
      <x:c r="U465" s="93" t="n">
        <x:f>T465*S465</x:f>
        <x:v>6.800000000000001</x:v>
      </x:c>
      <x:c r="V465" s="93" t="str">
        <x:f>PROPER(TRIM('Raw Sales'!L465))</x:f>
        <x:v>Completed</x:v>
      </x:c>
      <x:c r="W465" s="93" t="n">
        <x:f>IF(V465="Returned",0,T465-U465)</x:f>
        <x:v>61.2</x:v>
      </x:c>
      <x:c r="X465" s="93" t="n">
        <x:f>IF(V465="Returned",Q465*R465*10%,Q465*R465)</x:f>
        <x:v>30</x:v>
      </x:c>
      <x:c r="Y465" s="93" t="n">
        <x:f>W465-X465</x:f>
        <x:v>31.200000000000003</x:v>
      </x:c>
      <x:c r="Z465" s="94" t="n">
        <x:f>IFERROR(Y465/W465,0)</x:f>
        <x:v>0.5098039215686275</x:v>
      </x:c>
      <x:c r="AA465" s="84" t="str">
        <x:f>PROPER(TRIM('Raw Sales'!M465))</x:f>
        <x:v>Debit Card</x:v>
      </x:c>
      <x:c r="AB465" s="84" t="str">
        <x:f>PROPER(TRIM('Raw Sales'!N465))</x:f>
        <x:v>Liam Parker</x:v>
      </x:c>
      <x:c r="AC465" s="85" t="n">
        <x:f>'Raw Sales'!O465</x:f>
        <x:v>45464</x:v>
      </x:c>
      <x:c r="AD465" s="84" t="n">
        <x:f>AC465-B465</x:f>
        <x:v>0</x:v>
      </x:c>
      <x:c r="AE465" s="84" t="str">
        <x:f>IF(COUNTIF($A$5:A465,A465)&gt;1,"Duplicate","Keep")</x:f>
        <x:v>Keep</x:v>
      </x:c>
      <x:c r="AF465" s="84" t="str">
        <x:f>IF(OR(R465&lt;=0,AC465&lt;B465,H465="Unknown",M465="Unknown Product"),"Review","Valid")</x:f>
        <x:v>Valid</x:v>
      </x:c>
      <x:c r="AG465" s="84" t="n">
        <x:f>IF(AND(AE465="Keep",AF465="Valid"),1,0)</x:f>
        <x:v>1</x:v>
      </x:c>
      <x:c r="AH465" s="84" t="n">
        <x:f>IF(AND(AG465=1,OR('Dashboard'!$B$4="All",I465='Dashboard'!$B$4),OR('Dashboard'!$E$4="All",N465='Dashboard'!$E$4),OR('Dashboard'!$H$4="All",K465='Dashboard'!$H$4),OR('Dashboard'!$K$4="All",C465='Dashboard'!$K$4)),1,0)</x:f>
        <x:v>1</x:v>
      </x:c>
      <x:c r="AI465" s="84" t="n">
        <x:f>IF(AND(AG465=1,OR('Dashboard'!$B$4="All",I465='Dashboard'!$B$4),OR('Dashboard'!$E$4="All",N465='Dashboard'!$E$4),OR('Dashboard'!$H$4="All",K465='Dashboard'!$H$4)),1,0)</x:f>
        <x:v>1</x:v>
      </x:c>
    </x:row>
    <x:row r="466">
      <x:c r="A466" s="84" t="str">
        <x:f>'Raw Sales'!A466</x:f>
        <x:v>ORD-2024-00654</x:v>
      </x:c>
      <x:c r="B466" s="85" t="n">
        <x:f>'Raw Sales'!B466</x:f>
        <x:v>45464</x:v>
      </x:c>
      <x:c r="C466" s="84" t="n">
        <x:f>YEAR(B466)</x:f>
        <x:v>2024</x:v>
      </x:c>
      <x:c r="D466" s="91" t="n">
        <x:f>DATE(YEAR(B466),MONTH(B466),1)</x:f>
        <x:v>45444</x:v>
      </x:c>
      <x:c r="E466" s="84" t="str">
        <x:f>TEXT(B466,"mmm")</x:f>
        <x:v>Jun</x:v>
      </x:c>
      <x:c r="F466" s="84" t="str">
        <x:f>'Raw Sales'!C466</x:f>
        <x:v>CUST-0082</x:v>
      </x:c>
      <x:c r="G466" s="84" t="str">
        <x:f>PROPER(TRIM('Raw Sales'!D466))</x:f>
        <x:v>Isaac Patel</x:v>
      </x:c>
      <x:c r="H466" s="84" t="str">
        <x:f>IF(TRIM('Raw Sales'!E466)="","Unknown",PROPER(TRIM('Raw Sales'!E466)))</x:f>
        <x:v>Small Business</x:v>
      </x:c>
      <x:c r="I466" s="84" t="str">
        <x:f>PROPER(TRIM('Raw Sales'!F466))</x:f>
        <x:v>West</x:v>
      </x:c>
      <x:c r="J466" s="84" t="str">
        <x:f>PROPER(TRIM('Raw Sales'!G466))</x:f>
        <x:v>Denver</x:v>
      </x:c>
      <x:c r="K466" s="84" t="str">
        <x:f>PROPER(TRIM('Raw Sales'!H466))</x:f>
        <x:v>Online</x:v>
      </x:c>
      <x:c r="L466" s="84" t="str">
        <x:f>'Raw Sales'!I466</x:f>
        <x:v>ELEC-003</x:v>
      </x:c>
      <x:c r="M466" s="84" t="str">
        <x:f>IFERROR(VLOOKUP(L466,'Reference Data'!$A$5:$F$40,2,FALSE),"Unknown Product")</x:f>
        <x:v>Bluetooth Speaker</x:v>
      </x:c>
      <x:c r="N466" s="84" t="str">
        <x:f>IFERROR(VLOOKUP(L466,'Reference Data'!$A$5:$F$40,3,FALSE),"Unknown")</x:f>
        <x:v>Electronics</x:v>
      </x:c>
      <x:c r="O466" s="84" t="str">
        <x:f>IFERROR(VLOOKUP(L466,'Reference Data'!$A$5:$F$40,4,FALSE),"Unknown")</x:f>
        <x:v>Audio</x:v>
      </x:c>
      <x:c r="P466" s="92" t="n">
        <x:f>IFERROR(VLOOKUP(L466,'Reference Data'!$A$5:$F$40,5,FALSE),0)</x:f>
        <x:v>89</x:v>
      </x:c>
      <x:c r="Q466" s="92" t="n">
        <x:f>IFERROR(VLOOKUP(L466,'Reference Data'!$A$5:$F$40,6,FALSE),0)</x:f>
        <x:v>44</x:v>
      </x:c>
      <x:c r="R466" s="84" t="n">
        <x:f>'Raw Sales'!J466</x:f>
        <x:v>2</x:v>
      </x:c>
      <x:c r="S466" s="87" t="n">
        <x:f>'Raw Sales'!K466</x:f>
        <x:v>0.05</x:v>
      </x:c>
      <x:c r="T466" s="93" t="n">
        <x:f>P466*R466</x:f>
        <x:v>178</x:v>
      </x:c>
      <x:c r="U466" s="93" t="n">
        <x:f>T466*S466</x:f>
        <x:v>8.9</x:v>
      </x:c>
      <x:c r="V466" s="93" t="str">
        <x:f>PROPER(TRIM('Raw Sales'!L466))</x:f>
        <x:v>Completed</x:v>
      </x:c>
      <x:c r="W466" s="93" t="n">
        <x:f>IF(V466="Returned",0,T466-U466)</x:f>
        <x:v>169.1</x:v>
      </x:c>
      <x:c r="X466" s="93" t="n">
        <x:f>IF(V466="Returned",Q466*R466*10%,Q466*R466)</x:f>
        <x:v>88</x:v>
      </x:c>
      <x:c r="Y466" s="93" t="n">
        <x:f>W466-X466</x:f>
        <x:v>81.1</x:v>
      </x:c>
      <x:c r="Z466" s="94" t="n">
        <x:f>IFERROR(Y466/W466,0)</x:f>
        <x:v>0.47959787108219987</x:v>
      </x:c>
      <x:c r="AA466" s="84" t="str">
        <x:f>PROPER(TRIM('Raw Sales'!M466))</x:f>
        <x:v>Debit Card</x:v>
      </x:c>
      <x:c r="AB466" s="84" t="str">
        <x:f>PROPER(TRIM('Raw Sales'!N466))</x:f>
        <x:v>Leo Martinez</x:v>
      </x:c>
      <x:c r="AC466" s="85" t="n">
        <x:f>'Raw Sales'!O466</x:f>
        <x:v>45467</x:v>
      </x:c>
      <x:c r="AD466" s="84" t="n">
        <x:f>AC466-B466</x:f>
        <x:v>3</x:v>
      </x:c>
      <x:c r="AE466" s="84" t="str">
        <x:f>IF(COUNTIF($A$5:A466,A466)&gt;1,"Duplicate","Keep")</x:f>
        <x:v>Keep</x:v>
      </x:c>
      <x:c r="AF466" s="84" t="str">
        <x:f>IF(OR(R466&lt;=0,AC466&lt;B466,H466="Unknown",M466="Unknown Product"),"Review","Valid")</x:f>
        <x:v>Valid</x:v>
      </x:c>
      <x:c r="AG466" s="84" t="n">
        <x:f>IF(AND(AE466="Keep",AF466="Valid"),1,0)</x:f>
        <x:v>1</x:v>
      </x:c>
      <x:c r="AH466" s="84" t="n">
        <x:f>IF(AND(AG466=1,OR('Dashboard'!$B$4="All",I466='Dashboard'!$B$4),OR('Dashboard'!$E$4="All",N466='Dashboard'!$E$4),OR('Dashboard'!$H$4="All",K466='Dashboard'!$H$4),OR('Dashboard'!$K$4="All",C466='Dashboard'!$K$4)),1,0)</x:f>
        <x:v>1</x:v>
      </x:c>
      <x:c r="AI466" s="84" t="n">
        <x:f>IF(AND(AG466=1,OR('Dashboard'!$B$4="All",I466='Dashboard'!$B$4),OR('Dashboard'!$E$4="All",N466='Dashboard'!$E$4),OR('Dashboard'!$H$4="All",K466='Dashboard'!$H$4)),1,0)</x:f>
        <x:v>1</x:v>
      </x:c>
    </x:row>
    <x:row r="467">
      <x:c r="A467" s="84" t="str">
        <x:f>'Raw Sales'!A467</x:f>
        <x:v>ORD-2024-00205</x:v>
      </x:c>
      <x:c r="B467" s="85" t="n">
        <x:f>'Raw Sales'!B467</x:f>
        <x:v>45465</x:v>
      </x:c>
      <x:c r="C467" s="84" t="n">
        <x:f>YEAR(B467)</x:f>
        <x:v>2024</x:v>
      </x:c>
      <x:c r="D467" s="91" t="n">
        <x:f>DATE(YEAR(B467),MONTH(B467),1)</x:f>
        <x:v>45444</x:v>
      </x:c>
      <x:c r="E467" s="84" t="str">
        <x:f>TEXT(B467,"mmm")</x:f>
        <x:v>Jun</x:v>
      </x:c>
      <x:c r="F467" s="84" t="str">
        <x:f>'Raw Sales'!C467</x:f>
        <x:v>CUST-0496</x:v>
      </x:c>
      <x:c r="G467" s="84" t="str">
        <x:f>PROPER(TRIM('Raw Sales'!D467))</x:f>
        <x:v>Elias Khan</x:v>
      </x:c>
      <x:c r="H467" s="84" t="str">
        <x:f>IF(TRIM('Raw Sales'!E467)="","Unknown",PROPER(TRIM('Raw Sales'!E467)))</x:f>
        <x:v>Consumer</x:v>
      </x:c>
      <x:c r="I467" s="84" t="str">
        <x:f>PROPER(TRIM('Raw Sales'!F467))</x:f>
        <x:v>West</x:v>
      </x:c>
      <x:c r="J467" s="84" t="str">
        <x:f>PROPER(TRIM('Raw Sales'!G467))</x:f>
        <x:v>Phoenix</x:v>
      </x:c>
      <x:c r="K467" s="84" t="str">
        <x:f>PROPER(TRIM('Raw Sales'!H467))</x:f>
        <x:v>Online</x:v>
      </x:c>
      <x:c r="L467" s="84" t="str">
        <x:f>'Raw Sales'!I467</x:f>
        <x:v>ELEC-005</x:v>
      </x:c>
      <x:c r="M467" s="84" t="str">
        <x:f>IFERROR(VLOOKUP(L467,'Reference Data'!$A$5:$F$40,2,FALSE),"Unknown Product")</x:f>
        <x:v>HD Webcam</x:v>
      </x:c>
      <x:c r="N467" s="84" t="str">
        <x:f>IFERROR(VLOOKUP(L467,'Reference Data'!$A$5:$F$40,3,FALSE),"Unknown")</x:f>
        <x:v>Electronics</x:v>
      </x:c>
      <x:c r="O467" s="84" t="str">
        <x:f>IFERROR(VLOOKUP(L467,'Reference Data'!$A$5:$F$40,4,FALSE),"Unknown")</x:f>
        <x:v>Computer Accessories</x:v>
      </x:c>
      <x:c r="P467" s="92" t="n">
        <x:f>IFERROR(VLOOKUP(L467,'Reference Data'!$A$5:$F$40,5,FALSE),0)</x:f>
        <x:v>79</x:v>
      </x:c>
      <x:c r="Q467" s="92" t="n">
        <x:f>IFERROR(VLOOKUP(L467,'Reference Data'!$A$5:$F$40,6,FALSE),0)</x:f>
        <x:v>37</x:v>
      </x:c>
      <x:c r="R467" s="84" t="n">
        <x:f>'Raw Sales'!J467</x:f>
        <x:v>1</x:v>
      </x:c>
      <x:c r="S467" s="87" t="n">
        <x:f>'Raw Sales'!K467</x:f>
        <x:v>0.05</x:v>
      </x:c>
      <x:c r="T467" s="93" t="n">
        <x:f>P467*R467</x:f>
        <x:v>79</x:v>
      </x:c>
      <x:c r="U467" s="93" t="n">
        <x:f>T467*S467</x:f>
        <x:v>3.95</x:v>
      </x:c>
      <x:c r="V467" s="93" t="str">
        <x:f>PROPER(TRIM('Raw Sales'!L467))</x:f>
        <x:v>Completed</x:v>
      </x:c>
      <x:c r="W467" s="93" t="n">
        <x:f>IF(V467="Returned",0,T467-U467)</x:f>
        <x:v>75.05</x:v>
      </x:c>
      <x:c r="X467" s="93" t="n">
        <x:f>IF(V467="Returned",Q467*R467*10%,Q467*R467)</x:f>
        <x:v>37</x:v>
      </x:c>
      <x:c r="Y467" s="93" t="n">
        <x:f>W467-X467</x:f>
        <x:v>38.05</x:v>
      </x:c>
      <x:c r="Z467" s="94" t="n">
        <x:f>IFERROR(Y467/W467,0)</x:f>
        <x:v>0.5069953364423717</x:v>
      </x:c>
      <x:c r="AA467" s="84" t="str">
        <x:f>PROPER(TRIM('Raw Sales'!M467))</x:f>
        <x:v>Credit Card</x:v>
      </x:c>
      <x:c r="AB467" s="84" t="str">
        <x:f>PROPER(TRIM('Raw Sales'!N467))</x:f>
        <x:v>Mia Chen</x:v>
      </x:c>
      <x:c r="AC467" s="85" t="n">
        <x:f>'Raw Sales'!O467</x:f>
        <x:v>45470</x:v>
      </x:c>
      <x:c r="AD467" s="84" t="n">
        <x:f>AC467-B467</x:f>
        <x:v>5</x:v>
      </x:c>
      <x:c r="AE467" s="84" t="str">
        <x:f>IF(COUNTIF($A$5:A467,A467)&gt;1,"Duplicate","Keep")</x:f>
        <x:v>Keep</x:v>
      </x:c>
      <x:c r="AF467" s="84" t="str">
        <x:f>IF(OR(R467&lt;=0,AC467&lt;B467,H467="Unknown",M467="Unknown Product"),"Review","Valid")</x:f>
        <x:v>Valid</x:v>
      </x:c>
      <x:c r="AG467" s="84" t="n">
        <x:f>IF(AND(AE467="Keep",AF467="Valid"),1,0)</x:f>
        <x:v>1</x:v>
      </x:c>
      <x:c r="AH467" s="84" t="n">
        <x:f>IF(AND(AG467=1,OR('Dashboard'!$B$4="All",I467='Dashboard'!$B$4),OR('Dashboard'!$E$4="All",N467='Dashboard'!$E$4),OR('Dashboard'!$H$4="All",K467='Dashboard'!$H$4),OR('Dashboard'!$K$4="All",C467='Dashboard'!$K$4)),1,0)</x:f>
        <x:v>1</x:v>
      </x:c>
      <x:c r="AI467" s="84" t="n">
        <x:f>IF(AND(AG467=1,OR('Dashboard'!$B$4="All",I467='Dashboard'!$B$4),OR('Dashboard'!$E$4="All",N467='Dashboard'!$E$4),OR('Dashboard'!$H$4="All",K467='Dashboard'!$H$4)),1,0)</x:f>
        <x:v>1</x:v>
      </x:c>
    </x:row>
    <x:row r="468">
      <x:c r="A468" s="84" t="str">
        <x:f>'Raw Sales'!A468</x:f>
        <x:v>ORD-2024-01650</x:v>
      </x:c>
      <x:c r="B468" s="85" t="n">
        <x:f>'Raw Sales'!B468</x:f>
        <x:v>45465</x:v>
      </x:c>
      <x:c r="C468" s="84" t="n">
        <x:f>YEAR(B468)</x:f>
        <x:v>2024</x:v>
      </x:c>
      <x:c r="D468" s="91" t="n">
        <x:f>DATE(YEAR(B468),MONTH(B468),1)</x:f>
        <x:v>45444</x:v>
      </x:c>
      <x:c r="E468" s="84" t="str">
        <x:f>TEXT(B468,"mmm")</x:f>
        <x:v>Jun</x:v>
      </x:c>
      <x:c r="F468" s="84" t="str">
        <x:f>'Raw Sales'!C468</x:f>
        <x:v>CUST-0017</x:v>
      </x:c>
      <x:c r="G468" s="84" t="str">
        <x:f>PROPER(TRIM('Raw Sales'!D468))</x:f>
        <x:v>Victoria Evans</x:v>
      </x:c>
      <x:c r="H468" s="84" t="str">
        <x:f>IF(TRIM('Raw Sales'!E468)="","Unknown",PROPER(TRIM('Raw Sales'!E468)))</x:f>
        <x:v>Corporate</x:v>
      </x:c>
      <x:c r="I468" s="84" t="str">
        <x:f>PROPER(TRIM('Raw Sales'!F468))</x:f>
        <x:v>Northeast</x:v>
      </x:c>
      <x:c r="J468" s="84" t="str">
        <x:f>PROPER(TRIM('Raw Sales'!G468))</x:f>
        <x:v>Newark</x:v>
      </x:c>
      <x:c r="K468" s="84" t="str">
        <x:f>PROPER(TRIM('Raw Sales'!H468))</x:f>
        <x:v>Retail Store</x:v>
      </x:c>
      <x:c r="L468" s="84" t="str">
        <x:f>'Raw Sales'!I468</x:f>
        <x:v>CARE-002</x:v>
      </x:c>
      <x:c r="M468" s="84" t="str">
        <x:f>IFERROR(VLOOKUP(L468,'Reference Data'!$A$5:$F$40,2,FALSE),"Unknown Product")</x:f>
        <x:v>Rechargeable Trimmer</x:v>
      </x:c>
      <x:c r="N468" s="84" t="str">
        <x:f>IFERROR(VLOOKUP(L468,'Reference Data'!$A$5:$F$40,3,FALSE),"Unknown")</x:f>
        <x:v>Personal Care</x:v>
      </x:c>
      <x:c r="O468" s="84" t="str">
        <x:f>IFERROR(VLOOKUP(L468,'Reference Data'!$A$5:$F$40,4,FALSE),"Unknown")</x:f>
        <x:v>Grooming</x:v>
      </x:c>
      <x:c r="P468" s="92" t="n">
        <x:f>IFERROR(VLOOKUP(L468,'Reference Data'!$A$5:$F$40,5,FALSE),0)</x:f>
        <x:v>45</x:v>
      </x:c>
      <x:c r="Q468" s="92" t="n">
        <x:f>IFERROR(VLOOKUP(L468,'Reference Data'!$A$5:$F$40,6,FALSE),0)</x:f>
        <x:v>19</x:v>
      </x:c>
      <x:c r="R468" s="84" t="n">
        <x:f>'Raw Sales'!J468</x:f>
        <x:v>3</x:v>
      </x:c>
      <x:c r="S468" s="87" t="n">
        <x:f>'Raw Sales'!K468</x:f>
        <x:v>0</x:v>
      </x:c>
      <x:c r="T468" s="93" t="n">
        <x:f>P468*R468</x:f>
        <x:v>135</x:v>
      </x:c>
      <x:c r="U468" s="93" t="n">
        <x:f>T468*S468</x:f>
        <x:v>0</x:v>
      </x:c>
      <x:c r="V468" s="93" t="str">
        <x:f>PROPER(TRIM('Raw Sales'!L468))</x:f>
        <x:v>Completed</x:v>
      </x:c>
      <x:c r="W468" s="93" t="n">
        <x:f>IF(V468="Returned",0,T468-U468)</x:f>
        <x:v>135</x:v>
      </x:c>
      <x:c r="X468" s="93" t="n">
        <x:f>IF(V468="Returned",Q468*R468*10%,Q468*R468)</x:f>
        <x:v>57</x:v>
      </x:c>
      <x:c r="Y468" s="93" t="n">
        <x:f>W468-X468</x:f>
        <x:v>78</x:v>
      </x:c>
      <x:c r="Z468" s="94" t="n">
        <x:f>IFERROR(Y468/W468,0)</x:f>
        <x:v>0.5777777777777777</x:v>
      </x:c>
      <x:c r="AA468" s="84" t="str">
        <x:f>PROPER(TRIM('Raw Sales'!M468))</x:f>
        <x:v>Mobile Wallet</x:v>
      </x:c>
      <x:c r="AB468" s="84" t="str">
        <x:f>PROPER(TRIM('Raw Sales'!N468))</x:f>
        <x:v>Maya Brooks</x:v>
      </x:c>
      <x:c r="AC468" s="85" t="n">
        <x:f>'Raw Sales'!O468</x:f>
        <x:v>45465</x:v>
      </x:c>
      <x:c r="AD468" s="84" t="n">
        <x:f>AC468-B468</x:f>
        <x:v>0</x:v>
      </x:c>
      <x:c r="AE468" s="84" t="str">
        <x:f>IF(COUNTIF($A$5:A468,A468)&gt;1,"Duplicate","Keep")</x:f>
        <x:v>Keep</x:v>
      </x:c>
      <x:c r="AF468" s="84" t="str">
        <x:f>IF(OR(R468&lt;=0,AC468&lt;B468,H468="Unknown",M468="Unknown Product"),"Review","Valid")</x:f>
        <x:v>Valid</x:v>
      </x:c>
      <x:c r="AG468" s="84" t="n">
        <x:f>IF(AND(AE468="Keep",AF468="Valid"),1,0)</x:f>
        <x:v>1</x:v>
      </x:c>
      <x:c r="AH468" s="84" t="n">
        <x:f>IF(AND(AG468=1,OR('Dashboard'!$B$4="All",I468='Dashboard'!$B$4),OR('Dashboard'!$E$4="All",N468='Dashboard'!$E$4),OR('Dashboard'!$H$4="All",K468='Dashboard'!$H$4),OR('Dashboard'!$K$4="All",C468='Dashboard'!$K$4)),1,0)</x:f>
        <x:v>1</x:v>
      </x:c>
      <x:c r="AI468" s="84" t="n">
        <x:f>IF(AND(AG468=1,OR('Dashboard'!$B$4="All",I468='Dashboard'!$B$4),OR('Dashboard'!$E$4="All",N468='Dashboard'!$E$4),OR('Dashboard'!$H$4="All",K468='Dashboard'!$H$4)),1,0)</x:f>
        <x:v>1</x:v>
      </x:c>
    </x:row>
    <x:row r="469">
      <x:c r="A469" s="84" t="str">
        <x:f>'Raw Sales'!A469</x:f>
        <x:v>ORD-2024-02201</x:v>
      </x:c>
      <x:c r="B469" s="85" t="n">
        <x:f>'Raw Sales'!B469</x:f>
        <x:v>45465</x:v>
      </x:c>
      <x:c r="C469" s="84" t="n">
        <x:f>YEAR(B469)</x:f>
        <x:v>2024</x:v>
      </x:c>
      <x:c r="D469" s="91" t="n">
        <x:f>DATE(YEAR(B469),MONTH(B469),1)</x:f>
        <x:v>45444</x:v>
      </x:c>
      <x:c r="E469" s="84" t="str">
        <x:f>TEXT(B469,"mmm")</x:f>
        <x:v>Jun</x:v>
      </x:c>
      <x:c r="F469" s="84" t="str">
        <x:f>'Raw Sales'!C469</x:f>
        <x:v>CUST-0015</x:v>
      </x:c>
      <x:c r="G469" s="84" t="str">
        <x:f>PROPER(TRIM('Raw Sales'!D469))</x:f>
        <x:v>Elena Walker</x:v>
      </x:c>
      <x:c r="H469" s="84" t="str">
        <x:f>IF(TRIM('Raw Sales'!E469)="","Unknown",PROPER(TRIM('Raw Sales'!E469)))</x:f>
        <x:v>Consumer</x:v>
      </x:c>
      <x:c r="I469" s="84" t="str">
        <x:f>PROPER(TRIM('Raw Sales'!F469))</x:f>
        <x:v>West</x:v>
      </x:c>
      <x:c r="J469" s="84" t="str">
        <x:f>PROPER(TRIM('Raw Sales'!G469))</x:f>
        <x:v>Denver</x:v>
      </x:c>
      <x:c r="K469" s="84" t="str">
        <x:f>PROPER(TRIM('Raw Sales'!H469))</x:f>
        <x:v>Online</x:v>
      </x:c>
      <x:c r="L469" s="84" t="str">
        <x:f>'Raw Sales'!I469</x:f>
        <x:v>HOME-003</x:v>
      </x:c>
      <x:c r="M469" s="84" t="str">
        <x:f>IFERROR(VLOOKUP(L469,'Reference Data'!$A$5:$F$40,2,FALSE),"Unknown Product")</x:f>
        <x:v>Countertop Blender</x:v>
      </x:c>
      <x:c r="N469" s="84" t="str">
        <x:f>IFERROR(VLOOKUP(L469,'Reference Data'!$A$5:$F$40,3,FALSE),"Unknown")</x:f>
        <x:v>Home &amp; Kitchen</x:v>
      </x:c>
      <x:c r="O469" s="84" t="str">
        <x:f>IFERROR(VLOOKUP(L469,'Reference Data'!$A$5:$F$40,4,FALSE),"Unknown")</x:f>
        <x:v>Small Appliances</x:v>
      </x:c>
      <x:c r="P469" s="92" t="n">
        <x:f>IFERROR(VLOOKUP(L469,'Reference Data'!$A$5:$F$40,5,FALSE),0)</x:f>
        <x:v>89</x:v>
      </x:c>
      <x:c r="Q469" s="92" t="n">
        <x:f>IFERROR(VLOOKUP(L469,'Reference Data'!$A$5:$F$40,6,FALSE),0)</x:f>
        <x:v>46</x:v>
      </x:c>
      <x:c r="R469" s="84" t="n">
        <x:f>'Raw Sales'!J469</x:f>
        <x:v>2</x:v>
      </x:c>
      <x:c r="S469" s="87" t="n">
        <x:f>'Raw Sales'!K469</x:f>
        <x:v>0.1</x:v>
      </x:c>
      <x:c r="T469" s="93" t="n">
        <x:f>P469*R469</x:f>
        <x:v>178</x:v>
      </x:c>
      <x:c r="U469" s="93" t="n">
        <x:f>T469*S469</x:f>
        <x:v>17.8</x:v>
      </x:c>
      <x:c r="V469" s="93" t="str">
        <x:f>PROPER(TRIM('Raw Sales'!L469))</x:f>
        <x:v>Completed</x:v>
      </x:c>
      <x:c r="W469" s="93" t="n">
        <x:f>IF(V469="Returned",0,T469-U469)</x:f>
        <x:v>160.2</x:v>
      </x:c>
      <x:c r="X469" s="93" t="n">
        <x:f>IF(V469="Returned",Q469*R469*10%,Q469*R469)</x:f>
        <x:v>92</x:v>
      </x:c>
      <x:c r="Y469" s="93" t="n">
        <x:f>W469-X469</x:f>
        <x:v>68.19999999999999</x:v>
      </x:c>
      <x:c r="Z469" s="94" t="n">
        <x:f>IFERROR(Y469/W469,0)</x:f>
        <x:v>0.4257178526841448</x:v>
      </x:c>
      <x:c r="AA469" s="84" t="str">
        <x:f>PROPER(TRIM('Raw Sales'!M469))</x:f>
        <x:v>Paypal</x:v>
      </x:c>
      <x:c r="AB469" s="84" t="str">
        <x:f>PROPER(TRIM('Raw Sales'!N469))</x:f>
        <x:v>Leo Martinez</x:v>
      </x:c>
      <x:c r="AC469" s="85" t="n">
        <x:f>'Raw Sales'!O469</x:f>
        <x:v>45468</x:v>
      </x:c>
      <x:c r="AD469" s="84" t="n">
        <x:f>AC469-B469</x:f>
        <x:v>3</x:v>
      </x:c>
      <x:c r="AE469" s="84" t="str">
        <x:f>IF(COUNTIF($A$5:A469,A469)&gt;1,"Duplicate","Keep")</x:f>
        <x:v>Keep</x:v>
      </x:c>
      <x:c r="AF469" s="84" t="str">
        <x:f>IF(OR(R469&lt;=0,AC469&lt;B469,H469="Unknown",M469="Unknown Product"),"Review","Valid")</x:f>
        <x:v>Valid</x:v>
      </x:c>
      <x:c r="AG469" s="84" t="n">
        <x:f>IF(AND(AE469="Keep",AF469="Valid"),1,0)</x:f>
        <x:v>1</x:v>
      </x:c>
      <x:c r="AH469" s="84" t="n">
        <x:f>IF(AND(AG469=1,OR('Dashboard'!$B$4="All",I469='Dashboard'!$B$4),OR('Dashboard'!$E$4="All",N469='Dashboard'!$E$4),OR('Dashboard'!$H$4="All",K469='Dashboard'!$H$4),OR('Dashboard'!$K$4="All",C469='Dashboard'!$K$4)),1,0)</x:f>
        <x:v>1</x:v>
      </x:c>
      <x:c r="AI469" s="84" t="n">
        <x:f>IF(AND(AG469=1,OR('Dashboard'!$B$4="All",I469='Dashboard'!$B$4),OR('Dashboard'!$E$4="All",N469='Dashboard'!$E$4),OR('Dashboard'!$H$4="All",K469='Dashboard'!$H$4)),1,0)</x:f>
        <x:v>1</x:v>
      </x:c>
    </x:row>
    <x:row r="470">
      <x:c r="A470" s="84" t="str">
        <x:f>'Raw Sales'!A470</x:f>
        <x:v>ORD-2024-01906</x:v>
      </x:c>
      <x:c r="B470" s="85" t="n">
        <x:f>'Raw Sales'!B470</x:f>
        <x:v>45466</x:v>
      </x:c>
      <x:c r="C470" s="84" t="n">
        <x:f>YEAR(B470)</x:f>
        <x:v>2024</x:v>
      </x:c>
      <x:c r="D470" s="91" t="n">
        <x:f>DATE(YEAR(B470),MONTH(B470),1)</x:f>
        <x:v>45444</x:v>
      </x:c>
      <x:c r="E470" s="84" t="str">
        <x:f>TEXT(B470,"mmm")</x:f>
        <x:v>Jun</x:v>
      </x:c>
      <x:c r="F470" s="84" t="str">
        <x:f>'Raw Sales'!C470</x:f>
        <x:v>CUST-0189</x:v>
      </x:c>
      <x:c r="G470" s="84" t="str">
        <x:f>PROPER(TRIM('Raw Sales'!D470))</x:f>
        <x:v>Marcus Taylor</x:v>
      </x:c>
      <x:c r="H470" s="84" t="str">
        <x:f>IF(TRIM('Raw Sales'!E470)="","Unknown",PROPER(TRIM('Raw Sales'!E470)))</x:f>
        <x:v>Consumer</x:v>
      </x:c>
      <x:c r="I470" s="84" t="str">
        <x:f>PROPER(TRIM('Raw Sales'!F470))</x:f>
        <x:v>Midwest</x:v>
      </x:c>
      <x:c r="J470" s="84" t="str">
        <x:f>PROPER(TRIM('Raw Sales'!G470))</x:f>
        <x:v>Chicago</x:v>
      </x:c>
      <x:c r="K470" s="84" t="str">
        <x:f>PROPER(TRIM('Raw Sales'!H470))</x:f>
        <x:v>Marketplace</x:v>
      </x:c>
      <x:c r="L470" s="84" t="str">
        <x:f>'Raw Sales'!I470</x:f>
        <x:v>HOME-002</x:v>
      </x:c>
      <x:c r="M470" s="84" t="str">
        <x:f>IFERROR(VLOOKUP(L470,'Reference Data'!$A$5:$F$40,2,FALSE),"Unknown Product")</x:f>
        <x:v>Electric Kettle</x:v>
      </x:c>
      <x:c r="N470" s="84" t="str">
        <x:f>IFERROR(VLOOKUP(L470,'Reference Data'!$A$5:$F$40,3,FALSE),"Unknown")</x:f>
        <x:v>Home &amp; Kitchen</x:v>
      </x:c>
      <x:c r="O470" s="84" t="str">
        <x:f>IFERROR(VLOOKUP(L470,'Reference Data'!$A$5:$F$40,4,FALSE),"Unknown")</x:f>
        <x:v>Small Appliances</x:v>
      </x:c>
      <x:c r="P470" s="92" t="n">
        <x:f>IFERROR(VLOOKUP(L470,'Reference Data'!$A$5:$F$40,5,FALSE),0)</x:f>
        <x:v>49</x:v>
      </x:c>
      <x:c r="Q470" s="92" t="n">
        <x:f>IFERROR(VLOOKUP(L470,'Reference Data'!$A$5:$F$40,6,FALSE),0)</x:f>
        <x:v>23</x:v>
      </x:c>
      <x:c r="R470" s="84" t="n">
        <x:f>'Raw Sales'!J470</x:f>
        <x:v>3</x:v>
      </x:c>
      <x:c r="S470" s="87" t="n">
        <x:f>'Raw Sales'!K470</x:f>
        <x:v>0.15</x:v>
      </x:c>
      <x:c r="T470" s="93" t="n">
        <x:f>P470*R470</x:f>
        <x:v>147</x:v>
      </x:c>
      <x:c r="U470" s="93" t="n">
        <x:f>T470*S470</x:f>
        <x:v>22.05</x:v>
      </x:c>
      <x:c r="V470" s="93" t="str">
        <x:f>PROPER(TRIM('Raw Sales'!L470))</x:f>
        <x:v>Completed</x:v>
      </x:c>
      <x:c r="W470" s="93" t="n">
        <x:f>IF(V470="Returned",0,T470-U470)</x:f>
        <x:v>124.95</x:v>
      </x:c>
      <x:c r="X470" s="93" t="n">
        <x:f>IF(V470="Returned",Q470*R470*10%,Q470*R470)</x:f>
        <x:v>69</x:v>
      </x:c>
      <x:c r="Y470" s="93" t="n">
        <x:f>W470-X470</x:f>
        <x:v>55.95</x:v>
      </x:c>
      <x:c r="Z470" s="94" t="n">
        <x:f>IFERROR(Y470/W470,0)</x:f>
        <x:v>0.4477791116446579</x:v>
      </x:c>
      <x:c r="AA470" s="84" t="str">
        <x:f>PROPER(TRIM('Raw Sales'!M470))</x:f>
        <x:v>Mobile Wallet</x:v>
      </x:c>
      <x:c r="AB470" s="84" t="str">
        <x:f>PROPER(TRIM('Raw Sales'!N470))</x:f>
        <x:v>Zoe Turner</x:v>
      </x:c>
      <x:c r="AC470" s="85" t="n">
        <x:f>'Raw Sales'!O470</x:f>
        <x:v>45471</x:v>
      </x:c>
      <x:c r="AD470" s="84" t="n">
        <x:f>AC470-B470</x:f>
        <x:v>5</x:v>
      </x:c>
      <x:c r="AE470" s="84" t="str">
        <x:f>IF(COUNTIF($A$5:A470,A470)&gt;1,"Duplicate","Keep")</x:f>
        <x:v>Keep</x:v>
      </x:c>
      <x:c r="AF470" s="84" t="str">
        <x:f>IF(OR(R470&lt;=0,AC470&lt;B470,H470="Unknown",M470="Unknown Product"),"Review","Valid")</x:f>
        <x:v>Valid</x:v>
      </x:c>
      <x:c r="AG470" s="84" t="n">
        <x:f>IF(AND(AE470="Keep",AF470="Valid"),1,0)</x:f>
        <x:v>1</x:v>
      </x:c>
      <x:c r="AH470" s="84" t="n">
        <x:f>IF(AND(AG470=1,OR('Dashboard'!$B$4="All",I470='Dashboard'!$B$4),OR('Dashboard'!$E$4="All",N470='Dashboard'!$E$4),OR('Dashboard'!$H$4="All",K470='Dashboard'!$H$4),OR('Dashboard'!$K$4="All",C470='Dashboard'!$K$4)),1,0)</x:f>
        <x:v>1</x:v>
      </x:c>
      <x:c r="AI470" s="84" t="n">
        <x:f>IF(AND(AG470=1,OR('Dashboard'!$B$4="All",I470='Dashboard'!$B$4),OR('Dashboard'!$E$4="All",N470='Dashboard'!$E$4),OR('Dashboard'!$H$4="All",K470='Dashboard'!$H$4)),1,0)</x:f>
        <x:v>1</x:v>
      </x:c>
    </x:row>
    <x:row r="471">
      <x:c r="A471" s="84" t="str">
        <x:f>'Raw Sales'!A471</x:f>
        <x:v>ORD-2024-01952</x:v>
      </x:c>
      <x:c r="B471" s="85" t="n">
        <x:f>'Raw Sales'!B471</x:f>
        <x:v>45466</x:v>
      </x:c>
      <x:c r="C471" s="84" t="n">
        <x:f>YEAR(B471)</x:f>
        <x:v>2024</x:v>
      </x:c>
      <x:c r="D471" s="91" t="n">
        <x:f>DATE(YEAR(B471),MONTH(B471),1)</x:f>
        <x:v>45444</x:v>
      </x:c>
      <x:c r="E471" s="84" t="str">
        <x:f>TEXT(B471,"mmm")</x:f>
        <x:v>Jun</x:v>
      </x:c>
      <x:c r="F471" s="84" t="str">
        <x:f>'Raw Sales'!C471</x:f>
        <x:v>CUST-0303</x:v>
      </x:c>
      <x:c r="G471" s="84" t="str">
        <x:f>PROPER(TRIM('Raw Sales'!D471))</x:f>
        <x:v>Caleb Roberts</x:v>
      </x:c>
      <x:c r="H471" s="84" t="str">
        <x:f>IF(TRIM('Raw Sales'!E471)="","Unknown",PROPER(TRIM('Raw Sales'!E471)))</x:f>
        <x:v>Unknown</x:v>
      </x:c>
      <x:c r="I471" s="84" t="str">
        <x:f>PROPER(TRIM('Raw Sales'!F471))</x:f>
        <x:v>West</x:v>
      </x:c>
      <x:c r="J471" s="84" t="str">
        <x:f>PROPER(TRIM('Raw Sales'!G471))</x:f>
        <x:v>Seattle</x:v>
      </x:c>
      <x:c r="K471" s="84" t="str">
        <x:f>PROPER(TRIM('Raw Sales'!H471))</x:f>
        <x:v>Online</x:v>
      </x:c>
      <x:c r="L471" s="84" t="str">
        <x:f>'Raw Sales'!I471</x:f>
        <x:v>HOME-004</x:v>
      </x:c>
      <x:c r="M471" s="84" t="str">
        <x:f>IFERROR(VLOOKUP(L471,'Reference Data'!$A$5:$F$40,2,FALSE),"Unknown Product")</x:f>
        <x:v>Coffee Maker</x:v>
      </x:c>
      <x:c r="N471" s="84" t="str">
        <x:f>IFERROR(VLOOKUP(L471,'Reference Data'!$A$5:$F$40,3,FALSE),"Unknown")</x:f>
        <x:v>Home &amp; Kitchen</x:v>
      </x:c>
      <x:c r="O471" s="84" t="str">
        <x:f>IFERROR(VLOOKUP(L471,'Reference Data'!$A$5:$F$40,4,FALSE),"Unknown")</x:f>
        <x:v>Small Appliances</x:v>
      </x:c>
      <x:c r="P471" s="92" t="n">
        <x:f>IFERROR(VLOOKUP(L471,'Reference Data'!$A$5:$F$40,5,FALSE),0)</x:f>
        <x:v>99</x:v>
      </x:c>
      <x:c r="Q471" s="92" t="n">
        <x:f>IFERROR(VLOOKUP(L471,'Reference Data'!$A$5:$F$40,6,FALSE),0)</x:f>
        <x:v>51</x:v>
      </x:c>
      <x:c r="R471" s="84" t="n">
        <x:f>'Raw Sales'!J471</x:f>
        <x:v>6</x:v>
      </x:c>
      <x:c r="S471" s="87" t="n">
        <x:f>'Raw Sales'!K471</x:f>
        <x:v>0</x:v>
      </x:c>
      <x:c r="T471" s="93" t="n">
        <x:f>P471*R471</x:f>
        <x:v>594</x:v>
      </x:c>
      <x:c r="U471" s="93" t="n">
        <x:f>T471*S471</x:f>
        <x:v>0</x:v>
      </x:c>
      <x:c r="V471" s="93" t="str">
        <x:f>PROPER(TRIM('Raw Sales'!L471))</x:f>
        <x:v>Completed</x:v>
      </x:c>
      <x:c r="W471" s="93" t="n">
        <x:f>IF(V471="Returned",0,T471-U471)</x:f>
        <x:v>594</x:v>
      </x:c>
      <x:c r="X471" s="93" t="n">
        <x:f>IF(V471="Returned",Q471*R471*10%,Q471*R471)</x:f>
        <x:v>306</x:v>
      </x:c>
      <x:c r="Y471" s="93" t="n">
        <x:f>W471-X471</x:f>
        <x:v>288</x:v>
      </x:c>
      <x:c r="Z471" s="94" t="n">
        <x:f>IFERROR(Y471/W471,0)</x:f>
        <x:v>0.48484848484848486</x:v>
      </x:c>
      <x:c r="AA471" s="84" t="str">
        <x:f>PROPER(TRIM('Raw Sales'!M471))</x:f>
        <x:v>Debit Card</x:v>
      </x:c>
      <x:c r="AB471" s="84" t="str">
        <x:f>PROPER(TRIM('Raw Sales'!N471))</x:f>
        <x:v>Nora Kim</x:v>
      </x:c>
      <x:c r="AC471" s="85" t="n">
        <x:f>'Raw Sales'!O471</x:f>
        <x:v>45468</x:v>
      </x:c>
      <x:c r="AD471" s="84" t="n">
        <x:f>AC471-B471</x:f>
        <x:v>2</x:v>
      </x:c>
      <x:c r="AE471" s="84" t="str">
        <x:f>IF(COUNTIF($A$5:A471,A471)&gt;1,"Duplicate","Keep")</x:f>
        <x:v>Keep</x:v>
      </x:c>
      <x:c r="AF471" s="84" t="str">
        <x:f>IF(OR(R471&lt;=0,AC471&lt;B471,H471="Unknown",M471="Unknown Product"),"Review","Valid")</x:f>
        <x:v>Review</x:v>
      </x:c>
      <x:c r="AG471" s="84" t="n">
        <x:f>IF(AND(AE471="Keep",AF471="Valid"),1,0)</x:f>
        <x:v>0</x:v>
      </x:c>
      <x:c r="AH471" s="84" t="n">
        <x:f>IF(AND(AG471=1,OR('Dashboard'!$B$4="All",I471='Dashboard'!$B$4),OR('Dashboard'!$E$4="All",N471='Dashboard'!$E$4),OR('Dashboard'!$H$4="All",K471='Dashboard'!$H$4),OR('Dashboard'!$K$4="All",C471='Dashboard'!$K$4)),1,0)</x:f>
        <x:v>0</x:v>
      </x:c>
      <x:c r="AI471" s="84" t="n">
        <x:f>IF(AND(AG471=1,OR('Dashboard'!$B$4="All",I471='Dashboard'!$B$4),OR('Dashboard'!$E$4="All",N471='Dashboard'!$E$4),OR('Dashboard'!$H$4="All",K471='Dashboard'!$H$4)),1,0)</x:f>
        <x:v>0</x:v>
      </x:c>
    </x:row>
    <x:row r="472">
      <x:c r="A472" s="84" t="str">
        <x:f>'Raw Sales'!A472</x:f>
        <x:v>ORD-2024-00105</x:v>
      </x:c>
      <x:c r="B472" s="85" t="n">
        <x:f>'Raw Sales'!B472</x:f>
        <x:v>45467</x:v>
      </x:c>
      <x:c r="C472" s="84" t="n">
        <x:f>YEAR(B472)</x:f>
        <x:v>2024</x:v>
      </x:c>
      <x:c r="D472" s="91" t="n">
        <x:f>DATE(YEAR(B472),MONTH(B472),1)</x:f>
        <x:v>45444</x:v>
      </x:c>
      <x:c r="E472" s="84" t="str">
        <x:f>TEXT(B472,"mmm")</x:f>
        <x:v>Jun</x:v>
      </x:c>
      <x:c r="F472" s="84" t="str">
        <x:f>'Raw Sales'!C472</x:f>
        <x:v>CUST-0200</x:v>
      </x:c>
      <x:c r="G472" s="84" t="str">
        <x:f>PROPER(TRIM('Raw Sales'!D472))</x:f>
        <x:v>Priya Patel</x:v>
      </x:c>
      <x:c r="H472" s="84" t="str">
        <x:f>IF(TRIM('Raw Sales'!E472)="","Unknown",PROPER(TRIM('Raw Sales'!E472)))</x:f>
        <x:v>Consumer</x:v>
      </x:c>
      <x:c r="I472" s="84" t="str">
        <x:f>PROPER(TRIM('Raw Sales'!F472))</x:f>
        <x:v>Midwest</x:v>
      </x:c>
      <x:c r="J472" s="84" t="str">
        <x:f>PROPER(TRIM('Raw Sales'!G472))</x:f>
        <x:v>Detroit</x:v>
      </x:c>
      <x:c r="K472" s="84" t="str">
        <x:f>PROPER(TRIM('Raw Sales'!H472))</x:f>
        <x:v>Online</x:v>
      </x:c>
      <x:c r="L472" s="84" t="str">
        <x:f>'Raw Sales'!I472</x:f>
        <x:v>ELEC-006</x:v>
      </x:c>
      <x:c r="M472" s="84" t="str">
        <x:f>IFERROR(VLOOKUP(L472,'Reference Data'!$A$5:$F$40,2,FALSE),"Unknown Product")</x:f>
        <x:v>Portable SSD</x:v>
      </x:c>
      <x:c r="N472" s="84" t="str">
        <x:f>IFERROR(VLOOKUP(L472,'Reference Data'!$A$5:$F$40,3,FALSE),"Unknown")</x:f>
        <x:v>Electronics</x:v>
      </x:c>
      <x:c r="O472" s="84" t="str">
        <x:f>IFERROR(VLOOKUP(L472,'Reference Data'!$A$5:$F$40,4,FALSE),"Unknown")</x:f>
        <x:v>Storage</x:v>
      </x:c>
      <x:c r="P472" s="92" t="n">
        <x:f>IFERROR(VLOOKUP(L472,'Reference Data'!$A$5:$F$40,5,FALSE),0)</x:f>
        <x:v>129</x:v>
      </x:c>
      <x:c r="Q472" s="92" t="n">
        <x:f>IFERROR(VLOOKUP(L472,'Reference Data'!$A$5:$F$40,6,FALSE),0)</x:f>
        <x:v>75</x:v>
      </x:c>
      <x:c r="R472" s="84" t="n">
        <x:f>'Raw Sales'!J472</x:f>
        <x:v>3</x:v>
      </x:c>
      <x:c r="S472" s="87" t="n">
        <x:f>'Raw Sales'!K472</x:f>
        <x:v>0</x:v>
      </x:c>
      <x:c r="T472" s="93" t="n">
        <x:f>P472*R472</x:f>
        <x:v>387</x:v>
      </x:c>
      <x:c r="U472" s="93" t="n">
        <x:f>T472*S472</x:f>
        <x:v>0</x:v>
      </x:c>
      <x:c r="V472" s="93" t="str">
        <x:f>PROPER(TRIM('Raw Sales'!L472))</x:f>
        <x:v>Completed</x:v>
      </x:c>
      <x:c r="W472" s="93" t="n">
        <x:f>IF(V472="Returned",0,T472-U472)</x:f>
        <x:v>387</x:v>
      </x:c>
      <x:c r="X472" s="93" t="n">
        <x:f>IF(V472="Returned",Q472*R472*10%,Q472*R472)</x:f>
        <x:v>225</x:v>
      </x:c>
      <x:c r="Y472" s="93" t="n">
        <x:f>W472-X472</x:f>
        <x:v>162</x:v>
      </x:c>
      <x:c r="Z472" s="94" t="n">
        <x:f>IFERROR(Y472/W472,0)</x:f>
        <x:v>0.4186046511627907</x:v>
      </x:c>
      <x:c r="AA472" s="84" t="str">
        <x:f>PROPER(TRIM('Raw Sales'!M472))</x:f>
        <x:v>Paypal</x:v>
      </x:c>
      <x:c r="AB472" s="84" t="str">
        <x:f>PROPER(TRIM('Raw Sales'!N472))</x:f>
        <x:v>Zoe Turner</x:v>
      </x:c>
      <x:c r="AC472" s="85" t="n">
        <x:f>'Raw Sales'!O472</x:f>
        <x:v>45471</x:v>
      </x:c>
      <x:c r="AD472" s="84" t="n">
        <x:f>AC472-B472</x:f>
        <x:v>4</x:v>
      </x:c>
      <x:c r="AE472" s="84" t="str">
        <x:f>IF(COUNTIF($A$5:A472,A472)&gt;1,"Duplicate","Keep")</x:f>
        <x:v>Keep</x:v>
      </x:c>
      <x:c r="AF472" s="84" t="str">
        <x:f>IF(OR(R472&lt;=0,AC472&lt;B472,H472="Unknown",M472="Unknown Product"),"Review","Valid")</x:f>
        <x:v>Valid</x:v>
      </x:c>
      <x:c r="AG472" s="84" t="n">
        <x:f>IF(AND(AE472="Keep",AF472="Valid"),1,0)</x:f>
        <x:v>1</x:v>
      </x:c>
      <x:c r="AH472" s="84" t="n">
        <x:f>IF(AND(AG472=1,OR('Dashboard'!$B$4="All",I472='Dashboard'!$B$4),OR('Dashboard'!$E$4="All",N472='Dashboard'!$E$4),OR('Dashboard'!$H$4="All",K472='Dashboard'!$H$4),OR('Dashboard'!$K$4="All",C472='Dashboard'!$K$4)),1,0)</x:f>
        <x:v>1</x:v>
      </x:c>
      <x:c r="AI472" s="84" t="n">
        <x:f>IF(AND(AG472=1,OR('Dashboard'!$B$4="All",I472='Dashboard'!$B$4),OR('Dashboard'!$E$4="All",N472='Dashboard'!$E$4),OR('Dashboard'!$H$4="All",K472='Dashboard'!$H$4)),1,0)</x:f>
        <x:v>1</x:v>
      </x:c>
    </x:row>
    <x:row r="473">
      <x:c r="A473" s="84" t="str">
        <x:f>'Raw Sales'!A473</x:f>
        <x:v>ORD-2024-00599</x:v>
      </x:c>
      <x:c r="B473" s="85" t="n">
        <x:f>'Raw Sales'!B473</x:f>
        <x:v>45467</x:v>
      </x:c>
      <x:c r="C473" s="84" t="n">
        <x:f>YEAR(B473)</x:f>
        <x:v>2024</x:v>
      </x:c>
      <x:c r="D473" s="91" t="n">
        <x:f>DATE(YEAR(B473),MONTH(B473),1)</x:f>
        <x:v>45444</x:v>
      </x:c>
      <x:c r="E473" s="84" t="str">
        <x:f>TEXT(B473,"mmm")</x:f>
        <x:v>Jun</x:v>
      </x:c>
      <x:c r="F473" s="84" t="str">
        <x:f>'Raw Sales'!C473</x:f>
        <x:v>CUST-0214</x:v>
      </x:c>
      <x:c r="G473" s="84" t="str">
        <x:f>PROPER(TRIM('Raw Sales'!D473))</x:f>
        <x:v>Priya Taylor</x:v>
      </x:c>
      <x:c r="H473" s="84" t="str">
        <x:f>IF(TRIM('Raw Sales'!E473)="","Unknown",PROPER(TRIM('Raw Sales'!E473)))</x:f>
        <x:v>Consumer</x:v>
      </x:c>
      <x:c r="I473" s="84" t="str">
        <x:f>PROPER(TRIM('Raw Sales'!F473))</x:f>
        <x:v>Southeast</x:v>
      </x:c>
      <x:c r="J473" s="84" t="str">
        <x:f>PROPER(TRIM('Raw Sales'!G473))</x:f>
        <x:v>Nashville</x:v>
      </x:c>
      <x:c r="K473" s="84" t="str">
        <x:f>PROPER(TRIM('Raw Sales'!H473))</x:f>
        <x:v>Retail Store</x:v>
      </x:c>
      <x:c r="L473" s="84" t="str">
        <x:f>'Raw Sales'!I473</x:f>
        <x:v>OFFC-002</x:v>
      </x:c>
      <x:c r="M473" s="84" t="str">
        <x:f>IFERROR(VLOOKUP(L473,'Reference Data'!$A$5:$F$40,2,FALSE),"Unknown Product")</x:f>
        <x:v>Standing Desk</x:v>
      </x:c>
      <x:c r="N473" s="84" t="str">
        <x:f>IFERROR(VLOOKUP(L473,'Reference Data'!$A$5:$F$40,3,FALSE),"Unknown")</x:f>
        <x:v>Office</x:v>
      </x:c>
      <x:c r="O473" s="84" t="str">
        <x:f>IFERROR(VLOOKUP(L473,'Reference Data'!$A$5:$F$40,4,FALSE),"Unknown")</x:f>
        <x:v>Furniture</x:v>
      </x:c>
      <x:c r="P473" s="92" t="n">
        <x:f>IFERROR(VLOOKUP(L473,'Reference Data'!$A$5:$F$40,5,FALSE),0)</x:f>
        <x:v>399</x:v>
      </x:c>
      <x:c r="Q473" s="92" t="n">
        <x:f>IFERROR(VLOOKUP(L473,'Reference Data'!$A$5:$F$40,6,FALSE),0)</x:f>
        <x:v>235</x:v>
      </x:c>
      <x:c r="R473" s="84" t="n">
        <x:f>'Raw Sales'!J473</x:f>
        <x:v>2</x:v>
      </x:c>
      <x:c r="S473" s="87" t="n">
        <x:f>'Raw Sales'!K473</x:f>
        <x:v>0.15</x:v>
      </x:c>
      <x:c r="T473" s="93" t="n">
        <x:f>P473*R473</x:f>
        <x:v>798</x:v>
      </x:c>
      <x:c r="U473" s="93" t="n">
        <x:f>T473*S473</x:f>
        <x:v>119.69999999999999</x:v>
      </x:c>
      <x:c r="V473" s="93" t="str">
        <x:f>PROPER(TRIM('Raw Sales'!L473))</x:f>
        <x:v>Completed</x:v>
      </x:c>
      <x:c r="W473" s="93" t="n">
        <x:f>IF(V473="Returned",0,T473-U473)</x:f>
        <x:v>678.3</x:v>
      </x:c>
      <x:c r="X473" s="93" t="n">
        <x:f>IF(V473="Returned",Q473*R473*10%,Q473*R473)</x:f>
        <x:v>470</x:v>
      </x:c>
      <x:c r="Y473" s="93" t="n">
        <x:f>W473-X473</x:f>
        <x:v>208.29999999999995</x:v>
      </x:c>
      <x:c r="Z473" s="94" t="n">
        <x:f>IFERROR(Y473/W473,0)</x:f>
        <x:v>0.3070912575556538</x:v>
      </x:c>
      <x:c r="AA473" s="84" t="str">
        <x:f>PROPER(TRIM('Raw Sales'!M473))</x:f>
        <x:v>Debit Card</x:v>
      </x:c>
      <x:c r="AB473" s="84" t="str">
        <x:f>PROPER(TRIM('Raw Sales'!N473))</x:f>
        <x:v>Ava Mitchell</x:v>
      </x:c>
      <x:c r="AC473" s="85" t="n">
        <x:f>'Raw Sales'!O473</x:f>
        <x:v>45467</x:v>
      </x:c>
      <x:c r="AD473" s="84" t="n">
        <x:f>AC473-B473</x:f>
        <x:v>0</x:v>
      </x:c>
      <x:c r="AE473" s="84" t="str">
        <x:f>IF(COUNTIF($A$5:A473,A473)&gt;1,"Duplicate","Keep")</x:f>
        <x:v>Keep</x:v>
      </x:c>
      <x:c r="AF473" s="84" t="str">
        <x:f>IF(OR(R473&lt;=0,AC473&lt;B473,H473="Unknown",M473="Unknown Product"),"Review","Valid")</x:f>
        <x:v>Valid</x:v>
      </x:c>
      <x:c r="AG473" s="84" t="n">
        <x:f>IF(AND(AE473="Keep",AF473="Valid"),1,0)</x:f>
        <x:v>1</x:v>
      </x:c>
      <x:c r="AH473" s="84" t="n">
        <x:f>IF(AND(AG473=1,OR('Dashboard'!$B$4="All",I473='Dashboard'!$B$4),OR('Dashboard'!$E$4="All",N473='Dashboard'!$E$4),OR('Dashboard'!$H$4="All",K473='Dashboard'!$H$4),OR('Dashboard'!$K$4="All",C473='Dashboard'!$K$4)),1,0)</x:f>
        <x:v>1</x:v>
      </x:c>
      <x:c r="AI473" s="84" t="n">
        <x:f>IF(AND(AG473=1,OR('Dashboard'!$B$4="All",I473='Dashboard'!$B$4),OR('Dashboard'!$E$4="All",N473='Dashboard'!$E$4),OR('Dashboard'!$H$4="All",K473='Dashboard'!$H$4)),1,0)</x:f>
        <x:v>1</x:v>
      </x:c>
    </x:row>
    <x:row r="474">
      <x:c r="A474" s="84" t="str">
        <x:f>'Raw Sales'!A474</x:f>
        <x:v>ORD-2024-00828</x:v>
      </x:c>
      <x:c r="B474" s="85" t="n">
        <x:f>'Raw Sales'!B474</x:f>
        <x:v>45467</x:v>
      </x:c>
      <x:c r="C474" s="84" t="n">
        <x:f>YEAR(B474)</x:f>
        <x:v>2024</x:v>
      </x:c>
      <x:c r="D474" s="91" t="n">
        <x:f>DATE(YEAR(B474),MONTH(B474),1)</x:f>
        <x:v>45444</x:v>
      </x:c>
      <x:c r="E474" s="84" t="str">
        <x:f>TEXT(B474,"mmm")</x:f>
        <x:v>Jun</x:v>
      </x:c>
      <x:c r="F474" s="84" t="str">
        <x:f>'Raw Sales'!C474</x:f>
        <x:v>CUST-0199</x:v>
      </x:c>
      <x:c r="G474" s="84" t="str">
        <x:f>PROPER(TRIM('Raw Sales'!D474))</x:f>
        <x:v>Theo Adams</x:v>
      </x:c>
      <x:c r="H474" s="84" t="str">
        <x:f>IF(TRIM('Raw Sales'!E474)="","Unknown",PROPER(TRIM('Raw Sales'!E474)))</x:f>
        <x:v>Corporate</x:v>
      </x:c>
      <x:c r="I474" s="84" t="str">
        <x:f>PROPER(TRIM('Raw Sales'!F474))</x:f>
        <x:v>Northeast</x:v>
      </x:c>
      <x:c r="J474" s="84" t="str">
        <x:f>PROPER(TRIM('Raw Sales'!G474))</x:f>
        <x:v>Philadelphia</x:v>
      </x:c>
      <x:c r="K474" s="84" t="str">
        <x:f>PROPER(TRIM('Raw Sales'!H474))</x:f>
        <x:v>Online</x:v>
      </x:c>
      <x:c r="L474" s="84" t="str">
        <x:f>'Raw Sales'!I474</x:f>
        <x:v>ELEC-004</x:v>
      </x:c>
      <x:c r="M474" s="84" t="str">
        <x:f>IFERROR(VLOOKUP(L474,'Reference Data'!$A$5:$F$40,2,FALSE),"Unknown Product")</x:f>
        <x:v>Power Bank</x:v>
      </x:c>
      <x:c r="N474" s="84" t="str">
        <x:f>IFERROR(VLOOKUP(L474,'Reference Data'!$A$5:$F$40,3,FALSE),"Unknown")</x:f>
        <x:v>Electronics</x:v>
      </x:c>
      <x:c r="O474" s="84" t="str">
        <x:f>IFERROR(VLOOKUP(L474,'Reference Data'!$A$5:$F$40,4,FALSE),"Unknown")</x:f>
        <x:v>Mobile Accessories</x:v>
      </x:c>
      <x:c r="P474" s="92" t="n">
        <x:f>IFERROR(VLOOKUP(L474,'Reference Data'!$A$5:$F$40,5,FALSE),0)</x:f>
        <x:v>39</x:v>
      </x:c>
      <x:c r="Q474" s="92" t="n">
        <x:f>IFERROR(VLOOKUP(L474,'Reference Data'!$A$5:$F$40,6,FALSE),0)</x:f>
        <x:v>18</x:v>
      </x:c>
      <x:c r="R474" s="84" t="n">
        <x:f>'Raw Sales'!J474</x:f>
        <x:v>3</x:v>
      </x:c>
      <x:c r="S474" s="87" t="n">
        <x:f>'Raw Sales'!K474</x:f>
        <x:v>0</x:v>
      </x:c>
      <x:c r="T474" s="93" t="n">
        <x:f>P474*R474</x:f>
        <x:v>117</x:v>
      </x:c>
      <x:c r="U474" s="93" t="n">
        <x:f>T474*S474</x:f>
        <x:v>0</x:v>
      </x:c>
      <x:c r="V474" s="93" t="str">
        <x:f>PROPER(TRIM('Raw Sales'!L474))</x:f>
        <x:v>Completed</x:v>
      </x:c>
      <x:c r="W474" s="93" t="n">
        <x:f>IF(V474="Returned",0,T474-U474)</x:f>
        <x:v>117</x:v>
      </x:c>
      <x:c r="X474" s="93" t="n">
        <x:f>IF(V474="Returned",Q474*R474*10%,Q474*R474)</x:f>
        <x:v>54</x:v>
      </x:c>
      <x:c r="Y474" s="93" t="n">
        <x:f>W474-X474</x:f>
        <x:v>63</x:v>
      </x:c>
      <x:c r="Z474" s="94" t="n">
        <x:f>IFERROR(Y474/W474,0)</x:f>
        <x:v>0.5384615384615384</x:v>
      </x:c>
      <x:c r="AA474" s="84" t="str">
        <x:f>PROPER(TRIM('Raw Sales'!M474))</x:f>
        <x:v>Paypal</x:v>
      </x:c>
      <x:c r="AB474" s="84" t="str">
        <x:f>PROPER(TRIM('Raw Sales'!N474))</x:f>
        <x:v>Sofia Bennett</x:v>
      </x:c>
      <x:c r="AC474" s="85" t="n">
        <x:f>'Raw Sales'!O474</x:f>
        <x:v>45471</x:v>
      </x:c>
      <x:c r="AD474" s="84" t="n">
        <x:f>AC474-B474</x:f>
        <x:v>4</x:v>
      </x:c>
      <x:c r="AE474" s="84" t="str">
        <x:f>IF(COUNTIF($A$5:A474,A474)&gt;1,"Duplicate","Keep")</x:f>
        <x:v>Keep</x:v>
      </x:c>
      <x:c r="AF474" s="84" t="str">
        <x:f>IF(OR(R474&lt;=0,AC474&lt;B474,H474="Unknown",M474="Unknown Product"),"Review","Valid")</x:f>
        <x:v>Valid</x:v>
      </x:c>
      <x:c r="AG474" s="84" t="n">
        <x:f>IF(AND(AE474="Keep",AF474="Valid"),1,0)</x:f>
        <x:v>1</x:v>
      </x:c>
      <x:c r="AH474" s="84" t="n">
        <x:f>IF(AND(AG474=1,OR('Dashboard'!$B$4="All",I474='Dashboard'!$B$4),OR('Dashboard'!$E$4="All",N474='Dashboard'!$E$4),OR('Dashboard'!$H$4="All",K474='Dashboard'!$H$4),OR('Dashboard'!$K$4="All",C474='Dashboard'!$K$4)),1,0)</x:f>
        <x:v>1</x:v>
      </x:c>
      <x:c r="AI474" s="84" t="n">
        <x:f>IF(AND(AG474=1,OR('Dashboard'!$B$4="All",I474='Dashboard'!$B$4),OR('Dashboard'!$E$4="All",N474='Dashboard'!$E$4),OR('Dashboard'!$H$4="All",K474='Dashboard'!$H$4)),1,0)</x:f>
        <x:v>1</x:v>
      </x:c>
    </x:row>
    <x:row r="475">
      <x:c r="A475" s="84" t="str">
        <x:f>'Raw Sales'!A475</x:f>
        <x:v>ORD-2024-01830</x:v>
      </x:c>
      <x:c r="B475" s="85" t="n">
        <x:f>'Raw Sales'!B475</x:f>
        <x:v>45467</x:v>
      </x:c>
      <x:c r="C475" s="84" t="n">
        <x:f>YEAR(B475)</x:f>
        <x:v>2024</x:v>
      </x:c>
      <x:c r="D475" s="91" t="n">
        <x:f>DATE(YEAR(B475),MONTH(B475),1)</x:f>
        <x:v>45444</x:v>
      </x:c>
      <x:c r="E475" s="84" t="str">
        <x:f>TEXT(B475,"mmm")</x:f>
        <x:v>Jun</x:v>
      </x:c>
      <x:c r="F475" s="84" t="str">
        <x:f>'Raw Sales'!C475</x:f>
        <x:v>CUST-0314</x:v>
      </x:c>
      <x:c r="G475" s="84" t="str">
        <x:f>PROPER(TRIM('Raw Sales'!D475))</x:f>
        <x:v>Chloe Young</x:v>
      </x:c>
      <x:c r="H475" s="84" t="str">
        <x:f>IF(TRIM('Raw Sales'!E475)="","Unknown",PROPER(TRIM('Raw Sales'!E475)))</x:f>
        <x:v>Unknown</x:v>
      </x:c>
      <x:c r="I475" s="84" t="str">
        <x:f>PROPER(TRIM('Raw Sales'!F475))</x:f>
        <x:v>Midwest</x:v>
      </x:c>
      <x:c r="J475" s="84" t="str">
        <x:f>PROPER(TRIM('Raw Sales'!G475))</x:f>
        <x:v>Detroit</x:v>
      </x:c>
      <x:c r="K475" s="84" t="str">
        <x:f>PROPER(TRIM('Raw Sales'!H475))</x:f>
        <x:v>Online</x:v>
      </x:c>
      <x:c r="L475" s="84" t="str">
        <x:f>'Raw Sales'!I475</x:f>
        <x:v>CARE-006</x:v>
      </x:c>
      <x:c r="M475" s="84" t="str">
        <x:f>IFERROR(VLOOKUP(L475,'Reference Data'!$A$5:$F$40,2,FALSE),"Unknown Product")</x:f>
        <x:v>Percussion Massage Gun</x:v>
      </x:c>
      <x:c r="N475" s="84" t="str">
        <x:f>IFERROR(VLOOKUP(L475,'Reference Data'!$A$5:$F$40,3,FALSE),"Unknown")</x:f>
        <x:v>Personal Care</x:v>
      </x:c>
      <x:c r="O475" s="84" t="str">
        <x:f>IFERROR(VLOOKUP(L475,'Reference Data'!$A$5:$F$40,4,FALSE),"Unknown")</x:f>
        <x:v>Wellness</x:v>
      </x:c>
      <x:c r="P475" s="92" t="n">
        <x:f>IFERROR(VLOOKUP(L475,'Reference Data'!$A$5:$F$40,5,FALSE),0)</x:f>
        <x:v>129</x:v>
      </x:c>
      <x:c r="Q475" s="92" t="n">
        <x:f>IFERROR(VLOOKUP(L475,'Reference Data'!$A$5:$F$40,6,FALSE),0)</x:f>
        <x:v>70</x:v>
      </x:c>
      <x:c r="R475" s="84" t="n">
        <x:f>'Raw Sales'!J475</x:f>
        <x:v>3</x:v>
      </x:c>
      <x:c r="S475" s="87" t="n">
        <x:f>'Raw Sales'!K475</x:f>
        <x:v>0.1</x:v>
      </x:c>
      <x:c r="T475" s="93" t="n">
        <x:f>P475*R475</x:f>
        <x:v>387</x:v>
      </x:c>
      <x:c r="U475" s="93" t="n">
        <x:f>T475*S475</x:f>
        <x:v>38.7</x:v>
      </x:c>
      <x:c r="V475" s="93" t="str">
        <x:f>PROPER(TRIM('Raw Sales'!L475))</x:f>
        <x:v>Completed</x:v>
      </x:c>
      <x:c r="W475" s="93" t="n">
        <x:f>IF(V475="Returned",0,T475-U475)</x:f>
        <x:v>348.3</x:v>
      </x:c>
      <x:c r="X475" s="93" t="n">
        <x:f>IF(V475="Returned",Q475*R475*10%,Q475*R475)</x:f>
        <x:v>210</x:v>
      </x:c>
      <x:c r="Y475" s="93" t="n">
        <x:f>W475-X475</x:f>
        <x:v>138.3</x:v>
      </x:c>
      <x:c r="Z475" s="94" t="n">
        <x:f>IFERROR(Y475/W475,0)</x:f>
        <x:v>0.3970714900947459</x:v>
      </x:c>
      <x:c r="AA475" s="84" t="str">
        <x:f>PROPER(TRIM('Raw Sales'!M475))</x:f>
        <x:v>Mobile Wallet</x:v>
      </x:c>
      <x:c r="AB475" s="84" t="str">
        <x:f>PROPER(TRIM('Raw Sales'!N475))</x:f>
        <x:v>Lucas Grant</x:v>
      </x:c>
      <x:c r="AC475" s="85" t="n">
        <x:f>'Raw Sales'!O475</x:f>
        <x:v>45469</x:v>
      </x:c>
      <x:c r="AD475" s="84" t="n">
        <x:f>AC475-B475</x:f>
        <x:v>2</x:v>
      </x:c>
      <x:c r="AE475" s="84" t="str">
        <x:f>IF(COUNTIF($A$5:A475,A475)&gt;1,"Duplicate","Keep")</x:f>
        <x:v>Keep</x:v>
      </x:c>
      <x:c r="AF475" s="84" t="str">
        <x:f>IF(OR(R475&lt;=0,AC475&lt;B475,H475="Unknown",M475="Unknown Product"),"Review","Valid")</x:f>
        <x:v>Review</x:v>
      </x:c>
      <x:c r="AG475" s="84" t="n">
        <x:f>IF(AND(AE475="Keep",AF475="Valid"),1,0)</x:f>
        <x:v>0</x:v>
      </x:c>
      <x:c r="AH475" s="84" t="n">
        <x:f>IF(AND(AG475=1,OR('Dashboard'!$B$4="All",I475='Dashboard'!$B$4),OR('Dashboard'!$E$4="All",N475='Dashboard'!$E$4),OR('Dashboard'!$H$4="All",K475='Dashboard'!$H$4),OR('Dashboard'!$K$4="All",C475='Dashboard'!$K$4)),1,0)</x:f>
        <x:v>0</x:v>
      </x:c>
      <x:c r="AI475" s="84" t="n">
        <x:f>IF(AND(AG475=1,OR('Dashboard'!$B$4="All",I475='Dashboard'!$B$4),OR('Dashboard'!$E$4="All",N475='Dashboard'!$E$4),OR('Dashboard'!$H$4="All",K475='Dashboard'!$H$4)),1,0)</x:f>
        <x:v>0</x:v>
      </x:c>
    </x:row>
    <x:row r="476">
      <x:c r="A476" s="84" t="str">
        <x:f>'Raw Sales'!A476</x:f>
        <x:v>ORD-2024-02192</x:v>
      </x:c>
      <x:c r="B476" s="85" t="n">
        <x:f>'Raw Sales'!B476</x:f>
        <x:v>45467</x:v>
      </x:c>
      <x:c r="C476" s="84" t="n">
        <x:f>YEAR(B476)</x:f>
        <x:v>2024</x:v>
      </x:c>
      <x:c r="D476" s="91" t="n">
        <x:f>DATE(YEAR(B476),MONTH(B476),1)</x:f>
        <x:v>45444</x:v>
      </x:c>
      <x:c r="E476" s="84" t="str">
        <x:f>TEXT(B476,"mmm")</x:f>
        <x:v>Jun</x:v>
      </x:c>
      <x:c r="F476" s="84" t="str">
        <x:f>'Raw Sales'!C476</x:f>
        <x:v>CUST-0609</x:v>
      </x:c>
      <x:c r="G476" s="84" t="str">
        <x:f>PROPER(TRIM('Raw Sales'!D476))</x:f>
        <x:v>Sara Lewis</x:v>
      </x:c>
      <x:c r="H476" s="84" t="str">
        <x:f>IF(TRIM('Raw Sales'!E476)="","Unknown",PROPER(TRIM('Raw Sales'!E476)))</x:f>
        <x:v>Consumer</x:v>
      </x:c>
      <x:c r="I476" s="84" t="str">
        <x:f>PROPER(TRIM('Raw Sales'!F476))</x:f>
        <x:v>Southeast</x:v>
      </x:c>
      <x:c r="J476" s="84" t="str">
        <x:f>PROPER(TRIM('Raw Sales'!G476))</x:f>
        <x:v>Miami</x:v>
      </x:c>
      <x:c r="K476" s="84" t="str">
        <x:f>PROPER(TRIM('Raw Sales'!H476))</x:f>
        <x:v>Online</x:v>
      </x:c>
      <x:c r="L476" s="84" t="str">
        <x:f>'Raw Sales'!I476</x:f>
        <x:v>FITN-005</x:v>
      </x:c>
      <x:c r="M476" s="84" t="str">
        <x:f>IFERROR(VLOOKUP(L476,'Reference Data'!$A$5:$F$40,2,FALSE),"Unknown Product")</x:f>
        <x:v>Sports Water Bottle</x:v>
      </x:c>
      <x:c r="N476" s="84" t="str">
        <x:f>IFERROR(VLOOKUP(L476,'Reference Data'!$A$5:$F$40,3,FALSE),"Unknown")</x:f>
        <x:v>Fitness</x:v>
      </x:c>
      <x:c r="O476" s="84" t="str">
        <x:f>IFERROR(VLOOKUP(L476,'Reference Data'!$A$5:$F$40,4,FALSE),"Unknown")</x:f>
        <x:v>Accessories</x:v>
      </x:c>
      <x:c r="P476" s="92" t="n">
        <x:f>IFERROR(VLOOKUP(L476,'Reference Data'!$A$5:$F$40,5,FALSE),0)</x:f>
        <x:v>22</x:v>
      </x:c>
      <x:c r="Q476" s="92" t="n">
        <x:f>IFERROR(VLOOKUP(L476,'Reference Data'!$A$5:$F$40,6,FALSE),0)</x:f>
        <x:v>7</x:v>
      </x:c>
      <x:c r="R476" s="84" t="n">
        <x:f>'Raw Sales'!J476</x:f>
        <x:v>1</x:v>
      </x:c>
      <x:c r="S476" s="87" t="n">
        <x:f>'Raw Sales'!K476</x:f>
        <x:v>0</x:v>
      </x:c>
      <x:c r="T476" s="93" t="n">
        <x:f>P476*R476</x:f>
        <x:v>22</x:v>
      </x:c>
      <x:c r="U476" s="93" t="n">
        <x:f>T476*S476</x:f>
        <x:v>0</x:v>
      </x:c>
      <x:c r="V476" s="93" t="str">
        <x:f>PROPER(TRIM('Raw Sales'!L476))</x:f>
        <x:v>Completed</x:v>
      </x:c>
      <x:c r="W476" s="93" t="n">
        <x:f>IF(V476="Returned",0,T476-U476)</x:f>
        <x:v>22</x:v>
      </x:c>
      <x:c r="X476" s="93" t="n">
        <x:f>IF(V476="Returned",Q476*R476*10%,Q476*R476)</x:f>
        <x:v>7</x:v>
      </x:c>
      <x:c r="Y476" s="93" t="n">
        <x:f>W476-X476</x:f>
        <x:v>15</x:v>
      </x:c>
      <x:c r="Z476" s="94" t="n">
        <x:f>IFERROR(Y476/W476,0)</x:f>
        <x:v>0.6818181818181818</x:v>
      </x:c>
      <x:c r="AA476" s="84" t="str">
        <x:f>PROPER(TRIM('Raw Sales'!M476))</x:f>
        <x:v>Credit Card</x:v>
      </x:c>
      <x:c r="AB476" s="84" t="str">
        <x:f>PROPER(TRIM('Raw Sales'!N476))</x:f>
        <x:v>Liam Parker</x:v>
      </x:c>
      <x:c r="AC476" s="85" t="n">
        <x:f>'Raw Sales'!O476</x:f>
        <x:v>45471</x:v>
      </x:c>
      <x:c r="AD476" s="84" t="n">
        <x:f>AC476-B476</x:f>
        <x:v>4</x:v>
      </x:c>
      <x:c r="AE476" s="84" t="str">
        <x:f>IF(COUNTIF($A$5:A476,A476)&gt;1,"Duplicate","Keep")</x:f>
        <x:v>Keep</x:v>
      </x:c>
      <x:c r="AF476" s="84" t="str">
        <x:f>IF(OR(R476&lt;=0,AC476&lt;B476,H476="Unknown",M476="Unknown Product"),"Review","Valid")</x:f>
        <x:v>Valid</x:v>
      </x:c>
      <x:c r="AG476" s="84" t="n">
        <x:f>IF(AND(AE476="Keep",AF476="Valid"),1,0)</x:f>
        <x:v>1</x:v>
      </x:c>
      <x:c r="AH476" s="84" t="n">
        <x:f>IF(AND(AG476=1,OR('Dashboard'!$B$4="All",I476='Dashboard'!$B$4),OR('Dashboard'!$E$4="All",N476='Dashboard'!$E$4),OR('Dashboard'!$H$4="All",K476='Dashboard'!$H$4),OR('Dashboard'!$K$4="All",C476='Dashboard'!$K$4)),1,0)</x:f>
        <x:v>1</x:v>
      </x:c>
      <x:c r="AI476" s="84" t="n">
        <x:f>IF(AND(AG476=1,OR('Dashboard'!$B$4="All",I476='Dashboard'!$B$4),OR('Dashboard'!$E$4="All",N476='Dashboard'!$E$4),OR('Dashboard'!$H$4="All",K476='Dashboard'!$H$4)),1,0)</x:f>
        <x:v>1</x:v>
      </x:c>
    </x:row>
    <x:row r="477">
      <x:c r="A477" s="84" t="str">
        <x:f>'Raw Sales'!A477</x:f>
        <x:v>ORD-2024-01026</x:v>
      </x:c>
      <x:c r="B477" s="85" t="n">
        <x:f>'Raw Sales'!B477</x:f>
        <x:v>45468</x:v>
      </x:c>
      <x:c r="C477" s="84" t="n">
        <x:f>YEAR(B477)</x:f>
        <x:v>2024</x:v>
      </x:c>
      <x:c r="D477" s="91" t="n">
        <x:f>DATE(YEAR(B477),MONTH(B477),1)</x:f>
        <x:v>45444</x:v>
      </x:c>
      <x:c r="E477" s="84" t="str">
        <x:f>TEXT(B477,"mmm")</x:f>
        <x:v>Jun</x:v>
      </x:c>
      <x:c r="F477" s="84" t="str">
        <x:f>'Raw Sales'!C477</x:f>
        <x:v>CUST-0177</x:v>
      </x:c>
      <x:c r="G477" s="84" t="str">
        <x:f>PROPER(TRIM('Raw Sales'!D477))</x:f>
        <x:v>Elena Quinn</x:v>
      </x:c>
      <x:c r="H477" s="84" t="str">
        <x:f>IF(TRIM('Raw Sales'!E477)="","Unknown",PROPER(TRIM('Raw Sales'!E477)))</x:f>
        <x:v>Consumer</x:v>
      </x:c>
      <x:c r="I477" s="84" t="str">
        <x:f>PROPER(TRIM('Raw Sales'!F477))</x:f>
        <x:v>Southeast</x:v>
      </x:c>
      <x:c r="J477" s="84" t="str">
        <x:f>PROPER(TRIM('Raw Sales'!G477))</x:f>
        <x:v>Nashville</x:v>
      </x:c>
      <x:c r="K477" s="84" t="str">
        <x:f>PROPER(TRIM('Raw Sales'!H477))</x:f>
        <x:v>Retail Store</x:v>
      </x:c>
      <x:c r="L477" s="84" t="str">
        <x:f>'Raw Sales'!I477</x:f>
        <x:v>OFFC-005</x:v>
      </x:c>
      <x:c r="M477" s="84" t="str">
        <x:f>IFERROR(VLOOKUP(L477,'Reference Data'!$A$5:$F$40,2,FALSE),"Unknown Product")</x:f>
        <x:v>Wireless Keyboard</x:v>
      </x:c>
      <x:c r="N477" s="84" t="str">
        <x:f>IFERROR(VLOOKUP(L477,'Reference Data'!$A$5:$F$40,3,FALSE),"Unknown")</x:f>
        <x:v>Office</x:v>
      </x:c>
      <x:c r="O477" s="84" t="str">
        <x:f>IFERROR(VLOOKUP(L477,'Reference Data'!$A$5:$F$40,4,FALSE),"Unknown")</x:f>
        <x:v>Computer Accessories</x:v>
      </x:c>
      <x:c r="P477" s="92" t="n">
        <x:f>IFERROR(VLOOKUP(L477,'Reference Data'!$A$5:$F$40,5,FALSE),0)</x:f>
        <x:v>59</x:v>
      </x:c>
      <x:c r="Q477" s="92" t="n">
        <x:f>IFERROR(VLOOKUP(L477,'Reference Data'!$A$5:$F$40,6,FALSE),0)</x:f>
        <x:v>28</x:v>
      </x:c>
      <x:c r="R477" s="84" t="n">
        <x:f>'Raw Sales'!J477</x:f>
        <x:v>2</x:v>
      </x:c>
      <x:c r="S477" s="87" t="n">
        <x:f>'Raw Sales'!K477</x:f>
        <x:v>0</x:v>
      </x:c>
      <x:c r="T477" s="93" t="n">
        <x:f>P477*R477</x:f>
        <x:v>118</x:v>
      </x:c>
      <x:c r="U477" s="93" t="n">
        <x:f>T477*S477</x:f>
        <x:v>0</x:v>
      </x:c>
      <x:c r="V477" s="93" t="str">
        <x:f>PROPER(TRIM('Raw Sales'!L477))</x:f>
        <x:v>Completed</x:v>
      </x:c>
      <x:c r="W477" s="93" t="n">
        <x:f>IF(V477="Returned",0,T477-U477)</x:f>
        <x:v>118</x:v>
      </x:c>
      <x:c r="X477" s="93" t="n">
        <x:f>IF(V477="Returned",Q477*R477*10%,Q477*R477)</x:f>
        <x:v>56</x:v>
      </x:c>
      <x:c r="Y477" s="93" t="n">
        <x:f>W477-X477</x:f>
        <x:v>62</x:v>
      </x:c>
      <x:c r="Z477" s="94" t="n">
        <x:f>IFERROR(Y477/W477,0)</x:f>
        <x:v>0.5254237288135594</x:v>
      </x:c>
      <x:c r="AA477" s="84" t="str">
        <x:f>PROPER(TRIM('Raw Sales'!M477))</x:f>
        <x:v>Credit Card</x:v>
      </x:c>
      <x:c r="AB477" s="84" t="str">
        <x:f>PROPER(TRIM('Raw Sales'!N477))</x:f>
        <x:v>Ava Mitchell</x:v>
      </x:c>
      <x:c r="AC477" s="85" t="n">
        <x:f>'Raw Sales'!O477</x:f>
        <x:v>45468</x:v>
      </x:c>
      <x:c r="AD477" s="84" t="n">
        <x:f>AC477-B477</x:f>
        <x:v>0</x:v>
      </x:c>
      <x:c r="AE477" s="84" t="str">
        <x:f>IF(COUNTIF($A$5:A477,A477)&gt;1,"Duplicate","Keep")</x:f>
        <x:v>Keep</x:v>
      </x:c>
      <x:c r="AF477" s="84" t="str">
        <x:f>IF(OR(R477&lt;=0,AC477&lt;B477,H477="Unknown",M477="Unknown Product"),"Review","Valid")</x:f>
        <x:v>Valid</x:v>
      </x:c>
      <x:c r="AG477" s="84" t="n">
        <x:f>IF(AND(AE477="Keep",AF477="Valid"),1,0)</x:f>
        <x:v>1</x:v>
      </x:c>
      <x:c r="AH477" s="84" t="n">
        <x:f>IF(AND(AG477=1,OR('Dashboard'!$B$4="All",I477='Dashboard'!$B$4),OR('Dashboard'!$E$4="All",N477='Dashboard'!$E$4),OR('Dashboard'!$H$4="All",K477='Dashboard'!$H$4),OR('Dashboard'!$K$4="All",C477='Dashboard'!$K$4)),1,0)</x:f>
        <x:v>1</x:v>
      </x:c>
      <x:c r="AI477" s="84" t="n">
        <x:f>IF(AND(AG477=1,OR('Dashboard'!$B$4="All",I477='Dashboard'!$B$4),OR('Dashboard'!$E$4="All",N477='Dashboard'!$E$4),OR('Dashboard'!$H$4="All",K477='Dashboard'!$H$4)),1,0)</x:f>
        <x:v>1</x:v>
      </x:c>
    </x:row>
    <x:row r="478">
      <x:c r="A478" s="84" t="str">
        <x:f>'Raw Sales'!A478</x:f>
        <x:v>ORD-2024-01395</x:v>
      </x:c>
      <x:c r="B478" s="85" t="n">
        <x:f>'Raw Sales'!B478</x:f>
        <x:v>45469</x:v>
      </x:c>
      <x:c r="C478" s="84" t="n">
        <x:f>YEAR(B478)</x:f>
        <x:v>2024</x:v>
      </x:c>
      <x:c r="D478" s="91" t="n">
        <x:f>DATE(YEAR(B478),MONTH(B478),1)</x:f>
        <x:v>45444</x:v>
      </x:c>
      <x:c r="E478" s="84" t="str">
        <x:f>TEXT(B478,"mmm")</x:f>
        <x:v>Jun</x:v>
      </x:c>
      <x:c r="F478" s="84" t="str">
        <x:f>'Raw Sales'!C478</x:f>
        <x:v>CUST-0555</x:v>
      </x:c>
      <x:c r="G478" s="84" t="str">
        <x:f>PROPER(TRIM('Raw Sales'!D478))</x:f>
        <x:v>Marcus Nelson</x:v>
      </x:c>
      <x:c r="H478" s="84" t="str">
        <x:f>IF(TRIM('Raw Sales'!E478)="","Unknown",PROPER(TRIM('Raw Sales'!E478)))</x:f>
        <x:v>Corporate</x:v>
      </x:c>
      <x:c r="I478" s="84" t="str">
        <x:f>PROPER(TRIM('Raw Sales'!F478))</x:f>
        <x:v>West</x:v>
      </x:c>
      <x:c r="J478" s="84" t="str">
        <x:f>PROPER(TRIM('Raw Sales'!G478))</x:f>
        <x:v>Seattle</x:v>
      </x:c>
      <x:c r="K478" s="84" t="str">
        <x:f>PROPER(TRIM('Raw Sales'!H478))</x:f>
        <x:v>Retail Store</x:v>
      </x:c>
      <x:c r="L478" s="84" t="str">
        <x:f>'Raw Sales'!I478</x:f>
        <x:v>ELEC-005</x:v>
      </x:c>
      <x:c r="M478" s="84" t="str">
        <x:f>IFERROR(VLOOKUP(L478,'Reference Data'!$A$5:$F$40,2,FALSE),"Unknown Product")</x:f>
        <x:v>HD Webcam</x:v>
      </x:c>
      <x:c r="N478" s="84" t="str">
        <x:f>IFERROR(VLOOKUP(L478,'Reference Data'!$A$5:$F$40,3,FALSE),"Unknown")</x:f>
        <x:v>Electronics</x:v>
      </x:c>
      <x:c r="O478" s="84" t="str">
        <x:f>IFERROR(VLOOKUP(L478,'Reference Data'!$A$5:$F$40,4,FALSE),"Unknown")</x:f>
        <x:v>Computer Accessories</x:v>
      </x:c>
      <x:c r="P478" s="92" t="n">
        <x:f>IFERROR(VLOOKUP(L478,'Reference Data'!$A$5:$F$40,5,FALSE),0)</x:f>
        <x:v>79</x:v>
      </x:c>
      <x:c r="Q478" s="92" t="n">
        <x:f>IFERROR(VLOOKUP(L478,'Reference Data'!$A$5:$F$40,6,FALSE),0)</x:f>
        <x:v>37</x:v>
      </x:c>
      <x:c r="R478" s="84" t="n">
        <x:f>'Raw Sales'!J478</x:f>
        <x:v>4</x:v>
      </x:c>
      <x:c r="S478" s="87" t="n">
        <x:f>'Raw Sales'!K478</x:f>
        <x:v>0.05</x:v>
      </x:c>
      <x:c r="T478" s="93" t="n">
        <x:f>P478*R478</x:f>
        <x:v>316</x:v>
      </x:c>
      <x:c r="U478" s="93" t="n">
        <x:f>T478*S478</x:f>
        <x:v>15.8</x:v>
      </x:c>
      <x:c r="V478" s="93" t="str">
        <x:f>PROPER(TRIM('Raw Sales'!L478))</x:f>
        <x:v>Returned</x:v>
      </x:c>
      <x:c r="W478" s="93" t="n">
        <x:f>IF(V478="Returned",0,T478-U478)</x:f>
        <x:v>0</x:v>
      </x:c>
      <x:c r="X478" s="93" t="n">
        <x:f>IF(V478="Returned",Q478*R478*10%,Q478*R478)</x:f>
        <x:v>14.8</x:v>
      </x:c>
      <x:c r="Y478" s="93" t="n">
        <x:f>W478-X478</x:f>
        <x:v>-14.8</x:v>
      </x:c>
      <x:c r="Z478" s="94" t="n">
        <x:f>IFERROR(Y478/W478,0)</x:f>
        <x:v>0</x:v>
      </x:c>
      <x:c r="AA478" s="84" t="str">
        <x:f>PROPER(TRIM('Raw Sales'!M478))</x:f>
        <x:v>Cash</x:v>
      </x:c>
      <x:c r="AB478" s="84" t="str">
        <x:f>PROPER(TRIM('Raw Sales'!N478))</x:f>
        <x:v>Leo Martinez</x:v>
      </x:c>
      <x:c r="AC478" s="85" t="n">
        <x:f>'Raw Sales'!O478</x:f>
        <x:v>45470</x:v>
      </x:c>
      <x:c r="AD478" s="84" t="n">
        <x:f>AC478-B478</x:f>
        <x:v>1</x:v>
      </x:c>
      <x:c r="AE478" s="84" t="str">
        <x:f>IF(COUNTIF($A$5:A478,A478)&gt;1,"Duplicate","Keep")</x:f>
        <x:v>Keep</x:v>
      </x:c>
      <x:c r="AF478" s="84" t="str">
        <x:f>IF(OR(R478&lt;=0,AC478&lt;B478,H478="Unknown",M478="Unknown Product"),"Review","Valid")</x:f>
        <x:v>Valid</x:v>
      </x:c>
      <x:c r="AG478" s="84" t="n">
        <x:f>IF(AND(AE478="Keep",AF478="Valid"),1,0)</x:f>
        <x:v>1</x:v>
      </x:c>
      <x:c r="AH478" s="84" t="n">
        <x:f>IF(AND(AG478=1,OR('Dashboard'!$B$4="All",I478='Dashboard'!$B$4),OR('Dashboard'!$E$4="All",N478='Dashboard'!$E$4),OR('Dashboard'!$H$4="All",K478='Dashboard'!$H$4),OR('Dashboard'!$K$4="All",C478='Dashboard'!$K$4)),1,0)</x:f>
        <x:v>1</x:v>
      </x:c>
      <x:c r="AI478" s="84" t="n">
        <x:f>IF(AND(AG478=1,OR('Dashboard'!$B$4="All",I478='Dashboard'!$B$4),OR('Dashboard'!$E$4="All",N478='Dashboard'!$E$4),OR('Dashboard'!$H$4="All",K478='Dashboard'!$H$4)),1,0)</x:f>
        <x:v>1</x:v>
      </x:c>
    </x:row>
    <x:row r="479">
      <x:c r="A479" s="84" t="str">
        <x:f>'Raw Sales'!A479</x:f>
        <x:v>ORD-2024-01652</x:v>
      </x:c>
      <x:c r="B479" s="85" t="n">
        <x:f>'Raw Sales'!B479</x:f>
        <x:v>45469</x:v>
      </x:c>
      <x:c r="C479" s="84" t="n">
        <x:f>YEAR(B479)</x:f>
        <x:v>2024</x:v>
      </x:c>
      <x:c r="D479" s="91" t="n">
        <x:f>DATE(YEAR(B479),MONTH(B479),1)</x:f>
        <x:v>45444</x:v>
      </x:c>
      <x:c r="E479" s="84" t="str">
        <x:f>TEXT(B479,"mmm")</x:f>
        <x:v>Jun</x:v>
      </x:c>
      <x:c r="F479" s="84" t="str">
        <x:f>'Raw Sales'!C479</x:f>
        <x:v>CUST-0401</x:v>
      </x:c>
      <x:c r="G479" s="84" t="str">
        <x:f>PROPER(TRIM('Raw Sales'!D479))</x:f>
        <x:v>Priya Hall</x:v>
      </x:c>
      <x:c r="H479" s="84" t="str">
        <x:f>IF(TRIM('Raw Sales'!E479)="","Unknown",PROPER(TRIM('Raw Sales'!E479)))</x:f>
        <x:v>Consumer</x:v>
      </x:c>
      <x:c r="I479" s="84" t="str">
        <x:f>PROPER(TRIM('Raw Sales'!F479))</x:f>
        <x:v>Northeast</x:v>
      </x:c>
      <x:c r="J479" s="84" t="str">
        <x:f>PROPER(TRIM('Raw Sales'!G479))</x:f>
        <x:v>Newark</x:v>
      </x:c>
      <x:c r="K479" s="84" t="str">
        <x:f>PROPER(TRIM('Raw Sales'!H479))</x:f>
        <x:v>Retail Store</x:v>
      </x:c>
      <x:c r="L479" s="84" t="str">
        <x:f>'Raw Sales'!I479</x:f>
        <x:v>ACCS-004</x:v>
      </x:c>
      <x:c r="M479" s="84" t="str">
        <x:f>IFERROR(VLOOKUP(L479,'Reference Data'!$A$5:$F$40,2,FALSE),"Unknown Product")</x:f>
        <x:v>Leather Wallet</x:v>
      </x:c>
      <x:c r="N479" s="84" t="str">
        <x:f>IFERROR(VLOOKUP(L479,'Reference Data'!$A$5:$F$40,3,FALSE),"Unknown")</x:f>
        <x:v>Accessories</x:v>
      </x:c>
      <x:c r="O479" s="84" t="str">
        <x:f>IFERROR(VLOOKUP(L479,'Reference Data'!$A$5:$F$40,4,FALSE),"Unknown")</x:f>
        <x:v>Wallets</x:v>
      </x:c>
      <x:c r="P479" s="92" t="n">
        <x:f>IFERROR(VLOOKUP(L479,'Reference Data'!$A$5:$F$40,5,FALSE),0)</x:f>
        <x:v>49</x:v>
      </x:c>
      <x:c r="Q479" s="92" t="n">
        <x:f>IFERROR(VLOOKUP(L479,'Reference Data'!$A$5:$F$40,6,FALSE),0)</x:f>
        <x:v>18</x:v>
      </x:c>
      <x:c r="R479" s="84" t="n">
        <x:f>'Raw Sales'!J479</x:f>
        <x:v>1</x:v>
      </x:c>
      <x:c r="S479" s="87" t="n">
        <x:f>'Raw Sales'!K479</x:f>
        <x:v>0.1</x:v>
      </x:c>
      <x:c r="T479" s="93" t="n">
        <x:f>P479*R479</x:f>
        <x:v>49</x:v>
      </x:c>
      <x:c r="U479" s="93" t="n">
        <x:f>T479*S479</x:f>
        <x:v>4.9</x:v>
      </x:c>
      <x:c r="V479" s="93" t="str">
        <x:f>PROPER(TRIM('Raw Sales'!L479))</x:f>
        <x:v>Completed</x:v>
      </x:c>
      <x:c r="W479" s="93" t="n">
        <x:f>IF(V479="Returned",0,T479-U479)</x:f>
        <x:v>44.1</x:v>
      </x:c>
      <x:c r="X479" s="93" t="n">
        <x:f>IF(V479="Returned",Q479*R479*10%,Q479*R479)</x:f>
        <x:v>18</x:v>
      </x:c>
      <x:c r="Y479" s="93" t="n">
        <x:f>W479-X479</x:f>
        <x:v>26.1</x:v>
      </x:c>
      <x:c r="Z479" s="94" t="n">
        <x:f>IFERROR(Y479/W479,0)</x:f>
        <x:v>0.5918367346938775</x:v>
      </x:c>
      <x:c r="AA479" s="84" t="str">
        <x:f>PROPER(TRIM('Raw Sales'!M479))</x:f>
        <x:v>Debit Card</x:v>
      </x:c>
      <x:c r="AB479" s="84" t="str">
        <x:f>PROPER(TRIM('Raw Sales'!N479))</x:f>
        <x:v>Ethan Cole</x:v>
      </x:c>
      <x:c r="AC479" s="85" t="n">
        <x:f>'Raw Sales'!O479</x:f>
        <x:v>45469</x:v>
      </x:c>
      <x:c r="AD479" s="84" t="n">
        <x:f>AC479-B479</x:f>
        <x:v>0</x:v>
      </x:c>
      <x:c r="AE479" s="84" t="str">
        <x:f>IF(COUNTIF($A$5:A479,A479)&gt;1,"Duplicate","Keep")</x:f>
        <x:v>Keep</x:v>
      </x:c>
      <x:c r="AF479" s="84" t="str">
        <x:f>IF(OR(R479&lt;=0,AC479&lt;B479,H479="Unknown",M479="Unknown Product"),"Review","Valid")</x:f>
        <x:v>Valid</x:v>
      </x:c>
      <x:c r="AG479" s="84" t="n">
        <x:f>IF(AND(AE479="Keep",AF479="Valid"),1,0)</x:f>
        <x:v>1</x:v>
      </x:c>
      <x:c r="AH479" s="84" t="n">
        <x:f>IF(AND(AG479=1,OR('Dashboard'!$B$4="All",I479='Dashboard'!$B$4),OR('Dashboard'!$E$4="All",N479='Dashboard'!$E$4),OR('Dashboard'!$H$4="All",K479='Dashboard'!$H$4),OR('Dashboard'!$K$4="All",C479='Dashboard'!$K$4)),1,0)</x:f>
        <x:v>1</x:v>
      </x:c>
      <x:c r="AI479" s="84" t="n">
        <x:f>IF(AND(AG479=1,OR('Dashboard'!$B$4="All",I479='Dashboard'!$B$4),OR('Dashboard'!$E$4="All",N479='Dashboard'!$E$4),OR('Dashboard'!$H$4="All",K479='Dashboard'!$H$4)),1,0)</x:f>
        <x:v>1</x:v>
      </x:c>
    </x:row>
    <x:row r="480">
      <x:c r="A480" s="84" t="str">
        <x:f>'Raw Sales'!A480</x:f>
        <x:v>ORD-2024-02162</x:v>
      </x:c>
      <x:c r="B480" s="85" t="n">
        <x:f>'Raw Sales'!B480</x:f>
        <x:v>45469</x:v>
      </x:c>
      <x:c r="C480" s="84" t="n">
        <x:f>YEAR(B480)</x:f>
        <x:v>2024</x:v>
      </x:c>
      <x:c r="D480" s="91" t="n">
        <x:f>DATE(YEAR(B480),MONTH(B480),1)</x:f>
        <x:v>45444</x:v>
      </x:c>
      <x:c r="E480" s="84" t="str">
        <x:f>TEXT(B480,"mmm")</x:f>
        <x:v>Jun</x:v>
      </x:c>
      <x:c r="F480" s="84" t="str">
        <x:f>'Raw Sales'!C480</x:f>
        <x:v>CUST-0173</x:v>
      </x:c>
      <x:c r="G480" s="84" t="str">
        <x:f>PROPER(TRIM('Raw Sales'!D480))</x:f>
        <x:v>Theo Evans</x:v>
      </x:c>
      <x:c r="H480" s="84" t="str">
        <x:f>IF(TRIM('Raw Sales'!E480)="","Unknown",PROPER(TRIM('Raw Sales'!E480)))</x:f>
        <x:v>Consumer</x:v>
      </x:c>
      <x:c r="I480" s="84" t="str">
        <x:f>PROPER(TRIM('Raw Sales'!F480))</x:f>
        <x:v>Northeast</x:v>
      </x:c>
      <x:c r="J480" s="84" t="str">
        <x:f>PROPER(TRIM('Raw Sales'!G480))</x:f>
        <x:v>Boston</x:v>
      </x:c>
      <x:c r="K480" s="84" t="str">
        <x:f>PROPER(TRIM('Raw Sales'!H480))</x:f>
        <x:v>Retail Store</x:v>
      </x:c>
      <x:c r="L480" s="84" t="str">
        <x:f>'Raw Sales'!I480</x:f>
        <x:v>HOME-006</x:v>
      </x:c>
      <x:c r="M480" s="84" t="str">
        <x:f>IFERROR(VLOOKUP(L480,'Reference Data'!$A$5:$F$40,2,FALSE),"Unknown Product")</x:f>
        <x:v>Food Storage Set</x:v>
      </x:c>
      <x:c r="N480" s="84" t="str">
        <x:f>IFERROR(VLOOKUP(L480,'Reference Data'!$A$5:$F$40,3,FALSE),"Unknown")</x:f>
        <x:v>Home &amp; Kitchen</x:v>
      </x:c>
      <x:c r="O480" s="84" t="str">
        <x:f>IFERROR(VLOOKUP(L480,'Reference Data'!$A$5:$F$40,4,FALSE),"Unknown")</x:f>
        <x:v>Kitchenware</x:v>
      </x:c>
      <x:c r="P480" s="92" t="n">
        <x:f>IFERROR(VLOOKUP(L480,'Reference Data'!$A$5:$F$40,5,FALSE),0)</x:f>
        <x:v>34</x:v>
      </x:c>
      <x:c r="Q480" s="92" t="n">
        <x:f>IFERROR(VLOOKUP(L480,'Reference Data'!$A$5:$F$40,6,FALSE),0)</x:f>
        <x:v>15</x:v>
      </x:c>
      <x:c r="R480" s="84" t="n">
        <x:f>'Raw Sales'!J480</x:f>
        <x:v>1</x:v>
      </x:c>
      <x:c r="S480" s="87" t="n">
        <x:f>'Raw Sales'!K480</x:f>
        <x:v>0.05</x:v>
      </x:c>
      <x:c r="T480" s="93" t="n">
        <x:f>P480*R480</x:f>
        <x:v>34</x:v>
      </x:c>
      <x:c r="U480" s="93" t="n">
        <x:f>T480*S480</x:f>
        <x:v>1.7000000000000002</x:v>
      </x:c>
      <x:c r="V480" s="93" t="str">
        <x:f>PROPER(TRIM('Raw Sales'!L480))</x:f>
        <x:v>Completed</x:v>
      </x:c>
      <x:c r="W480" s="93" t="n">
        <x:f>IF(V480="Returned",0,T480-U480)</x:f>
        <x:v>32.3</x:v>
      </x:c>
      <x:c r="X480" s="93" t="n">
        <x:f>IF(V480="Returned",Q480*R480*10%,Q480*R480)</x:f>
        <x:v>15</x:v>
      </x:c>
      <x:c r="Y480" s="93" t="n">
        <x:f>W480-X480</x:f>
        <x:v>17.299999999999997</x:v>
      </x:c>
      <x:c r="Z480" s="94" t="n">
        <x:f>IFERROR(Y480/W480,0)</x:f>
        <x:v>0.5356037151702786</x:v>
      </x:c>
      <x:c r="AA480" s="84" t="str">
        <x:f>PROPER(TRIM('Raw Sales'!M480))</x:f>
        <x:v>Credit Card</x:v>
      </x:c>
      <x:c r="AB480" s="84" t="str">
        <x:f>PROPER(TRIM('Raw Sales'!N480))</x:f>
        <x:v>Ethan Cole</x:v>
      </x:c>
      <x:c r="AC480" s="85" t="n">
        <x:f>'Raw Sales'!O480</x:f>
        <x:v>45469</x:v>
      </x:c>
      <x:c r="AD480" s="84" t="n">
        <x:f>AC480-B480</x:f>
        <x:v>0</x:v>
      </x:c>
      <x:c r="AE480" s="84" t="str">
        <x:f>IF(COUNTIF($A$5:A480,A480)&gt;1,"Duplicate","Keep")</x:f>
        <x:v>Keep</x:v>
      </x:c>
      <x:c r="AF480" s="84" t="str">
        <x:f>IF(OR(R480&lt;=0,AC480&lt;B480,H480="Unknown",M480="Unknown Product"),"Review","Valid")</x:f>
        <x:v>Valid</x:v>
      </x:c>
      <x:c r="AG480" s="84" t="n">
        <x:f>IF(AND(AE480="Keep",AF480="Valid"),1,0)</x:f>
        <x:v>1</x:v>
      </x:c>
      <x:c r="AH480" s="84" t="n">
        <x:f>IF(AND(AG480=1,OR('Dashboard'!$B$4="All",I480='Dashboard'!$B$4),OR('Dashboard'!$E$4="All",N480='Dashboard'!$E$4),OR('Dashboard'!$H$4="All",K480='Dashboard'!$H$4),OR('Dashboard'!$K$4="All",C480='Dashboard'!$K$4)),1,0)</x:f>
        <x:v>1</x:v>
      </x:c>
      <x:c r="AI480" s="84" t="n">
        <x:f>IF(AND(AG480=1,OR('Dashboard'!$B$4="All",I480='Dashboard'!$B$4),OR('Dashboard'!$E$4="All",N480='Dashboard'!$E$4),OR('Dashboard'!$H$4="All",K480='Dashboard'!$H$4)),1,0)</x:f>
        <x:v>1</x:v>
      </x:c>
    </x:row>
    <x:row r="481">
      <x:c r="A481" s="84" t="str">
        <x:f>'Raw Sales'!A481</x:f>
        <x:v>ORD-2024-00318</x:v>
      </x:c>
      <x:c r="B481" s="85" t="n">
        <x:f>'Raw Sales'!B481</x:f>
        <x:v>45470</x:v>
      </x:c>
      <x:c r="C481" s="84" t="n">
        <x:f>YEAR(B481)</x:f>
        <x:v>2024</x:v>
      </x:c>
      <x:c r="D481" s="91" t="n">
        <x:f>DATE(YEAR(B481),MONTH(B481),1)</x:f>
        <x:v>45444</x:v>
      </x:c>
      <x:c r="E481" s="84" t="str">
        <x:f>TEXT(B481,"mmm")</x:f>
        <x:v>Jun</x:v>
      </x:c>
      <x:c r="F481" s="84" t="str">
        <x:f>'Raw Sales'!C481</x:f>
        <x:v>CUST-0048</x:v>
      </x:c>
      <x:c r="G481" s="84" t="str">
        <x:f>PROPER(TRIM('Raw Sales'!D481))</x:f>
        <x:v>Nathan Walker</x:v>
      </x:c>
      <x:c r="H481" s="84" t="str">
        <x:f>IF(TRIM('Raw Sales'!E481)="","Unknown",PROPER(TRIM('Raw Sales'!E481)))</x:f>
        <x:v>Consumer</x:v>
      </x:c>
      <x:c r="I481" s="84" t="str">
        <x:f>PROPER(TRIM('Raw Sales'!F481))</x:f>
        <x:v>West</x:v>
      </x:c>
      <x:c r="J481" s="84" t="str">
        <x:f>PROPER(TRIM('Raw Sales'!G481))</x:f>
        <x:v>Denver</x:v>
      </x:c>
      <x:c r="K481" s="84" t="str">
        <x:f>PROPER(TRIM('Raw Sales'!H481))</x:f>
        <x:v>Retail Store</x:v>
      </x:c>
      <x:c r="L481" s="84" t="str">
        <x:f>'Raw Sales'!I481</x:f>
        <x:v>ELEC-001</x:v>
      </x:c>
      <x:c r="M481" s="84" t="str">
        <x:f>IFERROR(VLOOKUP(L481,'Reference Data'!$A$5:$F$40,2,FALSE),"Unknown Product")</x:f>
        <x:v>Wireless Earbuds</x:v>
      </x:c>
      <x:c r="N481" s="84" t="str">
        <x:f>IFERROR(VLOOKUP(L481,'Reference Data'!$A$5:$F$40,3,FALSE),"Unknown")</x:f>
        <x:v>Electronics</x:v>
      </x:c>
      <x:c r="O481" s="84" t="str">
        <x:f>IFERROR(VLOOKUP(L481,'Reference Data'!$A$5:$F$40,4,FALSE),"Unknown")</x:f>
        <x:v>Audio</x:v>
      </x:c>
      <x:c r="P481" s="92" t="n">
        <x:f>IFERROR(VLOOKUP(L481,'Reference Data'!$A$5:$F$40,5,FALSE),0)</x:f>
        <x:v>69</x:v>
      </x:c>
      <x:c r="Q481" s="92" t="n">
        <x:f>IFERROR(VLOOKUP(L481,'Reference Data'!$A$5:$F$40,6,FALSE),0)</x:f>
        <x:v>36</x:v>
      </x:c>
      <x:c r="R481" s="84" t="n">
        <x:f>'Raw Sales'!J481</x:f>
        <x:v>1</x:v>
      </x:c>
      <x:c r="S481" s="87" t="n">
        <x:f>'Raw Sales'!K481</x:f>
        <x:v>0.05</x:v>
      </x:c>
      <x:c r="T481" s="93" t="n">
        <x:f>P481*R481</x:f>
        <x:v>69</x:v>
      </x:c>
      <x:c r="U481" s="93" t="n">
        <x:f>T481*S481</x:f>
        <x:v>3.45</x:v>
      </x:c>
      <x:c r="V481" s="93" t="str">
        <x:f>PROPER(TRIM('Raw Sales'!L481))</x:f>
        <x:v>Completed</x:v>
      </x:c>
      <x:c r="W481" s="93" t="n">
        <x:f>IF(V481="Returned",0,T481-U481)</x:f>
        <x:v>65.55</x:v>
      </x:c>
      <x:c r="X481" s="93" t="n">
        <x:f>IF(V481="Returned",Q481*R481*10%,Q481*R481)</x:f>
        <x:v>36</x:v>
      </x:c>
      <x:c r="Y481" s="93" t="n">
        <x:f>W481-X481</x:f>
        <x:v>29.549999999999997</x:v>
      </x:c>
      <x:c r="Z481" s="94" t="n">
        <x:f>IFERROR(Y481/W481,0)</x:f>
        <x:v>0.45080091533180777</x:v>
      </x:c>
      <x:c r="AA481" s="84" t="str">
        <x:f>PROPER(TRIM('Raw Sales'!M481))</x:f>
        <x:v>Mobile Wallet</x:v>
      </x:c>
      <x:c r="AB481" s="84" t="str">
        <x:f>PROPER(TRIM('Raw Sales'!N481))</x:f>
        <x:v>Leo Martinez</x:v>
      </x:c>
      <x:c r="AC481" s="85" t="n">
        <x:f>'Raw Sales'!O481</x:f>
        <x:v>45470</x:v>
      </x:c>
      <x:c r="AD481" s="84" t="n">
        <x:f>AC481-B481</x:f>
        <x:v>0</x:v>
      </x:c>
      <x:c r="AE481" s="84" t="str">
        <x:f>IF(COUNTIF($A$5:A481,A481)&gt;1,"Duplicate","Keep")</x:f>
        <x:v>Keep</x:v>
      </x:c>
      <x:c r="AF481" s="84" t="str">
        <x:f>IF(OR(R481&lt;=0,AC481&lt;B481,H481="Unknown",M481="Unknown Product"),"Review","Valid")</x:f>
        <x:v>Valid</x:v>
      </x:c>
      <x:c r="AG481" s="84" t="n">
        <x:f>IF(AND(AE481="Keep",AF481="Valid"),1,0)</x:f>
        <x:v>1</x:v>
      </x:c>
      <x:c r="AH481" s="84" t="n">
        <x:f>IF(AND(AG481=1,OR('Dashboard'!$B$4="All",I481='Dashboard'!$B$4),OR('Dashboard'!$E$4="All",N481='Dashboard'!$E$4),OR('Dashboard'!$H$4="All",K481='Dashboard'!$H$4),OR('Dashboard'!$K$4="All",C481='Dashboard'!$K$4)),1,0)</x:f>
        <x:v>1</x:v>
      </x:c>
      <x:c r="AI481" s="84" t="n">
        <x:f>IF(AND(AG481=1,OR('Dashboard'!$B$4="All",I481='Dashboard'!$B$4),OR('Dashboard'!$E$4="All",N481='Dashboard'!$E$4),OR('Dashboard'!$H$4="All",K481='Dashboard'!$H$4)),1,0)</x:f>
        <x:v>1</x:v>
      </x:c>
    </x:row>
    <x:row r="482">
      <x:c r="A482" s="84" t="str">
        <x:f>'Raw Sales'!A482</x:f>
        <x:v>ORD-2024-01563</x:v>
      </x:c>
      <x:c r="B482" s="85" t="n">
        <x:f>'Raw Sales'!B482</x:f>
        <x:v>45470</x:v>
      </x:c>
      <x:c r="C482" s="84" t="n">
        <x:f>YEAR(B482)</x:f>
        <x:v>2024</x:v>
      </x:c>
      <x:c r="D482" s="91" t="n">
        <x:f>DATE(YEAR(B482),MONTH(B482),1)</x:f>
        <x:v>45444</x:v>
      </x:c>
      <x:c r="E482" s="84" t="str">
        <x:f>TEXT(B482,"mmm")</x:f>
        <x:v>Jun</x:v>
      </x:c>
      <x:c r="F482" s="84" t="str">
        <x:f>'Raw Sales'!C482</x:f>
        <x:v>CUST-0497</x:v>
      </x:c>
      <x:c r="G482" s="84" t="str">
        <x:f>PROPER(TRIM('Raw Sales'!D482))</x:f>
        <x:v>Theo Foster</x:v>
      </x:c>
      <x:c r="H482" s="84" t="str">
        <x:f>IF(TRIM('Raw Sales'!E482)="","Unknown",PROPER(TRIM('Raw Sales'!E482)))</x:f>
        <x:v>Consumer</x:v>
      </x:c>
      <x:c r="I482" s="84" t="str">
        <x:f>PROPER(TRIM('Raw Sales'!F482))</x:f>
        <x:v>Midwest</x:v>
      </x:c>
      <x:c r="J482" s="84" t="str">
        <x:f>PROPER(TRIM('Raw Sales'!G482))</x:f>
        <x:v>Chicago</x:v>
      </x:c>
      <x:c r="K482" s="84" t="str">
        <x:f>PROPER(TRIM('Raw Sales'!H482))</x:f>
        <x:v>Online</x:v>
      </x:c>
      <x:c r="L482" s="84" t="str">
        <x:f>'Raw Sales'!I482</x:f>
        <x:v>ACCS-005</x:v>
      </x:c>
      <x:c r="M482" s="84" t="str">
        <x:f>IFERROR(VLOOKUP(L482,'Reference Data'!$A$5:$F$40,2,FALSE),"Unknown Product")</x:f>
        <x:v>Protective Phone Case</x:v>
      </x:c>
      <x:c r="N482" s="84" t="str">
        <x:f>IFERROR(VLOOKUP(L482,'Reference Data'!$A$5:$F$40,3,FALSE),"Unknown")</x:f>
        <x:v>Accessories</x:v>
      </x:c>
      <x:c r="O482" s="84" t="str">
        <x:f>IFERROR(VLOOKUP(L482,'Reference Data'!$A$5:$F$40,4,FALSE),"Unknown")</x:f>
        <x:v>Mobile Accessories</x:v>
      </x:c>
      <x:c r="P482" s="92" t="n">
        <x:f>IFERROR(VLOOKUP(L482,'Reference Data'!$A$5:$F$40,5,FALSE),0)</x:f>
        <x:v>24</x:v>
      </x:c>
      <x:c r="Q482" s="92" t="n">
        <x:f>IFERROR(VLOOKUP(L482,'Reference Data'!$A$5:$F$40,6,FALSE),0)</x:f>
        <x:v>5</x:v>
      </x:c>
      <x:c r="R482" s="84" t="n">
        <x:f>'Raw Sales'!J482</x:f>
        <x:v>2</x:v>
      </x:c>
      <x:c r="S482" s="87" t="n">
        <x:f>'Raw Sales'!K482</x:f>
        <x:v>0.1</x:v>
      </x:c>
      <x:c r="T482" s="93" t="n">
        <x:f>P482*R482</x:f>
        <x:v>48</x:v>
      </x:c>
      <x:c r="U482" s="93" t="n">
        <x:f>T482*S482</x:f>
        <x:v>4.800000000000001</x:v>
      </x:c>
      <x:c r="V482" s="93" t="str">
        <x:f>PROPER(TRIM('Raw Sales'!L482))</x:f>
        <x:v>Completed</x:v>
      </x:c>
      <x:c r="W482" s="93" t="n">
        <x:f>IF(V482="Returned",0,T482-U482)</x:f>
        <x:v>43.2</x:v>
      </x:c>
      <x:c r="X482" s="93" t="n">
        <x:f>IF(V482="Returned",Q482*R482*10%,Q482*R482)</x:f>
        <x:v>10</x:v>
      </x:c>
      <x:c r="Y482" s="93" t="n">
        <x:f>W482-X482</x:f>
        <x:v>33.2</x:v>
      </x:c>
      <x:c r="Z482" s="94" t="n">
        <x:f>IFERROR(Y482/W482,0)</x:f>
        <x:v>0.7685185185185185</x:v>
      </x:c>
      <x:c r="AA482" s="84" t="str">
        <x:f>PROPER(TRIM('Raw Sales'!M482))</x:f>
        <x:v>Credit Card</x:v>
      </x:c>
      <x:c r="AB482" s="84" t="str">
        <x:f>PROPER(TRIM('Raw Sales'!N482))</x:f>
        <x:v>Emma Hayes</x:v>
      </x:c>
      <x:c r="AC482" s="85" t="n">
        <x:f>'Raw Sales'!O482</x:f>
        <x:v>45472</x:v>
      </x:c>
      <x:c r="AD482" s="84" t="n">
        <x:f>AC482-B482</x:f>
        <x:v>2</x:v>
      </x:c>
      <x:c r="AE482" s="84" t="str">
        <x:f>IF(COUNTIF($A$5:A482,A482)&gt;1,"Duplicate","Keep")</x:f>
        <x:v>Keep</x:v>
      </x:c>
      <x:c r="AF482" s="84" t="str">
        <x:f>IF(OR(R482&lt;=0,AC482&lt;B482,H482="Unknown",M482="Unknown Product"),"Review","Valid")</x:f>
        <x:v>Valid</x:v>
      </x:c>
      <x:c r="AG482" s="84" t="n">
        <x:f>IF(AND(AE482="Keep",AF482="Valid"),1,0)</x:f>
        <x:v>1</x:v>
      </x:c>
      <x:c r="AH482" s="84" t="n">
        <x:f>IF(AND(AG482=1,OR('Dashboard'!$B$4="All",I482='Dashboard'!$B$4),OR('Dashboard'!$E$4="All",N482='Dashboard'!$E$4),OR('Dashboard'!$H$4="All",K482='Dashboard'!$H$4),OR('Dashboard'!$K$4="All",C482='Dashboard'!$K$4)),1,0)</x:f>
        <x:v>1</x:v>
      </x:c>
      <x:c r="AI482" s="84" t="n">
        <x:f>IF(AND(AG482=1,OR('Dashboard'!$B$4="All",I482='Dashboard'!$B$4),OR('Dashboard'!$E$4="All",N482='Dashboard'!$E$4),OR('Dashboard'!$H$4="All",K482='Dashboard'!$H$4)),1,0)</x:f>
        <x:v>1</x:v>
      </x:c>
    </x:row>
    <x:row r="483">
      <x:c r="A483" s="84" t="str">
        <x:f>'Raw Sales'!A483</x:f>
        <x:v>ORD-2024-01563</x:v>
      </x:c>
      <x:c r="B483" s="85" t="n">
        <x:f>'Raw Sales'!B483</x:f>
        <x:v>45470</x:v>
      </x:c>
      <x:c r="C483" s="84" t="n">
        <x:f>YEAR(B483)</x:f>
        <x:v>2024</x:v>
      </x:c>
      <x:c r="D483" s="91" t="n">
        <x:f>DATE(YEAR(B483),MONTH(B483),1)</x:f>
        <x:v>45444</x:v>
      </x:c>
      <x:c r="E483" s="84" t="str">
        <x:f>TEXT(B483,"mmm")</x:f>
        <x:v>Jun</x:v>
      </x:c>
      <x:c r="F483" s="84" t="str">
        <x:f>'Raw Sales'!C483</x:f>
        <x:v>CUST-0497</x:v>
      </x:c>
      <x:c r="G483" s="84" t="str">
        <x:f>PROPER(TRIM('Raw Sales'!D483))</x:f>
        <x:v>Theo Foster</x:v>
      </x:c>
      <x:c r="H483" s="84" t="str">
        <x:f>IF(TRIM('Raw Sales'!E483)="","Unknown",PROPER(TRIM('Raw Sales'!E483)))</x:f>
        <x:v>Consumer</x:v>
      </x:c>
      <x:c r="I483" s="84" t="str">
        <x:f>PROPER(TRIM('Raw Sales'!F483))</x:f>
        <x:v>Midwest</x:v>
      </x:c>
      <x:c r="J483" s="84" t="str">
        <x:f>PROPER(TRIM('Raw Sales'!G483))</x:f>
        <x:v>Chicago</x:v>
      </x:c>
      <x:c r="K483" s="84" t="str">
        <x:f>PROPER(TRIM('Raw Sales'!H483))</x:f>
        <x:v>Online</x:v>
      </x:c>
      <x:c r="L483" s="84" t="str">
        <x:f>'Raw Sales'!I483</x:f>
        <x:v>ACCS-005</x:v>
      </x:c>
      <x:c r="M483" s="84" t="str">
        <x:f>IFERROR(VLOOKUP(L483,'Reference Data'!$A$5:$F$40,2,FALSE),"Unknown Product")</x:f>
        <x:v>Protective Phone Case</x:v>
      </x:c>
      <x:c r="N483" s="84" t="str">
        <x:f>IFERROR(VLOOKUP(L483,'Reference Data'!$A$5:$F$40,3,FALSE),"Unknown")</x:f>
        <x:v>Accessories</x:v>
      </x:c>
      <x:c r="O483" s="84" t="str">
        <x:f>IFERROR(VLOOKUP(L483,'Reference Data'!$A$5:$F$40,4,FALSE),"Unknown")</x:f>
        <x:v>Mobile Accessories</x:v>
      </x:c>
      <x:c r="P483" s="92" t="n">
        <x:f>IFERROR(VLOOKUP(L483,'Reference Data'!$A$5:$F$40,5,FALSE),0)</x:f>
        <x:v>24</x:v>
      </x:c>
      <x:c r="Q483" s="92" t="n">
        <x:f>IFERROR(VLOOKUP(L483,'Reference Data'!$A$5:$F$40,6,FALSE),0)</x:f>
        <x:v>5</x:v>
      </x:c>
      <x:c r="R483" s="84" t="n">
        <x:f>'Raw Sales'!J483</x:f>
        <x:v>2</x:v>
      </x:c>
      <x:c r="S483" s="87" t="n">
        <x:f>'Raw Sales'!K483</x:f>
        <x:v>0.1</x:v>
      </x:c>
      <x:c r="T483" s="93" t="n">
        <x:f>P483*R483</x:f>
        <x:v>48</x:v>
      </x:c>
      <x:c r="U483" s="93" t="n">
        <x:f>T483*S483</x:f>
        <x:v>4.800000000000001</x:v>
      </x:c>
      <x:c r="V483" s="93" t="str">
        <x:f>PROPER(TRIM('Raw Sales'!L483))</x:f>
        <x:v>Completed</x:v>
      </x:c>
      <x:c r="W483" s="93" t="n">
        <x:f>IF(V483="Returned",0,T483-U483)</x:f>
        <x:v>43.2</x:v>
      </x:c>
      <x:c r="X483" s="93" t="n">
        <x:f>IF(V483="Returned",Q483*R483*10%,Q483*R483)</x:f>
        <x:v>10</x:v>
      </x:c>
      <x:c r="Y483" s="93" t="n">
        <x:f>W483-X483</x:f>
        <x:v>33.2</x:v>
      </x:c>
      <x:c r="Z483" s="94" t="n">
        <x:f>IFERROR(Y483/W483,0)</x:f>
        <x:v>0.7685185185185185</x:v>
      </x:c>
      <x:c r="AA483" s="84" t="str">
        <x:f>PROPER(TRIM('Raw Sales'!M483))</x:f>
        <x:v>Credit Card</x:v>
      </x:c>
      <x:c r="AB483" s="84" t="str">
        <x:f>PROPER(TRIM('Raw Sales'!N483))</x:f>
        <x:v>Emma Hayes</x:v>
      </x:c>
      <x:c r="AC483" s="85" t="n">
        <x:f>'Raw Sales'!O483</x:f>
        <x:v>45472</x:v>
      </x:c>
      <x:c r="AD483" s="84" t="n">
        <x:f>AC483-B483</x:f>
        <x:v>2</x:v>
      </x:c>
      <x:c r="AE483" s="84" t="str">
        <x:f>IF(COUNTIF($A$5:A483,A483)&gt;1,"Duplicate","Keep")</x:f>
        <x:v>Duplicate</x:v>
      </x:c>
      <x:c r="AF483" s="84" t="str">
        <x:f>IF(OR(R483&lt;=0,AC483&lt;B483,H483="Unknown",M483="Unknown Product"),"Review","Valid")</x:f>
        <x:v>Valid</x:v>
      </x:c>
      <x:c r="AG483" s="84" t="n">
        <x:f>IF(AND(AE483="Keep",AF483="Valid"),1,0)</x:f>
        <x:v>0</x:v>
      </x:c>
      <x:c r="AH483" s="84" t="n">
        <x:f>IF(AND(AG483=1,OR('Dashboard'!$B$4="All",I483='Dashboard'!$B$4),OR('Dashboard'!$E$4="All",N483='Dashboard'!$E$4),OR('Dashboard'!$H$4="All",K483='Dashboard'!$H$4),OR('Dashboard'!$K$4="All",C483='Dashboard'!$K$4)),1,0)</x:f>
        <x:v>0</x:v>
      </x:c>
      <x:c r="AI483" s="84" t="n">
        <x:f>IF(AND(AG483=1,OR('Dashboard'!$B$4="All",I483='Dashboard'!$B$4),OR('Dashboard'!$E$4="All",N483='Dashboard'!$E$4),OR('Dashboard'!$H$4="All",K483='Dashboard'!$H$4)),1,0)</x:f>
        <x:v>0</x:v>
      </x:c>
    </x:row>
    <x:row r="484">
      <x:c r="A484" s="84" t="str">
        <x:f>'Raw Sales'!A484</x:f>
        <x:v>ORD-2024-00514</x:v>
      </x:c>
      <x:c r="B484" s="85" t="n">
        <x:f>'Raw Sales'!B484</x:f>
        <x:v>45471</x:v>
      </x:c>
      <x:c r="C484" s="84" t="n">
        <x:f>YEAR(B484)</x:f>
        <x:v>2024</x:v>
      </x:c>
      <x:c r="D484" s="91" t="n">
        <x:f>DATE(YEAR(B484),MONTH(B484),1)</x:f>
        <x:v>45444</x:v>
      </x:c>
      <x:c r="E484" s="84" t="str">
        <x:f>TEXT(B484,"mmm")</x:f>
        <x:v>Jun</x:v>
      </x:c>
      <x:c r="F484" s="84" t="str">
        <x:f>'Raw Sales'!C484</x:f>
        <x:v>CUST-0208</x:v>
      </x:c>
      <x:c r="G484" s="84" t="str">
        <x:f>PROPER(TRIM('Raw Sales'!D484))</x:f>
        <x:v>Layla Patel</x:v>
      </x:c>
      <x:c r="H484" s="84" t="str">
        <x:f>IF(TRIM('Raw Sales'!E484)="","Unknown",PROPER(TRIM('Raw Sales'!E484)))</x:f>
        <x:v>Consumer</x:v>
      </x:c>
      <x:c r="I484" s="84" t="str">
        <x:f>PROPER(TRIM('Raw Sales'!F484))</x:f>
        <x:v>West</x:v>
      </x:c>
      <x:c r="J484" s="84" t="str">
        <x:f>PROPER(TRIM('Raw Sales'!G484))</x:f>
        <x:v>Los Angeles</x:v>
      </x:c>
      <x:c r="K484" s="84" t="str">
        <x:f>PROPER(TRIM('Raw Sales'!H484))</x:f>
        <x:v>Retail Store</x:v>
      </x:c>
      <x:c r="L484" s="84" t="str">
        <x:f>'Raw Sales'!I484</x:f>
        <x:v>ACCS-002</x:v>
      </x:c>
      <x:c r="M484" s="84" t="str">
        <x:f>IFERROR(VLOOKUP(L484,'Reference Data'!$A$5:$F$40,2,FALSE),"Unknown Product")</x:f>
        <x:v>Travel Backpack</x:v>
      </x:c>
      <x:c r="N484" s="84" t="str">
        <x:f>IFERROR(VLOOKUP(L484,'Reference Data'!$A$5:$F$40,3,FALSE),"Unknown")</x:f>
        <x:v>Accessories</x:v>
      </x:c>
      <x:c r="O484" s="84" t="str">
        <x:f>IFERROR(VLOOKUP(L484,'Reference Data'!$A$5:$F$40,4,FALSE),"Unknown")</x:f>
        <x:v>Bags</x:v>
      </x:c>
      <x:c r="P484" s="92" t="n">
        <x:f>IFERROR(VLOOKUP(L484,'Reference Data'!$A$5:$F$40,5,FALSE),0)</x:f>
        <x:v>89</x:v>
      </x:c>
      <x:c r="Q484" s="92" t="n">
        <x:f>IFERROR(VLOOKUP(L484,'Reference Data'!$A$5:$F$40,6,FALSE),0)</x:f>
        <x:v>36</x:v>
      </x:c>
      <x:c r="R484" s="84" t="n">
        <x:f>'Raw Sales'!J484</x:f>
        <x:v>2</x:v>
      </x:c>
      <x:c r="S484" s="87" t="n">
        <x:f>'Raw Sales'!K484</x:f>
        <x:v>0.05</x:v>
      </x:c>
      <x:c r="T484" s="93" t="n">
        <x:f>P484*R484</x:f>
        <x:v>178</x:v>
      </x:c>
      <x:c r="U484" s="93" t="n">
        <x:f>T484*S484</x:f>
        <x:v>8.9</x:v>
      </x:c>
      <x:c r="V484" s="93" t="str">
        <x:f>PROPER(TRIM('Raw Sales'!L484))</x:f>
        <x:v>Completed</x:v>
      </x:c>
      <x:c r="W484" s="93" t="n">
        <x:f>IF(V484="Returned",0,T484-U484)</x:f>
        <x:v>169.1</x:v>
      </x:c>
      <x:c r="X484" s="93" t="n">
        <x:f>IF(V484="Returned",Q484*R484*10%,Q484*R484)</x:f>
        <x:v>72</x:v>
      </x:c>
      <x:c r="Y484" s="93" t="n">
        <x:f>W484-X484</x:f>
        <x:v>97.1</x:v>
      </x:c>
      <x:c r="Z484" s="94" t="n">
        <x:f>IFERROR(Y484/W484,0)</x:f>
        <x:v>0.5742164399763453</x:v>
      </x:c>
      <x:c r="AA484" s="84" t="str">
        <x:f>PROPER(TRIM('Raw Sales'!M484))</x:f>
        <x:v>Credit Card</x:v>
      </x:c>
      <x:c r="AB484" s="84" t="str">
        <x:f>PROPER(TRIM('Raw Sales'!N484))</x:f>
        <x:v>Mia Chen</x:v>
      </x:c>
      <x:c r="AC484" s="85" t="n">
        <x:f>'Raw Sales'!O484</x:f>
        <x:v>45471</x:v>
      </x:c>
      <x:c r="AD484" s="84" t="n">
        <x:f>AC484-B484</x:f>
        <x:v>0</x:v>
      </x:c>
      <x:c r="AE484" s="84" t="str">
        <x:f>IF(COUNTIF($A$5:A484,A484)&gt;1,"Duplicate","Keep")</x:f>
        <x:v>Keep</x:v>
      </x:c>
      <x:c r="AF484" s="84" t="str">
        <x:f>IF(OR(R484&lt;=0,AC484&lt;B484,H484="Unknown",M484="Unknown Product"),"Review","Valid")</x:f>
        <x:v>Valid</x:v>
      </x:c>
      <x:c r="AG484" s="84" t="n">
        <x:f>IF(AND(AE484="Keep",AF484="Valid"),1,0)</x:f>
        <x:v>1</x:v>
      </x:c>
      <x:c r="AH484" s="84" t="n">
        <x:f>IF(AND(AG484=1,OR('Dashboard'!$B$4="All",I484='Dashboard'!$B$4),OR('Dashboard'!$E$4="All",N484='Dashboard'!$E$4),OR('Dashboard'!$H$4="All",K484='Dashboard'!$H$4),OR('Dashboard'!$K$4="All",C484='Dashboard'!$K$4)),1,0)</x:f>
        <x:v>1</x:v>
      </x:c>
      <x:c r="AI484" s="84" t="n">
        <x:f>IF(AND(AG484=1,OR('Dashboard'!$B$4="All",I484='Dashboard'!$B$4),OR('Dashboard'!$E$4="All",N484='Dashboard'!$E$4),OR('Dashboard'!$H$4="All",K484='Dashboard'!$H$4)),1,0)</x:f>
        <x:v>1</x:v>
      </x:c>
    </x:row>
    <x:row r="485">
      <x:c r="A485" s="84" t="str">
        <x:f>'Raw Sales'!A485</x:f>
        <x:v>ORD-2024-00651</x:v>
      </x:c>
      <x:c r="B485" s="85" t="n">
        <x:f>'Raw Sales'!B485</x:f>
        <x:v>45471</x:v>
      </x:c>
      <x:c r="C485" s="84" t="n">
        <x:f>YEAR(B485)</x:f>
        <x:v>2024</x:v>
      </x:c>
      <x:c r="D485" s="91" t="n">
        <x:f>DATE(YEAR(B485),MONTH(B485),1)</x:f>
        <x:v>45444</x:v>
      </x:c>
      <x:c r="E485" s="84" t="str">
        <x:f>TEXT(B485,"mmm")</x:f>
        <x:v>Jun</x:v>
      </x:c>
      <x:c r="F485" s="84" t="str">
        <x:f>'Raw Sales'!C485</x:f>
        <x:v>CUST-0105</x:v>
      </x:c>
      <x:c r="G485" s="84" t="str">
        <x:f>PROPER(TRIM('Raw Sales'!D485))</x:f>
        <x:v>Chloe Ortiz</x:v>
      </x:c>
      <x:c r="H485" s="84" t="str">
        <x:f>IF(TRIM('Raw Sales'!E485)="","Unknown",PROPER(TRIM('Raw Sales'!E485)))</x:f>
        <x:v>Corporate</x:v>
      </x:c>
      <x:c r="I485" s="84" t="str">
        <x:f>PROPER(TRIM('Raw Sales'!F485))</x:f>
        <x:v>West</x:v>
      </x:c>
      <x:c r="J485" s="84" t="str">
        <x:f>PROPER(TRIM('Raw Sales'!G485))</x:f>
        <x:v>Phoenix</x:v>
      </x:c>
      <x:c r="K485" s="84" t="str">
        <x:f>PROPER(TRIM('Raw Sales'!H485))</x:f>
        <x:v>Online</x:v>
      </x:c>
      <x:c r="L485" s="84" t="str">
        <x:f>'Raw Sales'!I485</x:f>
        <x:v>ELEC-002</x:v>
      </x:c>
      <x:c r="M485" s="84" t="str">
        <x:f>IFERROR(VLOOKUP(L485,'Reference Data'!$A$5:$F$40,2,FALSE),"Unknown Product")</x:f>
        <x:v>Smartwatch</x:v>
      </x:c>
      <x:c r="N485" s="84" t="str">
        <x:f>IFERROR(VLOOKUP(L485,'Reference Data'!$A$5:$F$40,3,FALSE),"Unknown")</x:f>
        <x:v>Electronics</x:v>
      </x:c>
      <x:c r="O485" s="84" t="str">
        <x:f>IFERROR(VLOOKUP(L485,'Reference Data'!$A$5:$F$40,4,FALSE),"Unknown")</x:f>
        <x:v>Wearables</x:v>
      </x:c>
      <x:c r="P485" s="92" t="n">
        <x:f>IFERROR(VLOOKUP(L485,'Reference Data'!$A$5:$F$40,5,FALSE),0)</x:f>
        <x:v>159</x:v>
      </x:c>
      <x:c r="Q485" s="92" t="n">
        <x:f>IFERROR(VLOOKUP(L485,'Reference Data'!$A$5:$F$40,6,FALSE),0)</x:f>
        <x:v>92</x:v>
      </x:c>
      <x:c r="R485" s="84" t="n">
        <x:f>'Raw Sales'!J485</x:f>
        <x:v>2</x:v>
      </x:c>
      <x:c r="S485" s="87" t="n">
        <x:f>'Raw Sales'!K485</x:f>
        <x:v>0.05</x:v>
      </x:c>
      <x:c r="T485" s="93" t="n">
        <x:f>P485*R485</x:f>
        <x:v>318</x:v>
      </x:c>
      <x:c r="U485" s="93" t="n">
        <x:f>T485*S485</x:f>
        <x:v>15.9</x:v>
      </x:c>
      <x:c r="V485" s="93" t="str">
        <x:f>PROPER(TRIM('Raw Sales'!L485))</x:f>
        <x:v>Completed</x:v>
      </x:c>
      <x:c r="W485" s="93" t="n">
        <x:f>IF(V485="Returned",0,T485-U485)</x:f>
        <x:v>302.1</x:v>
      </x:c>
      <x:c r="X485" s="93" t="n">
        <x:f>IF(V485="Returned",Q485*R485*10%,Q485*R485)</x:f>
        <x:v>184</x:v>
      </x:c>
      <x:c r="Y485" s="93" t="n">
        <x:f>W485-X485</x:f>
        <x:v>118.10000000000002</x:v>
      </x:c>
      <x:c r="Z485" s="94" t="n">
        <x:f>IFERROR(Y485/W485,0)</x:f>
        <x:v>0.39093015557762334</x:v>
      </x:c>
      <x:c r="AA485" s="84" t="str">
        <x:f>PROPER(TRIM('Raw Sales'!M485))</x:f>
        <x:v>Paypal</x:v>
      </x:c>
      <x:c r="AB485" s="84" t="str">
        <x:f>PROPER(TRIM('Raw Sales'!N485))</x:f>
        <x:v>Mia Chen</x:v>
      </x:c>
      <x:c r="AC485" s="85" t="n">
        <x:f>'Raw Sales'!O485</x:f>
        <x:v>45474</x:v>
      </x:c>
      <x:c r="AD485" s="84" t="n">
        <x:f>AC485-B485</x:f>
        <x:v>3</x:v>
      </x:c>
      <x:c r="AE485" s="84" t="str">
        <x:f>IF(COUNTIF($A$5:A485,A485)&gt;1,"Duplicate","Keep")</x:f>
        <x:v>Keep</x:v>
      </x:c>
      <x:c r="AF485" s="84" t="str">
        <x:f>IF(OR(R485&lt;=0,AC485&lt;B485,H485="Unknown",M485="Unknown Product"),"Review","Valid")</x:f>
        <x:v>Valid</x:v>
      </x:c>
      <x:c r="AG485" s="84" t="n">
        <x:f>IF(AND(AE485="Keep",AF485="Valid"),1,0)</x:f>
        <x:v>1</x:v>
      </x:c>
      <x:c r="AH485" s="84" t="n">
        <x:f>IF(AND(AG485=1,OR('Dashboard'!$B$4="All",I485='Dashboard'!$B$4),OR('Dashboard'!$E$4="All",N485='Dashboard'!$E$4),OR('Dashboard'!$H$4="All",K485='Dashboard'!$H$4),OR('Dashboard'!$K$4="All",C485='Dashboard'!$K$4)),1,0)</x:f>
        <x:v>1</x:v>
      </x:c>
      <x:c r="AI485" s="84" t="n">
        <x:f>IF(AND(AG485=1,OR('Dashboard'!$B$4="All",I485='Dashboard'!$B$4),OR('Dashboard'!$E$4="All",N485='Dashboard'!$E$4),OR('Dashboard'!$H$4="All",K485='Dashboard'!$H$4)),1,0)</x:f>
        <x:v>1</x:v>
      </x:c>
    </x:row>
    <x:row r="486">
      <x:c r="A486" s="84" t="str">
        <x:f>'Raw Sales'!A486</x:f>
        <x:v>ORD-2024-01050</x:v>
      </x:c>
      <x:c r="B486" s="85" t="n">
        <x:f>'Raw Sales'!B486</x:f>
        <x:v>45471</x:v>
      </x:c>
      <x:c r="C486" s="84" t="n">
        <x:f>YEAR(B486)</x:f>
        <x:v>2024</x:v>
      </x:c>
      <x:c r="D486" s="91" t="n">
        <x:f>DATE(YEAR(B486),MONTH(B486),1)</x:f>
        <x:v>45444</x:v>
      </x:c>
      <x:c r="E486" s="84" t="str">
        <x:f>TEXT(B486,"mmm")</x:f>
        <x:v>Jun</x:v>
      </x:c>
      <x:c r="F486" s="84" t="str">
        <x:f>'Raw Sales'!C486</x:f>
        <x:v>CUST-0623</x:v>
      </x:c>
      <x:c r="G486" s="84" t="str">
        <x:f>PROPER(TRIM('Raw Sales'!D486))</x:f>
        <x:v>Theo Roberts</x:v>
      </x:c>
      <x:c r="H486" s="84" t="str">
        <x:f>IF(TRIM('Raw Sales'!E486)="","Unknown",PROPER(TRIM('Raw Sales'!E486)))</x:f>
        <x:v>Small Business</x:v>
      </x:c>
      <x:c r="I486" s="84" t="str">
        <x:f>PROPER(TRIM('Raw Sales'!F486))</x:f>
        <x:v>Midwest</x:v>
      </x:c>
      <x:c r="J486" s="84" t="str">
        <x:f>PROPER(TRIM('Raw Sales'!G486))</x:f>
        <x:v>Detroit</x:v>
      </x:c>
      <x:c r="K486" s="84" t="str">
        <x:f>PROPER(TRIM('Raw Sales'!H486))</x:f>
        <x:v>Online</x:v>
      </x:c>
      <x:c r="L486" s="84" t="str">
        <x:f>'Raw Sales'!I486</x:f>
        <x:v>ACCS-004</x:v>
      </x:c>
      <x:c r="M486" s="84" t="str">
        <x:f>IFERROR(VLOOKUP(L486,'Reference Data'!$A$5:$F$40,2,FALSE),"Unknown Product")</x:f>
        <x:v>Leather Wallet</x:v>
      </x:c>
      <x:c r="N486" s="84" t="str">
        <x:f>IFERROR(VLOOKUP(L486,'Reference Data'!$A$5:$F$40,3,FALSE),"Unknown")</x:f>
        <x:v>Accessories</x:v>
      </x:c>
      <x:c r="O486" s="84" t="str">
        <x:f>IFERROR(VLOOKUP(L486,'Reference Data'!$A$5:$F$40,4,FALSE),"Unknown")</x:f>
        <x:v>Wallets</x:v>
      </x:c>
      <x:c r="P486" s="92" t="n">
        <x:f>IFERROR(VLOOKUP(L486,'Reference Data'!$A$5:$F$40,5,FALSE),0)</x:f>
        <x:v>49</x:v>
      </x:c>
      <x:c r="Q486" s="92" t="n">
        <x:f>IFERROR(VLOOKUP(L486,'Reference Data'!$A$5:$F$40,6,FALSE),0)</x:f>
        <x:v>18</x:v>
      </x:c>
      <x:c r="R486" s="84" t="n">
        <x:f>'Raw Sales'!J486</x:f>
        <x:v>1</x:v>
      </x:c>
      <x:c r="S486" s="87" t="n">
        <x:f>'Raw Sales'!K486</x:f>
        <x:v>0.1</x:v>
      </x:c>
      <x:c r="T486" s="93" t="n">
        <x:f>P486*R486</x:f>
        <x:v>49</x:v>
      </x:c>
      <x:c r="U486" s="93" t="n">
        <x:f>T486*S486</x:f>
        <x:v>4.9</x:v>
      </x:c>
      <x:c r="V486" s="93" t="str">
        <x:f>PROPER(TRIM('Raw Sales'!L486))</x:f>
        <x:v>Returned</x:v>
      </x:c>
      <x:c r="W486" s="93" t="n">
        <x:f>IF(V486="Returned",0,T486-U486)</x:f>
        <x:v>0</x:v>
      </x:c>
      <x:c r="X486" s="93" t="n">
        <x:f>IF(V486="Returned",Q486*R486*10%,Q486*R486)</x:f>
        <x:v>1.8</x:v>
      </x:c>
      <x:c r="Y486" s="93" t="n">
        <x:f>W486-X486</x:f>
        <x:v>-1.8</x:v>
      </x:c>
      <x:c r="Z486" s="94" t="n">
        <x:f>IFERROR(Y486/W486,0)</x:f>
        <x:v>0</x:v>
      </x:c>
      <x:c r="AA486" s="84" t="str">
        <x:f>PROPER(TRIM('Raw Sales'!M486))</x:f>
        <x:v>Paypal</x:v>
      </x:c>
      <x:c r="AB486" s="84" t="str">
        <x:f>PROPER(TRIM('Raw Sales'!N486))</x:f>
        <x:v>Zoe Turner</x:v>
      </x:c>
      <x:c r="AC486" s="85" t="n">
        <x:f>'Raw Sales'!O486</x:f>
        <x:v>45475</x:v>
      </x:c>
      <x:c r="AD486" s="84" t="n">
        <x:f>AC486-B486</x:f>
        <x:v>4</x:v>
      </x:c>
      <x:c r="AE486" s="84" t="str">
        <x:f>IF(COUNTIF($A$5:A486,A486)&gt;1,"Duplicate","Keep")</x:f>
        <x:v>Keep</x:v>
      </x:c>
      <x:c r="AF486" s="84" t="str">
        <x:f>IF(OR(R486&lt;=0,AC486&lt;B486,H486="Unknown",M486="Unknown Product"),"Review","Valid")</x:f>
        <x:v>Valid</x:v>
      </x:c>
      <x:c r="AG486" s="84" t="n">
        <x:f>IF(AND(AE486="Keep",AF486="Valid"),1,0)</x:f>
        <x:v>1</x:v>
      </x:c>
      <x:c r="AH486" s="84" t="n">
        <x:f>IF(AND(AG486=1,OR('Dashboard'!$B$4="All",I486='Dashboard'!$B$4),OR('Dashboard'!$E$4="All",N486='Dashboard'!$E$4),OR('Dashboard'!$H$4="All",K486='Dashboard'!$H$4),OR('Dashboard'!$K$4="All",C486='Dashboard'!$K$4)),1,0)</x:f>
        <x:v>1</x:v>
      </x:c>
      <x:c r="AI486" s="84" t="n">
        <x:f>IF(AND(AG486=1,OR('Dashboard'!$B$4="All",I486='Dashboard'!$B$4),OR('Dashboard'!$E$4="All",N486='Dashboard'!$E$4),OR('Dashboard'!$H$4="All",K486='Dashboard'!$H$4)),1,0)</x:f>
        <x:v>1</x:v>
      </x:c>
    </x:row>
    <x:row r="487">
      <x:c r="A487" s="84" t="str">
        <x:f>'Raw Sales'!A487</x:f>
        <x:v>ORD-2024-02299</x:v>
      </x:c>
      <x:c r="B487" s="85" t="n">
        <x:f>'Raw Sales'!B487</x:f>
        <x:v>45471</x:v>
      </x:c>
      <x:c r="C487" s="84" t="n">
        <x:f>YEAR(B487)</x:f>
        <x:v>2024</x:v>
      </x:c>
      <x:c r="D487" s="91" t="n">
        <x:f>DATE(YEAR(B487),MONTH(B487),1)</x:f>
        <x:v>45444</x:v>
      </x:c>
      <x:c r="E487" s="84" t="str">
        <x:f>TEXT(B487,"mmm")</x:f>
        <x:v>Jun</x:v>
      </x:c>
      <x:c r="F487" s="84" t="str">
        <x:f>'Raw Sales'!C487</x:f>
        <x:v>CUST-0502</x:v>
      </x:c>
      <x:c r="G487" s="84" t="str">
        <x:f>PROPER(TRIM('Raw Sales'!D487))</x:f>
        <x:v>Owen Lewis</x:v>
      </x:c>
      <x:c r="H487" s="84" t="str">
        <x:f>IF(TRIM('Raw Sales'!E487)="","Unknown",PROPER(TRIM('Raw Sales'!E487)))</x:f>
        <x:v>Consumer</x:v>
      </x:c>
      <x:c r="I487" s="84" t="str">
        <x:f>PROPER(TRIM('Raw Sales'!F487))</x:f>
        <x:v>Midwest</x:v>
      </x:c>
      <x:c r="J487" s="84" t="str">
        <x:f>PROPER(TRIM('Raw Sales'!G487))</x:f>
        <x:v>Detroit</x:v>
      </x:c>
      <x:c r="K487" s="84" t="str">
        <x:f>PROPER(TRIM('Raw Sales'!H487))</x:f>
        <x:v>Retail Store</x:v>
      </x:c>
      <x:c r="L487" s="84" t="str">
        <x:f>'Raw Sales'!I487</x:f>
        <x:v>ACCS-005</x:v>
      </x:c>
      <x:c r="M487" s="84" t="str">
        <x:f>IFERROR(VLOOKUP(L487,'Reference Data'!$A$5:$F$40,2,FALSE),"Unknown Product")</x:f>
        <x:v>Protective Phone Case</x:v>
      </x:c>
      <x:c r="N487" s="84" t="str">
        <x:f>IFERROR(VLOOKUP(L487,'Reference Data'!$A$5:$F$40,3,FALSE),"Unknown")</x:f>
        <x:v>Accessories</x:v>
      </x:c>
      <x:c r="O487" s="84" t="str">
        <x:f>IFERROR(VLOOKUP(L487,'Reference Data'!$A$5:$F$40,4,FALSE),"Unknown")</x:f>
        <x:v>Mobile Accessories</x:v>
      </x:c>
      <x:c r="P487" s="92" t="n">
        <x:f>IFERROR(VLOOKUP(L487,'Reference Data'!$A$5:$F$40,5,FALSE),0)</x:f>
        <x:v>24</x:v>
      </x:c>
      <x:c r="Q487" s="92" t="n">
        <x:f>IFERROR(VLOOKUP(L487,'Reference Data'!$A$5:$F$40,6,FALSE),0)</x:f>
        <x:v>5</x:v>
      </x:c>
      <x:c r="R487" s="84" t="n">
        <x:f>'Raw Sales'!J487</x:f>
        <x:v>1</x:v>
      </x:c>
      <x:c r="S487" s="87" t="n">
        <x:f>'Raw Sales'!K487</x:f>
        <x:v>0</x:v>
      </x:c>
      <x:c r="T487" s="93" t="n">
        <x:f>P487*R487</x:f>
        <x:v>24</x:v>
      </x:c>
      <x:c r="U487" s="93" t="n">
        <x:f>T487*S487</x:f>
        <x:v>0</x:v>
      </x:c>
      <x:c r="V487" s="93" t="str">
        <x:f>PROPER(TRIM('Raw Sales'!L487))</x:f>
        <x:v>Completed</x:v>
      </x:c>
      <x:c r="W487" s="93" t="n">
        <x:f>IF(V487="Returned",0,T487-U487)</x:f>
        <x:v>24</x:v>
      </x:c>
      <x:c r="X487" s="93" t="n">
        <x:f>IF(V487="Returned",Q487*R487*10%,Q487*R487)</x:f>
        <x:v>5</x:v>
      </x:c>
      <x:c r="Y487" s="93" t="n">
        <x:f>W487-X487</x:f>
        <x:v>19</x:v>
      </x:c>
      <x:c r="Z487" s="94" t="n">
        <x:f>IFERROR(Y487/W487,0)</x:f>
        <x:v>0.7916666666666666</x:v>
      </x:c>
      <x:c r="AA487" s="84" t="str">
        <x:f>PROPER(TRIM('Raw Sales'!M487))</x:f>
        <x:v>Mobile Wallet</x:v>
      </x:c>
      <x:c r="AB487" s="84" t="str">
        <x:f>PROPER(TRIM('Raw Sales'!N487))</x:f>
        <x:v>Zoe Turner</x:v>
      </x:c>
      <x:c r="AC487" s="85" t="n">
        <x:f>'Raw Sales'!O487</x:f>
        <x:v>45471</x:v>
      </x:c>
      <x:c r="AD487" s="84" t="n">
        <x:f>AC487-B487</x:f>
        <x:v>0</x:v>
      </x:c>
      <x:c r="AE487" s="84" t="str">
        <x:f>IF(COUNTIF($A$5:A487,A487)&gt;1,"Duplicate","Keep")</x:f>
        <x:v>Keep</x:v>
      </x:c>
      <x:c r="AF487" s="84" t="str">
        <x:f>IF(OR(R487&lt;=0,AC487&lt;B487,H487="Unknown",M487="Unknown Product"),"Review","Valid")</x:f>
        <x:v>Valid</x:v>
      </x:c>
      <x:c r="AG487" s="84" t="n">
        <x:f>IF(AND(AE487="Keep",AF487="Valid"),1,0)</x:f>
        <x:v>1</x:v>
      </x:c>
      <x:c r="AH487" s="84" t="n">
        <x:f>IF(AND(AG487=1,OR('Dashboard'!$B$4="All",I487='Dashboard'!$B$4),OR('Dashboard'!$E$4="All",N487='Dashboard'!$E$4),OR('Dashboard'!$H$4="All",K487='Dashboard'!$H$4),OR('Dashboard'!$K$4="All",C487='Dashboard'!$K$4)),1,0)</x:f>
        <x:v>1</x:v>
      </x:c>
      <x:c r="AI487" s="84" t="n">
        <x:f>IF(AND(AG487=1,OR('Dashboard'!$B$4="All",I487='Dashboard'!$B$4),OR('Dashboard'!$E$4="All",N487='Dashboard'!$E$4),OR('Dashboard'!$H$4="All",K487='Dashboard'!$H$4)),1,0)</x:f>
        <x:v>1</x:v>
      </x:c>
    </x:row>
    <x:row r="488">
      <x:c r="A488" s="84" t="str">
        <x:f>'Raw Sales'!A488</x:f>
        <x:v>ORD-2024-00710</x:v>
      </x:c>
      <x:c r="B488" s="85" t="n">
        <x:f>'Raw Sales'!B488</x:f>
        <x:v>45472</x:v>
      </x:c>
      <x:c r="C488" s="84" t="n">
        <x:f>YEAR(B488)</x:f>
        <x:v>2024</x:v>
      </x:c>
      <x:c r="D488" s="91" t="n">
        <x:f>DATE(YEAR(B488),MONTH(B488),1)</x:f>
        <x:v>45444</x:v>
      </x:c>
      <x:c r="E488" s="84" t="str">
        <x:f>TEXT(B488,"mmm")</x:f>
        <x:v>Jun</x:v>
      </x:c>
      <x:c r="F488" s="84" t="str">
        <x:f>'Raw Sales'!C488</x:f>
        <x:v>CUST-0469</x:v>
      </x:c>
      <x:c r="G488" s="84" t="str">
        <x:f>PROPER(TRIM('Raw Sales'!D488))</x:f>
        <x:v>Layla Evans</x:v>
      </x:c>
      <x:c r="H488" s="84" t="str">
        <x:f>IF(TRIM('Raw Sales'!E488)="","Unknown",PROPER(TRIM('Raw Sales'!E488)))</x:f>
        <x:v>Corporate</x:v>
      </x:c>
      <x:c r="I488" s="84" t="str">
        <x:f>PROPER(TRIM('Raw Sales'!F488))</x:f>
        <x:v>Midwest</x:v>
      </x:c>
      <x:c r="J488" s="84" t="str">
        <x:f>PROPER(TRIM('Raw Sales'!G488))</x:f>
        <x:v>Minneapolis</x:v>
      </x:c>
      <x:c r="K488" s="84" t="str">
        <x:f>PROPER(TRIM('Raw Sales'!H488))</x:f>
        <x:v>Online</x:v>
      </x:c>
      <x:c r="L488" s="84" t="str">
        <x:f>'Raw Sales'!I488</x:f>
        <x:v>ACCS-003</x:v>
      </x:c>
      <x:c r="M488" s="84" t="str">
        <x:f>IFERROR(VLOOKUP(L488,'Reference Data'!$A$5:$F$40,2,FALSE),"Unknown Product")</x:f>
        <x:v>Polarized Sunglasses</x:v>
      </x:c>
      <x:c r="N488" s="84" t="str">
        <x:f>IFERROR(VLOOKUP(L488,'Reference Data'!$A$5:$F$40,3,FALSE),"Unknown")</x:f>
        <x:v>Accessories</x:v>
      </x:c>
      <x:c r="O488" s="84" t="str">
        <x:f>IFERROR(VLOOKUP(L488,'Reference Data'!$A$5:$F$40,4,FALSE),"Unknown")</x:f>
        <x:v>Eyewear</x:v>
      </x:c>
      <x:c r="P488" s="92" t="n">
        <x:f>IFERROR(VLOOKUP(L488,'Reference Data'!$A$5:$F$40,5,FALSE),0)</x:f>
        <x:v>59</x:v>
      </x:c>
      <x:c r="Q488" s="92" t="n">
        <x:f>IFERROR(VLOOKUP(L488,'Reference Data'!$A$5:$F$40,6,FALSE),0)</x:f>
        <x:v>17</x:v>
      </x:c>
      <x:c r="R488" s="84" t="n">
        <x:f>'Raw Sales'!J488</x:f>
        <x:v>3</x:v>
      </x:c>
      <x:c r="S488" s="87" t="n">
        <x:f>'Raw Sales'!K488</x:f>
        <x:v>0</x:v>
      </x:c>
      <x:c r="T488" s="93" t="n">
        <x:f>P488*R488</x:f>
        <x:v>177</x:v>
      </x:c>
      <x:c r="U488" s="93" t="n">
        <x:f>T488*S488</x:f>
        <x:v>0</x:v>
      </x:c>
      <x:c r="V488" s="93" t="str">
        <x:f>PROPER(TRIM('Raw Sales'!L488))</x:f>
        <x:v>Completed</x:v>
      </x:c>
      <x:c r="W488" s="93" t="n">
        <x:f>IF(V488="Returned",0,T488-U488)</x:f>
        <x:v>177</x:v>
      </x:c>
      <x:c r="X488" s="93" t="n">
        <x:f>IF(V488="Returned",Q488*R488*10%,Q488*R488)</x:f>
        <x:v>51</x:v>
      </x:c>
      <x:c r="Y488" s="93" t="n">
        <x:f>W488-X488</x:f>
        <x:v>126</x:v>
      </x:c>
      <x:c r="Z488" s="94" t="n">
        <x:f>IFERROR(Y488/W488,0)</x:f>
        <x:v>0.711864406779661</x:v>
      </x:c>
      <x:c r="AA488" s="84" t="str">
        <x:f>PROPER(TRIM('Raw Sales'!M488))</x:f>
        <x:v>Debit Card</x:v>
      </x:c>
      <x:c r="AB488" s="84" t="str">
        <x:f>PROPER(TRIM('Raw Sales'!N488))</x:f>
        <x:v>Zoe Turner</x:v>
      </x:c>
      <x:c r="AC488" s="85" t="n">
        <x:f>'Raw Sales'!O488</x:f>
        <x:v>45474</x:v>
      </x:c>
      <x:c r="AD488" s="84" t="n">
        <x:f>AC488-B488</x:f>
        <x:v>2</x:v>
      </x:c>
      <x:c r="AE488" s="84" t="str">
        <x:f>IF(COUNTIF($A$5:A488,A488)&gt;1,"Duplicate","Keep")</x:f>
        <x:v>Keep</x:v>
      </x:c>
      <x:c r="AF488" s="84" t="str">
        <x:f>IF(OR(R488&lt;=0,AC488&lt;B488,H488="Unknown",M488="Unknown Product"),"Review","Valid")</x:f>
        <x:v>Valid</x:v>
      </x:c>
      <x:c r="AG488" s="84" t="n">
        <x:f>IF(AND(AE488="Keep",AF488="Valid"),1,0)</x:f>
        <x:v>1</x:v>
      </x:c>
      <x:c r="AH488" s="84" t="n">
        <x:f>IF(AND(AG488=1,OR('Dashboard'!$B$4="All",I488='Dashboard'!$B$4),OR('Dashboard'!$E$4="All",N488='Dashboard'!$E$4),OR('Dashboard'!$H$4="All",K488='Dashboard'!$H$4),OR('Dashboard'!$K$4="All",C488='Dashboard'!$K$4)),1,0)</x:f>
        <x:v>1</x:v>
      </x:c>
      <x:c r="AI488" s="84" t="n">
        <x:f>IF(AND(AG488=1,OR('Dashboard'!$B$4="All",I488='Dashboard'!$B$4),OR('Dashboard'!$E$4="All",N488='Dashboard'!$E$4),OR('Dashboard'!$H$4="All",K488='Dashboard'!$H$4)),1,0)</x:f>
        <x:v>1</x:v>
      </x:c>
    </x:row>
    <x:row r="489">
      <x:c r="A489" s="84" t="str">
        <x:f>'Raw Sales'!A489</x:f>
        <x:v>ORD-2024-00926</x:v>
      </x:c>
      <x:c r="B489" s="85" t="n">
        <x:f>'Raw Sales'!B489</x:f>
        <x:v>45472</x:v>
      </x:c>
      <x:c r="C489" s="84" t="n">
        <x:f>YEAR(B489)</x:f>
        <x:v>2024</x:v>
      </x:c>
      <x:c r="D489" s="91" t="n">
        <x:f>DATE(YEAR(B489),MONTH(B489),1)</x:f>
        <x:v>45444</x:v>
      </x:c>
      <x:c r="E489" s="84" t="str">
        <x:f>TEXT(B489,"mmm")</x:f>
        <x:v>Jun</x:v>
      </x:c>
      <x:c r="F489" s="84" t="str">
        <x:f>'Raw Sales'!C489</x:f>
        <x:v>CUST-0392</x:v>
      </x:c>
      <x:c r="G489" s="84" t="str">
        <x:f>PROPER(TRIM('Raw Sales'!D489))</x:f>
        <x:v>Elias Nelson</x:v>
      </x:c>
      <x:c r="H489" s="84" t="str">
        <x:f>IF(TRIM('Raw Sales'!E489)="","Unknown",PROPER(TRIM('Raw Sales'!E489)))</x:f>
        <x:v>Consumer</x:v>
      </x:c>
      <x:c r="I489" s="84" t="str">
        <x:f>PROPER(TRIM('Raw Sales'!F489))</x:f>
        <x:v>Northeast</x:v>
      </x:c>
      <x:c r="J489" s="84" t="str">
        <x:f>PROPER(TRIM('Raw Sales'!G489))</x:f>
        <x:v>Newark</x:v>
      </x:c>
      <x:c r="K489" s="84" t="str">
        <x:f>PROPER(TRIM('Raw Sales'!H489))</x:f>
        <x:v>Retail Store</x:v>
      </x:c>
      <x:c r="L489" s="84" t="str">
        <x:f>'Raw Sales'!I489</x:f>
        <x:v>FITN-002</x:v>
      </x:c>
      <x:c r="M489" s="84" t="str">
        <x:f>IFERROR(VLOOKUP(L489,'Reference Data'!$A$5:$F$40,2,FALSE),"Unknown Product")</x:f>
        <x:v>Adjustable Dumbbell Set</x:v>
      </x:c>
      <x:c r="N489" s="84" t="str">
        <x:f>IFERROR(VLOOKUP(L489,'Reference Data'!$A$5:$F$40,3,FALSE),"Unknown")</x:f>
        <x:v>Fitness</x:v>
      </x:c>
      <x:c r="O489" s="84" t="str">
        <x:f>IFERROR(VLOOKUP(L489,'Reference Data'!$A$5:$F$40,4,FALSE),"Unknown")</x:f>
        <x:v>Strength</x:v>
      </x:c>
      <x:c r="P489" s="92" t="n">
        <x:f>IFERROR(VLOOKUP(L489,'Reference Data'!$A$5:$F$40,5,FALSE),0)</x:f>
        <x:v>99</x:v>
      </x:c>
      <x:c r="Q489" s="92" t="n">
        <x:f>IFERROR(VLOOKUP(L489,'Reference Data'!$A$5:$F$40,6,FALSE),0)</x:f>
        <x:v>57</x:v>
      </x:c>
      <x:c r="R489" s="84" t="n">
        <x:f>'Raw Sales'!J489</x:f>
        <x:v>1</x:v>
      </x:c>
      <x:c r="S489" s="87" t="n">
        <x:f>'Raw Sales'!K489</x:f>
        <x:v>0.1</x:v>
      </x:c>
      <x:c r="T489" s="93" t="n">
        <x:f>P489*R489</x:f>
        <x:v>99</x:v>
      </x:c>
      <x:c r="U489" s="93" t="n">
        <x:f>T489*S489</x:f>
        <x:v>9.9</x:v>
      </x:c>
      <x:c r="V489" s="93" t="str">
        <x:f>PROPER(TRIM('Raw Sales'!L489))</x:f>
        <x:v>Returned</x:v>
      </x:c>
      <x:c r="W489" s="93" t="n">
        <x:f>IF(V489="Returned",0,T489-U489)</x:f>
        <x:v>0</x:v>
      </x:c>
      <x:c r="X489" s="93" t="n">
        <x:f>IF(V489="Returned",Q489*R489*10%,Q489*R489)</x:f>
        <x:v>5.7</x:v>
      </x:c>
      <x:c r="Y489" s="93" t="n">
        <x:f>W489-X489</x:f>
        <x:v>-5.7</x:v>
      </x:c>
      <x:c r="Z489" s="94" t="n">
        <x:f>IFERROR(Y489/W489,0)</x:f>
        <x:v>0</x:v>
      </x:c>
      <x:c r="AA489" s="84" t="str">
        <x:f>PROPER(TRIM('Raw Sales'!M489))</x:f>
        <x:v>Credit Card</x:v>
      </x:c>
      <x:c r="AB489" s="84" t="str">
        <x:f>PROPER(TRIM('Raw Sales'!N489))</x:f>
        <x:v>Sofia Bennett</x:v>
      </x:c>
      <x:c r="AC489" s="85" t="n">
        <x:f>'Raw Sales'!O489</x:f>
        <x:v>45472</x:v>
      </x:c>
      <x:c r="AD489" s="84" t="n">
        <x:f>AC489-B489</x:f>
        <x:v>0</x:v>
      </x:c>
      <x:c r="AE489" s="84" t="str">
        <x:f>IF(COUNTIF($A$5:A489,A489)&gt;1,"Duplicate","Keep")</x:f>
        <x:v>Keep</x:v>
      </x:c>
      <x:c r="AF489" s="84" t="str">
        <x:f>IF(OR(R489&lt;=0,AC489&lt;B489,H489="Unknown",M489="Unknown Product"),"Review","Valid")</x:f>
        <x:v>Valid</x:v>
      </x:c>
      <x:c r="AG489" s="84" t="n">
        <x:f>IF(AND(AE489="Keep",AF489="Valid"),1,0)</x:f>
        <x:v>1</x:v>
      </x:c>
      <x:c r="AH489" s="84" t="n">
        <x:f>IF(AND(AG489=1,OR('Dashboard'!$B$4="All",I489='Dashboard'!$B$4),OR('Dashboard'!$E$4="All",N489='Dashboard'!$E$4),OR('Dashboard'!$H$4="All",K489='Dashboard'!$H$4),OR('Dashboard'!$K$4="All",C489='Dashboard'!$K$4)),1,0)</x:f>
        <x:v>1</x:v>
      </x:c>
      <x:c r="AI489" s="84" t="n">
        <x:f>IF(AND(AG489=1,OR('Dashboard'!$B$4="All",I489='Dashboard'!$B$4),OR('Dashboard'!$E$4="All",N489='Dashboard'!$E$4),OR('Dashboard'!$H$4="All",K489='Dashboard'!$H$4)),1,0)</x:f>
        <x:v>1</x:v>
      </x:c>
    </x:row>
    <x:row r="490">
      <x:c r="A490" s="84" t="str">
        <x:f>'Raw Sales'!A490</x:f>
        <x:v>ORD-2024-00977</x:v>
      </x:c>
      <x:c r="B490" s="85" t="n">
        <x:f>'Raw Sales'!B490</x:f>
        <x:v>45472</x:v>
      </x:c>
      <x:c r="C490" s="84" t="n">
        <x:f>YEAR(B490)</x:f>
        <x:v>2024</x:v>
      </x:c>
      <x:c r="D490" s="91" t="n">
        <x:f>DATE(YEAR(B490),MONTH(B490),1)</x:f>
        <x:v>45444</x:v>
      </x:c>
      <x:c r="E490" s="84" t="str">
        <x:f>TEXT(B490,"mmm")</x:f>
        <x:v>Jun</x:v>
      </x:c>
      <x:c r="F490" s="84" t="str">
        <x:f>'Raw Sales'!C490</x:f>
        <x:v>CUST-0039</x:v>
      </x:c>
      <x:c r="G490" s="84" t="str">
        <x:f>PROPER(TRIM('Raw Sales'!D490))</x:f>
        <x:v>Amelia Patel</x:v>
      </x:c>
      <x:c r="H490" s="84" t="str">
        <x:f>IF(TRIM('Raw Sales'!E490)="","Unknown",PROPER(TRIM('Raw Sales'!E490)))</x:f>
        <x:v>Consumer</x:v>
      </x:c>
      <x:c r="I490" s="84" t="str">
        <x:f>PROPER(TRIM('Raw Sales'!F490))</x:f>
        <x:v>West</x:v>
      </x:c>
      <x:c r="J490" s="84" t="str">
        <x:f>PROPER(TRIM('Raw Sales'!G490))</x:f>
        <x:v>Denver</x:v>
      </x:c>
      <x:c r="K490" s="84" t="str">
        <x:f>PROPER(TRIM('Raw Sales'!H490))</x:f>
        <x:v>Retail Store</x:v>
      </x:c>
      <x:c r="L490" s="84" t="str">
        <x:f>'Raw Sales'!I490</x:f>
        <x:v>FITN-003</x:v>
      </x:c>
      <x:c r="M490" s="84" t="str">
        <x:f>IFERROR(VLOOKUP(L490,'Reference Data'!$A$5:$F$40,2,FALSE),"Unknown Product")</x:f>
        <x:v>Resistance Band Set</x:v>
      </x:c>
      <x:c r="N490" s="84" t="str">
        <x:f>IFERROR(VLOOKUP(L490,'Reference Data'!$A$5:$F$40,3,FALSE),"Unknown")</x:f>
        <x:v>Fitness</x:v>
      </x:c>
      <x:c r="O490" s="84" t="str">
        <x:f>IFERROR(VLOOKUP(L490,'Reference Data'!$A$5:$F$40,4,FALSE),"Unknown")</x:f>
        <x:v>Strength</x:v>
      </x:c>
      <x:c r="P490" s="92" t="n">
        <x:f>IFERROR(VLOOKUP(L490,'Reference Data'!$A$5:$F$40,5,FALSE),0)</x:f>
        <x:v>24</x:v>
      </x:c>
      <x:c r="Q490" s="92" t="n">
        <x:f>IFERROR(VLOOKUP(L490,'Reference Data'!$A$5:$F$40,6,FALSE),0)</x:f>
        <x:v>8</x:v>
      </x:c>
      <x:c r="R490" s="84" t="n">
        <x:f>'Raw Sales'!J490</x:f>
        <x:v>1</x:v>
      </x:c>
      <x:c r="S490" s="87" t="n">
        <x:f>'Raw Sales'!K490</x:f>
        <x:v>0.1</x:v>
      </x:c>
      <x:c r="T490" s="93" t="n">
        <x:f>P490*R490</x:f>
        <x:v>24</x:v>
      </x:c>
      <x:c r="U490" s="93" t="n">
        <x:f>T490*S490</x:f>
        <x:v>2.4000000000000004</x:v>
      </x:c>
      <x:c r="V490" s="93" t="str">
        <x:f>PROPER(TRIM('Raw Sales'!L490))</x:f>
        <x:v>Completed</x:v>
      </x:c>
      <x:c r="W490" s="93" t="n">
        <x:f>IF(V490="Returned",0,T490-U490)</x:f>
        <x:v>21.6</x:v>
      </x:c>
      <x:c r="X490" s="93" t="n">
        <x:f>IF(V490="Returned",Q490*R490*10%,Q490*R490)</x:f>
        <x:v>8</x:v>
      </x:c>
      <x:c r="Y490" s="93" t="n">
        <x:f>W490-X490</x:f>
        <x:v>13.600000000000001</x:v>
      </x:c>
      <x:c r="Z490" s="94" t="n">
        <x:f>IFERROR(Y490/W490,0)</x:f>
        <x:v>0.6296296296296297</x:v>
      </x:c>
      <x:c r="AA490" s="84" t="str">
        <x:f>PROPER(TRIM('Raw Sales'!M490))</x:f>
        <x:v>Cash</x:v>
      </x:c>
      <x:c r="AB490" s="84" t="str">
        <x:f>PROPER(TRIM('Raw Sales'!N490))</x:f>
        <x:v>Leo Martinez</x:v>
      </x:c>
      <x:c r="AC490" s="85" t="n">
        <x:f>'Raw Sales'!O490</x:f>
        <x:v>45473</x:v>
      </x:c>
      <x:c r="AD490" s="84" t="n">
        <x:f>AC490-B490</x:f>
        <x:v>1</x:v>
      </x:c>
      <x:c r="AE490" s="84" t="str">
        <x:f>IF(COUNTIF($A$5:A490,A490)&gt;1,"Duplicate","Keep")</x:f>
        <x:v>Keep</x:v>
      </x:c>
      <x:c r="AF490" s="84" t="str">
        <x:f>IF(OR(R490&lt;=0,AC490&lt;B490,H490="Unknown",M490="Unknown Product"),"Review","Valid")</x:f>
        <x:v>Valid</x:v>
      </x:c>
      <x:c r="AG490" s="84" t="n">
        <x:f>IF(AND(AE490="Keep",AF490="Valid"),1,0)</x:f>
        <x:v>1</x:v>
      </x:c>
      <x:c r="AH490" s="84" t="n">
        <x:f>IF(AND(AG490=1,OR('Dashboard'!$B$4="All",I490='Dashboard'!$B$4),OR('Dashboard'!$E$4="All",N490='Dashboard'!$E$4),OR('Dashboard'!$H$4="All",K490='Dashboard'!$H$4),OR('Dashboard'!$K$4="All",C490='Dashboard'!$K$4)),1,0)</x:f>
        <x:v>1</x:v>
      </x:c>
      <x:c r="AI490" s="84" t="n">
        <x:f>IF(AND(AG490=1,OR('Dashboard'!$B$4="All",I490='Dashboard'!$B$4),OR('Dashboard'!$E$4="All",N490='Dashboard'!$E$4),OR('Dashboard'!$H$4="All",K490='Dashboard'!$H$4)),1,0)</x:f>
        <x:v>1</x:v>
      </x:c>
    </x:row>
    <x:row r="491">
      <x:c r="A491" s="84" t="str">
        <x:f>'Raw Sales'!A491</x:f>
        <x:v>ORD-2024-02029</x:v>
      </x:c>
      <x:c r="B491" s="85" t="n">
        <x:f>'Raw Sales'!B491</x:f>
        <x:v>45472</x:v>
      </x:c>
      <x:c r="C491" s="84" t="n">
        <x:f>YEAR(B491)</x:f>
        <x:v>2024</x:v>
      </x:c>
      <x:c r="D491" s="91" t="n">
        <x:f>DATE(YEAR(B491),MONTH(B491),1)</x:f>
        <x:v>45444</x:v>
      </x:c>
      <x:c r="E491" s="84" t="str">
        <x:f>TEXT(B491,"mmm")</x:f>
        <x:v>Jun</x:v>
      </x:c>
      <x:c r="F491" s="84" t="str">
        <x:f>'Raw Sales'!C491</x:f>
        <x:v>CUST-0479</x:v>
      </x:c>
      <x:c r="G491" s="84" t="str">
        <x:f>PROPER(TRIM('Raw Sales'!D491))</x:f>
        <x:v>Zara Taylor</x:v>
      </x:c>
      <x:c r="H491" s="84" t="str">
        <x:f>IF(TRIM('Raw Sales'!E491)="","Unknown",PROPER(TRIM('Raw Sales'!E491)))</x:f>
        <x:v>Consumer</x:v>
      </x:c>
      <x:c r="I491" s="84" t="str">
        <x:f>PROPER(TRIM('Raw Sales'!F491))</x:f>
        <x:v>West</x:v>
      </x:c>
      <x:c r="J491" s="84" t="str">
        <x:f>PROPER(TRIM('Raw Sales'!G491))</x:f>
        <x:v>Phoenix</x:v>
      </x:c>
      <x:c r="K491" s="84" t="str">
        <x:f>PROPER(TRIM('Raw Sales'!H491))</x:f>
        <x:v>Marketplace</x:v>
      </x:c>
      <x:c r="L491" s="84" t="str">
        <x:f>'Raw Sales'!I491</x:f>
        <x:v>FITN-002</x:v>
      </x:c>
      <x:c r="M491" s="84" t="str">
        <x:f>IFERROR(VLOOKUP(L491,'Reference Data'!$A$5:$F$40,2,FALSE),"Unknown Product")</x:f>
        <x:v>Adjustable Dumbbell Set</x:v>
      </x:c>
      <x:c r="N491" s="84" t="str">
        <x:f>IFERROR(VLOOKUP(L491,'Reference Data'!$A$5:$F$40,3,FALSE),"Unknown")</x:f>
        <x:v>Fitness</x:v>
      </x:c>
      <x:c r="O491" s="84" t="str">
        <x:f>IFERROR(VLOOKUP(L491,'Reference Data'!$A$5:$F$40,4,FALSE),"Unknown")</x:f>
        <x:v>Strength</x:v>
      </x:c>
      <x:c r="P491" s="92" t="n">
        <x:f>IFERROR(VLOOKUP(L491,'Reference Data'!$A$5:$F$40,5,FALSE),0)</x:f>
        <x:v>99</x:v>
      </x:c>
      <x:c r="Q491" s="92" t="n">
        <x:f>IFERROR(VLOOKUP(L491,'Reference Data'!$A$5:$F$40,6,FALSE),0)</x:f>
        <x:v>57</x:v>
      </x:c>
      <x:c r="R491" s="84" t="n">
        <x:f>'Raw Sales'!J491</x:f>
        <x:v>1</x:v>
      </x:c>
      <x:c r="S491" s="87" t="n">
        <x:f>'Raw Sales'!K491</x:f>
        <x:v>0.05</x:v>
      </x:c>
      <x:c r="T491" s="93" t="n">
        <x:f>P491*R491</x:f>
        <x:v>99</x:v>
      </x:c>
      <x:c r="U491" s="93" t="n">
        <x:f>T491*S491</x:f>
        <x:v>4.95</x:v>
      </x:c>
      <x:c r="V491" s="93" t="str">
        <x:f>PROPER(TRIM('Raw Sales'!L491))</x:f>
        <x:v>Completed</x:v>
      </x:c>
      <x:c r="W491" s="93" t="n">
        <x:f>IF(V491="Returned",0,T491-U491)</x:f>
        <x:v>94.05</x:v>
      </x:c>
      <x:c r="X491" s="93" t="n">
        <x:f>IF(V491="Returned",Q491*R491*10%,Q491*R491)</x:f>
        <x:v>57</x:v>
      </x:c>
      <x:c r="Y491" s="93" t="n">
        <x:f>W491-X491</x:f>
        <x:v>37.05</x:v>
      </x:c>
      <x:c r="Z491" s="94" t="n">
        <x:f>IFERROR(Y491/W491,0)</x:f>
        <x:v>0.3939393939393939</x:v>
      </x:c>
      <x:c r="AA491" s="84" t="str">
        <x:f>PROPER(TRIM('Raw Sales'!M491))</x:f>
        <x:v>Credit Card</x:v>
      </x:c>
      <x:c r="AB491" s="84" t="str">
        <x:f>PROPER(TRIM('Raw Sales'!N491))</x:f>
        <x:v>Leo Martinez</x:v>
      </x:c>
      <x:c r="AC491" s="85" t="n">
        <x:f>'Raw Sales'!O491</x:f>
        <x:v>45477</x:v>
      </x:c>
      <x:c r="AD491" s="84" t="n">
        <x:f>AC491-B491</x:f>
        <x:v>5</x:v>
      </x:c>
      <x:c r="AE491" s="84" t="str">
        <x:f>IF(COUNTIF($A$5:A491,A491)&gt;1,"Duplicate","Keep")</x:f>
        <x:v>Keep</x:v>
      </x:c>
      <x:c r="AF491" s="84" t="str">
        <x:f>IF(OR(R491&lt;=0,AC491&lt;B491,H491="Unknown",M491="Unknown Product"),"Review","Valid")</x:f>
        <x:v>Valid</x:v>
      </x:c>
      <x:c r="AG491" s="84" t="n">
        <x:f>IF(AND(AE491="Keep",AF491="Valid"),1,0)</x:f>
        <x:v>1</x:v>
      </x:c>
      <x:c r="AH491" s="84" t="n">
        <x:f>IF(AND(AG491=1,OR('Dashboard'!$B$4="All",I491='Dashboard'!$B$4),OR('Dashboard'!$E$4="All",N491='Dashboard'!$E$4),OR('Dashboard'!$H$4="All",K491='Dashboard'!$H$4),OR('Dashboard'!$K$4="All",C491='Dashboard'!$K$4)),1,0)</x:f>
        <x:v>1</x:v>
      </x:c>
      <x:c r="AI491" s="84" t="n">
        <x:f>IF(AND(AG491=1,OR('Dashboard'!$B$4="All",I491='Dashboard'!$B$4),OR('Dashboard'!$E$4="All",N491='Dashboard'!$E$4),OR('Dashboard'!$H$4="All",K491='Dashboard'!$H$4)),1,0)</x:f>
        <x:v>1</x:v>
      </x:c>
    </x:row>
    <x:row r="492">
      <x:c r="A492" s="84" t="str">
        <x:f>'Raw Sales'!A492</x:f>
        <x:v>ORD-2024-00831</x:v>
      </x:c>
      <x:c r="B492" s="85" t="n">
        <x:f>'Raw Sales'!B492</x:f>
        <x:v>45473</x:v>
      </x:c>
      <x:c r="C492" s="84" t="n">
        <x:f>YEAR(B492)</x:f>
        <x:v>2024</x:v>
      </x:c>
      <x:c r="D492" s="91" t="n">
        <x:f>DATE(YEAR(B492),MONTH(B492),1)</x:f>
        <x:v>45444</x:v>
      </x:c>
      <x:c r="E492" s="84" t="str">
        <x:f>TEXT(B492,"mmm")</x:f>
        <x:v>Jun</x:v>
      </x:c>
      <x:c r="F492" s="84" t="str">
        <x:f>'Raw Sales'!C492</x:f>
        <x:v>CUST-0302</x:v>
      </x:c>
      <x:c r="G492" s="84" t="str">
        <x:f>PROPER(TRIM('Raw Sales'!D492))</x:f>
        <x:v>Amelia Davis</x:v>
      </x:c>
      <x:c r="H492" s="84" t="str">
        <x:f>IF(TRIM('Raw Sales'!E492)="","Unknown",PROPER(TRIM('Raw Sales'!E492)))</x:f>
        <x:v>Consumer</x:v>
      </x:c>
      <x:c r="I492" s="84" t="str">
        <x:f>PROPER(TRIM('Raw Sales'!F492))</x:f>
        <x:v>Southeast</x:v>
      </x:c>
      <x:c r="J492" s="84" t="str">
        <x:f>PROPER(TRIM('Raw Sales'!G492))</x:f>
        <x:v>Atlanta</x:v>
      </x:c>
      <x:c r="K492" s="84" t="str">
        <x:f>PROPER(TRIM('Raw Sales'!H492))</x:f>
        <x:v>Marketplace</x:v>
      </x:c>
      <x:c r="L492" s="84" t="str">
        <x:f>'Raw Sales'!I492</x:f>
        <x:v>FITN-005</x:v>
      </x:c>
      <x:c r="M492" s="84" t="str">
        <x:f>IFERROR(VLOOKUP(L492,'Reference Data'!$A$5:$F$40,2,FALSE),"Unknown Product")</x:f>
        <x:v>Sports Water Bottle</x:v>
      </x:c>
      <x:c r="N492" s="84" t="str">
        <x:f>IFERROR(VLOOKUP(L492,'Reference Data'!$A$5:$F$40,3,FALSE),"Unknown")</x:f>
        <x:v>Fitness</x:v>
      </x:c>
      <x:c r="O492" s="84" t="str">
        <x:f>IFERROR(VLOOKUP(L492,'Reference Data'!$A$5:$F$40,4,FALSE),"Unknown")</x:f>
        <x:v>Accessories</x:v>
      </x:c>
      <x:c r="P492" s="92" t="n">
        <x:f>IFERROR(VLOOKUP(L492,'Reference Data'!$A$5:$F$40,5,FALSE),0)</x:f>
        <x:v>22</x:v>
      </x:c>
      <x:c r="Q492" s="92" t="n">
        <x:f>IFERROR(VLOOKUP(L492,'Reference Data'!$A$5:$F$40,6,FALSE),0)</x:f>
        <x:v>7</x:v>
      </x:c>
      <x:c r="R492" s="84" t="n">
        <x:f>'Raw Sales'!J492</x:f>
        <x:v>1</x:v>
      </x:c>
      <x:c r="S492" s="87" t="n">
        <x:f>'Raw Sales'!K492</x:f>
        <x:v>0.05</x:v>
      </x:c>
      <x:c r="T492" s="93" t="n">
        <x:f>P492*R492</x:f>
        <x:v>22</x:v>
      </x:c>
      <x:c r="U492" s="93" t="n">
        <x:f>T492*S492</x:f>
        <x:v>1.1</x:v>
      </x:c>
      <x:c r="V492" s="93" t="str">
        <x:f>PROPER(TRIM('Raw Sales'!L492))</x:f>
        <x:v>Returned</x:v>
      </x:c>
      <x:c r="W492" s="93" t="n">
        <x:f>IF(V492="Returned",0,T492-U492)</x:f>
        <x:v>0</x:v>
      </x:c>
      <x:c r="X492" s="93" t="n">
        <x:f>IF(V492="Returned",Q492*R492*10%,Q492*R492)</x:f>
        <x:v>0.7000000000000001</x:v>
      </x:c>
      <x:c r="Y492" s="93" t="n">
        <x:f>W492-X492</x:f>
        <x:v>-0.7000000000000001</x:v>
      </x:c>
      <x:c r="Z492" s="94" t="n">
        <x:f>IFERROR(Y492/W492,0)</x:f>
        <x:v>0</x:v>
      </x:c>
      <x:c r="AA492" s="84" t="str">
        <x:f>PROPER(TRIM('Raw Sales'!M492))</x:f>
        <x:v>Debit Card</x:v>
      </x:c>
      <x:c r="AB492" s="84" t="str">
        <x:f>PROPER(TRIM('Raw Sales'!N492))</x:f>
        <x:v>Ava Mitchell</x:v>
      </x:c>
      <x:c r="AC492" s="85" t="n">
        <x:f>'Raw Sales'!O492</x:f>
        <x:v>45479</x:v>
      </x:c>
      <x:c r="AD492" s="84" t="n">
        <x:f>AC492-B492</x:f>
        <x:v>6</x:v>
      </x:c>
      <x:c r="AE492" s="84" t="str">
        <x:f>IF(COUNTIF($A$5:A492,A492)&gt;1,"Duplicate","Keep")</x:f>
        <x:v>Keep</x:v>
      </x:c>
      <x:c r="AF492" s="84" t="str">
        <x:f>IF(OR(R492&lt;=0,AC492&lt;B492,H492="Unknown",M492="Unknown Product"),"Review","Valid")</x:f>
        <x:v>Valid</x:v>
      </x:c>
      <x:c r="AG492" s="84" t="n">
        <x:f>IF(AND(AE492="Keep",AF492="Valid"),1,0)</x:f>
        <x:v>1</x:v>
      </x:c>
      <x:c r="AH492" s="84" t="n">
        <x:f>IF(AND(AG492=1,OR('Dashboard'!$B$4="All",I492='Dashboard'!$B$4),OR('Dashboard'!$E$4="All",N492='Dashboard'!$E$4),OR('Dashboard'!$H$4="All",K492='Dashboard'!$H$4),OR('Dashboard'!$K$4="All",C492='Dashboard'!$K$4)),1,0)</x:f>
        <x:v>1</x:v>
      </x:c>
      <x:c r="AI492" s="84" t="n">
        <x:f>IF(AND(AG492=1,OR('Dashboard'!$B$4="All",I492='Dashboard'!$B$4),OR('Dashboard'!$E$4="All",N492='Dashboard'!$E$4),OR('Dashboard'!$H$4="All",K492='Dashboard'!$H$4)),1,0)</x:f>
        <x:v>1</x:v>
      </x:c>
    </x:row>
    <x:row r="493">
      <x:c r="A493" s="84" t="str">
        <x:f>'Raw Sales'!A493</x:f>
        <x:v>ORD-2024-01177</x:v>
      </x:c>
      <x:c r="B493" s="85" t="n">
        <x:f>'Raw Sales'!B493</x:f>
        <x:v>45473</x:v>
      </x:c>
      <x:c r="C493" s="84" t="n">
        <x:f>YEAR(B493)</x:f>
        <x:v>2024</x:v>
      </x:c>
      <x:c r="D493" s="91" t="n">
        <x:f>DATE(YEAR(B493),MONTH(B493),1)</x:f>
        <x:v>45444</x:v>
      </x:c>
      <x:c r="E493" s="84" t="str">
        <x:f>TEXT(B493,"mmm")</x:f>
        <x:v>Jun</x:v>
      </x:c>
      <x:c r="F493" s="84" t="str">
        <x:f>'Raw Sales'!C493</x:f>
        <x:v>CUST-0389</x:v>
      </x:c>
      <x:c r="G493" s="84" t="str">
        <x:f>PROPER(TRIM('Raw Sales'!D493))</x:f>
        <x:v>William Smith</x:v>
      </x:c>
      <x:c r="H493" s="84" t="str">
        <x:f>IF(TRIM('Raw Sales'!E493)="","Unknown",PROPER(TRIM('Raw Sales'!E493)))</x:f>
        <x:v>Consumer</x:v>
      </x:c>
      <x:c r="I493" s="84" t="str">
        <x:f>PROPER(TRIM('Raw Sales'!F493))</x:f>
        <x:v>Southeast</x:v>
      </x:c>
      <x:c r="J493" s="84" t="str">
        <x:f>PROPER(TRIM('Raw Sales'!G493))</x:f>
        <x:v>Miami</x:v>
      </x:c>
      <x:c r="K493" s="84" t="str">
        <x:f>PROPER(TRIM('Raw Sales'!H493))</x:f>
        <x:v>Online</x:v>
      </x:c>
      <x:c r="L493" s="84" t="str">
        <x:f>'Raw Sales'!I493</x:f>
        <x:v>FITN-005</x:v>
      </x:c>
      <x:c r="M493" s="84" t="str">
        <x:f>IFERROR(VLOOKUP(L493,'Reference Data'!$A$5:$F$40,2,FALSE),"Unknown Product")</x:f>
        <x:v>Sports Water Bottle</x:v>
      </x:c>
      <x:c r="N493" s="84" t="str">
        <x:f>IFERROR(VLOOKUP(L493,'Reference Data'!$A$5:$F$40,3,FALSE),"Unknown")</x:f>
        <x:v>Fitness</x:v>
      </x:c>
      <x:c r="O493" s="84" t="str">
        <x:f>IFERROR(VLOOKUP(L493,'Reference Data'!$A$5:$F$40,4,FALSE),"Unknown")</x:f>
        <x:v>Accessories</x:v>
      </x:c>
      <x:c r="P493" s="92" t="n">
        <x:f>IFERROR(VLOOKUP(L493,'Reference Data'!$A$5:$F$40,5,FALSE),0)</x:f>
        <x:v>22</x:v>
      </x:c>
      <x:c r="Q493" s="92" t="n">
        <x:f>IFERROR(VLOOKUP(L493,'Reference Data'!$A$5:$F$40,6,FALSE),0)</x:f>
        <x:v>7</x:v>
      </x:c>
      <x:c r="R493" s="84" t="n">
        <x:f>'Raw Sales'!J493</x:f>
        <x:v>1</x:v>
      </x:c>
      <x:c r="S493" s="87" t="n">
        <x:f>'Raw Sales'!K493</x:f>
        <x:v>0</x:v>
      </x:c>
      <x:c r="T493" s="93" t="n">
        <x:f>P493*R493</x:f>
        <x:v>22</x:v>
      </x:c>
      <x:c r="U493" s="93" t="n">
        <x:f>T493*S493</x:f>
        <x:v>0</x:v>
      </x:c>
      <x:c r="V493" s="93" t="str">
        <x:f>PROPER(TRIM('Raw Sales'!L493))</x:f>
        <x:v>Completed</x:v>
      </x:c>
      <x:c r="W493" s="93" t="n">
        <x:f>IF(V493="Returned",0,T493-U493)</x:f>
        <x:v>22</x:v>
      </x:c>
      <x:c r="X493" s="93" t="n">
        <x:f>IF(V493="Returned",Q493*R493*10%,Q493*R493)</x:f>
        <x:v>7</x:v>
      </x:c>
      <x:c r="Y493" s="93" t="n">
        <x:f>W493-X493</x:f>
        <x:v>15</x:v>
      </x:c>
      <x:c r="Z493" s="94" t="n">
        <x:f>IFERROR(Y493/W493,0)</x:f>
        <x:v>0.6818181818181818</x:v>
      </x:c>
      <x:c r="AA493" s="84" t="str">
        <x:f>PROPER(TRIM('Raw Sales'!M493))</x:f>
        <x:v>Credit Card</x:v>
      </x:c>
      <x:c r="AB493" s="84" t="str">
        <x:f>PROPER(TRIM('Raw Sales'!N493))</x:f>
        <x:v>Noah Reed</x:v>
      </x:c>
      <x:c r="AC493" s="85" t="n">
        <x:f>'Raw Sales'!O493</x:f>
        <x:v>45475</x:v>
      </x:c>
      <x:c r="AD493" s="84" t="n">
        <x:f>AC493-B493</x:f>
        <x:v>2</x:v>
      </x:c>
      <x:c r="AE493" s="84" t="str">
        <x:f>IF(COUNTIF($A$5:A493,A493)&gt;1,"Duplicate","Keep")</x:f>
        <x:v>Keep</x:v>
      </x:c>
      <x:c r="AF493" s="84" t="str">
        <x:f>IF(OR(R493&lt;=0,AC493&lt;B493,H493="Unknown",M493="Unknown Product"),"Review","Valid")</x:f>
        <x:v>Valid</x:v>
      </x:c>
      <x:c r="AG493" s="84" t="n">
        <x:f>IF(AND(AE493="Keep",AF493="Valid"),1,0)</x:f>
        <x:v>1</x:v>
      </x:c>
      <x:c r="AH493" s="84" t="n">
        <x:f>IF(AND(AG493=1,OR('Dashboard'!$B$4="All",I493='Dashboard'!$B$4),OR('Dashboard'!$E$4="All",N493='Dashboard'!$E$4),OR('Dashboard'!$H$4="All",K493='Dashboard'!$H$4),OR('Dashboard'!$K$4="All",C493='Dashboard'!$K$4)),1,0)</x:f>
        <x:v>1</x:v>
      </x:c>
      <x:c r="AI493" s="84" t="n">
        <x:f>IF(AND(AG493=1,OR('Dashboard'!$B$4="All",I493='Dashboard'!$B$4),OR('Dashboard'!$E$4="All",N493='Dashboard'!$E$4),OR('Dashboard'!$H$4="All",K493='Dashboard'!$H$4)),1,0)</x:f>
        <x:v>1</x:v>
      </x:c>
    </x:row>
    <x:row r="494">
      <x:c r="A494" s="84" t="str">
        <x:f>'Raw Sales'!A494</x:f>
        <x:v>ORD-2024-01186</x:v>
      </x:c>
      <x:c r="B494" s="85" t="n">
        <x:f>'Raw Sales'!B494</x:f>
        <x:v>45473</x:v>
      </x:c>
      <x:c r="C494" s="84" t="n">
        <x:f>YEAR(B494)</x:f>
        <x:v>2024</x:v>
      </x:c>
      <x:c r="D494" s="91" t="n">
        <x:f>DATE(YEAR(B494),MONTH(B494),1)</x:f>
        <x:v>45444</x:v>
      </x:c>
      <x:c r="E494" s="84" t="str">
        <x:f>TEXT(B494,"mmm")</x:f>
        <x:v>Jun</x:v>
      </x:c>
      <x:c r="F494" s="84" t="str">
        <x:f>'Raw Sales'!C494</x:f>
        <x:v>CUST-0023</x:v>
      </x:c>
      <x:c r="G494" s="84" t="str">
        <x:f>PROPER(TRIM('Raw Sales'!D494))</x:f>
        <x:v>Layla Nelson</x:v>
      </x:c>
      <x:c r="H494" s="84" t="str">
        <x:f>IF(TRIM('Raw Sales'!E494)="","Unknown",PROPER(TRIM('Raw Sales'!E494)))</x:f>
        <x:v>Consumer</x:v>
      </x:c>
      <x:c r="I494" s="84" t="str">
        <x:f>PROPER(TRIM('Raw Sales'!F494))</x:f>
        <x:v>Northeast</x:v>
      </x:c>
      <x:c r="J494" s="84" t="str">
        <x:f>PROPER(TRIM('Raw Sales'!G494))</x:f>
        <x:v>New York</x:v>
      </x:c>
      <x:c r="K494" s="84" t="str">
        <x:f>PROPER(TRIM('Raw Sales'!H494))</x:f>
        <x:v>Retail Store</x:v>
      </x:c>
      <x:c r="L494" s="84" t="str">
        <x:f>'Raw Sales'!I494</x:f>
        <x:v>ELEC-002</x:v>
      </x:c>
      <x:c r="M494" s="84" t="str">
        <x:f>IFERROR(VLOOKUP(L494,'Reference Data'!$A$5:$F$40,2,FALSE),"Unknown Product")</x:f>
        <x:v>Smartwatch</x:v>
      </x:c>
      <x:c r="N494" s="84" t="str">
        <x:f>IFERROR(VLOOKUP(L494,'Reference Data'!$A$5:$F$40,3,FALSE),"Unknown")</x:f>
        <x:v>Electronics</x:v>
      </x:c>
      <x:c r="O494" s="84" t="str">
        <x:f>IFERROR(VLOOKUP(L494,'Reference Data'!$A$5:$F$40,4,FALSE),"Unknown")</x:f>
        <x:v>Wearables</x:v>
      </x:c>
      <x:c r="P494" s="92" t="n">
        <x:f>IFERROR(VLOOKUP(L494,'Reference Data'!$A$5:$F$40,5,FALSE),0)</x:f>
        <x:v>159</x:v>
      </x:c>
      <x:c r="Q494" s="92" t="n">
        <x:f>IFERROR(VLOOKUP(L494,'Reference Data'!$A$5:$F$40,6,FALSE),0)</x:f>
        <x:v>92</x:v>
      </x:c>
      <x:c r="R494" s="84" t="n">
        <x:f>'Raw Sales'!J494</x:f>
        <x:v>2</x:v>
      </x:c>
      <x:c r="S494" s="87" t="n">
        <x:f>'Raw Sales'!K494</x:f>
        <x:v>0.1</x:v>
      </x:c>
      <x:c r="T494" s="93" t="n">
        <x:f>P494*R494</x:f>
        <x:v>318</x:v>
      </x:c>
      <x:c r="U494" s="93" t="n">
        <x:f>T494*S494</x:f>
        <x:v>31.8</x:v>
      </x:c>
      <x:c r="V494" s="93" t="str">
        <x:f>PROPER(TRIM('Raw Sales'!L494))</x:f>
        <x:v>Completed</x:v>
      </x:c>
      <x:c r="W494" s="93" t="n">
        <x:f>IF(V494="Returned",0,T494-U494)</x:f>
        <x:v>286.2</x:v>
      </x:c>
      <x:c r="X494" s="93" t="n">
        <x:f>IF(V494="Returned",Q494*R494*10%,Q494*R494)</x:f>
        <x:v>184</x:v>
      </x:c>
      <x:c r="Y494" s="93" t="n">
        <x:f>W494-X494</x:f>
        <x:v>102.19999999999999</x:v>
      </x:c>
      <x:c r="Z494" s="94" t="n">
        <x:f>IFERROR(Y494/W494,0)</x:f>
        <x:v>0.35709294199860236</x:v>
      </x:c>
      <x:c r="AA494" s="84" t="str">
        <x:f>PROPER(TRIM('Raw Sales'!M494))</x:f>
        <x:v>Mobile Wallet</x:v>
      </x:c>
      <x:c r="AB494" s="84" t="str">
        <x:f>PROPER(TRIM('Raw Sales'!N494))</x:f>
        <x:v>Sofia Bennett</x:v>
      </x:c>
      <x:c r="AC494" s="85" t="n">
        <x:f>'Raw Sales'!O494</x:f>
        <x:v>45473</x:v>
      </x:c>
      <x:c r="AD494" s="84" t="n">
        <x:f>AC494-B494</x:f>
        <x:v>0</x:v>
      </x:c>
      <x:c r="AE494" s="84" t="str">
        <x:f>IF(COUNTIF($A$5:A494,A494)&gt;1,"Duplicate","Keep")</x:f>
        <x:v>Keep</x:v>
      </x:c>
      <x:c r="AF494" s="84" t="str">
        <x:f>IF(OR(R494&lt;=0,AC494&lt;B494,H494="Unknown",M494="Unknown Product"),"Review","Valid")</x:f>
        <x:v>Valid</x:v>
      </x:c>
      <x:c r="AG494" s="84" t="n">
        <x:f>IF(AND(AE494="Keep",AF494="Valid"),1,0)</x:f>
        <x:v>1</x:v>
      </x:c>
      <x:c r="AH494" s="84" t="n">
        <x:f>IF(AND(AG494=1,OR('Dashboard'!$B$4="All",I494='Dashboard'!$B$4),OR('Dashboard'!$E$4="All",N494='Dashboard'!$E$4),OR('Dashboard'!$H$4="All",K494='Dashboard'!$H$4),OR('Dashboard'!$K$4="All",C494='Dashboard'!$K$4)),1,0)</x:f>
        <x:v>1</x:v>
      </x:c>
      <x:c r="AI494" s="84" t="n">
        <x:f>IF(AND(AG494=1,OR('Dashboard'!$B$4="All",I494='Dashboard'!$B$4),OR('Dashboard'!$E$4="All",N494='Dashboard'!$E$4),OR('Dashboard'!$H$4="All",K494='Dashboard'!$H$4)),1,0)</x:f>
        <x:v>1</x:v>
      </x:c>
    </x:row>
    <x:row r="495">
      <x:c r="A495" s="84" t="str">
        <x:f>'Raw Sales'!A495</x:f>
        <x:v>ORD-2024-01223</x:v>
      </x:c>
      <x:c r="B495" s="85" t="n">
        <x:f>'Raw Sales'!B495</x:f>
        <x:v>45473</x:v>
      </x:c>
      <x:c r="C495" s="84" t="n">
        <x:f>YEAR(B495)</x:f>
        <x:v>2024</x:v>
      </x:c>
      <x:c r="D495" s="91" t="n">
        <x:f>DATE(YEAR(B495),MONTH(B495),1)</x:f>
        <x:v>45444</x:v>
      </x:c>
      <x:c r="E495" s="84" t="str">
        <x:f>TEXT(B495,"mmm")</x:f>
        <x:v>Jun</x:v>
      </x:c>
      <x:c r="F495" s="84" t="str">
        <x:f>'Raw Sales'!C495</x:f>
        <x:v>CUST-0573</x:v>
      </x:c>
      <x:c r="G495" s="84" t="str">
        <x:f>PROPER(TRIM('Raw Sales'!D495))</x:f>
        <x:v>Priya Johnson</x:v>
      </x:c>
      <x:c r="H495" s="84" t="str">
        <x:f>IF(TRIM('Raw Sales'!E495)="","Unknown",PROPER(TRIM('Raw Sales'!E495)))</x:f>
        <x:v>Corporate</x:v>
      </x:c>
      <x:c r="I495" s="84" t="str">
        <x:f>PROPER(TRIM('Raw Sales'!F495))</x:f>
        <x:v>West</x:v>
      </x:c>
      <x:c r="J495" s="84" t="str">
        <x:f>PROPER(TRIM('Raw Sales'!G495))</x:f>
        <x:v>Los Angeles</x:v>
      </x:c>
      <x:c r="K495" s="84" t="str">
        <x:f>PROPER(TRIM('Raw Sales'!H495))</x:f>
        <x:v>Online</x:v>
      </x:c>
      <x:c r="L495" s="84" t="str">
        <x:f>'Raw Sales'!I495</x:f>
        <x:v>OFFC-002</x:v>
      </x:c>
      <x:c r="M495" s="84" t="str">
        <x:f>IFERROR(VLOOKUP(L495,'Reference Data'!$A$5:$F$40,2,FALSE),"Unknown Product")</x:f>
        <x:v>Standing Desk</x:v>
      </x:c>
      <x:c r="N495" s="84" t="str">
        <x:f>IFERROR(VLOOKUP(L495,'Reference Data'!$A$5:$F$40,3,FALSE),"Unknown")</x:f>
        <x:v>Office</x:v>
      </x:c>
      <x:c r="O495" s="84" t="str">
        <x:f>IFERROR(VLOOKUP(L495,'Reference Data'!$A$5:$F$40,4,FALSE),"Unknown")</x:f>
        <x:v>Furniture</x:v>
      </x:c>
      <x:c r="P495" s="92" t="n">
        <x:f>IFERROR(VLOOKUP(L495,'Reference Data'!$A$5:$F$40,5,FALSE),0)</x:f>
        <x:v>399</x:v>
      </x:c>
      <x:c r="Q495" s="92" t="n">
        <x:f>IFERROR(VLOOKUP(L495,'Reference Data'!$A$5:$F$40,6,FALSE),0)</x:f>
        <x:v>235</x:v>
      </x:c>
      <x:c r="R495" s="84" t="n">
        <x:f>'Raw Sales'!J495</x:f>
        <x:v>2</x:v>
      </x:c>
      <x:c r="S495" s="87" t="n">
        <x:f>'Raw Sales'!K495</x:f>
        <x:v>0</x:v>
      </x:c>
      <x:c r="T495" s="93" t="n">
        <x:f>P495*R495</x:f>
        <x:v>798</x:v>
      </x:c>
      <x:c r="U495" s="93" t="n">
        <x:f>T495*S495</x:f>
        <x:v>0</x:v>
      </x:c>
      <x:c r="V495" s="93" t="str">
        <x:f>PROPER(TRIM('Raw Sales'!L495))</x:f>
        <x:v>Completed</x:v>
      </x:c>
      <x:c r="W495" s="93" t="n">
        <x:f>IF(V495="Returned",0,T495-U495)</x:f>
        <x:v>798</x:v>
      </x:c>
      <x:c r="X495" s="93" t="n">
        <x:f>IF(V495="Returned",Q495*R495*10%,Q495*R495)</x:f>
        <x:v>470</x:v>
      </x:c>
      <x:c r="Y495" s="93" t="n">
        <x:f>W495-X495</x:f>
        <x:v>328</x:v>
      </x:c>
      <x:c r="Z495" s="94" t="n">
        <x:f>IFERROR(Y495/W495,0)</x:f>
        <x:v>0.41102756892230574</x:v>
      </x:c>
      <x:c r="AA495" s="84" t="str">
        <x:f>PROPER(TRIM('Raw Sales'!M495))</x:f>
        <x:v>Paypal</x:v>
      </x:c>
      <x:c r="AB495" s="84" t="str">
        <x:f>PROPER(TRIM('Raw Sales'!N495))</x:f>
        <x:v>Nora Kim</x:v>
      </x:c>
      <x:c r="AC495" s="85" t="n">
        <x:f>'Raw Sales'!O495</x:f>
        <x:v>45476</x:v>
      </x:c>
      <x:c r="AD495" s="84" t="n">
        <x:f>AC495-B495</x:f>
        <x:v>3</x:v>
      </x:c>
      <x:c r="AE495" s="84" t="str">
        <x:f>IF(COUNTIF($A$5:A495,A495)&gt;1,"Duplicate","Keep")</x:f>
        <x:v>Keep</x:v>
      </x:c>
      <x:c r="AF495" s="84" t="str">
        <x:f>IF(OR(R495&lt;=0,AC495&lt;B495,H495="Unknown",M495="Unknown Product"),"Review","Valid")</x:f>
        <x:v>Valid</x:v>
      </x:c>
      <x:c r="AG495" s="84" t="n">
        <x:f>IF(AND(AE495="Keep",AF495="Valid"),1,0)</x:f>
        <x:v>1</x:v>
      </x:c>
      <x:c r="AH495" s="84" t="n">
        <x:f>IF(AND(AG495=1,OR('Dashboard'!$B$4="All",I495='Dashboard'!$B$4),OR('Dashboard'!$E$4="All",N495='Dashboard'!$E$4),OR('Dashboard'!$H$4="All",K495='Dashboard'!$H$4),OR('Dashboard'!$K$4="All",C495='Dashboard'!$K$4)),1,0)</x:f>
        <x:v>1</x:v>
      </x:c>
      <x:c r="AI495" s="84" t="n">
        <x:f>IF(AND(AG495=1,OR('Dashboard'!$B$4="All",I495='Dashboard'!$B$4),OR('Dashboard'!$E$4="All",N495='Dashboard'!$E$4),OR('Dashboard'!$H$4="All",K495='Dashboard'!$H$4)),1,0)</x:f>
        <x:v>1</x:v>
      </x:c>
    </x:row>
    <x:row r="496">
      <x:c r="A496" s="84" t="str">
        <x:f>'Raw Sales'!A496</x:f>
        <x:v>ORD-2024-02110</x:v>
      </x:c>
      <x:c r="B496" s="85" t="n">
        <x:f>'Raw Sales'!B496</x:f>
        <x:v>45473</x:v>
      </x:c>
      <x:c r="C496" s="84" t="n">
        <x:f>YEAR(B496)</x:f>
        <x:v>2024</x:v>
      </x:c>
      <x:c r="D496" s="91" t="n">
        <x:f>DATE(YEAR(B496),MONTH(B496),1)</x:f>
        <x:v>45444</x:v>
      </x:c>
      <x:c r="E496" s="84" t="str">
        <x:f>TEXT(B496,"mmm")</x:f>
        <x:v>Jun</x:v>
      </x:c>
      <x:c r="F496" s="84" t="str">
        <x:f>'Raw Sales'!C496</x:f>
        <x:v>CUST-0336</x:v>
      </x:c>
      <x:c r="G496" s="84" t="str">
        <x:f>PROPER(TRIM('Raw Sales'!D496))</x:f>
        <x:v>Jonah Garcia</x:v>
      </x:c>
      <x:c r="H496" s="84" t="str">
        <x:f>IF(TRIM('Raw Sales'!E496)="","Unknown",PROPER(TRIM('Raw Sales'!E496)))</x:f>
        <x:v>Consumer</x:v>
      </x:c>
      <x:c r="I496" s="84" t="str">
        <x:f>PROPER(TRIM('Raw Sales'!F496))</x:f>
        <x:v>West</x:v>
      </x:c>
      <x:c r="J496" s="84" t="str">
        <x:f>PROPER(TRIM('Raw Sales'!G496))</x:f>
        <x:v>Phoenix</x:v>
      </x:c>
      <x:c r="K496" s="84" t="str">
        <x:f>PROPER(TRIM('Raw Sales'!H496))</x:f>
        <x:v>Retail Store</x:v>
      </x:c>
      <x:c r="L496" s="84" t="str">
        <x:f>'Raw Sales'!I496</x:f>
        <x:v>OFFC-006</x:v>
      </x:c>
      <x:c r="M496" s="84" t="str">
        <x:f>IFERROR(VLOOKUP(L496,'Reference Data'!$A$5:$F$40,2,FALSE),"Unknown Product")</x:f>
        <x:v>Monitor Stand</x:v>
      </x:c>
      <x:c r="N496" s="84" t="str">
        <x:f>IFERROR(VLOOKUP(L496,'Reference Data'!$A$5:$F$40,3,FALSE),"Unknown")</x:f>
        <x:v>Office</x:v>
      </x:c>
      <x:c r="O496" s="84" t="str">
        <x:f>IFERROR(VLOOKUP(L496,'Reference Data'!$A$5:$F$40,4,FALSE),"Unknown")</x:f>
        <x:v>Desk Accessories</x:v>
      </x:c>
      <x:c r="P496" s="92" t="n">
        <x:f>IFERROR(VLOOKUP(L496,'Reference Data'!$A$5:$F$40,5,FALSE),0)</x:f>
        <x:v>49</x:v>
      </x:c>
      <x:c r="Q496" s="92" t="n">
        <x:f>IFERROR(VLOOKUP(L496,'Reference Data'!$A$5:$F$40,6,FALSE),0)</x:f>
        <x:v>21</x:v>
      </x:c>
      <x:c r="R496" s="84" t="n">
        <x:f>'Raw Sales'!J496</x:f>
        <x:v>2</x:v>
      </x:c>
      <x:c r="S496" s="87" t="n">
        <x:f>'Raw Sales'!K496</x:f>
        <x:v>0</x:v>
      </x:c>
      <x:c r="T496" s="93" t="n">
        <x:f>P496*R496</x:f>
        <x:v>98</x:v>
      </x:c>
      <x:c r="U496" s="93" t="n">
        <x:f>T496*S496</x:f>
        <x:v>0</x:v>
      </x:c>
      <x:c r="V496" s="93" t="str">
        <x:f>PROPER(TRIM('Raw Sales'!L496))</x:f>
        <x:v>Completed</x:v>
      </x:c>
      <x:c r="W496" s="93" t="n">
        <x:f>IF(V496="Returned",0,T496-U496)</x:f>
        <x:v>98</x:v>
      </x:c>
      <x:c r="X496" s="93" t="n">
        <x:f>IF(V496="Returned",Q496*R496*10%,Q496*R496)</x:f>
        <x:v>42</x:v>
      </x:c>
      <x:c r="Y496" s="93" t="n">
        <x:f>W496-X496</x:f>
        <x:v>56</x:v>
      </x:c>
      <x:c r="Z496" s="94" t="n">
        <x:f>IFERROR(Y496/W496,0)</x:f>
        <x:v>0.5714285714285714</x:v>
      </x:c>
      <x:c r="AA496" s="84" t="str">
        <x:f>PROPER(TRIM('Raw Sales'!M496))</x:f>
        <x:v>Debit Card</x:v>
      </x:c>
      <x:c r="AB496" s="84" t="str">
        <x:f>PROPER(TRIM('Raw Sales'!N496))</x:f>
        <x:v>Mia Chen</x:v>
      </x:c>
      <x:c r="AC496" s="85" t="n">
        <x:f>'Raw Sales'!O496</x:f>
        <x:v>45473</x:v>
      </x:c>
      <x:c r="AD496" s="84" t="n">
        <x:f>AC496-B496</x:f>
        <x:v>0</x:v>
      </x:c>
      <x:c r="AE496" s="84" t="str">
        <x:f>IF(COUNTIF($A$5:A496,A496)&gt;1,"Duplicate","Keep")</x:f>
        <x:v>Keep</x:v>
      </x:c>
      <x:c r="AF496" s="84" t="str">
        <x:f>IF(OR(R496&lt;=0,AC496&lt;B496,H496="Unknown",M496="Unknown Product"),"Review","Valid")</x:f>
        <x:v>Valid</x:v>
      </x:c>
      <x:c r="AG496" s="84" t="n">
        <x:f>IF(AND(AE496="Keep",AF496="Valid"),1,0)</x:f>
        <x:v>1</x:v>
      </x:c>
      <x:c r="AH496" s="84" t="n">
        <x:f>IF(AND(AG496=1,OR('Dashboard'!$B$4="All",I496='Dashboard'!$B$4),OR('Dashboard'!$E$4="All",N496='Dashboard'!$E$4),OR('Dashboard'!$H$4="All",K496='Dashboard'!$H$4),OR('Dashboard'!$K$4="All",C496='Dashboard'!$K$4)),1,0)</x:f>
        <x:v>1</x:v>
      </x:c>
      <x:c r="AI496" s="84" t="n">
        <x:f>IF(AND(AG496=1,OR('Dashboard'!$B$4="All",I496='Dashboard'!$B$4),OR('Dashboard'!$E$4="All",N496='Dashboard'!$E$4),OR('Dashboard'!$H$4="All",K496='Dashboard'!$H$4)),1,0)</x:f>
        <x:v>1</x:v>
      </x:c>
    </x:row>
    <x:row r="497">
      <x:c r="A497" s="84" t="str">
        <x:f>'Raw Sales'!A497</x:f>
        <x:v>ORD-2024-02384</x:v>
      </x:c>
      <x:c r="B497" s="85" t="n">
        <x:f>'Raw Sales'!B497</x:f>
        <x:v>45474</x:v>
      </x:c>
      <x:c r="C497" s="84" t="n">
        <x:f>YEAR(B497)</x:f>
        <x:v>2024</x:v>
      </x:c>
      <x:c r="D497" s="91" t="n">
        <x:f>DATE(YEAR(B497),MONTH(B497),1)</x:f>
        <x:v>45474</x:v>
      </x:c>
      <x:c r="E497" s="84" t="str">
        <x:f>TEXT(B497,"mmm")</x:f>
        <x:v>Jul</x:v>
      </x:c>
      <x:c r="F497" s="84" t="str">
        <x:f>'Raw Sales'!C497</x:f>
        <x:v>CUST-0581</x:v>
      </x:c>
      <x:c r="G497" s="84" t="str">
        <x:f>PROPER(TRIM('Raw Sales'!D497))</x:f>
        <x:v>Grace Lewis</x:v>
      </x:c>
      <x:c r="H497" s="84" t="str">
        <x:f>IF(TRIM('Raw Sales'!E497)="","Unknown",PROPER(TRIM('Raw Sales'!E497)))</x:f>
        <x:v>Consumer</x:v>
      </x:c>
      <x:c r="I497" s="84" t="str">
        <x:f>PROPER(TRIM('Raw Sales'!F497))</x:f>
        <x:v>West</x:v>
      </x:c>
      <x:c r="J497" s="84" t="str">
        <x:f>PROPER(TRIM('Raw Sales'!G497))</x:f>
        <x:v>Phoenix</x:v>
      </x:c>
      <x:c r="K497" s="84" t="str">
        <x:f>PROPER(TRIM('Raw Sales'!H497))</x:f>
        <x:v>Online</x:v>
      </x:c>
      <x:c r="L497" s="84" t="str">
        <x:f>'Raw Sales'!I497</x:f>
        <x:v>ELEC-003</x:v>
      </x:c>
      <x:c r="M497" s="84" t="str">
        <x:f>IFERROR(VLOOKUP(L497,'Reference Data'!$A$5:$F$40,2,FALSE),"Unknown Product")</x:f>
        <x:v>Bluetooth Speaker</x:v>
      </x:c>
      <x:c r="N497" s="84" t="str">
        <x:f>IFERROR(VLOOKUP(L497,'Reference Data'!$A$5:$F$40,3,FALSE),"Unknown")</x:f>
        <x:v>Electronics</x:v>
      </x:c>
      <x:c r="O497" s="84" t="str">
        <x:f>IFERROR(VLOOKUP(L497,'Reference Data'!$A$5:$F$40,4,FALSE),"Unknown")</x:f>
        <x:v>Audio</x:v>
      </x:c>
      <x:c r="P497" s="92" t="n">
        <x:f>IFERROR(VLOOKUP(L497,'Reference Data'!$A$5:$F$40,5,FALSE),0)</x:f>
        <x:v>89</x:v>
      </x:c>
      <x:c r="Q497" s="92" t="n">
        <x:f>IFERROR(VLOOKUP(L497,'Reference Data'!$A$5:$F$40,6,FALSE),0)</x:f>
        <x:v>44</x:v>
      </x:c>
      <x:c r="R497" s="84" t="n">
        <x:f>'Raw Sales'!J497</x:f>
        <x:v>1</x:v>
      </x:c>
      <x:c r="S497" s="87" t="n">
        <x:f>'Raw Sales'!K497</x:f>
        <x:v>0.05</x:v>
      </x:c>
      <x:c r="T497" s="93" t="n">
        <x:f>P497*R497</x:f>
        <x:v>89</x:v>
      </x:c>
      <x:c r="U497" s="93" t="n">
        <x:f>T497*S497</x:f>
        <x:v>4.45</x:v>
      </x:c>
      <x:c r="V497" s="93" t="str">
        <x:f>PROPER(TRIM('Raw Sales'!L497))</x:f>
        <x:v>Completed</x:v>
      </x:c>
      <x:c r="W497" s="93" t="n">
        <x:f>IF(V497="Returned",0,T497-U497)</x:f>
        <x:v>84.55</x:v>
      </x:c>
      <x:c r="X497" s="93" t="n">
        <x:f>IF(V497="Returned",Q497*R497*10%,Q497*R497)</x:f>
        <x:v>44</x:v>
      </x:c>
      <x:c r="Y497" s="93" t="n">
        <x:f>W497-X497</x:f>
        <x:v>40.55</x:v>
      </x:c>
      <x:c r="Z497" s="94" t="n">
        <x:f>IFERROR(Y497/W497,0)</x:f>
        <x:v>0.47959787108219987</x:v>
      </x:c>
      <x:c r="AA497" s="84" t="str">
        <x:f>PROPER(TRIM('Raw Sales'!M497))</x:f>
        <x:v>Credit Card</x:v>
      </x:c>
      <x:c r="AB497" s="84" t="str">
        <x:f>PROPER(TRIM('Raw Sales'!N497))</x:f>
        <x:v>Nora Kim</x:v>
      </x:c>
      <x:c r="AC497" s="85" t="n">
        <x:f>'Raw Sales'!O497</x:f>
        <x:v>45480</x:v>
      </x:c>
      <x:c r="AD497" s="84" t="n">
        <x:f>AC497-B497</x:f>
        <x:v>6</x:v>
      </x:c>
      <x:c r="AE497" s="84" t="str">
        <x:f>IF(COUNTIF($A$5:A497,A497)&gt;1,"Duplicate","Keep")</x:f>
        <x:v>Keep</x:v>
      </x:c>
      <x:c r="AF497" s="84" t="str">
        <x:f>IF(OR(R497&lt;=0,AC497&lt;B497,H497="Unknown",M497="Unknown Product"),"Review","Valid")</x:f>
        <x:v>Valid</x:v>
      </x:c>
      <x:c r="AG497" s="84" t="n">
        <x:f>IF(AND(AE497="Keep",AF497="Valid"),1,0)</x:f>
        <x:v>1</x:v>
      </x:c>
      <x:c r="AH497" s="84" t="n">
        <x:f>IF(AND(AG497=1,OR('Dashboard'!$B$4="All",I497='Dashboard'!$B$4),OR('Dashboard'!$E$4="All",N497='Dashboard'!$E$4),OR('Dashboard'!$H$4="All",K497='Dashboard'!$H$4),OR('Dashboard'!$K$4="All",C497='Dashboard'!$K$4)),1,0)</x:f>
        <x:v>1</x:v>
      </x:c>
      <x:c r="AI497" s="84" t="n">
        <x:f>IF(AND(AG497=1,OR('Dashboard'!$B$4="All",I497='Dashboard'!$B$4),OR('Dashboard'!$E$4="All",N497='Dashboard'!$E$4),OR('Dashboard'!$H$4="All",K497='Dashboard'!$H$4)),1,0)</x:f>
        <x:v>1</x:v>
      </x:c>
    </x:row>
    <x:row r="498">
      <x:c r="A498" s="84" t="str">
        <x:f>'Raw Sales'!A498</x:f>
        <x:v>ORD-2024-00015</x:v>
      </x:c>
      <x:c r="B498" s="85" t="n">
        <x:f>'Raw Sales'!B498</x:f>
        <x:v>45475</x:v>
      </x:c>
      <x:c r="C498" s="84" t="n">
        <x:f>YEAR(B498)</x:f>
        <x:v>2024</x:v>
      </x:c>
      <x:c r="D498" s="91" t="n">
        <x:f>DATE(YEAR(B498),MONTH(B498),1)</x:f>
        <x:v>45474</x:v>
      </x:c>
      <x:c r="E498" s="84" t="str">
        <x:f>TEXT(B498,"mmm")</x:f>
        <x:v>Jul</x:v>
      </x:c>
      <x:c r="F498" s="84" t="str">
        <x:f>'Raw Sales'!C498</x:f>
        <x:v>CUST-0311</x:v>
      </x:c>
      <x:c r="G498" s="84" t="str">
        <x:f>PROPER(TRIM('Raw Sales'!D498))</x:f>
        <x:v>Amelia Evans</x:v>
      </x:c>
      <x:c r="H498" s="84" t="str">
        <x:f>IF(TRIM('Raw Sales'!E498)="","Unknown",PROPER(TRIM('Raw Sales'!E498)))</x:f>
        <x:v>Consumer</x:v>
      </x:c>
      <x:c r="I498" s="84" t="str">
        <x:f>PROPER(TRIM('Raw Sales'!F498))</x:f>
        <x:v>Midwest</x:v>
      </x:c>
      <x:c r="J498" s="84" t="str">
        <x:f>PROPER(TRIM('Raw Sales'!G498))</x:f>
        <x:v>Detroit</x:v>
      </x:c>
      <x:c r="K498" s="84" t="str">
        <x:f>PROPER(TRIM('Raw Sales'!H498))</x:f>
        <x:v>Online</x:v>
      </x:c>
      <x:c r="L498" s="84" t="str">
        <x:f>'Raw Sales'!I498</x:f>
        <x:v>CARE-003</x:v>
      </x:c>
      <x:c r="M498" s="84" t="str">
        <x:f>IFERROR(VLOOKUP(L498,'Reference Data'!$A$5:$F$40,2,FALSE),"Unknown Product")</x:f>
        <x:v>Facial Cleanser</x:v>
      </x:c>
      <x:c r="N498" s="84" t="str">
        <x:f>IFERROR(VLOOKUP(L498,'Reference Data'!$A$5:$F$40,3,FALSE),"Unknown")</x:f>
        <x:v>Personal Care</x:v>
      </x:c>
      <x:c r="O498" s="84" t="str">
        <x:f>IFERROR(VLOOKUP(L498,'Reference Data'!$A$5:$F$40,4,FALSE),"Unknown")</x:f>
        <x:v>Skin Care</x:v>
      </x:c>
      <x:c r="P498" s="92" t="n">
        <x:f>IFERROR(VLOOKUP(L498,'Reference Data'!$A$5:$F$40,5,FALSE),0)</x:f>
        <x:v>18</x:v>
      </x:c>
      <x:c r="Q498" s="92" t="n">
        <x:f>IFERROR(VLOOKUP(L498,'Reference Data'!$A$5:$F$40,6,FALSE),0)</x:f>
        <x:v>6</x:v>
      </x:c>
      <x:c r="R498" s="84" t="n">
        <x:f>'Raw Sales'!J498</x:f>
        <x:v>2</x:v>
      </x:c>
      <x:c r="S498" s="87" t="n">
        <x:f>'Raw Sales'!K498</x:f>
        <x:v>0</x:v>
      </x:c>
      <x:c r="T498" s="93" t="n">
        <x:f>P498*R498</x:f>
        <x:v>36</x:v>
      </x:c>
      <x:c r="U498" s="93" t="n">
        <x:f>T498*S498</x:f>
        <x:v>0</x:v>
      </x:c>
      <x:c r="V498" s="93" t="str">
        <x:f>PROPER(TRIM('Raw Sales'!L498))</x:f>
        <x:v>Completed</x:v>
      </x:c>
      <x:c r="W498" s="93" t="n">
        <x:f>IF(V498="Returned",0,T498-U498)</x:f>
        <x:v>36</x:v>
      </x:c>
      <x:c r="X498" s="93" t="n">
        <x:f>IF(V498="Returned",Q498*R498*10%,Q498*R498)</x:f>
        <x:v>12</x:v>
      </x:c>
      <x:c r="Y498" s="93" t="n">
        <x:f>W498-X498</x:f>
        <x:v>24</x:v>
      </x:c>
      <x:c r="Z498" s="94" t="n">
        <x:f>IFERROR(Y498/W498,0)</x:f>
        <x:v>0.6666666666666666</x:v>
      </x:c>
      <x:c r="AA498" s="84" t="str">
        <x:f>PROPER(TRIM('Raw Sales'!M498))</x:f>
        <x:v>Credit Card</x:v>
      </x:c>
      <x:c r="AB498" s="84" t="str">
        <x:f>PROPER(TRIM('Raw Sales'!N498))</x:f>
        <x:v>Zoe Turner</x:v>
      </x:c>
      <x:c r="AC498" s="85" t="n">
        <x:f>'Raw Sales'!O498</x:f>
        <x:v>45481</x:v>
      </x:c>
      <x:c r="AD498" s="84" t="n">
        <x:f>AC498-B498</x:f>
        <x:v>6</x:v>
      </x:c>
      <x:c r="AE498" s="84" t="str">
        <x:f>IF(COUNTIF($A$5:A498,A498)&gt;1,"Duplicate","Keep")</x:f>
        <x:v>Keep</x:v>
      </x:c>
      <x:c r="AF498" s="84" t="str">
        <x:f>IF(OR(R498&lt;=0,AC498&lt;B498,H498="Unknown",M498="Unknown Product"),"Review","Valid")</x:f>
        <x:v>Valid</x:v>
      </x:c>
      <x:c r="AG498" s="84" t="n">
        <x:f>IF(AND(AE498="Keep",AF498="Valid"),1,0)</x:f>
        <x:v>1</x:v>
      </x:c>
      <x:c r="AH498" s="84" t="n">
        <x:f>IF(AND(AG498=1,OR('Dashboard'!$B$4="All",I498='Dashboard'!$B$4),OR('Dashboard'!$E$4="All",N498='Dashboard'!$E$4),OR('Dashboard'!$H$4="All",K498='Dashboard'!$H$4),OR('Dashboard'!$K$4="All",C498='Dashboard'!$K$4)),1,0)</x:f>
        <x:v>1</x:v>
      </x:c>
      <x:c r="AI498" s="84" t="n">
        <x:f>IF(AND(AG498=1,OR('Dashboard'!$B$4="All",I498='Dashboard'!$B$4),OR('Dashboard'!$E$4="All",N498='Dashboard'!$E$4),OR('Dashboard'!$H$4="All",K498='Dashboard'!$H$4)),1,0)</x:f>
        <x:v>1</x:v>
      </x:c>
    </x:row>
    <x:row r="499">
      <x:c r="A499" s="84" t="str">
        <x:f>'Raw Sales'!A499</x:f>
        <x:v>ORD-2024-00039</x:v>
      </x:c>
      <x:c r="B499" s="85" t="n">
        <x:f>'Raw Sales'!B499</x:f>
        <x:v>45475</x:v>
      </x:c>
      <x:c r="C499" s="84" t="n">
        <x:f>YEAR(B499)</x:f>
        <x:v>2024</x:v>
      </x:c>
      <x:c r="D499" s="91" t="n">
        <x:f>DATE(YEAR(B499),MONTH(B499),1)</x:f>
        <x:v>45474</x:v>
      </x:c>
      <x:c r="E499" s="84" t="str">
        <x:f>TEXT(B499,"mmm")</x:f>
        <x:v>Jul</x:v>
      </x:c>
      <x:c r="F499" s="84" t="str">
        <x:f>'Raw Sales'!C499</x:f>
        <x:v>CUST-0008</x:v>
      </x:c>
      <x:c r="G499" s="84" t="str">
        <x:f>PROPER(TRIM('Raw Sales'!D499))</x:f>
        <x:v>Nathan Foster</x:v>
      </x:c>
      <x:c r="H499" s="84" t="str">
        <x:f>IF(TRIM('Raw Sales'!E499)="","Unknown",PROPER(TRIM('Raw Sales'!E499)))</x:f>
        <x:v>Consumer</x:v>
      </x:c>
      <x:c r="I499" s="84" t="str">
        <x:f>PROPER(TRIM('Raw Sales'!F499))</x:f>
        <x:v>West</x:v>
      </x:c>
      <x:c r="J499" s="84" t="str">
        <x:f>PROPER(TRIM('Raw Sales'!G499))</x:f>
        <x:v>Denver</x:v>
      </x:c>
      <x:c r="K499" s="84" t="str">
        <x:f>PROPER(TRIM('Raw Sales'!H499))</x:f>
        <x:v>Online</x:v>
      </x:c>
      <x:c r="L499" s="84" t="str">
        <x:f>'Raw Sales'!I499</x:f>
        <x:v>ELEC-003</x:v>
      </x:c>
      <x:c r="M499" s="84" t="str">
        <x:f>IFERROR(VLOOKUP(L499,'Reference Data'!$A$5:$F$40,2,FALSE),"Unknown Product")</x:f>
        <x:v>Bluetooth Speaker</x:v>
      </x:c>
      <x:c r="N499" s="84" t="str">
        <x:f>IFERROR(VLOOKUP(L499,'Reference Data'!$A$5:$F$40,3,FALSE),"Unknown")</x:f>
        <x:v>Electronics</x:v>
      </x:c>
      <x:c r="O499" s="84" t="str">
        <x:f>IFERROR(VLOOKUP(L499,'Reference Data'!$A$5:$F$40,4,FALSE),"Unknown")</x:f>
        <x:v>Audio</x:v>
      </x:c>
      <x:c r="P499" s="92" t="n">
        <x:f>IFERROR(VLOOKUP(L499,'Reference Data'!$A$5:$F$40,5,FALSE),0)</x:f>
        <x:v>89</x:v>
      </x:c>
      <x:c r="Q499" s="92" t="n">
        <x:f>IFERROR(VLOOKUP(L499,'Reference Data'!$A$5:$F$40,6,FALSE),0)</x:f>
        <x:v>44</x:v>
      </x:c>
      <x:c r="R499" s="84" t="n">
        <x:f>'Raw Sales'!J499</x:f>
        <x:v>1</x:v>
      </x:c>
      <x:c r="S499" s="87" t="n">
        <x:f>'Raw Sales'!K499</x:f>
        <x:v>0</x:v>
      </x:c>
      <x:c r="T499" s="93" t="n">
        <x:f>P499*R499</x:f>
        <x:v>89</x:v>
      </x:c>
      <x:c r="U499" s="93" t="n">
        <x:f>T499*S499</x:f>
        <x:v>0</x:v>
      </x:c>
      <x:c r="V499" s="93" t="str">
        <x:f>PROPER(TRIM('Raw Sales'!L499))</x:f>
        <x:v>Completed</x:v>
      </x:c>
      <x:c r="W499" s="93" t="n">
        <x:f>IF(V499="Returned",0,T499-U499)</x:f>
        <x:v>89</x:v>
      </x:c>
      <x:c r="X499" s="93" t="n">
        <x:f>IF(V499="Returned",Q499*R499*10%,Q499*R499)</x:f>
        <x:v>44</x:v>
      </x:c>
      <x:c r="Y499" s="93" t="n">
        <x:f>W499-X499</x:f>
        <x:v>45</x:v>
      </x:c>
      <x:c r="Z499" s="94" t="n">
        <x:f>IFERROR(Y499/W499,0)</x:f>
        <x:v>0.5056179775280899</x:v>
      </x:c>
      <x:c r="AA499" s="84" t="str">
        <x:f>PROPER(TRIM('Raw Sales'!M499))</x:f>
        <x:v>Paypal</x:v>
      </x:c>
      <x:c r="AB499" s="84" t="str">
        <x:f>PROPER(TRIM('Raw Sales'!N499))</x:f>
        <x:v>Leo Martinez</x:v>
      </x:c>
      <x:c r="AC499" s="85" t="n">
        <x:f>'Raw Sales'!O499</x:f>
        <x:v>45478</x:v>
      </x:c>
      <x:c r="AD499" s="84" t="n">
        <x:f>AC499-B499</x:f>
        <x:v>3</x:v>
      </x:c>
      <x:c r="AE499" s="84" t="str">
        <x:f>IF(COUNTIF($A$5:A499,A499)&gt;1,"Duplicate","Keep")</x:f>
        <x:v>Keep</x:v>
      </x:c>
      <x:c r="AF499" s="84" t="str">
        <x:f>IF(OR(R499&lt;=0,AC499&lt;B499,H499="Unknown",M499="Unknown Product"),"Review","Valid")</x:f>
        <x:v>Valid</x:v>
      </x:c>
      <x:c r="AG499" s="84" t="n">
        <x:f>IF(AND(AE499="Keep",AF499="Valid"),1,0)</x:f>
        <x:v>1</x:v>
      </x:c>
      <x:c r="AH499" s="84" t="n">
        <x:f>IF(AND(AG499=1,OR('Dashboard'!$B$4="All",I499='Dashboard'!$B$4),OR('Dashboard'!$E$4="All",N499='Dashboard'!$E$4),OR('Dashboard'!$H$4="All",K499='Dashboard'!$H$4),OR('Dashboard'!$K$4="All",C499='Dashboard'!$K$4)),1,0)</x:f>
        <x:v>1</x:v>
      </x:c>
      <x:c r="AI499" s="84" t="n">
        <x:f>IF(AND(AG499=1,OR('Dashboard'!$B$4="All",I499='Dashboard'!$B$4),OR('Dashboard'!$E$4="All",N499='Dashboard'!$E$4),OR('Dashboard'!$H$4="All",K499='Dashboard'!$H$4)),1,0)</x:f>
        <x:v>1</x:v>
      </x:c>
    </x:row>
    <x:row r="500">
      <x:c r="A500" s="84" t="str">
        <x:f>'Raw Sales'!A500</x:f>
        <x:v>ORD-2024-00259</x:v>
      </x:c>
      <x:c r="B500" s="85" t="n">
        <x:f>'Raw Sales'!B500</x:f>
        <x:v>45475</x:v>
      </x:c>
      <x:c r="C500" s="84" t="n">
        <x:f>YEAR(B500)</x:f>
        <x:v>2024</x:v>
      </x:c>
      <x:c r="D500" s="91" t="n">
        <x:f>DATE(YEAR(B500),MONTH(B500),1)</x:f>
        <x:v>45474</x:v>
      </x:c>
      <x:c r="E500" s="84" t="str">
        <x:f>TEXT(B500,"mmm")</x:f>
        <x:v>Jul</x:v>
      </x:c>
      <x:c r="F500" s="84" t="str">
        <x:f>'Raw Sales'!C500</x:f>
        <x:v>CUST-0081</x:v>
      </x:c>
      <x:c r="G500" s="84" t="str">
        <x:f>PROPER(TRIM('Raw Sales'!D500))</x:f>
        <x:v>Grace Young</x:v>
      </x:c>
      <x:c r="H500" s="84" t="str">
        <x:f>IF(TRIM('Raw Sales'!E500)="","Unknown",PROPER(TRIM('Raw Sales'!E500)))</x:f>
        <x:v>Small Business</x:v>
      </x:c>
      <x:c r="I500" s="84" t="str">
        <x:f>PROPER(TRIM('Raw Sales'!F500))</x:f>
        <x:v>Northeast</x:v>
      </x:c>
      <x:c r="J500" s="84" t="str">
        <x:f>PROPER(TRIM('Raw Sales'!G500))</x:f>
        <x:v>New York</x:v>
      </x:c>
      <x:c r="K500" s="84" t="str">
        <x:f>PROPER(TRIM('Raw Sales'!H500))</x:f>
        <x:v>Retail Store</x:v>
      </x:c>
      <x:c r="L500" s="84" t="str">
        <x:f>'Raw Sales'!I500</x:f>
        <x:v>OFFC-001</x:v>
      </x:c>
      <x:c r="M500" s="84" t="str">
        <x:f>IFERROR(VLOOKUP(L500,'Reference Data'!$A$5:$F$40,2,FALSE),"Unknown Product")</x:f>
        <x:v>Ergonomic Chair</x:v>
      </x:c>
      <x:c r="N500" s="84" t="str">
        <x:f>IFERROR(VLOOKUP(L500,'Reference Data'!$A$5:$F$40,3,FALSE),"Unknown")</x:f>
        <x:v>Office</x:v>
      </x:c>
      <x:c r="O500" s="84" t="str">
        <x:f>IFERROR(VLOOKUP(L500,'Reference Data'!$A$5:$F$40,4,FALSE),"Unknown")</x:f>
        <x:v>Furniture</x:v>
      </x:c>
      <x:c r="P500" s="92" t="n">
        <x:f>IFERROR(VLOOKUP(L500,'Reference Data'!$A$5:$F$40,5,FALSE),0)</x:f>
        <x:v>249</x:v>
      </x:c>
      <x:c r="Q500" s="92" t="n">
        <x:f>IFERROR(VLOOKUP(L500,'Reference Data'!$A$5:$F$40,6,FALSE),0)</x:f>
        <x:v>145</x:v>
      </x:c>
      <x:c r="R500" s="84" t="n">
        <x:f>'Raw Sales'!J500</x:f>
        <x:v>2</x:v>
      </x:c>
      <x:c r="S500" s="87" t="n">
        <x:f>'Raw Sales'!K500</x:f>
        <x:v>0.1</x:v>
      </x:c>
      <x:c r="T500" s="93" t="n">
        <x:f>P500*R500</x:f>
        <x:v>498</x:v>
      </x:c>
      <x:c r="U500" s="93" t="n">
        <x:f>T500*S500</x:f>
        <x:v>49.800000000000004</x:v>
      </x:c>
      <x:c r="V500" s="93" t="str">
        <x:f>PROPER(TRIM('Raw Sales'!L500))</x:f>
        <x:v>Completed</x:v>
      </x:c>
      <x:c r="W500" s="93" t="n">
        <x:f>IF(V500="Returned",0,T500-U500)</x:f>
        <x:v>448.2</x:v>
      </x:c>
      <x:c r="X500" s="93" t="n">
        <x:f>IF(V500="Returned",Q500*R500*10%,Q500*R500)</x:f>
        <x:v>290</x:v>
      </x:c>
      <x:c r="Y500" s="93" t="n">
        <x:f>W500-X500</x:f>
        <x:v>158.2</x:v>
      </x:c>
      <x:c r="Z500" s="94" t="n">
        <x:f>IFERROR(Y500/W500,0)</x:f>
        <x:v>0.35296742525658187</x:v>
      </x:c>
      <x:c r="AA500" s="84" t="str">
        <x:f>PROPER(TRIM('Raw Sales'!M500))</x:f>
        <x:v>Debit Card</x:v>
      </x:c>
      <x:c r="AB500" s="84" t="str">
        <x:f>PROPER(TRIM('Raw Sales'!N500))</x:f>
        <x:v>Maya Brooks</x:v>
      </x:c>
      <x:c r="AC500" s="85" t="n">
        <x:f>'Raw Sales'!O500</x:f>
        <x:v>45475</x:v>
      </x:c>
      <x:c r="AD500" s="84" t="n">
        <x:f>AC500-B500</x:f>
        <x:v>0</x:v>
      </x:c>
      <x:c r="AE500" s="84" t="str">
        <x:f>IF(COUNTIF($A$5:A500,A500)&gt;1,"Duplicate","Keep")</x:f>
        <x:v>Keep</x:v>
      </x:c>
      <x:c r="AF500" s="84" t="str">
        <x:f>IF(OR(R500&lt;=0,AC500&lt;B500,H500="Unknown",M500="Unknown Product"),"Review","Valid")</x:f>
        <x:v>Valid</x:v>
      </x:c>
      <x:c r="AG500" s="84" t="n">
        <x:f>IF(AND(AE500="Keep",AF500="Valid"),1,0)</x:f>
        <x:v>1</x:v>
      </x:c>
      <x:c r="AH500" s="84" t="n">
        <x:f>IF(AND(AG500=1,OR('Dashboard'!$B$4="All",I500='Dashboard'!$B$4),OR('Dashboard'!$E$4="All",N500='Dashboard'!$E$4),OR('Dashboard'!$H$4="All",K500='Dashboard'!$H$4),OR('Dashboard'!$K$4="All",C500='Dashboard'!$K$4)),1,0)</x:f>
        <x:v>1</x:v>
      </x:c>
      <x:c r="AI500" s="84" t="n">
        <x:f>IF(AND(AG500=1,OR('Dashboard'!$B$4="All",I500='Dashboard'!$B$4),OR('Dashboard'!$E$4="All",N500='Dashboard'!$E$4),OR('Dashboard'!$H$4="All",K500='Dashboard'!$H$4)),1,0)</x:f>
        <x:v>1</x:v>
      </x:c>
    </x:row>
    <x:row r="501">
      <x:c r="A501" s="84" t="str">
        <x:f>'Raw Sales'!A501</x:f>
        <x:v>ORD-2024-01257</x:v>
      </x:c>
      <x:c r="B501" s="85" t="n">
        <x:f>'Raw Sales'!B501</x:f>
        <x:v>45475</x:v>
      </x:c>
      <x:c r="C501" s="84" t="n">
        <x:f>YEAR(B501)</x:f>
        <x:v>2024</x:v>
      </x:c>
      <x:c r="D501" s="91" t="n">
        <x:f>DATE(YEAR(B501),MONTH(B501),1)</x:f>
        <x:v>45474</x:v>
      </x:c>
      <x:c r="E501" s="84" t="str">
        <x:f>TEXT(B501,"mmm")</x:f>
        <x:v>Jul</x:v>
      </x:c>
      <x:c r="F501" s="84" t="str">
        <x:f>'Raw Sales'!C501</x:f>
        <x:v>CUST-0541</x:v>
      </x:c>
      <x:c r="G501" s="84" t="str">
        <x:f>PROPER(TRIM('Raw Sales'!D501))</x:f>
        <x:v>Caleb Adams</x:v>
      </x:c>
      <x:c r="H501" s="84" t="str">
        <x:f>IF(TRIM('Raw Sales'!E501)="","Unknown",PROPER(TRIM('Raw Sales'!E501)))</x:f>
        <x:v>Small Business</x:v>
      </x:c>
      <x:c r="I501" s="84" t="str">
        <x:f>PROPER(TRIM('Raw Sales'!F501))</x:f>
        <x:v>Northeast</x:v>
      </x:c>
      <x:c r="J501" s="84" t="str">
        <x:f>PROPER(TRIM('Raw Sales'!G501))</x:f>
        <x:v>Newark</x:v>
      </x:c>
      <x:c r="K501" s="84" t="str">
        <x:f>PROPER(TRIM('Raw Sales'!H501))</x:f>
        <x:v>Online</x:v>
      </x:c>
      <x:c r="L501" s="84" t="str">
        <x:f>'Raw Sales'!I501</x:f>
        <x:v>CARE-002</x:v>
      </x:c>
      <x:c r="M501" s="84" t="str">
        <x:f>IFERROR(VLOOKUP(L501,'Reference Data'!$A$5:$F$40,2,FALSE),"Unknown Product")</x:f>
        <x:v>Rechargeable Trimmer</x:v>
      </x:c>
      <x:c r="N501" s="84" t="str">
        <x:f>IFERROR(VLOOKUP(L501,'Reference Data'!$A$5:$F$40,3,FALSE),"Unknown")</x:f>
        <x:v>Personal Care</x:v>
      </x:c>
      <x:c r="O501" s="84" t="str">
        <x:f>IFERROR(VLOOKUP(L501,'Reference Data'!$A$5:$F$40,4,FALSE),"Unknown")</x:f>
        <x:v>Grooming</x:v>
      </x:c>
      <x:c r="P501" s="92" t="n">
        <x:f>IFERROR(VLOOKUP(L501,'Reference Data'!$A$5:$F$40,5,FALSE),0)</x:f>
        <x:v>45</x:v>
      </x:c>
      <x:c r="Q501" s="92" t="n">
        <x:f>IFERROR(VLOOKUP(L501,'Reference Data'!$A$5:$F$40,6,FALSE),0)</x:f>
        <x:v>19</x:v>
      </x:c>
      <x:c r="R501" s="84" t="n">
        <x:f>'Raw Sales'!J501</x:f>
        <x:v>2</x:v>
      </x:c>
      <x:c r="S501" s="87" t="n">
        <x:f>'Raw Sales'!K501</x:f>
        <x:v>0</x:v>
      </x:c>
      <x:c r="T501" s="93" t="n">
        <x:f>P501*R501</x:f>
        <x:v>90</x:v>
      </x:c>
      <x:c r="U501" s="93" t="n">
        <x:f>T501*S501</x:f>
        <x:v>0</x:v>
      </x:c>
      <x:c r="V501" s="93" t="str">
        <x:f>PROPER(TRIM('Raw Sales'!L501))</x:f>
        <x:v>Completed</x:v>
      </x:c>
      <x:c r="W501" s="93" t="n">
        <x:f>IF(V501="Returned",0,T501-U501)</x:f>
        <x:v>90</x:v>
      </x:c>
      <x:c r="X501" s="93" t="n">
        <x:f>IF(V501="Returned",Q501*R501*10%,Q501*R501)</x:f>
        <x:v>38</x:v>
      </x:c>
      <x:c r="Y501" s="93" t="n">
        <x:f>W501-X501</x:f>
        <x:v>52</x:v>
      </x:c>
      <x:c r="Z501" s="94" t="n">
        <x:f>IFERROR(Y501/W501,0)</x:f>
        <x:v>0.5777777777777777</x:v>
      </x:c>
      <x:c r="AA501" s="84" t="str">
        <x:f>PROPER(TRIM('Raw Sales'!M501))</x:f>
        <x:v>Debit Card</x:v>
      </x:c>
      <x:c r="AB501" s="84" t="str">
        <x:f>PROPER(TRIM('Raw Sales'!N501))</x:f>
        <x:v>Maya Brooks</x:v>
      </x:c>
      <x:c r="AC501" s="85" t="n">
        <x:f>'Raw Sales'!O501</x:f>
        <x:v>45477</x:v>
      </x:c>
      <x:c r="AD501" s="84" t="n">
        <x:f>AC501-B501</x:f>
        <x:v>2</x:v>
      </x:c>
      <x:c r="AE501" s="84" t="str">
        <x:f>IF(COUNTIF($A$5:A501,A501)&gt;1,"Duplicate","Keep")</x:f>
        <x:v>Keep</x:v>
      </x:c>
      <x:c r="AF501" s="84" t="str">
        <x:f>IF(OR(R501&lt;=0,AC501&lt;B501,H501="Unknown",M501="Unknown Product"),"Review","Valid")</x:f>
        <x:v>Valid</x:v>
      </x:c>
      <x:c r="AG501" s="84" t="n">
        <x:f>IF(AND(AE501="Keep",AF501="Valid"),1,0)</x:f>
        <x:v>1</x:v>
      </x:c>
      <x:c r="AH501" s="84" t="n">
        <x:f>IF(AND(AG501=1,OR('Dashboard'!$B$4="All",I501='Dashboard'!$B$4),OR('Dashboard'!$E$4="All",N501='Dashboard'!$E$4),OR('Dashboard'!$H$4="All",K501='Dashboard'!$H$4),OR('Dashboard'!$K$4="All",C501='Dashboard'!$K$4)),1,0)</x:f>
        <x:v>1</x:v>
      </x:c>
      <x:c r="AI501" s="84" t="n">
        <x:f>IF(AND(AG501=1,OR('Dashboard'!$B$4="All",I501='Dashboard'!$B$4),OR('Dashboard'!$E$4="All",N501='Dashboard'!$E$4),OR('Dashboard'!$H$4="All",K501='Dashboard'!$H$4)),1,0)</x:f>
        <x:v>1</x:v>
      </x:c>
    </x:row>
    <x:row r="502">
      <x:c r="A502" s="84" t="str">
        <x:f>'Raw Sales'!A502</x:f>
        <x:v>ORD-2024-01042</x:v>
      </x:c>
      <x:c r="B502" s="85" t="n">
        <x:f>'Raw Sales'!B502</x:f>
        <x:v>45477</x:v>
      </x:c>
      <x:c r="C502" s="84" t="n">
        <x:f>YEAR(B502)</x:f>
        <x:v>2024</x:v>
      </x:c>
      <x:c r="D502" s="91" t="n">
        <x:f>DATE(YEAR(B502),MONTH(B502),1)</x:f>
        <x:v>45474</x:v>
      </x:c>
      <x:c r="E502" s="84" t="str">
        <x:f>TEXT(B502,"mmm")</x:f>
        <x:v>Jul</x:v>
      </x:c>
      <x:c r="F502" s="84" t="str">
        <x:f>'Raw Sales'!C502</x:f>
        <x:v>CUST-0458</x:v>
      </x:c>
      <x:c r="G502" s="84" t="str">
        <x:f>PROPER(TRIM('Raw Sales'!D502))</x:f>
        <x:v>Samuel Carter</x:v>
      </x:c>
      <x:c r="H502" s="84" t="str">
        <x:f>IF(TRIM('Raw Sales'!E502)="","Unknown",PROPER(TRIM('Raw Sales'!E502)))</x:f>
        <x:v>Consumer</x:v>
      </x:c>
      <x:c r="I502" s="84" t="str">
        <x:f>PROPER(TRIM('Raw Sales'!F502))</x:f>
        <x:v>Southeast</x:v>
      </x:c>
      <x:c r="J502" s="84" t="str">
        <x:f>PROPER(TRIM('Raw Sales'!G502))</x:f>
        <x:v>Atlanta</x:v>
      </x:c>
      <x:c r="K502" s="84" t="str">
        <x:f>PROPER(TRIM('Raw Sales'!H502))</x:f>
        <x:v>Retail Store</x:v>
      </x:c>
      <x:c r="L502" s="84" t="str">
        <x:f>'Raw Sales'!I502</x:f>
        <x:v>ACCS-006</x:v>
      </x:c>
      <x:c r="M502" s="84" t="str">
        <x:f>IFERROR(VLOOKUP(L502,'Reference Data'!$A$5:$F$40,2,FALSE),"Unknown Product")</x:f>
        <x:v>Insulated Lunch Bag</x:v>
      </x:c>
      <x:c r="N502" s="84" t="str">
        <x:f>IFERROR(VLOOKUP(L502,'Reference Data'!$A$5:$F$40,3,FALSE),"Unknown")</x:f>
        <x:v>Accessories</x:v>
      </x:c>
      <x:c r="O502" s="84" t="str">
        <x:f>IFERROR(VLOOKUP(L502,'Reference Data'!$A$5:$F$40,4,FALSE),"Unknown")</x:f>
        <x:v>Bags</x:v>
      </x:c>
      <x:c r="P502" s="92" t="n">
        <x:f>IFERROR(VLOOKUP(L502,'Reference Data'!$A$5:$F$40,5,FALSE),0)</x:f>
        <x:v>29</x:v>
      </x:c>
      <x:c r="Q502" s="92" t="n">
        <x:f>IFERROR(VLOOKUP(L502,'Reference Data'!$A$5:$F$40,6,FALSE),0)</x:f>
        <x:v>10</x:v>
      </x:c>
      <x:c r="R502" s="84" t="n">
        <x:f>'Raw Sales'!J502</x:f>
        <x:v>1</x:v>
      </x:c>
      <x:c r="S502" s="87" t="n">
        <x:f>'Raw Sales'!K502</x:f>
        <x:v>0</x:v>
      </x:c>
      <x:c r="T502" s="93" t="n">
        <x:f>P502*R502</x:f>
        <x:v>29</x:v>
      </x:c>
      <x:c r="U502" s="93" t="n">
        <x:f>T502*S502</x:f>
        <x:v>0</x:v>
      </x:c>
      <x:c r="V502" s="93" t="str">
        <x:f>PROPER(TRIM('Raw Sales'!L502))</x:f>
        <x:v>Completed</x:v>
      </x:c>
      <x:c r="W502" s="93" t="n">
        <x:f>IF(V502="Returned",0,T502-U502)</x:f>
        <x:v>29</x:v>
      </x:c>
      <x:c r="X502" s="93" t="n">
        <x:f>IF(V502="Returned",Q502*R502*10%,Q502*R502)</x:f>
        <x:v>10</x:v>
      </x:c>
      <x:c r="Y502" s="93" t="n">
        <x:f>W502-X502</x:f>
        <x:v>19</x:v>
      </x:c>
      <x:c r="Z502" s="94" t="n">
        <x:f>IFERROR(Y502/W502,0)</x:f>
        <x:v>0.6551724137931034</x:v>
      </x:c>
      <x:c r="AA502" s="84" t="str">
        <x:f>PROPER(TRIM('Raw Sales'!M502))</x:f>
        <x:v>Mobile Wallet</x:v>
      </x:c>
      <x:c r="AB502" s="84" t="str">
        <x:f>PROPER(TRIM('Raw Sales'!N502))</x:f>
        <x:v>Liam Parker</x:v>
      </x:c>
      <x:c r="AC502" s="85" t="n">
        <x:f>'Raw Sales'!O502</x:f>
        <x:v>45477</x:v>
      </x:c>
      <x:c r="AD502" s="84" t="n">
        <x:f>AC502-B502</x:f>
        <x:v>0</x:v>
      </x:c>
      <x:c r="AE502" s="84" t="str">
        <x:f>IF(COUNTIF($A$5:A502,A502)&gt;1,"Duplicate","Keep")</x:f>
        <x:v>Keep</x:v>
      </x:c>
      <x:c r="AF502" s="84" t="str">
        <x:f>IF(OR(R502&lt;=0,AC502&lt;B502,H502="Unknown",M502="Unknown Product"),"Review","Valid")</x:f>
        <x:v>Valid</x:v>
      </x:c>
      <x:c r="AG502" s="84" t="n">
        <x:f>IF(AND(AE502="Keep",AF502="Valid"),1,0)</x:f>
        <x:v>1</x:v>
      </x:c>
      <x:c r="AH502" s="84" t="n">
        <x:f>IF(AND(AG502=1,OR('Dashboard'!$B$4="All",I502='Dashboard'!$B$4),OR('Dashboard'!$E$4="All",N502='Dashboard'!$E$4),OR('Dashboard'!$H$4="All",K502='Dashboard'!$H$4),OR('Dashboard'!$K$4="All",C502='Dashboard'!$K$4)),1,0)</x:f>
        <x:v>1</x:v>
      </x:c>
      <x:c r="AI502" s="84" t="n">
        <x:f>IF(AND(AG502=1,OR('Dashboard'!$B$4="All",I502='Dashboard'!$B$4),OR('Dashboard'!$E$4="All",N502='Dashboard'!$E$4),OR('Dashboard'!$H$4="All",K502='Dashboard'!$H$4)),1,0)</x:f>
        <x:v>1</x:v>
      </x:c>
    </x:row>
    <x:row r="503">
      <x:c r="A503" s="84" t="str">
        <x:f>'Raw Sales'!A503</x:f>
        <x:v>ORD-2024-01399</x:v>
      </x:c>
      <x:c r="B503" s="85" t="n">
        <x:f>'Raw Sales'!B503</x:f>
        <x:v>45477</x:v>
      </x:c>
      <x:c r="C503" s="84" t="n">
        <x:f>YEAR(B503)</x:f>
        <x:v>2024</x:v>
      </x:c>
      <x:c r="D503" s="91" t="n">
        <x:f>DATE(YEAR(B503),MONTH(B503),1)</x:f>
        <x:v>45474</x:v>
      </x:c>
      <x:c r="E503" s="84" t="str">
        <x:f>TEXT(B503,"mmm")</x:f>
        <x:v>Jul</x:v>
      </x:c>
      <x:c r="F503" s="84" t="str">
        <x:f>'Raw Sales'!C503</x:f>
        <x:v>CUST-0062</x:v>
      </x:c>
      <x:c r="G503" s="84" t="str">
        <x:f>PROPER(TRIM('Raw Sales'!D503))</x:f>
        <x:v>Caleb Davis</x:v>
      </x:c>
      <x:c r="H503" s="84" t="str">
        <x:f>IF(TRIM('Raw Sales'!E503)="","Unknown",PROPER(TRIM('Raw Sales'!E503)))</x:f>
        <x:v>Consumer</x:v>
      </x:c>
      <x:c r="I503" s="84" t="str">
        <x:f>PROPER(TRIM('Raw Sales'!F503))</x:f>
        <x:v>Northeast</x:v>
      </x:c>
      <x:c r="J503" s="84" t="str">
        <x:f>PROPER(TRIM('Raw Sales'!G503))</x:f>
        <x:v>New York</x:v>
      </x:c>
      <x:c r="K503" s="84" t="str">
        <x:f>PROPER(TRIM('Raw Sales'!H503))</x:f>
        <x:v>Online</x:v>
      </x:c>
      <x:c r="L503" s="84" t="str">
        <x:f>'Raw Sales'!I503</x:f>
        <x:v>FITN-001</x:v>
      </x:c>
      <x:c r="M503" s="84" t="str">
        <x:f>IFERROR(VLOOKUP(L503,'Reference Data'!$A$5:$F$40,2,FALSE),"Unknown Product")</x:f>
        <x:v>Yoga Mat</x:v>
      </x:c>
      <x:c r="N503" s="84" t="str">
        <x:f>IFERROR(VLOOKUP(L503,'Reference Data'!$A$5:$F$40,3,FALSE),"Unknown")</x:f>
        <x:v>Fitness</x:v>
      </x:c>
      <x:c r="O503" s="84" t="str">
        <x:f>IFERROR(VLOOKUP(L503,'Reference Data'!$A$5:$F$40,4,FALSE),"Unknown")</x:f>
        <x:v>Yoga</x:v>
      </x:c>
      <x:c r="P503" s="92" t="n">
        <x:f>IFERROR(VLOOKUP(L503,'Reference Data'!$A$5:$F$40,5,FALSE),0)</x:f>
        <x:v>35</x:v>
      </x:c>
      <x:c r="Q503" s="92" t="n">
        <x:f>IFERROR(VLOOKUP(L503,'Reference Data'!$A$5:$F$40,6,FALSE),0)</x:f>
        <x:v>13</x:v>
      </x:c>
      <x:c r="R503" s="84" t="n">
        <x:f>'Raw Sales'!J503</x:f>
        <x:v>3</x:v>
      </x:c>
      <x:c r="S503" s="87" t="n">
        <x:f>'Raw Sales'!K503</x:f>
        <x:v>0.1</x:v>
      </x:c>
      <x:c r="T503" s="93" t="n">
        <x:f>P503*R503</x:f>
        <x:v>105</x:v>
      </x:c>
      <x:c r="U503" s="93" t="n">
        <x:f>T503*S503</x:f>
        <x:v>10.5</x:v>
      </x:c>
      <x:c r="V503" s="93" t="str">
        <x:f>PROPER(TRIM('Raw Sales'!L503))</x:f>
        <x:v>Completed</x:v>
      </x:c>
      <x:c r="W503" s="93" t="n">
        <x:f>IF(V503="Returned",0,T503-U503)</x:f>
        <x:v>94.5</x:v>
      </x:c>
      <x:c r="X503" s="93" t="n">
        <x:f>IF(V503="Returned",Q503*R503*10%,Q503*R503)</x:f>
        <x:v>39</x:v>
      </x:c>
      <x:c r="Y503" s="93" t="n">
        <x:f>W503-X503</x:f>
        <x:v>55.5</x:v>
      </x:c>
      <x:c r="Z503" s="94" t="n">
        <x:f>IFERROR(Y503/W503,0)</x:f>
        <x:v>0.5873015873015873</x:v>
      </x:c>
      <x:c r="AA503" s="84" t="str">
        <x:f>PROPER(TRIM('Raw Sales'!M503))</x:f>
        <x:v>Debit Card</x:v>
      </x:c>
      <x:c r="AB503" s="84" t="str">
        <x:f>PROPER(TRIM('Raw Sales'!N503))</x:f>
        <x:v>Sofia Bennett</x:v>
      </x:c>
      <x:c r="AC503" s="85" t="n">
        <x:f>'Raw Sales'!O503</x:f>
        <x:v>45480</x:v>
      </x:c>
      <x:c r="AD503" s="84" t="n">
        <x:f>AC503-B503</x:f>
        <x:v>3</x:v>
      </x:c>
      <x:c r="AE503" s="84" t="str">
        <x:f>IF(COUNTIF($A$5:A503,A503)&gt;1,"Duplicate","Keep")</x:f>
        <x:v>Keep</x:v>
      </x:c>
      <x:c r="AF503" s="84" t="str">
        <x:f>IF(OR(R503&lt;=0,AC503&lt;B503,H503="Unknown",M503="Unknown Product"),"Review","Valid")</x:f>
        <x:v>Valid</x:v>
      </x:c>
      <x:c r="AG503" s="84" t="n">
        <x:f>IF(AND(AE503="Keep",AF503="Valid"),1,0)</x:f>
        <x:v>1</x:v>
      </x:c>
      <x:c r="AH503" s="84" t="n">
        <x:f>IF(AND(AG503=1,OR('Dashboard'!$B$4="All",I503='Dashboard'!$B$4),OR('Dashboard'!$E$4="All",N503='Dashboard'!$E$4),OR('Dashboard'!$H$4="All",K503='Dashboard'!$H$4),OR('Dashboard'!$K$4="All",C503='Dashboard'!$K$4)),1,0)</x:f>
        <x:v>1</x:v>
      </x:c>
      <x:c r="AI503" s="84" t="n">
        <x:f>IF(AND(AG503=1,OR('Dashboard'!$B$4="All",I503='Dashboard'!$B$4),OR('Dashboard'!$E$4="All",N503='Dashboard'!$E$4),OR('Dashboard'!$H$4="All",K503='Dashboard'!$H$4)),1,0)</x:f>
        <x:v>1</x:v>
      </x:c>
    </x:row>
    <x:row r="504">
      <x:c r="A504" s="84" t="str">
        <x:f>'Raw Sales'!A504</x:f>
        <x:v>ORD-2024-01833</x:v>
      </x:c>
      <x:c r="B504" s="85" t="n">
        <x:f>'Raw Sales'!B504</x:f>
        <x:v>45477</x:v>
      </x:c>
      <x:c r="C504" s="84" t="n">
        <x:f>YEAR(B504)</x:f>
        <x:v>2024</x:v>
      </x:c>
      <x:c r="D504" s="91" t="n">
        <x:f>DATE(YEAR(B504),MONTH(B504),1)</x:f>
        <x:v>45474</x:v>
      </x:c>
      <x:c r="E504" s="84" t="str">
        <x:f>TEXT(B504,"mmm")</x:f>
        <x:v>Jul</x:v>
      </x:c>
      <x:c r="F504" s="84" t="str">
        <x:f>'Raw Sales'!C504</x:f>
        <x:v>CUST-0238</x:v>
      </x:c>
      <x:c r="G504" s="84" t="str">
        <x:f>PROPER(TRIM('Raw Sales'!D504))</x:f>
        <x:v>Aiden Ortiz</x:v>
      </x:c>
      <x:c r="H504" s="84" t="str">
        <x:f>IF(TRIM('Raw Sales'!E504)="","Unknown",PROPER(TRIM('Raw Sales'!E504)))</x:f>
        <x:v>Small Business</x:v>
      </x:c>
      <x:c r="I504" s="84" t="str">
        <x:f>PROPER(TRIM('Raw Sales'!F504))</x:f>
        <x:v>West</x:v>
      </x:c>
      <x:c r="J504" s="84" t="str">
        <x:f>PROPER(TRIM('Raw Sales'!G504))</x:f>
        <x:v>Phoenix</x:v>
      </x:c>
      <x:c r="K504" s="84" t="str">
        <x:f>PROPER(TRIM('Raw Sales'!H504))</x:f>
        <x:v>Online</x:v>
      </x:c>
      <x:c r="L504" s="84" t="str">
        <x:f>'Raw Sales'!I504</x:f>
        <x:v>ACCS-001</x:v>
      </x:c>
      <x:c r="M504" s="84" t="str">
        <x:f>IFERROR(VLOOKUP(L504,'Reference Data'!$A$5:$F$40,2,FALSE),"Unknown Product")</x:f>
        <x:v>Canvas Tote Bag</x:v>
      </x:c>
      <x:c r="N504" s="84" t="str">
        <x:f>IFERROR(VLOOKUP(L504,'Reference Data'!$A$5:$F$40,3,FALSE),"Unknown")</x:f>
        <x:v>Accessories</x:v>
      </x:c>
      <x:c r="O504" s="84" t="str">
        <x:f>IFERROR(VLOOKUP(L504,'Reference Data'!$A$5:$F$40,4,FALSE),"Unknown")</x:f>
        <x:v>Bags</x:v>
      </x:c>
      <x:c r="P504" s="92" t="n">
        <x:f>IFERROR(VLOOKUP(L504,'Reference Data'!$A$5:$F$40,5,FALSE),0)</x:f>
        <x:v>39</x:v>
      </x:c>
      <x:c r="Q504" s="92" t="n">
        <x:f>IFERROR(VLOOKUP(L504,'Reference Data'!$A$5:$F$40,6,FALSE),0)</x:f>
        <x:v>14</x:v>
      </x:c>
      <x:c r="R504" s="84" t="n">
        <x:f>'Raw Sales'!J504</x:f>
        <x:v>1</x:v>
      </x:c>
      <x:c r="S504" s="87" t="n">
        <x:f>'Raw Sales'!K504</x:f>
        <x:v>0.1</x:v>
      </x:c>
      <x:c r="T504" s="93" t="n">
        <x:f>P504*R504</x:f>
        <x:v>39</x:v>
      </x:c>
      <x:c r="U504" s="93" t="n">
        <x:f>T504*S504</x:f>
        <x:v>3.9000000000000004</x:v>
      </x:c>
      <x:c r="V504" s="93" t="str">
        <x:f>PROPER(TRIM('Raw Sales'!L504))</x:f>
        <x:v>Completed</x:v>
      </x:c>
      <x:c r="W504" s="93" t="n">
        <x:f>IF(V504="Returned",0,T504-U504)</x:f>
        <x:v>35.1</x:v>
      </x:c>
      <x:c r="X504" s="93" t="n">
        <x:f>IF(V504="Returned",Q504*R504*10%,Q504*R504)</x:f>
        <x:v>14</x:v>
      </x:c>
      <x:c r="Y504" s="93" t="n">
        <x:f>W504-X504</x:f>
        <x:v>21.1</x:v>
      </x:c>
      <x:c r="Z504" s="94" t="n">
        <x:f>IFERROR(Y504/W504,0)</x:f>
        <x:v>0.6011396011396012</x:v>
      </x:c>
      <x:c r="AA504" s="84" t="str">
        <x:f>PROPER(TRIM('Raw Sales'!M504))</x:f>
        <x:v>Mobile Wallet</x:v>
      </x:c>
      <x:c r="AB504" s="84" t="str">
        <x:f>PROPER(TRIM('Raw Sales'!N504))</x:f>
        <x:v>Mia Chen</x:v>
      </x:c>
      <x:c r="AC504" s="85" t="n">
        <x:f>'Raw Sales'!O504</x:f>
        <x:v>45479</x:v>
      </x:c>
      <x:c r="AD504" s="84" t="n">
        <x:f>AC504-B504</x:f>
        <x:v>2</x:v>
      </x:c>
      <x:c r="AE504" s="84" t="str">
        <x:f>IF(COUNTIF($A$5:A504,A504)&gt;1,"Duplicate","Keep")</x:f>
        <x:v>Keep</x:v>
      </x:c>
      <x:c r="AF504" s="84" t="str">
        <x:f>IF(OR(R504&lt;=0,AC504&lt;B504,H504="Unknown",M504="Unknown Product"),"Review","Valid")</x:f>
        <x:v>Valid</x:v>
      </x:c>
      <x:c r="AG504" s="84" t="n">
        <x:f>IF(AND(AE504="Keep",AF504="Valid"),1,0)</x:f>
        <x:v>1</x:v>
      </x:c>
      <x:c r="AH504" s="84" t="n">
        <x:f>IF(AND(AG504=1,OR('Dashboard'!$B$4="All",I504='Dashboard'!$B$4),OR('Dashboard'!$E$4="All",N504='Dashboard'!$E$4),OR('Dashboard'!$H$4="All",K504='Dashboard'!$H$4),OR('Dashboard'!$K$4="All",C504='Dashboard'!$K$4)),1,0)</x:f>
        <x:v>1</x:v>
      </x:c>
      <x:c r="AI504" s="84" t="n">
        <x:f>IF(AND(AG504=1,OR('Dashboard'!$B$4="All",I504='Dashboard'!$B$4),OR('Dashboard'!$E$4="All",N504='Dashboard'!$E$4),OR('Dashboard'!$H$4="All",K504='Dashboard'!$H$4)),1,0)</x:f>
        <x:v>1</x:v>
      </x:c>
    </x:row>
    <x:row r="505">
      <x:c r="A505" s="84" t="str">
        <x:f>'Raw Sales'!A505</x:f>
        <x:v>ORD-2024-00480</x:v>
      </x:c>
      <x:c r="B505" s="85" t="n">
        <x:f>'Raw Sales'!B505</x:f>
        <x:v>45478</x:v>
      </x:c>
      <x:c r="C505" s="84" t="n">
        <x:f>YEAR(B505)</x:f>
        <x:v>2024</x:v>
      </x:c>
      <x:c r="D505" s="91" t="n">
        <x:f>DATE(YEAR(B505),MONTH(B505),1)</x:f>
        <x:v>45474</x:v>
      </x:c>
      <x:c r="E505" s="84" t="str">
        <x:f>TEXT(B505,"mmm")</x:f>
        <x:v>Jul</x:v>
      </x:c>
      <x:c r="F505" s="84" t="str">
        <x:f>'Raw Sales'!C505</x:f>
        <x:v>CUST-0322</x:v>
      </x:c>
      <x:c r="G505" s="84" t="str">
        <x:f>PROPER(TRIM('Raw Sales'!D505))</x:f>
        <x:v>Jasmine Khan</x:v>
      </x:c>
      <x:c r="H505" s="84" t="str">
        <x:f>IF(TRIM('Raw Sales'!E505)="","Unknown",PROPER(TRIM('Raw Sales'!E505)))</x:f>
        <x:v>Corporate</x:v>
      </x:c>
      <x:c r="I505" s="84" t="str">
        <x:f>PROPER(TRIM('Raw Sales'!F505))</x:f>
        <x:v>Southeast</x:v>
      </x:c>
      <x:c r="J505" s="84" t="str">
        <x:f>PROPER(TRIM('Raw Sales'!G505))</x:f>
        <x:v>Atlanta</x:v>
      </x:c>
      <x:c r="K505" s="84" t="str">
        <x:f>PROPER(TRIM('Raw Sales'!H505))</x:f>
        <x:v>Marketplace</x:v>
      </x:c>
      <x:c r="L505" s="84" t="str">
        <x:f>'Raw Sales'!I505</x:f>
        <x:v>OFFC-003</x:v>
      </x:c>
      <x:c r="M505" s="84" t="str">
        <x:f>IFERROR(VLOOKUP(L505,'Reference Data'!$A$5:$F$40,2,FALSE),"Unknown Product")</x:f>
        <x:v>LED Desk Lamp</x:v>
      </x:c>
      <x:c r="N505" s="84" t="str">
        <x:f>IFERROR(VLOOKUP(L505,'Reference Data'!$A$5:$F$40,3,FALSE),"Unknown")</x:f>
        <x:v>Office</x:v>
      </x:c>
      <x:c r="O505" s="84" t="str">
        <x:f>IFERROR(VLOOKUP(L505,'Reference Data'!$A$5:$F$40,4,FALSE),"Unknown")</x:f>
        <x:v>Desk Accessories</x:v>
      </x:c>
      <x:c r="P505" s="92" t="n">
        <x:f>IFERROR(VLOOKUP(L505,'Reference Data'!$A$5:$F$40,5,FALSE),0)</x:f>
        <x:v>45</x:v>
      </x:c>
      <x:c r="Q505" s="92" t="n">
        <x:f>IFERROR(VLOOKUP(L505,'Reference Data'!$A$5:$F$40,6,FALSE),0)</x:f>
        <x:v>20</x:v>
      </x:c>
      <x:c r="R505" s="84" t="n">
        <x:f>'Raw Sales'!J505</x:f>
        <x:v>2</x:v>
      </x:c>
      <x:c r="S505" s="87" t="n">
        <x:f>'Raw Sales'!K505</x:f>
        <x:v>0.1</x:v>
      </x:c>
      <x:c r="T505" s="93" t="n">
        <x:f>P505*R505</x:f>
        <x:v>90</x:v>
      </x:c>
      <x:c r="U505" s="93" t="n">
        <x:f>T505*S505</x:f>
        <x:v>9</x:v>
      </x:c>
      <x:c r="V505" s="93" t="str">
        <x:f>PROPER(TRIM('Raw Sales'!L505))</x:f>
        <x:v>Completed</x:v>
      </x:c>
      <x:c r="W505" s="93" t="n">
        <x:f>IF(V505="Returned",0,T505-U505)</x:f>
        <x:v>81</x:v>
      </x:c>
      <x:c r="X505" s="93" t="n">
        <x:f>IF(V505="Returned",Q505*R505*10%,Q505*R505)</x:f>
        <x:v>40</x:v>
      </x:c>
      <x:c r="Y505" s="93" t="n">
        <x:f>W505-X505</x:f>
        <x:v>41</x:v>
      </x:c>
      <x:c r="Z505" s="94" t="n">
        <x:f>IFERROR(Y505/W505,0)</x:f>
        <x:v>0.5061728395061729</x:v>
      </x:c>
      <x:c r="AA505" s="84" t="str">
        <x:f>PROPER(TRIM('Raw Sales'!M505))</x:f>
        <x:v>Credit Card</x:v>
      </x:c>
      <x:c r="AB505" s="84" t="str">
        <x:f>PROPER(TRIM('Raw Sales'!N505))</x:f>
        <x:v>Noah Reed</x:v>
      </x:c>
      <x:c r="AC505" s="85" t="n">
        <x:f>'Raw Sales'!O505</x:f>
        <x:v>45482</x:v>
      </x:c>
      <x:c r="AD505" s="84" t="n">
        <x:f>AC505-B505</x:f>
        <x:v>4</x:v>
      </x:c>
      <x:c r="AE505" s="84" t="str">
        <x:f>IF(COUNTIF($A$5:A505,A505)&gt;1,"Duplicate","Keep")</x:f>
        <x:v>Keep</x:v>
      </x:c>
      <x:c r="AF505" s="84" t="str">
        <x:f>IF(OR(R505&lt;=0,AC505&lt;B505,H505="Unknown",M505="Unknown Product"),"Review","Valid")</x:f>
        <x:v>Valid</x:v>
      </x:c>
      <x:c r="AG505" s="84" t="n">
        <x:f>IF(AND(AE505="Keep",AF505="Valid"),1,0)</x:f>
        <x:v>1</x:v>
      </x:c>
      <x:c r="AH505" s="84" t="n">
        <x:f>IF(AND(AG505=1,OR('Dashboard'!$B$4="All",I505='Dashboard'!$B$4),OR('Dashboard'!$E$4="All",N505='Dashboard'!$E$4),OR('Dashboard'!$H$4="All",K505='Dashboard'!$H$4),OR('Dashboard'!$K$4="All",C505='Dashboard'!$K$4)),1,0)</x:f>
        <x:v>1</x:v>
      </x:c>
      <x:c r="AI505" s="84" t="n">
        <x:f>IF(AND(AG505=1,OR('Dashboard'!$B$4="All",I505='Dashboard'!$B$4),OR('Dashboard'!$E$4="All",N505='Dashboard'!$E$4),OR('Dashboard'!$H$4="All",K505='Dashboard'!$H$4)),1,0)</x:f>
        <x:v>1</x:v>
      </x:c>
    </x:row>
    <x:row r="506">
      <x:c r="A506" s="84" t="str">
        <x:f>'Raw Sales'!A506</x:f>
        <x:v>ORD-2024-00703</x:v>
      </x:c>
      <x:c r="B506" s="85" t="n">
        <x:f>'Raw Sales'!B506</x:f>
        <x:v>45478</x:v>
      </x:c>
      <x:c r="C506" s="84" t="n">
        <x:f>YEAR(B506)</x:f>
        <x:v>2024</x:v>
      </x:c>
      <x:c r="D506" s="91" t="n">
        <x:f>DATE(YEAR(B506),MONTH(B506),1)</x:f>
        <x:v>45474</x:v>
      </x:c>
      <x:c r="E506" s="84" t="str">
        <x:f>TEXT(B506,"mmm")</x:f>
        <x:v>Jul</x:v>
      </x:c>
      <x:c r="F506" s="84" t="str">
        <x:f>'Raw Sales'!C506</x:f>
        <x:v>CUST-0603</x:v>
      </x:c>
      <x:c r="G506" s="84" t="str">
        <x:f>PROPER(TRIM('Raw Sales'!D506))</x:f>
        <x:v>Elias Roberts</x:v>
      </x:c>
      <x:c r="H506" s="84" t="str">
        <x:f>IF(TRIM('Raw Sales'!E506)="","Unknown",PROPER(TRIM('Raw Sales'!E506)))</x:f>
        <x:v>Consumer</x:v>
      </x:c>
      <x:c r="I506" s="84" t="str">
        <x:f>PROPER(TRIM('Raw Sales'!F506))</x:f>
        <x:v>Northeast</x:v>
      </x:c>
      <x:c r="J506" s="84" t="str">
        <x:f>PROPER(TRIM('Raw Sales'!G506))</x:f>
        <x:v>Newark</x:v>
      </x:c>
      <x:c r="K506" s="84" t="str">
        <x:f>PROPER(TRIM('Raw Sales'!H506))</x:f>
        <x:v>Retail Store</x:v>
      </x:c>
      <x:c r="L506" s="84" t="str">
        <x:f>'Raw Sales'!I506</x:f>
        <x:v>FITN-002</x:v>
      </x:c>
      <x:c r="M506" s="84" t="str">
        <x:f>IFERROR(VLOOKUP(L506,'Reference Data'!$A$5:$F$40,2,FALSE),"Unknown Product")</x:f>
        <x:v>Adjustable Dumbbell Set</x:v>
      </x:c>
      <x:c r="N506" s="84" t="str">
        <x:f>IFERROR(VLOOKUP(L506,'Reference Data'!$A$5:$F$40,3,FALSE),"Unknown")</x:f>
        <x:v>Fitness</x:v>
      </x:c>
      <x:c r="O506" s="84" t="str">
        <x:f>IFERROR(VLOOKUP(L506,'Reference Data'!$A$5:$F$40,4,FALSE),"Unknown")</x:f>
        <x:v>Strength</x:v>
      </x:c>
      <x:c r="P506" s="92" t="n">
        <x:f>IFERROR(VLOOKUP(L506,'Reference Data'!$A$5:$F$40,5,FALSE),0)</x:f>
        <x:v>99</x:v>
      </x:c>
      <x:c r="Q506" s="92" t="n">
        <x:f>IFERROR(VLOOKUP(L506,'Reference Data'!$A$5:$F$40,6,FALSE),0)</x:f>
        <x:v>57</x:v>
      </x:c>
      <x:c r="R506" s="84" t="n">
        <x:f>'Raw Sales'!J506</x:f>
        <x:v>3</x:v>
      </x:c>
      <x:c r="S506" s="87" t="n">
        <x:f>'Raw Sales'!K506</x:f>
        <x:v>0.1</x:v>
      </x:c>
      <x:c r="T506" s="93" t="n">
        <x:f>P506*R506</x:f>
        <x:v>297</x:v>
      </x:c>
      <x:c r="U506" s="93" t="n">
        <x:f>T506*S506</x:f>
        <x:v>29.700000000000003</x:v>
      </x:c>
      <x:c r="V506" s="93" t="str">
        <x:f>PROPER(TRIM('Raw Sales'!L506))</x:f>
        <x:v>Completed</x:v>
      </x:c>
      <x:c r="W506" s="93" t="n">
        <x:f>IF(V506="Returned",0,T506-U506)</x:f>
        <x:v>267.3</x:v>
      </x:c>
      <x:c r="X506" s="93" t="n">
        <x:f>IF(V506="Returned",Q506*R506*10%,Q506*R506)</x:f>
        <x:v>171</x:v>
      </x:c>
      <x:c r="Y506" s="93" t="n">
        <x:f>W506-X506</x:f>
        <x:v>96.30000000000001</x:v>
      </x:c>
      <x:c r="Z506" s="94" t="n">
        <x:f>IFERROR(Y506/W506,0)</x:f>
        <x:v>0.3602693602693603</x:v>
      </x:c>
      <x:c r="AA506" s="84" t="str">
        <x:f>PROPER(TRIM('Raw Sales'!M506))</x:f>
        <x:v>Mobile Wallet</x:v>
      </x:c>
      <x:c r="AB506" s="84" t="str">
        <x:f>PROPER(TRIM('Raw Sales'!N506))</x:f>
        <x:v>Ethan Cole</x:v>
      </x:c>
      <x:c r="AC506" s="85" t="n">
        <x:f>'Raw Sales'!O506</x:f>
        <x:v>45478</x:v>
      </x:c>
      <x:c r="AD506" s="84" t="n">
        <x:f>AC506-B506</x:f>
        <x:v>0</x:v>
      </x:c>
      <x:c r="AE506" s="84" t="str">
        <x:f>IF(COUNTIF($A$5:A506,A506)&gt;1,"Duplicate","Keep")</x:f>
        <x:v>Keep</x:v>
      </x:c>
      <x:c r="AF506" s="84" t="str">
        <x:f>IF(OR(R506&lt;=0,AC506&lt;B506,H506="Unknown",M506="Unknown Product"),"Review","Valid")</x:f>
        <x:v>Valid</x:v>
      </x:c>
      <x:c r="AG506" s="84" t="n">
        <x:f>IF(AND(AE506="Keep",AF506="Valid"),1,0)</x:f>
        <x:v>1</x:v>
      </x:c>
      <x:c r="AH506" s="84" t="n">
        <x:f>IF(AND(AG506=1,OR('Dashboard'!$B$4="All",I506='Dashboard'!$B$4),OR('Dashboard'!$E$4="All",N506='Dashboard'!$E$4),OR('Dashboard'!$H$4="All",K506='Dashboard'!$H$4),OR('Dashboard'!$K$4="All",C506='Dashboard'!$K$4)),1,0)</x:f>
        <x:v>1</x:v>
      </x:c>
      <x:c r="AI506" s="84" t="n">
        <x:f>IF(AND(AG506=1,OR('Dashboard'!$B$4="All",I506='Dashboard'!$B$4),OR('Dashboard'!$E$4="All",N506='Dashboard'!$E$4),OR('Dashboard'!$H$4="All",K506='Dashboard'!$H$4)),1,0)</x:f>
        <x:v>1</x:v>
      </x:c>
    </x:row>
    <x:row r="507">
      <x:c r="A507" s="84" t="str">
        <x:f>'Raw Sales'!A507</x:f>
        <x:v>ORD-2024-01163</x:v>
      </x:c>
      <x:c r="B507" s="85" t="n">
        <x:f>'Raw Sales'!B507</x:f>
        <x:v>45478</x:v>
      </x:c>
      <x:c r="C507" s="84" t="n">
        <x:f>YEAR(B507)</x:f>
        <x:v>2024</x:v>
      </x:c>
      <x:c r="D507" s="91" t="n">
        <x:f>DATE(YEAR(B507),MONTH(B507),1)</x:f>
        <x:v>45474</x:v>
      </x:c>
      <x:c r="E507" s="84" t="str">
        <x:f>TEXT(B507,"mmm")</x:f>
        <x:v>Jul</x:v>
      </x:c>
      <x:c r="F507" s="84" t="str">
        <x:f>'Raw Sales'!C507</x:f>
        <x:v>CUST-0194</x:v>
      </x:c>
      <x:c r="G507" s="84" t="str">
        <x:f>PROPER(TRIM('Raw Sales'!D507))</x:f>
        <x:v>Samuel Roberts</x:v>
      </x:c>
      <x:c r="H507" s="84" t="str">
        <x:f>IF(TRIM('Raw Sales'!E507)="","Unknown",PROPER(TRIM('Raw Sales'!E507)))</x:f>
        <x:v>Small Business</x:v>
      </x:c>
      <x:c r="I507" s="84" t="str">
        <x:f>PROPER(TRIM('Raw Sales'!F507))</x:f>
        <x:v>Southeast</x:v>
      </x:c>
      <x:c r="J507" s="84" t="str">
        <x:f>PROPER(TRIM('Raw Sales'!G507))</x:f>
        <x:v>Atlanta</x:v>
      </x:c>
      <x:c r="K507" s="84" t="str">
        <x:f>PROPER(TRIM('Raw Sales'!H507))</x:f>
        <x:v>Retail Store</x:v>
      </x:c>
      <x:c r="L507" s="84" t="str">
        <x:f>'Raw Sales'!I507</x:f>
        <x:v>HOME-004</x:v>
      </x:c>
      <x:c r="M507" s="84" t="str">
        <x:f>IFERROR(VLOOKUP(L507,'Reference Data'!$A$5:$F$40,2,FALSE),"Unknown Product")</x:f>
        <x:v>Coffee Maker</x:v>
      </x:c>
      <x:c r="N507" s="84" t="str">
        <x:f>IFERROR(VLOOKUP(L507,'Reference Data'!$A$5:$F$40,3,FALSE),"Unknown")</x:f>
        <x:v>Home &amp; Kitchen</x:v>
      </x:c>
      <x:c r="O507" s="84" t="str">
        <x:f>IFERROR(VLOOKUP(L507,'Reference Data'!$A$5:$F$40,4,FALSE),"Unknown")</x:f>
        <x:v>Small Appliances</x:v>
      </x:c>
      <x:c r="P507" s="92" t="n">
        <x:f>IFERROR(VLOOKUP(L507,'Reference Data'!$A$5:$F$40,5,FALSE),0)</x:f>
        <x:v>99</x:v>
      </x:c>
      <x:c r="Q507" s="92" t="n">
        <x:f>IFERROR(VLOOKUP(L507,'Reference Data'!$A$5:$F$40,6,FALSE),0)</x:f>
        <x:v>51</x:v>
      </x:c>
      <x:c r="R507" s="84" t="n">
        <x:f>'Raw Sales'!J507</x:f>
        <x:v>1</x:v>
      </x:c>
      <x:c r="S507" s="87" t="n">
        <x:f>'Raw Sales'!K507</x:f>
        <x:v>0.1</x:v>
      </x:c>
      <x:c r="T507" s="93" t="n">
        <x:f>P507*R507</x:f>
        <x:v>99</x:v>
      </x:c>
      <x:c r="U507" s="93" t="n">
        <x:f>T507*S507</x:f>
        <x:v>9.9</x:v>
      </x:c>
      <x:c r="V507" s="93" t="str">
        <x:f>PROPER(TRIM('Raw Sales'!L507))</x:f>
        <x:v>Completed</x:v>
      </x:c>
      <x:c r="W507" s="93" t="n">
        <x:f>IF(V507="Returned",0,T507-U507)</x:f>
        <x:v>89.1</x:v>
      </x:c>
      <x:c r="X507" s="93" t="n">
        <x:f>IF(V507="Returned",Q507*R507*10%,Q507*R507)</x:f>
        <x:v>51</x:v>
      </x:c>
      <x:c r="Y507" s="93" t="n">
        <x:f>W507-X507</x:f>
        <x:v>38.099999999999994</x:v>
      </x:c>
      <x:c r="Z507" s="94" t="n">
        <x:f>IFERROR(Y507/W507,0)</x:f>
        <x:v>0.42760942760942755</x:v>
      </x:c>
      <x:c r="AA507" s="84" t="str">
        <x:f>PROPER(TRIM('Raw Sales'!M507))</x:f>
        <x:v>Cash</x:v>
      </x:c>
      <x:c r="AB507" s="84" t="str">
        <x:f>PROPER(TRIM('Raw Sales'!N507))</x:f>
        <x:v>Noah Reed</x:v>
      </x:c>
      <x:c r="AC507" s="85" t="n">
        <x:f>'Raw Sales'!O507</x:f>
        <x:v>45478</x:v>
      </x:c>
      <x:c r="AD507" s="84" t="n">
        <x:f>AC507-B507</x:f>
        <x:v>0</x:v>
      </x:c>
      <x:c r="AE507" s="84" t="str">
        <x:f>IF(COUNTIF($A$5:A507,A507)&gt;1,"Duplicate","Keep")</x:f>
        <x:v>Keep</x:v>
      </x:c>
      <x:c r="AF507" s="84" t="str">
        <x:f>IF(OR(R507&lt;=0,AC507&lt;B507,H507="Unknown",M507="Unknown Product"),"Review","Valid")</x:f>
        <x:v>Valid</x:v>
      </x:c>
      <x:c r="AG507" s="84" t="n">
        <x:f>IF(AND(AE507="Keep",AF507="Valid"),1,0)</x:f>
        <x:v>1</x:v>
      </x:c>
      <x:c r="AH507" s="84" t="n">
        <x:f>IF(AND(AG507=1,OR('Dashboard'!$B$4="All",I507='Dashboard'!$B$4),OR('Dashboard'!$E$4="All",N507='Dashboard'!$E$4),OR('Dashboard'!$H$4="All",K507='Dashboard'!$H$4),OR('Dashboard'!$K$4="All",C507='Dashboard'!$K$4)),1,0)</x:f>
        <x:v>1</x:v>
      </x:c>
      <x:c r="AI507" s="84" t="n">
        <x:f>IF(AND(AG507=1,OR('Dashboard'!$B$4="All",I507='Dashboard'!$B$4),OR('Dashboard'!$E$4="All",N507='Dashboard'!$E$4),OR('Dashboard'!$H$4="All",K507='Dashboard'!$H$4)),1,0)</x:f>
        <x:v>1</x:v>
      </x:c>
    </x:row>
    <x:row r="508">
      <x:c r="A508" s="84" t="str">
        <x:f>'Raw Sales'!A508</x:f>
        <x:v>ORD-2024-01349</x:v>
      </x:c>
      <x:c r="B508" s="85" t="n">
        <x:f>'Raw Sales'!B508</x:f>
        <x:v>45478</x:v>
      </x:c>
      <x:c r="C508" s="84" t="n">
        <x:f>YEAR(B508)</x:f>
        <x:v>2024</x:v>
      </x:c>
      <x:c r="D508" s="91" t="n">
        <x:f>DATE(YEAR(B508),MONTH(B508),1)</x:f>
        <x:v>45474</x:v>
      </x:c>
      <x:c r="E508" s="84" t="str">
        <x:f>TEXT(B508,"mmm")</x:f>
        <x:v>Jul</x:v>
      </x:c>
      <x:c r="F508" s="84" t="str">
        <x:f>'Raw Sales'!C508</x:f>
        <x:v>CUST-0022</x:v>
      </x:c>
      <x:c r="G508" s="84" t="str">
        <x:f>PROPER(TRIM('Raw Sales'!D508))</x:f>
        <x:v>Amelia Nelson</x:v>
      </x:c>
      <x:c r="H508" s="84" t="str">
        <x:f>IF(TRIM('Raw Sales'!E508)="","Unknown",PROPER(TRIM('Raw Sales'!E508)))</x:f>
        <x:v>Corporate</x:v>
      </x:c>
      <x:c r="I508" s="84" t="str">
        <x:f>PROPER(TRIM('Raw Sales'!F508))</x:f>
        <x:v>Northeast</x:v>
      </x:c>
      <x:c r="J508" s="84" t="str">
        <x:f>PROPER(TRIM('Raw Sales'!G508))</x:f>
        <x:v>New York</x:v>
      </x:c>
      <x:c r="K508" s="84" t="str">
        <x:f>PROPER(TRIM('Raw Sales'!H508))</x:f>
        <x:v>Retail Store</x:v>
      </x:c>
      <x:c r="L508" s="84" t="str">
        <x:f>'Raw Sales'!I508</x:f>
        <x:v>ACCS-004</x:v>
      </x:c>
      <x:c r="M508" s="84" t="str">
        <x:f>IFERROR(VLOOKUP(L508,'Reference Data'!$A$5:$F$40,2,FALSE),"Unknown Product")</x:f>
        <x:v>Leather Wallet</x:v>
      </x:c>
      <x:c r="N508" s="84" t="str">
        <x:f>IFERROR(VLOOKUP(L508,'Reference Data'!$A$5:$F$40,3,FALSE),"Unknown")</x:f>
        <x:v>Accessories</x:v>
      </x:c>
      <x:c r="O508" s="84" t="str">
        <x:f>IFERROR(VLOOKUP(L508,'Reference Data'!$A$5:$F$40,4,FALSE),"Unknown")</x:f>
        <x:v>Wallets</x:v>
      </x:c>
      <x:c r="P508" s="92" t="n">
        <x:f>IFERROR(VLOOKUP(L508,'Reference Data'!$A$5:$F$40,5,FALSE),0)</x:f>
        <x:v>49</x:v>
      </x:c>
      <x:c r="Q508" s="92" t="n">
        <x:f>IFERROR(VLOOKUP(L508,'Reference Data'!$A$5:$F$40,6,FALSE),0)</x:f>
        <x:v>18</x:v>
      </x:c>
      <x:c r="R508" s="84" t="n">
        <x:f>'Raw Sales'!J508</x:f>
        <x:v>6</x:v>
      </x:c>
      <x:c r="S508" s="87" t="n">
        <x:f>'Raw Sales'!K508</x:f>
        <x:v>0</x:v>
      </x:c>
      <x:c r="T508" s="93" t="n">
        <x:f>P508*R508</x:f>
        <x:v>294</x:v>
      </x:c>
      <x:c r="U508" s="93" t="n">
        <x:f>T508*S508</x:f>
        <x:v>0</x:v>
      </x:c>
      <x:c r="V508" s="93" t="str">
        <x:f>PROPER(TRIM('Raw Sales'!L508))</x:f>
        <x:v>Completed</x:v>
      </x:c>
      <x:c r="W508" s="93" t="n">
        <x:f>IF(V508="Returned",0,T508-U508)</x:f>
        <x:v>294</x:v>
      </x:c>
      <x:c r="X508" s="93" t="n">
        <x:f>IF(V508="Returned",Q508*R508*10%,Q508*R508)</x:f>
        <x:v>108</x:v>
      </x:c>
      <x:c r="Y508" s="93" t="n">
        <x:f>W508-X508</x:f>
        <x:v>186</x:v>
      </x:c>
      <x:c r="Z508" s="94" t="n">
        <x:f>IFERROR(Y508/W508,0)</x:f>
        <x:v>0.6326530612244898</x:v>
      </x:c>
      <x:c r="AA508" s="84" t="str">
        <x:f>PROPER(TRIM('Raw Sales'!M508))</x:f>
        <x:v>Debit Card</x:v>
      </x:c>
      <x:c r="AB508" s="84" t="str">
        <x:f>PROPER(TRIM('Raw Sales'!N508))</x:f>
        <x:v>Maya Brooks</x:v>
      </x:c>
      <x:c r="AC508" s="85" t="n">
        <x:f>'Raw Sales'!O508</x:f>
        <x:v>45478</x:v>
      </x:c>
      <x:c r="AD508" s="84" t="n">
        <x:f>AC508-B508</x:f>
        <x:v>0</x:v>
      </x:c>
      <x:c r="AE508" s="84" t="str">
        <x:f>IF(COUNTIF($A$5:A508,A508)&gt;1,"Duplicate","Keep")</x:f>
        <x:v>Keep</x:v>
      </x:c>
      <x:c r="AF508" s="84" t="str">
        <x:f>IF(OR(R508&lt;=0,AC508&lt;B508,H508="Unknown",M508="Unknown Product"),"Review","Valid")</x:f>
        <x:v>Valid</x:v>
      </x:c>
      <x:c r="AG508" s="84" t="n">
        <x:f>IF(AND(AE508="Keep",AF508="Valid"),1,0)</x:f>
        <x:v>1</x:v>
      </x:c>
      <x:c r="AH508" s="84" t="n">
        <x:f>IF(AND(AG508=1,OR('Dashboard'!$B$4="All",I508='Dashboard'!$B$4),OR('Dashboard'!$E$4="All",N508='Dashboard'!$E$4),OR('Dashboard'!$H$4="All",K508='Dashboard'!$H$4),OR('Dashboard'!$K$4="All",C508='Dashboard'!$K$4)),1,0)</x:f>
        <x:v>1</x:v>
      </x:c>
      <x:c r="AI508" s="84" t="n">
        <x:f>IF(AND(AG508=1,OR('Dashboard'!$B$4="All",I508='Dashboard'!$B$4),OR('Dashboard'!$E$4="All",N508='Dashboard'!$E$4),OR('Dashboard'!$H$4="All",K508='Dashboard'!$H$4)),1,0)</x:f>
        <x:v>1</x:v>
      </x:c>
    </x:row>
    <x:row r="509">
      <x:c r="A509" s="84" t="str">
        <x:f>'Raw Sales'!A509</x:f>
        <x:v>ORD-2024-02225</x:v>
      </x:c>
      <x:c r="B509" s="85" t="n">
        <x:f>'Raw Sales'!B509</x:f>
        <x:v>45478</x:v>
      </x:c>
      <x:c r="C509" s="84" t="n">
        <x:f>YEAR(B509)</x:f>
        <x:v>2024</x:v>
      </x:c>
      <x:c r="D509" s="91" t="n">
        <x:f>DATE(YEAR(B509),MONTH(B509),1)</x:f>
        <x:v>45474</x:v>
      </x:c>
      <x:c r="E509" s="84" t="str">
        <x:f>TEXT(B509,"mmm")</x:f>
        <x:v>Jul</x:v>
      </x:c>
      <x:c r="F509" s="84" t="str">
        <x:f>'Raw Sales'!C509</x:f>
        <x:v>CUST-0429</x:v>
      </x:c>
      <x:c r="G509" s="84" t="str">
        <x:f>PROPER(TRIM('Raw Sales'!D509))</x:f>
        <x:v>Maya Smith</x:v>
      </x:c>
      <x:c r="H509" s="84" t="str">
        <x:f>IF(TRIM('Raw Sales'!E509)="","Unknown",PROPER(TRIM('Raw Sales'!E509)))</x:f>
        <x:v>Small Business</x:v>
      </x:c>
      <x:c r="I509" s="84" t="str">
        <x:f>PROPER(TRIM('Raw Sales'!F509))</x:f>
        <x:v>West</x:v>
      </x:c>
      <x:c r="J509" s="84" t="str">
        <x:f>PROPER(TRIM('Raw Sales'!G509))</x:f>
        <x:v>Los Angeles</x:v>
      </x:c>
      <x:c r="K509" s="84" t="str">
        <x:f>PROPER(TRIM('Raw Sales'!H509))</x:f>
        <x:v>Retail Store</x:v>
      </x:c>
      <x:c r="L509" s="84" t="str">
        <x:f>'Raw Sales'!I509</x:f>
        <x:v>ELEC-001</x:v>
      </x:c>
      <x:c r="M509" s="84" t="str">
        <x:f>IFERROR(VLOOKUP(L509,'Reference Data'!$A$5:$F$40,2,FALSE),"Unknown Product")</x:f>
        <x:v>Wireless Earbuds</x:v>
      </x:c>
      <x:c r="N509" s="84" t="str">
        <x:f>IFERROR(VLOOKUP(L509,'Reference Data'!$A$5:$F$40,3,FALSE),"Unknown")</x:f>
        <x:v>Electronics</x:v>
      </x:c>
      <x:c r="O509" s="84" t="str">
        <x:f>IFERROR(VLOOKUP(L509,'Reference Data'!$A$5:$F$40,4,FALSE),"Unknown")</x:f>
        <x:v>Audio</x:v>
      </x:c>
      <x:c r="P509" s="92" t="n">
        <x:f>IFERROR(VLOOKUP(L509,'Reference Data'!$A$5:$F$40,5,FALSE),0)</x:f>
        <x:v>69</x:v>
      </x:c>
      <x:c r="Q509" s="92" t="n">
        <x:f>IFERROR(VLOOKUP(L509,'Reference Data'!$A$5:$F$40,6,FALSE),0)</x:f>
        <x:v>36</x:v>
      </x:c>
      <x:c r="R509" s="84" t="n">
        <x:f>'Raw Sales'!J509</x:f>
        <x:v>2</x:v>
      </x:c>
      <x:c r="S509" s="87" t="n">
        <x:f>'Raw Sales'!K509</x:f>
        <x:v>0.1</x:v>
      </x:c>
      <x:c r="T509" s="93" t="n">
        <x:f>P509*R509</x:f>
        <x:v>138</x:v>
      </x:c>
      <x:c r="U509" s="93" t="n">
        <x:f>T509*S509</x:f>
        <x:v>13.8</x:v>
      </x:c>
      <x:c r="V509" s="93" t="str">
        <x:f>PROPER(TRIM('Raw Sales'!L509))</x:f>
        <x:v>Completed</x:v>
      </x:c>
      <x:c r="W509" s="93" t="n">
        <x:f>IF(V509="Returned",0,T509-U509)</x:f>
        <x:v>124.2</x:v>
      </x:c>
      <x:c r="X509" s="93" t="n">
        <x:f>IF(V509="Returned",Q509*R509*10%,Q509*R509)</x:f>
        <x:v>72</x:v>
      </x:c>
      <x:c r="Y509" s="93" t="n">
        <x:f>W509-X509</x:f>
        <x:v>52.2</x:v>
      </x:c>
      <x:c r="Z509" s="94" t="n">
        <x:f>IFERROR(Y509/W509,0)</x:f>
        <x:v>0.4202898550724638</x:v>
      </x:c>
      <x:c r="AA509" s="84" t="str">
        <x:f>PROPER(TRIM('Raw Sales'!M509))</x:f>
        <x:v>Debit Card</x:v>
      </x:c>
      <x:c r="AB509" s="84" t="str">
        <x:f>PROPER(TRIM('Raw Sales'!N509))</x:f>
        <x:v>Leo Martinez</x:v>
      </x:c>
      <x:c r="AC509" s="85" t="n">
        <x:f>'Raw Sales'!O509</x:f>
        <x:v>45478</x:v>
      </x:c>
      <x:c r="AD509" s="84" t="n">
        <x:f>AC509-B509</x:f>
        <x:v>0</x:v>
      </x:c>
      <x:c r="AE509" s="84" t="str">
        <x:f>IF(COUNTIF($A$5:A509,A509)&gt;1,"Duplicate","Keep")</x:f>
        <x:v>Keep</x:v>
      </x:c>
      <x:c r="AF509" s="84" t="str">
        <x:f>IF(OR(R509&lt;=0,AC509&lt;B509,H509="Unknown",M509="Unknown Product"),"Review","Valid")</x:f>
        <x:v>Valid</x:v>
      </x:c>
      <x:c r="AG509" s="84" t="n">
        <x:f>IF(AND(AE509="Keep",AF509="Valid"),1,0)</x:f>
        <x:v>1</x:v>
      </x:c>
      <x:c r="AH509" s="84" t="n">
        <x:f>IF(AND(AG509=1,OR('Dashboard'!$B$4="All",I509='Dashboard'!$B$4),OR('Dashboard'!$E$4="All",N509='Dashboard'!$E$4),OR('Dashboard'!$H$4="All",K509='Dashboard'!$H$4),OR('Dashboard'!$K$4="All",C509='Dashboard'!$K$4)),1,0)</x:f>
        <x:v>1</x:v>
      </x:c>
      <x:c r="AI509" s="84" t="n">
        <x:f>IF(AND(AG509=1,OR('Dashboard'!$B$4="All",I509='Dashboard'!$B$4),OR('Dashboard'!$E$4="All",N509='Dashboard'!$E$4),OR('Dashboard'!$H$4="All",K509='Dashboard'!$H$4)),1,0)</x:f>
        <x:v>1</x:v>
      </x:c>
    </x:row>
    <x:row r="510">
      <x:c r="A510" s="84" t="str">
        <x:f>'Raw Sales'!A510</x:f>
        <x:v>ORD-2024-02238</x:v>
      </x:c>
      <x:c r="B510" s="85" t="n">
        <x:f>'Raw Sales'!B510</x:f>
        <x:v>45478</x:v>
      </x:c>
      <x:c r="C510" s="84" t="n">
        <x:f>YEAR(B510)</x:f>
        <x:v>2024</x:v>
      </x:c>
      <x:c r="D510" s="91" t="n">
        <x:f>DATE(YEAR(B510),MONTH(B510),1)</x:f>
        <x:v>45474</x:v>
      </x:c>
      <x:c r="E510" s="84" t="str">
        <x:f>TEXT(B510,"mmm")</x:f>
        <x:v>Jul</x:v>
      </x:c>
      <x:c r="F510" s="84" t="str">
        <x:f>'Raw Sales'!C510</x:f>
        <x:v>CUST-0374</x:v>
      </x:c>
      <x:c r="G510" s="84" t="str">
        <x:f>PROPER(TRIM('Raw Sales'!D510))</x:f>
        <x:v>Priya Lewis</x:v>
      </x:c>
      <x:c r="H510" s="84" t="str">
        <x:f>IF(TRIM('Raw Sales'!E510)="","Unknown",PROPER(TRIM('Raw Sales'!E510)))</x:f>
        <x:v>Corporate</x:v>
      </x:c>
      <x:c r="I510" s="84" t="str">
        <x:f>PROPER(TRIM('Raw Sales'!F510))</x:f>
        <x:v>Southeast</x:v>
      </x:c>
      <x:c r="J510" s="84" t="str">
        <x:f>PROPER(TRIM('Raw Sales'!G510))</x:f>
        <x:v>Miami</x:v>
      </x:c>
      <x:c r="K510" s="84" t="str">
        <x:f>PROPER(TRIM('Raw Sales'!H510))</x:f>
        <x:v>Marketplace</x:v>
      </x:c>
      <x:c r="L510" s="84" t="str">
        <x:f>'Raw Sales'!I510</x:f>
        <x:v>ELEC-001</x:v>
      </x:c>
      <x:c r="M510" s="84" t="str">
        <x:f>IFERROR(VLOOKUP(L510,'Reference Data'!$A$5:$F$40,2,FALSE),"Unknown Product")</x:f>
        <x:v>Wireless Earbuds</x:v>
      </x:c>
      <x:c r="N510" s="84" t="str">
        <x:f>IFERROR(VLOOKUP(L510,'Reference Data'!$A$5:$F$40,3,FALSE),"Unknown")</x:f>
        <x:v>Electronics</x:v>
      </x:c>
      <x:c r="O510" s="84" t="str">
        <x:f>IFERROR(VLOOKUP(L510,'Reference Data'!$A$5:$F$40,4,FALSE),"Unknown")</x:f>
        <x:v>Audio</x:v>
      </x:c>
      <x:c r="P510" s="92" t="n">
        <x:f>IFERROR(VLOOKUP(L510,'Reference Data'!$A$5:$F$40,5,FALSE),0)</x:f>
        <x:v>69</x:v>
      </x:c>
      <x:c r="Q510" s="92" t="n">
        <x:f>IFERROR(VLOOKUP(L510,'Reference Data'!$A$5:$F$40,6,FALSE),0)</x:f>
        <x:v>36</x:v>
      </x:c>
      <x:c r="R510" s="84" t="n">
        <x:f>'Raw Sales'!J510</x:f>
        <x:v>8</x:v>
      </x:c>
      <x:c r="S510" s="87" t="n">
        <x:f>'Raw Sales'!K510</x:f>
        <x:v>0</x:v>
      </x:c>
      <x:c r="T510" s="93" t="n">
        <x:f>P510*R510</x:f>
        <x:v>552</x:v>
      </x:c>
      <x:c r="U510" s="93" t="n">
        <x:f>T510*S510</x:f>
        <x:v>0</x:v>
      </x:c>
      <x:c r="V510" s="93" t="str">
        <x:f>PROPER(TRIM('Raw Sales'!L510))</x:f>
        <x:v>Completed</x:v>
      </x:c>
      <x:c r="W510" s="93" t="n">
        <x:f>IF(V510="Returned",0,T510-U510)</x:f>
        <x:v>552</x:v>
      </x:c>
      <x:c r="X510" s="93" t="n">
        <x:f>IF(V510="Returned",Q510*R510*10%,Q510*R510)</x:f>
        <x:v>288</x:v>
      </x:c>
      <x:c r="Y510" s="93" t="n">
        <x:f>W510-X510</x:f>
        <x:v>264</x:v>
      </x:c>
      <x:c r="Z510" s="94" t="n">
        <x:f>IFERROR(Y510/W510,0)</x:f>
        <x:v>0.4782608695652174</x:v>
      </x:c>
      <x:c r="AA510" s="84" t="str">
        <x:f>PROPER(TRIM('Raw Sales'!M510))</x:f>
        <x:v>Credit Card</x:v>
      </x:c>
      <x:c r="AB510" s="84" t="str">
        <x:f>PROPER(TRIM('Raw Sales'!N510))</x:f>
        <x:v>Liam Parker</x:v>
      </x:c>
      <x:c r="AC510" s="85" t="n">
        <x:f>'Raw Sales'!O510</x:f>
        <x:v>45483</x:v>
      </x:c>
      <x:c r="AD510" s="84" t="n">
        <x:f>AC510-B510</x:f>
        <x:v>5</x:v>
      </x:c>
      <x:c r="AE510" s="84" t="str">
        <x:f>IF(COUNTIF($A$5:A510,A510)&gt;1,"Duplicate","Keep")</x:f>
        <x:v>Keep</x:v>
      </x:c>
      <x:c r="AF510" s="84" t="str">
        <x:f>IF(OR(R510&lt;=0,AC510&lt;B510,H510="Unknown",M510="Unknown Product"),"Review","Valid")</x:f>
        <x:v>Valid</x:v>
      </x:c>
      <x:c r="AG510" s="84" t="n">
        <x:f>IF(AND(AE510="Keep",AF510="Valid"),1,0)</x:f>
        <x:v>1</x:v>
      </x:c>
      <x:c r="AH510" s="84" t="n">
        <x:f>IF(AND(AG510=1,OR('Dashboard'!$B$4="All",I510='Dashboard'!$B$4),OR('Dashboard'!$E$4="All",N510='Dashboard'!$E$4),OR('Dashboard'!$H$4="All",K510='Dashboard'!$H$4),OR('Dashboard'!$K$4="All",C510='Dashboard'!$K$4)),1,0)</x:f>
        <x:v>1</x:v>
      </x:c>
      <x:c r="AI510" s="84" t="n">
        <x:f>IF(AND(AG510=1,OR('Dashboard'!$B$4="All",I510='Dashboard'!$B$4),OR('Dashboard'!$E$4="All",N510='Dashboard'!$E$4),OR('Dashboard'!$H$4="All",K510='Dashboard'!$H$4)),1,0)</x:f>
        <x:v>1</x:v>
      </x:c>
    </x:row>
    <x:row r="511">
      <x:c r="A511" s="84" t="str">
        <x:f>'Raw Sales'!A511</x:f>
        <x:v>ORD-2024-00701</x:v>
      </x:c>
      <x:c r="B511" s="85" t="n">
        <x:f>'Raw Sales'!B511</x:f>
        <x:v>45479</x:v>
      </x:c>
      <x:c r="C511" s="84" t="n">
        <x:f>YEAR(B511)</x:f>
        <x:v>2024</x:v>
      </x:c>
      <x:c r="D511" s="91" t="n">
        <x:f>DATE(YEAR(B511),MONTH(B511),1)</x:f>
        <x:v>45474</x:v>
      </x:c>
      <x:c r="E511" s="84" t="str">
        <x:f>TEXT(B511,"mmm")</x:f>
        <x:v>Jul</x:v>
      </x:c>
      <x:c r="F511" s="84" t="str">
        <x:f>'Raw Sales'!C511</x:f>
        <x:v>CUST-0532</x:v>
      </x:c>
      <x:c r="G511" s="84" t="str">
        <x:f>PROPER(TRIM('Raw Sales'!D511))</x:f>
        <x:v>Elena Hall</x:v>
      </x:c>
      <x:c r="H511" s="84" t="str">
        <x:f>IF(TRIM('Raw Sales'!E511)="","Unknown",PROPER(TRIM('Raw Sales'!E511)))</x:f>
        <x:v>Small Business</x:v>
      </x:c>
      <x:c r="I511" s="84" t="str">
        <x:f>PROPER(TRIM('Raw Sales'!F511))</x:f>
        <x:v>Southeast</x:v>
      </x:c>
      <x:c r="J511" s="84" t="str">
        <x:f>PROPER(TRIM('Raw Sales'!G511))</x:f>
        <x:v>Charlotte</x:v>
      </x:c>
      <x:c r="K511" s="84" t="str">
        <x:f>PROPER(TRIM('Raw Sales'!H511))</x:f>
        <x:v>Online</x:v>
      </x:c>
      <x:c r="L511" s="84" t="str">
        <x:f>'Raw Sales'!I511</x:f>
        <x:v>ELEC-001</x:v>
      </x:c>
      <x:c r="M511" s="84" t="str">
        <x:f>IFERROR(VLOOKUP(L511,'Reference Data'!$A$5:$F$40,2,FALSE),"Unknown Product")</x:f>
        <x:v>Wireless Earbuds</x:v>
      </x:c>
      <x:c r="N511" s="84" t="str">
        <x:f>IFERROR(VLOOKUP(L511,'Reference Data'!$A$5:$F$40,3,FALSE),"Unknown")</x:f>
        <x:v>Electronics</x:v>
      </x:c>
      <x:c r="O511" s="84" t="str">
        <x:f>IFERROR(VLOOKUP(L511,'Reference Data'!$A$5:$F$40,4,FALSE),"Unknown")</x:f>
        <x:v>Audio</x:v>
      </x:c>
      <x:c r="P511" s="92" t="n">
        <x:f>IFERROR(VLOOKUP(L511,'Reference Data'!$A$5:$F$40,5,FALSE),0)</x:f>
        <x:v>69</x:v>
      </x:c>
      <x:c r="Q511" s="92" t="n">
        <x:f>IFERROR(VLOOKUP(L511,'Reference Data'!$A$5:$F$40,6,FALSE),0)</x:f>
        <x:v>36</x:v>
      </x:c>
      <x:c r="R511" s="84" t="n">
        <x:f>'Raw Sales'!J511</x:f>
        <x:v>1</x:v>
      </x:c>
      <x:c r="S511" s="87" t="n">
        <x:f>'Raw Sales'!K511</x:f>
        <x:v>0.1</x:v>
      </x:c>
      <x:c r="T511" s="93" t="n">
        <x:f>P511*R511</x:f>
        <x:v>69</x:v>
      </x:c>
      <x:c r="U511" s="93" t="n">
        <x:f>T511*S511</x:f>
        <x:v>6.9</x:v>
      </x:c>
      <x:c r="V511" s="93" t="str">
        <x:f>PROPER(TRIM('Raw Sales'!L511))</x:f>
        <x:v>Completed</x:v>
      </x:c>
      <x:c r="W511" s="93" t="n">
        <x:f>IF(V511="Returned",0,T511-U511)</x:f>
        <x:v>62.1</x:v>
      </x:c>
      <x:c r="X511" s="93" t="n">
        <x:f>IF(V511="Returned",Q511*R511*10%,Q511*R511)</x:f>
        <x:v>36</x:v>
      </x:c>
      <x:c r="Y511" s="93" t="n">
        <x:f>W511-X511</x:f>
        <x:v>26.1</x:v>
      </x:c>
      <x:c r="Z511" s="94" t="n">
        <x:f>IFERROR(Y511/W511,0)</x:f>
        <x:v>0.4202898550724638</x:v>
      </x:c>
      <x:c r="AA511" s="84" t="str">
        <x:f>PROPER(TRIM('Raw Sales'!M511))</x:f>
        <x:v>Credit Card</x:v>
      </x:c>
      <x:c r="AB511" s="84" t="str">
        <x:f>PROPER(TRIM('Raw Sales'!N511))</x:f>
        <x:v>Liam Parker</x:v>
      </x:c>
      <x:c r="AC511" s="85" t="n">
        <x:f>'Raw Sales'!O511</x:f>
        <x:v>45482</x:v>
      </x:c>
      <x:c r="AD511" s="84" t="n">
        <x:f>AC511-B511</x:f>
        <x:v>3</x:v>
      </x:c>
      <x:c r="AE511" s="84" t="str">
        <x:f>IF(COUNTIF($A$5:A511,A511)&gt;1,"Duplicate","Keep")</x:f>
        <x:v>Keep</x:v>
      </x:c>
      <x:c r="AF511" s="84" t="str">
        <x:f>IF(OR(R511&lt;=0,AC511&lt;B511,H511="Unknown",M511="Unknown Product"),"Review","Valid")</x:f>
        <x:v>Valid</x:v>
      </x:c>
      <x:c r="AG511" s="84" t="n">
        <x:f>IF(AND(AE511="Keep",AF511="Valid"),1,0)</x:f>
        <x:v>1</x:v>
      </x:c>
      <x:c r="AH511" s="84" t="n">
        <x:f>IF(AND(AG511=1,OR('Dashboard'!$B$4="All",I511='Dashboard'!$B$4),OR('Dashboard'!$E$4="All",N511='Dashboard'!$E$4),OR('Dashboard'!$H$4="All",K511='Dashboard'!$H$4),OR('Dashboard'!$K$4="All",C511='Dashboard'!$K$4)),1,0)</x:f>
        <x:v>1</x:v>
      </x:c>
      <x:c r="AI511" s="84" t="n">
        <x:f>IF(AND(AG511=1,OR('Dashboard'!$B$4="All",I511='Dashboard'!$B$4),OR('Dashboard'!$E$4="All",N511='Dashboard'!$E$4),OR('Dashboard'!$H$4="All",K511='Dashboard'!$H$4)),1,0)</x:f>
        <x:v>1</x:v>
      </x:c>
    </x:row>
    <x:row r="512">
      <x:c r="A512" s="84" t="str">
        <x:f>'Raw Sales'!A512</x:f>
        <x:v>ORD-2024-00270</x:v>
      </x:c>
      <x:c r="B512" s="85" t="n">
        <x:f>'Raw Sales'!B512</x:f>
        <x:v>45480</x:v>
      </x:c>
      <x:c r="C512" s="84" t="n">
        <x:f>YEAR(B512)</x:f>
        <x:v>2024</x:v>
      </x:c>
      <x:c r="D512" s="91" t="n">
        <x:f>DATE(YEAR(B512),MONTH(B512),1)</x:f>
        <x:v>45474</x:v>
      </x:c>
      <x:c r="E512" s="84" t="str">
        <x:f>TEXT(B512,"mmm")</x:f>
        <x:v>Jul</x:v>
      </x:c>
      <x:c r="F512" s="84" t="str">
        <x:f>'Raw Sales'!C512</x:f>
        <x:v>CUST-0246</x:v>
      </x:c>
      <x:c r="G512" s="84" t="str">
        <x:f>PROPER(TRIM('Raw Sales'!D512))</x:f>
        <x:v>Maya Baker</x:v>
      </x:c>
      <x:c r="H512" s="84" t="str">
        <x:f>IF(TRIM('Raw Sales'!E512)="","Unknown",PROPER(TRIM('Raw Sales'!E512)))</x:f>
        <x:v>Corporate</x:v>
      </x:c>
      <x:c r="I512" s="84" t="str">
        <x:f>PROPER(TRIM('Raw Sales'!F512))</x:f>
        <x:v>Southeast</x:v>
      </x:c>
      <x:c r="J512" s="84" t="str">
        <x:f>PROPER(TRIM('Raw Sales'!G512))</x:f>
        <x:v>Atlanta</x:v>
      </x:c>
      <x:c r="K512" s="84" t="str">
        <x:f>PROPER(TRIM('Raw Sales'!H512))</x:f>
        <x:v>Retail Store</x:v>
      </x:c>
      <x:c r="L512" s="84" t="str">
        <x:f>'Raw Sales'!I512</x:f>
        <x:v>OFFC-001</x:v>
      </x:c>
      <x:c r="M512" s="84" t="str">
        <x:f>IFERROR(VLOOKUP(L512,'Reference Data'!$A$5:$F$40,2,FALSE),"Unknown Product")</x:f>
        <x:v>Ergonomic Chair</x:v>
      </x:c>
      <x:c r="N512" s="84" t="str">
        <x:f>IFERROR(VLOOKUP(L512,'Reference Data'!$A$5:$F$40,3,FALSE),"Unknown")</x:f>
        <x:v>Office</x:v>
      </x:c>
      <x:c r="O512" s="84" t="str">
        <x:f>IFERROR(VLOOKUP(L512,'Reference Data'!$A$5:$F$40,4,FALSE),"Unknown")</x:f>
        <x:v>Furniture</x:v>
      </x:c>
      <x:c r="P512" s="92" t="n">
        <x:f>IFERROR(VLOOKUP(L512,'Reference Data'!$A$5:$F$40,5,FALSE),0)</x:f>
        <x:v>249</x:v>
      </x:c>
      <x:c r="Q512" s="92" t="n">
        <x:f>IFERROR(VLOOKUP(L512,'Reference Data'!$A$5:$F$40,6,FALSE),0)</x:f>
        <x:v>145</x:v>
      </x:c>
      <x:c r="R512" s="84" t="n">
        <x:f>'Raw Sales'!J512</x:f>
        <x:v>2</x:v>
      </x:c>
      <x:c r="S512" s="87" t="n">
        <x:f>'Raw Sales'!K512</x:f>
        <x:v>0</x:v>
      </x:c>
      <x:c r="T512" s="93" t="n">
        <x:f>P512*R512</x:f>
        <x:v>498</x:v>
      </x:c>
      <x:c r="U512" s="93" t="n">
        <x:f>T512*S512</x:f>
        <x:v>0</x:v>
      </x:c>
      <x:c r="V512" s="93" t="str">
        <x:f>PROPER(TRIM('Raw Sales'!L512))</x:f>
        <x:v>Completed</x:v>
      </x:c>
      <x:c r="W512" s="93" t="n">
        <x:f>IF(V512="Returned",0,T512-U512)</x:f>
        <x:v>498</x:v>
      </x:c>
      <x:c r="X512" s="93" t="n">
        <x:f>IF(V512="Returned",Q512*R512*10%,Q512*R512)</x:f>
        <x:v>290</x:v>
      </x:c>
      <x:c r="Y512" s="93" t="n">
        <x:f>W512-X512</x:f>
        <x:v>208</x:v>
      </x:c>
      <x:c r="Z512" s="94" t="n">
        <x:f>IFERROR(Y512/W512,0)</x:f>
        <x:v>0.41767068273092367</x:v>
      </x:c>
      <x:c r="AA512" s="84" t="str">
        <x:f>PROPER(TRIM('Raw Sales'!M512))</x:f>
        <x:v>Credit Card</x:v>
      </x:c>
      <x:c r="AB512" s="84" t="str">
        <x:f>PROPER(TRIM('Raw Sales'!N512))</x:f>
        <x:v>Noah Reed</x:v>
      </x:c>
      <x:c r="AC512" s="85" t="n">
        <x:f>'Raw Sales'!O512</x:f>
        <x:v>45480</x:v>
      </x:c>
      <x:c r="AD512" s="84" t="n">
        <x:f>AC512-B512</x:f>
        <x:v>0</x:v>
      </x:c>
      <x:c r="AE512" s="84" t="str">
        <x:f>IF(COUNTIF($A$5:A512,A512)&gt;1,"Duplicate","Keep")</x:f>
        <x:v>Keep</x:v>
      </x:c>
      <x:c r="AF512" s="84" t="str">
        <x:f>IF(OR(R512&lt;=0,AC512&lt;B512,H512="Unknown",M512="Unknown Product"),"Review","Valid")</x:f>
        <x:v>Valid</x:v>
      </x:c>
      <x:c r="AG512" s="84" t="n">
        <x:f>IF(AND(AE512="Keep",AF512="Valid"),1,0)</x:f>
        <x:v>1</x:v>
      </x:c>
      <x:c r="AH512" s="84" t="n">
        <x:f>IF(AND(AG512=1,OR('Dashboard'!$B$4="All",I512='Dashboard'!$B$4),OR('Dashboard'!$E$4="All",N512='Dashboard'!$E$4),OR('Dashboard'!$H$4="All",K512='Dashboard'!$H$4),OR('Dashboard'!$K$4="All",C512='Dashboard'!$K$4)),1,0)</x:f>
        <x:v>1</x:v>
      </x:c>
      <x:c r="AI512" s="84" t="n">
        <x:f>IF(AND(AG512=1,OR('Dashboard'!$B$4="All",I512='Dashboard'!$B$4),OR('Dashboard'!$E$4="All",N512='Dashboard'!$E$4),OR('Dashboard'!$H$4="All",K512='Dashboard'!$H$4)),1,0)</x:f>
        <x:v>1</x:v>
      </x:c>
    </x:row>
    <x:row r="513">
      <x:c r="A513" s="84" t="str">
        <x:f>'Raw Sales'!A513</x:f>
        <x:v>ORD-2024-00779</x:v>
      </x:c>
      <x:c r="B513" s="85" t="n">
        <x:f>'Raw Sales'!B513</x:f>
        <x:v>45480</x:v>
      </x:c>
      <x:c r="C513" s="84" t="n">
        <x:f>YEAR(B513)</x:f>
        <x:v>2024</x:v>
      </x:c>
      <x:c r="D513" s="91" t="n">
        <x:f>DATE(YEAR(B513),MONTH(B513),1)</x:f>
        <x:v>45474</x:v>
      </x:c>
      <x:c r="E513" s="84" t="str">
        <x:f>TEXT(B513,"mmm")</x:f>
        <x:v>Jul</x:v>
      </x:c>
      <x:c r="F513" s="84" t="str">
        <x:f>'Raw Sales'!C513</x:f>
        <x:v>CUST-0539</x:v>
      </x:c>
      <x:c r="G513" s="84" t="str">
        <x:f>PROPER(TRIM('Raw Sales'!D513))</x:f>
        <x:v>Chloe Johnson</x:v>
      </x:c>
      <x:c r="H513" s="84" t="str">
        <x:f>IF(TRIM('Raw Sales'!E513)="","Unknown",PROPER(TRIM('Raw Sales'!E513)))</x:f>
        <x:v>Small Business</x:v>
      </x:c>
      <x:c r="I513" s="84" t="str">
        <x:f>PROPER(TRIM('Raw Sales'!F513))</x:f>
        <x:v>West</x:v>
      </x:c>
      <x:c r="J513" s="84" t="str">
        <x:f>PROPER(TRIM('Raw Sales'!G513))</x:f>
        <x:v>Los Angeles</x:v>
      </x:c>
      <x:c r="K513" s="84" t="str">
        <x:f>PROPER(TRIM('Raw Sales'!H513))</x:f>
        <x:v>Retail Store</x:v>
      </x:c>
      <x:c r="L513" s="84" t="str">
        <x:f>'Raw Sales'!I513</x:f>
        <x:v>ACCS-004</x:v>
      </x:c>
      <x:c r="M513" s="84" t="str">
        <x:f>IFERROR(VLOOKUP(L513,'Reference Data'!$A$5:$F$40,2,FALSE),"Unknown Product")</x:f>
        <x:v>Leather Wallet</x:v>
      </x:c>
      <x:c r="N513" s="84" t="str">
        <x:f>IFERROR(VLOOKUP(L513,'Reference Data'!$A$5:$F$40,3,FALSE),"Unknown")</x:f>
        <x:v>Accessories</x:v>
      </x:c>
      <x:c r="O513" s="84" t="str">
        <x:f>IFERROR(VLOOKUP(L513,'Reference Data'!$A$5:$F$40,4,FALSE),"Unknown")</x:f>
        <x:v>Wallets</x:v>
      </x:c>
      <x:c r="P513" s="92" t="n">
        <x:f>IFERROR(VLOOKUP(L513,'Reference Data'!$A$5:$F$40,5,FALSE),0)</x:f>
        <x:v>49</x:v>
      </x:c>
      <x:c r="Q513" s="92" t="n">
        <x:f>IFERROR(VLOOKUP(L513,'Reference Data'!$A$5:$F$40,6,FALSE),0)</x:f>
        <x:v>18</x:v>
      </x:c>
      <x:c r="R513" s="84" t="n">
        <x:f>'Raw Sales'!J513</x:f>
        <x:v>1</x:v>
      </x:c>
      <x:c r="S513" s="87" t="n">
        <x:f>'Raw Sales'!K513</x:f>
        <x:v>0.15</x:v>
      </x:c>
      <x:c r="T513" s="93" t="n">
        <x:f>P513*R513</x:f>
        <x:v>49</x:v>
      </x:c>
      <x:c r="U513" s="93" t="n">
        <x:f>T513*S513</x:f>
        <x:v>7.35</x:v>
      </x:c>
      <x:c r="V513" s="93" t="str">
        <x:f>PROPER(TRIM('Raw Sales'!L513))</x:f>
        <x:v>Completed</x:v>
      </x:c>
      <x:c r="W513" s="93" t="n">
        <x:f>IF(V513="Returned",0,T513-U513)</x:f>
        <x:v>41.65</x:v>
      </x:c>
      <x:c r="X513" s="93" t="n">
        <x:f>IF(V513="Returned",Q513*R513*10%,Q513*R513)</x:f>
        <x:v>18</x:v>
      </x:c>
      <x:c r="Y513" s="93" t="n">
        <x:f>W513-X513</x:f>
        <x:v>23.65</x:v>
      </x:c>
      <x:c r="Z513" s="94" t="n">
        <x:f>IFERROR(Y513/W513,0)</x:f>
        <x:v>0.5678271308523409</x:v>
      </x:c>
      <x:c r="AA513" s="84" t="str">
        <x:f>PROPER(TRIM('Raw Sales'!M513))</x:f>
        <x:v>Debit Card</x:v>
      </x:c>
      <x:c r="AB513" s="84" t="str">
        <x:f>PROPER(TRIM('Raw Sales'!N513))</x:f>
        <x:v>Leo Martinez</x:v>
      </x:c>
      <x:c r="AC513" s="85" t="n">
        <x:f>'Raw Sales'!O513</x:f>
        <x:v>45481</x:v>
      </x:c>
      <x:c r="AD513" s="84" t="n">
        <x:f>AC513-B513</x:f>
        <x:v>1</x:v>
      </x:c>
      <x:c r="AE513" s="84" t="str">
        <x:f>IF(COUNTIF($A$5:A513,A513)&gt;1,"Duplicate","Keep")</x:f>
        <x:v>Keep</x:v>
      </x:c>
      <x:c r="AF513" s="84" t="str">
        <x:f>IF(OR(R513&lt;=0,AC513&lt;B513,H513="Unknown",M513="Unknown Product"),"Review","Valid")</x:f>
        <x:v>Valid</x:v>
      </x:c>
      <x:c r="AG513" s="84" t="n">
        <x:f>IF(AND(AE513="Keep",AF513="Valid"),1,0)</x:f>
        <x:v>1</x:v>
      </x:c>
      <x:c r="AH513" s="84" t="n">
        <x:f>IF(AND(AG513=1,OR('Dashboard'!$B$4="All",I513='Dashboard'!$B$4),OR('Dashboard'!$E$4="All",N513='Dashboard'!$E$4),OR('Dashboard'!$H$4="All",K513='Dashboard'!$H$4),OR('Dashboard'!$K$4="All",C513='Dashboard'!$K$4)),1,0)</x:f>
        <x:v>1</x:v>
      </x:c>
      <x:c r="AI513" s="84" t="n">
        <x:f>IF(AND(AG513=1,OR('Dashboard'!$B$4="All",I513='Dashboard'!$B$4),OR('Dashboard'!$E$4="All",N513='Dashboard'!$E$4),OR('Dashboard'!$H$4="All",K513='Dashboard'!$H$4)),1,0)</x:f>
        <x:v>1</x:v>
      </x:c>
    </x:row>
    <x:row r="514">
      <x:c r="A514" s="84" t="str">
        <x:f>'Raw Sales'!A514</x:f>
        <x:v>ORD-2024-00999</x:v>
      </x:c>
      <x:c r="B514" s="85" t="n">
        <x:f>'Raw Sales'!B514</x:f>
        <x:v>45480</x:v>
      </x:c>
      <x:c r="C514" s="84" t="n">
        <x:f>YEAR(B514)</x:f>
        <x:v>2024</x:v>
      </x:c>
      <x:c r="D514" s="91" t="n">
        <x:f>DATE(YEAR(B514),MONTH(B514),1)</x:f>
        <x:v>45474</x:v>
      </x:c>
      <x:c r="E514" s="84" t="str">
        <x:f>TEXT(B514,"mmm")</x:f>
        <x:v>Jul</x:v>
      </x:c>
      <x:c r="F514" s="84" t="str">
        <x:f>'Raw Sales'!C514</x:f>
        <x:v>CUST-0572</x:v>
      </x:c>
      <x:c r="G514" s="84" t="str">
        <x:f>PROPER(TRIM('Raw Sales'!D514))</x:f>
        <x:v>Marcus Lewis</x:v>
      </x:c>
      <x:c r="H514" s="84" t="str">
        <x:f>IF(TRIM('Raw Sales'!E514)="","Unknown",PROPER(TRIM('Raw Sales'!E514)))</x:f>
        <x:v>Consumer</x:v>
      </x:c>
      <x:c r="I514" s="84" t="str">
        <x:f>PROPER(TRIM('Raw Sales'!F514))</x:f>
        <x:v>Southeast</x:v>
      </x:c>
      <x:c r="J514" s="84" t="str">
        <x:f>PROPER(TRIM('Raw Sales'!G514))</x:f>
        <x:v>Nashville</x:v>
      </x:c>
      <x:c r="K514" s="84" t="str">
        <x:f>PROPER(TRIM('Raw Sales'!H514))</x:f>
        <x:v>Online</x:v>
      </x:c>
      <x:c r="L514" s="84" t="str">
        <x:f>'Raw Sales'!I514</x:f>
        <x:v>HOME-001</x:v>
      </x:c>
      <x:c r="M514" s="84" t="str">
        <x:f>IFERROR(VLOOKUP(L514,'Reference Data'!$A$5:$F$40,2,FALSE),"Unknown Product")</x:f>
        <x:v>Air Fryer</x:v>
      </x:c>
      <x:c r="N514" s="84" t="str">
        <x:f>IFERROR(VLOOKUP(L514,'Reference Data'!$A$5:$F$40,3,FALSE),"Unknown")</x:f>
        <x:v>Home &amp; Kitchen</x:v>
      </x:c>
      <x:c r="O514" s="84" t="str">
        <x:f>IFERROR(VLOOKUP(L514,'Reference Data'!$A$5:$F$40,4,FALSE),"Unknown")</x:f>
        <x:v>Small Appliances</x:v>
      </x:c>
      <x:c r="P514" s="92" t="n">
        <x:f>IFERROR(VLOOKUP(L514,'Reference Data'!$A$5:$F$40,5,FALSE),0)</x:f>
        <x:v>119</x:v>
      </x:c>
      <x:c r="Q514" s="92" t="n">
        <x:f>IFERROR(VLOOKUP(L514,'Reference Data'!$A$5:$F$40,6,FALSE),0)</x:f>
        <x:v>68</x:v>
      </x:c>
      <x:c r="R514" s="84" t="n">
        <x:f>'Raw Sales'!J514</x:f>
        <x:v>1</x:v>
      </x:c>
      <x:c r="S514" s="87" t="n">
        <x:f>'Raw Sales'!K514</x:f>
        <x:v>0</x:v>
      </x:c>
      <x:c r="T514" s="93" t="n">
        <x:f>P514*R514</x:f>
        <x:v>119</x:v>
      </x:c>
      <x:c r="U514" s="93" t="n">
        <x:f>T514*S514</x:f>
        <x:v>0</x:v>
      </x:c>
      <x:c r="V514" s="93" t="str">
        <x:f>PROPER(TRIM('Raw Sales'!L514))</x:f>
        <x:v>Completed</x:v>
      </x:c>
      <x:c r="W514" s="93" t="n">
        <x:f>IF(V514="Returned",0,T514-U514)</x:f>
        <x:v>119</x:v>
      </x:c>
      <x:c r="X514" s="93" t="n">
        <x:f>IF(V514="Returned",Q514*R514*10%,Q514*R514)</x:f>
        <x:v>68</x:v>
      </x:c>
      <x:c r="Y514" s="93" t="n">
        <x:f>W514-X514</x:f>
        <x:v>51</x:v>
      </x:c>
      <x:c r="Z514" s="94" t="n">
        <x:f>IFERROR(Y514/W514,0)</x:f>
        <x:v>0.42857142857142855</x:v>
      </x:c>
      <x:c r="AA514" s="84" t="str">
        <x:f>PROPER(TRIM('Raw Sales'!M514))</x:f>
        <x:v>Credit Card</x:v>
      </x:c>
      <x:c r="AB514" s="84" t="str">
        <x:f>PROPER(TRIM('Raw Sales'!N514))</x:f>
        <x:v>Noah Reed</x:v>
      </x:c>
      <x:c r="AC514" s="85" t="n">
        <x:f>'Raw Sales'!O514</x:f>
        <x:v>45483</x:v>
      </x:c>
      <x:c r="AD514" s="84" t="n">
        <x:f>AC514-B514</x:f>
        <x:v>3</x:v>
      </x:c>
      <x:c r="AE514" s="84" t="str">
        <x:f>IF(COUNTIF($A$5:A514,A514)&gt;1,"Duplicate","Keep")</x:f>
        <x:v>Keep</x:v>
      </x:c>
      <x:c r="AF514" s="84" t="str">
        <x:f>IF(OR(R514&lt;=0,AC514&lt;B514,H514="Unknown",M514="Unknown Product"),"Review","Valid")</x:f>
        <x:v>Valid</x:v>
      </x:c>
      <x:c r="AG514" s="84" t="n">
        <x:f>IF(AND(AE514="Keep",AF514="Valid"),1,0)</x:f>
        <x:v>1</x:v>
      </x:c>
      <x:c r="AH514" s="84" t="n">
        <x:f>IF(AND(AG514=1,OR('Dashboard'!$B$4="All",I514='Dashboard'!$B$4),OR('Dashboard'!$E$4="All",N514='Dashboard'!$E$4),OR('Dashboard'!$H$4="All",K514='Dashboard'!$H$4),OR('Dashboard'!$K$4="All",C514='Dashboard'!$K$4)),1,0)</x:f>
        <x:v>1</x:v>
      </x:c>
      <x:c r="AI514" s="84" t="n">
        <x:f>IF(AND(AG514=1,OR('Dashboard'!$B$4="All",I514='Dashboard'!$B$4),OR('Dashboard'!$E$4="All",N514='Dashboard'!$E$4),OR('Dashboard'!$H$4="All",K514='Dashboard'!$H$4)),1,0)</x:f>
        <x:v>1</x:v>
      </x:c>
    </x:row>
    <x:row r="515">
      <x:c r="A515" s="84" t="str">
        <x:f>'Raw Sales'!A515</x:f>
        <x:v>ORD-2024-01856</x:v>
      </x:c>
      <x:c r="B515" s="85" t="n">
        <x:f>'Raw Sales'!B515</x:f>
        <x:v>45480</x:v>
      </x:c>
      <x:c r="C515" s="84" t="n">
        <x:f>YEAR(B515)</x:f>
        <x:v>2024</x:v>
      </x:c>
      <x:c r="D515" s="91" t="n">
        <x:f>DATE(YEAR(B515),MONTH(B515),1)</x:f>
        <x:v>45474</x:v>
      </x:c>
      <x:c r="E515" s="84" t="str">
        <x:f>TEXT(B515,"mmm")</x:f>
        <x:v>Jul</x:v>
      </x:c>
      <x:c r="F515" s="84" t="str">
        <x:f>'Raw Sales'!C515</x:f>
        <x:v>CUST-0539</x:v>
      </x:c>
      <x:c r="G515" s="84" t="str">
        <x:f>PROPER(TRIM('Raw Sales'!D515))</x:f>
        <x:v>Chloe Johnson</x:v>
      </x:c>
      <x:c r="H515" s="84" t="str">
        <x:f>IF(TRIM('Raw Sales'!E515)="","Unknown",PROPER(TRIM('Raw Sales'!E515)))</x:f>
        <x:v>Small Business</x:v>
      </x:c>
      <x:c r="I515" s="84" t="str">
        <x:f>PROPER(TRIM('Raw Sales'!F515))</x:f>
        <x:v>West</x:v>
      </x:c>
      <x:c r="J515" s="84" t="str">
        <x:f>PROPER(TRIM('Raw Sales'!G515))</x:f>
        <x:v>Los Angeles</x:v>
      </x:c>
      <x:c r="K515" s="84" t="str">
        <x:f>PROPER(TRIM('Raw Sales'!H515))</x:f>
        <x:v>Online</x:v>
      </x:c>
      <x:c r="L515" s="84" t="str">
        <x:f>'Raw Sales'!I515</x:f>
        <x:v>ACCS-003</x:v>
      </x:c>
      <x:c r="M515" s="84" t="str">
        <x:f>IFERROR(VLOOKUP(L515,'Reference Data'!$A$5:$F$40,2,FALSE),"Unknown Product")</x:f>
        <x:v>Polarized Sunglasses</x:v>
      </x:c>
      <x:c r="N515" s="84" t="str">
        <x:f>IFERROR(VLOOKUP(L515,'Reference Data'!$A$5:$F$40,3,FALSE),"Unknown")</x:f>
        <x:v>Accessories</x:v>
      </x:c>
      <x:c r="O515" s="84" t="str">
        <x:f>IFERROR(VLOOKUP(L515,'Reference Data'!$A$5:$F$40,4,FALSE),"Unknown")</x:f>
        <x:v>Eyewear</x:v>
      </x:c>
      <x:c r="P515" s="92" t="n">
        <x:f>IFERROR(VLOOKUP(L515,'Reference Data'!$A$5:$F$40,5,FALSE),0)</x:f>
        <x:v>59</x:v>
      </x:c>
      <x:c r="Q515" s="92" t="n">
        <x:f>IFERROR(VLOOKUP(L515,'Reference Data'!$A$5:$F$40,6,FALSE),0)</x:f>
        <x:v>17</x:v>
      </x:c>
      <x:c r="R515" s="84" t="n">
        <x:f>'Raw Sales'!J515</x:f>
        <x:v>3</x:v>
      </x:c>
      <x:c r="S515" s="87" t="n">
        <x:f>'Raw Sales'!K515</x:f>
        <x:v>0</x:v>
      </x:c>
      <x:c r="T515" s="93" t="n">
        <x:f>P515*R515</x:f>
        <x:v>177</x:v>
      </x:c>
      <x:c r="U515" s="93" t="n">
        <x:f>T515*S515</x:f>
        <x:v>0</x:v>
      </x:c>
      <x:c r="V515" s="93" t="str">
        <x:f>PROPER(TRIM('Raw Sales'!L515))</x:f>
        <x:v>Completed</x:v>
      </x:c>
      <x:c r="W515" s="93" t="n">
        <x:f>IF(V515="Returned",0,T515-U515)</x:f>
        <x:v>177</x:v>
      </x:c>
      <x:c r="X515" s="93" t="n">
        <x:f>IF(V515="Returned",Q515*R515*10%,Q515*R515)</x:f>
        <x:v>51</x:v>
      </x:c>
      <x:c r="Y515" s="93" t="n">
        <x:f>W515-X515</x:f>
        <x:v>126</x:v>
      </x:c>
      <x:c r="Z515" s="94" t="n">
        <x:f>IFERROR(Y515/W515,0)</x:f>
        <x:v>0.711864406779661</x:v>
      </x:c>
      <x:c r="AA515" s="84" t="str">
        <x:f>PROPER(TRIM('Raw Sales'!M515))</x:f>
        <x:v>Credit Card</x:v>
      </x:c>
      <x:c r="AB515" s="84" t="str">
        <x:f>PROPER(TRIM('Raw Sales'!N515))</x:f>
        <x:v>Leo Martinez</x:v>
      </x:c>
      <x:c r="AC515" s="85" t="n">
        <x:f>'Raw Sales'!O515</x:f>
        <x:v>45484</x:v>
      </x:c>
      <x:c r="AD515" s="84" t="n">
        <x:f>AC515-B515</x:f>
        <x:v>4</x:v>
      </x:c>
      <x:c r="AE515" s="84" t="str">
        <x:f>IF(COUNTIF($A$5:A515,A515)&gt;1,"Duplicate","Keep")</x:f>
        <x:v>Keep</x:v>
      </x:c>
      <x:c r="AF515" s="84" t="str">
        <x:f>IF(OR(R515&lt;=0,AC515&lt;B515,H515="Unknown",M515="Unknown Product"),"Review","Valid")</x:f>
        <x:v>Valid</x:v>
      </x:c>
      <x:c r="AG515" s="84" t="n">
        <x:f>IF(AND(AE515="Keep",AF515="Valid"),1,0)</x:f>
        <x:v>1</x:v>
      </x:c>
      <x:c r="AH515" s="84" t="n">
        <x:f>IF(AND(AG515=1,OR('Dashboard'!$B$4="All",I515='Dashboard'!$B$4),OR('Dashboard'!$E$4="All",N515='Dashboard'!$E$4),OR('Dashboard'!$H$4="All",K515='Dashboard'!$H$4),OR('Dashboard'!$K$4="All",C515='Dashboard'!$K$4)),1,0)</x:f>
        <x:v>1</x:v>
      </x:c>
      <x:c r="AI515" s="84" t="n">
        <x:f>IF(AND(AG515=1,OR('Dashboard'!$B$4="All",I515='Dashboard'!$B$4),OR('Dashboard'!$E$4="All",N515='Dashboard'!$E$4),OR('Dashboard'!$H$4="All",K515='Dashboard'!$H$4)),1,0)</x:f>
        <x:v>1</x:v>
      </x:c>
    </x:row>
    <x:row r="516">
      <x:c r="A516" s="84" t="str">
        <x:f>'Raw Sales'!A516</x:f>
        <x:v>ORD-2024-00266</x:v>
      </x:c>
      <x:c r="B516" s="85" t="n">
        <x:f>'Raw Sales'!B516</x:f>
        <x:v>45481</x:v>
      </x:c>
      <x:c r="C516" s="84" t="n">
        <x:f>YEAR(B516)</x:f>
        <x:v>2024</x:v>
      </x:c>
      <x:c r="D516" s="91" t="n">
        <x:f>DATE(YEAR(B516),MONTH(B516),1)</x:f>
        <x:v>45474</x:v>
      </x:c>
      <x:c r="E516" s="84" t="str">
        <x:f>TEXT(B516,"mmm")</x:f>
        <x:v>Jul</x:v>
      </x:c>
      <x:c r="F516" s="84" t="str">
        <x:f>'Raw Sales'!C516</x:f>
        <x:v>CUST-0274</x:v>
      </x:c>
      <x:c r="G516" s="84" t="str">
        <x:f>PROPER(TRIM('Raw Sales'!D516))</x:f>
        <x:v>Daniel Nelson</x:v>
      </x:c>
      <x:c r="H516" s="84" t="str">
        <x:f>IF(TRIM('Raw Sales'!E516)="","Unknown",PROPER(TRIM('Raw Sales'!E516)))</x:f>
        <x:v>Corporate</x:v>
      </x:c>
      <x:c r="I516" s="84" t="str">
        <x:f>PROPER(TRIM('Raw Sales'!F516))</x:f>
        <x:v>Northeast</x:v>
      </x:c>
      <x:c r="J516" s="84" t="str">
        <x:f>PROPER(TRIM('Raw Sales'!G516))</x:f>
        <x:v>Boston</x:v>
      </x:c>
      <x:c r="K516" s="84" t="str">
        <x:f>PROPER(TRIM('Raw Sales'!H516))</x:f>
        <x:v>Online</x:v>
      </x:c>
      <x:c r="L516" s="84" t="str">
        <x:f>'Raw Sales'!I516</x:f>
        <x:v>ELEC-001</x:v>
      </x:c>
      <x:c r="M516" s="84" t="str">
        <x:f>IFERROR(VLOOKUP(L516,'Reference Data'!$A$5:$F$40,2,FALSE),"Unknown Product")</x:f>
        <x:v>Wireless Earbuds</x:v>
      </x:c>
      <x:c r="N516" s="84" t="str">
        <x:f>IFERROR(VLOOKUP(L516,'Reference Data'!$A$5:$F$40,3,FALSE),"Unknown")</x:f>
        <x:v>Electronics</x:v>
      </x:c>
      <x:c r="O516" s="84" t="str">
        <x:f>IFERROR(VLOOKUP(L516,'Reference Data'!$A$5:$F$40,4,FALSE),"Unknown")</x:f>
        <x:v>Audio</x:v>
      </x:c>
      <x:c r="P516" s="92" t="n">
        <x:f>IFERROR(VLOOKUP(L516,'Reference Data'!$A$5:$F$40,5,FALSE),0)</x:f>
        <x:v>69</x:v>
      </x:c>
      <x:c r="Q516" s="92" t="n">
        <x:f>IFERROR(VLOOKUP(L516,'Reference Data'!$A$5:$F$40,6,FALSE),0)</x:f>
        <x:v>36</x:v>
      </x:c>
      <x:c r="R516" s="84" t="n">
        <x:f>'Raw Sales'!J516</x:f>
        <x:v>4</x:v>
      </x:c>
      <x:c r="S516" s="87" t="n">
        <x:f>'Raw Sales'!K516</x:f>
        <x:v>0.1</x:v>
      </x:c>
      <x:c r="T516" s="93" t="n">
        <x:f>P516*R516</x:f>
        <x:v>276</x:v>
      </x:c>
      <x:c r="U516" s="93" t="n">
        <x:f>T516*S516</x:f>
        <x:v>27.6</x:v>
      </x:c>
      <x:c r="V516" s="93" t="str">
        <x:f>PROPER(TRIM('Raw Sales'!L516))</x:f>
        <x:v>Completed</x:v>
      </x:c>
      <x:c r="W516" s="93" t="n">
        <x:f>IF(V516="Returned",0,T516-U516)</x:f>
        <x:v>248.4</x:v>
      </x:c>
      <x:c r="X516" s="93" t="n">
        <x:f>IF(V516="Returned",Q516*R516*10%,Q516*R516)</x:f>
        <x:v>144</x:v>
      </x:c>
      <x:c r="Y516" s="93" t="n">
        <x:f>W516-X516</x:f>
        <x:v>104.4</x:v>
      </x:c>
      <x:c r="Z516" s="94" t="n">
        <x:f>IFERROR(Y516/W516,0)</x:f>
        <x:v>0.4202898550724638</x:v>
      </x:c>
      <x:c r="AA516" s="84" t="str">
        <x:f>PROPER(TRIM('Raw Sales'!M516))</x:f>
        <x:v>Paypal</x:v>
      </x:c>
      <x:c r="AB516" s="84" t="str">
        <x:f>PROPER(TRIM('Raw Sales'!N516))</x:f>
        <x:v>Maya Brooks</x:v>
      </x:c>
      <x:c r="AC516" s="85" t="n">
        <x:f>'Raw Sales'!O516</x:f>
        <x:v>45483</x:v>
      </x:c>
      <x:c r="AD516" s="84" t="n">
        <x:f>AC516-B516</x:f>
        <x:v>2</x:v>
      </x:c>
      <x:c r="AE516" s="84" t="str">
        <x:f>IF(COUNTIF($A$5:A516,A516)&gt;1,"Duplicate","Keep")</x:f>
        <x:v>Keep</x:v>
      </x:c>
      <x:c r="AF516" s="84" t="str">
        <x:f>IF(OR(R516&lt;=0,AC516&lt;B516,H516="Unknown",M516="Unknown Product"),"Review","Valid")</x:f>
        <x:v>Valid</x:v>
      </x:c>
      <x:c r="AG516" s="84" t="n">
        <x:f>IF(AND(AE516="Keep",AF516="Valid"),1,0)</x:f>
        <x:v>1</x:v>
      </x:c>
      <x:c r="AH516" s="84" t="n">
        <x:f>IF(AND(AG516=1,OR('Dashboard'!$B$4="All",I516='Dashboard'!$B$4),OR('Dashboard'!$E$4="All",N516='Dashboard'!$E$4),OR('Dashboard'!$H$4="All",K516='Dashboard'!$H$4),OR('Dashboard'!$K$4="All",C516='Dashboard'!$K$4)),1,0)</x:f>
        <x:v>1</x:v>
      </x:c>
      <x:c r="AI516" s="84" t="n">
        <x:f>IF(AND(AG516=1,OR('Dashboard'!$B$4="All",I516='Dashboard'!$B$4),OR('Dashboard'!$E$4="All",N516='Dashboard'!$E$4),OR('Dashboard'!$H$4="All",K516='Dashboard'!$H$4)),1,0)</x:f>
        <x:v>1</x:v>
      </x:c>
    </x:row>
    <x:row r="517">
      <x:c r="A517" s="84" t="str">
        <x:f>'Raw Sales'!A517</x:f>
        <x:v>ORD-2024-00785</x:v>
      </x:c>
      <x:c r="B517" s="85" t="n">
        <x:f>'Raw Sales'!B517</x:f>
        <x:v>45481</x:v>
      </x:c>
      <x:c r="C517" s="84" t="n">
        <x:f>YEAR(B517)</x:f>
        <x:v>2024</x:v>
      </x:c>
      <x:c r="D517" s="91" t="n">
        <x:f>DATE(YEAR(B517),MONTH(B517),1)</x:f>
        <x:v>45474</x:v>
      </x:c>
      <x:c r="E517" s="84" t="str">
        <x:f>TEXT(B517,"mmm")</x:f>
        <x:v>Jul</x:v>
      </x:c>
      <x:c r="F517" s="84" t="str">
        <x:f>'Raw Sales'!C517</x:f>
        <x:v>CUST-0546</x:v>
      </x:c>
      <x:c r="G517" s="84" t="str">
        <x:f>PROPER(TRIM('Raw Sales'!D517))</x:f>
        <x:v>Aiden Davis</x:v>
      </x:c>
      <x:c r="H517" s="84" t="str">
        <x:f>IF(TRIM('Raw Sales'!E517)="","Unknown",PROPER(TRIM('Raw Sales'!E517)))</x:f>
        <x:v>Consumer</x:v>
      </x:c>
      <x:c r="I517" s="84" t="str">
        <x:f>PROPER(TRIM('Raw Sales'!F517))</x:f>
        <x:v>Southeast</x:v>
      </x:c>
      <x:c r="J517" s="84" t="str">
        <x:f>PROPER(TRIM('Raw Sales'!G517))</x:f>
        <x:v>Charlotte</x:v>
      </x:c>
      <x:c r="K517" s="84" t="str">
        <x:f>PROPER(TRIM('Raw Sales'!H517))</x:f>
        <x:v>Online</x:v>
      </x:c>
      <x:c r="L517" s="84" t="str">
        <x:f>'Raw Sales'!I517</x:f>
        <x:v>ELEC-003</x:v>
      </x:c>
      <x:c r="M517" s="84" t="str">
        <x:f>IFERROR(VLOOKUP(L517,'Reference Data'!$A$5:$F$40,2,FALSE),"Unknown Product")</x:f>
        <x:v>Bluetooth Speaker</x:v>
      </x:c>
      <x:c r="N517" s="84" t="str">
        <x:f>IFERROR(VLOOKUP(L517,'Reference Data'!$A$5:$F$40,3,FALSE),"Unknown")</x:f>
        <x:v>Electronics</x:v>
      </x:c>
      <x:c r="O517" s="84" t="str">
        <x:f>IFERROR(VLOOKUP(L517,'Reference Data'!$A$5:$F$40,4,FALSE),"Unknown")</x:f>
        <x:v>Audio</x:v>
      </x:c>
      <x:c r="P517" s="92" t="n">
        <x:f>IFERROR(VLOOKUP(L517,'Reference Data'!$A$5:$F$40,5,FALSE),0)</x:f>
        <x:v>89</x:v>
      </x:c>
      <x:c r="Q517" s="92" t="n">
        <x:f>IFERROR(VLOOKUP(L517,'Reference Data'!$A$5:$F$40,6,FALSE),0)</x:f>
        <x:v>44</x:v>
      </x:c>
      <x:c r="R517" s="84" t="n">
        <x:f>'Raw Sales'!J517</x:f>
        <x:v>1</x:v>
      </x:c>
      <x:c r="S517" s="87" t="n">
        <x:f>'Raw Sales'!K517</x:f>
        <x:v>0.15</x:v>
      </x:c>
      <x:c r="T517" s="93" t="n">
        <x:f>P517*R517</x:f>
        <x:v>89</x:v>
      </x:c>
      <x:c r="U517" s="93" t="n">
        <x:f>T517*S517</x:f>
        <x:v>13.35</x:v>
      </x:c>
      <x:c r="V517" s="93" t="str">
        <x:f>PROPER(TRIM('Raw Sales'!L517))</x:f>
        <x:v>Completed</x:v>
      </x:c>
      <x:c r="W517" s="93" t="n">
        <x:f>IF(V517="Returned",0,T517-U517)</x:f>
        <x:v>75.65</x:v>
      </x:c>
      <x:c r="X517" s="93" t="n">
        <x:f>IF(V517="Returned",Q517*R517*10%,Q517*R517)</x:f>
        <x:v>44</x:v>
      </x:c>
      <x:c r="Y517" s="93" t="n">
        <x:f>W517-X517</x:f>
        <x:v>31.650000000000006</x:v>
      </x:c>
      <x:c r="Z517" s="94" t="n">
        <x:f>IFERROR(Y517/W517,0)</x:f>
        <x:v>0.4183740912095176</x:v>
      </x:c>
      <x:c r="AA517" s="84" t="str">
        <x:f>PROPER(TRIM('Raw Sales'!M517))</x:f>
        <x:v>Credit Card</x:v>
      </x:c>
      <x:c r="AB517" s="84" t="str">
        <x:f>PROPER(TRIM('Raw Sales'!N517))</x:f>
        <x:v>Noah Reed</x:v>
      </x:c>
      <x:c r="AC517" s="85" t="n">
        <x:f>'Raw Sales'!O517</x:f>
        <x:v>45483</x:v>
      </x:c>
      <x:c r="AD517" s="84" t="n">
        <x:f>AC517-B517</x:f>
        <x:v>2</x:v>
      </x:c>
      <x:c r="AE517" s="84" t="str">
        <x:f>IF(COUNTIF($A$5:A517,A517)&gt;1,"Duplicate","Keep")</x:f>
        <x:v>Keep</x:v>
      </x:c>
      <x:c r="AF517" s="84" t="str">
        <x:f>IF(OR(R517&lt;=0,AC517&lt;B517,H517="Unknown",M517="Unknown Product"),"Review","Valid")</x:f>
        <x:v>Valid</x:v>
      </x:c>
      <x:c r="AG517" s="84" t="n">
        <x:f>IF(AND(AE517="Keep",AF517="Valid"),1,0)</x:f>
        <x:v>1</x:v>
      </x:c>
      <x:c r="AH517" s="84" t="n">
        <x:f>IF(AND(AG517=1,OR('Dashboard'!$B$4="All",I517='Dashboard'!$B$4),OR('Dashboard'!$E$4="All",N517='Dashboard'!$E$4),OR('Dashboard'!$H$4="All",K517='Dashboard'!$H$4),OR('Dashboard'!$K$4="All",C517='Dashboard'!$K$4)),1,0)</x:f>
        <x:v>1</x:v>
      </x:c>
      <x:c r="AI517" s="84" t="n">
        <x:f>IF(AND(AG517=1,OR('Dashboard'!$B$4="All",I517='Dashboard'!$B$4),OR('Dashboard'!$E$4="All",N517='Dashboard'!$E$4),OR('Dashboard'!$H$4="All",K517='Dashboard'!$H$4)),1,0)</x:f>
        <x:v>1</x:v>
      </x:c>
    </x:row>
    <x:row r="518">
      <x:c r="A518" s="84" t="str">
        <x:f>'Raw Sales'!A518</x:f>
        <x:v>ORD-2024-01140</x:v>
      </x:c>
      <x:c r="B518" s="85" t="n">
        <x:f>'Raw Sales'!B518</x:f>
        <x:v>45481</x:v>
      </x:c>
      <x:c r="C518" s="84" t="n">
        <x:f>YEAR(B518)</x:f>
        <x:v>2024</x:v>
      </x:c>
      <x:c r="D518" s="91" t="n">
        <x:f>DATE(YEAR(B518),MONTH(B518),1)</x:f>
        <x:v>45474</x:v>
      </x:c>
      <x:c r="E518" s="84" t="str">
        <x:f>TEXT(B518,"mmm")</x:f>
        <x:v>Jul</x:v>
      </x:c>
      <x:c r="F518" s="84" t="str">
        <x:f>'Raw Sales'!C518</x:f>
        <x:v>CUST-0550</x:v>
      </x:c>
      <x:c r="G518" s="84" t="str">
        <x:f>PROPER(TRIM('Raw Sales'!D518))</x:f>
        <x:v>Samuel Young</x:v>
      </x:c>
      <x:c r="H518" s="84" t="str">
        <x:f>IF(TRIM('Raw Sales'!E518)="","Unknown",PROPER(TRIM('Raw Sales'!E518)))</x:f>
        <x:v>Consumer</x:v>
      </x:c>
      <x:c r="I518" s="84" t="str">
        <x:f>PROPER(TRIM('Raw Sales'!F518))</x:f>
        <x:v>Midwest</x:v>
      </x:c>
      <x:c r="J518" s="84" t="str">
        <x:f>PROPER(TRIM('Raw Sales'!G518))</x:f>
        <x:v>Minneapolis</x:v>
      </x:c>
      <x:c r="K518" s="84" t="str">
        <x:f>PROPER(TRIM('Raw Sales'!H518))</x:f>
        <x:v>Online</x:v>
      </x:c>
      <x:c r="L518" s="84" t="str">
        <x:f>'Raw Sales'!I518</x:f>
        <x:v>HOME-003</x:v>
      </x:c>
      <x:c r="M518" s="84" t="str">
        <x:f>IFERROR(VLOOKUP(L518,'Reference Data'!$A$5:$F$40,2,FALSE),"Unknown Product")</x:f>
        <x:v>Countertop Blender</x:v>
      </x:c>
      <x:c r="N518" s="84" t="str">
        <x:f>IFERROR(VLOOKUP(L518,'Reference Data'!$A$5:$F$40,3,FALSE),"Unknown")</x:f>
        <x:v>Home &amp; Kitchen</x:v>
      </x:c>
      <x:c r="O518" s="84" t="str">
        <x:f>IFERROR(VLOOKUP(L518,'Reference Data'!$A$5:$F$40,4,FALSE),"Unknown")</x:f>
        <x:v>Small Appliances</x:v>
      </x:c>
      <x:c r="P518" s="92" t="n">
        <x:f>IFERROR(VLOOKUP(L518,'Reference Data'!$A$5:$F$40,5,FALSE),0)</x:f>
        <x:v>89</x:v>
      </x:c>
      <x:c r="Q518" s="92" t="n">
        <x:f>IFERROR(VLOOKUP(L518,'Reference Data'!$A$5:$F$40,6,FALSE),0)</x:f>
        <x:v>46</x:v>
      </x:c>
      <x:c r="R518" s="84" t="n">
        <x:f>'Raw Sales'!J518</x:f>
        <x:v>3</x:v>
      </x:c>
      <x:c r="S518" s="87" t="n">
        <x:f>'Raw Sales'!K518</x:f>
        <x:v>0</x:v>
      </x:c>
      <x:c r="T518" s="93" t="n">
        <x:f>P518*R518</x:f>
        <x:v>267</x:v>
      </x:c>
      <x:c r="U518" s="93" t="n">
        <x:f>T518*S518</x:f>
        <x:v>0</x:v>
      </x:c>
      <x:c r="V518" s="93" t="str">
        <x:f>PROPER(TRIM('Raw Sales'!L518))</x:f>
        <x:v>Completed</x:v>
      </x:c>
      <x:c r="W518" s="93" t="n">
        <x:f>IF(V518="Returned",0,T518-U518)</x:f>
        <x:v>267</x:v>
      </x:c>
      <x:c r="X518" s="93" t="n">
        <x:f>IF(V518="Returned",Q518*R518*10%,Q518*R518)</x:f>
        <x:v>138</x:v>
      </x:c>
      <x:c r="Y518" s="93" t="n">
        <x:f>W518-X518</x:f>
        <x:v>129</x:v>
      </x:c>
      <x:c r="Z518" s="94" t="n">
        <x:f>IFERROR(Y518/W518,0)</x:f>
        <x:v>0.48314606741573035</x:v>
      </x:c>
      <x:c r="AA518" s="84" t="str">
        <x:f>PROPER(TRIM('Raw Sales'!M518))</x:f>
        <x:v>Debit Card</x:v>
      </x:c>
      <x:c r="AB518" s="84" t="str">
        <x:f>PROPER(TRIM('Raw Sales'!N518))</x:f>
        <x:v>Emma Hayes</x:v>
      </x:c>
      <x:c r="AC518" s="85" t="n">
        <x:f>'Raw Sales'!O518</x:f>
        <x:v>45484</x:v>
      </x:c>
      <x:c r="AD518" s="84" t="n">
        <x:f>AC518-B518</x:f>
        <x:v>3</x:v>
      </x:c>
      <x:c r="AE518" s="84" t="str">
        <x:f>IF(COUNTIF($A$5:A518,A518)&gt;1,"Duplicate","Keep")</x:f>
        <x:v>Keep</x:v>
      </x:c>
      <x:c r="AF518" s="84" t="str">
        <x:f>IF(OR(R518&lt;=0,AC518&lt;B518,H518="Unknown",M518="Unknown Product"),"Review","Valid")</x:f>
        <x:v>Valid</x:v>
      </x:c>
      <x:c r="AG518" s="84" t="n">
        <x:f>IF(AND(AE518="Keep",AF518="Valid"),1,0)</x:f>
        <x:v>1</x:v>
      </x:c>
      <x:c r="AH518" s="84" t="n">
        <x:f>IF(AND(AG518=1,OR('Dashboard'!$B$4="All",I518='Dashboard'!$B$4),OR('Dashboard'!$E$4="All",N518='Dashboard'!$E$4),OR('Dashboard'!$H$4="All",K518='Dashboard'!$H$4),OR('Dashboard'!$K$4="All",C518='Dashboard'!$K$4)),1,0)</x:f>
        <x:v>1</x:v>
      </x:c>
      <x:c r="AI518" s="84" t="n">
        <x:f>IF(AND(AG518=1,OR('Dashboard'!$B$4="All",I518='Dashboard'!$B$4),OR('Dashboard'!$E$4="All",N518='Dashboard'!$E$4),OR('Dashboard'!$H$4="All",K518='Dashboard'!$H$4)),1,0)</x:f>
        <x:v>1</x:v>
      </x:c>
    </x:row>
    <x:row r="519">
      <x:c r="A519" s="84" t="str">
        <x:f>'Raw Sales'!A519</x:f>
        <x:v>ORD-2024-02305</x:v>
      </x:c>
      <x:c r="B519" s="85" t="n">
        <x:f>'Raw Sales'!B519</x:f>
        <x:v>45481</x:v>
      </x:c>
      <x:c r="C519" s="84" t="n">
        <x:f>YEAR(B519)</x:f>
        <x:v>2024</x:v>
      </x:c>
      <x:c r="D519" s="91" t="n">
        <x:f>DATE(YEAR(B519),MONTH(B519),1)</x:f>
        <x:v>45474</x:v>
      </x:c>
      <x:c r="E519" s="84" t="str">
        <x:f>TEXT(B519,"mmm")</x:f>
        <x:v>Jul</x:v>
      </x:c>
      <x:c r="F519" s="84" t="str">
        <x:f>'Raw Sales'!C519</x:f>
        <x:v>CUST-0570</x:v>
      </x:c>
      <x:c r="G519" s="84" t="str">
        <x:f>PROPER(TRIM('Raw Sales'!D519))</x:f>
        <x:v>Daniel Patel</x:v>
      </x:c>
      <x:c r="H519" s="84" t="str">
        <x:f>IF(TRIM('Raw Sales'!E519)="","Unknown",PROPER(TRIM('Raw Sales'!E519)))</x:f>
        <x:v>Consumer</x:v>
      </x:c>
      <x:c r="I519" s="84" t="str">
        <x:f>PROPER(TRIM('Raw Sales'!F519))</x:f>
        <x:v>Southeast</x:v>
      </x:c>
      <x:c r="J519" s="84" t="str">
        <x:f>PROPER(TRIM('Raw Sales'!G519))</x:f>
        <x:v>Charlotte</x:v>
      </x:c>
      <x:c r="K519" s="84" t="str">
        <x:f>PROPER(TRIM('Raw Sales'!H519))</x:f>
        <x:v>Marketplace</x:v>
      </x:c>
      <x:c r="L519" s="84" t="str">
        <x:f>'Raw Sales'!I519</x:f>
        <x:v>OFFC-001</x:v>
      </x:c>
      <x:c r="M519" s="84" t="str">
        <x:f>IFERROR(VLOOKUP(L519,'Reference Data'!$A$5:$F$40,2,FALSE),"Unknown Product")</x:f>
        <x:v>Ergonomic Chair</x:v>
      </x:c>
      <x:c r="N519" s="84" t="str">
        <x:f>IFERROR(VLOOKUP(L519,'Reference Data'!$A$5:$F$40,3,FALSE),"Unknown")</x:f>
        <x:v>Office</x:v>
      </x:c>
      <x:c r="O519" s="84" t="str">
        <x:f>IFERROR(VLOOKUP(L519,'Reference Data'!$A$5:$F$40,4,FALSE),"Unknown")</x:f>
        <x:v>Furniture</x:v>
      </x:c>
      <x:c r="P519" s="92" t="n">
        <x:f>IFERROR(VLOOKUP(L519,'Reference Data'!$A$5:$F$40,5,FALSE),0)</x:f>
        <x:v>249</x:v>
      </x:c>
      <x:c r="Q519" s="92" t="n">
        <x:f>IFERROR(VLOOKUP(L519,'Reference Data'!$A$5:$F$40,6,FALSE),0)</x:f>
        <x:v>145</x:v>
      </x:c>
      <x:c r="R519" s="84" t="n">
        <x:f>'Raw Sales'!J519</x:f>
        <x:v>1</x:v>
      </x:c>
      <x:c r="S519" s="87" t="n">
        <x:f>'Raw Sales'!K519</x:f>
        <x:v>0.1</x:v>
      </x:c>
      <x:c r="T519" s="93" t="n">
        <x:f>P519*R519</x:f>
        <x:v>249</x:v>
      </x:c>
      <x:c r="U519" s="93" t="n">
        <x:f>T519*S519</x:f>
        <x:v>24.900000000000002</x:v>
      </x:c>
      <x:c r="V519" s="93" t="str">
        <x:f>PROPER(TRIM('Raw Sales'!L519))</x:f>
        <x:v>Completed</x:v>
      </x:c>
      <x:c r="W519" s="93" t="n">
        <x:f>IF(V519="Returned",0,T519-U519)</x:f>
        <x:v>224.1</x:v>
      </x:c>
      <x:c r="X519" s="93" t="n">
        <x:f>IF(V519="Returned",Q519*R519*10%,Q519*R519)</x:f>
        <x:v>145</x:v>
      </x:c>
      <x:c r="Y519" s="93" t="n">
        <x:f>W519-X519</x:f>
        <x:v>79.1</x:v>
      </x:c>
      <x:c r="Z519" s="94" t="n">
        <x:f>IFERROR(Y519/W519,0)</x:f>
        <x:v>0.35296742525658187</x:v>
      </x:c>
      <x:c r="AA519" s="84" t="str">
        <x:f>PROPER(TRIM('Raw Sales'!M519))</x:f>
        <x:v>Credit Card</x:v>
      </x:c>
      <x:c r="AB519" s="84" t="str">
        <x:f>PROPER(TRIM('Raw Sales'!N519))</x:f>
        <x:v>Noah Reed</x:v>
      </x:c>
      <x:c r="AC519" s="85" t="n">
        <x:f>'Raw Sales'!O519</x:f>
        <x:v>45486</x:v>
      </x:c>
      <x:c r="AD519" s="84" t="n">
        <x:f>AC519-B519</x:f>
        <x:v>5</x:v>
      </x:c>
      <x:c r="AE519" s="84" t="str">
        <x:f>IF(COUNTIF($A$5:A519,A519)&gt;1,"Duplicate","Keep")</x:f>
        <x:v>Keep</x:v>
      </x:c>
      <x:c r="AF519" s="84" t="str">
        <x:f>IF(OR(R519&lt;=0,AC519&lt;B519,H519="Unknown",M519="Unknown Product"),"Review","Valid")</x:f>
        <x:v>Valid</x:v>
      </x:c>
      <x:c r="AG519" s="84" t="n">
        <x:f>IF(AND(AE519="Keep",AF519="Valid"),1,0)</x:f>
        <x:v>1</x:v>
      </x:c>
      <x:c r="AH519" s="84" t="n">
        <x:f>IF(AND(AG519=1,OR('Dashboard'!$B$4="All",I519='Dashboard'!$B$4),OR('Dashboard'!$E$4="All",N519='Dashboard'!$E$4),OR('Dashboard'!$H$4="All",K519='Dashboard'!$H$4),OR('Dashboard'!$K$4="All",C519='Dashboard'!$K$4)),1,0)</x:f>
        <x:v>1</x:v>
      </x:c>
      <x:c r="AI519" s="84" t="n">
        <x:f>IF(AND(AG519=1,OR('Dashboard'!$B$4="All",I519='Dashboard'!$B$4),OR('Dashboard'!$E$4="All",N519='Dashboard'!$E$4),OR('Dashboard'!$H$4="All",K519='Dashboard'!$H$4)),1,0)</x:f>
        <x:v>1</x:v>
      </x:c>
    </x:row>
    <x:row r="520">
      <x:c r="A520" s="84" t="str">
        <x:f>'Raw Sales'!A520</x:f>
        <x:v>ORD-2024-01764</x:v>
      </x:c>
      <x:c r="B520" s="85" t="n">
        <x:f>'Raw Sales'!B520</x:f>
        <x:v>45482</x:v>
      </x:c>
      <x:c r="C520" s="84" t="n">
        <x:f>YEAR(B520)</x:f>
        <x:v>2024</x:v>
      </x:c>
      <x:c r="D520" s="91" t="n">
        <x:f>DATE(YEAR(B520),MONTH(B520),1)</x:f>
        <x:v>45474</x:v>
      </x:c>
      <x:c r="E520" s="84" t="str">
        <x:f>TEXT(B520,"mmm")</x:f>
        <x:v>Jul</x:v>
      </x:c>
      <x:c r="F520" s="84" t="str">
        <x:f>'Raw Sales'!C520</x:f>
        <x:v>CUST-0329</x:v>
      </x:c>
      <x:c r="G520" s="84" t="str">
        <x:f>PROPER(TRIM('Raw Sales'!D520))</x:f>
        <x:v>Theo Nelson</x:v>
      </x:c>
      <x:c r="H520" s="84" t="str">
        <x:f>IF(TRIM('Raw Sales'!E520)="","Unknown",PROPER(TRIM('Raw Sales'!E520)))</x:f>
        <x:v>Consumer</x:v>
      </x:c>
      <x:c r="I520" s="84" t="str">
        <x:f>PROPER(TRIM('Raw Sales'!F520))</x:f>
        <x:v>Southeast</x:v>
      </x:c>
      <x:c r="J520" s="84" t="str">
        <x:f>PROPER(TRIM('Raw Sales'!G520))</x:f>
        <x:v>Atlanta</x:v>
      </x:c>
      <x:c r="K520" s="84" t="str">
        <x:f>PROPER(TRIM('Raw Sales'!H520))</x:f>
        <x:v>Online</x:v>
      </x:c>
      <x:c r="L520" s="84" t="str">
        <x:f>'Raw Sales'!I520</x:f>
        <x:v>ELEC-001</x:v>
      </x:c>
      <x:c r="M520" s="84" t="str">
        <x:f>IFERROR(VLOOKUP(L520,'Reference Data'!$A$5:$F$40,2,FALSE),"Unknown Product")</x:f>
        <x:v>Wireless Earbuds</x:v>
      </x:c>
      <x:c r="N520" s="84" t="str">
        <x:f>IFERROR(VLOOKUP(L520,'Reference Data'!$A$5:$F$40,3,FALSE),"Unknown")</x:f>
        <x:v>Electronics</x:v>
      </x:c>
      <x:c r="O520" s="84" t="str">
        <x:f>IFERROR(VLOOKUP(L520,'Reference Data'!$A$5:$F$40,4,FALSE),"Unknown")</x:f>
        <x:v>Audio</x:v>
      </x:c>
      <x:c r="P520" s="92" t="n">
        <x:f>IFERROR(VLOOKUP(L520,'Reference Data'!$A$5:$F$40,5,FALSE),0)</x:f>
        <x:v>69</x:v>
      </x:c>
      <x:c r="Q520" s="92" t="n">
        <x:f>IFERROR(VLOOKUP(L520,'Reference Data'!$A$5:$F$40,6,FALSE),0)</x:f>
        <x:v>36</x:v>
      </x:c>
      <x:c r="R520" s="84" t="n">
        <x:f>'Raw Sales'!J520</x:f>
        <x:v>1</x:v>
      </x:c>
      <x:c r="S520" s="87" t="n">
        <x:f>'Raw Sales'!K520</x:f>
        <x:v>0</x:v>
      </x:c>
      <x:c r="T520" s="93" t="n">
        <x:f>P520*R520</x:f>
        <x:v>69</x:v>
      </x:c>
      <x:c r="U520" s="93" t="n">
        <x:f>T520*S520</x:f>
        <x:v>0</x:v>
      </x:c>
      <x:c r="V520" s="93" t="str">
        <x:f>PROPER(TRIM('Raw Sales'!L520))</x:f>
        <x:v>Completed</x:v>
      </x:c>
      <x:c r="W520" s="93" t="n">
        <x:f>IF(V520="Returned",0,T520-U520)</x:f>
        <x:v>69</x:v>
      </x:c>
      <x:c r="X520" s="93" t="n">
        <x:f>IF(V520="Returned",Q520*R520*10%,Q520*R520)</x:f>
        <x:v>36</x:v>
      </x:c>
      <x:c r="Y520" s="93" t="n">
        <x:f>W520-X520</x:f>
        <x:v>33</x:v>
      </x:c>
      <x:c r="Z520" s="94" t="n">
        <x:f>IFERROR(Y520/W520,0)</x:f>
        <x:v>0.4782608695652174</x:v>
      </x:c>
      <x:c r="AA520" s="84" t="str">
        <x:f>PROPER(TRIM('Raw Sales'!M520))</x:f>
        <x:v>Mobile Wallet</x:v>
      </x:c>
      <x:c r="AB520" s="84" t="str">
        <x:f>PROPER(TRIM('Raw Sales'!N520))</x:f>
        <x:v>Noah Reed</x:v>
      </x:c>
      <x:c r="AC520" s="85" t="n">
        <x:f>'Raw Sales'!O520</x:f>
        <x:v>45480</x:v>
      </x:c>
      <x:c r="AD520" s="84" t="n">
        <x:f>AC520-B520</x:f>
        <x:v>-2</x:v>
      </x:c>
      <x:c r="AE520" s="84" t="str">
        <x:f>IF(COUNTIF($A$5:A520,A520)&gt;1,"Duplicate","Keep")</x:f>
        <x:v>Keep</x:v>
      </x:c>
      <x:c r="AF520" s="84" t="str">
        <x:f>IF(OR(R520&lt;=0,AC520&lt;B520,H520="Unknown",M520="Unknown Product"),"Review","Valid")</x:f>
        <x:v>Review</x:v>
      </x:c>
      <x:c r="AG520" s="84" t="n">
        <x:f>IF(AND(AE520="Keep",AF520="Valid"),1,0)</x:f>
        <x:v>0</x:v>
      </x:c>
      <x:c r="AH520" s="84" t="n">
        <x:f>IF(AND(AG520=1,OR('Dashboard'!$B$4="All",I520='Dashboard'!$B$4),OR('Dashboard'!$E$4="All",N520='Dashboard'!$E$4),OR('Dashboard'!$H$4="All",K520='Dashboard'!$H$4),OR('Dashboard'!$K$4="All",C520='Dashboard'!$K$4)),1,0)</x:f>
        <x:v>0</x:v>
      </x:c>
      <x:c r="AI520" s="84" t="n">
        <x:f>IF(AND(AG520=1,OR('Dashboard'!$B$4="All",I520='Dashboard'!$B$4),OR('Dashboard'!$E$4="All",N520='Dashboard'!$E$4),OR('Dashboard'!$H$4="All",K520='Dashboard'!$H$4)),1,0)</x:f>
        <x:v>0</x:v>
      </x:c>
    </x:row>
    <x:row r="521">
      <x:c r="A521" s="84" t="str">
        <x:f>'Raw Sales'!A521</x:f>
        <x:v>ORD-2024-01785</x:v>
      </x:c>
      <x:c r="B521" s="85" t="n">
        <x:f>'Raw Sales'!B521</x:f>
        <x:v>45482</x:v>
      </x:c>
      <x:c r="C521" s="84" t="n">
        <x:f>YEAR(B521)</x:f>
        <x:v>2024</x:v>
      </x:c>
      <x:c r="D521" s="91" t="n">
        <x:f>DATE(YEAR(B521),MONTH(B521),1)</x:f>
        <x:v>45474</x:v>
      </x:c>
      <x:c r="E521" s="84" t="str">
        <x:f>TEXT(B521,"mmm")</x:f>
        <x:v>Jul</x:v>
      </x:c>
      <x:c r="F521" s="84" t="str">
        <x:f>'Raw Sales'!C521</x:f>
        <x:v>CUST-0458</x:v>
      </x:c>
      <x:c r="G521" s="84" t="str">
        <x:f>PROPER(TRIM('Raw Sales'!D521))</x:f>
        <x:v>Samuel Carter</x:v>
      </x:c>
      <x:c r="H521" s="84" t="str">
        <x:f>IF(TRIM('Raw Sales'!E521)="","Unknown",PROPER(TRIM('Raw Sales'!E521)))</x:f>
        <x:v>Consumer</x:v>
      </x:c>
      <x:c r="I521" s="84" t="str">
        <x:f>PROPER(TRIM('Raw Sales'!F521))</x:f>
        <x:v>Southeast</x:v>
      </x:c>
      <x:c r="J521" s="84" t="str">
        <x:f>PROPER(TRIM('Raw Sales'!G521))</x:f>
        <x:v>Atlanta</x:v>
      </x:c>
      <x:c r="K521" s="84" t="str">
        <x:f>PROPER(TRIM('Raw Sales'!H521))</x:f>
        <x:v>Retail Store</x:v>
      </x:c>
      <x:c r="L521" s="84" t="str">
        <x:f>'Raw Sales'!I521</x:f>
        <x:v>OFFC-003</x:v>
      </x:c>
      <x:c r="M521" s="84" t="str">
        <x:f>IFERROR(VLOOKUP(L521,'Reference Data'!$A$5:$F$40,2,FALSE),"Unknown Product")</x:f>
        <x:v>LED Desk Lamp</x:v>
      </x:c>
      <x:c r="N521" s="84" t="str">
        <x:f>IFERROR(VLOOKUP(L521,'Reference Data'!$A$5:$F$40,3,FALSE),"Unknown")</x:f>
        <x:v>Office</x:v>
      </x:c>
      <x:c r="O521" s="84" t="str">
        <x:f>IFERROR(VLOOKUP(L521,'Reference Data'!$A$5:$F$40,4,FALSE),"Unknown")</x:f>
        <x:v>Desk Accessories</x:v>
      </x:c>
      <x:c r="P521" s="92" t="n">
        <x:f>IFERROR(VLOOKUP(L521,'Reference Data'!$A$5:$F$40,5,FALSE),0)</x:f>
        <x:v>45</x:v>
      </x:c>
      <x:c r="Q521" s="92" t="n">
        <x:f>IFERROR(VLOOKUP(L521,'Reference Data'!$A$5:$F$40,6,FALSE),0)</x:f>
        <x:v>20</x:v>
      </x:c>
      <x:c r="R521" s="84" t="n">
        <x:f>'Raw Sales'!J521</x:f>
        <x:v>1</x:v>
      </x:c>
      <x:c r="S521" s="87" t="n">
        <x:f>'Raw Sales'!K521</x:f>
        <x:v>0</x:v>
      </x:c>
      <x:c r="T521" s="93" t="n">
        <x:f>P521*R521</x:f>
        <x:v>45</x:v>
      </x:c>
      <x:c r="U521" s="93" t="n">
        <x:f>T521*S521</x:f>
        <x:v>0</x:v>
      </x:c>
      <x:c r="V521" s="93" t="str">
        <x:f>PROPER(TRIM('Raw Sales'!L521))</x:f>
        <x:v>Completed</x:v>
      </x:c>
      <x:c r="W521" s="93" t="n">
        <x:f>IF(V521="Returned",0,T521-U521)</x:f>
        <x:v>45</x:v>
      </x:c>
      <x:c r="X521" s="93" t="n">
        <x:f>IF(V521="Returned",Q521*R521*10%,Q521*R521)</x:f>
        <x:v>20</x:v>
      </x:c>
      <x:c r="Y521" s="93" t="n">
        <x:f>W521-X521</x:f>
        <x:v>25</x:v>
      </x:c>
      <x:c r="Z521" s="94" t="n">
        <x:f>IFERROR(Y521/W521,0)</x:f>
        <x:v>0.5555555555555556</x:v>
      </x:c>
      <x:c r="AA521" s="84" t="str">
        <x:f>PROPER(TRIM('Raw Sales'!M521))</x:f>
        <x:v>Mobile Wallet</x:v>
      </x:c>
      <x:c r="AB521" s="84" t="str">
        <x:f>PROPER(TRIM('Raw Sales'!N521))</x:f>
        <x:v>Noah Reed</x:v>
      </x:c>
      <x:c r="AC521" s="85" t="n">
        <x:f>'Raw Sales'!O521</x:f>
        <x:v>45482</x:v>
      </x:c>
      <x:c r="AD521" s="84" t="n">
        <x:f>AC521-B521</x:f>
        <x:v>0</x:v>
      </x:c>
      <x:c r="AE521" s="84" t="str">
        <x:f>IF(COUNTIF($A$5:A521,A521)&gt;1,"Duplicate","Keep")</x:f>
        <x:v>Keep</x:v>
      </x:c>
      <x:c r="AF521" s="84" t="str">
        <x:f>IF(OR(R521&lt;=0,AC521&lt;B521,H521="Unknown",M521="Unknown Product"),"Review","Valid")</x:f>
        <x:v>Valid</x:v>
      </x:c>
      <x:c r="AG521" s="84" t="n">
        <x:f>IF(AND(AE521="Keep",AF521="Valid"),1,0)</x:f>
        <x:v>1</x:v>
      </x:c>
      <x:c r="AH521" s="84" t="n">
        <x:f>IF(AND(AG521=1,OR('Dashboard'!$B$4="All",I521='Dashboard'!$B$4),OR('Dashboard'!$E$4="All",N521='Dashboard'!$E$4),OR('Dashboard'!$H$4="All",K521='Dashboard'!$H$4),OR('Dashboard'!$K$4="All",C521='Dashboard'!$K$4)),1,0)</x:f>
        <x:v>1</x:v>
      </x:c>
      <x:c r="AI521" s="84" t="n">
        <x:f>IF(AND(AG521=1,OR('Dashboard'!$B$4="All",I521='Dashboard'!$B$4),OR('Dashboard'!$E$4="All",N521='Dashboard'!$E$4),OR('Dashboard'!$H$4="All",K521='Dashboard'!$H$4)),1,0)</x:f>
        <x:v>1</x:v>
      </x:c>
    </x:row>
    <x:row r="522">
      <x:c r="A522" s="84" t="str">
        <x:f>'Raw Sales'!A522</x:f>
        <x:v>ORD-2024-01836</x:v>
      </x:c>
      <x:c r="B522" s="85" t="n">
        <x:f>'Raw Sales'!B522</x:f>
        <x:v>45482</x:v>
      </x:c>
      <x:c r="C522" s="84" t="n">
        <x:f>YEAR(B522)</x:f>
        <x:v>2024</x:v>
      </x:c>
      <x:c r="D522" s="91" t="n">
        <x:f>DATE(YEAR(B522),MONTH(B522),1)</x:f>
        <x:v>45474</x:v>
      </x:c>
      <x:c r="E522" s="84" t="str">
        <x:f>TEXT(B522,"mmm")</x:f>
        <x:v>Jul</x:v>
      </x:c>
      <x:c r="F522" s="84" t="str">
        <x:f>'Raw Sales'!C522</x:f>
        <x:v>CUST-0157</x:v>
      </x:c>
      <x:c r="G522" s="84" t="str">
        <x:f>PROPER(TRIM('Raw Sales'!D522))</x:f>
        <x:v>Isaac Smith</x:v>
      </x:c>
      <x:c r="H522" s="84" t="str">
        <x:f>IF(TRIM('Raw Sales'!E522)="","Unknown",PROPER(TRIM('Raw Sales'!E522)))</x:f>
        <x:v>Corporate</x:v>
      </x:c>
      <x:c r="I522" s="84" t="str">
        <x:f>PROPER(TRIM('Raw Sales'!F522))</x:f>
        <x:v>West</x:v>
      </x:c>
      <x:c r="J522" s="84" t="str">
        <x:f>PROPER(TRIM('Raw Sales'!G522))</x:f>
        <x:v>Los Angeles</x:v>
      </x:c>
      <x:c r="K522" s="84" t="str">
        <x:f>PROPER(TRIM('Raw Sales'!H522))</x:f>
        <x:v>Marketplace</x:v>
      </x:c>
      <x:c r="L522" s="84" t="str">
        <x:f>'Raw Sales'!I522</x:f>
        <x:v>OFFC-005</x:v>
      </x:c>
      <x:c r="M522" s="84" t="str">
        <x:f>IFERROR(VLOOKUP(L522,'Reference Data'!$A$5:$F$40,2,FALSE),"Unknown Product")</x:f>
        <x:v>Wireless Keyboard</x:v>
      </x:c>
      <x:c r="N522" s="84" t="str">
        <x:f>IFERROR(VLOOKUP(L522,'Reference Data'!$A$5:$F$40,3,FALSE),"Unknown")</x:f>
        <x:v>Office</x:v>
      </x:c>
      <x:c r="O522" s="84" t="str">
        <x:f>IFERROR(VLOOKUP(L522,'Reference Data'!$A$5:$F$40,4,FALSE),"Unknown")</x:f>
        <x:v>Computer Accessories</x:v>
      </x:c>
      <x:c r="P522" s="92" t="n">
        <x:f>IFERROR(VLOOKUP(L522,'Reference Data'!$A$5:$F$40,5,FALSE),0)</x:f>
        <x:v>59</x:v>
      </x:c>
      <x:c r="Q522" s="92" t="n">
        <x:f>IFERROR(VLOOKUP(L522,'Reference Data'!$A$5:$F$40,6,FALSE),0)</x:f>
        <x:v>28</x:v>
      </x:c>
      <x:c r="R522" s="84" t="n">
        <x:f>'Raw Sales'!J522</x:f>
        <x:v>3</x:v>
      </x:c>
      <x:c r="S522" s="87" t="n">
        <x:f>'Raw Sales'!K522</x:f>
        <x:v>0</x:v>
      </x:c>
      <x:c r="T522" s="93" t="n">
        <x:f>P522*R522</x:f>
        <x:v>177</x:v>
      </x:c>
      <x:c r="U522" s="93" t="n">
        <x:f>T522*S522</x:f>
        <x:v>0</x:v>
      </x:c>
      <x:c r="V522" s="93" t="str">
        <x:f>PROPER(TRIM('Raw Sales'!L522))</x:f>
        <x:v>Completed</x:v>
      </x:c>
      <x:c r="W522" s="93" t="n">
        <x:f>IF(V522="Returned",0,T522-U522)</x:f>
        <x:v>177</x:v>
      </x:c>
      <x:c r="X522" s="93" t="n">
        <x:f>IF(V522="Returned",Q522*R522*10%,Q522*R522)</x:f>
        <x:v>84</x:v>
      </x:c>
      <x:c r="Y522" s="93" t="n">
        <x:f>W522-X522</x:f>
        <x:v>93</x:v>
      </x:c>
      <x:c r="Z522" s="94" t="n">
        <x:f>IFERROR(Y522/W522,0)</x:f>
        <x:v>0.5254237288135594</x:v>
      </x:c>
      <x:c r="AA522" s="84" t="str">
        <x:f>PROPER(TRIM('Raw Sales'!M522))</x:f>
        <x:v>Paypal</x:v>
      </x:c>
      <x:c r="AB522" s="84" t="str">
        <x:f>PROPER(TRIM('Raw Sales'!N522))</x:f>
        <x:v>Mia Chen</x:v>
      </x:c>
      <x:c r="AC522" s="85" t="n">
        <x:f>'Raw Sales'!O522</x:f>
        <x:v>45487</x:v>
      </x:c>
      <x:c r="AD522" s="84" t="n">
        <x:f>AC522-B522</x:f>
        <x:v>5</x:v>
      </x:c>
      <x:c r="AE522" s="84" t="str">
        <x:f>IF(COUNTIF($A$5:A522,A522)&gt;1,"Duplicate","Keep")</x:f>
        <x:v>Keep</x:v>
      </x:c>
      <x:c r="AF522" s="84" t="str">
        <x:f>IF(OR(R522&lt;=0,AC522&lt;B522,H522="Unknown",M522="Unknown Product"),"Review","Valid")</x:f>
        <x:v>Valid</x:v>
      </x:c>
      <x:c r="AG522" s="84" t="n">
        <x:f>IF(AND(AE522="Keep",AF522="Valid"),1,0)</x:f>
        <x:v>1</x:v>
      </x:c>
      <x:c r="AH522" s="84" t="n">
        <x:f>IF(AND(AG522=1,OR('Dashboard'!$B$4="All",I522='Dashboard'!$B$4),OR('Dashboard'!$E$4="All",N522='Dashboard'!$E$4),OR('Dashboard'!$H$4="All",K522='Dashboard'!$H$4),OR('Dashboard'!$K$4="All",C522='Dashboard'!$K$4)),1,0)</x:f>
        <x:v>1</x:v>
      </x:c>
      <x:c r="AI522" s="84" t="n">
        <x:f>IF(AND(AG522=1,OR('Dashboard'!$B$4="All",I522='Dashboard'!$B$4),OR('Dashboard'!$E$4="All",N522='Dashboard'!$E$4),OR('Dashboard'!$H$4="All",K522='Dashboard'!$H$4)),1,0)</x:f>
        <x:v>1</x:v>
      </x:c>
    </x:row>
    <x:row r="523">
      <x:c r="A523" s="84" t="str">
        <x:f>'Raw Sales'!A523</x:f>
        <x:v>ORD-2024-02294</x:v>
      </x:c>
      <x:c r="B523" s="85" t="n">
        <x:f>'Raw Sales'!B523</x:f>
        <x:v>45482</x:v>
      </x:c>
      <x:c r="C523" s="84" t="n">
        <x:f>YEAR(B523)</x:f>
        <x:v>2024</x:v>
      </x:c>
      <x:c r="D523" s="91" t="n">
        <x:f>DATE(YEAR(B523),MONTH(B523),1)</x:f>
        <x:v>45474</x:v>
      </x:c>
      <x:c r="E523" s="84" t="str">
        <x:f>TEXT(B523,"mmm")</x:f>
        <x:v>Jul</x:v>
      </x:c>
      <x:c r="F523" s="84" t="str">
        <x:f>'Raw Sales'!C523</x:f>
        <x:v>CUST-0177</x:v>
      </x:c>
      <x:c r="G523" s="84" t="str">
        <x:f>PROPER(TRIM('Raw Sales'!D523))</x:f>
        <x:v>Elena Quinn</x:v>
      </x:c>
      <x:c r="H523" s="84" t="str">
        <x:f>IF(TRIM('Raw Sales'!E523)="","Unknown",PROPER(TRIM('Raw Sales'!E523)))</x:f>
        <x:v>Consumer</x:v>
      </x:c>
      <x:c r="I523" s="84" t="str">
        <x:f>PROPER(TRIM('Raw Sales'!F523))</x:f>
        <x:v>Southeast</x:v>
      </x:c>
      <x:c r="J523" s="84" t="str">
        <x:f>PROPER(TRIM('Raw Sales'!G523))</x:f>
        <x:v>Nashville</x:v>
      </x:c>
      <x:c r="K523" s="84" t="str">
        <x:f>PROPER(TRIM('Raw Sales'!H523))</x:f>
        <x:v>Online</x:v>
      </x:c>
      <x:c r="L523" s="84" t="str">
        <x:f>'Raw Sales'!I523</x:f>
        <x:v>CARE-003</x:v>
      </x:c>
      <x:c r="M523" s="84" t="str">
        <x:f>IFERROR(VLOOKUP(L523,'Reference Data'!$A$5:$F$40,2,FALSE),"Unknown Product")</x:f>
        <x:v>Facial Cleanser</x:v>
      </x:c>
      <x:c r="N523" s="84" t="str">
        <x:f>IFERROR(VLOOKUP(L523,'Reference Data'!$A$5:$F$40,3,FALSE),"Unknown")</x:f>
        <x:v>Personal Care</x:v>
      </x:c>
      <x:c r="O523" s="84" t="str">
        <x:f>IFERROR(VLOOKUP(L523,'Reference Data'!$A$5:$F$40,4,FALSE),"Unknown")</x:f>
        <x:v>Skin Care</x:v>
      </x:c>
      <x:c r="P523" s="92" t="n">
        <x:f>IFERROR(VLOOKUP(L523,'Reference Data'!$A$5:$F$40,5,FALSE),0)</x:f>
        <x:v>18</x:v>
      </x:c>
      <x:c r="Q523" s="92" t="n">
        <x:f>IFERROR(VLOOKUP(L523,'Reference Data'!$A$5:$F$40,6,FALSE),0)</x:f>
        <x:v>6</x:v>
      </x:c>
      <x:c r="R523" s="84" t="n">
        <x:f>'Raw Sales'!J523</x:f>
        <x:v>3</x:v>
      </x:c>
      <x:c r="S523" s="87" t="n">
        <x:f>'Raw Sales'!K523</x:f>
        <x:v>0</x:v>
      </x:c>
      <x:c r="T523" s="93" t="n">
        <x:f>P523*R523</x:f>
        <x:v>54</x:v>
      </x:c>
      <x:c r="U523" s="93" t="n">
        <x:f>T523*S523</x:f>
        <x:v>0</x:v>
      </x:c>
      <x:c r="V523" s="93" t="str">
        <x:f>PROPER(TRIM('Raw Sales'!L523))</x:f>
        <x:v>Completed</x:v>
      </x:c>
      <x:c r="W523" s="93" t="n">
        <x:f>IF(V523="Returned",0,T523-U523)</x:f>
        <x:v>54</x:v>
      </x:c>
      <x:c r="X523" s="93" t="n">
        <x:f>IF(V523="Returned",Q523*R523*10%,Q523*R523)</x:f>
        <x:v>18</x:v>
      </x:c>
      <x:c r="Y523" s="93" t="n">
        <x:f>W523-X523</x:f>
        <x:v>36</x:v>
      </x:c>
      <x:c r="Z523" s="94" t="n">
        <x:f>IFERROR(Y523/W523,0)</x:f>
        <x:v>0.6666666666666666</x:v>
      </x:c>
      <x:c r="AA523" s="84" t="str">
        <x:f>PROPER(TRIM('Raw Sales'!M523))</x:f>
        <x:v>Mobile Wallet</x:v>
      </x:c>
      <x:c r="AB523" s="84" t="str">
        <x:f>PROPER(TRIM('Raw Sales'!N523))</x:f>
        <x:v>Noah Reed</x:v>
      </x:c>
      <x:c r="AC523" s="85" t="n">
        <x:f>'Raw Sales'!O523</x:f>
        <x:v>45485</x:v>
      </x:c>
      <x:c r="AD523" s="84" t="n">
        <x:f>AC523-B523</x:f>
        <x:v>3</x:v>
      </x:c>
      <x:c r="AE523" s="84" t="str">
        <x:f>IF(COUNTIF($A$5:A523,A523)&gt;1,"Duplicate","Keep")</x:f>
        <x:v>Keep</x:v>
      </x:c>
      <x:c r="AF523" s="84" t="str">
        <x:f>IF(OR(R523&lt;=0,AC523&lt;B523,H523="Unknown",M523="Unknown Product"),"Review","Valid")</x:f>
        <x:v>Valid</x:v>
      </x:c>
      <x:c r="AG523" s="84" t="n">
        <x:f>IF(AND(AE523="Keep",AF523="Valid"),1,0)</x:f>
        <x:v>1</x:v>
      </x:c>
      <x:c r="AH523" s="84" t="n">
        <x:f>IF(AND(AG523=1,OR('Dashboard'!$B$4="All",I523='Dashboard'!$B$4),OR('Dashboard'!$E$4="All",N523='Dashboard'!$E$4),OR('Dashboard'!$H$4="All",K523='Dashboard'!$H$4),OR('Dashboard'!$K$4="All",C523='Dashboard'!$K$4)),1,0)</x:f>
        <x:v>1</x:v>
      </x:c>
      <x:c r="AI523" s="84" t="n">
        <x:f>IF(AND(AG523=1,OR('Dashboard'!$B$4="All",I523='Dashboard'!$B$4),OR('Dashboard'!$E$4="All",N523='Dashboard'!$E$4),OR('Dashboard'!$H$4="All",K523='Dashboard'!$H$4)),1,0)</x:f>
        <x:v>1</x:v>
      </x:c>
    </x:row>
    <x:row r="524">
      <x:c r="A524" s="84" t="str">
        <x:f>'Raw Sales'!A524</x:f>
        <x:v>ORD-2024-00098</x:v>
      </x:c>
      <x:c r="B524" s="85" t="n">
        <x:f>'Raw Sales'!B524</x:f>
        <x:v>45483</x:v>
      </x:c>
      <x:c r="C524" s="84" t="n">
        <x:f>YEAR(B524)</x:f>
        <x:v>2024</x:v>
      </x:c>
      <x:c r="D524" s="91" t="n">
        <x:f>DATE(YEAR(B524),MONTH(B524),1)</x:f>
        <x:v>45474</x:v>
      </x:c>
      <x:c r="E524" s="84" t="str">
        <x:f>TEXT(B524,"mmm")</x:f>
        <x:v>Jul</x:v>
      </x:c>
      <x:c r="F524" s="84" t="str">
        <x:f>'Raw Sales'!C524</x:f>
        <x:v>CUST-0370</x:v>
      </x:c>
      <x:c r="G524" s="84" t="str">
        <x:f>PROPER(TRIM('Raw Sales'!D524))</x:f>
        <x:v>Aiden Moore</x:v>
      </x:c>
      <x:c r="H524" s="84" t="str">
        <x:f>IF(TRIM('Raw Sales'!E524)="","Unknown",PROPER(TRIM('Raw Sales'!E524)))</x:f>
        <x:v>Small Business</x:v>
      </x:c>
      <x:c r="I524" s="84" t="str">
        <x:f>PROPER(TRIM('Raw Sales'!F524))</x:f>
        <x:v>West</x:v>
      </x:c>
      <x:c r="J524" s="84" t="str">
        <x:f>PROPER(TRIM('Raw Sales'!G524))</x:f>
        <x:v>Phoenix</x:v>
      </x:c>
      <x:c r="K524" s="84" t="str">
        <x:f>PROPER(TRIM('Raw Sales'!H524))</x:f>
        <x:v>Marketplace</x:v>
      </x:c>
      <x:c r="L524" s="84" t="str">
        <x:f>'Raw Sales'!I524</x:f>
        <x:v>HOME-001</x:v>
      </x:c>
      <x:c r="M524" s="84" t="str">
        <x:f>IFERROR(VLOOKUP(L524,'Reference Data'!$A$5:$F$40,2,FALSE),"Unknown Product")</x:f>
        <x:v>Air Fryer</x:v>
      </x:c>
      <x:c r="N524" s="84" t="str">
        <x:f>IFERROR(VLOOKUP(L524,'Reference Data'!$A$5:$F$40,3,FALSE),"Unknown")</x:f>
        <x:v>Home &amp; Kitchen</x:v>
      </x:c>
      <x:c r="O524" s="84" t="str">
        <x:f>IFERROR(VLOOKUP(L524,'Reference Data'!$A$5:$F$40,4,FALSE),"Unknown")</x:f>
        <x:v>Small Appliances</x:v>
      </x:c>
      <x:c r="P524" s="92" t="n">
        <x:f>IFERROR(VLOOKUP(L524,'Reference Data'!$A$5:$F$40,5,FALSE),0)</x:f>
        <x:v>119</x:v>
      </x:c>
      <x:c r="Q524" s="92" t="n">
        <x:f>IFERROR(VLOOKUP(L524,'Reference Data'!$A$5:$F$40,6,FALSE),0)</x:f>
        <x:v>68</x:v>
      </x:c>
      <x:c r="R524" s="84" t="n">
        <x:f>'Raw Sales'!J524</x:f>
        <x:v>1</x:v>
      </x:c>
      <x:c r="S524" s="87" t="n">
        <x:f>'Raw Sales'!K524</x:f>
        <x:v>0.1</x:v>
      </x:c>
      <x:c r="T524" s="93" t="n">
        <x:f>P524*R524</x:f>
        <x:v>119</x:v>
      </x:c>
      <x:c r="U524" s="93" t="n">
        <x:f>T524*S524</x:f>
        <x:v>11.9</x:v>
      </x:c>
      <x:c r="V524" s="93" t="str">
        <x:f>PROPER(TRIM('Raw Sales'!L524))</x:f>
        <x:v>Completed</x:v>
      </x:c>
      <x:c r="W524" s="93" t="n">
        <x:f>IF(V524="Returned",0,T524-U524)</x:f>
        <x:v>107.1</x:v>
      </x:c>
      <x:c r="X524" s="93" t="n">
        <x:f>IF(V524="Returned",Q524*R524*10%,Q524*R524)</x:f>
        <x:v>68</x:v>
      </x:c>
      <x:c r="Y524" s="93" t="n">
        <x:f>W524-X524</x:f>
        <x:v>39.099999999999994</x:v>
      </x:c>
      <x:c r="Z524" s="94" t="n">
        <x:f>IFERROR(Y524/W524,0)</x:f>
        <x:v>0.36507936507936506</x:v>
      </x:c>
      <x:c r="AA524" s="84" t="str">
        <x:f>PROPER(TRIM('Raw Sales'!M524))</x:f>
        <x:v>Credit Card</x:v>
      </x:c>
      <x:c r="AB524" s="84" t="str">
        <x:f>PROPER(TRIM('Raw Sales'!N524))</x:f>
        <x:v>Leo Martinez</x:v>
      </x:c>
      <x:c r="AC524" s="85" t="n">
        <x:f>'Raw Sales'!O524</x:f>
        <x:v>45488</x:v>
      </x:c>
      <x:c r="AD524" s="84" t="n">
        <x:f>AC524-B524</x:f>
        <x:v>5</x:v>
      </x:c>
      <x:c r="AE524" s="84" t="str">
        <x:f>IF(COUNTIF($A$5:A524,A524)&gt;1,"Duplicate","Keep")</x:f>
        <x:v>Keep</x:v>
      </x:c>
      <x:c r="AF524" s="84" t="str">
        <x:f>IF(OR(R524&lt;=0,AC524&lt;B524,H524="Unknown",M524="Unknown Product"),"Review","Valid")</x:f>
        <x:v>Valid</x:v>
      </x:c>
      <x:c r="AG524" s="84" t="n">
        <x:f>IF(AND(AE524="Keep",AF524="Valid"),1,0)</x:f>
        <x:v>1</x:v>
      </x:c>
      <x:c r="AH524" s="84" t="n">
        <x:f>IF(AND(AG524=1,OR('Dashboard'!$B$4="All",I524='Dashboard'!$B$4),OR('Dashboard'!$E$4="All",N524='Dashboard'!$E$4),OR('Dashboard'!$H$4="All",K524='Dashboard'!$H$4),OR('Dashboard'!$K$4="All",C524='Dashboard'!$K$4)),1,0)</x:f>
        <x:v>1</x:v>
      </x:c>
      <x:c r="AI524" s="84" t="n">
        <x:f>IF(AND(AG524=1,OR('Dashboard'!$B$4="All",I524='Dashboard'!$B$4),OR('Dashboard'!$E$4="All",N524='Dashboard'!$E$4),OR('Dashboard'!$H$4="All",K524='Dashboard'!$H$4)),1,0)</x:f>
        <x:v>1</x:v>
      </x:c>
    </x:row>
    <x:row r="525">
      <x:c r="A525" s="84" t="str">
        <x:f>'Raw Sales'!A525</x:f>
        <x:v>ORD-2024-00323</x:v>
      </x:c>
      <x:c r="B525" s="85" t="n">
        <x:f>'Raw Sales'!B525</x:f>
        <x:v>45483</x:v>
      </x:c>
      <x:c r="C525" s="84" t="n">
        <x:f>YEAR(B525)</x:f>
        <x:v>2024</x:v>
      </x:c>
      <x:c r="D525" s="91" t="n">
        <x:f>DATE(YEAR(B525),MONTH(B525),1)</x:f>
        <x:v>45474</x:v>
      </x:c>
      <x:c r="E525" s="84" t="str">
        <x:f>TEXT(B525,"mmm")</x:f>
        <x:v>Jul</x:v>
      </x:c>
      <x:c r="F525" s="84" t="str">
        <x:f>'Raw Sales'!C525</x:f>
        <x:v>CUST-0087</x:v>
      </x:c>
      <x:c r="G525" s="84" t="str">
        <x:f>PROPER(TRIM('Raw Sales'!D525))</x:f>
        <x:v>Amelia Evans</x:v>
      </x:c>
      <x:c r="H525" s="84" t="str">
        <x:f>IF(TRIM('Raw Sales'!E525)="","Unknown",PROPER(TRIM('Raw Sales'!E525)))</x:f>
        <x:v>Consumer</x:v>
      </x:c>
      <x:c r="I525" s="84" t="str">
        <x:f>PROPER(TRIM('Raw Sales'!F525))</x:f>
        <x:v>West</x:v>
      </x:c>
      <x:c r="J525" s="84" t="str">
        <x:f>PROPER(TRIM('Raw Sales'!G525))</x:f>
        <x:v>Los Angeles</x:v>
      </x:c>
      <x:c r="K525" s="84" t="str">
        <x:f>PROPER(TRIM('Raw Sales'!H525))</x:f>
        <x:v>Marketplace</x:v>
      </x:c>
      <x:c r="L525" s="84" t="str">
        <x:f>'Raw Sales'!I525</x:f>
        <x:v>OFFC-006</x:v>
      </x:c>
      <x:c r="M525" s="84" t="str">
        <x:f>IFERROR(VLOOKUP(L525,'Reference Data'!$A$5:$F$40,2,FALSE),"Unknown Product")</x:f>
        <x:v>Monitor Stand</x:v>
      </x:c>
      <x:c r="N525" s="84" t="str">
        <x:f>IFERROR(VLOOKUP(L525,'Reference Data'!$A$5:$F$40,3,FALSE),"Unknown")</x:f>
        <x:v>Office</x:v>
      </x:c>
      <x:c r="O525" s="84" t="str">
        <x:f>IFERROR(VLOOKUP(L525,'Reference Data'!$A$5:$F$40,4,FALSE),"Unknown")</x:f>
        <x:v>Desk Accessories</x:v>
      </x:c>
      <x:c r="P525" s="92" t="n">
        <x:f>IFERROR(VLOOKUP(L525,'Reference Data'!$A$5:$F$40,5,FALSE),0)</x:f>
        <x:v>49</x:v>
      </x:c>
      <x:c r="Q525" s="92" t="n">
        <x:f>IFERROR(VLOOKUP(L525,'Reference Data'!$A$5:$F$40,6,FALSE),0)</x:f>
        <x:v>21</x:v>
      </x:c>
      <x:c r="R525" s="84" t="n">
        <x:f>'Raw Sales'!J525</x:f>
        <x:v>4</x:v>
      </x:c>
      <x:c r="S525" s="87" t="n">
        <x:f>'Raw Sales'!K525</x:f>
        <x:v>0.2</x:v>
      </x:c>
      <x:c r="T525" s="93" t="n">
        <x:f>P525*R525</x:f>
        <x:v>196</x:v>
      </x:c>
      <x:c r="U525" s="93" t="n">
        <x:f>T525*S525</x:f>
        <x:v>39.2</x:v>
      </x:c>
      <x:c r="V525" s="93" t="str">
        <x:f>PROPER(TRIM('Raw Sales'!L525))</x:f>
        <x:v>Completed</x:v>
      </x:c>
      <x:c r="W525" s="93" t="n">
        <x:f>IF(V525="Returned",0,T525-U525)</x:f>
        <x:v>156.8</x:v>
      </x:c>
      <x:c r="X525" s="93" t="n">
        <x:f>IF(V525="Returned",Q525*R525*10%,Q525*R525)</x:f>
        <x:v>84</x:v>
      </x:c>
      <x:c r="Y525" s="93" t="n">
        <x:f>W525-X525</x:f>
        <x:v>72.80000000000001</x:v>
      </x:c>
      <x:c r="Z525" s="94" t="n">
        <x:f>IFERROR(Y525/W525,0)</x:f>
        <x:v>0.4642857142857143</x:v>
      </x:c>
      <x:c r="AA525" s="84" t="str">
        <x:f>PROPER(TRIM('Raw Sales'!M525))</x:f>
        <x:v>Debit Card</x:v>
      </x:c>
      <x:c r="AB525" s="84" t="str">
        <x:f>PROPER(TRIM('Raw Sales'!N525))</x:f>
        <x:v>Leo Martinez</x:v>
      </x:c>
      <x:c r="AC525" s="85" t="n">
        <x:f>'Raw Sales'!O525</x:f>
        <x:v>45489</x:v>
      </x:c>
      <x:c r="AD525" s="84" t="n">
        <x:f>AC525-B525</x:f>
        <x:v>6</x:v>
      </x:c>
      <x:c r="AE525" s="84" t="str">
        <x:f>IF(COUNTIF($A$5:A525,A525)&gt;1,"Duplicate","Keep")</x:f>
        <x:v>Keep</x:v>
      </x:c>
      <x:c r="AF525" s="84" t="str">
        <x:f>IF(OR(R525&lt;=0,AC525&lt;B525,H525="Unknown",M525="Unknown Product"),"Review","Valid")</x:f>
        <x:v>Valid</x:v>
      </x:c>
      <x:c r="AG525" s="84" t="n">
        <x:f>IF(AND(AE525="Keep",AF525="Valid"),1,0)</x:f>
        <x:v>1</x:v>
      </x:c>
      <x:c r="AH525" s="84" t="n">
        <x:f>IF(AND(AG525=1,OR('Dashboard'!$B$4="All",I525='Dashboard'!$B$4),OR('Dashboard'!$E$4="All",N525='Dashboard'!$E$4),OR('Dashboard'!$H$4="All",K525='Dashboard'!$H$4),OR('Dashboard'!$K$4="All",C525='Dashboard'!$K$4)),1,0)</x:f>
        <x:v>1</x:v>
      </x:c>
      <x:c r="AI525" s="84" t="n">
        <x:f>IF(AND(AG525=1,OR('Dashboard'!$B$4="All",I525='Dashboard'!$B$4),OR('Dashboard'!$E$4="All",N525='Dashboard'!$E$4),OR('Dashboard'!$H$4="All",K525='Dashboard'!$H$4)),1,0)</x:f>
        <x:v>1</x:v>
      </x:c>
    </x:row>
    <x:row r="526">
      <x:c r="A526" s="84" t="str">
        <x:f>'Raw Sales'!A526</x:f>
        <x:v>ORD-2024-00477</x:v>
      </x:c>
      <x:c r="B526" s="85" t="n">
        <x:f>'Raw Sales'!B526</x:f>
        <x:v>45483</x:v>
      </x:c>
      <x:c r="C526" s="84" t="n">
        <x:f>YEAR(B526)</x:f>
        <x:v>2024</x:v>
      </x:c>
      <x:c r="D526" s="91" t="n">
        <x:f>DATE(YEAR(B526),MONTH(B526),1)</x:f>
        <x:v>45474</x:v>
      </x:c>
      <x:c r="E526" s="84" t="str">
        <x:f>TEXT(B526,"mmm")</x:f>
        <x:v>Jul</x:v>
      </x:c>
      <x:c r="F526" s="84" t="str">
        <x:f>'Raw Sales'!C526</x:f>
        <x:v>CUST-0303</x:v>
      </x:c>
      <x:c r="G526" s="84" t="str">
        <x:f>PROPER(TRIM('Raw Sales'!D526))</x:f>
        <x:v>Caleb Roberts</x:v>
      </x:c>
      <x:c r="H526" s="84" t="str">
        <x:f>IF(TRIM('Raw Sales'!E526)="","Unknown",PROPER(TRIM('Raw Sales'!E526)))</x:f>
        <x:v>Corporate</x:v>
      </x:c>
      <x:c r="I526" s="84" t="str">
        <x:f>PROPER(TRIM('Raw Sales'!F526))</x:f>
        <x:v>West</x:v>
      </x:c>
      <x:c r="J526" s="84" t="str">
        <x:f>PROPER(TRIM('Raw Sales'!G526))</x:f>
        <x:v>Seattle</x:v>
      </x:c>
      <x:c r="K526" s="84" t="str">
        <x:f>PROPER(TRIM('Raw Sales'!H526))</x:f>
        <x:v>Retail Store</x:v>
      </x:c>
      <x:c r="L526" s="84" t="str">
        <x:f>'Raw Sales'!I526</x:f>
        <x:v>FITN-004</x:v>
      </x:c>
      <x:c r="M526" s="84" t="str">
        <x:f>IFERROR(VLOOKUP(L526,'Reference Data'!$A$5:$F$40,2,FALSE),"Unknown Product")</x:f>
        <x:v>Fitness Tracker</x:v>
      </x:c>
      <x:c r="N526" s="84" t="str">
        <x:f>IFERROR(VLOOKUP(L526,'Reference Data'!$A$5:$F$40,3,FALSE),"Unknown")</x:f>
        <x:v>Fitness</x:v>
      </x:c>
      <x:c r="O526" s="84" t="str">
        <x:f>IFERROR(VLOOKUP(L526,'Reference Data'!$A$5:$F$40,4,FALSE),"Unknown")</x:f>
        <x:v>Wearables</x:v>
      </x:c>
      <x:c r="P526" s="92" t="n">
        <x:f>IFERROR(VLOOKUP(L526,'Reference Data'!$A$5:$F$40,5,FALSE),0)</x:f>
        <x:v>89</x:v>
      </x:c>
      <x:c r="Q526" s="92" t="n">
        <x:f>IFERROR(VLOOKUP(L526,'Reference Data'!$A$5:$F$40,6,FALSE),0)</x:f>
        <x:v>44</x:v>
      </x:c>
      <x:c r="R526" s="84" t="n">
        <x:f>'Raw Sales'!J526</x:f>
        <x:v>4</x:v>
      </x:c>
      <x:c r="S526" s="87" t="n">
        <x:f>'Raw Sales'!K526</x:f>
        <x:v>0</x:v>
      </x:c>
      <x:c r="T526" s="93" t="n">
        <x:f>P526*R526</x:f>
        <x:v>356</x:v>
      </x:c>
      <x:c r="U526" s="93" t="n">
        <x:f>T526*S526</x:f>
        <x:v>0</x:v>
      </x:c>
      <x:c r="V526" s="93" t="str">
        <x:f>PROPER(TRIM('Raw Sales'!L526))</x:f>
        <x:v>Completed</x:v>
      </x:c>
      <x:c r="W526" s="93" t="n">
        <x:f>IF(V526="Returned",0,T526-U526)</x:f>
        <x:v>356</x:v>
      </x:c>
      <x:c r="X526" s="93" t="n">
        <x:f>IF(V526="Returned",Q526*R526*10%,Q526*R526)</x:f>
        <x:v>176</x:v>
      </x:c>
      <x:c r="Y526" s="93" t="n">
        <x:f>W526-X526</x:f>
        <x:v>180</x:v>
      </x:c>
      <x:c r="Z526" s="94" t="n">
        <x:f>IFERROR(Y526/W526,0)</x:f>
        <x:v>0.5056179775280899</x:v>
      </x:c>
      <x:c r="AA526" s="84" t="str">
        <x:f>PROPER(TRIM('Raw Sales'!M526))</x:f>
        <x:v>Credit Card</x:v>
      </x:c>
      <x:c r="AB526" s="84" t="str">
        <x:f>PROPER(TRIM('Raw Sales'!N526))</x:f>
        <x:v>Mia Chen</x:v>
      </x:c>
      <x:c r="AC526" s="85" t="n">
        <x:f>'Raw Sales'!O526</x:f>
        <x:v>45484</x:v>
      </x:c>
      <x:c r="AD526" s="84" t="n">
        <x:f>AC526-B526</x:f>
        <x:v>1</x:v>
      </x:c>
      <x:c r="AE526" s="84" t="str">
        <x:f>IF(COUNTIF($A$5:A526,A526)&gt;1,"Duplicate","Keep")</x:f>
        <x:v>Keep</x:v>
      </x:c>
      <x:c r="AF526" s="84" t="str">
        <x:f>IF(OR(R526&lt;=0,AC526&lt;B526,H526="Unknown",M526="Unknown Product"),"Review","Valid")</x:f>
        <x:v>Valid</x:v>
      </x:c>
      <x:c r="AG526" s="84" t="n">
        <x:f>IF(AND(AE526="Keep",AF526="Valid"),1,0)</x:f>
        <x:v>1</x:v>
      </x:c>
      <x:c r="AH526" s="84" t="n">
        <x:f>IF(AND(AG526=1,OR('Dashboard'!$B$4="All",I526='Dashboard'!$B$4),OR('Dashboard'!$E$4="All",N526='Dashboard'!$E$4),OR('Dashboard'!$H$4="All",K526='Dashboard'!$H$4),OR('Dashboard'!$K$4="All",C526='Dashboard'!$K$4)),1,0)</x:f>
        <x:v>1</x:v>
      </x:c>
      <x:c r="AI526" s="84" t="n">
        <x:f>IF(AND(AG526=1,OR('Dashboard'!$B$4="All",I526='Dashboard'!$B$4),OR('Dashboard'!$E$4="All",N526='Dashboard'!$E$4),OR('Dashboard'!$H$4="All",K526='Dashboard'!$H$4)),1,0)</x:f>
        <x:v>1</x:v>
      </x:c>
    </x:row>
    <x:row r="527">
      <x:c r="A527" s="84" t="str">
        <x:f>'Raw Sales'!A527</x:f>
        <x:v>ORD-2024-01985</x:v>
      </x:c>
      <x:c r="B527" s="85" t="n">
        <x:f>'Raw Sales'!B527</x:f>
        <x:v>45483</x:v>
      </x:c>
      <x:c r="C527" s="84" t="n">
        <x:f>YEAR(B527)</x:f>
        <x:v>2024</x:v>
      </x:c>
      <x:c r="D527" s="91" t="n">
        <x:f>DATE(YEAR(B527),MONTH(B527),1)</x:f>
        <x:v>45474</x:v>
      </x:c>
      <x:c r="E527" s="84" t="str">
        <x:f>TEXT(B527,"mmm")</x:f>
        <x:v>Jul</x:v>
      </x:c>
      <x:c r="F527" s="84" t="str">
        <x:f>'Raw Sales'!C527</x:f>
        <x:v>CUST-0544</x:v>
      </x:c>
      <x:c r="G527" s="84" t="str">
        <x:f>PROPER(TRIM('Raw Sales'!D527))</x:f>
        <x:v>Victoria Garcia</x:v>
      </x:c>
      <x:c r="H527" s="84" t="str">
        <x:f>IF(TRIM('Raw Sales'!E527)="","Unknown",PROPER(TRIM('Raw Sales'!E527)))</x:f>
        <x:v>Consumer</x:v>
      </x:c>
      <x:c r="I527" s="84" t="str">
        <x:f>PROPER(TRIM('Raw Sales'!F527))</x:f>
        <x:v>West</x:v>
      </x:c>
      <x:c r="J527" s="84" t="str">
        <x:f>PROPER(TRIM('Raw Sales'!G527))</x:f>
        <x:v>Seattle</x:v>
      </x:c>
      <x:c r="K527" s="84" t="str">
        <x:f>PROPER(TRIM('Raw Sales'!H527))</x:f>
        <x:v>Retail Store</x:v>
      </x:c>
      <x:c r="L527" s="84" t="str">
        <x:f>'Raw Sales'!I527</x:f>
        <x:v>OFFC-006</x:v>
      </x:c>
      <x:c r="M527" s="84" t="str">
        <x:f>IFERROR(VLOOKUP(L527,'Reference Data'!$A$5:$F$40,2,FALSE),"Unknown Product")</x:f>
        <x:v>Monitor Stand</x:v>
      </x:c>
      <x:c r="N527" s="84" t="str">
        <x:f>IFERROR(VLOOKUP(L527,'Reference Data'!$A$5:$F$40,3,FALSE),"Unknown")</x:f>
        <x:v>Office</x:v>
      </x:c>
      <x:c r="O527" s="84" t="str">
        <x:f>IFERROR(VLOOKUP(L527,'Reference Data'!$A$5:$F$40,4,FALSE),"Unknown")</x:f>
        <x:v>Desk Accessories</x:v>
      </x:c>
      <x:c r="P527" s="92" t="n">
        <x:f>IFERROR(VLOOKUP(L527,'Reference Data'!$A$5:$F$40,5,FALSE),0)</x:f>
        <x:v>49</x:v>
      </x:c>
      <x:c r="Q527" s="92" t="n">
        <x:f>IFERROR(VLOOKUP(L527,'Reference Data'!$A$5:$F$40,6,FALSE),0)</x:f>
        <x:v>21</x:v>
      </x:c>
      <x:c r="R527" s="84" t="n">
        <x:f>'Raw Sales'!J527</x:f>
        <x:v>1</x:v>
      </x:c>
      <x:c r="S527" s="87" t="n">
        <x:f>'Raw Sales'!K527</x:f>
        <x:v>0.1</x:v>
      </x:c>
      <x:c r="T527" s="93" t="n">
        <x:f>P527*R527</x:f>
        <x:v>49</x:v>
      </x:c>
      <x:c r="U527" s="93" t="n">
        <x:f>T527*S527</x:f>
        <x:v>4.9</x:v>
      </x:c>
      <x:c r="V527" s="93" t="str">
        <x:f>PROPER(TRIM('Raw Sales'!L527))</x:f>
        <x:v>Returned</x:v>
      </x:c>
      <x:c r="W527" s="93" t="n">
        <x:f>IF(V527="Returned",0,T527-U527)</x:f>
        <x:v>0</x:v>
      </x:c>
      <x:c r="X527" s="93" t="n">
        <x:f>IF(V527="Returned",Q527*R527*10%,Q527*R527)</x:f>
        <x:v>2.1</x:v>
      </x:c>
      <x:c r="Y527" s="93" t="n">
        <x:f>W527-X527</x:f>
        <x:v>-2.1</x:v>
      </x:c>
      <x:c r="Z527" s="94" t="n">
        <x:f>IFERROR(Y527/W527,0)</x:f>
        <x:v>0</x:v>
      </x:c>
      <x:c r="AA527" s="84" t="str">
        <x:f>PROPER(TRIM('Raw Sales'!M527))</x:f>
        <x:v>Mobile Wallet</x:v>
      </x:c>
      <x:c r="AB527" s="84" t="str">
        <x:f>PROPER(TRIM('Raw Sales'!N527))</x:f>
        <x:v>Leo Martinez</x:v>
      </x:c>
      <x:c r="AC527" s="85" t="n">
        <x:f>'Raw Sales'!O527</x:f>
        <x:v>45484</x:v>
      </x:c>
      <x:c r="AD527" s="84" t="n">
        <x:f>AC527-B527</x:f>
        <x:v>1</x:v>
      </x:c>
      <x:c r="AE527" s="84" t="str">
        <x:f>IF(COUNTIF($A$5:A527,A527)&gt;1,"Duplicate","Keep")</x:f>
        <x:v>Keep</x:v>
      </x:c>
      <x:c r="AF527" s="84" t="str">
        <x:f>IF(OR(R527&lt;=0,AC527&lt;B527,H527="Unknown",M527="Unknown Product"),"Review","Valid")</x:f>
        <x:v>Valid</x:v>
      </x:c>
      <x:c r="AG527" s="84" t="n">
        <x:f>IF(AND(AE527="Keep",AF527="Valid"),1,0)</x:f>
        <x:v>1</x:v>
      </x:c>
      <x:c r="AH527" s="84" t="n">
        <x:f>IF(AND(AG527=1,OR('Dashboard'!$B$4="All",I527='Dashboard'!$B$4),OR('Dashboard'!$E$4="All",N527='Dashboard'!$E$4),OR('Dashboard'!$H$4="All",K527='Dashboard'!$H$4),OR('Dashboard'!$K$4="All",C527='Dashboard'!$K$4)),1,0)</x:f>
        <x:v>1</x:v>
      </x:c>
      <x:c r="AI527" s="84" t="n">
        <x:f>IF(AND(AG527=1,OR('Dashboard'!$B$4="All",I527='Dashboard'!$B$4),OR('Dashboard'!$E$4="All",N527='Dashboard'!$E$4),OR('Dashboard'!$H$4="All",K527='Dashboard'!$H$4)),1,0)</x:f>
        <x:v>1</x:v>
      </x:c>
    </x:row>
    <x:row r="528">
      <x:c r="A528" s="84" t="str">
        <x:f>'Raw Sales'!A528</x:f>
        <x:v>ORD-2024-00287</x:v>
      </x:c>
      <x:c r="B528" s="85" t="n">
        <x:f>'Raw Sales'!B528</x:f>
        <x:v>45484</x:v>
      </x:c>
      <x:c r="C528" s="84" t="n">
        <x:f>YEAR(B528)</x:f>
        <x:v>2024</x:v>
      </x:c>
      <x:c r="D528" s="91" t="n">
        <x:f>DATE(YEAR(B528),MONTH(B528),1)</x:f>
        <x:v>45474</x:v>
      </x:c>
      <x:c r="E528" s="84" t="str">
        <x:f>TEXT(B528,"mmm")</x:f>
        <x:v>Jul</x:v>
      </x:c>
      <x:c r="F528" s="84" t="str">
        <x:f>'Raw Sales'!C528</x:f>
        <x:v>CUST-0358</x:v>
      </x:c>
      <x:c r="G528" s="84" t="str">
        <x:f>PROPER(TRIM('Raw Sales'!D528))</x:f>
        <x:v>Grace Roberts</x:v>
      </x:c>
      <x:c r="H528" s="84" t="str">
        <x:f>IF(TRIM('Raw Sales'!E528)="","Unknown",PROPER(TRIM('Raw Sales'!E528)))</x:f>
        <x:v>Consumer</x:v>
      </x:c>
      <x:c r="I528" s="84" t="str">
        <x:f>PROPER(TRIM('Raw Sales'!F528))</x:f>
        <x:v>West</x:v>
      </x:c>
      <x:c r="J528" s="84" t="str">
        <x:f>PROPER(TRIM('Raw Sales'!G528))</x:f>
        <x:v>Seattle</x:v>
      </x:c>
      <x:c r="K528" s="84" t="str">
        <x:f>PROPER(TRIM('Raw Sales'!H528))</x:f>
        <x:v>Online</x:v>
      </x:c>
      <x:c r="L528" s="84" t="str">
        <x:f>'Raw Sales'!I528</x:f>
        <x:v>ACCS-002</x:v>
      </x:c>
      <x:c r="M528" s="84" t="str">
        <x:f>IFERROR(VLOOKUP(L528,'Reference Data'!$A$5:$F$40,2,FALSE),"Unknown Product")</x:f>
        <x:v>Travel Backpack</x:v>
      </x:c>
      <x:c r="N528" s="84" t="str">
        <x:f>IFERROR(VLOOKUP(L528,'Reference Data'!$A$5:$F$40,3,FALSE),"Unknown")</x:f>
        <x:v>Accessories</x:v>
      </x:c>
      <x:c r="O528" s="84" t="str">
        <x:f>IFERROR(VLOOKUP(L528,'Reference Data'!$A$5:$F$40,4,FALSE),"Unknown")</x:f>
        <x:v>Bags</x:v>
      </x:c>
      <x:c r="P528" s="92" t="n">
        <x:f>IFERROR(VLOOKUP(L528,'Reference Data'!$A$5:$F$40,5,FALSE),0)</x:f>
        <x:v>89</x:v>
      </x:c>
      <x:c r="Q528" s="92" t="n">
        <x:f>IFERROR(VLOOKUP(L528,'Reference Data'!$A$5:$F$40,6,FALSE),0)</x:f>
        <x:v>36</x:v>
      </x:c>
      <x:c r="R528" s="84" t="n">
        <x:f>'Raw Sales'!J528</x:f>
        <x:v>3</x:v>
      </x:c>
      <x:c r="S528" s="87" t="n">
        <x:f>'Raw Sales'!K528</x:f>
        <x:v>0.05</x:v>
      </x:c>
      <x:c r="T528" s="93" t="n">
        <x:f>P528*R528</x:f>
        <x:v>267</x:v>
      </x:c>
      <x:c r="U528" s="93" t="n">
        <x:f>T528*S528</x:f>
        <x:v>13.350000000000001</x:v>
      </x:c>
      <x:c r="V528" s="93" t="str">
        <x:f>PROPER(TRIM('Raw Sales'!L528))</x:f>
        <x:v>Completed</x:v>
      </x:c>
      <x:c r="W528" s="93" t="n">
        <x:f>IF(V528="Returned",0,T528-U528)</x:f>
        <x:v>253.65</x:v>
      </x:c>
      <x:c r="X528" s="93" t="n">
        <x:f>IF(V528="Returned",Q528*R528*10%,Q528*R528)</x:f>
        <x:v>108</x:v>
      </x:c>
      <x:c r="Y528" s="93" t="n">
        <x:f>W528-X528</x:f>
        <x:v>145.65</x:v>
      </x:c>
      <x:c r="Z528" s="94" t="n">
        <x:f>IFERROR(Y528/W528,0)</x:f>
        <x:v>0.5742164399763454</x:v>
      </x:c>
      <x:c r="AA528" s="84" t="str">
        <x:f>PROPER(TRIM('Raw Sales'!M528))</x:f>
        <x:v>Debit Card</x:v>
      </x:c>
      <x:c r="AB528" s="84" t="str">
        <x:f>PROPER(TRIM('Raw Sales'!N528))</x:f>
        <x:v>Mia Chen</x:v>
      </x:c>
      <x:c r="AC528" s="85" t="n">
        <x:f>'Raw Sales'!O528</x:f>
        <x:v>45486</x:v>
      </x:c>
      <x:c r="AD528" s="84" t="n">
        <x:f>AC528-B528</x:f>
        <x:v>2</x:v>
      </x:c>
      <x:c r="AE528" s="84" t="str">
        <x:f>IF(COUNTIF($A$5:A528,A528)&gt;1,"Duplicate","Keep")</x:f>
        <x:v>Keep</x:v>
      </x:c>
      <x:c r="AF528" s="84" t="str">
        <x:f>IF(OR(R528&lt;=0,AC528&lt;B528,H528="Unknown",M528="Unknown Product"),"Review","Valid")</x:f>
        <x:v>Valid</x:v>
      </x:c>
      <x:c r="AG528" s="84" t="n">
        <x:f>IF(AND(AE528="Keep",AF528="Valid"),1,0)</x:f>
        <x:v>1</x:v>
      </x:c>
      <x:c r="AH528" s="84" t="n">
        <x:f>IF(AND(AG528=1,OR('Dashboard'!$B$4="All",I528='Dashboard'!$B$4),OR('Dashboard'!$E$4="All",N528='Dashboard'!$E$4),OR('Dashboard'!$H$4="All",K528='Dashboard'!$H$4),OR('Dashboard'!$K$4="All",C528='Dashboard'!$K$4)),1,0)</x:f>
        <x:v>1</x:v>
      </x:c>
      <x:c r="AI528" s="84" t="n">
        <x:f>IF(AND(AG528=1,OR('Dashboard'!$B$4="All",I528='Dashboard'!$B$4),OR('Dashboard'!$E$4="All",N528='Dashboard'!$E$4),OR('Dashboard'!$H$4="All",K528='Dashboard'!$H$4)),1,0)</x:f>
        <x:v>1</x:v>
      </x:c>
    </x:row>
    <x:row r="529">
      <x:c r="A529" s="84" t="str">
        <x:f>'Raw Sales'!A529</x:f>
        <x:v>ORD-2024-00232</x:v>
      </x:c>
      <x:c r="B529" s="85" t="n">
        <x:f>'Raw Sales'!B529</x:f>
        <x:v>45485</x:v>
      </x:c>
      <x:c r="C529" s="84" t="n">
        <x:f>YEAR(B529)</x:f>
        <x:v>2024</x:v>
      </x:c>
      <x:c r="D529" s="91" t="n">
        <x:f>DATE(YEAR(B529),MONTH(B529),1)</x:f>
        <x:v>45474</x:v>
      </x:c>
      <x:c r="E529" s="84" t="str">
        <x:f>TEXT(B529,"mmm")</x:f>
        <x:v>Jul</x:v>
      </x:c>
      <x:c r="F529" s="84" t="str">
        <x:f>'Raw Sales'!C529</x:f>
        <x:v>CUST-0405</x:v>
      </x:c>
      <x:c r="G529" s="84" t="str">
        <x:f>PROPER(TRIM('Raw Sales'!D529))</x:f>
        <x:v>Daniel Irwin</x:v>
      </x:c>
      <x:c r="H529" s="84" t="str">
        <x:f>IF(TRIM('Raw Sales'!E529)="","Unknown",PROPER(TRIM('Raw Sales'!E529)))</x:f>
        <x:v>Corporate</x:v>
      </x:c>
      <x:c r="I529" s="84" t="str">
        <x:f>PROPER(TRIM('Raw Sales'!F529))</x:f>
        <x:v>West</x:v>
      </x:c>
      <x:c r="J529" s="84" t="str">
        <x:f>PROPER(TRIM('Raw Sales'!G529))</x:f>
        <x:v>Seattle</x:v>
      </x:c>
      <x:c r="K529" s="84" t="str">
        <x:f>PROPER(TRIM('Raw Sales'!H529))</x:f>
        <x:v>Online</x:v>
      </x:c>
      <x:c r="L529" s="84" t="str">
        <x:f>'Raw Sales'!I529</x:f>
        <x:v>ACCS-006</x:v>
      </x:c>
      <x:c r="M529" s="84" t="str">
        <x:f>IFERROR(VLOOKUP(L529,'Reference Data'!$A$5:$F$40,2,FALSE),"Unknown Product")</x:f>
        <x:v>Insulated Lunch Bag</x:v>
      </x:c>
      <x:c r="N529" s="84" t="str">
        <x:f>IFERROR(VLOOKUP(L529,'Reference Data'!$A$5:$F$40,3,FALSE),"Unknown")</x:f>
        <x:v>Accessories</x:v>
      </x:c>
      <x:c r="O529" s="84" t="str">
        <x:f>IFERROR(VLOOKUP(L529,'Reference Data'!$A$5:$F$40,4,FALSE),"Unknown")</x:f>
        <x:v>Bags</x:v>
      </x:c>
      <x:c r="P529" s="92" t="n">
        <x:f>IFERROR(VLOOKUP(L529,'Reference Data'!$A$5:$F$40,5,FALSE),0)</x:f>
        <x:v>29</x:v>
      </x:c>
      <x:c r="Q529" s="92" t="n">
        <x:f>IFERROR(VLOOKUP(L529,'Reference Data'!$A$5:$F$40,6,FALSE),0)</x:f>
        <x:v>10</x:v>
      </x:c>
      <x:c r="R529" s="84" t="n">
        <x:f>'Raw Sales'!J529</x:f>
        <x:v>4</x:v>
      </x:c>
      <x:c r="S529" s="87" t="n">
        <x:f>'Raw Sales'!K529</x:f>
        <x:v>0.1</x:v>
      </x:c>
      <x:c r="T529" s="93" t="n">
        <x:f>P529*R529</x:f>
        <x:v>116</x:v>
      </x:c>
      <x:c r="U529" s="93" t="n">
        <x:f>T529*S529</x:f>
        <x:v>11.600000000000001</x:v>
      </x:c>
      <x:c r="V529" s="93" t="str">
        <x:f>PROPER(TRIM('Raw Sales'!L529))</x:f>
        <x:v>Completed</x:v>
      </x:c>
      <x:c r="W529" s="93" t="n">
        <x:f>IF(V529="Returned",0,T529-U529)</x:f>
        <x:v>104.4</x:v>
      </x:c>
      <x:c r="X529" s="93" t="n">
        <x:f>IF(V529="Returned",Q529*R529*10%,Q529*R529)</x:f>
        <x:v>40</x:v>
      </x:c>
      <x:c r="Y529" s="93" t="n">
        <x:f>W529-X529</x:f>
        <x:v>64.4</x:v>
      </x:c>
      <x:c r="Z529" s="94" t="n">
        <x:f>IFERROR(Y529/W529,0)</x:f>
        <x:v>0.6168582375478927</x:v>
      </x:c>
      <x:c r="AA529" s="84" t="str">
        <x:f>PROPER(TRIM('Raw Sales'!M529))</x:f>
        <x:v>Mobile Wallet</x:v>
      </x:c>
      <x:c r="AB529" s="84" t="str">
        <x:f>PROPER(TRIM('Raw Sales'!N529))</x:f>
        <x:v>Mia Chen</x:v>
      </x:c>
      <x:c r="AC529" s="85" t="n">
        <x:f>'Raw Sales'!O529</x:f>
        <x:v>45488</x:v>
      </x:c>
      <x:c r="AD529" s="84" t="n">
        <x:f>AC529-B529</x:f>
        <x:v>3</x:v>
      </x:c>
      <x:c r="AE529" s="84" t="str">
        <x:f>IF(COUNTIF($A$5:A529,A529)&gt;1,"Duplicate","Keep")</x:f>
        <x:v>Keep</x:v>
      </x:c>
      <x:c r="AF529" s="84" t="str">
        <x:f>IF(OR(R529&lt;=0,AC529&lt;B529,H529="Unknown",M529="Unknown Product"),"Review","Valid")</x:f>
        <x:v>Valid</x:v>
      </x:c>
      <x:c r="AG529" s="84" t="n">
        <x:f>IF(AND(AE529="Keep",AF529="Valid"),1,0)</x:f>
        <x:v>1</x:v>
      </x:c>
      <x:c r="AH529" s="84" t="n">
        <x:f>IF(AND(AG529=1,OR('Dashboard'!$B$4="All",I529='Dashboard'!$B$4),OR('Dashboard'!$E$4="All",N529='Dashboard'!$E$4),OR('Dashboard'!$H$4="All",K529='Dashboard'!$H$4),OR('Dashboard'!$K$4="All",C529='Dashboard'!$K$4)),1,0)</x:f>
        <x:v>1</x:v>
      </x:c>
      <x:c r="AI529" s="84" t="n">
        <x:f>IF(AND(AG529=1,OR('Dashboard'!$B$4="All",I529='Dashboard'!$B$4),OR('Dashboard'!$E$4="All",N529='Dashboard'!$E$4),OR('Dashboard'!$H$4="All",K529='Dashboard'!$H$4)),1,0)</x:f>
        <x:v>1</x:v>
      </x:c>
    </x:row>
    <x:row r="530">
      <x:c r="A530" s="84" t="str">
        <x:f>'Raw Sales'!A530</x:f>
        <x:v>ORD-2024-00723</x:v>
      </x:c>
      <x:c r="B530" s="85" t="n">
        <x:f>'Raw Sales'!B530</x:f>
        <x:v>45485</x:v>
      </x:c>
      <x:c r="C530" s="84" t="n">
        <x:f>YEAR(B530)</x:f>
        <x:v>2024</x:v>
      </x:c>
      <x:c r="D530" s="91" t="n">
        <x:f>DATE(YEAR(B530),MONTH(B530),1)</x:f>
        <x:v>45474</x:v>
      </x:c>
      <x:c r="E530" s="84" t="str">
        <x:f>TEXT(B530,"mmm")</x:f>
        <x:v>Jul</x:v>
      </x:c>
      <x:c r="F530" s="84" t="str">
        <x:f>'Raw Sales'!C530</x:f>
        <x:v>CUST-0636</x:v>
      </x:c>
      <x:c r="G530" s="84" t="str">
        <x:f>PROPER(TRIM('Raw Sales'!D530))</x:f>
        <x:v>Nina Baker</x:v>
      </x:c>
      <x:c r="H530" s="84" t="str">
        <x:f>IF(TRIM('Raw Sales'!E530)="","Unknown",PROPER(TRIM('Raw Sales'!E530)))</x:f>
        <x:v>Small Business</x:v>
      </x:c>
      <x:c r="I530" s="84" t="str">
        <x:f>PROPER(TRIM('Raw Sales'!F530))</x:f>
        <x:v>Midwest</x:v>
      </x:c>
      <x:c r="J530" s="84" t="str">
        <x:f>PROPER(TRIM('Raw Sales'!G530))</x:f>
        <x:v>Chicago</x:v>
      </x:c>
      <x:c r="K530" s="84" t="str">
        <x:f>PROPER(TRIM('Raw Sales'!H530))</x:f>
        <x:v>Retail Store</x:v>
      </x:c>
      <x:c r="L530" s="84" t="str">
        <x:f>'Raw Sales'!I530</x:f>
        <x:v>CARE-006</x:v>
      </x:c>
      <x:c r="M530" s="84" t="str">
        <x:f>IFERROR(VLOOKUP(L530,'Reference Data'!$A$5:$F$40,2,FALSE),"Unknown Product")</x:f>
        <x:v>Percussion Massage Gun</x:v>
      </x:c>
      <x:c r="N530" s="84" t="str">
        <x:f>IFERROR(VLOOKUP(L530,'Reference Data'!$A$5:$F$40,3,FALSE),"Unknown")</x:f>
        <x:v>Personal Care</x:v>
      </x:c>
      <x:c r="O530" s="84" t="str">
        <x:f>IFERROR(VLOOKUP(L530,'Reference Data'!$A$5:$F$40,4,FALSE),"Unknown")</x:f>
        <x:v>Wellness</x:v>
      </x:c>
      <x:c r="P530" s="92" t="n">
        <x:f>IFERROR(VLOOKUP(L530,'Reference Data'!$A$5:$F$40,5,FALSE),0)</x:f>
        <x:v>129</x:v>
      </x:c>
      <x:c r="Q530" s="92" t="n">
        <x:f>IFERROR(VLOOKUP(L530,'Reference Data'!$A$5:$F$40,6,FALSE),0)</x:f>
        <x:v>70</x:v>
      </x:c>
      <x:c r="R530" s="84" t="n">
        <x:f>'Raw Sales'!J530</x:f>
        <x:v>2</x:v>
      </x:c>
      <x:c r="S530" s="87" t="n">
        <x:f>'Raw Sales'!K530</x:f>
        <x:v>0.1</x:v>
      </x:c>
      <x:c r="T530" s="93" t="n">
        <x:f>P530*R530</x:f>
        <x:v>258</x:v>
      </x:c>
      <x:c r="U530" s="93" t="n">
        <x:f>T530*S530</x:f>
        <x:v>25.8</x:v>
      </x:c>
      <x:c r="V530" s="93" t="str">
        <x:f>PROPER(TRIM('Raw Sales'!L530))</x:f>
        <x:v>Completed</x:v>
      </x:c>
      <x:c r="W530" s="93" t="n">
        <x:f>IF(V530="Returned",0,T530-U530)</x:f>
        <x:v>232.2</x:v>
      </x:c>
      <x:c r="X530" s="93" t="n">
        <x:f>IF(V530="Returned",Q530*R530*10%,Q530*R530)</x:f>
        <x:v>140</x:v>
      </x:c>
      <x:c r="Y530" s="93" t="n">
        <x:f>W530-X530</x:f>
        <x:v>92.19999999999999</x:v>
      </x:c>
      <x:c r="Z530" s="94" t="n">
        <x:f>IFERROR(Y530/W530,0)</x:f>
        <x:v>0.3970714900947459</x:v>
      </x:c>
      <x:c r="AA530" s="84" t="str">
        <x:f>PROPER(TRIM('Raw Sales'!M530))</x:f>
        <x:v>Mobile Wallet</x:v>
      </x:c>
      <x:c r="AB530" s="84" t="str">
        <x:f>PROPER(TRIM('Raw Sales'!N530))</x:f>
        <x:v>Emma Hayes</x:v>
      </x:c>
      <x:c r="AC530" s="85" t="n">
        <x:f>'Raw Sales'!O530</x:f>
        <x:v>45485</x:v>
      </x:c>
      <x:c r="AD530" s="84" t="n">
        <x:f>AC530-B530</x:f>
        <x:v>0</x:v>
      </x:c>
      <x:c r="AE530" s="84" t="str">
        <x:f>IF(COUNTIF($A$5:A530,A530)&gt;1,"Duplicate","Keep")</x:f>
        <x:v>Keep</x:v>
      </x:c>
      <x:c r="AF530" s="84" t="str">
        <x:f>IF(OR(R530&lt;=0,AC530&lt;B530,H530="Unknown",M530="Unknown Product"),"Review","Valid")</x:f>
        <x:v>Valid</x:v>
      </x:c>
      <x:c r="AG530" s="84" t="n">
        <x:f>IF(AND(AE530="Keep",AF530="Valid"),1,0)</x:f>
        <x:v>1</x:v>
      </x:c>
      <x:c r="AH530" s="84" t="n">
        <x:f>IF(AND(AG530=1,OR('Dashboard'!$B$4="All",I530='Dashboard'!$B$4),OR('Dashboard'!$E$4="All",N530='Dashboard'!$E$4),OR('Dashboard'!$H$4="All",K530='Dashboard'!$H$4),OR('Dashboard'!$K$4="All",C530='Dashboard'!$K$4)),1,0)</x:f>
        <x:v>1</x:v>
      </x:c>
      <x:c r="AI530" s="84" t="n">
        <x:f>IF(AND(AG530=1,OR('Dashboard'!$B$4="All",I530='Dashboard'!$B$4),OR('Dashboard'!$E$4="All",N530='Dashboard'!$E$4),OR('Dashboard'!$H$4="All",K530='Dashboard'!$H$4)),1,0)</x:f>
        <x:v>1</x:v>
      </x:c>
    </x:row>
    <x:row r="531">
      <x:c r="A531" s="84" t="str">
        <x:f>'Raw Sales'!A531</x:f>
        <x:v>ORD-2024-02175</x:v>
      </x:c>
      <x:c r="B531" s="85" t="n">
        <x:f>'Raw Sales'!B531</x:f>
        <x:v>45485</x:v>
      </x:c>
      <x:c r="C531" s="84" t="n">
        <x:f>YEAR(B531)</x:f>
        <x:v>2024</x:v>
      </x:c>
      <x:c r="D531" s="91" t="n">
        <x:f>DATE(YEAR(B531),MONTH(B531),1)</x:f>
        <x:v>45474</x:v>
      </x:c>
      <x:c r="E531" s="84" t="str">
        <x:f>TEXT(B531,"mmm")</x:f>
        <x:v>Jul</x:v>
      </x:c>
      <x:c r="F531" s="84" t="str">
        <x:f>'Raw Sales'!C531</x:f>
        <x:v>CUST-0461</x:v>
      </x:c>
      <x:c r="G531" s="84" t="str">
        <x:f>PROPER(TRIM('Raw Sales'!D531))</x:f>
        <x:v>Nina Irwin</x:v>
      </x:c>
      <x:c r="H531" s="84" t="str">
        <x:f>IF(TRIM('Raw Sales'!E531)="","Unknown",PROPER(TRIM('Raw Sales'!E531)))</x:f>
        <x:v>Corporate</x:v>
      </x:c>
      <x:c r="I531" s="84" t="str">
        <x:f>PROPER(TRIM('Raw Sales'!F531))</x:f>
        <x:v>Southeast</x:v>
      </x:c>
      <x:c r="J531" s="84" t="str">
        <x:f>PROPER(TRIM('Raw Sales'!G531))</x:f>
        <x:v>Miami</x:v>
      </x:c>
      <x:c r="K531" s="84" t="str">
        <x:f>PROPER(TRIM('Raw Sales'!H531))</x:f>
        <x:v>Retail Store</x:v>
      </x:c>
      <x:c r="L531" s="84" t="str">
        <x:f>'Raw Sales'!I531</x:f>
        <x:v>FITN-005</x:v>
      </x:c>
      <x:c r="M531" s="84" t="str">
        <x:f>IFERROR(VLOOKUP(L531,'Reference Data'!$A$5:$F$40,2,FALSE),"Unknown Product")</x:f>
        <x:v>Sports Water Bottle</x:v>
      </x:c>
      <x:c r="N531" s="84" t="str">
        <x:f>IFERROR(VLOOKUP(L531,'Reference Data'!$A$5:$F$40,3,FALSE),"Unknown")</x:f>
        <x:v>Fitness</x:v>
      </x:c>
      <x:c r="O531" s="84" t="str">
        <x:f>IFERROR(VLOOKUP(L531,'Reference Data'!$A$5:$F$40,4,FALSE),"Unknown")</x:f>
        <x:v>Accessories</x:v>
      </x:c>
      <x:c r="P531" s="92" t="n">
        <x:f>IFERROR(VLOOKUP(L531,'Reference Data'!$A$5:$F$40,5,FALSE),0)</x:f>
        <x:v>22</x:v>
      </x:c>
      <x:c r="Q531" s="92" t="n">
        <x:f>IFERROR(VLOOKUP(L531,'Reference Data'!$A$5:$F$40,6,FALSE),0)</x:f>
        <x:v>7</x:v>
      </x:c>
      <x:c r="R531" s="84" t="n">
        <x:f>'Raw Sales'!J531</x:f>
        <x:v>1</x:v>
      </x:c>
      <x:c r="S531" s="87" t="n">
        <x:f>'Raw Sales'!K531</x:f>
        <x:v>0</x:v>
      </x:c>
      <x:c r="T531" s="93" t="n">
        <x:f>P531*R531</x:f>
        <x:v>22</x:v>
      </x:c>
      <x:c r="U531" s="93" t="n">
        <x:f>T531*S531</x:f>
        <x:v>0</x:v>
      </x:c>
      <x:c r="V531" s="93" t="str">
        <x:f>PROPER(TRIM('Raw Sales'!L531))</x:f>
        <x:v>Completed</x:v>
      </x:c>
      <x:c r="W531" s="93" t="n">
        <x:f>IF(V531="Returned",0,T531-U531)</x:f>
        <x:v>22</x:v>
      </x:c>
      <x:c r="X531" s="93" t="n">
        <x:f>IF(V531="Returned",Q531*R531*10%,Q531*R531)</x:f>
        <x:v>7</x:v>
      </x:c>
      <x:c r="Y531" s="93" t="n">
        <x:f>W531-X531</x:f>
        <x:v>15</x:v>
      </x:c>
      <x:c r="Z531" s="94" t="n">
        <x:f>IFERROR(Y531/W531,0)</x:f>
        <x:v>0.6818181818181818</x:v>
      </x:c>
      <x:c r="AA531" s="84" t="str">
        <x:f>PROPER(TRIM('Raw Sales'!M531))</x:f>
        <x:v>Credit Card</x:v>
      </x:c>
      <x:c r="AB531" s="84" t="str">
        <x:f>PROPER(TRIM('Raw Sales'!N531))</x:f>
        <x:v>Ava Mitchell</x:v>
      </x:c>
      <x:c r="AC531" s="85" t="n">
        <x:f>'Raw Sales'!O531</x:f>
        <x:v>45485</x:v>
      </x:c>
      <x:c r="AD531" s="84" t="n">
        <x:f>AC531-B531</x:f>
        <x:v>0</x:v>
      </x:c>
      <x:c r="AE531" s="84" t="str">
        <x:f>IF(COUNTIF($A$5:A531,A531)&gt;1,"Duplicate","Keep")</x:f>
        <x:v>Keep</x:v>
      </x:c>
      <x:c r="AF531" s="84" t="str">
        <x:f>IF(OR(R531&lt;=0,AC531&lt;B531,H531="Unknown",M531="Unknown Product"),"Review","Valid")</x:f>
        <x:v>Valid</x:v>
      </x:c>
      <x:c r="AG531" s="84" t="n">
        <x:f>IF(AND(AE531="Keep",AF531="Valid"),1,0)</x:f>
        <x:v>1</x:v>
      </x:c>
      <x:c r="AH531" s="84" t="n">
        <x:f>IF(AND(AG531=1,OR('Dashboard'!$B$4="All",I531='Dashboard'!$B$4),OR('Dashboard'!$E$4="All",N531='Dashboard'!$E$4),OR('Dashboard'!$H$4="All",K531='Dashboard'!$H$4),OR('Dashboard'!$K$4="All",C531='Dashboard'!$K$4)),1,0)</x:f>
        <x:v>1</x:v>
      </x:c>
      <x:c r="AI531" s="84" t="n">
        <x:f>IF(AND(AG531=1,OR('Dashboard'!$B$4="All",I531='Dashboard'!$B$4),OR('Dashboard'!$E$4="All",N531='Dashboard'!$E$4),OR('Dashboard'!$H$4="All",K531='Dashboard'!$H$4)),1,0)</x:f>
        <x:v>1</x:v>
      </x:c>
    </x:row>
    <x:row r="532">
      <x:c r="A532" s="84" t="str">
        <x:f>'Raw Sales'!A532</x:f>
        <x:v>ORD-2024-00460</x:v>
      </x:c>
      <x:c r="B532" s="85" t="n">
        <x:f>'Raw Sales'!B532</x:f>
        <x:v>45486</x:v>
      </x:c>
      <x:c r="C532" s="84" t="n">
        <x:f>YEAR(B532)</x:f>
        <x:v>2024</x:v>
      </x:c>
      <x:c r="D532" s="91" t="n">
        <x:f>DATE(YEAR(B532),MONTH(B532),1)</x:f>
        <x:v>45474</x:v>
      </x:c>
      <x:c r="E532" s="84" t="str">
        <x:f>TEXT(B532,"mmm")</x:f>
        <x:v>Jul</x:v>
      </x:c>
      <x:c r="F532" s="84" t="str">
        <x:f>'Raw Sales'!C532</x:f>
        <x:v>CUST-0161</x:v>
      </x:c>
      <x:c r="G532" s="84" t="str">
        <x:f>PROPER(TRIM('Raw Sales'!D532))</x:f>
        <x:v>Sara Patel</x:v>
      </x:c>
      <x:c r="H532" s="84" t="str">
        <x:f>IF(TRIM('Raw Sales'!E532)="","Unknown",PROPER(TRIM('Raw Sales'!E532)))</x:f>
        <x:v>Consumer</x:v>
      </x:c>
      <x:c r="I532" s="84" t="str">
        <x:f>PROPER(TRIM('Raw Sales'!F532))</x:f>
        <x:v>Southeast</x:v>
      </x:c>
      <x:c r="J532" s="84" t="str">
        <x:f>PROPER(TRIM('Raw Sales'!G532))</x:f>
        <x:v>Atlanta</x:v>
      </x:c>
      <x:c r="K532" s="84" t="str">
        <x:f>PROPER(TRIM('Raw Sales'!H532))</x:f>
        <x:v>Online</x:v>
      </x:c>
      <x:c r="L532" s="84" t="str">
        <x:f>'Raw Sales'!I532</x:f>
        <x:v>ACCS-001</x:v>
      </x:c>
      <x:c r="M532" s="84" t="str">
        <x:f>IFERROR(VLOOKUP(L532,'Reference Data'!$A$5:$F$40,2,FALSE),"Unknown Product")</x:f>
        <x:v>Canvas Tote Bag</x:v>
      </x:c>
      <x:c r="N532" s="84" t="str">
        <x:f>IFERROR(VLOOKUP(L532,'Reference Data'!$A$5:$F$40,3,FALSE),"Unknown")</x:f>
        <x:v>Accessories</x:v>
      </x:c>
      <x:c r="O532" s="84" t="str">
        <x:f>IFERROR(VLOOKUP(L532,'Reference Data'!$A$5:$F$40,4,FALSE),"Unknown")</x:f>
        <x:v>Bags</x:v>
      </x:c>
      <x:c r="P532" s="92" t="n">
        <x:f>IFERROR(VLOOKUP(L532,'Reference Data'!$A$5:$F$40,5,FALSE),0)</x:f>
        <x:v>39</x:v>
      </x:c>
      <x:c r="Q532" s="92" t="n">
        <x:f>IFERROR(VLOOKUP(L532,'Reference Data'!$A$5:$F$40,6,FALSE),0)</x:f>
        <x:v>14</x:v>
      </x:c>
      <x:c r="R532" s="84" t="n">
        <x:f>'Raw Sales'!J532</x:f>
        <x:v>1</x:v>
      </x:c>
      <x:c r="S532" s="87" t="n">
        <x:f>'Raw Sales'!K532</x:f>
        <x:v>0.2</x:v>
      </x:c>
      <x:c r="T532" s="93" t="n">
        <x:f>P532*R532</x:f>
        <x:v>39</x:v>
      </x:c>
      <x:c r="U532" s="93" t="n">
        <x:f>T532*S532</x:f>
        <x:v>7.800000000000001</x:v>
      </x:c>
      <x:c r="V532" s="93" t="str">
        <x:f>PROPER(TRIM('Raw Sales'!L532))</x:f>
        <x:v>Completed</x:v>
      </x:c>
      <x:c r="W532" s="93" t="n">
        <x:f>IF(V532="Returned",0,T532-U532)</x:f>
        <x:v>31.2</x:v>
      </x:c>
      <x:c r="X532" s="93" t="n">
        <x:f>IF(V532="Returned",Q532*R532*10%,Q532*R532)</x:f>
        <x:v>14</x:v>
      </x:c>
      <x:c r="Y532" s="93" t="n">
        <x:f>W532-X532</x:f>
        <x:v>17.2</x:v>
      </x:c>
      <x:c r="Z532" s="94" t="n">
        <x:f>IFERROR(Y532/W532,0)</x:f>
        <x:v>0.5512820512820513</x:v>
      </x:c>
      <x:c r="AA532" s="84" t="str">
        <x:f>PROPER(TRIM('Raw Sales'!M532))</x:f>
        <x:v>Debit Card</x:v>
      </x:c>
      <x:c r="AB532" s="84" t="str">
        <x:f>PROPER(TRIM('Raw Sales'!N532))</x:f>
        <x:v>Ava Mitchell</x:v>
      </x:c>
      <x:c r="AC532" s="85" t="n">
        <x:f>'Raw Sales'!O532</x:f>
        <x:v>45490</x:v>
      </x:c>
      <x:c r="AD532" s="84" t="n">
        <x:f>AC532-B532</x:f>
        <x:v>4</x:v>
      </x:c>
      <x:c r="AE532" s="84" t="str">
        <x:f>IF(COUNTIF($A$5:A532,A532)&gt;1,"Duplicate","Keep")</x:f>
        <x:v>Keep</x:v>
      </x:c>
      <x:c r="AF532" s="84" t="str">
        <x:f>IF(OR(R532&lt;=0,AC532&lt;B532,H532="Unknown",M532="Unknown Product"),"Review","Valid")</x:f>
        <x:v>Valid</x:v>
      </x:c>
      <x:c r="AG532" s="84" t="n">
        <x:f>IF(AND(AE532="Keep",AF532="Valid"),1,0)</x:f>
        <x:v>1</x:v>
      </x:c>
      <x:c r="AH532" s="84" t="n">
        <x:f>IF(AND(AG532=1,OR('Dashboard'!$B$4="All",I532='Dashboard'!$B$4),OR('Dashboard'!$E$4="All",N532='Dashboard'!$E$4),OR('Dashboard'!$H$4="All",K532='Dashboard'!$H$4),OR('Dashboard'!$K$4="All",C532='Dashboard'!$K$4)),1,0)</x:f>
        <x:v>1</x:v>
      </x:c>
      <x:c r="AI532" s="84" t="n">
        <x:f>IF(AND(AG532=1,OR('Dashboard'!$B$4="All",I532='Dashboard'!$B$4),OR('Dashboard'!$E$4="All",N532='Dashboard'!$E$4),OR('Dashboard'!$H$4="All",K532='Dashboard'!$H$4)),1,0)</x:f>
        <x:v>1</x:v>
      </x:c>
    </x:row>
    <x:row r="533">
      <x:c r="A533" s="84" t="str">
        <x:f>'Raw Sales'!A533</x:f>
        <x:v>ORD-2024-00861</x:v>
      </x:c>
      <x:c r="B533" s="85" t="n">
        <x:f>'Raw Sales'!B533</x:f>
        <x:v>45486</x:v>
      </x:c>
      <x:c r="C533" s="84" t="n">
        <x:f>YEAR(B533)</x:f>
        <x:v>2024</x:v>
      </x:c>
      <x:c r="D533" s="91" t="n">
        <x:f>DATE(YEAR(B533),MONTH(B533),1)</x:f>
        <x:v>45474</x:v>
      </x:c>
      <x:c r="E533" s="84" t="str">
        <x:f>TEXT(B533,"mmm")</x:f>
        <x:v>Jul</x:v>
      </x:c>
      <x:c r="F533" s="84" t="str">
        <x:f>'Raw Sales'!C533</x:f>
        <x:v>CUST-0510</x:v>
      </x:c>
      <x:c r="G533" s="84" t="str">
        <x:f>PROPER(TRIM('Raw Sales'!D533))</x:f>
        <x:v>Theo Smith</x:v>
      </x:c>
      <x:c r="H533" s="84" t="str">
        <x:f>IF(TRIM('Raw Sales'!E533)="","Unknown",PROPER(TRIM('Raw Sales'!E533)))</x:f>
        <x:v>Consumer</x:v>
      </x:c>
      <x:c r="I533" s="84" t="str">
        <x:f>PROPER(TRIM('Raw Sales'!F533))</x:f>
        <x:v>West</x:v>
      </x:c>
      <x:c r="J533" s="84" t="str">
        <x:f>PROPER(TRIM('Raw Sales'!G533))</x:f>
        <x:v>Seattle</x:v>
      </x:c>
      <x:c r="K533" s="84" t="str">
        <x:f>PROPER(TRIM('Raw Sales'!H533))</x:f>
        <x:v>Online</x:v>
      </x:c>
      <x:c r="L533" s="84" t="str">
        <x:f>'Raw Sales'!I533</x:f>
        <x:v>ACCS-003</x:v>
      </x:c>
      <x:c r="M533" s="84" t="str">
        <x:f>IFERROR(VLOOKUP(L533,'Reference Data'!$A$5:$F$40,2,FALSE),"Unknown Product")</x:f>
        <x:v>Polarized Sunglasses</x:v>
      </x:c>
      <x:c r="N533" s="84" t="str">
        <x:f>IFERROR(VLOOKUP(L533,'Reference Data'!$A$5:$F$40,3,FALSE),"Unknown")</x:f>
        <x:v>Accessories</x:v>
      </x:c>
      <x:c r="O533" s="84" t="str">
        <x:f>IFERROR(VLOOKUP(L533,'Reference Data'!$A$5:$F$40,4,FALSE),"Unknown")</x:f>
        <x:v>Eyewear</x:v>
      </x:c>
      <x:c r="P533" s="92" t="n">
        <x:f>IFERROR(VLOOKUP(L533,'Reference Data'!$A$5:$F$40,5,FALSE),0)</x:f>
        <x:v>59</x:v>
      </x:c>
      <x:c r="Q533" s="92" t="n">
        <x:f>IFERROR(VLOOKUP(L533,'Reference Data'!$A$5:$F$40,6,FALSE),0)</x:f>
        <x:v>17</x:v>
      </x:c>
      <x:c r="R533" s="84" t="n">
        <x:f>'Raw Sales'!J533</x:f>
        <x:v>2</x:v>
      </x:c>
      <x:c r="S533" s="87" t="n">
        <x:f>'Raw Sales'!K533</x:f>
        <x:v>0.15</x:v>
      </x:c>
      <x:c r="T533" s="93" t="n">
        <x:f>P533*R533</x:f>
        <x:v>118</x:v>
      </x:c>
      <x:c r="U533" s="93" t="n">
        <x:f>T533*S533</x:f>
        <x:v>17.7</x:v>
      </x:c>
      <x:c r="V533" s="93" t="str">
        <x:f>PROPER(TRIM('Raw Sales'!L533))</x:f>
        <x:v>Completed</x:v>
      </x:c>
      <x:c r="W533" s="93" t="n">
        <x:f>IF(V533="Returned",0,T533-U533)</x:f>
        <x:v>100.3</x:v>
      </x:c>
      <x:c r="X533" s="93" t="n">
        <x:f>IF(V533="Returned",Q533*R533*10%,Q533*R533)</x:f>
        <x:v>34</x:v>
      </x:c>
      <x:c r="Y533" s="93" t="n">
        <x:f>W533-X533</x:f>
        <x:v>66.3</x:v>
      </x:c>
      <x:c r="Z533" s="94" t="n">
        <x:f>IFERROR(Y533/W533,0)</x:f>
        <x:v>0.6610169491525424</x:v>
      </x:c>
      <x:c r="AA533" s="84" t="str">
        <x:f>PROPER(TRIM('Raw Sales'!M533))</x:f>
        <x:v>Credit Card</x:v>
      </x:c>
      <x:c r="AB533" s="84" t="str">
        <x:f>PROPER(TRIM('Raw Sales'!N533))</x:f>
        <x:v>Mia Chen</x:v>
      </x:c>
      <x:c r="AC533" s="85" t="n">
        <x:f>'Raw Sales'!O533</x:f>
        <x:v>45489</x:v>
      </x:c>
      <x:c r="AD533" s="84" t="n">
        <x:f>AC533-B533</x:f>
        <x:v>3</x:v>
      </x:c>
      <x:c r="AE533" s="84" t="str">
        <x:f>IF(COUNTIF($A$5:A533,A533)&gt;1,"Duplicate","Keep")</x:f>
        <x:v>Keep</x:v>
      </x:c>
      <x:c r="AF533" s="84" t="str">
        <x:f>IF(OR(R533&lt;=0,AC533&lt;B533,H533="Unknown",M533="Unknown Product"),"Review","Valid")</x:f>
        <x:v>Valid</x:v>
      </x:c>
      <x:c r="AG533" s="84" t="n">
        <x:f>IF(AND(AE533="Keep",AF533="Valid"),1,0)</x:f>
        <x:v>1</x:v>
      </x:c>
      <x:c r="AH533" s="84" t="n">
        <x:f>IF(AND(AG533=1,OR('Dashboard'!$B$4="All",I533='Dashboard'!$B$4),OR('Dashboard'!$E$4="All",N533='Dashboard'!$E$4),OR('Dashboard'!$H$4="All",K533='Dashboard'!$H$4),OR('Dashboard'!$K$4="All",C533='Dashboard'!$K$4)),1,0)</x:f>
        <x:v>1</x:v>
      </x:c>
      <x:c r="AI533" s="84" t="n">
        <x:f>IF(AND(AG533=1,OR('Dashboard'!$B$4="All",I533='Dashboard'!$B$4),OR('Dashboard'!$E$4="All",N533='Dashboard'!$E$4),OR('Dashboard'!$H$4="All",K533='Dashboard'!$H$4)),1,0)</x:f>
        <x:v>1</x:v>
      </x:c>
    </x:row>
    <x:row r="534">
      <x:c r="A534" s="84" t="str">
        <x:f>'Raw Sales'!A534</x:f>
        <x:v>ORD-2024-01555</x:v>
      </x:c>
      <x:c r="B534" s="85" t="n">
        <x:f>'Raw Sales'!B534</x:f>
        <x:v>45486</x:v>
      </x:c>
      <x:c r="C534" s="84" t="n">
        <x:f>YEAR(B534)</x:f>
        <x:v>2024</x:v>
      </x:c>
      <x:c r="D534" s="91" t="n">
        <x:f>DATE(YEAR(B534),MONTH(B534),1)</x:f>
        <x:v>45474</x:v>
      </x:c>
      <x:c r="E534" s="84" t="str">
        <x:f>TEXT(B534,"mmm")</x:f>
        <x:v>Jul</x:v>
      </x:c>
      <x:c r="F534" s="84" t="str">
        <x:f>'Raw Sales'!C534</x:f>
        <x:v>CUST-0176</x:v>
      </x:c>
      <x:c r="G534" s="84" t="str">
        <x:f>PROPER(TRIM('Raw Sales'!D534))</x:f>
        <x:v>Grace Smith</x:v>
      </x:c>
      <x:c r="H534" s="84" t="str">
        <x:f>IF(TRIM('Raw Sales'!E534)="","Unknown",PROPER(TRIM('Raw Sales'!E534)))</x:f>
        <x:v>Corporate</x:v>
      </x:c>
      <x:c r="I534" s="84" t="str">
        <x:f>PROPER(TRIM('Raw Sales'!F534))</x:f>
        <x:v>Northeast</x:v>
      </x:c>
      <x:c r="J534" s="84" t="str">
        <x:f>PROPER(TRIM('Raw Sales'!G534))</x:f>
        <x:v>New York</x:v>
      </x:c>
      <x:c r="K534" s="84" t="str">
        <x:f>PROPER(TRIM('Raw Sales'!H534))</x:f>
        <x:v>Online</x:v>
      </x:c>
      <x:c r="L534" s="84" t="str">
        <x:f>'Raw Sales'!I534</x:f>
        <x:v>HOME-006</x:v>
      </x:c>
      <x:c r="M534" s="84" t="str">
        <x:f>IFERROR(VLOOKUP(L534,'Reference Data'!$A$5:$F$40,2,FALSE),"Unknown Product")</x:f>
        <x:v>Food Storage Set</x:v>
      </x:c>
      <x:c r="N534" s="84" t="str">
        <x:f>IFERROR(VLOOKUP(L534,'Reference Data'!$A$5:$F$40,3,FALSE),"Unknown")</x:f>
        <x:v>Home &amp; Kitchen</x:v>
      </x:c>
      <x:c r="O534" s="84" t="str">
        <x:f>IFERROR(VLOOKUP(L534,'Reference Data'!$A$5:$F$40,4,FALSE),"Unknown")</x:f>
        <x:v>Kitchenware</x:v>
      </x:c>
      <x:c r="P534" s="92" t="n">
        <x:f>IFERROR(VLOOKUP(L534,'Reference Data'!$A$5:$F$40,5,FALSE),0)</x:f>
        <x:v>34</x:v>
      </x:c>
      <x:c r="Q534" s="92" t="n">
        <x:f>IFERROR(VLOOKUP(L534,'Reference Data'!$A$5:$F$40,6,FALSE),0)</x:f>
        <x:v>15</x:v>
      </x:c>
      <x:c r="R534" s="84" t="n">
        <x:f>'Raw Sales'!J534</x:f>
        <x:v>3</x:v>
      </x:c>
      <x:c r="S534" s="87" t="n">
        <x:f>'Raw Sales'!K534</x:f>
        <x:v>0.05</x:v>
      </x:c>
      <x:c r="T534" s="93" t="n">
        <x:f>P534*R534</x:f>
        <x:v>102</x:v>
      </x:c>
      <x:c r="U534" s="93" t="n">
        <x:f>T534*S534</x:f>
        <x:v>5.1000000000000005</x:v>
      </x:c>
      <x:c r="V534" s="93" t="str">
        <x:f>PROPER(TRIM('Raw Sales'!L534))</x:f>
        <x:v>Completed</x:v>
      </x:c>
      <x:c r="W534" s="93" t="n">
        <x:f>IF(V534="Returned",0,T534-U534)</x:f>
        <x:v>96.9</x:v>
      </x:c>
      <x:c r="X534" s="93" t="n">
        <x:f>IF(V534="Returned",Q534*R534*10%,Q534*R534)</x:f>
        <x:v>45</x:v>
      </x:c>
      <x:c r="Y534" s="93" t="n">
        <x:f>W534-X534</x:f>
        <x:v>51.900000000000006</x:v>
      </x:c>
      <x:c r="Z534" s="94" t="n">
        <x:f>IFERROR(Y534/W534,0)</x:f>
        <x:v>0.5356037151702787</x:v>
      </x:c>
      <x:c r="AA534" s="84" t="str">
        <x:f>PROPER(TRIM('Raw Sales'!M534))</x:f>
        <x:v>Credit Card</x:v>
      </x:c>
      <x:c r="AB534" s="84" t="str">
        <x:f>PROPER(TRIM('Raw Sales'!N534))</x:f>
        <x:v>Sofia Bennett</x:v>
      </x:c>
      <x:c r="AC534" s="85" t="n">
        <x:f>'Raw Sales'!O534</x:f>
        <x:v>45489</x:v>
      </x:c>
      <x:c r="AD534" s="84" t="n">
        <x:f>AC534-B534</x:f>
        <x:v>3</x:v>
      </x:c>
      <x:c r="AE534" s="84" t="str">
        <x:f>IF(COUNTIF($A$5:A534,A534)&gt;1,"Duplicate","Keep")</x:f>
        <x:v>Keep</x:v>
      </x:c>
      <x:c r="AF534" s="84" t="str">
        <x:f>IF(OR(R534&lt;=0,AC534&lt;B534,H534="Unknown",M534="Unknown Product"),"Review","Valid")</x:f>
        <x:v>Valid</x:v>
      </x:c>
      <x:c r="AG534" s="84" t="n">
        <x:f>IF(AND(AE534="Keep",AF534="Valid"),1,0)</x:f>
        <x:v>1</x:v>
      </x:c>
      <x:c r="AH534" s="84" t="n">
        <x:f>IF(AND(AG534=1,OR('Dashboard'!$B$4="All",I534='Dashboard'!$B$4),OR('Dashboard'!$E$4="All",N534='Dashboard'!$E$4),OR('Dashboard'!$H$4="All",K534='Dashboard'!$H$4),OR('Dashboard'!$K$4="All",C534='Dashboard'!$K$4)),1,0)</x:f>
        <x:v>1</x:v>
      </x:c>
      <x:c r="AI534" s="84" t="n">
        <x:f>IF(AND(AG534=1,OR('Dashboard'!$B$4="All",I534='Dashboard'!$B$4),OR('Dashboard'!$E$4="All",N534='Dashboard'!$E$4),OR('Dashboard'!$H$4="All",K534='Dashboard'!$H$4)),1,0)</x:f>
        <x:v>1</x:v>
      </x:c>
    </x:row>
    <x:row r="535">
      <x:c r="A535" s="84" t="str">
        <x:f>'Raw Sales'!A535</x:f>
        <x:v>ORD-2024-02132</x:v>
      </x:c>
      <x:c r="B535" s="85" t="n">
        <x:f>'Raw Sales'!B535</x:f>
        <x:v>45486</x:v>
      </x:c>
      <x:c r="C535" s="84" t="n">
        <x:f>YEAR(B535)</x:f>
        <x:v>2024</x:v>
      </x:c>
      <x:c r="D535" s="91" t="n">
        <x:f>DATE(YEAR(B535),MONTH(B535),1)</x:f>
        <x:v>45474</x:v>
      </x:c>
      <x:c r="E535" s="84" t="str">
        <x:f>TEXT(B535,"mmm")</x:f>
        <x:v>Jul</x:v>
      </x:c>
      <x:c r="F535" s="84" t="str">
        <x:f>'Raw Sales'!C535</x:f>
        <x:v>CUST-0557</x:v>
      </x:c>
      <x:c r="G535" s="84" t="str">
        <x:f>PROPER(TRIM('Raw Sales'!D535))</x:f>
        <x:v>Isaac Smith</x:v>
      </x:c>
      <x:c r="H535" s="84" t="str">
        <x:f>IF(TRIM('Raw Sales'!E535)="","Unknown",PROPER(TRIM('Raw Sales'!E535)))</x:f>
        <x:v>Consumer</x:v>
      </x:c>
      <x:c r="I535" s="84" t="str">
        <x:f>PROPER(TRIM('Raw Sales'!F535))</x:f>
        <x:v>Northeast</x:v>
      </x:c>
      <x:c r="J535" s="84" t="str">
        <x:f>PROPER(TRIM('Raw Sales'!G535))</x:f>
        <x:v>Boston</x:v>
      </x:c>
      <x:c r="K535" s="84" t="str">
        <x:f>PROPER(TRIM('Raw Sales'!H535))</x:f>
        <x:v>Retail Store</x:v>
      </x:c>
      <x:c r="L535" s="84" t="str">
        <x:f>'Raw Sales'!I535</x:f>
        <x:v>ACCS-001</x:v>
      </x:c>
      <x:c r="M535" s="84" t="str">
        <x:f>IFERROR(VLOOKUP(L535,'Reference Data'!$A$5:$F$40,2,FALSE),"Unknown Product")</x:f>
        <x:v>Canvas Tote Bag</x:v>
      </x:c>
      <x:c r="N535" s="84" t="str">
        <x:f>IFERROR(VLOOKUP(L535,'Reference Data'!$A$5:$F$40,3,FALSE),"Unknown")</x:f>
        <x:v>Accessories</x:v>
      </x:c>
      <x:c r="O535" s="84" t="str">
        <x:f>IFERROR(VLOOKUP(L535,'Reference Data'!$A$5:$F$40,4,FALSE),"Unknown")</x:f>
        <x:v>Bags</x:v>
      </x:c>
      <x:c r="P535" s="92" t="n">
        <x:f>IFERROR(VLOOKUP(L535,'Reference Data'!$A$5:$F$40,5,FALSE),0)</x:f>
        <x:v>39</x:v>
      </x:c>
      <x:c r="Q535" s="92" t="n">
        <x:f>IFERROR(VLOOKUP(L535,'Reference Data'!$A$5:$F$40,6,FALSE),0)</x:f>
        <x:v>14</x:v>
      </x:c>
      <x:c r="R535" s="84" t="n">
        <x:f>'Raw Sales'!J535</x:f>
        <x:v>1</x:v>
      </x:c>
      <x:c r="S535" s="87" t="n">
        <x:f>'Raw Sales'!K535</x:f>
        <x:v>0.05</x:v>
      </x:c>
      <x:c r="T535" s="93" t="n">
        <x:f>P535*R535</x:f>
        <x:v>39</x:v>
      </x:c>
      <x:c r="U535" s="93" t="n">
        <x:f>T535*S535</x:f>
        <x:v>1.9500000000000002</x:v>
      </x:c>
      <x:c r="V535" s="93" t="str">
        <x:f>PROPER(TRIM('Raw Sales'!L535))</x:f>
        <x:v>Completed</x:v>
      </x:c>
      <x:c r="W535" s="93" t="n">
        <x:f>IF(V535="Returned",0,T535-U535)</x:f>
        <x:v>37.05</x:v>
      </x:c>
      <x:c r="X535" s="93" t="n">
        <x:f>IF(V535="Returned",Q535*R535*10%,Q535*R535)</x:f>
        <x:v>14</x:v>
      </x:c>
      <x:c r="Y535" s="93" t="n">
        <x:f>W535-X535</x:f>
        <x:v>23.049999999999997</x:v>
      </x:c>
      <x:c r="Z535" s="94" t="n">
        <x:f>IFERROR(Y535/W535,0)</x:f>
        <x:v>0.6221322537112011</x:v>
      </x:c>
      <x:c r="AA535" s="84" t="str">
        <x:f>PROPER(TRIM('Raw Sales'!M535))</x:f>
        <x:v>Mobile Wallet</x:v>
      </x:c>
      <x:c r="AB535" s="84" t="str">
        <x:f>PROPER(TRIM('Raw Sales'!N535))</x:f>
        <x:v>Ethan Cole</x:v>
      </x:c>
      <x:c r="AC535" s="85" t="n">
        <x:f>'Raw Sales'!O535</x:f>
        <x:v>45486</x:v>
      </x:c>
      <x:c r="AD535" s="84" t="n">
        <x:f>AC535-B535</x:f>
        <x:v>0</x:v>
      </x:c>
      <x:c r="AE535" s="84" t="str">
        <x:f>IF(COUNTIF($A$5:A535,A535)&gt;1,"Duplicate","Keep")</x:f>
        <x:v>Keep</x:v>
      </x:c>
      <x:c r="AF535" s="84" t="str">
        <x:f>IF(OR(R535&lt;=0,AC535&lt;B535,H535="Unknown",M535="Unknown Product"),"Review","Valid")</x:f>
        <x:v>Valid</x:v>
      </x:c>
      <x:c r="AG535" s="84" t="n">
        <x:f>IF(AND(AE535="Keep",AF535="Valid"),1,0)</x:f>
        <x:v>1</x:v>
      </x:c>
      <x:c r="AH535" s="84" t="n">
        <x:f>IF(AND(AG535=1,OR('Dashboard'!$B$4="All",I535='Dashboard'!$B$4),OR('Dashboard'!$E$4="All",N535='Dashboard'!$E$4),OR('Dashboard'!$H$4="All",K535='Dashboard'!$H$4),OR('Dashboard'!$K$4="All",C535='Dashboard'!$K$4)),1,0)</x:f>
        <x:v>1</x:v>
      </x:c>
      <x:c r="AI535" s="84" t="n">
        <x:f>IF(AND(AG535=1,OR('Dashboard'!$B$4="All",I535='Dashboard'!$B$4),OR('Dashboard'!$E$4="All",N535='Dashboard'!$E$4),OR('Dashboard'!$H$4="All",K535='Dashboard'!$H$4)),1,0)</x:f>
        <x:v>1</x:v>
      </x:c>
    </x:row>
    <x:row r="536">
      <x:c r="A536" s="84" t="str">
        <x:f>'Raw Sales'!A536</x:f>
        <x:v>ORD-2024-00955</x:v>
      </x:c>
      <x:c r="B536" s="85" t="n">
        <x:f>'Raw Sales'!B536</x:f>
        <x:v>45487</x:v>
      </x:c>
      <x:c r="C536" s="84" t="n">
        <x:f>YEAR(B536)</x:f>
        <x:v>2024</x:v>
      </x:c>
      <x:c r="D536" s="91" t="n">
        <x:f>DATE(YEAR(B536),MONTH(B536),1)</x:f>
        <x:v>45474</x:v>
      </x:c>
      <x:c r="E536" s="84" t="str">
        <x:f>TEXT(B536,"mmm")</x:f>
        <x:v>Jul</x:v>
      </x:c>
      <x:c r="F536" s="84" t="str">
        <x:f>'Raw Sales'!C536</x:f>
        <x:v>CUST-0156</x:v>
      </x:c>
      <x:c r="G536" s="84" t="str">
        <x:f>PROPER(TRIM('Raw Sales'!D536))</x:f>
        <x:v>Nina Ortiz</x:v>
      </x:c>
      <x:c r="H536" s="84" t="str">
        <x:f>IF(TRIM('Raw Sales'!E536)="","Unknown",PROPER(TRIM('Raw Sales'!E536)))</x:f>
        <x:v>Consumer</x:v>
      </x:c>
      <x:c r="I536" s="84" t="str">
        <x:f>PROPER(TRIM('Raw Sales'!F536))</x:f>
        <x:v>Southeast</x:v>
      </x:c>
      <x:c r="J536" s="84" t="str">
        <x:f>PROPER(TRIM('Raw Sales'!G536))</x:f>
        <x:v>Charlotte</x:v>
      </x:c>
      <x:c r="K536" s="84" t="str">
        <x:f>PROPER(TRIM('Raw Sales'!H536))</x:f>
        <x:v>Retail Store</x:v>
      </x:c>
      <x:c r="L536" s="84" t="str">
        <x:f>'Raw Sales'!I536</x:f>
        <x:v>FITN-004</x:v>
      </x:c>
      <x:c r="M536" s="84" t="str">
        <x:f>IFERROR(VLOOKUP(L536,'Reference Data'!$A$5:$F$40,2,FALSE),"Unknown Product")</x:f>
        <x:v>Fitness Tracker</x:v>
      </x:c>
      <x:c r="N536" s="84" t="str">
        <x:f>IFERROR(VLOOKUP(L536,'Reference Data'!$A$5:$F$40,3,FALSE),"Unknown")</x:f>
        <x:v>Fitness</x:v>
      </x:c>
      <x:c r="O536" s="84" t="str">
        <x:f>IFERROR(VLOOKUP(L536,'Reference Data'!$A$5:$F$40,4,FALSE),"Unknown")</x:f>
        <x:v>Wearables</x:v>
      </x:c>
      <x:c r="P536" s="92" t="n">
        <x:f>IFERROR(VLOOKUP(L536,'Reference Data'!$A$5:$F$40,5,FALSE),0)</x:f>
        <x:v>89</x:v>
      </x:c>
      <x:c r="Q536" s="92" t="n">
        <x:f>IFERROR(VLOOKUP(L536,'Reference Data'!$A$5:$F$40,6,FALSE),0)</x:f>
        <x:v>44</x:v>
      </x:c>
      <x:c r="R536" s="84" t="n">
        <x:f>'Raw Sales'!J536</x:f>
        <x:v>1</x:v>
      </x:c>
      <x:c r="S536" s="87" t="n">
        <x:f>'Raw Sales'!K536</x:f>
        <x:v>0.05</x:v>
      </x:c>
      <x:c r="T536" s="93" t="n">
        <x:f>P536*R536</x:f>
        <x:v>89</x:v>
      </x:c>
      <x:c r="U536" s="93" t="n">
        <x:f>T536*S536</x:f>
        <x:v>4.45</x:v>
      </x:c>
      <x:c r="V536" s="93" t="str">
        <x:f>PROPER(TRIM('Raw Sales'!L536))</x:f>
        <x:v>Completed</x:v>
      </x:c>
      <x:c r="W536" s="93" t="n">
        <x:f>IF(V536="Returned",0,T536-U536)</x:f>
        <x:v>84.55</x:v>
      </x:c>
      <x:c r="X536" s="93" t="n">
        <x:f>IF(V536="Returned",Q536*R536*10%,Q536*R536)</x:f>
        <x:v>44</x:v>
      </x:c>
      <x:c r="Y536" s="93" t="n">
        <x:f>W536-X536</x:f>
        <x:v>40.55</x:v>
      </x:c>
      <x:c r="Z536" s="94" t="n">
        <x:f>IFERROR(Y536/W536,0)</x:f>
        <x:v>0.47959787108219987</x:v>
      </x:c>
      <x:c r="AA536" s="84" t="str">
        <x:f>PROPER(TRIM('Raw Sales'!M536))</x:f>
        <x:v>Credit Card</x:v>
      </x:c>
      <x:c r="AB536" s="84" t="str">
        <x:f>PROPER(TRIM('Raw Sales'!N536))</x:f>
        <x:v>Ava Mitchell</x:v>
      </x:c>
      <x:c r="AC536" s="85" t="n">
        <x:f>'Raw Sales'!O536</x:f>
        <x:v>45487</x:v>
      </x:c>
      <x:c r="AD536" s="84" t="n">
        <x:f>AC536-B536</x:f>
        <x:v>0</x:v>
      </x:c>
      <x:c r="AE536" s="84" t="str">
        <x:f>IF(COUNTIF($A$5:A536,A536)&gt;1,"Duplicate","Keep")</x:f>
        <x:v>Keep</x:v>
      </x:c>
      <x:c r="AF536" s="84" t="str">
        <x:f>IF(OR(R536&lt;=0,AC536&lt;B536,H536="Unknown",M536="Unknown Product"),"Review","Valid")</x:f>
        <x:v>Valid</x:v>
      </x:c>
      <x:c r="AG536" s="84" t="n">
        <x:f>IF(AND(AE536="Keep",AF536="Valid"),1,0)</x:f>
        <x:v>1</x:v>
      </x:c>
      <x:c r="AH536" s="84" t="n">
        <x:f>IF(AND(AG536=1,OR('Dashboard'!$B$4="All",I536='Dashboard'!$B$4),OR('Dashboard'!$E$4="All",N536='Dashboard'!$E$4),OR('Dashboard'!$H$4="All",K536='Dashboard'!$H$4),OR('Dashboard'!$K$4="All",C536='Dashboard'!$K$4)),1,0)</x:f>
        <x:v>1</x:v>
      </x:c>
      <x:c r="AI536" s="84" t="n">
        <x:f>IF(AND(AG536=1,OR('Dashboard'!$B$4="All",I536='Dashboard'!$B$4),OR('Dashboard'!$E$4="All",N536='Dashboard'!$E$4),OR('Dashboard'!$H$4="All",K536='Dashboard'!$H$4)),1,0)</x:f>
        <x:v>1</x:v>
      </x:c>
    </x:row>
    <x:row r="537">
      <x:c r="A537" s="84" t="str">
        <x:f>'Raw Sales'!A537</x:f>
        <x:v>ORD-2024-00321</x:v>
      </x:c>
      <x:c r="B537" s="85" t="n">
        <x:f>'Raw Sales'!B537</x:f>
        <x:v>45489</x:v>
      </x:c>
      <x:c r="C537" s="84" t="n">
        <x:f>YEAR(B537)</x:f>
        <x:v>2024</x:v>
      </x:c>
      <x:c r="D537" s="91" t="n">
        <x:f>DATE(YEAR(B537),MONTH(B537),1)</x:f>
        <x:v>45474</x:v>
      </x:c>
      <x:c r="E537" s="84" t="str">
        <x:f>TEXT(B537,"mmm")</x:f>
        <x:v>Jul</x:v>
      </x:c>
      <x:c r="F537" s="84" t="str">
        <x:f>'Raw Sales'!C537</x:f>
        <x:v>CUST-0184</x:v>
      </x:c>
      <x:c r="G537" s="84" t="str">
        <x:f>PROPER(TRIM('Raw Sales'!D537))</x:f>
        <x:v>Elena Patel</x:v>
      </x:c>
      <x:c r="H537" s="84" t="str">
        <x:f>IF(TRIM('Raw Sales'!E537)="","Unknown",PROPER(TRIM('Raw Sales'!E537)))</x:f>
        <x:v>Consumer</x:v>
      </x:c>
      <x:c r="I537" s="84" t="str">
        <x:f>PROPER(TRIM('Raw Sales'!F537))</x:f>
        <x:v>Southeast</x:v>
      </x:c>
      <x:c r="J537" s="84" t="str">
        <x:f>PROPER(TRIM('Raw Sales'!G537))</x:f>
        <x:v>Miami</x:v>
      </x:c>
      <x:c r="K537" s="84" t="str">
        <x:f>PROPER(TRIM('Raw Sales'!H537))</x:f>
        <x:v>Online</x:v>
      </x:c>
      <x:c r="L537" s="84" t="str">
        <x:f>'Raw Sales'!I537</x:f>
        <x:v>CARE-005</x:v>
      </x:c>
      <x:c r="M537" s="84" t="str">
        <x:f>IFERROR(VLOOKUP(L537,'Reference Data'!$A$5:$F$40,2,FALSE),"Unknown Product")</x:f>
        <x:v>Skin Care Starter Kit</x:v>
      </x:c>
      <x:c r="N537" s="84" t="str">
        <x:f>IFERROR(VLOOKUP(L537,'Reference Data'!$A$5:$F$40,3,FALSE),"Unknown")</x:f>
        <x:v>Personal Care</x:v>
      </x:c>
      <x:c r="O537" s="84" t="str">
        <x:f>IFERROR(VLOOKUP(L537,'Reference Data'!$A$5:$F$40,4,FALSE),"Unknown")</x:f>
        <x:v>Skin Care</x:v>
      </x:c>
      <x:c r="P537" s="92" t="n">
        <x:f>IFERROR(VLOOKUP(L537,'Reference Data'!$A$5:$F$40,5,FALSE),0)</x:f>
        <x:v>58</x:v>
      </x:c>
      <x:c r="Q537" s="92" t="n">
        <x:f>IFERROR(VLOOKUP(L537,'Reference Data'!$A$5:$F$40,6,FALSE),0)</x:f>
        <x:v>24</x:v>
      </x:c>
      <x:c r="R537" s="84" t="n">
        <x:f>'Raw Sales'!J537</x:f>
        <x:v>1</x:v>
      </x:c>
      <x:c r="S537" s="87" t="n">
        <x:f>'Raw Sales'!K537</x:f>
        <x:v>0.05</x:v>
      </x:c>
      <x:c r="T537" s="93" t="n">
        <x:f>P537*R537</x:f>
        <x:v>58</x:v>
      </x:c>
      <x:c r="U537" s="93" t="n">
        <x:f>T537*S537</x:f>
        <x:v>2.9000000000000004</x:v>
      </x:c>
      <x:c r="V537" s="93" t="str">
        <x:f>PROPER(TRIM('Raw Sales'!L537))</x:f>
        <x:v>Completed</x:v>
      </x:c>
      <x:c r="W537" s="93" t="n">
        <x:f>IF(V537="Returned",0,T537-U537)</x:f>
        <x:v>55.1</x:v>
      </x:c>
      <x:c r="X537" s="93" t="n">
        <x:f>IF(V537="Returned",Q537*R537*10%,Q537*R537)</x:f>
        <x:v>24</x:v>
      </x:c>
      <x:c r="Y537" s="93" t="n">
        <x:f>W537-X537</x:f>
        <x:v>31.1</x:v>
      </x:c>
      <x:c r="Z537" s="94" t="n">
        <x:f>IFERROR(Y537/W537,0)</x:f>
        <x:v>0.5644283121597097</x:v>
      </x:c>
      <x:c r="AA537" s="84" t="str">
        <x:f>PROPER(TRIM('Raw Sales'!M537))</x:f>
        <x:v>Credit Card</x:v>
      </x:c>
      <x:c r="AB537" s="84" t="str">
        <x:f>PROPER(TRIM('Raw Sales'!N537))</x:f>
        <x:v>Liam Parker</x:v>
      </x:c>
      <x:c r="AC537" s="85" t="n">
        <x:f>'Raw Sales'!O537</x:f>
        <x:v>45492</x:v>
      </x:c>
      <x:c r="AD537" s="84" t="n">
        <x:f>AC537-B537</x:f>
        <x:v>3</x:v>
      </x:c>
      <x:c r="AE537" s="84" t="str">
        <x:f>IF(COUNTIF($A$5:A537,A537)&gt;1,"Duplicate","Keep")</x:f>
        <x:v>Keep</x:v>
      </x:c>
      <x:c r="AF537" s="84" t="str">
        <x:f>IF(OR(R537&lt;=0,AC537&lt;B537,H537="Unknown",M537="Unknown Product"),"Review","Valid")</x:f>
        <x:v>Valid</x:v>
      </x:c>
      <x:c r="AG537" s="84" t="n">
        <x:f>IF(AND(AE537="Keep",AF537="Valid"),1,0)</x:f>
        <x:v>1</x:v>
      </x:c>
      <x:c r="AH537" s="84" t="n">
        <x:f>IF(AND(AG537=1,OR('Dashboard'!$B$4="All",I537='Dashboard'!$B$4),OR('Dashboard'!$E$4="All",N537='Dashboard'!$E$4),OR('Dashboard'!$H$4="All",K537='Dashboard'!$H$4),OR('Dashboard'!$K$4="All",C537='Dashboard'!$K$4)),1,0)</x:f>
        <x:v>1</x:v>
      </x:c>
      <x:c r="AI537" s="84" t="n">
        <x:f>IF(AND(AG537=1,OR('Dashboard'!$B$4="All",I537='Dashboard'!$B$4),OR('Dashboard'!$E$4="All",N537='Dashboard'!$E$4),OR('Dashboard'!$H$4="All",K537='Dashboard'!$H$4)),1,0)</x:f>
        <x:v>1</x:v>
      </x:c>
    </x:row>
    <x:row r="538">
      <x:c r="A538" s="84" t="str">
        <x:f>'Raw Sales'!A538</x:f>
        <x:v>ORD-2024-00378</x:v>
      </x:c>
      <x:c r="B538" s="85" t="n">
        <x:f>'Raw Sales'!B538</x:f>
        <x:v>45489</x:v>
      </x:c>
      <x:c r="C538" s="84" t="n">
        <x:f>YEAR(B538)</x:f>
        <x:v>2024</x:v>
      </x:c>
      <x:c r="D538" s="91" t="n">
        <x:f>DATE(YEAR(B538),MONTH(B538),1)</x:f>
        <x:v>45474</x:v>
      </x:c>
      <x:c r="E538" s="84" t="str">
        <x:f>TEXT(B538,"mmm")</x:f>
        <x:v>Jul</x:v>
      </x:c>
      <x:c r="F538" s="84" t="str">
        <x:f>'Raw Sales'!C538</x:f>
        <x:v>CUST-0609</x:v>
      </x:c>
      <x:c r="G538" s="84" t="str">
        <x:f>PROPER(TRIM('Raw Sales'!D538))</x:f>
        <x:v>Sara Lewis</x:v>
      </x:c>
      <x:c r="H538" s="84" t="str">
        <x:f>IF(TRIM('Raw Sales'!E538)="","Unknown",PROPER(TRIM('Raw Sales'!E538)))</x:f>
        <x:v>Consumer</x:v>
      </x:c>
      <x:c r="I538" s="84" t="str">
        <x:f>PROPER(TRIM('Raw Sales'!F538))</x:f>
        <x:v>Southeast</x:v>
      </x:c>
      <x:c r="J538" s="84" t="str">
        <x:f>PROPER(TRIM('Raw Sales'!G538))</x:f>
        <x:v>Miami</x:v>
      </x:c>
      <x:c r="K538" s="84" t="str">
        <x:f>PROPER(TRIM('Raw Sales'!H538))</x:f>
        <x:v>Retail Store</x:v>
      </x:c>
      <x:c r="L538" s="84" t="str">
        <x:f>'Raw Sales'!I538</x:f>
        <x:v>CARE-006</x:v>
      </x:c>
      <x:c r="M538" s="84" t="str">
        <x:f>IFERROR(VLOOKUP(L538,'Reference Data'!$A$5:$F$40,2,FALSE),"Unknown Product")</x:f>
        <x:v>Percussion Massage Gun</x:v>
      </x:c>
      <x:c r="N538" s="84" t="str">
        <x:f>IFERROR(VLOOKUP(L538,'Reference Data'!$A$5:$F$40,3,FALSE),"Unknown")</x:f>
        <x:v>Personal Care</x:v>
      </x:c>
      <x:c r="O538" s="84" t="str">
        <x:f>IFERROR(VLOOKUP(L538,'Reference Data'!$A$5:$F$40,4,FALSE),"Unknown")</x:f>
        <x:v>Wellness</x:v>
      </x:c>
      <x:c r="P538" s="92" t="n">
        <x:f>IFERROR(VLOOKUP(L538,'Reference Data'!$A$5:$F$40,5,FALSE),0)</x:f>
        <x:v>129</x:v>
      </x:c>
      <x:c r="Q538" s="92" t="n">
        <x:f>IFERROR(VLOOKUP(L538,'Reference Data'!$A$5:$F$40,6,FALSE),0)</x:f>
        <x:v>70</x:v>
      </x:c>
      <x:c r="R538" s="84" t="n">
        <x:f>'Raw Sales'!J538</x:f>
        <x:v>1</x:v>
      </x:c>
      <x:c r="S538" s="87" t="n">
        <x:f>'Raw Sales'!K538</x:f>
        <x:v>0</x:v>
      </x:c>
      <x:c r="T538" s="93" t="n">
        <x:f>P538*R538</x:f>
        <x:v>129</x:v>
      </x:c>
      <x:c r="U538" s="93" t="n">
        <x:f>T538*S538</x:f>
        <x:v>0</x:v>
      </x:c>
      <x:c r="V538" s="93" t="str">
        <x:f>PROPER(TRIM('Raw Sales'!L538))</x:f>
        <x:v>Completed</x:v>
      </x:c>
      <x:c r="W538" s="93" t="n">
        <x:f>IF(V538="Returned",0,T538-U538)</x:f>
        <x:v>129</x:v>
      </x:c>
      <x:c r="X538" s="93" t="n">
        <x:f>IF(V538="Returned",Q538*R538*10%,Q538*R538)</x:f>
        <x:v>70</x:v>
      </x:c>
      <x:c r="Y538" s="93" t="n">
        <x:f>W538-X538</x:f>
        <x:v>59</x:v>
      </x:c>
      <x:c r="Z538" s="94" t="n">
        <x:f>IFERROR(Y538/W538,0)</x:f>
        <x:v>0.4573643410852713</x:v>
      </x:c>
      <x:c r="AA538" s="84" t="str">
        <x:f>PROPER(TRIM('Raw Sales'!M538))</x:f>
        <x:v>Credit Card</x:v>
      </x:c>
      <x:c r="AB538" s="84" t="str">
        <x:f>PROPER(TRIM('Raw Sales'!N538))</x:f>
        <x:v>Ava Mitchell</x:v>
      </x:c>
      <x:c r="AC538" s="85" t="n">
        <x:f>'Raw Sales'!O538</x:f>
        <x:v>45489</x:v>
      </x:c>
      <x:c r="AD538" s="84" t="n">
        <x:f>AC538-B538</x:f>
        <x:v>0</x:v>
      </x:c>
      <x:c r="AE538" s="84" t="str">
        <x:f>IF(COUNTIF($A$5:A538,A538)&gt;1,"Duplicate","Keep")</x:f>
        <x:v>Keep</x:v>
      </x:c>
      <x:c r="AF538" s="84" t="str">
        <x:f>IF(OR(R538&lt;=0,AC538&lt;B538,H538="Unknown",M538="Unknown Product"),"Review","Valid")</x:f>
        <x:v>Valid</x:v>
      </x:c>
      <x:c r="AG538" s="84" t="n">
        <x:f>IF(AND(AE538="Keep",AF538="Valid"),1,0)</x:f>
        <x:v>1</x:v>
      </x:c>
      <x:c r="AH538" s="84" t="n">
        <x:f>IF(AND(AG538=1,OR('Dashboard'!$B$4="All",I538='Dashboard'!$B$4),OR('Dashboard'!$E$4="All",N538='Dashboard'!$E$4),OR('Dashboard'!$H$4="All",K538='Dashboard'!$H$4),OR('Dashboard'!$K$4="All",C538='Dashboard'!$K$4)),1,0)</x:f>
        <x:v>1</x:v>
      </x:c>
      <x:c r="AI538" s="84" t="n">
        <x:f>IF(AND(AG538=1,OR('Dashboard'!$B$4="All",I538='Dashboard'!$B$4),OR('Dashboard'!$E$4="All",N538='Dashboard'!$E$4),OR('Dashboard'!$H$4="All",K538='Dashboard'!$H$4)),1,0)</x:f>
        <x:v>1</x:v>
      </x:c>
    </x:row>
    <x:row r="539">
      <x:c r="A539" s="84" t="str">
        <x:f>'Raw Sales'!A539</x:f>
        <x:v>ORD-2024-01979</x:v>
      </x:c>
      <x:c r="B539" s="85" t="n">
        <x:f>'Raw Sales'!B539</x:f>
        <x:v>45490</x:v>
      </x:c>
      <x:c r="C539" s="84" t="n">
        <x:f>YEAR(B539)</x:f>
        <x:v>2024</x:v>
      </x:c>
      <x:c r="D539" s="91" t="n">
        <x:f>DATE(YEAR(B539),MONTH(B539),1)</x:f>
        <x:v>45474</x:v>
      </x:c>
      <x:c r="E539" s="84" t="str">
        <x:f>TEXT(B539,"mmm")</x:f>
        <x:v>Jul</x:v>
      </x:c>
      <x:c r="F539" s="84" t="str">
        <x:f>'Raw Sales'!C539</x:f>
        <x:v>CUST-0380</x:v>
      </x:c>
      <x:c r="G539" s="84" t="str">
        <x:f>PROPER(TRIM('Raw Sales'!D539))</x:f>
        <x:v>Caleb Patel</x:v>
      </x:c>
      <x:c r="H539" s="84" t="str">
        <x:f>IF(TRIM('Raw Sales'!E539)="","Unknown",PROPER(TRIM('Raw Sales'!E539)))</x:f>
        <x:v>Consumer</x:v>
      </x:c>
      <x:c r="I539" s="84" t="str">
        <x:f>PROPER(TRIM('Raw Sales'!F539))</x:f>
        <x:v>Southeast</x:v>
      </x:c>
      <x:c r="J539" s="84" t="str">
        <x:f>PROPER(TRIM('Raw Sales'!G539))</x:f>
        <x:v>Nashville</x:v>
      </x:c>
      <x:c r="K539" s="84" t="str">
        <x:f>PROPER(TRIM('Raw Sales'!H539))</x:f>
        <x:v>Marketplace</x:v>
      </x:c>
      <x:c r="L539" s="84" t="str">
        <x:f>'Raw Sales'!I539</x:f>
        <x:v>ELEC-002</x:v>
      </x:c>
      <x:c r="M539" s="84" t="str">
        <x:f>IFERROR(VLOOKUP(L539,'Reference Data'!$A$5:$F$40,2,FALSE),"Unknown Product")</x:f>
        <x:v>Smartwatch</x:v>
      </x:c>
      <x:c r="N539" s="84" t="str">
        <x:f>IFERROR(VLOOKUP(L539,'Reference Data'!$A$5:$F$40,3,FALSE),"Unknown")</x:f>
        <x:v>Electronics</x:v>
      </x:c>
      <x:c r="O539" s="84" t="str">
        <x:f>IFERROR(VLOOKUP(L539,'Reference Data'!$A$5:$F$40,4,FALSE),"Unknown")</x:f>
        <x:v>Wearables</x:v>
      </x:c>
      <x:c r="P539" s="92" t="n">
        <x:f>IFERROR(VLOOKUP(L539,'Reference Data'!$A$5:$F$40,5,FALSE),0)</x:f>
        <x:v>159</x:v>
      </x:c>
      <x:c r="Q539" s="92" t="n">
        <x:f>IFERROR(VLOOKUP(L539,'Reference Data'!$A$5:$F$40,6,FALSE),0)</x:f>
        <x:v>92</x:v>
      </x:c>
      <x:c r="R539" s="84" t="n">
        <x:f>'Raw Sales'!J539</x:f>
        <x:v>2</x:v>
      </x:c>
      <x:c r="S539" s="87" t="n">
        <x:f>'Raw Sales'!K539</x:f>
        <x:v>0.1</x:v>
      </x:c>
      <x:c r="T539" s="93" t="n">
        <x:f>P539*R539</x:f>
        <x:v>318</x:v>
      </x:c>
      <x:c r="U539" s="93" t="n">
        <x:f>T539*S539</x:f>
        <x:v>31.8</x:v>
      </x:c>
      <x:c r="V539" s="93" t="str">
        <x:f>PROPER(TRIM('Raw Sales'!L539))</x:f>
        <x:v>Completed</x:v>
      </x:c>
      <x:c r="W539" s="93" t="n">
        <x:f>IF(V539="Returned",0,T539-U539)</x:f>
        <x:v>286.2</x:v>
      </x:c>
      <x:c r="X539" s="93" t="n">
        <x:f>IF(V539="Returned",Q539*R539*10%,Q539*R539)</x:f>
        <x:v>184</x:v>
      </x:c>
      <x:c r="Y539" s="93" t="n">
        <x:f>W539-X539</x:f>
        <x:v>102.19999999999999</x:v>
      </x:c>
      <x:c r="Z539" s="94" t="n">
        <x:f>IFERROR(Y539/W539,0)</x:f>
        <x:v>0.35709294199860236</x:v>
      </x:c>
      <x:c r="AA539" s="84" t="str">
        <x:f>PROPER(TRIM('Raw Sales'!M539))</x:f>
        <x:v>Credit Card</x:v>
      </x:c>
      <x:c r="AB539" s="84" t="str">
        <x:f>PROPER(TRIM('Raw Sales'!N539))</x:f>
        <x:v>Ava Mitchell</x:v>
      </x:c>
      <x:c r="AC539" s="85" t="n">
        <x:f>'Raw Sales'!O539</x:f>
        <x:v>45498</x:v>
      </x:c>
      <x:c r="AD539" s="84" t="n">
        <x:f>AC539-B539</x:f>
        <x:v>8</x:v>
      </x:c>
      <x:c r="AE539" s="84" t="str">
        <x:f>IF(COUNTIF($A$5:A539,A539)&gt;1,"Duplicate","Keep")</x:f>
        <x:v>Keep</x:v>
      </x:c>
      <x:c r="AF539" s="84" t="str">
        <x:f>IF(OR(R539&lt;=0,AC539&lt;B539,H539="Unknown",M539="Unknown Product"),"Review","Valid")</x:f>
        <x:v>Valid</x:v>
      </x:c>
      <x:c r="AG539" s="84" t="n">
        <x:f>IF(AND(AE539="Keep",AF539="Valid"),1,0)</x:f>
        <x:v>1</x:v>
      </x:c>
      <x:c r="AH539" s="84" t="n">
        <x:f>IF(AND(AG539=1,OR('Dashboard'!$B$4="All",I539='Dashboard'!$B$4),OR('Dashboard'!$E$4="All",N539='Dashboard'!$E$4),OR('Dashboard'!$H$4="All",K539='Dashboard'!$H$4),OR('Dashboard'!$K$4="All",C539='Dashboard'!$K$4)),1,0)</x:f>
        <x:v>1</x:v>
      </x:c>
      <x:c r="AI539" s="84" t="n">
        <x:f>IF(AND(AG539=1,OR('Dashboard'!$B$4="All",I539='Dashboard'!$B$4),OR('Dashboard'!$E$4="All",N539='Dashboard'!$E$4),OR('Dashboard'!$H$4="All",K539='Dashboard'!$H$4)),1,0)</x:f>
        <x:v>1</x:v>
      </x:c>
    </x:row>
    <x:row r="540">
      <x:c r="A540" s="84" t="str">
        <x:f>'Raw Sales'!A540</x:f>
        <x:v>ORD-2024-00174</x:v>
      </x:c>
      <x:c r="B540" s="85" t="n">
        <x:f>'Raw Sales'!B540</x:f>
        <x:v>45491</x:v>
      </x:c>
      <x:c r="C540" s="84" t="n">
        <x:f>YEAR(B540)</x:f>
        <x:v>2024</x:v>
      </x:c>
      <x:c r="D540" s="91" t="n">
        <x:f>DATE(YEAR(B540),MONTH(B540),1)</x:f>
        <x:v>45474</x:v>
      </x:c>
      <x:c r="E540" s="84" t="str">
        <x:f>TEXT(B540,"mmm")</x:f>
        <x:v>Jul</x:v>
      </x:c>
      <x:c r="F540" s="84" t="str">
        <x:f>'Raw Sales'!C540</x:f>
        <x:v>CUST-0080</x:v>
      </x:c>
      <x:c r="G540" s="84" t="str">
        <x:f>PROPER(TRIM('Raw Sales'!D540))</x:f>
        <x:v>Maya Patel</x:v>
      </x:c>
      <x:c r="H540" s="84" t="str">
        <x:f>IF(TRIM('Raw Sales'!E540)="","Unknown",PROPER(TRIM('Raw Sales'!E540)))</x:f>
        <x:v>Corporate</x:v>
      </x:c>
      <x:c r="I540" s="84" t="str">
        <x:f>PROPER(TRIM('Raw Sales'!F540))</x:f>
        <x:v>Midwest</x:v>
      </x:c>
      <x:c r="J540" s="84" t="str">
        <x:f>PROPER(TRIM('Raw Sales'!G540))</x:f>
        <x:v>Columbus</x:v>
      </x:c>
      <x:c r="K540" s="84" t="str">
        <x:f>PROPER(TRIM('Raw Sales'!H540))</x:f>
        <x:v>Retail Store</x:v>
      </x:c>
      <x:c r="L540" s="84" t="str">
        <x:f>'Raw Sales'!I540</x:f>
        <x:v>ELEC-001</x:v>
      </x:c>
      <x:c r="M540" s="84" t="str">
        <x:f>IFERROR(VLOOKUP(L540,'Reference Data'!$A$5:$F$40,2,FALSE),"Unknown Product")</x:f>
        <x:v>Wireless Earbuds</x:v>
      </x:c>
      <x:c r="N540" s="84" t="str">
        <x:f>IFERROR(VLOOKUP(L540,'Reference Data'!$A$5:$F$40,3,FALSE),"Unknown")</x:f>
        <x:v>Electronics</x:v>
      </x:c>
      <x:c r="O540" s="84" t="str">
        <x:f>IFERROR(VLOOKUP(L540,'Reference Data'!$A$5:$F$40,4,FALSE),"Unknown")</x:f>
        <x:v>Audio</x:v>
      </x:c>
      <x:c r="P540" s="92" t="n">
        <x:f>IFERROR(VLOOKUP(L540,'Reference Data'!$A$5:$F$40,5,FALSE),0)</x:f>
        <x:v>69</x:v>
      </x:c>
      <x:c r="Q540" s="92" t="n">
        <x:f>IFERROR(VLOOKUP(L540,'Reference Data'!$A$5:$F$40,6,FALSE),0)</x:f>
        <x:v>36</x:v>
      </x:c>
      <x:c r="R540" s="84" t="n">
        <x:f>'Raw Sales'!J540</x:f>
        <x:v>1</x:v>
      </x:c>
      <x:c r="S540" s="87" t="n">
        <x:f>'Raw Sales'!K540</x:f>
        <x:v>0.15</x:v>
      </x:c>
      <x:c r="T540" s="93" t="n">
        <x:f>P540*R540</x:f>
        <x:v>69</x:v>
      </x:c>
      <x:c r="U540" s="93" t="n">
        <x:f>T540*S540</x:f>
        <x:v>10.35</x:v>
      </x:c>
      <x:c r="V540" s="93" t="str">
        <x:f>PROPER(TRIM('Raw Sales'!L540))</x:f>
        <x:v>Completed</x:v>
      </x:c>
      <x:c r="W540" s="93" t="n">
        <x:f>IF(V540="Returned",0,T540-U540)</x:f>
        <x:v>58.65</x:v>
      </x:c>
      <x:c r="X540" s="93" t="n">
        <x:f>IF(V540="Returned",Q540*R540*10%,Q540*R540)</x:f>
        <x:v>36</x:v>
      </x:c>
      <x:c r="Y540" s="93" t="n">
        <x:f>W540-X540</x:f>
        <x:v>22.65</x:v>
      </x:c>
      <x:c r="Z540" s="94" t="n">
        <x:f>IFERROR(Y540/W540,0)</x:f>
        <x:v>0.38618925831202044</x:v>
      </x:c>
      <x:c r="AA540" s="84" t="str">
        <x:f>PROPER(TRIM('Raw Sales'!M540))</x:f>
        <x:v>Debit Card</x:v>
      </x:c>
      <x:c r="AB540" s="84" t="str">
        <x:f>PROPER(TRIM('Raw Sales'!N540))</x:f>
        <x:v>Lucas Grant</x:v>
      </x:c>
      <x:c r="AC540" s="85" t="n">
        <x:f>'Raw Sales'!O540</x:f>
        <x:v>45491</x:v>
      </x:c>
      <x:c r="AD540" s="84" t="n">
        <x:f>AC540-B540</x:f>
        <x:v>0</x:v>
      </x:c>
      <x:c r="AE540" s="84" t="str">
        <x:f>IF(COUNTIF($A$5:A540,A540)&gt;1,"Duplicate","Keep")</x:f>
        <x:v>Keep</x:v>
      </x:c>
      <x:c r="AF540" s="84" t="str">
        <x:f>IF(OR(R540&lt;=0,AC540&lt;B540,H540="Unknown",M540="Unknown Product"),"Review","Valid")</x:f>
        <x:v>Valid</x:v>
      </x:c>
      <x:c r="AG540" s="84" t="n">
        <x:f>IF(AND(AE540="Keep",AF540="Valid"),1,0)</x:f>
        <x:v>1</x:v>
      </x:c>
      <x:c r="AH540" s="84" t="n">
        <x:f>IF(AND(AG540=1,OR('Dashboard'!$B$4="All",I540='Dashboard'!$B$4),OR('Dashboard'!$E$4="All",N540='Dashboard'!$E$4),OR('Dashboard'!$H$4="All",K540='Dashboard'!$H$4),OR('Dashboard'!$K$4="All",C540='Dashboard'!$K$4)),1,0)</x:f>
        <x:v>1</x:v>
      </x:c>
      <x:c r="AI540" s="84" t="n">
        <x:f>IF(AND(AG540=1,OR('Dashboard'!$B$4="All",I540='Dashboard'!$B$4),OR('Dashboard'!$E$4="All",N540='Dashboard'!$E$4),OR('Dashboard'!$H$4="All",K540='Dashboard'!$H$4)),1,0)</x:f>
        <x:v>1</x:v>
      </x:c>
    </x:row>
    <x:row r="541">
      <x:c r="A541" s="84" t="str">
        <x:f>'Raw Sales'!A541</x:f>
        <x:v>ORD-2024-00655</x:v>
      </x:c>
      <x:c r="B541" s="85" t="n">
        <x:f>'Raw Sales'!B541</x:f>
        <x:v>45491</x:v>
      </x:c>
      <x:c r="C541" s="84" t="n">
        <x:f>YEAR(B541)</x:f>
        <x:v>2024</x:v>
      </x:c>
      <x:c r="D541" s="91" t="n">
        <x:f>DATE(YEAR(B541),MONTH(B541),1)</x:f>
        <x:v>45474</x:v>
      </x:c>
      <x:c r="E541" s="84" t="str">
        <x:f>TEXT(B541,"mmm")</x:f>
        <x:v>Jul</x:v>
      </x:c>
      <x:c r="F541" s="84" t="str">
        <x:f>'Raw Sales'!C541</x:f>
        <x:v>CUST-0506</x:v>
      </x:c>
      <x:c r="G541" s="84" t="str">
        <x:f>PROPER(TRIM('Raw Sales'!D541))</x:f>
        <x:v>Layla Baker</x:v>
      </x:c>
      <x:c r="H541" s="84" t="str">
        <x:f>IF(TRIM('Raw Sales'!E541)="","Unknown",PROPER(TRIM('Raw Sales'!E541)))</x:f>
        <x:v>Consumer</x:v>
      </x:c>
      <x:c r="I541" s="84" t="str">
        <x:f>PROPER(TRIM('Raw Sales'!F541))</x:f>
        <x:v>Midwest</x:v>
      </x:c>
      <x:c r="J541" s="84" t="str">
        <x:f>PROPER(TRIM('Raw Sales'!G541))</x:f>
        <x:v>Columbus</x:v>
      </x:c>
      <x:c r="K541" s="84" t="str">
        <x:f>PROPER(TRIM('Raw Sales'!H541))</x:f>
        <x:v>Online</x:v>
      </x:c>
      <x:c r="L541" s="84" t="str">
        <x:f>'Raw Sales'!I541</x:f>
        <x:v>CARE-005</x:v>
      </x:c>
      <x:c r="M541" s="84" t="str">
        <x:f>IFERROR(VLOOKUP(L541,'Reference Data'!$A$5:$F$40,2,FALSE),"Unknown Product")</x:f>
        <x:v>Skin Care Starter Kit</x:v>
      </x:c>
      <x:c r="N541" s="84" t="str">
        <x:f>IFERROR(VLOOKUP(L541,'Reference Data'!$A$5:$F$40,3,FALSE),"Unknown")</x:f>
        <x:v>Personal Care</x:v>
      </x:c>
      <x:c r="O541" s="84" t="str">
        <x:f>IFERROR(VLOOKUP(L541,'Reference Data'!$A$5:$F$40,4,FALSE),"Unknown")</x:f>
        <x:v>Skin Care</x:v>
      </x:c>
      <x:c r="P541" s="92" t="n">
        <x:f>IFERROR(VLOOKUP(L541,'Reference Data'!$A$5:$F$40,5,FALSE),0)</x:f>
        <x:v>58</x:v>
      </x:c>
      <x:c r="Q541" s="92" t="n">
        <x:f>IFERROR(VLOOKUP(L541,'Reference Data'!$A$5:$F$40,6,FALSE),0)</x:f>
        <x:v>24</x:v>
      </x:c>
      <x:c r="R541" s="84" t="n">
        <x:f>'Raw Sales'!J541</x:f>
        <x:v>1</x:v>
      </x:c>
      <x:c r="S541" s="87" t="n">
        <x:f>'Raw Sales'!K541</x:f>
        <x:v>0.1</x:v>
      </x:c>
      <x:c r="T541" s="93" t="n">
        <x:f>P541*R541</x:f>
        <x:v>58</x:v>
      </x:c>
      <x:c r="U541" s="93" t="n">
        <x:f>T541*S541</x:f>
        <x:v>5.800000000000001</x:v>
      </x:c>
      <x:c r="V541" s="93" t="str">
        <x:f>PROPER(TRIM('Raw Sales'!L541))</x:f>
        <x:v>Completed</x:v>
      </x:c>
      <x:c r="W541" s="93" t="n">
        <x:f>IF(V541="Returned",0,T541-U541)</x:f>
        <x:v>52.2</x:v>
      </x:c>
      <x:c r="X541" s="93" t="n">
        <x:f>IF(V541="Returned",Q541*R541*10%,Q541*R541)</x:f>
        <x:v>24</x:v>
      </x:c>
      <x:c r="Y541" s="93" t="n">
        <x:f>W541-X541</x:f>
        <x:v>28.200000000000003</x:v>
      </x:c>
      <x:c r="Z541" s="94" t="n">
        <x:f>IFERROR(Y541/W541,0)</x:f>
        <x:v>0.5402298850574713</x:v>
      </x:c>
      <x:c r="AA541" s="84" t="str">
        <x:f>PROPER(TRIM('Raw Sales'!M541))</x:f>
        <x:v>Credit Card</x:v>
      </x:c>
      <x:c r="AB541" s="84" t="str">
        <x:f>PROPER(TRIM('Raw Sales'!N541))</x:f>
        <x:v>Zoe Turner</x:v>
      </x:c>
      <x:c r="AC541" s="85" t="n">
        <x:f>'Raw Sales'!O541</x:f>
        <x:v>45495</x:v>
      </x:c>
      <x:c r="AD541" s="84" t="n">
        <x:f>AC541-B541</x:f>
        <x:v>4</x:v>
      </x:c>
      <x:c r="AE541" s="84" t="str">
        <x:f>IF(COUNTIF($A$5:A541,A541)&gt;1,"Duplicate","Keep")</x:f>
        <x:v>Keep</x:v>
      </x:c>
      <x:c r="AF541" s="84" t="str">
        <x:f>IF(OR(R541&lt;=0,AC541&lt;B541,H541="Unknown",M541="Unknown Product"),"Review","Valid")</x:f>
        <x:v>Valid</x:v>
      </x:c>
      <x:c r="AG541" s="84" t="n">
        <x:f>IF(AND(AE541="Keep",AF541="Valid"),1,0)</x:f>
        <x:v>1</x:v>
      </x:c>
      <x:c r="AH541" s="84" t="n">
        <x:f>IF(AND(AG541=1,OR('Dashboard'!$B$4="All",I541='Dashboard'!$B$4),OR('Dashboard'!$E$4="All",N541='Dashboard'!$E$4),OR('Dashboard'!$H$4="All",K541='Dashboard'!$H$4),OR('Dashboard'!$K$4="All",C541='Dashboard'!$K$4)),1,0)</x:f>
        <x:v>1</x:v>
      </x:c>
      <x:c r="AI541" s="84" t="n">
        <x:f>IF(AND(AG541=1,OR('Dashboard'!$B$4="All",I541='Dashboard'!$B$4),OR('Dashboard'!$E$4="All",N541='Dashboard'!$E$4),OR('Dashboard'!$H$4="All",K541='Dashboard'!$H$4)),1,0)</x:f>
        <x:v>1</x:v>
      </x:c>
    </x:row>
    <x:row r="542">
      <x:c r="A542" s="84" t="str">
        <x:f>'Raw Sales'!A542</x:f>
        <x:v>ORD-2024-00818</x:v>
      </x:c>
      <x:c r="B542" s="85" t="n">
        <x:f>'Raw Sales'!B542</x:f>
        <x:v>45491</x:v>
      </x:c>
      <x:c r="C542" s="84" t="n">
        <x:f>YEAR(B542)</x:f>
        <x:v>2024</x:v>
      </x:c>
      <x:c r="D542" s="91" t="n">
        <x:f>DATE(YEAR(B542),MONTH(B542),1)</x:f>
        <x:v>45474</x:v>
      </x:c>
      <x:c r="E542" s="84" t="str">
        <x:f>TEXT(B542,"mmm")</x:f>
        <x:v>Jul</x:v>
      </x:c>
      <x:c r="F542" s="84" t="str">
        <x:f>'Raw Sales'!C542</x:f>
        <x:v>CUST-0387</x:v>
      </x:c>
      <x:c r="G542" s="84" t="str">
        <x:f>PROPER(TRIM('Raw Sales'!D542))</x:f>
        <x:v>Samuel Evans</x:v>
      </x:c>
      <x:c r="H542" s="84" t="str">
        <x:f>IF(TRIM('Raw Sales'!E542)="","Unknown",PROPER(TRIM('Raw Sales'!E542)))</x:f>
        <x:v>Small Business</x:v>
      </x:c>
      <x:c r="I542" s="84" t="str">
        <x:f>PROPER(TRIM('Raw Sales'!F542))</x:f>
        <x:v>West</x:v>
      </x:c>
      <x:c r="J542" s="84" t="str">
        <x:f>PROPER(TRIM('Raw Sales'!G542))</x:f>
        <x:v>Denver</x:v>
      </x:c>
      <x:c r="K542" s="84" t="str">
        <x:f>PROPER(TRIM('Raw Sales'!H542))</x:f>
        <x:v>Online</x:v>
      </x:c>
      <x:c r="L542" s="84" t="str">
        <x:f>'Raw Sales'!I542</x:f>
        <x:v>ACCS-006</x:v>
      </x:c>
      <x:c r="M542" s="84" t="str">
        <x:f>IFERROR(VLOOKUP(L542,'Reference Data'!$A$5:$F$40,2,FALSE),"Unknown Product")</x:f>
        <x:v>Insulated Lunch Bag</x:v>
      </x:c>
      <x:c r="N542" s="84" t="str">
        <x:f>IFERROR(VLOOKUP(L542,'Reference Data'!$A$5:$F$40,3,FALSE),"Unknown")</x:f>
        <x:v>Accessories</x:v>
      </x:c>
      <x:c r="O542" s="84" t="str">
        <x:f>IFERROR(VLOOKUP(L542,'Reference Data'!$A$5:$F$40,4,FALSE),"Unknown")</x:f>
        <x:v>Bags</x:v>
      </x:c>
      <x:c r="P542" s="92" t="n">
        <x:f>IFERROR(VLOOKUP(L542,'Reference Data'!$A$5:$F$40,5,FALSE),0)</x:f>
        <x:v>29</x:v>
      </x:c>
      <x:c r="Q542" s="92" t="n">
        <x:f>IFERROR(VLOOKUP(L542,'Reference Data'!$A$5:$F$40,6,FALSE),0)</x:f>
        <x:v>10</x:v>
      </x:c>
      <x:c r="R542" s="84" t="n">
        <x:f>'Raw Sales'!J542</x:f>
        <x:v>1</x:v>
      </x:c>
      <x:c r="S542" s="87" t="n">
        <x:f>'Raw Sales'!K542</x:f>
        <x:v>0</x:v>
      </x:c>
      <x:c r="T542" s="93" t="n">
        <x:f>P542*R542</x:f>
        <x:v>29</x:v>
      </x:c>
      <x:c r="U542" s="93" t="n">
        <x:f>T542*S542</x:f>
        <x:v>0</x:v>
      </x:c>
      <x:c r="V542" s="93" t="str">
        <x:f>PROPER(TRIM('Raw Sales'!L542))</x:f>
        <x:v>Completed</x:v>
      </x:c>
      <x:c r="W542" s="93" t="n">
        <x:f>IF(V542="Returned",0,T542-U542)</x:f>
        <x:v>29</x:v>
      </x:c>
      <x:c r="X542" s="93" t="n">
        <x:f>IF(V542="Returned",Q542*R542*10%,Q542*R542)</x:f>
        <x:v>10</x:v>
      </x:c>
      <x:c r="Y542" s="93" t="n">
        <x:f>W542-X542</x:f>
        <x:v>19</x:v>
      </x:c>
      <x:c r="Z542" s="94" t="n">
        <x:f>IFERROR(Y542/W542,0)</x:f>
        <x:v>0.6551724137931034</x:v>
      </x:c>
      <x:c r="AA542" s="84" t="str">
        <x:f>PROPER(TRIM('Raw Sales'!M542))</x:f>
        <x:v>Paypal</x:v>
      </x:c>
      <x:c r="AB542" s="84" t="str">
        <x:f>PROPER(TRIM('Raw Sales'!N542))</x:f>
        <x:v>Nora Kim</x:v>
      </x:c>
      <x:c r="AC542" s="85" t="n">
        <x:f>'Raw Sales'!O542</x:f>
        <x:v>45496</x:v>
      </x:c>
      <x:c r="AD542" s="84" t="n">
        <x:f>AC542-B542</x:f>
        <x:v>5</x:v>
      </x:c>
      <x:c r="AE542" s="84" t="str">
        <x:f>IF(COUNTIF($A$5:A542,A542)&gt;1,"Duplicate","Keep")</x:f>
        <x:v>Keep</x:v>
      </x:c>
      <x:c r="AF542" s="84" t="str">
        <x:f>IF(OR(R542&lt;=0,AC542&lt;B542,H542="Unknown",M542="Unknown Product"),"Review","Valid")</x:f>
        <x:v>Valid</x:v>
      </x:c>
      <x:c r="AG542" s="84" t="n">
        <x:f>IF(AND(AE542="Keep",AF542="Valid"),1,0)</x:f>
        <x:v>1</x:v>
      </x:c>
      <x:c r="AH542" s="84" t="n">
        <x:f>IF(AND(AG542=1,OR('Dashboard'!$B$4="All",I542='Dashboard'!$B$4),OR('Dashboard'!$E$4="All",N542='Dashboard'!$E$4),OR('Dashboard'!$H$4="All",K542='Dashboard'!$H$4),OR('Dashboard'!$K$4="All",C542='Dashboard'!$K$4)),1,0)</x:f>
        <x:v>1</x:v>
      </x:c>
      <x:c r="AI542" s="84" t="n">
        <x:f>IF(AND(AG542=1,OR('Dashboard'!$B$4="All",I542='Dashboard'!$B$4),OR('Dashboard'!$E$4="All",N542='Dashboard'!$E$4),OR('Dashboard'!$H$4="All",K542='Dashboard'!$H$4)),1,0)</x:f>
        <x:v>1</x:v>
      </x:c>
    </x:row>
    <x:row r="543">
      <x:c r="A543" s="84" t="str">
        <x:f>'Raw Sales'!A543</x:f>
        <x:v>ORD-2024-01903</x:v>
      </x:c>
      <x:c r="B543" s="85" t="n">
        <x:f>'Raw Sales'!B543</x:f>
        <x:v>45491</x:v>
      </x:c>
      <x:c r="C543" s="84" t="n">
        <x:f>YEAR(B543)</x:f>
        <x:v>2024</x:v>
      </x:c>
      <x:c r="D543" s="91" t="n">
        <x:f>DATE(YEAR(B543),MONTH(B543),1)</x:f>
        <x:v>45474</x:v>
      </x:c>
      <x:c r="E543" s="84" t="str">
        <x:f>TEXT(B543,"mmm")</x:f>
        <x:v>Jul</x:v>
      </x:c>
      <x:c r="F543" s="84" t="str">
        <x:f>'Raw Sales'!C543</x:f>
        <x:v>CUST-0187</x:v>
      </x:c>
      <x:c r="G543" s="84" t="str">
        <x:f>PROPER(TRIM('Raw Sales'!D543))</x:f>
        <x:v>Jasmine Ortiz</x:v>
      </x:c>
      <x:c r="H543" s="84" t="str">
        <x:f>IF(TRIM('Raw Sales'!E543)="","Unknown",PROPER(TRIM('Raw Sales'!E543)))</x:f>
        <x:v>Consumer</x:v>
      </x:c>
      <x:c r="I543" s="84" t="str">
        <x:f>PROPER(TRIM('Raw Sales'!F543))</x:f>
        <x:v>Midwest</x:v>
      </x:c>
      <x:c r="J543" s="84" t="str">
        <x:f>PROPER(TRIM('Raw Sales'!G543))</x:f>
        <x:v>Chicago</x:v>
      </x:c>
      <x:c r="K543" s="84" t="str">
        <x:f>PROPER(TRIM('Raw Sales'!H543))</x:f>
        <x:v>Retail Store</x:v>
      </x:c>
      <x:c r="L543" s="84" t="str">
        <x:f>'Raw Sales'!I543</x:f>
        <x:v>CARE-003</x:v>
      </x:c>
      <x:c r="M543" s="84" t="str">
        <x:f>IFERROR(VLOOKUP(L543,'Reference Data'!$A$5:$F$40,2,FALSE),"Unknown Product")</x:f>
        <x:v>Facial Cleanser</x:v>
      </x:c>
      <x:c r="N543" s="84" t="str">
        <x:f>IFERROR(VLOOKUP(L543,'Reference Data'!$A$5:$F$40,3,FALSE),"Unknown")</x:f>
        <x:v>Personal Care</x:v>
      </x:c>
      <x:c r="O543" s="84" t="str">
        <x:f>IFERROR(VLOOKUP(L543,'Reference Data'!$A$5:$F$40,4,FALSE),"Unknown")</x:f>
        <x:v>Skin Care</x:v>
      </x:c>
      <x:c r="P543" s="92" t="n">
        <x:f>IFERROR(VLOOKUP(L543,'Reference Data'!$A$5:$F$40,5,FALSE),0)</x:f>
        <x:v>18</x:v>
      </x:c>
      <x:c r="Q543" s="92" t="n">
        <x:f>IFERROR(VLOOKUP(L543,'Reference Data'!$A$5:$F$40,6,FALSE),0)</x:f>
        <x:v>6</x:v>
      </x:c>
      <x:c r="R543" s="84" t="n">
        <x:f>'Raw Sales'!J543</x:f>
        <x:v>1</x:v>
      </x:c>
      <x:c r="S543" s="87" t="n">
        <x:f>'Raw Sales'!K543</x:f>
        <x:v>0</x:v>
      </x:c>
      <x:c r="T543" s="93" t="n">
        <x:f>P543*R543</x:f>
        <x:v>18</x:v>
      </x:c>
      <x:c r="U543" s="93" t="n">
        <x:f>T543*S543</x:f>
        <x:v>0</x:v>
      </x:c>
      <x:c r="V543" s="93" t="str">
        <x:f>PROPER(TRIM('Raw Sales'!L543))</x:f>
        <x:v>Completed</x:v>
      </x:c>
      <x:c r="W543" s="93" t="n">
        <x:f>IF(V543="Returned",0,T543-U543)</x:f>
        <x:v>18</x:v>
      </x:c>
      <x:c r="X543" s="93" t="n">
        <x:f>IF(V543="Returned",Q543*R543*10%,Q543*R543)</x:f>
        <x:v>6</x:v>
      </x:c>
      <x:c r="Y543" s="93" t="n">
        <x:f>W543-X543</x:f>
        <x:v>12</x:v>
      </x:c>
      <x:c r="Z543" s="94" t="n">
        <x:f>IFERROR(Y543/W543,0)</x:f>
        <x:v>0.6666666666666666</x:v>
      </x:c>
      <x:c r="AA543" s="84" t="str">
        <x:f>PROPER(TRIM('Raw Sales'!M543))</x:f>
        <x:v>Debit Card</x:v>
      </x:c>
      <x:c r="AB543" s="84" t="str">
        <x:f>PROPER(TRIM('Raw Sales'!N543))</x:f>
        <x:v>Lucas Grant</x:v>
      </x:c>
      <x:c r="AC543" s="85" t="n">
        <x:f>'Raw Sales'!O543</x:f>
        <x:v>45491</x:v>
      </x:c>
      <x:c r="AD543" s="84" t="n">
        <x:f>AC543-B543</x:f>
        <x:v>0</x:v>
      </x:c>
      <x:c r="AE543" s="84" t="str">
        <x:f>IF(COUNTIF($A$5:A543,A543)&gt;1,"Duplicate","Keep")</x:f>
        <x:v>Keep</x:v>
      </x:c>
      <x:c r="AF543" s="84" t="str">
        <x:f>IF(OR(R543&lt;=0,AC543&lt;B543,H543="Unknown",M543="Unknown Product"),"Review","Valid")</x:f>
        <x:v>Valid</x:v>
      </x:c>
      <x:c r="AG543" s="84" t="n">
        <x:f>IF(AND(AE543="Keep",AF543="Valid"),1,0)</x:f>
        <x:v>1</x:v>
      </x:c>
      <x:c r="AH543" s="84" t="n">
        <x:f>IF(AND(AG543=1,OR('Dashboard'!$B$4="All",I543='Dashboard'!$B$4),OR('Dashboard'!$E$4="All",N543='Dashboard'!$E$4),OR('Dashboard'!$H$4="All",K543='Dashboard'!$H$4),OR('Dashboard'!$K$4="All",C543='Dashboard'!$K$4)),1,0)</x:f>
        <x:v>1</x:v>
      </x:c>
      <x:c r="AI543" s="84" t="n">
        <x:f>IF(AND(AG543=1,OR('Dashboard'!$B$4="All",I543='Dashboard'!$B$4),OR('Dashboard'!$E$4="All",N543='Dashboard'!$E$4),OR('Dashboard'!$H$4="All",K543='Dashboard'!$H$4)),1,0)</x:f>
        <x:v>1</x:v>
      </x:c>
    </x:row>
    <x:row r="544">
      <x:c r="A544" s="84" t="str">
        <x:f>'Raw Sales'!A544</x:f>
        <x:v>ORD-2024-00791</x:v>
      </x:c>
      <x:c r="B544" s="85" t="n">
        <x:f>'Raw Sales'!B544</x:f>
        <x:v>45492</x:v>
      </x:c>
      <x:c r="C544" s="84" t="n">
        <x:f>YEAR(B544)</x:f>
        <x:v>2024</x:v>
      </x:c>
      <x:c r="D544" s="91" t="n">
        <x:f>DATE(YEAR(B544),MONTH(B544),1)</x:f>
        <x:v>45474</x:v>
      </x:c>
      <x:c r="E544" s="84" t="str">
        <x:f>TEXT(B544,"mmm")</x:f>
        <x:v>Jul</x:v>
      </x:c>
      <x:c r="F544" s="84" t="str">
        <x:f>'Raw Sales'!C544</x:f>
        <x:v>CUST-0051</x:v>
      </x:c>
      <x:c r="G544" s="84" t="str">
        <x:f>PROPER(TRIM('Raw Sales'!D544))</x:f>
        <x:v>Marcus Moore</x:v>
      </x:c>
      <x:c r="H544" s="84" t="str">
        <x:f>IF(TRIM('Raw Sales'!E544)="","Unknown",PROPER(TRIM('Raw Sales'!E544)))</x:f>
        <x:v>Consumer</x:v>
      </x:c>
      <x:c r="I544" s="84" t="str">
        <x:f>PROPER(TRIM('Raw Sales'!F544))</x:f>
        <x:v>West</x:v>
      </x:c>
      <x:c r="J544" s="84" t="str">
        <x:f>PROPER(TRIM('Raw Sales'!G544))</x:f>
        <x:v>Seattle</x:v>
      </x:c>
      <x:c r="K544" s="84" t="str">
        <x:f>PROPER(TRIM('Raw Sales'!H544))</x:f>
        <x:v>Marketplace</x:v>
      </x:c>
      <x:c r="L544" s="84" t="str">
        <x:f>'Raw Sales'!I544</x:f>
        <x:v>ELEC-006</x:v>
      </x:c>
      <x:c r="M544" s="84" t="str">
        <x:f>IFERROR(VLOOKUP(L544,'Reference Data'!$A$5:$F$40,2,FALSE),"Unknown Product")</x:f>
        <x:v>Portable SSD</x:v>
      </x:c>
      <x:c r="N544" s="84" t="str">
        <x:f>IFERROR(VLOOKUP(L544,'Reference Data'!$A$5:$F$40,3,FALSE),"Unknown")</x:f>
        <x:v>Electronics</x:v>
      </x:c>
      <x:c r="O544" s="84" t="str">
        <x:f>IFERROR(VLOOKUP(L544,'Reference Data'!$A$5:$F$40,4,FALSE),"Unknown")</x:f>
        <x:v>Storage</x:v>
      </x:c>
      <x:c r="P544" s="92" t="n">
        <x:f>IFERROR(VLOOKUP(L544,'Reference Data'!$A$5:$F$40,5,FALSE),0)</x:f>
        <x:v>129</x:v>
      </x:c>
      <x:c r="Q544" s="92" t="n">
        <x:f>IFERROR(VLOOKUP(L544,'Reference Data'!$A$5:$F$40,6,FALSE),0)</x:f>
        <x:v>75</x:v>
      </x:c>
      <x:c r="R544" s="84" t="n">
        <x:f>'Raw Sales'!J544</x:f>
        <x:v>1</x:v>
      </x:c>
      <x:c r="S544" s="87" t="n">
        <x:f>'Raw Sales'!K544</x:f>
        <x:v>0.05</x:v>
      </x:c>
      <x:c r="T544" s="93" t="n">
        <x:f>P544*R544</x:f>
        <x:v>129</x:v>
      </x:c>
      <x:c r="U544" s="93" t="n">
        <x:f>T544*S544</x:f>
        <x:v>6.45</x:v>
      </x:c>
      <x:c r="V544" s="93" t="str">
        <x:f>PROPER(TRIM('Raw Sales'!L544))</x:f>
        <x:v>Completed</x:v>
      </x:c>
      <x:c r="W544" s="93" t="n">
        <x:f>IF(V544="Returned",0,T544-U544)</x:f>
        <x:v>122.55</x:v>
      </x:c>
      <x:c r="X544" s="93" t="n">
        <x:f>IF(V544="Returned",Q544*R544*10%,Q544*R544)</x:f>
        <x:v>75</x:v>
      </x:c>
      <x:c r="Y544" s="93" t="n">
        <x:f>W544-X544</x:f>
        <x:v>47.55</x:v>
      </x:c>
      <x:c r="Z544" s="94" t="n">
        <x:f>IFERROR(Y544/W544,0)</x:f>
        <x:v>0.3880048959608323</x:v>
      </x:c>
      <x:c r="AA544" s="84" t="str">
        <x:f>PROPER(TRIM('Raw Sales'!M544))</x:f>
        <x:v>Credit Card</x:v>
      </x:c>
      <x:c r="AB544" s="84" t="str">
        <x:f>PROPER(TRIM('Raw Sales'!N544))</x:f>
        <x:v>Mia Chen</x:v>
      </x:c>
      <x:c r="AC544" s="85" t="n">
        <x:f>'Raw Sales'!O544</x:f>
        <x:v>45499</x:v>
      </x:c>
      <x:c r="AD544" s="84" t="n">
        <x:f>AC544-B544</x:f>
        <x:v>7</x:v>
      </x:c>
      <x:c r="AE544" s="84" t="str">
        <x:f>IF(COUNTIF($A$5:A544,A544)&gt;1,"Duplicate","Keep")</x:f>
        <x:v>Keep</x:v>
      </x:c>
      <x:c r="AF544" s="84" t="str">
        <x:f>IF(OR(R544&lt;=0,AC544&lt;B544,H544="Unknown",M544="Unknown Product"),"Review","Valid")</x:f>
        <x:v>Valid</x:v>
      </x:c>
      <x:c r="AG544" s="84" t="n">
        <x:f>IF(AND(AE544="Keep",AF544="Valid"),1,0)</x:f>
        <x:v>1</x:v>
      </x:c>
      <x:c r="AH544" s="84" t="n">
        <x:f>IF(AND(AG544=1,OR('Dashboard'!$B$4="All",I544='Dashboard'!$B$4),OR('Dashboard'!$E$4="All",N544='Dashboard'!$E$4),OR('Dashboard'!$H$4="All",K544='Dashboard'!$H$4),OR('Dashboard'!$K$4="All",C544='Dashboard'!$K$4)),1,0)</x:f>
        <x:v>1</x:v>
      </x:c>
      <x:c r="AI544" s="84" t="n">
        <x:f>IF(AND(AG544=1,OR('Dashboard'!$B$4="All",I544='Dashboard'!$B$4),OR('Dashboard'!$E$4="All",N544='Dashboard'!$E$4),OR('Dashboard'!$H$4="All",K544='Dashboard'!$H$4)),1,0)</x:f>
        <x:v>1</x:v>
      </x:c>
    </x:row>
    <x:row r="545">
      <x:c r="A545" s="84" t="str">
        <x:f>'Raw Sales'!A545</x:f>
        <x:v>ORD-2024-01406</x:v>
      </x:c>
      <x:c r="B545" s="85" t="n">
        <x:f>'Raw Sales'!B545</x:f>
        <x:v>45492</x:v>
      </x:c>
      <x:c r="C545" s="84" t="n">
        <x:f>YEAR(B545)</x:f>
        <x:v>2024</x:v>
      </x:c>
      <x:c r="D545" s="91" t="n">
        <x:f>DATE(YEAR(B545),MONTH(B545),1)</x:f>
        <x:v>45474</x:v>
      </x:c>
      <x:c r="E545" s="84" t="str">
        <x:f>TEXT(B545,"mmm")</x:f>
        <x:v>Jul</x:v>
      </x:c>
      <x:c r="F545" s="84" t="str">
        <x:f>'Raw Sales'!C545</x:f>
        <x:v>CUST-0146</x:v>
      </x:c>
      <x:c r="G545" s="84" t="str">
        <x:f>PROPER(TRIM('Raw Sales'!D545))</x:f>
        <x:v>Elena Quinn</x:v>
      </x:c>
      <x:c r="H545" s="84" t="str">
        <x:f>IF(TRIM('Raw Sales'!E545)="","Unknown",PROPER(TRIM('Raw Sales'!E545)))</x:f>
        <x:v>Consumer</x:v>
      </x:c>
      <x:c r="I545" s="84" t="str">
        <x:f>PROPER(TRIM('Raw Sales'!F545))</x:f>
        <x:v>West</x:v>
      </x:c>
      <x:c r="J545" s="84" t="str">
        <x:f>PROPER(TRIM('Raw Sales'!G545))</x:f>
        <x:v>Seattle</x:v>
      </x:c>
      <x:c r="K545" s="84" t="str">
        <x:f>PROPER(TRIM('Raw Sales'!H545))</x:f>
        <x:v>Marketplace</x:v>
      </x:c>
      <x:c r="L545" s="84" t="str">
        <x:f>'Raw Sales'!I545</x:f>
        <x:v>CARE-003</x:v>
      </x:c>
      <x:c r="M545" s="84" t="str">
        <x:f>IFERROR(VLOOKUP(L545,'Reference Data'!$A$5:$F$40,2,FALSE),"Unknown Product")</x:f>
        <x:v>Facial Cleanser</x:v>
      </x:c>
      <x:c r="N545" s="84" t="str">
        <x:f>IFERROR(VLOOKUP(L545,'Reference Data'!$A$5:$F$40,3,FALSE),"Unknown")</x:f>
        <x:v>Personal Care</x:v>
      </x:c>
      <x:c r="O545" s="84" t="str">
        <x:f>IFERROR(VLOOKUP(L545,'Reference Data'!$A$5:$F$40,4,FALSE),"Unknown")</x:f>
        <x:v>Skin Care</x:v>
      </x:c>
      <x:c r="P545" s="92" t="n">
        <x:f>IFERROR(VLOOKUP(L545,'Reference Data'!$A$5:$F$40,5,FALSE),0)</x:f>
        <x:v>18</x:v>
      </x:c>
      <x:c r="Q545" s="92" t="n">
        <x:f>IFERROR(VLOOKUP(L545,'Reference Data'!$A$5:$F$40,6,FALSE),0)</x:f>
        <x:v>6</x:v>
      </x:c>
      <x:c r="R545" s="84" t="n">
        <x:f>'Raw Sales'!J545</x:f>
        <x:v>1</x:v>
      </x:c>
      <x:c r="S545" s="87" t="n">
        <x:f>'Raw Sales'!K545</x:f>
        <x:v>0.1</x:v>
      </x:c>
      <x:c r="T545" s="93" t="n">
        <x:f>P545*R545</x:f>
        <x:v>18</x:v>
      </x:c>
      <x:c r="U545" s="93" t="n">
        <x:f>T545*S545</x:f>
        <x:v>1.8</x:v>
      </x:c>
      <x:c r="V545" s="93" t="str">
        <x:f>PROPER(TRIM('Raw Sales'!L545))</x:f>
        <x:v>Completed</x:v>
      </x:c>
      <x:c r="W545" s="93" t="n">
        <x:f>IF(V545="Returned",0,T545-U545)</x:f>
        <x:v>16.2</x:v>
      </x:c>
      <x:c r="X545" s="93" t="n">
        <x:f>IF(V545="Returned",Q545*R545*10%,Q545*R545)</x:f>
        <x:v>6</x:v>
      </x:c>
      <x:c r="Y545" s="93" t="n">
        <x:f>W545-X545</x:f>
        <x:v>10.2</x:v>
      </x:c>
      <x:c r="Z545" s="94" t="n">
        <x:f>IFERROR(Y545/W545,0)</x:f>
        <x:v>0.6296296296296297</x:v>
      </x:c>
      <x:c r="AA545" s="84" t="str">
        <x:f>PROPER(TRIM('Raw Sales'!M545))</x:f>
        <x:v>Paypal</x:v>
      </x:c>
      <x:c r="AB545" s="84" t="str">
        <x:f>PROPER(TRIM('Raw Sales'!N545))</x:f>
        <x:v>Nora Kim</x:v>
      </x:c>
      <x:c r="AC545" s="85" t="n">
        <x:f>'Raw Sales'!O545</x:f>
        <x:v>45497</x:v>
      </x:c>
      <x:c r="AD545" s="84" t="n">
        <x:f>AC545-B545</x:f>
        <x:v>5</x:v>
      </x:c>
      <x:c r="AE545" s="84" t="str">
        <x:f>IF(COUNTIF($A$5:A545,A545)&gt;1,"Duplicate","Keep")</x:f>
        <x:v>Keep</x:v>
      </x:c>
      <x:c r="AF545" s="84" t="str">
        <x:f>IF(OR(R545&lt;=0,AC545&lt;B545,H545="Unknown",M545="Unknown Product"),"Review","Valid")</x:f>
        <x:v>Valid</x:v>
      </x:c>
      <x:c r="AG545" s="84" t="n">
        <x:f>IF(AND(AE545="Keep",AF545="Valid"),1,0)</x:f>
        <x:v>1</x:v>
      </x:c>
      <x:c r="AH545" s="84" t="n">
        <x:f>IF(AND(AG545=1,OR('Dashboard'!$B$4="All",I545='Dashboard'!$B$4),OR('Dashboard'!$E$4="All",N545='Dashboard'!$E$4),OR('Dashboard'!$H$4="All",K545='Dashboard'!$H$4),OR('Dashboard'!$K$4="All",C545='Dashboard'!$K$4)),1,0)</x:f>
        <x:v>1</x:v>
      </x:c>
      <x:c r="AI545" s="84" t="n">
        <x:f>IF(AND(AG545=1,OR('Dashboard'!$B$4="All",I545='Dashboard'!$B$4),OR('Dashboard'!$E$4="All",N545='Dashboard'!$E$4),OR('Dashboard'!$H$4="All",K545='Dashboard'!$H$4)),1,0)</x:f>
        <x:v>1</x:v>
      </x:c>
    </x:row>
    <x:row r="546">
      <x:c r="A546" s="84" t="str">
        <x:f>'Raw Sales'!A546</x:f>
        <x:v>ORD-2024-01574</x:v>
      </x:c>
      <x:c r="B546" s="85" t="n">
        <x:f>'Raw Sales'!B546</x:f>
        <x:v>45492</x:v>
      </x:c>
      <x:c r="C546" s="84" t="n">
        <x:f>YEAR(B546)</x:f>
        <x:v>2024</x:v>
      </x:c>
      <x:c r="D546" s="91" t="n">
        <x:f>DATE(YEAR(B546),MONTH(B546),1)</x:f>
        <x:v>45474</x:v>
      </x:c>
      <x:c r="E546" s="84" t="str">
        <x:f>TEXT(B546,"mmm")</x:f>
        <x:v>Jul</x:v>
      </x:c>
      <x:c r="F546" s="84" t="str">
        <x:f>'Raw Sales'!C546</x:f>
        <x:v>CUST-0477</x:v>
      </x:c>
      <x:c r="G546" s="84" t="str">
        <x:f>PROPER(TRIM('Raw Sales'!D546))</x:f>
        <x:v>William Adams</x:v>
      </x:c>
      <x:c r="H546" s="84" t="str">
        <x:f>IF(TRIM('Raw Sales'!E546)="","Unknown",PROPER(TRIM('Raw Sales'!E546)))</x:f>
        <x:v>Small Business</x:v>
      </x:c>
      <x:c r="I546" s="84" t="str">
        <x:f>PROPER(TRIM('Raw Sales'!F546))</x:f>
        <x:v>Southeast</x:v>
      </x:c>
      <x:c r="J546" s="84" t="str">
        <x:f>PROPER(TRIM('Raw Sales'!G546))</x:f>
        <x:v>Nashville</x:v>
      </x:c>
      <x:c r="K546" s="84" t="str">
        <x:f>PROPER(TRIM('Raw Sales'!H546))</x:f>
        <x:v>Retail Store</x:v>
      </x:c>
      <x:c r="L546" s="84" t="str">
        <x:f>'Raw Sales'!I546</x:f>
        <x:v>FITN-002</x:v>
      </x:c>
      <x:c r="M546" s="84" t="str">
        <x:f>IFERROR(VLOOKUP(L546,'Reference Data'!$A$5:$F$40,2,FALSE),"Unknown Product")</x:f>
        <x:v>Adjustable Dumbbell Set</x:v>
      </x:c>
      <x:c r="N546" s="84" t="str">
        <x:f>IFERROR(VLOOKUP(L546,'Reference Data'!$A$5:$F$40,3,FALSE),"Unknown")</x:f>
        <x:v>Fitness</x:v>
      </x:c>
      <x:c r="O546" s="84" t="str">
        <x:f>IFERROR(VLOOKUP(L546,'Reference Data'!$A$5:$F$40,4,FALSE),"Unknown")</x:f>
        <x:v>Strength</x:v>
      </x:c>
      <x:c r="P546" s="92" t="n">
        <x:f>IFERROR(VLOOKUP(L546,'Reference Data'!$A$5:$F$40,5,FALSE),0)</x:f>
        <x:v>99</x:v>
      </x:c>
      <x:c r="Q546" s="92" t="n">
        <x:f>IFERROR(VLOOKUP(L546,'Reference Data'!$A$5:$F$40,6,FALSE),0)</x:f>
        <x:v>57</x:v>
      </x:c>
      <x:c r="R546" s="84" t="n">
        <x:f>'Raw Sales'!J546</x:f>
        <x:v>2</x:v>
      </x:c>
      <x:c r="S546" s="87" t="n">
        <x:f>'Raw Sales'!K546</x:f>
        <x:v>0.2</x:v>
      </x:c>
      <x:c r="T546" s="93" t="n">
        <x:f>P546*R546</x:f>
        <x:v>198</x:v>
      </x:c>
      <x:c r="U546" s="93" t="n">
        <x:f>T546*S546</x:f>
        <x:v>39.6</x:v>
      </x:c>
      <x:c r="V546" s="93" t="str">
        <x:f>PROPER(TRIM('Raw Sales'!L546))</x:f>
        <x:v>Completed</x:v>
      </x:c>
      <x:c r="W546" s="93" t="n">
        <x:f>IF(V546="Returned",0,T546-U546)</x:f>
        <x:v>158.4</x:v>
      </x:c>
      <x:c r="X546" s="93" t="n">
        <x:f>IF(V546="Returned",Q546*R546*10%,Q546*R546)</x:f>
        <x:v>114</x:v>
      </x:c>
      <x:c r="Y546" s="93" t="n">
        <x:f>W546-X546</x:f>
        <x:v>44.400000000000006</x:v>
      </x:c>
      <x:c r="Z546" s="94" t="n">
        <x:f>IFERROR(Y546/W546,0)</x:f>
        <x:v>0.28030303030303033</x:v>
      </x:c>
      <x:c r="AA546" s="84" t="str">
        <x:f>PROPER(TRIM('Raw Sales'!M546))</x:f>
        <x:v>Mobile Wallet</x:v>
      </x:c>
      <x:c r="AB546" s="84" t="str">
        <x:f>PROPER(TRIM('Raw Sales'!N546))</x:f>
        <x:v>Noah Reed</x:v>
      </x:c>
      <x:c r="AC546" s="85" t="n">
        <x:f>'Raw Sales'!O546</x:f>
        <x:v>45492</x:v>
      </x:c>
      <x:c r="AD546" s="84" t="n">
        <x:f>AC546-B546</x:f>
        <x:v>0</x:v>
      </x:c>
      <x:c r="AE546" s="84" t="str">
        <x:f>IF(COUNTIF($A$5:A546,A546)&gt;1,"Duplicate","Keep")</x:f>
        <x:v>Keep</x:v>
      </x:c>
      <x:c r="AF546" s="84" t="str">
        <x:f>IF(OR(R546&lt;=0,AC546&lt;B546,H546="Unknown",M546="Unknown Product"),"Review","Valid")</x:f>
        <x:v>Valid</x:v>
      </x:c>
      <x:c r="AG546" s="84" t="n">
        <x:f>IF(AND(AE546="Keep",AF546="Valid"),1,0)</x:f>
        <x:v>1</x:v>
      </x:c>
      <x:c r="AH546" s="84" t="n">
        <x:f>IF(AND(AG546=1,OR('Dashboard'!$B$4="All",I546='Dashboard'!$B$4),OR('Dashboard'!$E$4="All",N546='Dashboard'!$E$4),OR('Dashboard'!$H$4="All",K546='Dashboard'!$H$4),OR('Dashboard'!$K$4="All",C546='Dashboard'!$K$4)),1,0)</x:f>
        <x:v>1</x:v>
      </x:c>
      <x:c r="AI546" s="84" t="n">
        <x:f>IF(AND(AG546=1,OR('Dashboard'!$B$4="All",I546='Dashboard'!$B$4),OR('Dashboard'!$E$4="All",N546='Dashboard'!$E$4),OR('Dashboard'!$H$4="All",K546='Dashboard'!$H$4)),1,0)</x:f>
        <x:v>1</x:v>
      </x:c>
    </x:row>
    <x:row r="547">
      <x:c r="A547" s="84" t="str">
        <x:f>'Raw Sales'!A547</x:f>
        <x:v>ORD-2024-00380</x:v>
      </x:c>
      <x:c r="B547" s="85" t="n">
        <x:f>'Raw Sales'!B547</x:f>
        <x:v>45493</x:v>
      </x:c>
      <x:c r="C547" s="84" t="n">
        <x:f>YEAR(B547)</x:f>
        <x:v>2024</x:v>
      </x:c>
      <x:c r="D547" s="91" t="n">
        <x:f>DATE(YEAR(B547),MONTH(B547),1)</x:f>
        <x:v>45474</x:v>
      </x:c>
      <x:c r="E547" s="84" t="str">
        <x:f>TEXT(B547,"mmm")</x:f>
        <x:v>Jul</x:v>
      </x:c>
      <x:c r="F547" s="84" t="str">
        <x:f>'Raw Sales'!C547</x:f>
        <x:v>CUST-0014</x:v>
      </x:c>
      <x:c r="G547" s="84" t="str">
        <x:f>PROPER(TRIM('Raw Sales'!D547))</x:f>
        <x:v>Jonah Irwin</x:v>
      </x:c>
      <x:c r="H547" s="84" t="str">
        <x:f>IF(TRIM('Raw Sales'!E547)="","Unknown",PROPER(TRIM('Raw Sales'!E547)))</x:f>
        <x:v>Consumer</x:v>
      </x:c>
      <x:c r="I547" s="84" t="str">
        <x:f>PROPER(TRIM('Raw Sales'!F547))</x:f>
        <x:v>Southeast</x:v>
      </x:c>
      <x:c r="J547" s="84" t="str">
        <x:f>PROPER(TRIM('Raw Sales'!G547))</x:f>
        <x:v>Miami</x:v>
      </x:c>
      <x:c r="K547" s="84" t="str">
        <x:f>PROPER(TRIM('Raw Sales'!H547))</x:f>
        <x:v>Retail Store</x:v>
      </x:c>
      <x:c r="L547" s="84" t="str">
        <x:f>'Raw Sales'!I547</x:f>
        <x:v>ACCS-004</x:v>
      </x:c>
      <x:c r="M547" s="84" t="str">
        <x:f>IFERROR(VLOOKUP(L547,'Reference Data'!$A$5:$F$40,2,FALSE),"Unknown Product")</x:f>
        <x:v>Leather Wallet</x:v>
      </x:c>
      <x:c r="N547" s="84" t="str">
        <x:f>IFERROR(VLOOKUP(L547,'Reference Data'!$A$5:$F$40,3,FALSE),"Unknown")</x:f>
        <x:v>Accessories</x:v>
      </x:c>
      <x:c r="O547" s="84" t="str">
        <x:f>IFERROR(VLOOKUP(L547,'Reference Data'!$A$5:$F$40,4,FALSE),"Unknown")</x:f>
        <x:v>Wallets</x:v>
      </x:c>
      <x:c r="P547" s="92" t="n">
        <x:f>IFERROR(VLOOKUP(L547,'Reference Data'!$A$5:$F$40,5,FALSE),0)</x:f>
        <x:v>49</x:v>
      </x:c>
      <x:c r="Q547" s="92" t="n">
        <x:f>IFERROR(VLOOKUP(L547,'Reference Data'!$A$5:$F$40,6,FALSE),0)</x:f>
        <x:v>18</x:v>
      </x:c>
      <x:c r="R547" s="84" t="n">
        <x:f>'Raw Sales'!J547</x:f>
        <x:v>1</x:v>
      </x:c>
      <x:c r="S547" s="87" t="n">
        <x:f>'Raw Sales'!K547</x:f>
        <x:v>0.05</x:v>
      </x:c>
      <x:c r="T547" s="93" t="n">
        <x:f>P547*R547</x:f>
        <x:v>49</x:v>
      </x:c>
      <x:c r="U547" s="93" t="n">
        <x:f>T547*S547</x:f>
        <x:v>2.45</x:v>
      </x:c>
      <x:c r="V547" s="93" t="str">
        <x:f>PROPER(TRIM('Raw Sales'!L547))</x:f>
        <x:v>Completed</x:v>
      </x:c>
      <x:c r="W547" s="93" t="n">
        <x:f>IF(V547="Returned",0,T547-U547)</x:f>
        <x:v>46.55</x:v>
      </x:c>
      <x:c r="X547" s="93" t="n">
        <x:f>IF(V547="Returned",Q547*R547*10%,Q547*R547)</x:f>
        <x:v>18</x:v>
      </x:c>
      <x:c r="Y547" s="93" t="n">
        <x:f>W547-X547</x:f>
        <x:v>28.549999999999997</x:v>
      </x:c>
      <x:c r="Z547" s="94" t="n">
        <x:f>IFERROR(Y547/W547,0)</x:f>
        <x:v>0.6133190118152524</x:v>
      </x:c>
      <x:c r="AA547" s="84" t="str">
        <x:f>PROPER(TRIM('Raw Sales'!M547))</x:f>
        <x:v>Credit Card</x:v>
      </x:c>
      <x:c r="AB547" s="84" t="str">
        <x:f>PROPER(TRIM('Raw Sales'!N547))</x:f>
        <x:v>Noah Reed</x:v>
      </x:c>
      <x:c r="AC547" s="85" t="n">
        <x:f>'Raw Sales'!O547</x:f>
        <x:v>45493</x:v>
      </x:c>
      <x:c r="AD547" s="84" t="n">
        <x:f>AC547-B547</x:f>
        <x:v>0</x:v>
      </x:c>
      <x:c r="AE547" s="84" t="str">
        <x:f>IF(COUNTIF($A$5:A547,A547)&gt;1,"Duplicate","Keep")</x:f>
        <x:v>Keep</x:v>
      </x:c>
      <x:c r="AF547" s="84" t="str">
        <x:f>IF(OR(R547&lt;=0,AC547&lt;B547,H547="Unknown",M547="Unknown Product"),"Review","Valid")</x:f>
        <x:v>Valid</x:v>
      </x:c>
      <x:c r="AG547" s="84" t="n">
        <x:f>IF(AND(AE547="Keep",AF547="Valid"),1,0)</x:f>
        <x:v>1</x:v>
      </x:c>
      <x:c r="AH547" s="84" t="n">
        <x:f>IF(AND(AG547=1,OR('Dashboard'!$B$4="All",I547='Dashboard'!$B$4),OR('Dashboard'!$E$4="All",N547='Dashboard'!$E$4),OR('Dashboard'!$H$4="All",K547='Dashboard'!$H$4),OR('Dashboard'!$K$4="All",C547='Dashboard'!$K$4)),1,0)</x:f>
        <x:v>1</x:v>
      </x:c>
      <x:c r="AI547" s="84" t="n">
        <x:f>IF(AND(AG547=1,OR('Dashboard'!$B$4="All",I547='Dashboard'!$B$4),OR('Dashboard'!$E$4="All",N547='Dashboard'!$E$4),OR('Dashboard'!$H$4="All",K547='Dashboard'!$H$4)),1,0)</x:f>
        <x:v>1</x:v>
      </x:c>
    </x:row>
    <x:row r="548">
      <x:c r="A548" s="84" t="str">
        <x:f>'Raw Sales'!A548</x:f>
        <x:v>ORD-2024-02045</x:v>
      </x:c>
      <x:c r="B548" s="85" t="n">
        <x:f>'Raw Sales'!B548</x:f>
        <x:v>45493</x:v>
      </x:c>
      <x:c r="C548" s="84" t="n">
        <x:f>YEAR(B548)</x:f>
        <x:v>2024</x:v>
      </x:c>
      <x:c r="D548" s="91" t="n">
        <x:f>DATE(YEAR(B548),MONTH(B548),1)</x:f>
        <x:v>45474</x:v>
      </x:c>
      <x:c r="E548" s="84" t="str">
        <x:f>TEXT(B548,"mmm")</x:f>
        <x:v>Jul</x:v>
      </x:c>
      <x:c r="F548" s="84" t="str">
        <x:f>'Raw Sales'!C548</x:f>
        <x:v>CUST-0518</x:v>
      </x:c>
      <x:c r="G548" s="84" t="str">
        <x:f>PROPER(TRIM('Raw Sales'!D548))</x:f>
        <x:v>Victoria Hall</x:v>
      </x:c>
      <x:c r="H548" s="84" t="str">
        <x:f>IF(TRIM('Raw Sales'!E548)="","Unknown",PROPER(TRIM('Raw Sales'!E548)))</x:f>
        <x:v>Consumer</x:v>
      </x:c>
      <x:c r="I548" s="84" t="str">
        <x:f>PROPER(TRIM('Raw Sales'!F548))</x:f>
        <x:v>Midwest</x:v>
      </x:c>
      <x:c r="J548" s="84" t="str">
        <x:f>PROPER(TRIM('Raw Sales'!G548))</x:f>
        <x:v>Chicago</x:v>
      </x:c>
      <x:c r="K548" s="84" t="str">
        <x:f>PROPER(TRIM('Raw Sales'!H548))</x:f>
        <x:v>Marketplace</x:v>
      </x:c>
      <x:c r="L548" s="84" t="str">
        <x:f>'Raw Sales'!I548</x:f>
        <x:v>ELEC-001</x:v>
      </x:c>
      <x:c r="M548" s="84" t="str">
        <x:f>IFERROR(VLOOKUP(L548,'Reference Data'!$A$5:$F$40,2,FALSE),"Unknown Product")</x:f>
        <x:v>Wireless Earbuds</x:v>
      </x:c>
      <x:c r="N548" s="84" t="str">
        <x:f>IFERROR(VLOOKUP(L548,'Reference Data'!$A$5:$F$40,3,FALSE),"Unknown")</x:f>
        <x:v>Electronics</x:v>
      </x:c>
      <x:c r="O548" s="84" t="str">
        <x:f>IFERROR(VLOOKUP(L548,'Reference Data'!$A$5:$F$40,4,FALSE),"Unknown")</x:f>
        <x:v>Audio</x:v>
      </x:c>
      <x:c r="P548" s="92" t="n">
        <x:f>IFERROR(VLOOKUP(L548,'Reference Data'!$A$5:$F$40,5,FALSE),0)</x:f>
        <x:v>69</x:v>
      </x:c>
      <x:c r="Q548" s="92" t="n">
        <x:f>IFERROR(VLOOKUP(L548,'Reference Data'!$A$5:$F$40,6,FALSE),0)</x:f>
        <x:v>36</x:v>
      </x:c>
      <x:c r="R548" s="84" t="n">
        <x:f>'Raw Sales'!J548</x:f>
        <x:v>2</x:v>
      </x:c>
      <x:c r="S548" s="87" t="n">
        <x:f>'Raw Sales'!K548</x:f>
        <x:v>0.05</x:v>
      </x:c>
      <x:c r="T548" s="93" t="n">
        <x:f>P548*R548</x:f>
        <x:v>138</x:v>
      </x:c>
      <x:c r="U548" s="93" t="n">
        <x:f>T548*S548</x:f>
        <x:v>6.9</x:v>
      </x:c>
      <x:c r="V548" s="93" t="str">
        <x:f>PROPER(TRIM('Raw Sales'!L548))</x:f>
        <x:v>Completed</x:v>
      </x:c>
      <x:c r="W548" s="93" t="n">
        <x:f>IF(V548="Returned",0,T548-U548)</x:f>
        <x:v>131.1</x:v>
      </x:c>
      <x:c r="X548" s="93" t="n">
        <x:f>IF(V548="Returned",Q548*R548*10%,Q548*R548)</x:f>
        <x:v>72</x:v>
      </x:c>
      <x:c r="Y548" s="93" t="n">
        <x:f>W548-X548</x:f>
        <x:v>59.099999999999994</x:v>
      </x:c>
      <x:c r="Z548" s="94" t="n">
        <x:f>IFERROR(Y548/W548,0)</x:f>
        <x:v>0.45080091533180777</x:v>
      </x:c>
      <x:c r="AA548" s="84" t="str">
        <x:f>PROPER(TRIM('Raw Sales'!M548))</x:f>
        <x:v>Debit Card</x:v>
      </x:c>
      <x:c r="AB548" s="84" t="str">
        <x:f>PROPER(TRIM('Raw Sales'!N548))</x:f>
        <x:v>Zoe Turner</x:v>
      </x:c>
      <x:c r="AC548" s="85" t="n">
        <x:f>'Raw Sales'!O548</x:f>
        <x:v>45496</x:v>
      </x:c>
      <x:c r="AD548" s="84" t="n">
        <x:f>AC548-B548</x:f>
        <x:v>3</x:v>
      </x:c>
      <x:c r="AE548" s="84" t="str">
        <x:f>IF(COUNTIF($A$5:A548,A548)&gt;1,"Duplicate","Keep")</x:f>
        <x:v>Keep</x:v>
      </x:c>
      <x:c r="AF548" s="84" t="str">
        <x:f>IF(OR(R548&lt;=0,AC548&lt;B548,H548="Unknown",M548="Unknown Product"),"Review","Valid")</x:f>
        <x:v>Valid</x:v>
      </x:c>
      <x:c r="AG548" s="84" t="n">
        <x:f>IF(AND(AE548="Keep",AF548="Valid"),1,0)</x:f>
        <x:v>1</x:v>
      </x:c>
      <x:c r="AH548" s="84" t="n">
        <x:f>IF(AND(AG548=1,OR('Dashboard'!$B$4="All",I548='Dashboard'!$B$4),OR('Dashboard'!$E$4="All",N548='Dashboard'!$E$4),OR('Dashboard'!$H$4="All",K548='Dashboard'!$H$4),OR('Dashboard'!$K$4="All",C548='Dashboard'!$K$4)),1,0)</x:f>
        <x:v>1</x:v>
      </x:c>
      <x:c r="AI548" s="84" t="n">
        <x:f>IF(AND(AG548=1,OR('Dashboard'!$B$4="All",I548='Dashboard'!$B$4),OR('Dashboard'!$E$4="All",N548='Dashboard'!$E$4),OR('Dashboard'!$H$4="All",K548='Dashboard'!$H$4)),1,0)</x:f>
        <x:v>1</x:v>
      </x:c>
    </x:row>
    <x:row r="549">
      <x:c r="A549" s="84" t="str">
        <x:f>'Raw Sales'!A549</x:f>
        <x:v>ORD-2024-02207</x:v>
      </x:c>
      <x:c r="B549" s="85" t="n">
        <x:f>'Raw Sales'!B549</x:f>
        <x:v>45493</x:v>
      </x:c>
      <x:c r="C549" s="84" t="n">
        <x:f>YEAR(B549)</x:f>
        <x:v>2024</x:v>
      </x:c>
      <x:c r="D549" s="91" t="n">
        <x:f>DATE(YEAR(B549),MONTH(B549),1)</x:f>
        <x:v>45474</x:v>
      </x:c>
      <x:c r="E549" s="84" t="str">
        <x:f>TEXT(B549,"mmm")</x:f>
        <x:v>Jul</x:v>
      </x:c>
      <x:c r="F549" s="84" t="str">
        <x:f>'Raw Sales'!C549</x:f>
        <x:v>CUST-0474</x:v>
      </x:c>
      <x:c r="G549" s="84" t="str">
        <x:f>PROPER(TRIM('Raw Sales'!D549))</x:f>
        <x:v>Aiden Foster</x:v>
      </x:c>
      <x:c r="H549" s="84" t="str">
        <x:f>IF(TRIM('Raw Sales'!E549)="","Unknown",PROPER(TRIM('Raw Sales'!E549)))</x:f>
        <x:v>Consumer</x:v>
      </x:c>
      <x:c r="I549" s="84" t="str">
        <x:f>PROPER(TRIM('Raw Sales'!F549))</x:f>
        <x:v>Southeast</x:v>
      </x:c>
      <x:c r="J549" s="84" t="str">
        <x:f>PROPER(TRIM('Raw Sales'!G549))</x:f>
        <x:v>Miami</x:v>
      </x:c>
      <x:c r="K549" s="84" t="str">
        <x:f>PROPER(TRIM('Raw Sales'!H549))</x:f>
        <x:v>Marketplace</x:v>
      </x:c>
      <x:c r="L549" s="84" t="str">
        <x:f>'Raw Sales'!I549</x:f>
        <x:v>OFFC-005</x:v>
      </x:c>
      <x:c r="M549" s="84" t="str">
        <x:f>IFERROR(VLOOKUP(L549,'Reference Data'!$A$5:$F$40,2,FALSE),"Unknown Product")</x:f>
        <x:v>Wireless Keyboard</x:v>
      </x:c>
      <x:c r="N549" s="84" t="str">
        <x:f>IFERROR(VLOOKUP(L549,'Reference Data'!$A$5:$F$40,3,FALSE),"Unknown")</x:f>
        <x:v>Office</x:v>
      </x:c>
      <x:c r="O549" s="84" t="str">
        <x:f>IFERROR(VLOOKUP(L549,'Reference Data'!$A$5:$F$40,4,FALSE),"Unknown")</x:f>
        <x:v>Computer Accessories</x:v>
      </x:c>
      <x:c r="P549" s="92" t="n">
        <x:f>IFERROR(VLOOKUP(L549,'Reference Data'!$A$5:$F$40,5,FALSE),0)</x:f>
        <x:v>59</x:v>
      </x:c>
      <x:c r="Q549" s="92" t="n">
        <x:f>IFERROR(VLOOKUP(L549,'Reference Data'!$A$5:$F$40,6,FALSE),0)</x:f>
        <x:v>28</x:v>
      </x:c>
      <x:c r="R549" s="84" t="n">
        <x:f>'Raw Sales'!J549</x:f>
        <x:v>1</x:v>
      </x:c>
      <x:c r="S549" s="87" t="n">
        <x:f>'Raw Sales'!K549</x:f>
        <x:v>0.05</x:v>
      </x:c>
      <x:c r="T549" s="93" t="n">
        <x:f>P549*R549</x:f>
        <x:v>59</x:v>
      </x:c>
      <x:c r="U549" s="93" t="n">
        <x:f>T549*S549</x:f>
        <x:v>2.95</x:v>
      </x:c>
      <x:c r="V549" s="93" t="str">
        <x:f>PROPER(TRIM('Raw Sales'!L549))</x:f>
        <x:v>Completed</x:v>
      </x:c>
      <x:c r="W549" s="93" t="n">
        <x:f>IF(V549="Returned",0,T549-U549)</x:f>
        <x:v>56.05</x:v>
      </x:c>
      <x:c r="X549" s="93" t="n">
        <x:f>IF(V549="Returned",Q549*R549*10%,Q549*R549)</x:f>
        <x:v>28</x:v>
      </x:c>
      <x:c r="Y549" s="93" t="n">
        <x:f>W549-X549</x:f>
        <x:v>28.049999999999997</x:v>
      </x:c>
      <x:c r="Z549" s="94" t="n">
        <x:f>IFERROR(Y549/W549,0)</x:f>
        <x:v>0.5004460303300624</x:v>
      </x:c>
      <x:c r="AA549" s="84" t="str">
        <x:f>PROPER(TRIM('Raw Sales'!M549))</x:f>
        <x:v>Credit Card</x:v>
      </x:c>
      <x:c r="AB549" s="84" t="str">
        <x:f>PROPER(TRIM('Raw Sales'!N549))</x:f>
        <x:v>Liam Parker</x:v>
      </x:c>
      <x:c r="AC549" s="85" t="n">
        <x:f>'Raw Sales'!O549</x:f>
        <x:v>45496</x:v>
      </x:c>
      <x:c r="AD549" s="84" t="n">
        <x:f>AC549-B549</x:f>
        <x:v>3</x:v>
      </x:c>
      <x:c r="AE549" s="84" t="str">
        <x:f>IF(COUNTIF($A$5:A549,A549)&gt;1,"Duplicate","Keep")</x:f>
        <x:v>Keep</x:v>
      </x:c>
      <x:c r="AF549" s="84" t="str">
        <x:f>IF(OR(R549&lt;=0,AC549&lt;B549,H549="Unknown",M549="Unknown Product"),"Review","Valid")</x:f>
        <x:v>Valid</x:v>
      </x:c>
      <x:c r="AG549" s="84" t="n">
        <x:f>IF(AND(AE549="Keep",AF549="Valid"),1,0)</x:f>
        <x:v>1</x:v>
      </x:c>
      <x:c r="AH549" s="84" t="n">
        <x:f>IF(AND(AG549=1,OR('Dashboard'!$B$4="All",I549='Dashboard'!$B$4),OR('Dashboard'!$E$4="All",N549='Dashboard'!$E$4),OR('Dashboard'!$H$4="All",K549='Dashboard'!$H$4),OR('Dashboard'!$K$4="All",C549='Dashboard'!$K$4)),1,0)</x:f>
        <x:v>1</x:v>
      </x:c>
      <x:c r="AI549" s="84" t="n">
        <x:f>IF(AND(AG549=1,OR('Dashboard'!$B$4="All",I549='Dashboard'!$B$4),OR('Dashboard'!$E$4="All",N549='Dashboard'!$E$4),OR('Dashboard'!$H$4="All",K549='Dashboard'!$H$4)),1,0)</x:f>
        <x:v>1</x:v>
      </x:c>
    </x:row>
    <x:row r="550">
      <x:c r="A550" s="84" t="str">
        <x:f>'Raw Sales'!A550</x:f>
        <x:v>ORD-2024-00011</x:v>
      </x:c>
      <x:c r="B550" s="85" t="n">
        <x:f>'Raw Sales'!B550</x:f>
        <x:v>45494</x:v>
      </x:c>
      <x:c r="C550" s="84" t="n">
        <x:f>YEAR(B550)</x:f>
        <x:v>2024</x:v>
      </x:c>
      <x:c r="D550" s="91" t="n">
        <x:f>DATE(YEAR(B550),MONTH(B550),1)</x:f>
        <x:v>45474</x:v>
      </x:c>
      <x:c r="E550" s="84" t="str">
        <x:f>TEXT(B550,"mmm")</x:f>
        <x:v>Jul</x:v>
      </x:c>
      <x:c r="F550" s="84" t="str">
        <x:f>'Raw Sales'!C550</x:f>
        <x:v>CUST-0528</x:v>
      </x:c>
      <x:c r="G550" s="84" t="str">
        <x:f>PROPER(TRIM('Raw Sales'!D550))</x:f>
        <x:v>Nathan Davis</x:v>
      </x:c>
      <x:c r="H550" s="84" t="str">
        <x:f>IF(TRIM('Raw Sales'!E550)="","Unknown",PROPER(TRIM('Raw Sales'!E550)))</x:f>
        <x:v>Consumer</x:v>
      </x:c>
      <x:c r="I550" s="84" t="str">
        <x:f>PROPER(TRIM('Raw Sales'!F550))</x:f>
        <x:v>Southeast</x:v>
      </x:c>
      <x:c r="J550" s="84" t="str">
        <x:f>PROPER(TRIM('Raw Sales'!G550))</x:f>
        <x:v>Miami</x:v>
      </x:c>
      <x:c r="K550" s="84" t="str">
        <x:f>PROPER(TRIM('Raw Sales'!H550))</x:f>
        <x:v>Retail Store</x:v>
      </x:c>
      <x:c r="L550" s="84" t="str">
        <x:f>'Raw Sales'!I550</x:f>
        <x:v>OFFC-005</x:v>
      </x:c>
      <x:c r="M550" s="84" t="str">
        <x:f>IFERROR(VLOOKUP(L550,'Reference Data'!$A$5:$F$40,2,FALSE),"Unknown Product")</x:f>
        <x:v>Wireless Keyboard</x:v>
      </x:c>
      <x:c r="N550" s="84" t="str">
        <x:f>IFERROR(VLOOKUP(L550,'Reference Data'!$A$5:$F$40,3,FALSE),"Unknown")</x:f>
        <x:v>Office</x:v>
      </x:c>
      <x:c r="O550" s="84" t="str">
        <x:f>IFERROR(VLOOKUP(L550,'Reference Data'!$A$5:$F$40,4,FALSE),"Unknown")</x:f>
        <x:v>Computer Accessories</x:v>
      </x:c>
      <x:c r="P550" s="92" t="n">
        <x:f>IFERROR(VLOOKUP(L550,'Reference Data'!$A$5:$F$40,5,FALSE),0)</x:f>
        <x:v>59</x:v>
      </x:c>
      <x:c r="Q550" s="92" t="n">
        <x:f>IFERROR(VLOOKUP(L550,'Reference Data'!$A$5:$F$40,6,FALSE),0)</x:f>
        <x:v>28</x:v>
      </x:c>
      <x:c r="R550" s="84" t="n">
        <x:f>'Raw Sales'!J550</x:f>
        <x:v>2</x:v>
      </x:c>
      <x:c r="S550" s="87" t="n">
        <x:f>'Raw Sales'!K550</x:f>
        <x:v>0.15</x:v>
      </x:c>
      <x:c r="T550" s="93" t="n">
        <x:f>P550*R550</x:f>
        <x:v>118</x:v>
      </x:c>
      <x:c r="U550" s="93" t="n">
        <x:f>T550*S550</x:f>
        <x:v>17.7</x:v>
      </x:c>
      <x:c r="V550" s="93" t="str">
        <x:f>PROPER(TRIM('Raw Sales'!L550))</x:f>
        <x:v>Completed</x:v>
      </x:c>
      <x:c r="W550" s="93" t="n">
        <x:f>IF(V550="Returned",0,T550-U550)</x:f>
        <x:v>100.3</x:v>
      </x:c>
      <x:c r="X550" s="93" t="n">
        <x:f>IF(V550="Returned",Q550*R550*10%,Q550*R550)</x:f>
        <x:v>56</x:v>
      </x:c>
      <x:c r="Y550" s="93" t="n">
        <x:f>W550-X550</x:f>
        <x:v>44.3</x:v>
      </x:c>
      <x:c r="Z550" s="94" t="n">
        <x:f>IFERROR(Y550/W550,0)</x:f>
        <x:v>0.44167497507477566</x:v>
      </x:c>
      <x:c r="AA550" s="84" t="str">
        <x:f>PROPER(TRIM('Raw Sales'!M550))</x:f>
        <x:v>Debit Card</x:v>
      </x:c>
      <x:c r="AB550" s="84" t="str">
        <x:f>PROPER(TRIM('Raw Sales'!N550))</x:f>
        <x:v>Ava Mitchell</x:v>
      </x:c>
      <x:c r="AC550" s="85" t="n">
        <x:f>'Raw Sales'!O550</x:f>
        <x:v>45495</x:v>
      </x:c>
      <x:c r="AD550" s="84" t="n">
        <x:f>AC550-B550</x:f>
        <x:v>1</x:v>
      </x:c>
      <x:c r="AE550" s="84" t="str">
        <x:f>IF(COUNTIF($A$5:A550,A550)&gt;1,"Duplicate","Keep")</x:f>
        <x:v>Keep</x:v>
      </x:c>
      <x:c r="AF550" s="84" t="str">
        <x:f>IF(OR(R550&lt;=0,AC550&lt;B550,H550="Unknown",M550="Unknown Product"),"Review","Valid")</x:f>
        <x:v>Valid</x:v>
      </x:c>
      <x:c r="AG550" s="84" t="n">
        <x:f>IF(AND(AE550="Keep",AF550="Valid"),1,0)</x:f>
        <x:v>1</x:v>
      </x:c>
      <x:c r="AH550" s="84" t="n">
        <x:f>IF(AND(AG550=1,OR('Dashboard'!$B$4="All",I550='Dashboard'!$B$4),OR('Dashboard'!$E$4="All",N550='Dashboard'!$E$4),OR('Dashboard'!$H$4="All",K550='Dashboard'!$H$4),OR('Dashboard'!$K$4="All",C550='Dashboard'!$K$4)),1,0)</x:f>
        <x:v>1</x:v>
      </x:c>
      <x:c r="AI550" s="84" t="n">
        <x:f>IF(AND(AG550=1,OR('Dashboard'!$B$4="All",I550='Dashboard'!$B$4),OR('Dashboard'!$E$4="All",N550='Dashboard'!$E$4),OR('Dashboard'!$H$4="All",K550='Dashboard'!$H$4)),1,0)</x:f>
        <x:v>1</x:v>
      </x:c>
    </x:row>
    <x:row r="551">
      <x:c r="A551" s="84" t="str">
        <x:f>'Raw Sales'!A551</x:f>
        <x:v>ORD-2024-00853</x:v>
      </x:c>
      <x:c r="B551" s="85" t="n">
        <x:f>'Raw Sales'!B551</x:f>
        <x:v>45494</x:v>
      </x:c>
      <x:c r="C551" s="84" t="n">
        <x:f>YEAR(B551)</x:f>
        <x:v>2024</x:v>
      </x:c>
      <x:c r="D551" s="91" t="n">
        <x:f>DATE(YEAR(B551),MONTH(B551),1)</x:f>
        <x:v>45474</x:v>
      </x:c>
      <x:c r="E551" s="84" t="str">
        <x:f>TEXT(B551,"mmm")</x:f>
        <x:v>Jul</x:v>
      </x:c>
      <x:c r="F551" s="84" t="str">
        <x:f>'Raw Sales'!C551</x:f>
        <x:v>CUST-0433</x:v>
      </x:c>
      <x:c r="G551" s="84" t="str">
        <x:f>PROPER(TRIM('Raw Sales'!D551))</x:f>
        <x:v>Aiden Johnson</x:v>
      </x:c>
      <x:c r="H551" s="84" t="str">
        <x:f>IF(TRIM('Raw Sales'!E551)="","Unknown",PROPER(TRIM('Raw Sales'!E551)))</x:f>
        <x:v>Corporate</x:v>
      </x:c>
      <x:c r="I551" s="84" t="str">
        <x:f>PROPER(TRIM('Raw Sales'!F551))</x:f>
        <x:v>Midwest</x:v>
      </x:c>
      <x:c r="J551" s="84" t="str">
        <x:f>PROPER(TRIM('Raw Sales'!G551))</x:f>
        <x:v>Columbus</x:v>
      </x:c>
      <x:c r="K551" s="84" t="str">
        <x:f>PROPER(TRIM('Raw Sales'!H551))</x:f>
        <x:v>Marketplace</x:v>
      </x:c>
      <x:c r="L551" s="84" t="str">
        <x:f>'Raw Sales'!I551</x:f>
        <x:v>ACCS-006</x:v>
      </x:c>
      <x:c r="M551" s="84" t="str">
        <x:f>IFERROR(VLOOKUP(L551,'Reference Data'!$A$5:$F$40,2,FALSE),"Unknown Product")</x:f>
        <x:v>Insulated Lunch Bag</x:v>
      </x:c>
      <x:c r="N551" s="84" t="str">
        <x:f>IFERROR(VLOOKUP(L551,'Reference Data'!$A$5:$F$40,3,FALSE),"Unknown")</x:f>
        <x:v>Accessories</x:v>
      </x:c>
      <x:c r="O551" s="84" t="str">
        <x:f>IFERROR(VLOOKUP(L551,'Reference Data'!$A$5:$F$40,4,FALSE),"Unknown")</x:f>
        <x:v>Bags</x:v>
      </x:c>
      <x:c r="P551" s="92" t="n">
        <x:f>IFERROR(VLOOKUP(L551,'Reference Data'!$A$5:$F$40,5,FALSE),0)</x:f>
        <x:v>29</x:v>
      </x:c>
      <x:c r="Q551" s="92" t="n">
        <x:f>IFERROR(VLOOKUP(L551,'Reference Data'!$A$5:$F$40,6,FALSE),0)</x:f>
        <x:v>10</x:v>
      </x:c>
      <x:c r="R551" s="84" t="n">
        <x:f>'Raw Sales'!J551</x:f>
        <x:v>3</x:v>
      </x:c>
      <x:c r="S551" s="87" t="n">
        <x:f>'Raw Sales'!K551</x:f>
        <x:v>0.15</x:v>
      </x:c>
      <x:c r="T551" s="93" t="n">
        <x:f>P551*R551</x:f>
        <x:v>87</x:v>
      </x:c>
      <x:c r="U551" s="93" t="n">
        <x:f>T551*S551</x:f>
        <x:v>13.049999999999999</x:v>
      </x:c>
      <x:c r="V551" s="93" t="str">
        <x:f>PROPER(TRIM('Raw Sales'!L551))</x:f>
        <x:v>Completed</x:v>
      </x:c>
      <x:c r="W551" s="93" t="n">
        <x:f>IF(V551="Returned",0,T551-U551)</x:f>
        <x:v>73.95</x:v>
      </x:c>
      <x:c r="X551" s="93" t="n">
        <x:f>IF(V551="Returned",Q551*R551*10%,Q551*R551)</x:f>
        <x:v>30</x:v>
      </x:c>
      <x:c r="Y551" s="93" t="n">
        <x:f>W551-X551</x:f>
        <x:v>43.95</x:v>
      </x:c>
      <x:c r="Z551" s="94" t="n">
        <x:f>IFERROR(Y551/W551,0)</x:f>
        <x:v>0.5943204868154158</x:v>
      </x:c>
      <x:c r="AA551" s="84" t="str">
        <x:f>PROPER(TRIM('Raw Sales'!M551))</x:f>
        <x:v>Credit Card</x:v>
      </x:c>
      <x:c r="AB551" s="84" t="str">
        <x:f>PROPER(TRIM('Raw Sales'!N551))</x:f>
        <x:v>Zoe Turner</x:v>
      </x:c>
      <x:c r="AC551" s="85" t="n">
        <x:f>'Raw Sales'!O551</x:f>
        <x:v>45501</x:v>
      </x:c>
      <x:c r="AD551" s="84" t="n">
        <x:f>AC551-B551</x:f>
        <x:v>7</x:v>
      </x:c>
      <x:c r="AE551" s="84" t="str">
        <x:f>IF(COUNTIF($A$5:A551,A551)&gt;1,"Duplicate","Keep")</x:f>
        <x:v>Keep</x:v>
      </x:c>
      <x:c r="AF551" s="84" t="str">
        <x:f>IF(OR(R551&lt;=0,AC551&lt;B551,H551="Unknown",M551="Unknown Product"),"Review","Valid")</x:f>
        <x:v>Valid</x:v>
      </x:c>
      <x:c r="AG551" s="84" t="n">
        <x:f>IF(AND(AE551="Keep",AF551="Valid"),1,0)</x:f>
        <x:v>1</x:v>
      </x:c>
      <x:c r="AH551" s="84" t="n">
        <x:f>IF(AND(AG551=1,OR('Dashboard'!$B$4="All",I551='Dashboard'!$B$4),OR('Dashboard'!$E$4="All",N551='Dashboard'!$E$4),OR('Dashboard'!$H$4="All",K551='Dashboard'!$H$4),OR('Dashboard'!$K$4="All",C551='Dashboard'!$K$4)),1,0)</x:f>
        <x:v>1</x:v>
      </x:c>
      <x:c r="AI551" s="84" t="n">
        <x:f>IF(AND(AG551=1,OR('Dashboard'!$B$4="All",I551='Dashboard'!$B$4),OR('Dashboard'!$E$4="All",N551='Dashboard'!$E$4),OR('Dashboard'!$H$4="All",K551='Dashboard'!$H$4)),1,0)</x:f>
        <x:v>1</x:v>
      </x:c>
    </x:row>
    <x:row r="552">
      <x:c r="A552" s="84" t="str">
        <x:f>'Raw Sales'!A552</x:f>
        <x:v>ORD-2024-01317</x:v>
      </x:c>
      <x:c r="B552" s="85" t="n">
        <x:f>'Raw Sales'!B552</x:f>
        <x:v>45494</x:v>
      </x:c>
      <x:c r="C552" s="84" t="n">
        <x:f>YEAR(B552)</x:f>
        <x:v>2024</x:v>
      </x:c>
      <x:c r="D552" s="91" t="n">
        <x:f>DATE(YEAR(B552),MONTH(B552),1)</x:f>
        <x:v>45474</x:v>
      </x:c>
      <x:c r="E552" s="84" t="str">
        <x:f>TEXT(B552,"mmm")</x:f>
        <x:v>Jul</x:v>
      </x:c>
      <x:c r="F552" s="84" t="str">
        <x:f>'Raw Sales'!C552</x:f>
        <x:v>CUST-0249</x:v>
      </x:c>
      <x:c r="G552" s="84" t="str">
        <x:f>PROPER(TRIM('Raw Sales'!D552))</x:f>
        <x:v>Zara Roberts</x:v>
      </x:c>
      <x:c r="H552" s="84" t="str">
        <x:f>IF(TRIM('Raw Sales'!E552)="","Unknown",PROPER(TRIM('Raw Sales'!E552)))</x:f>
        <x:v>Corporate</x:v>
      </x:c>
      <x:c r="I552" s="84" t="str">
        <x:f>PROPER(TRIM('Raw Sales'!F552))</x:f>
        <x:v>Northeast</x:v>
      </x:c>
      <x:c r="J552" s="84" t="str">
        <x:f>PROPER(TRIM('Raw Sales'!G552))</x:f>
        <x:v>Philadelphia</x:v>
      </x:c>
      <x:c r="K552" s="84" t="str">
        <x:f>PROPER(TRIM('Raw Sales'!H552))</x:f>
        <x:v>Online</x:v>
      </x:c>
      <x:c r="L552" s="84" t="str">
        <x:f>'Raw Sales'!I552</x:f>
        <x:v>HOME-001</x:v>
      </x:c>
      <x:c r="M552" s="84" t="str">
        <x:f>IFERROR(VLOOKUP(L552,'Reference Data'!$A$5:$F$40,2,FALSE),"Unknown Product")</x:f>
        <x:v>Air Fryer</x:v>
      </x:c>
      <x:c r="N552" s="84" t="str">
        <x:f>IFERROR(VLOOKUP(L552,'Reference Data'!$A$5:$F$40,3,FALSE),"Unknown")</x:f>
        <x:v>Home &amp; Kitchen</x:v>
      </x:c>
      <x:c r="O552" s="84" t="str">
        <x:f>IFERROR(VLOOKUP(L552,'Reference Data'!$A$5:$F$40,4,FALSE),"Unknown")</x:f>
        <x:v>Small Appliances</x:v>
      </x:c>
      <x:c r="P552" s="92" t="n">
        <x:f>IFERROR(VLOOKUP(L552,'Reference Data'!$A$5:$F$40,5,FALSE),0)</x:f>
        <x:v>119</x:v>
      </x:c>
      <x:c r="Q552" s="92" t="n">
        <x:f>IFERROR(VLOOKUP(L552,'Reference Data'!$A$5:$F$40,6,FALSE),0)</x:f>
        <x:v>68</x:v>
      </x:c>
      <x:c r="R552" s="84" t="n">
        <x:f>'Raw Sales'!J552</x:f>
        <x:v>3</x:v>
      </x:c>
      <x:c r="S552" s="87" t="n">
        <x:f>'Raw Sales'!K552</x:f>
        <x:v>0</x:v>
      </x:c>
      <x:c r="T552" s="93" t="n">
        <x:f>P552*R552</x:f>
        <x:v>357</x:v>
      </x:c>
      <x:c r="U552" s="93" t="n">
        <x:f>T552*S552</x:f>
        <x:v>0</x:v>
      </x:c>
      <x:c r="V552" s="93" t="str">
        <x:f>PROPER(TRIM('Raw Sales'!L552))</x:f>
        <x:v>Completed</x:v>
      </x:c>
      <x:c r="W552" s="93" t="n">
        <x:f>IF(V552="Returned",0,T552-U552)</x:f>
        <x:v>357</x:v>
      </x:c>
      <x:c r="X552" s="93" t="n">
        <x:f>IF(V552="Returned",Q552*R552*10%,Q552*R552)</x:f>
        <x:v>204</x:v>
      </x:c>
      <x:c r="Y552" s="93" t="n">
        <x:f>W552-X552</x:f>
        <x:v>153</x:v>
      </x:c>
      <x:c r="Z552" s="94" t="n">
        <x:f>IFERROR(Y552/W552,0)</x:f>
        <x:v>0.42857142857142855</x:v>
      </x:c>
      <x:c r="AA552" s="84" t="str">
        <x:f>PROPER(TRIM('Raw Sales'!M552))</x:f>
        <x:v>Credit Card</x:v>
      </x:c>
      <x:c r="AB552" s="84" t="str">
        <x:f>PROPER(TRIM('Raw Sales'!N552))</x:f>
        <x:v>Ethan Cole</x:v>
      </x:c>
      <x:c r="AC552" s="85" t="n">
        <x:f>'Raw Sales'!O552</x:f>
        <x:v>45497</x:v>
      </x:c>
      <x:c r="AD552" s="84" t="n">
        <x:f>AC552-B552</x:f>
        <x:v>3</x:v>
      </x:c>
      <x:c r="AE552" s="84" t="str">
        <x:f>IF(COUNTIF($A$5:A552,A552)&gt;1,"Duplicate","Keep")</x:f>
        <x:v>Keep</x:v>
      </x:c>
      <x:c r="AF552" s="84" t="str">
        <x:f>IF(OR(R552&lt;=0,AC552&lt;B552,H552="Unknown",M552="Unknown Product"),"Review","Valid")</x:f>
        <x:v>Valid</x:v>
      </x:c>
      <x:c r="AG552" s="84" t="n">
        <x:f>IF(AND(AE552="Keep",AF552="Valid"),1,0)</x:f>
        <x:v>1</x:v>
      </x:c>
      <x:c r="AH552" s="84" t="n">
        <x:f>IF(AND(AG552=1,OR('Dashboard'!$B$4="All",I552='Dashboard'!$B$4),OR('Dashboard'!$E$4="All",N552='Dashboard'!$E$4),OR('Dashboard'!$H$4="All",K552='Dashboard'!$H$4),OR('Dashboard'!$K$4="All",C552='Dashboard'!$K$4)),1,0)</x:f>
        <x:v>1</x:v>
      </x:c>
      <x:c r="AI552" s="84" t="n">
        <x:f>IF(AND(AG552=1,OR('Dashboard'!$B$4="All",I552='Dashboard'!$B$4),OR('Dashboard'!$E$4="All",N552='Dashboard'!$E$4),OR('Dashboard'!$H$4="All",K552='Dashboard'!$H$4)),1,0)</x:f>
        <x:v>1</x:v>
      </x:c>
    </x:row>
    <x:row r="553">
      <x:c r="A553" s="84" t="str">
        <x:f>'Raw Sales'!A553</x:f>
        <x:v>ORD-2024-02215</x:v>
      </x:c>
      <x:c r="B553" s="85" t="n">
        <x:f>'Raw Sales'!B553</x:f>
        <x:v>45494</x:v>
      </x:c>
      <x:c r="C553" s="84" t="n">
        <x:f>YEAR(B553)</x:f>
        <x:v>2024</x:v>
      </x:c>
      <x:c r="D553" s="91" t="n">
        <x:f>DATE(YEAR(B553),MONTH(B553),1)</x:f>
        <x:v>45474</x:v>
      </x:c>
      <x:c r="E553" s="84" t="str">
        <x:f>TEXT(B553,"mmm")</x:f>
        <x:v>Jul</x:v>
      </x:c>
      <x:c r="F553" s="84" t="str">
        <x:f>'Raw Sales'!C553</x:f>
        <x:v>CUST-0112</x:v>
      </x:c>
      <x:c r="G553" s="84" t="str">
        <x:f>PROPER(TRIM('Raw Sales'!D553))</x:f>
        <x:v>Victoria Patel</x:v>
      </x:c>
      <x:c r="H553" s="84" t="str">
        <x:f>IF(TRIM('Raw Sales'!E553)="","Unknown",PROPER(TRIM('Raw Sales'!E553)))</x:f>
        <x:v>Consumer</x:v>
      </x:c>
      <x:c r="I553" s="84" t="str">
        <x:f>PROPER(TRIM('Raw Sales'!F553))</x:f>
        <x:v>Southeast</x:v>
      </x:c>
      <x:c r="J553" s="84" t="str">
        <x:f>PROPER(TRIM('Raw Sales'!G553))</x:f>
        <x:v>Miami</x:v>
      </x:c>
      <x:c r="K553" s="84" t="str">
        <x:f>PROPER(TRIM('Raw Sales'!H553))</x:f>
        <x:v>Retail Store</x:v>
      </x:c>
      <x:c r="L553" s="84" t="str">
        <x:f>'Raw Sales'!I553</x:f>
        <x:v>OFFC-005</x:v>
      </x:c>
      <x:c r="M553" s="84" t="str">
        <x:f>IFERROR(VLOOKUP(L553,'Reference Data'!$A$5:$F$40,2,FALSE),"Unknown Product")</x:f>
        <x:v>Wireless Keyboard</x:v>
      </x:c>
      <x:c r="N553" s="84" t="str">
        <x:f>IFERROR(VLOOKUP(L553,'Reference Data'!$A$5:$F$40,3,FALSE),"Unknown")</x:f>
        <x:v>Office</x:v>
      </x:c>
      <x:c r="O553" s="84" t="str">
        <x:f>IFERROR(VLOOKUP(L553,'Reference Data'!$A$5:$F$40,4,FALSE),"Unknown")</x:f>
        <x:v>Computer Accessories</x:v>
      </x:c>
      <x:c r="P553" s="92" t="n">
        <x:f>IFERROR(VLOOKUP(L553,'Reference Data'!$A$5:$F$40,5,FALSE),0)</x:f>
        <x:v>59</x:v>
      </x:c>
      <x:c r="Q553" s="92" t="n">
        <x:f>IFERROR(VLOOKUP(L553,'Reference Data'!$A$5:$F$40,6,FALSE),0)</x:f>
        <x:v>28</x:v>
      </x:c>
      <x:c r="R553" s="84" t="n">
        <x:f>'Raw Sales'!J553</x:f>
        <x:v>4</x:v>
      </x:c>
      <x:c r="S553" s="87" t="n">
        <x:f>'Raw Sales'!K553</x:f>
        <x:v>0.1</x:v>
      </x:c>
      <x:c r="T553" s="93" t="n">
        <x:f>P553*R553</x:f>
        <x:v>236</x:v>
      </x:c>
      <x:c r="U553" s="93" t="n">
        <x:f>T553*S553</x:f>
        <x:v>23.6</x:v>
      </x:c>
      <x:c r="V553" s="93" t="str">
        <x:f>PROPER(TRIM('Raw Sales'!L553))</x:f>
        <x:v>Completed</x:v>
      </x:c>
      <x:c r="W553" s="93" t="n">
        <x:f>IF(V553="Returned",0,T553-U553)</x:f>
        <x:v>212.4</x:v>
      </x:c>
      <x:c r="X553" s="93" t="n">
        <x:f>IF(V553="Returned",Q553*R553*10%,Q553*R553)</x:f>
        <x:v>112</x:v>
      </x:c>
      <x:c r="Y553" s="93" t="n">
        <x:f>W553-X553</x:f>
        <x:v>100.4</x:v>
      </x:c>
      <x:c r="Z553" s="94" t="n">
        <x:f>IFERROR(Y553/W553,0)</x:f>
        <x:v>0.4726930320150659</x:v>
      </x:c>
      <x:c r="AA553" s="84" t="str">
        <x:f>PROPER(TRIM('Raw Sales'!M553))</x:f>
        <x:v>Debit Card</x:v>
      </x:c>
      <x:c r="AB553" s="84" t="str">
        <x:f>PROPER(TRIM('Raw Sales'!N553))</x:f>
        <x:v>Liam Parker</x:v>
      </x:c>
      <x:c r="AC553" s="85" t="n">
        <x:f>'Raw Sales'!O553</x:f>
        <x:v>45495</x:v>
      </x:c>
      <x:c r="AD553" s="84" t="n">
        <x:f>AC553-B553</x:f>
        <x:v>1</x:v>
      </x:c>
      <x:c r="AE553" s="84" t="str">
        <x:f>IF(COUNTIF($A$5:A553,A553)&gt;1,"Duplicate","Keep")</x:f>
        <x:v>Keep</x:v>
      </x:c>
      <x:c r="AF553" s="84" t="str">
        <x:f>IF(OR(R553&lt;=0,AC553&lt;B553,H553="Unknown",M553="Unknown Product"),"Review","Valid")</x:f>
        <x:v>Valid</x:v>
      </x:c>
      <x:c r="AG553" s="84" t="n">
        <x:f>IF(AND(AE553="Keep",AF553="Valid"),1,0)</x:f>
        <x:v>1</x:v>
      </x:c>
      <x:c r="AH553" s="84" t="n">
        <x:f>IF(AND(AG553=1,OR('Dashboard'!$B$4="All",I553='Dashboard'!$B$4),OR('Dashboard'!$E$4="All",N553='Dashboard'!$E$4),OR('Dashboard'!$H$4="All",K553='Dashboard'!$H$4),OR('Dashboard'!$K$4="All",C553='Dashboard'!$K$4)),1,0)</x:f>
        <x:v>1</x:v>
      </x:c>
      <x:c r="AI553" s="84" t="n">
        <x:f>IF(AND(AG553=1,OR('Dashboard'!$B$4="All",I553='Dashboard'!$B$4),OR('Dashboard'!$E$4="All",N553='Dashboard'!$E$4),OR('Dashboard'!$H$4="All",K553='Dashboard'!$H$4)),1,0)</x:f>
        <x:v>1</x:v>
      </x:c>
    </x:row>
    <x:row r="554">
      <x:c r="A554" s="84" t="str">
        <x:f>'Raw Sales'!A554</x:f>
        <x:v>ORD-2024-02374</x:v>
      </x:c>
      <x:c r="B554" s="85" t="n">
        <x:f>'Raw Sales'!B554</x:f>
        <x:v>45494</x:v>
      </x:c>
      <x:c r="C554" s="84" t="n">
        <x:f>YEAR(B554)</x:f>
        <x:v>2024</x:v>
      </x:c>
      <x:c r="D554" s="91" t="n">
        <x:f>DATE(YEAR(B554),MONTH(B554),1)</x:f>
        <x:v>45474</x:v>
      </x:c>
      <x:c r="E554" s="84" t="str">
        <x:f>TEXT(B554,"mmm")</x:f>
        <x:v>Jul</x:v>
      </x:c>
      <x:c r="F554" s="84" t="str">
        <x:f>'Raw Sales'!C554</x:f>
        <x:v>CUST-0490</x:v>
      </x:c>
      <x:c r="G554" s="84" t="str">
        <x:f>PROPER(TRIM('Raw Sales'!D554))</x:f>
        <x:v>Maya Nelson</x:v>
      </x:c>
      <x:c r="H554" s="84" t="str">
        <x:f>IF(TRIM('Raw Sales'!E554)="","Unknown",PROPER(TRIM('Raw Sales'!E554)))</x:f>
        <x:v>Small Business</x:v>
      </x:c>
      <x:c r="I554" s="84" t="str">
        <x:f>PROPER(TRIM('Raw Sales'!F554))</x:f>
        <x:v>Northeast</x:v>
      </x:c>
      <x:c r="J554" s="84" t="str">
        <x:f>PROPER(TRIM('Raw Sales'!G554))</x:f>
        <x:v>Philadelphia</x:v>
      </x:c>
      <x:c r="K554" s="84" t="str">
        <x:f>PROPER(TRIM('Raw Sales'!H554))</x:f>
        <x:v>Online</x:v>
      </x:c>
      <x:c r="L554" s="84" t="str">
        <x:f>'Raw Sales'!I554</x:f>
        <x:v>FITN-001</x:v>
      </x:c>
      <x:c r="M554" s="84" t="str">
        <x:f>IFERROR(VLOOKUP(L554,'Reference Data'!$A$5:$F$40,2,FALSE),"Unknown Product")</x:f>
        <x:v>Yoga Mat</x:v>
      </x:c>
      <x:c r="N554" s="84" t="str">
        <x:f>IFERROR(VLOOKUP(L554,'Reference Data'!$A$5:$F$40,3,FALSE),"Unknown")</x:f>
        <x:v>Fitness</x:v>
      </x:c>
      <x:c r="O554" s="84" t="str">
        <x:f>IFERROR(VLOOKUP(L554,'Reference Data'!$A$5:$F$40,4,FALSE),"Unknown")</x:f>
        <x:v>Yoga</x:v>
      </x:c>
      <x:c r="P554" s="92" t="n">
        <x:f>IFERROR(VLOOKUP(L554,'Reference Data'!$A$5:$F$40,5,FALSE),0)</x:f>
        <x:v>35</x:v>
      </x:c>
      <x:c r="Q554" s="92" t="n">
        <x:f>IFERROR(VLOOKUP(L554,'Reference Data'!$A$5:$F$40,6,FALSE),0)</x:f>
        <x:v>13</x:v>
      </x:c>
      <x:c r="R554" s="84" t="n">
        <x:f>'Raw Sales'!J554</x:f>
        <x:v>1</x:v>
      </x:c>
      <x:c r="S554" s="87" t="n">
        <x:f>'Raw Sales'!K554</x:f>
        <x:v>0</x:v>
      </x:c>
      <x:c r="T554" s="93" t="n">
        <x:f>P554*R554</x:f>
        <x:v>35</x:v>
      </x:c>
      <x:c r="U554" s="93" t="n">
        <x:f>T554*S554</x:f>
        <x:v>0</x:v>
      </x:c>
      <x:c r="V554" s="93" t="str">
        <x:f>PROPER(TRIM('Raw Sales'!L554))</x:f>
        <x:v>Completed</x:v>
      </x:c>
      <x:c r="W554" s="93" t="n">
        <x:f>IF(V554="Returned",0,T554-U554)</x:f>
        <x:v>35</x:v>
      </x:c>
      <x:c r="X554" s="93" t="n">
        <x:f>IF(V554="Returned",Q554*R554*10%,Q554*R554)</x:f>
        <x:v>13</x:v>
      </x:c>
      <x:c r="Y554" s="93" t="n">
        <x:f>W554-X554</x:f>
        <x:v>22</x:v>
      </x:c>
      <x:c r="Z554" s="94" t="n">
        <x:f>IFERROR(Y554/W554,0)</x:f>
        <x:v>0.6285714285714286</x:v>
      </x:c>
      <x:c r="AA554" s="84" t="str">
        <x:f>PROPER(TRIM('Raw Sales'!M554))</x:f>
        <x:v>Credit Card</x:v>
      </x:c>
      <x:c r="AB554" s="84" t="str">
        <x:f>PROPER(TRIM('Raw Sales'!N554))</x:f>
        <x:v>Ethan Cole</x:v>
      </x:c>
      <x:c r="AC554" s="85" t="n">
        <x:f>'Raw Sales'!O554</x:f>
        <x:v>45497</x:v>
      </x:c>
      <x:c r="AD554" s="84" t="n">
        <x:f>AC554-B554</x:f>
        <x:v>3</x:v>
      </x:c>
      <x:c r="AE554" s="84" t="str">
        <x:f>IF(COUNTIF($A$5:A554,A554)&gt;1,"Duplicate","Keep")</x:f>
        <x:v>Keep</x:v>
      </x:c>
      <x:c r="AF554" s="84" t="str">
        <x:f>IF(OR(R554&lt;=0,AC554&lt;B554,H554="Unknown",M554="Unknown Product"),"Review","Valid")</x:f>
        <x:v>Valid</x:v>
      </x:c>
      <x:c r="AG554" s="84" t="n">
        <x:f>IF(AND(AE554="Keep",AF554="Valid"),1,0)</x:f>
        <x:v>1</x:v>
      </x:c>
      <x:c r="AH554" s="84" t="n">
        <x:f>IF(AND(AG554=1,OR('Dashboard'!$B$4="All",I554='Dashboard'!$B$4),OR('Dashboard'!$E$4="All",N554='Dashboard'!$E$4),OR('Dashboard'!$H$4="All",K554='Dashboard'!$H$4),OR('Dashboard'!$K$4="All",C554='Dashboard'!$K$4)),1,0)</x:f>
        <x:v>1</x:v>
      </x:c>
      <x:c r="AI554" s="84" t="n">
        <x:f>IF(AND(AG554=1,OR('Dashboard'!$B$4="All",I554='Dashboard'!$B$4),OR('Dashboard'!$E$4="All",N554='Dashboard'!$E$4),OR('Dashboard'!$H$4="All",K554='Dashboard'!$H$4)),1,0)</x:f>
        <x:v>1</x:v>
      </x:c>
    </x:row>
    <x:row r="555">
      <x:c r="A555" s="84" t="str">
        <x:f>'Raw Sales'!A555</x:f>
        <x:v>ORD-2024-00474</x:v>
      </x:c>
      <x:c r="B555" s="85" t="n">
        <x:f>'Raw Sales'!B555</x:f>
        <x:v>45496</x:v>
      </x:c>
      <x:c r="C555" s="84" t="n">
        <x:f>YEAR(B555)</x:f>
        <x:v>2024</x:v>
      </x:c>
      <x:c r="D555" s="91" t="n">
        <x:f>DATE(YEAR(B555),MONTH(B555),1)</x:f>
        <x:v>45474</x:v>
      </x:c>
      <x:c r="E555" s="84" t="str">
        <x:f>TEXT(B555,"mmm")</x:f>
        <x:v>Jul</x:v>
      </x:c>
      <x:c r="F555" s="84" t="str">
        <x:f>'Raw Sales'!C555</x:f>
        <x:v>CUST-0195</x:v>
      </x:c>
      <x:c r="G555" s="84" t="str">
        <x:f>PROPER(TRIM('Raw Sales'!D555))</x:f>
        <x:v>Aiden Carter</x:v>
      </x:c>
      <x:c r="H555" s="84" t="str">
        <x:f>IF(TRIM('Raw Sales'!E555)="","Unknown",PROPER(TRIM('Raw Sales'!E555)))</x:f>
        <x:v>Corporate</x:v>
      </x:c>
      <x:c r="I555" s="84" t="str">
        <x:f>PROPER(TRIM('Raw Sales'!F555))</x:f>
        <x:v>Northeast</x:v>
      </x:c>
      <x:c r="J555" s="84" t="str">
        <x:f>PROPER(TRIM('Raw Sales'!G555))</x:f>
        <x:v>New York</x:v>
      </x:c>
      <x:c r="K555" s="84" t="str">
        <x:f>PROPER(TRIM('Raw Sales'!H555))</x:f>
        <x:v>Online</x:v>
      </x:c>
      <x:c r="L555" s="84" t="str">
        <x:f>'Raw Sales'!I555</x:f>
        <x:v>ACCS-005</x:v>
      </x:c>
      <x:c r="M555" s="84" t="str">
        <x:f>IFERROR(VLOOKUP(L555,'Reference Data'!$A$5:$F$40,2,FALSE),"Unknown Product")</x:f>
        <x:v>Protective Phone Case</x:v>
      </x:c>
      <x:c r="N555" s="84" t="str">
        <x:f>IFERROR(VLOOKUP(L555,'Reference Data'!$A$5:$F$40,3,FALSE),"Unknown")</x:f>
        <x:v>Accessories</x:v>
      </x:c>
      <x:c r="O555" s="84" t="str">
        <x:f>IFERROR(VLOOKUP(L555,'Reference Data'!$A$5:$F$40,4,FALSE),"Unknown")</x:f>
        <x:v>Mobile Accessories</x:v>
      </x:c>
      <x:c r="P555" s="92" t="n">
        <x:f>IFERROR(VLOOKUP(L555,'Reference Data'!$A$5:$F$40,5,FALSE),0)</x:f>
        <x:v>24</x:v>
      </x:c>
      <x:c r="Q555" s="92" t="n">
        <x:f>IFERROR(VLOOKUP(L555,'Reference Data'!$A$5:$F$40,6,FALSE),0)</x:f>
        <x:v>5</x:v>
      </x:c>
      <x:c r="R555" s="84" t="n">
        <x:f>'Raw Sales'!J555</x:f>
        <x:v>1</x:v>
      </x:c>
      <x:c r="S555" s="87" t="n">
        <x:f>'Raw Sales'!K555</x:f>
        <x:v>0.1</x:v>
      </x:c>
      <x:c r="T555" s="93" t="n">
        <x:f>P555*R555</x:f>
        <x:v>24</x:v>
      </x:c>
      <x:c r="U555" s="93" t="n">
        <x:f>T555*S555</x:f>
        <x:v>2.4000000000000004</x:v>
      </x:c>
      <x:c r="V555" s="93" t="str">
        <x:f>PROPER(TRIM('Raw Sales'!L555))</x:f>
        <x:v>Completed</x:v>
      </x:c>
      <x:c r="W555" s="93" t="n">
        <x:f>IF(V555="Returned",0,T555-U555)</x:f>
        <x:v>21.6</x:v>
      </x:c>
      <x:c r="X555" s="93" t="n">
        <x:f>IF(V555="Returned",Q555*R555*10%,Q555*R555)</x:f>
        <x:v>5</x:v>
      </x:c>
      <x:c r="Y555" s="93" t="n">
        <x:f>W555-X555</x:f>
        <x:v>16.6</x:v>
      </x:c>
      <x:c r="Z555" s="94" t="n">
        <x:f>IFERROR(Y555/W555,0)</x:f>
        <x:v>0.7685185185185185</x:v>
      </x:c>
      <x:c r="AA555" s="84" t="str">
        <x:f>PROPER(TRIM('Raw Sales'!M555))</x:f>
        <x:v>Debit Card</x:v>
      </x:c>
      <x:c r="AB555" s="84" t="str">
        <x:f>PROPER(TRIM('Raw Sales'!N555))</x:f>
        <x:v>Maya Brooks</x:v>
      </x:c>
      <x:c r="AC555" s="85" t="n">
        <x:f>'Raw Sales'!O555</x:f>
        <x:v>45498</x:v>
      </x:c>
      <x:c r="AD555" s="84" t="n">
        <x:f>AC555-B555</x:f>
        <x:v>2</x:v>
      </x:c>
      <x:c r="AE555" s="84" t="str">
        <x:f>IF(COUNTIF($A$5:A555,A555)&gt;1,"Duplicate","Keep")</x:f>
        <x:v>Keep</x:v>
      </x:c>
      <x:c r="AF555" s="84" t="str">
        <x:f>IF(OR(R555&lt;=0,AC555&lt;B555,H555="Unknown",M555="Unknown Product"),"Review","Valid")</x:f>
        <x:v>Valid</x:v>
      </x:c>
      <x:c r="AG555" s="84" t="n">
        <x:f>IF(AND(AE555="Keep",AF555="Valid"),1,0)</x:f>
        <x:v>1</x:v>
      </x:c>
      <x:c r="AH555" s="84" t="n">
        <x:f>IF(AND(AG555=1,OR('Dashboard'!$B$4="All",I555='Dashboard'!$B$4),OR('Dashboard'!$E$4="All",N555='Dashboard'!$E$4),OR('Dashboard'!$H$4="All",K555='Dashboard'!$H$4),OR('Dashboard'!$K$4="All",C555='Dashboard'!$K$4)),1,0)</x:f>
        <x:v>1</x:v>
      </x:c>
      <x:c r="AI555" s="84" t="n">
        <x:f>IF(AND(AG555=1,OR('Dashboard'!$B$4="All",I555='Dashboard'!$B$4),OR('Dashboard'!$E$4="All",N555='Dashboard'!$E$4),OR('Dashboard'!$H$4="All",K555='Dashboard'!$H$4)),1,0)</x:f>
        <x:v>1</x:v>
      </x:c>
    </x:row>
    <x:row r="556">
      <x:c r="A556" s="84" t="str">
        <x:f>'Raw Sales'!A556</x:f>
        <x:v>ORD-2024-01120</x:v>
      </x:c>
      <x:c r="B556" s="85" t="n">
        <x:f>'Raw Sales'!B556</x:f>
        <x:v>45496</x:v>
      </x:c>
      <x:c r="C556" s="84" t="n">
        <x:f>YEAR(B556)</x:f>
        <x:v>2024</x:v>
      </x:c>
      <x:c r="D556" s="91" t="n">
        <x:f>DATE(YEAR(B556),MONTH(B556),1)</x:f>
        <x:v>45474</x:v>
      </x:c>
      <x:c r="E556" s="84" t="str">
        <x:f>TEXT(B556,"mmm")</x:f>
        <x:v>Jul</x:v>
      </x:c>
      <x:c r="F556" s="84" t="str">
        <x:f>'Raw Sales'!C556</x:f>
        <x:v>CUST-0511</x:v>
      </x:c>
      <x:c r="G556" s="84" t="str">
        <x:f>PROPER(TRIM('Raw Sales'!D556))</x:f>
        <x:v>Marcus Walker</x:v>
      </x:c>
      <x:c r="H556" s="84" t="str">
        <x:f>IF(TRIM('Raw Sales'!E556)="","Unknown",PROPER(TRIM('Raw Sales'!E556)))</x:f>
        <x:v>Corporate</x:v>
      </x:c>
      <x:c r="I556" s="84" t="str">
        <x:f>PROPER(TRIM('Raw Sales'!F556))</x:f>
        <x:v>Northeast</x:v>
      </x:c>
      <x:c r="J556" s="84" t="str">
        <x:f>PROPER(TRIM('Raw Sales'!G556))</x:f>
        <x:v>Newark</x:v>
      </x:c>
      <x:c r="K556" s="84" t="str">
        <x:f>PROPER(TRIM('Raw Sales'!H556))</x:f>
        <x:v>Retail Store</x:v>
      </x:c>
      <x:c r="L556" s="84" t="str">
        <x:f>'Raw Sales'!I556</x:f>
        <x:v>ELEC-003</x:v>
      </x:c>
      <x:c r="M556" s="84" t="str">
        <x:f>IFERROR(VLOOKUP(L556,'Reference Data'!$A$5:$F$40,2,FALSE),"Unknown Product")</x:f>
        <x:v>Bluetooth Speaker</x:v>
      </x:c>
      <x:c r="N556" s="84" t="str">
        <x:f>IFERROR(VLOOKUP(L556,'Reference Data'!$A$5:$F$40,3,FALSE),"Unknown")</x:f>
        <x:v>Electronics</x:v>
      </x:c>
      <x:c r="O556" s="84" t="str">
        <x:f>IFERROR(VLOOKUP(L556,'Reference Data'!$A$5:$F$40,4,FALSE),"Unknown")</x:f>
        <x:v>Audio</x:v>
      </x:c>
      <x:c r="P556" s="92" t="n">
        <x:f>IFERROR(VLOOKUP(L556,'Reference Data'!$A$5:$F$40,5,FALSE),0)</x:f>
        <x:v>89</x:v>
      </x:c>
      <x:c r="Q556" s="92" t="n">
        <x:f>IFERROR(VLOOKUP(L556,'Reference Data'!$A$5:$F$40,6,FALSE),0)</x:f>
        <x:v>44</x:v>
      </x:c>
      <x:c r="R556" s="84" t="n">
        <x:f>'Raw Sales'!J556</x:f>
        <x:v>3</x:v>
      </x:c>
      <x:c r="S556" s="87" t="n">
        <x:f>'Raw Sales'!K556</x:f>
        <x:v>0</x:v>
      </x:c>
      <x:c r="T556" s="93" t="n">
        <x:f>P556*R556</x:f>
        <x:v>267</x:v>
      </x:c>
      <x:c r="U556" s="93" t="n">
        <x:f>T556*S556</x:f>
        <x:v>0</x:v>
      </x:c>
      <x:c r="V556" s="93" t="str">
        <x:f>PROPER(TRIM('Raw Sales'!L556))</x:f>
        <x:v>Completed</x:v>
      </x:c>
      <x:c r="W556" s="93" t="n">
        <x:f>IF(V556="Returned",0,T556-U556)</x:f>
        <x:v>267</x:v>
      </x:c>
      <x:c r="X556" s="93" t="n">
        <x:f>IF(V556="Returned",Q556*R556*10%,Q556*R556)</x:f>
        <x:v>132</x:v>
      </x:c>
      <x:c r="Y556" s="93" t="n">
        <x:f>W556-X556</x:f>
        <x:v>135</x:v>
      </x:c>
      <x:c r="Z556" s="94" t="n">
        <x:f>IFERROR(Y556/W556,0)</x:f>
        <x:v>0.5056179775280899</x:v>
      </x:c>
      <x:c r="AA556" s="84" t="str">
        <x:f>PROPER(TRIM('Raw Sales'!M556))</x:f>
        <x:v>Mobile Wallet</x:v>
      </x:c>
      <x:c r="AB556" s="84" t="str">
        <x:f>PROPER(TRIM('Raw Sales'!N556))</x:f>
        <x:v>Maya Brooks</x:v>
      </x:c>
      <x:c r="AC556" s="85" t="n">
        <x:f>'Raw Sales'!O556</x:f>
        <x:v>45496</x:v>
      </x:c>
      <x:c r="AD556" s="84" t="n">
        <x:f>AC556-B556</x:f>
        <x:v>0</x:v>
      </x:c>
      <x:c r="AE556" s="84" t="str">
        <x:f>IF(COUNTIF($A$5:A556,A556)&gt;1,"Duplicate","Keep")</x:f>
        <x:v>Keep</x:v>
      </x:c>
      <x:c r="AF556" s="84" t="str">
        <x:f>IF(OR(R556&lt;=0,AC556&lt;B556,H556="Unknown",M556="Unknown Product"),"Review","Valid")</x:f>
        <x:v>Valid</x:v>
      </x:c>
      <x:c r="AG556" s="84" t="n">
        <x:f>IF(AND(AE556="Keep",AF556="Valid"),1,0)</x:f>
        <x:v>1</x:v>
      </x:c>
      <x:c r="AH556" s="84" t="n">
        <x:f>IF(AND(AG556=1,OR('Dashboard'!$B$4="All",I556='Dashboard'!$B$4),OR('Dashboard'!$E$4="All",N556='Dashboard'!$E$4),OR('Dashboard'!$H$4="All",K556='Dashboard'!$H$4),OR('Dashboard'!$K$4="All",C556='Dashboard'!$K$4)),1,0)</x:f>
        <x:v>1</x:v>
      </x:c>
      <x:c r="AI556" s="84" t="n">
        <x:f>IF(AND(AG556=1,OR('Dashboard'!$B$4="All",I556='Dashboard'!$B$4),OR('Dashboard'!$E$4="All",N556='Dashboard'!$E$4),OR('Dashboard'!$H$4="All",K556='Dashboard'!$H$4)),1,0)</x:f>
        <x:v>1</x:v>
      </x:c>
    </x:row>
    <x:row r="557">
      <x:c r="A557" s="84" t="str">
        <x:f>'Raw Sales'!A557</x:f>
        <x:v>ORD-2024-02182</x:v>
      </x:c>
      <x:c r="B557" s="85" t="n">
        <x:f>'Raw Sales'!B557</x:f>
        <x:v>45496</x:v>
      </x:c>
      <x:c r="C557" s="84" t="n">
        <x:f>YEAR(B557)</x:f>
        <x:v>2024</x:v>
      </x:c>
      <x:c r="D557" s="91" t="n">
        <x:f>DATE(YEAR(B557),MONTH(B557),1)</x:f>
        <x:v>45474</x:v>
      </x:c>
      <x:c r="E557" s="84" t="str">
        <x:f>TEXT(B557,"mmm")</x:f>
        <x:v>Jul</x:v>
      </x:c>
      <x:c r="F557" s="84" t="str">
        <x:f>'Raw Sales'!C557</x:f>
        <x:v>CUST-0453</x:v>
      </x:c>
      <x:c r="G557" s="84" t="str">
        <x:f>PROPER(TRIM('Raw Sales'!D557))</x:f>
        <x:v>Victoria Foster</x:v>
      </x:c>
      <x:c r="H557" s="84" t="str">
        <x:f>IF(TRIM('Raw Sales'!E557)="","Unknown",PROPER(TRIM('Raw Sales'!E557)))</x:f>
        <x:v>Consumer</x:v>
      </x:c>
      <x:c r="I557" s="84" t="str">
        <x:f>PROPER(TRIM('Raw Sales'!F557))</x:f>
        <x:v>Southeast</x:v>
      </x:c>
      <x:c r="J557" s="84" t="str">
        <x:f>PROPER(TRIM('Raw Sales'!G557))</x:f>
        <x:v>Atlanta</x:v>
      </x:c>
      <x:c r="K557" s="84" t="str">
        <x:f>PROPER(TRIM('Raw Sales'!H557))</x:f>
        <x:v>Online</x:v>
      </x:c>
      <x:c r="L557" s="84" t="str">
        <x:f>'Raw Sales'!I557</x:f>
        <x:v>HOME-001</x:v>
      </x:c>
      <x:c r="M557" s="84" t="str">
        <x:f>IFERROR(VLOOKUP(L557,'Reference Data'!$A$5:$F$40,2,FALSE),"Unknown Product")</x:f>
        <x:v>Air Fryer</x:v>
      </x:c>
      <x:c r="N557" s="84" t="str">
        <x:f>IFERROR(VLOOKUP(L557,'Reference Data'!$A$5:$F$40,3,FALSE),"Unknown")</x:f>
        <x:v>Home &amp; Kitchen</x:v>
      </x:c>
      <x:c r="O557" s="84" t="str">
        <x:f>IFERROR(VLOOKUP(L557,'Reference Data'!$A$5:$F$40,4,FALSE),"Unknown")</x:f>
        <x:v>Small Appliances</x:v>
      </x:c>
      <x:c r="P557" s="92" t="n">
        <x:f>IFERROR(VLOOKUP(L557,'Reference Data'!$A$5:$F$40,5,FALSE),0)</x:f>
        <x:v>119</x:v>
      </x:c>
      <x:c r="Q557" s="92" t="n">
        <x:f>IFERROR(VLOOKUP(L557,'Reference Data'!$A$5:$F$40,6,FALSE),0)</x:f>
        <x:v>68</x:v>
      </x:c>
      <x:c r="R557" s="84" t="n">
        <x:f>'Raw Sales'!J557</x:f>
        <x:v>2</x:v>
      </x:c>
      <x:c r="S557" s="87" t="n">
        <x:f>'Raw Sales'!K557</x:f>
        <x:v>0.1</x:v>
      </x:c>
      <x:c r="T557" s="93" t="n">
        <x:f>P557*R557</x:f>
        <x:v>238</x:v>
      </x:c>
      <x:c r="U557" s="93" t="n">
        <x:f>T557*S557</x:f>
        <x:v>23.8</x:v>
      </x:c>
      <x:c r="V557" s="93" t="str">
        <x:f>PROPER(TRIM('Raw Sales'!L557))</x:f>
        <x:v>Completed</x:v>
      </x:c>
      <x:c r="W557" s="93" t="n">
        <x:f>IF(V557="Returned",0,T557-U557)</x:f>
        <x:v>214.2</x:v>
      </x:c>
      <x:c r="X557" s="93" t="n">
        <x:f>IF(V557="Returned",Q557*R557*10%,Q557*R557)</x:f>
        <x:v>136</x:v>
      </x:c>
      <x:c r="Y557" s="93" t="n">
        <x:f>W557-X557</x:f>
        <x:v>78.19999999999999</x:v>
      </x:c>
      <x:c r="Z557" s="94" t="n">
        <x:f>IFERROR(Y557/W557,0)</x:f>
        <x:v>0.36507936507936506</x:v>
      </x:c>
      <x:c r="AA557" s="84" t="str">
        <x:f>PROPER(TRIM('Raw Sales'!M557))</x:f>
        <x:v>Credit Card</x:v>
      </x:c>
      <x:c r="AB557" s="84" t="str">
        <x:f>PROPER(TRIM('Raw Sales'!N557))</x:f>
        <x:v>Liam Parker</x:v>
      </x:c>
      <x:c r="AC557" s="85" t="n">
        <x:f>'Raw Sales'!O557</x:f>
        <x:v>45502</x:v>
      </x:c>
      <x:c r="AD557" s="84" t="n">
        <x:f>AC557-B557</x:f>
        <x:v>6</x:v>
      </x:c>
      <x:c r="AE557" s="84" t="str">
        <x:f>IF(COUNTIF($A$5:A557,A557)&gt;1,"Duplicate","Keep")</x:f>
        <x:v>Keep</x:v>
      </x:c>
      <x:c r="AF557" s="84" t="str">
        <x:f>IF(OR(R557&lt;=0,AC557&lt;B557,H557="Unknown",M557="Unknown Product"),"Review","Valid")</x:f>
        <x:v>Valid</x:v>
      </x:c>
      <x:c r="AG557" s="84" t="n">
        <x:f>IF(AND(AE557="Keep",AF557="Valid"),1,0)</x:f>
        <x:v>1</x:v>
      </x:c>
      <x:c r="AH557" s="84" t="n">
        <x:f>IF(AND(AG557=1,OR('Dashboard'!$B$4="All",I557='Dashboard'!$B$4),OR('Dashboard'!$E$4="All",N557='Dashboard'!$E$4),OR('Dashboard'!$H$4="All",K557='Dashboard'!$H$4),OR('Dashboard'!$K$4="All",C557='Dashboard'!$K$4)),1,0)</x:f>
        <x:v>1</x:v>
      </x:c>
      <x:c r="AI557" s="84" t="n">
        <x:f>IF(AND(AG557=1,OR('Dashboard'!$B$4="All",I557='Dashboard'!$B$4),OR('Dashboard'!$E$4="All",N557='Dashboard'!$E$4),OR('Dashboard'!$H$4="All",K557='Dashboard'!$H$4)),1,0)</x:f>
        <x:v>1</x:v>
      </x:c>
    </x:row>
    <x:row r="558">
      <x:c r="A558" s="84" t="str">
        <x:f>'Raw Sales'!A558</x:f>
        <x:v>ORD-2024-02183</x:v>
      </x:c>
      <x:c r="B558" s="85" t="n">
        <x:f>'Raw Sales'!B558</x:f>
        <x:v>45496</x:v>
      </x:c>
      <x:c r="C558" s="84" t="n">
        <x:f>YEAR(B558)</x:f>
        <x:v>2024</x:v>
      </x:c>
      <x:c r="D558" s="91" t="n">
        <x:f>DATE(YEAR(B558),MONTH(B558),1)</x:f>
        <x:v>45474</x:v>
      </x:c>
      <x:c r="E558" s="84" t="str">
        <x:f>TEXT(B558,"mmm")</x:f>
        <x:v>Jul</x:v>
      </x:c>
      <x:c r="F558" s="84" t="str">
        <x:f>'Raw Sales'!C558</x:f>
        <x:v>CUST-0579</x:v>
      </x:c>
      <x:c r="G558" s="84" t="str">
        <x:f>PROPER(TRIM('Raw Sales'!D558))</x:f>
        <x:v>Sara Garcia</x:v>
      </x:c>
      <x:c r="H558" s="84" t="str">
        <x:f>IF(TRIM('Raw Sales'!E558)="","Unknown",PROPER(TRIM('Raw Sales'!E558)))</x:f>
        <x:v>Consumer</x:v>
      </x:c>
      <x:c r="I558" s="84" t="str">
        <x:f>PROPER(TRIM('Raw Sales'!F558))</x:f>
        <x:v>West</x:v>
      </x:c>
      <x:c r="J558" s="84" t="str">
        <x:f>PROPER(TRIM('Raw Sales'!G558))</x:f>
        <x:v>Phoenix</x:v>
      </x:c>
      <x:c r="K558" s="84" t="str">
        <x:f>PROPER(TRIM('Raw Sales'!H558))</x:f>
        <x:v>Retail Store</x:v>
      </x:c>
      <x:c r="L558" s="84" t="str">
        <x:f>'Raw Sales'!I558</x:f>
        <x:v>OFFC-004</x:v>
      </x:c>
      <x:c r="M558" s="84" t="str">
        <x:f>IFERROR(VLOOKUP(L558,'Reference Data'!$A$5:$F$40,2,FALSE),"Unknown Product")</x:f>
        <x:v>Premium Notebook Pack</x:v>
      </x:c>
      <x:c r="N558" s="84" t="str">
        <x:f>IFERROR(VLOOKUP(L558,'Reference Data'!$A$5:$F$40,3,FALSE),"Unknown")</x:f>
        <x:v>Office</x:v>
      </x:c>
      <x:c r="O558" s="84" t="str">
        <x:f>IFERROR(VLOOKUP(L558,'Reference Data'!$A$5:$F$40,4,FALSE),"Unknown")</x:f>
        <x:v>Stationery</x:v>
      </x:c>
      <x:c r="P558" s="92" t="n">
        <x:f>IFERROR(VLOOKUP(L558,'Reference Data'!$A$5:$F$40,5,FALSE),0)</x:f>
        <x:v>18</x:v>
      </x:c>
      <x:c r="Q558" s="92" t="n">
        <x:f>IFERROR(VLOOKUP(L558,'Reference Data'!$A$5:$F$40,6,FALSE),0)</x:f>
        <x:v>6.5</x:v>
      </x:c>
      <x:c r="R558" s="84" t="n">
        <x:f>'Raw Sales'!J558</x:f>
        <x:v>4</x:v>
      </x:c>
      <x:c r="S558" s="87" t="n">
        <x:f>'Raw Sales'!K558</x:f>
        <x:v>0.05</x:v>
      </x:c>
      <x:c r="T558" s="93" t="n">
        <x:f>P558*R558</x:f>
        <x:v>72</x:v>
      </x:c>
      <x:c r="U558" s="93" t="n">
        <x:f>T558*S558</x:f>
        <x:v>3.6</x:v>
      </x:c>
      <x:c r="V558" s="93" t="str">
        <x:f>PROPER(TRIM('Raw Sales'!L558))</x:f>
        <x:v>Completed</x:v>
      </x:c>
      <x:c r="W558" s="93" t="n">
        <x:f>IF(V558="Returned",0,T558-U558)</x:f>
        <x:v>68.4</x:v>
      </x:c>
      <x:c r="X558" s="93" t="n">
        <x:f>IF(V558="Returned",Q558*R558*10%,Q558*R558)</x:f>
        <x:v>26</x:v>
      </x:c>
      <x:c r="Y558" s="93" t="n">
        <x:f>W558-X558</x:f>
        <x:v>42.400000000000006</x:v>
      </x:c>
      <x:c r="Z558" s="94" t="n">
        <x:f>IFERROR(Y558/W558,0)</x:f>
        <x:v>0.6198830409356726</x:v>
      </x:c>
      <x:c r="AA558" s="84" t="str">
        <x:f>PROPER(TRIM('Raw Sales'!M558))</x:f>
        <x:v>Cash</x:v>
      </x:c>
      <x:c r="AB558" s="84" t="str">
        <x:f>PROPER(TRIM('Raw Sales'!N558))</x:f>
        <x:v>Mia Chen</x:v>
      </x:c>
      <x:c r="AC558" s="85" t="n">
        <x:f>'Raw Sales'!O558</x:f>
        <x:v>45497</x:v>
      </x:c>
      <x:c r="AD558" s="84" t="n">
        <x:f>AC558-B558</x:f>
        <x:v>1</x:v>
      </x:c>
      <x:c r="AE558" s="84" t="str">
        <x:f>IF(COUNTIF($A$5:A558,A558)&gt;1,"Duplicate","Keep")</x:f>
        <x:v>Keep</x:v>
      </x:c>
      <x:c r="AF558" s="84" t="str">
        <x:f>IF(OR(R558&lt;=0,AC558&lt;B558,H558="Unknown",M558="Unknown Product"),"Review","Valid")</x:f>
        <x:v>Valid</x:v>
      </x:c>
      <x:c r="AG558" s="84" t="n">
        <x:f>IF(AND(AE558="Keep",AF558="Valid"),1,0)</x:f>
        <x:v>1</x:v>
      </x:c>
      <x:c r="AH558" s="84" t="n">
        <x:f>IF(AND(AG558=1,OR('Dashboard'!$B$4="All",I558='Dashboard'!$B$4),OR('Dashboard'!$E$4="All",N558='Dashboard'!$E$4),OR('Dashboard'!$H$4="All",K558='Dashboard'!$H$4),OR('Dashboard'!$K$4="All",C558='Dashboard'!$K$4)),1,0)</x:f>
        <x:v>1</x:v>
      </x:c>
      <x:c r="AI558" s="84" t="n">
        <x:f>IF(AND(AG558=1,OR('Dashboard'!$B$4="All",I558='Dashboard'!$B$4),OR('Dashboard'!$E$4="All",N558='Dashboard'!$E$4),OR('Dashboard'!$H$4="All",K558='Dashboard'!$H$4)),1,0)</x:f>
        <x:v>1</x:v>
      </x:c>
    </x:row>
    <x:row r="559">
      <x:c r="A559" s="84" t="str">
        <x:f>'Raw Sales'!A559</x:f>
        <x:v>ORD-2024-00648</x:v>
      </x:c>
      <x:c r="B559" s="85" t="n">
        <x:f>'Raw Sales'!B559</x:f>
        <x:v>45498</x:v>
      </x:c>
      <x:c r="C559" s="84" t="n">
        <x:f>YEAR(B559)</x:f>
        <x:v>2024</x:v>
      </x:c>
      <x:c r="D559" s="91" t="n">
        <x:f>DATE(YEAR(B559),MONTH(B559),1)</x:f>
        <x:v>45474</x:v>
      </x:c>
      <x:c r="E559" s="84" t="str">
        <x:f>TEXT(B559,"mmm")</x:f>
        <x:v>Jul</x:v>
      </x:c>
      <x:c r="F559" s="84" t="str">
        <x:f>'Raw Sales'!C559</x:f>
        <x:v>CUST-0312</x:v>
      </x:c>
      <x:c r="G559" s="84" t="str">
        <x:f>PROPER(TRIM('Raw Sales'!D559))</x:f>
        <x:v>Theo Carter</x:v>
      </x:c>
      <x:c r="H559" s="84" t="str">
        <x:f>IF(TRIM('Raw Sales'!E559)="","Unknown",PROPER(TRIM('Raw Sales'!E559)))</x:f>
        <x:v>Small Business</x:v>
      </x:c>
      <x:c r="I559" s="84" t="str">
        <x:f>PROPER(TRIM('Raw Sales'!F559))</x:f>
        <x:v>Southeast</x:v>
      </x:c>
      <x:c r="J559" s="84" t="str">
        <x:f>PROPER(TRIM('Raw Sales'!G559))</x:f>
        <x:v>Atlanta</x:v>
      </x:c>
      <x:c r="K559" s="84" t="str">
        <x:f>PROPER(TRIM('Raw Sales'!H559))</x:f>
        <x:v>Retail Store</x:v>
      </x:c>
      <x:c r="L559" s="84" t="str">
        <x:f>'Raw Sales'!I559</x:f>
        <x:v>FITN-004</x:v>
      </x:c>
      <x:c r="M559" s="84" t="str">
        <x:f>IFERROR(VLOOKUP(L559,'Reference Data'!$A$5:$F$40,2,FALSE),"Unknown Product")</x:f>
        <x:v>Fitness Tracker</x:v>
      </x:c>
      <x:c r="N559" s="84" t="str">
        <x:f>IFERROR(VLOOKUP(L559,'Reference Data'!$A$5:$F$40,3,FALSE),"Unknown")</x:f>
        <x:v>Fitness</x:v>
      </x:c>
      <x:c r="O559" s="84" t="str">
        <x:f>IFERROR(VLOOKUP(L559,'Reference Data'!$A$5:$F$40,4,FALSE),"Unknown")</x:f>
        <x:v>Wearables</x:v>
      </x:c>
      <x:c r="P559" s="92" t="n">
        <x:f>IFERROR(VLOOKUP(L559,'Reference Data'!$A$5:$F$40,5,FALSE),0)</x:f>
        <x:v>89</x:v>
      </x:c>
      <x:c r="Q559" s="92" t="n">
        <x:f>IFERROR(VLOOKUP(L559,'Reference Data'!$A$5:$F$40,6,FALSE),0)</x:f>
        <x:v>44</x:v>
      </x:c>
      <x:c r="R559" s="84" t="n">
        <x:f>'Raw Sales'!J559</x:f>
        <x:v>1</x:v>
      </x:c>
      <x:c r="S559" s="87" t="n">
        <x:f>'Raw Sales'!K559</x:f>
        <x:v>0.05</x:v>
      </x:c>
      <x:c r="T559" s="93" t="n">
        <x:f>P559*R559</x:f>
        <x:v>89</x:v>
      </x:c>
      <x:c r="U559" s="93" t="n">
        <x:f>T559*S559</x:f>
        <x:v>4.45</x:v>
      </x:c>
      <x:c r="V559" s="93" t="str">
        <x:f>PROPER(TRIM('Raw Sales'!L559))</x:f>
        <x:v>Completed</x:v>
      </x:c>
      <x:c r="W559" s="93" t="n">
        <x:f>IF(V559="Returned",0,T559-U559)</x:f>
        <x:v>84.55</x:v>
      </x:c>
      <x:c r="X559" s="93" t="n">
        <x:f>IF(V559="Returned",Q559*R559*10%,Q559*R559)</x:f>
        <x:v>44</x:v>
      </x:c>
      <x:c r="Y559" s="93" t="n">
        <x:f>W559-X559</x:f>
        <x:v>40.55</x:v>
      </x:c>
      <x:c r="Z559" s="94" t="n">
        <x:f>IFERROR(Y559/W559,0)</x:f>
        <x:v>0.47959787108219987</x:v>
      </x:c>
      <x:c r="AA559" s="84" t="str">
        <x:f>PROPER(TRIM('Raw Sales'!M559))</x:f>
        <x:v>Credit Card</x:v>
      </x:c>
      <x:c r="AB559" s="84" t="str">
        <x:f>PROPER(TRIM('Raw Sales'!N559))</x:f>
        <x:v>Liam Parker</x:v>
      </x:c>
      <x:c r="AC559" s="85" t="n">
        <x:f>'Raw Sales'!O559</x:f>
        <x:v>45498</x:v>
      </x:c>
      <x:c r="AD559" s="84" t="n">
        <x:f>AC559-B559</x:f>
        <x:v>0</x:v>
      </x:c>
      <x:c r="AE559" s="84" t="str">
        <x:f>IF(COUNTIF($A$5:A559,A559)&gt;1,"Duplicate","Keep")</x:f>
        <x:v>Keep</x:v>
      </x:c>
      <x:c r="AF559" s="84" t="str">
        <x:f>IF(OR(R559&lt;=0,AC559&lt;B559,H559="Unknown",M559="Unknown Product"),"Review","Valid")</x:f>
        <x:v>Valid</x:v>
      </x:c>
      <x:c r="AG559" s="84" t="n">
        <x:f>IF(AND(AE559="Keep",AF559="Valid"),1,0)</x:f>
        <x:v>1</x:v>
      </x:c>
      <x:c r="AH559" s="84" t="n">
        <x:f>IF(AND(AG559=1,OR('Dashboard'!$B$4="All",I559='Dashboard'!$B$4),OR('Dashboard'!$E$4="All",N559='Dashboard'!$E$4),OR('Dashboard'!$H$4="All",K559='Dashboard'!$H$4),OR('Dashboard'!$K$4="All",C559='Dashboard'!$K$4)),1,0)</x:f>
        <x:v>1</x:v>
      </x:c>
      <x:c r="AI559" s="84" t="n">
        <x:f>IF(AND(AG559=1,OR('Dashboard'!$B$4="All",I559='Dashboard'!$B$4),OR('Dashboard'!$E$4="All",N559='Dashboard'!$E$4),OR('Dashboard'!$H$4="All",K559='Dashboard'!$H$4)),1,0)</x:f>
        <x:v>1</x:v>
      </x:c>
    </x:row>
    <x:row r="560">
      <x:c r="A560" s="84" t="str">
        <x:f>'Raw Sales'!A560</x:f>
        <x:v>ORD-2024-00763</x:v>
      </x:c>
      <x:c r="B560" s="85" t="n">
        <x:f>'Raw Sales'!B560</x:f>
        <x:v>45498</x:v>
      </x:c>
      <x:c r="C560" s="84" t="n">
        <x:f>YEAR(B560)</x:f>
        <x:v>2024</x:v>
      </x:c>
      <x:c r="D560" s="91" t="n">
        <x:f>DATE(YEAR(B560),MONTH(B560),1)</x:f>
        <x:v>45474</x:v>
      </x:c>
      <x:c r="E560" s="84" t="str">
        <x:f>TEXT(B560,"mmm")</x:f>
        <x:v>Jul</x:v>
      </x:c>
      <x:c r="F560" s="84" t="str">
        <x:f>'Raw Sales'!C560</x:f>
        <x:v>CUST-0307</x:v>
      </x:c>
      <x:c r="G560" s="84" t="str">
        <x:f>PROPER(TRIM('Raw Sales'!D560))</x:f>
        <x:v>Theo Patel</x:v>
      </x:c>
      <x:c r="H560" s="84" t="str">
        <x:f>IF(TRIM('Raw Sales'!E560)="","Unknown",PROPER(TRIM('Raw Sales'!E560)))</x:f>
        <x:v>Consumer</x:v>
      </x:c>
      <x:c r="I560" s="84" t="str">
        <x:f>PROPER(TRIM('Raw Sales'!F560))</x:f>
        <x:v>Midwest</x:v>
      </x:c>
      <x:c r="J560" s="84" t="str">
        <x:f>PROPER(TRIM('Raw Sales'!G560))</x:f>
        <x:v>Chicago</x:v>
      </x:c>
      <x:c r="K560" s="84" t="str">
        <x:f>PROPER(TRIM('Raw Sales'!H560))</x:f>
        <x:v>Online</x:v>
      </x:c>
      <x:c r="L560" s="84" t="str">
        <x:f>'Raw Sales'!I560</x:f>
        <x:v>ELEC-006</x:v>
      </x:c>
      <x:c r="M560" s="84" t="str">
        <x:f>IFERROR(VLOOKUP(L560,'Reference Data'!$A$5:$F$40,2,FALSE),"Unknown Product")</x:f>
        <x:v>Portable SSD</x:v>
      </x:c>
      <x:c r="N560" s="84" t="str">
        <x:f>IFERROR(VLOOKUP(L560,'Reference Data'!$A$5:$F$40,3,FALSE),"Unknown")</x:f>
        <x:v>Electronics</x:v>
      </x:c>
      <x:c r="O560" s="84" t="str">
        <x:f>IFERROR(VLOOKUP(L560,'Reference Data'!$A$5:$F$40,4,FALSE),"Unknown")</x:f>
        <x:v>Storage</x:v>
      </x:c>
      <x:c r="P560" s="92" t="n">
        <x:f>IFERROR(VLOOKUP(L560,'Reference Data'!$A$5:$F$40,5,FALSE),0)</x:f>
        <x:v>129</x:v>
      </x:c>
      <x:c r="Q560" s="92" t="n">
        <x:f>IFERROR(VLOOKUP(L560,'Reference Data'!$A$5:$F$40,6,FALSE),0)</x:f>
        <x:v>75</x:v>
      </x:c>
      <x:c r="R560" s="84" t="n">
        <x:f>'Raw Sales'!J560</x:f>
        <x:v>2</x:v>
      </x:c>
      <x:c r="S560" s="87" t="n">
        <x:f>'Raw Sales'!K560</x:f>
        <x:v>0.05</x:v>
      </x:c>
      <x:c r="T560" s="93" t="n">
        <x:f>P560*R560</x:f>
        <x:v>258</x:v>
      </x:c>
      <x:c r="U560" s="93" t="n">
        <x:f>T560*S560</x:f>
        <x:v>12.9</x:v>
      </x:c>
      <x:c r="V560" s="93" t="str">
        <x:f>PROPER(TRIM('Raw Sales'!L560))</x:f>
        <x:v>Completed</x:v>
      </x:c>
      <x:c r="W560" s="93" t="n">
        <x:f>IF(V560="Returned",0,T560-U560)</x:f>
        <x:v>245.1</x:v>
      </x:c>
      <x:c r="X560" s="93" t="n">
        <x:f>IF(V560="Returned",Q560*R560*10%,Q560*R560)</x:f>
        <x:v>150</x:v>
      </x:c>
      <x:c r="Y560" s="93" t="n">
        <x:f>W560-X560</x:f>
        <x:v>95.1</x:v>
      </x:c>
      <x:c r="Z560" s="94" t="n">
        <x:f>IFERROR(Y560/W560,0)</x:f>
        <x:v>0.3880048959608323</x:v>
      </x:c>
      <x:c r="AA560" s="84" t="str">
        <x:f>PROPER(TRIM('Raw Sales'!M560))</x:f>
        <x:v>Credit Card</x:v>
      </x:c>
      <x:c r="AB560" s="84" t="str">
        <x:f>PROPER(TRIM('Raw Sales'!N560))</x:f>
        <x:v>Zoe Turner</x:v>
      </x:c>
      <x:c r="AC560" s="85" t="n">
        <x:f>'Raw Sales'!O560</x:f>
        <x:v>45503</x:v>
      </x:c>
      <x:c r="AD560" s="84" t="n">
        <x:f>AC560-B560</x:f>
        <x:v>5</x:v>
      </x:c>
      <x:c r="AE560" s="84" t="str">
        <x:f>IF(COUNTIF($A$5:A560,A560)&gt;1,"Duplicate","Keep")</x:f>
        <x:v>Keep</x:v>
      </x:c>
      <x:c r="AF560" s="84" t="str">
        <x:f>IF(OR(R560&lt;=0,AC560&lt;B560,H560="Unknown",M560="Unknown Product"),"Review","Valid")</x:f>
        <x:v>Valid</x:v>
      </x:c>
      <x:c r="AG560" s="84" t="n">
        <x:f>IF(AND(AE560="Keep",AF560="Valid"),1,0)</x:f>
        <x:v>1</x:v>
      </x:c>
      <x:c r="AH560" s="84" t="n">
        <x:f>IF(AND(AG560=1,OR('Dashboard'!$B$4="All",I560='Dashboard'!$B$4),OR('Dashboard'!$E$4="All",N560='Dashboard'!$E$4),OR('Dashboard'!$H$4="All",K560='Dashboard'!$H$4),OR('Dashboard'!$K$4="All",C560='Dashboard'!$K$4)),1,0)</x:f>
        <x:v>1</x:v>
      </x:c>
      <x:c r="AI560" s="84" t="n">
        <x:f>IF(AND(AG560=1,OR('Dashboard'!$B$4="All",I560='Dashboard'!$B$4),OR('Dashboard'!$E$4="All",N560='Dashboard'!$E$4),OR('Dashboard'!$H$4="All",K560='Dashboard'!$H$4)),1,0)</x:f>
        <x:v>1</x:v>
      </x:c>
    </x:row>
    <x:row r="561">
      <x:c r="A561" s="84" t="str">
        <x:f>'Raw Sales'!A561</x:f>
        <x:v>ORD-2024-02399</x:v>
      </x:c>
      <x:c r="B561" s="85" t="n">
        <x:f>'Raw Sales'!B561</x:f>
        <x:v>45498</x:v>
      </x:c>
      <x:c r="C561" s="84" t="n">
        <x:f>YEAR(B561)</x:f>
        <x:v>2024</x:v>
      </x:c>
      <x:c r="D561" s="91" t="n">
        <x:f>DATE(YEAR(B561),MONTH(B561),1)</x:f>
        <x:v>45474</x:v>
      </x:c>
      <x:c r="E561" s="84" t="str">
        <x:f>TEXT(B561,"mmm")</x:f>
        <x:v>Jul</x:v>
      </x:c>
      <x:c r="F561" s="84" t="str">
        <x:f>'Raw Sales'!C561</x:f>
        <x:v>CUST-0270</x:v>
      </x:c>
      <x:c r="G561" s="84" t="str">
        <x:f>PROPER(TRIM('Raw Sales'!D561))</x:f>
        <x:v>Victoria Nelson</x:v>
      </x:c>
      <x:c r="H561" s="84" t="str">
        <x:f>IF(TRIM('Raw Sales'!E561)="","Unknown",PROPER(TRIM('Raw Sales'!E561)))</x:f>
        <x:v>Consumer</x:v>
      </x:c>
      <x:c r="I561" s="84" t="str">
        <x:f>PROPER(TRIM('Raw Sales'!F561))</x:f>
        <x:v>Northeast</x:v>
      </x:c>
      <x:c r="J561" s="84" t="str">
        <x:f>PROPER(TRIM('Raw Sales'!G561))</x:f>
        <x:v>Newark</x:v>
      </x:c>
      <x:c r="K561" s="84" t="str">
        <x:f>PROPER(TRIM('Raw Sales'!H561))</x:f>
        <x:v>Retail Store</x:v>
      </x:c>
      <x:c r="L561" s="84" t="str">
        <x:f>'Raw Sales'!I561</x:f>
        <x:v>ACCS-006</x:v>
      </x:c>
      <x:c r="M561" s="84" t="str">
        <x:f>IFERROR(VLOOKUP(L561,'Reference Data'!$A$5:$F$40,2,FALSE),"Unknown Product")</x:f>
        <x:v>Insulated Lunch Bag</x:v>
      </x:c>
      <x:c r="N561" s="84" t="str">
        <x:f>IFERROR(VLOOKUP(L561,'Reference Data'!$A$5:$F$40,3,FALSE),"Unknown")</x:f>
        <x:v>Accessories</x:v>
      </x:c>
      <x:c r="O561" s="84" t="str">
        <x:f>IFERROR(VLOOKUP(L561,'Reference Data'!$A$5:$F$40,4,FALSE),"Unknown")</x:f>
        <x:v>Bags</x:v>
      </x:c>
      <x:c r="P561" s="92" t="n">
        <x:f>IFERROR(VLOOKUP(L561,'Reference Data'!$A$5:$F$40,5,FALSE),0)</x:f>
        <x:v>29</x:v>
      </x:c>
      <x:c r="Q561" s="92" t="n">
        <x:f>IFERROR(VLOOKUP(L561,'Reference Data'!$A$5:$F$40,6,FALSE),0)</x:f>
        <x:v>10</x:v>
      </x:c>
      <x:c r="R561" s="84" t="n">
        <x:f>'Raw Sales'!J561</x:f>
        <x:v>4</x:v>
      </x:c>
      <x:c r="S561" s="87" t="n">
        <x:f>'Raw Sales'!K561</x:f>
        <x:v>0.2</x:v>
      </x:c>
      <x:c r="T561" s="93" t="n">
        <x:f>P561*R561</x:f>
        <x:v>116</x:v>
      </x:c>
      <x:c r="U561" s="93" t="n">
        <x:f>T561*S561</x:f>
        <x:v>23.200000000000003</x:v>
      </x:c>
      <x:c r="V561" s="93" t="str">
        <x:f>PROPER(TRIM('Raw Sales'!L561))</x:f>
        <x:v>Completed</x:v>
      </x:c>
      <x:c r="W561" s="93" t="n">
        <x:f>IF(V561="Returned",0,T561-U561)</x:f>
        <x:v>92.8</x:v>
      </x:c>
      <x:c r="X561" s="93" t="n">
        <x:f>IF(V561="Returned",Q561*R561*10%,Q561*R561)</x:f>
        <x:v>40</x:v>
      </x:c>
      <x:c r="Y561" s="93" t="n">
        <x:f>W561-X561</x:f>
        <x:v>52.8</x:v>
      </x:c>
      <x:c r="Z561" s="94" t="n">
        <x:f>IFERROR(Y561/W561,0)</x:f>
        <x:v>0.5689655172413793</x:v>
      </x:c>
      <x:c r="AA561" s="84" t="str">
        <x:f>PROPER(TRIM('Raw Sales'!M561))</x:f>
        <x:v>Credit Card</x:v>
      </x:c>
      <x:c r="AB561" s="84" t="str">
        <x:f>PROPER(TRIM('Raw Sales'!N561))</x:f>
        <x:v>Ethan Cole</x:v>
      </x:c>
      <x:c r="AC561" s="85" t="n">
        <x:f>'Raw Sales'!O561</x:f>
        <x:v>45498</x:v>
      </x:c>
      <x:c r="AD561" s="84" t="n">
        <x:f>AC561-B561</x:f>
        <x:v>0</x:v>
      </x:c>
      <x:c r="AE561" s="84" t="str">
        <x:f>IF(COUNTIF($A$5:A561,A561)&gt;1,"Duplicate","Keep")</x:f>
        <x:v>Keep</x:v>
      </x:c>
      <x:c r="AF561" s="84" t="str">
        <x:f>IF(OR(R561&lt;=0,AC561&lt;B561,H561="Unknown",M561="Unknown Product"),"Review","Valid")</x:f>
        <x:v>Valid</x:v>
      </x:c>
      <x:c r="AG561" s="84" t="n">
        <x:f>IF(AND(AE561="Keep",AF561="Valid"),1,0)</x:f>
        <x:v>1</x:v>
      </x:c>
      <x:c r="AH561" s="84" t="n">
        <x:f>IF(AND(AG561=1,OR('Dashboard'!$B$4="All",I561='Dashboard'!$B$4),OR('Dashboard'!$E$4="All",N561='Dashboard'!$E$4),OR('Dashboard'!$H$4="All",K561='Dashboard'!$H$4),OR('Dashboard'!$K$4="All",C561='Dashboard'!$K$4)),1,0)</x:f>
        <x:v>1</x:v>
      </x:c>
      <x:c r="AI561" s="84" t="n">
        <x:f>IF(AND(AG561=1,OR('Dashboard'!$B$4="All",I561='Dashboard'!$B$4),OR('Dashboard'!$E$4="All",N561='Dashboard'!$E$4),OR('Dashboard'!$H$4="All",K561='Dashboard'!$H$4)),1,0)</x:f>
        <x:v>1</x:v>
      </x:c>
    </x:row>
    <x:row r="562">
      <x:c r="A562" s="84" t="str">
        <x:f>'Raw Sales'!A562</x:f>
        <x:v>ORD-2024-02297</x:v>
      </x:c>
      <x:c r="B562" s="85" t="n">
        <x:f>'Raw Sales'!B562</x:f>
        <x:v>45500</x:v>
      </x:c>
      <x:c r="C562" s="84" t="n">
        <x:f>YEAR(B562)</x:f>
        <x:v>2024</x:v>
      </x:c>
      <x:c r="D562" s="91" t="n">
        <x:f>DATE(YEAR(B562),MONTH(B562),1)</x:f>
        <x:v>45474</x:v>
      </x:c>
      <x:c r="E562" s="84" t="str">
        <x:f>TEXT(B562,"mmm")</x:f>
        <x:v>Jul</x:v>
      </x:c>
      <x:c r="F562" s="84" t="str">
        <x:f>'Raw Sales'!C562</x:f>
        <x:v>CUST-0502</x:v>
      </x:c>
      <x:c r="G562" s="84" t="str">
        <x:f>PROPER(TRIM('Raw Sales'!D562))</x:f>
        <x:v>Owen Lewis</x:v>
      </x:c>
      <x:c r="H562" s="84" t="str">
        <x:f>IF(TRIM('Raw Sales'!E562)="","Unknown",PROPER(TRIM('Raw Sales'!E562)))</x:f>
        <x:v>Consumer</x:v>
      </x:c>
      <x:c r="I562" s="84" t="str">
        <x:f>PROPER(TRIM('Raw Sales'!F562))</x:f>
        <x:v>Midwest</x:v>
      </x:c>
      <x:c r="J562" s="84" t="str">
        <x:f>PROPER(TRIM('Raw Sales'!G562))</x:f>
        <x:v>Detroit</x:v>
      </x:c>
      <x:c r="K562" s="84" t="str">
        <x:f>PROPER(TRIM('Raw Sales'!H562))</x:f>
        <x:v>Online</x:v>
      </x:c>
      <x:c r="L562" s="84" t="str">
        <x:f>'Raw Sales'!I562</x:f>
        <x:v>HOME-004</x:v>
      </x:c>
      <x:c r="M562" s="84" t="str">
        <x:f>IFERROR(VLOOKUP(L562,'Reference Data'!$A$5:$F$40,2,FALSE),"Unknown Product")</x:f>
        <x:v>Coffee Maker</x:v>
      </x:c>
      <x:c r="N562" s="84" t="str">
        <x:f>IFERROR(VLOOKUP(L562,'Reference Data'!$A$5:$F$40,3,FALSE),"Unknown")</x:f>
        <x:v>Home &amp; Kitchen</x:v>
      </x:c>
      <x:c r="O562" s="84" t="str">
        <x:f>IFERROR(VLOOKUP(L562,'Reference Data'!$A$5:$F$40,4,FALSE),"Unknown")</x:f>
        <x:v>Small Appliances</x:v>
      </x:c>
      <x:c r="P562" s="92" t="n">
        <x:f>IFERROR(VLOOKUP(L562,'Reference Data'!$A$5:$F$40,5,FALSE),0)</x:f>
        <x:v>99</x:v>
      </x:c>
      <x:c r="Q562" s="92" t="n">
        <x:f>IFERROR(VLOOKUP(L562,'Reference Data'!$A$5:$F$40,6,FALSE),0)</x:f>
        <x:v>51</x:v>
      </x:c>
      <x:c r="R562" s="84" t="n">
        <x:f>'Raw Sales'!J562</x:f>
        <x:v>1</x:v>
      </x:c>
      <x:c r="S562" s="87" t="n">
        <x:f>'Raw Sales'!K562</x:f>
        <x:v>0</x:v>
      </x:c>
      <x:c r="T562" s="93" t="n">
        <x:f>P562*R562</x:f>
        <x:v>99</x:v>
      </x:c>
      <x:c r="U562" s="93" t="n">
        <x:f>T562*S562</x:f>
        <x:v>0</x:v>
      </x:c>
      <x:c r="V562" s="93" t="str">
        <x:f>PROPER(TRIM('Raw Sales'!L562))</x:f>
        <x:v>Completed</x:v>
      </x:c>
      <x:c r="W562" s="93" t="n">
        <x:f>IF(V562="Returned",0,T562-U562)</x:f>
        <x:v>99</x:v>
      </x:c>
      <x:c r="X562" s="93" t="n">
        <x:f>IF(V562="Returned",Q562*R562*10%,Q562*R562)</x:f>
        <x:v>51</x:v>
      </x:c>
      <x:c r="Y562" s="93" t="n">
        <x:f>W562-X562</x:f>
        <x:v>48</x:v>
      </x:c>
      <x:c r="Z562" s="94" t="n">
        <x:f>IFERROR(Y562/W562,0)</x:f>
        <x:v>0.48484848484848486</x:v>
      </x:c>
      <x:c r="AA562" s="84" t="str">
        <x:f>PROPER(TRIM('Raw Sales'!M562))</x:f>
        <x:v>Debit Card</x:v>
      </x:c>
      <x:c r="AB562" s="84" t="str">
        <x:f>PROPER(TRIM('Raw Sales'!N562))</x:f>
        <x:v>Zoe Turner</x:v>
      </x:c>
      <x:c r="AC562" s="85" t="n">
        <x:f>'Raw Sales'!O562</x:f>
        <x:v>45502</x:v>
      </x:c>
      <x:c r="AD562" s="84" t="n">
        <x:f>AC562-B562</x:f>
        <x:v>2</x:v>
      </x:c>
      <x:c r="AE562" s="84" t="str">
        <x:f>IF(COUNTIF($A$5:A562,A562)&gt;1,"Duplicate","Keep")</x:f>
        <x:v>Keep</x:v>
      </x:c>
      <x:c r="AF562" s="84" t="str">
        <x:f>IF(OR(R562&lt;=0,AC562&lt;B562,H562="Unknown",M562="Unknown Product"),"Review","Valid")</x:f>
        <x:v>Valid</x:v>
      </x:c>
      <x:c r="AG562" s="84" t="n">
        <x:f>IF(AND(AE562="Keep",AF562="Valid"),1,0)</x:f>
        <x:v>1</x:v>
      </x:c>
      <x:c r="AH562" s="84" t="n">
        <x:f>IF(AND(AG562=1,OR('Dashboard'!$B$4="All",I562='Dashboard'!$B$4),OR('Dashboard'!$E$4="All",N562='Dashboard'!$E$4),OR('Dashboard'!$H$4="All",K562='Dashboard'!$H$4),OR('Dashboard'!$K$4="All",C562='Dashboard'!$K$4)),1,0)</x:f>
        <x:v>1</x:v>
      </x:c>
      <x:c r="AI562" s="84" t="n">
        <x:f>IF(AND(AG562=1,OR('Dashboard'!$B$4="All",I562='Dashboard'!$B$4),OR('Dashboard'!$E$4="All",N562='Dashboard'!$E$4),OR('Dashboard'!$H$4="All",K562='Dashboard'!$H$4)),1,0)</x:f>
        <x:v>1</x:v>
      </x:c>
    </x:row>
    <x:row r="563">
      <x:c r="A563" s="84" t="str">
        <x:f>'Raw Sales'!A563</x:f>
        <x:v>ORD-2024-01367</x:v>
      </x:c>
      <x:c r="B563" s="85" t="n">
        <x:f>'Raw Sales'!B563</x:f>
        <x:v>45501</x:v>
      </x:c>
      <x:c r="C563" s="84" t="n">
        <x:f>YEAR(B563)</x:f>
        <x:v>2024</x:v>
      </x:c>
      <x:c r="D563" s="91" t="n">
        <x:f>DATE(YEAR(B563),MONTH(B563),1)</x:f>
        <x:v>45474</x:v>
      </x:c>
      <x:c r="E563" s="84" t="str">
        <x:f>TEXT(B563,"mmm")</x:f>
        <x:v>Jul</x:v>
      </x:c>
      <x:c r="F563" s="84" t="str">
        <x:f>'Raw Sales'!C563</x:f>
        <x:v>CUST-0041</x:v>
      </x:c>
      <x:c r="G563" s="84" t="str">
        <x:f>PROPER(TRIM('Raw Sales'!D563))</x:f>
        <x:v>Isaac Evans</x:v>
      </x:c>
      <x:c r="H563" s="84" t="str">
        <x:f>IF(TRIM('Raw Sales'!E563)="","Unknown",PROPER(TRIM('Raw Sales'!E563)))</x:f>
        <x:v>Consumer</x:v>
      </x:c>
      <x:c r="I563" s="84" t="str">
        <x:f>PROPER(TRIM('Raw Sales'!F563))</x:f>
        <x:v>Midwest</x:v>
      </x:c>
      <x:c r="J563" s="84" t="str">
        <x:f>PROPER(TRIM('Raw Sales'!G563))</x:f>
        <x:v>Detroit</x:v>
      </x:c>
      <x:c r="K563" s="84" t="str">
        <x:f>PROPER(TRIM('Raw Sales'!H563))</x:f>
        <x:v>Marketplace</x:v>
      </x:c>
      <x:c r="L563" s="84" t="str">
        <x:f>'Raw Sales'!I563</x:f>
        <x:v>FITN-004</x:v>
      </x:c>
      <x:c r="M563" s="84" t="str">
        <x:f>IFERROR(VLOOKUP(L563,'Reference Data'!$A$5:$F$40,2,FALSE),"Unknown Product")</x:f>
        <x:v>Fitness Tracker</x:v>
      </x:c>
      <x:c r="N563" s="84" t="str">
        <x:f>IFERROR(VLOOKUP(L563,'Reference Data'!$A$5:$F$40,3,FALSE),"Unknown")</x:f>
        <x:v>Fitness</x:v>
      </x:c>
      <x:c r="O563" s="84" t="str">
        <x:f>IFERROR(VLOOKUP(L563,'Reference Data'!$A$5:$F$40,4,FALSE),"Unknown")</x:f>
        <x:v>Wearables</x:v>
      </x:c>
      <x:c r="P563" s="92" t="n">
        <x:f>IFERROR(VLOOKUP(L563,'Reference Data'!$A$5:$F$40,5,FALSE),0)</x:f>
        <x:v>89</x:v>
      </x:c>
      <x:c r="Q563" s="92" t="n">
        <x:f>IFERROR(VLOOKUP(L563,'Reference Data'!$A$5:$F$40,6,FALSE),0)</x:f>
        <x:v>44</x:v>
      </x:c>
      <x:c r="R563" s="84" t="n">
        <x:f>'Raw Sales'!J563</x:f>
        <x:v>3</x:v>
      </x:c>
      <x:c r="S563" s="87" t="n">
        <x:f>'Raw Sales'!K563</x:f>
        <x:v>0.1</x:v>
      </x:c>
      <x:c r="T563" s="93" t="n">
        <x:f>P563*R563</x:f>
        <x:v>267</x:v>
      </x:c>
      <x:c r="U563" s="93" t="n">
        <x:f>T563*S563</x:f>
        <x:v>26.700000000000003</x:v>
      </x:c>
      <x:c r="V563" s="93" t="str">
        <x:f>PROPER(TRIM('Raw Sales'!L563))</x:f>
        <x:v>Completed</x:v>
      </x:c>
      <x:c r="W563" s="93" t="n">
        <x:f>IF(V563="Returned",0,T563-U563)</x:f>
        <x:v>240.3</x:v>
      </x:c>
      <x:c r="X563" s="93" t="n">
        <x:f>IF(V563="Returned",Q563*R563*10%,Q563*R563)</x:f>
        <x:v>132</x:v>
      </x:c>
      <x:c r="Y563" s="93" t="n">
        <x:f>W563-X563</x:f>
        <x:v>108.30000000000001</x:v>
      </x:c>
      <x:c r="Z563" s="94" t="n">
        <x:f>IFERROR(Y563/W563,0)</x:f>
        <x:v>0.4506866416978777</x:v>
      </x:c>
      <x:c r="AA563" s="84" t="str">
        <x:f>PROPER(TRIM('Raw Sales'!M563))</x:f>
        <x:v>Debit Card</x:v>
      </x:c>
      <x:c r="AB563" s="84" t="str">
        <x:f>PROPER(TRIM('Raw Sales'!N563))</x:f>
        <x:v>Lucas Grant</x:v>
      </x:c>
      <x:c r="AC563" s="85" t="n">
        <x:f>'Raw Sales'!O563</x:f>
        <x:v>45507</x:v>
      </x:c>
      <x:c r="AD563" s="84" t="n">
        <x:f>AC563-B563</x:f>
        <x:v>6</x:v>
      </x:c>
      <x:c r="AE563" s="84" t="str">
        <x:f>IF(COUNTIF($A$5:A563,A563)&gt;1,"Duplicate","Keep")</x:f>
        <x:v>Keep</x:v>
      </x:c>
      <x:c r="AF563" s="84" t="str">
        <x:f>IF(OR(R563&lt;=0,AC563&lt;B563,H563="Unknown",M563="Unknown Product"),"Review","Valid")</x:f>
        <x:v>Valid</x:v>
      </x:c>
      <x:c r="AG563" s="84" t="n">
        <x:f>IF(AND(AE563="Keep",AF563="Valid"),1,0)</x:f>
        <x:v>1</x:v>
      </x:c>
      <x:c r="AH563" s="84" t="n">
        <x:f>IF(AND(AG563=1,OR('Dashboard'!$B$4="All",I563='Dashboard'!$B$4),OR('Dashboard'!$E$4="All",N563='Dashboard'!$E$4),OR('Dashboard'!$H$4="All",K563='Dashboard'!$H$4),OR('Dashboard'!$K$4="All",C563='Dashboard'!$K$4)),1,0)</x:f>
        <x:v>1</x:v>
      </x:c>
      <x:c r="AI563" s="84" t="n">
        <x:f>IF(AND(AG563=1,OR('Dashboard'!$B$4="All",I563='Dashboard'!$B$4),OR('Dashboard'!$E$4="All",N563='Dashboard'!$E$4),OR('Dashboard'!$H$4="All",K563='Dashboard'!$H$4)),1,0)</x:f>
        <x:v>1</x:v>
      </x:c>
    </x:row>
    <x:row r="564">
      <x:c r="A564" s="84" t="str">
        <x:f>'Raw Sales'!A564</x:f>
        <x:v>ORD-2024-02107</x:v>
      </x:c>
      <x:c r="B564" s="85" t="n">
        <x:f>'Raw Sales'!B564</x:f>
        <x:v>45501</x:v>
      </x:c>
      <x:c r="C564" s="84" t="n">
        <x:f>YEAR(B564)</x:f>
        <x:v>2024</x:v>
      </x:c>
      <x:c r="D564" s="91" t="n">
        <x:f>DATE(YEAR(B564),MONTH(B564),1)</x:f>
        <x:v>45474</x:v>
      </x:c>
      <x:c r="E564" s="84" t="str">
        <x:f>TEXT(B564,"mmm")</x:f>
        <x:v>Jul</x:v>
      </x:c>
      <x:c r="F564" s="84" t="str">
        <x:f>'Raw Sales'!C564</x:f>
        <x:v>CUST-0212</x:v>
      </x:c>
      <x:c r="G564" s="84" t="str">
        <x:f>PROPER(TRIM('Raw Sales'!D564))</x:f>
        <x:v>Theo Walker</x:v>
      </x:c>
      <x:c r="H564" s="84" t="str">
        <x:f>IF(TRIM('Raw Sales'!E564)="","Unknown",PROPER(TRIM('Raw Sales'!E564)))</x:f>
        <x:v>Corporate</x:v>
      </x:c>
      <x:c r="I564" s="84" t="str">
        <x:f>PROPER(TRIM('Raw Sales'!F564))</x:f>
        <x:v>Midwest</x:v>
      </x:c>
      <x:c r="J564" s="84" t="str">
        <x:f>PROPER(TRIM('Raw Sales'!G564))</x:f>
        <x:v>Columbus</x:v>
      </x:c>
      <x:c r="K564" s="84" t="str">
        <x:f>PROPER(TRIM('Raw Sales'!H564))</x:f>
        <x:v>Retail Store</x:v>
      </x:c>
      <x:c r="L564" s="84" t="str">
        <x:f>'Raw Sales'!I564</x:f>
        <x:v>HOME-001</x:v>
      </x:c>
      <x:c r="M564" s="84" t="str">
        <x:f>IFERROR(VLOOKUP(L564,'Reference Data'!$A$5:$F$40,2,FALSE),"Unknown Product")</x:f>
        <x:v>Air Fryer</x:v>
      </x:c>
      <x:c r="N564" s="84" t="str">
        <x:f>IFERROR(VLOOKUP(L564,'Reference Data'!$A$5:$F$40,3,FALSE),"Unknown")</x:f>
        <x:v>Home &amp; Kitchen</x:v>
      </x:c>
      <x:c r="O564" s="84" t="str">
        <x:f>IFERROR(VLOOKUP(L564,'Reference Data'!$A$5:$F$40,4,FALSE),"Unknown")</x:f>
        <x:v>Small Appliances</x:v>
      </x:c>
      <x:c r="P564" s="92" t="n">
        <x:f>IFERROR(VLOOKUP(L564,'Reference Data'!$A$5:$F$40,5,FALSE),0)</x:f>
        <x:v>119</x:v>
      </x:c>
      <x:c r="Q564" s="92" t="n">
        <x:f>IFERROR(VLOOKUP(L564,'Reference Data'!$A$5:$F$40,6,FALSE),0)</x:f>
        <x:v>68</x:v>
      </x:c>
      <x:c r="R564" s="84" t="n">
        <x:f>'Raw Sales'!J564</x:f>
        <x:v>5</x:v>
      </x:c>
      <x:c r="S564" s="87" t="n">
        <x:f>'Raw Sales'!K564</x:f>
        <x:v>0</x:v>
      </x:c>
      <x:c r="T564" s="93" t="n">
        <x:f>P564*R564</x:f>
        <x:v>595</x:v>
      </x:c>
      <x:c r="U564" s="93" t="n">
        <x:f>T564*S564</x:f>
        <x:v>0</x:v>
      </x:c>
      <x:c r="V564" s="93" t="str">
        <x:f>PROPER(TRIM('Raw Sales'!L564))</x:f>
        <x:v>Completed</x:v>
      </x:c>
      <x:c r="W564" s="93" t="n">
        <x:f>IF(V564="Returned",0,T564-U564)</x:f>
        <x:v>595</x:v>
      </x:c>
      <x:c r="X564" s="93" t="n">
        <x:f>IF(V564="Returned",Q564*R564*10%,Q564*R564)</x:f>
        <x:v>340</x:v>
      </x:c>
      <x:c r="Y564" s="93" t="n">
        <x:f>W564-X564</x:f>
        <x:v>255</x:v>
      </x:c>
      <x:c r="Z564" s="94" t="n">
        <x:f>IFERROR(Y564/W564,0)</x:f>
        <x:v>0.42857142857142855</x:v>
      </x:c>
      <x:c r="AA564" s="84" t="str">
        <x:f>PROPER(TRIM('Raw Sales'!M564))</x:f>
        <x:v>Debit Card</x:v>
      </x:c>
      <x:c r="AB564" s="84" t="str">
        <x:f>PROPER(TRIM('Raw Sales'!N564))</x:f>
        <x:v>Emma Hayes</x:v>
      </x:c>
      <x:c r="AC564" s="85" t="n">
        <x:f>'Raw Sales'!O564</x:f>
        <x:v>45501</x:v>
      </x:c>
      <x:c r="AD564" s="84" t="n">
        <x:f>AC564-B564</x:f>
        <x:v>0</x:v>
      </x:c>
      <x:c r="AE564" s="84" t="str">
        <x:f>IF(COUNTIF($A$5:A564,A564)&gt;1,"Duplicate","Keep")</x:f>
        <x:v>Keep</x:v>
      </x:c>
      <x:c r="AF564" s="84" t="str">
        <x:f>IF(OR(R564&lt;=0,AC564&lt;B564,H564="Unknown",M564="Unknown Product"),"Review","Valid")</x:f>
        <x:v>Valid</x:v>
      </x:c>
      <x:c r="AG564" s="84" t="n">
        <x:f>IF(AND(AE564="Keep",AF564="Valid"),1,0)</x:f>
        <x:v>1</x:v>
      </x:c>
      <x:c r="AH564" s="84" t="n">
        <x:f>IF(AND(AG564=1,OR('Dashboard'!$B$4="All",I564='Dashboard'!$B$4),OR('Dashboard'!$E$4="All",N564='Dashboard'!$E$4),OR('Dashboard'!$H$4="All",K564='Dashboard'!$H$4),OR('Dashboard'!$K$4="All",C564='Dashboard'!$K$4)),1,0)</x:f>
        <x:v>1</x:v>
      </x:c>
      <x:c r="AI564" s="84" t="n">
        <x:f>IF(AND(AG564=1,OR('Dashboard'!$B$4="All",I564='Dashboard'!$B$4),OR('Dashboard'!$E$4="All",N564='Dashboard'!$E$4),OR('Dashboard'!$H$4="All",K564='Dashboard'!$H$4)),1,0)</x:f>
        <x:v>1</x:v>
      </x:c>
    </x:row>
    <x:row r="565">
      <x:c r="A565" s="84" t="str">
        <x:f>'Raw Sales'!A565</x:f>
        <x:v>ORD-2024-02107</x:v>
      </x:c>
      <x:c r="B565" s="85" t="n">
        <x:f>'Raw Sales'!B565</x:f>
        <x:v>45501</x:v>
      </x:c>
      <x:c r="C565" s="84" t="n">
        <x:f>YEAR(B565)</x:f>
        <x:v>2024</x:v>
      </x:c>
      <x:c r="D565" s="91" t="n">
        <x:f>DATE(YEAR(B565),MONTH(B565),1)</x:f>
        <x:v>45474</x:v>
      </x:c>
      <x:c r="E565" s="84" t="str">
        <x:f>TEXT(B565,"mmm")</x:f>
        <x:v>Jul</x:v>
      </x:c>
      <x:c r="F565" s="84" t="str">
        <x:f>'Raw Sales'!C565</x:f>
        <x:v>CUST-0212</x:v>
      </x:c>
      <x:c r="G565" s="84" t="str">
        <x:f>PROPER(TRIM('Raw Sales'!D565))</x:f>
        <x:v>Theo Walker</x:v>
      </x:c>
      <x:c r="H565" s="84" t="str">
        <x:f>IF(TRIM('Raw Sales'!E565)="","Unknown",PROPER(TRIM('Raw Sales'!E565)))</x:f>
        <x:v>Corporate</x:v>
      </x:c>
      <x:c r="I565" s="84" t="str">
        <x:f>PROPER(TRIM('Raw Sales'!F565))</x:f>
        <x:v>Midwest</x:v>
      </x:c>
      <x:c r="J565" s="84" t="str">
        <x:f>PROPER(TRIM('Raw Sales'!G565))</x:f>
        <x:v>Columbus</x:v>
      </x:c>
      <x:c r="K565" s="84" t="str">
        <x:f>PROPER(TRIM('Raw Sales'!H565))</x:f>
        <x:v>Retail Store</x:v>
      </x:c>
      <x:c r="L565" s="84" t="str">
        <x:f>'Raw Sales'!I565</x:f>
        <x:v>HOME-001</x:v>
      </x:c>
      <x:c r="M565" s="84" t="str">
        <x:f>IFERROR(VLOOKUP(L565,'Reference Data'!$A$5:$F$40,2,FALSE),"Unknown Product")</x:f>
        <x:v>Air Fryer</x:v>
      </x:c>
      <x:c r="N565" s="84" t="str">
        <x:f>IFERROR(VLOOKUP(L565,'Reference Data'!$A$5:$F$40,3,FALSE),"Unknown")</x:f>
        <x:v>Home &amp; Kitchen</x:v>
      </x:c>
      <x:c r="O565" s="84" t="str">
        <x:f>IFERROR(VLOOKUP(L565,'Reference Data'!$A$5:$F$40,4,FALSE),"Unknown")</x:f>
        <x:v>Small Appliances</x:v>
      </x:c>
      <x:c r="P565" s="92" t="n">
        <x:f>IFERROR(VLOOKUP(L565,'Reference Data'!$A$5:$F$40,5,FALSE),0)</x:f>
        <x:v>119</x:v>
      </x:c>
      <x:c r="Q565" s="92" t="n">
        <x:f>IFERROR(VLOOKUP(L565,'Reference Data'!$A$5:$F$40,6,FALSE),0)</x:f>
        <x:v>68</x:v>
      </x:c>
      <x:c r="R565" s="84" t="n">
        <x:f>'Raw Sales'!J565</x:f>
        <x:v>5</x:v>
      </x:c>
      <x:c r="S565" s="87" t="n">
        <x:f>'Raw Sales'!K565</x:f>
        <x:v>0</x:v>
      </x:c>
      <x:c r="T565" s="93" t="n">
        <x:f>P565*R565</x:f>
        <x:v>595</x:v>
      </x:c>
      <x:c r="U565" s="93" t="n">
        <x:f>T565*S565</x:f>
        <x:v>0</x:v>
      </x:c>
      <x:c r="V565" s="93" t="str">
        <x:f>PROPER(TRIM('Raw Sales'!L565))</x:f>
        <x:v>Completed</x:v>
      </x:c>
      <x:c r="W565" s="93" t="n">
        <x:f>IF(V565="Returned",0,T565-U565)</x:f>
        <x:v>595</x:v>
      </x:c>
      <x:c r="X565" s="93" t="n">
        <x:f>IF(V565="Returned",Q565*R565*10%,Q565*R565)</x:f>
        <x:v>340</x:v>
      </x:c>
      <x:c r="Y565" s="93" t="n">
        <x:f>W565-X565</x:f>
        <x:v>255</x:v>
      </x:c>
      <x:c r="Z565" s="94" t="n">
        <x:f>IFERROR(Y565/W565,0)</x:f>
        <x:v>0.42857142857142855</x:v>
      </x:c>
      <x:c r="AA565" s="84" t="str">
        <x:f>PROPER(TRIM('Raw Sales'!M565))</x:f>
        <x:v>Debit Card</x:v>
      </x:c>
      <x:c r="AB565" s="84" t="str">
        <x:f>PROPER(TRIM('Raw Sales'!N565))</x:f>
        <x:v>Emma Hayes</x:v>
      </x:c>
      <x:c r="AC565" s="85" t="n">
        <x:f>'Raw Sales'!O565</x:f>
        <x:v>45501</x:v>
      </x:c>
      <x:c r="AD565" s="84" t="n">
        <x:f>AC565-B565</x:f>
        <x:v>0</x:v>
      </x:c>
      <x:c r="AE565" s="84" t="str">
        <x:f>IF(COUNTIF($A$5:A565,A565)&gt;1,"Duplicate","Keep")</x:f>
        <x:v>Duplicate</x:v>
      </x:c>
      <x:c r="AF565" s="84" t="str">
        <x:f>IF(OR(R565&lt;=0,AC565&lt;B565,H565="Unknown",M565="Unknown Product"),"Review","Valid")</x:f>
        <x:v>Valid</x:v>
      </x:c>
      <x:c r="AG565" s="84" t="n">
        <x:f>IF(AND(AE565="Keep",AF565="Valid"),1,0)</x:f>
        <x:v>0</x:v>
      </x:c>
      <x:c r="AH565" s="84" t="n">
        <x:f>IF(AND(AG565=1,OR('Dashboard'!$B$4="All",I565='Dashboard'!$B$4),OR('Dashboard'!$E$4="All",N565='Dashboard'!$E$4),OR('Dashboard'!$H$4="All",K565='Dashboard'!$H$4),OR('Dashboard'!$K$4="All",C565='Dashboard'!$K$4)),1,0)</x:f>
        <x:v>0</x:v>
      </x:c>
      <x:c r="AI565" s="84" t="n">
        <x:f>IF(AND(AG565=1,OR('Dashboard'!$B$4="All",I565='Dashboard'!$B$4),OR('Dashboard'!$E$4="All",N565='Dashboard'!$E$4),OR('Dashboard'!$H$4="All",K565='Dashboard'!$H$4)),1,0)</x:f>
        <x:v>0</x:v>
      </x:c>
    </x:row>
    <x:row r="566">
      <x:c r="A566" s="84" t="str">
        <x:f>'Raw Sales'!A566</x:f>
        <x:v>ORD-2024-00227</x:v>
      </x:c>
      <x:c r="B566" s="85" t="n">
        <x:f>'Raw Sales'!B566</x:f>
        <x:v>45502</x:v>
      </x:c>
      <x:c r="C566" s="84" t="n">
        <x:f>YEAR(B566)</x:f>
        <x:v>2024</x:v>
      </x:c>
      <x:c r="D566" s="91" t="n">
        <x:f>DATE(YEAR(B566),MONTH(B566),1)</x:f>
        <x:v>45474</x:v>
      </x:c>
      <x:c r="E566" s="84" t="str">
        <x:f>TEXT(B566,"mmm")</x:f>
        <x:v>Jul</x:v>
      </x:c>
      <x:c r="F566" s="84" t="str">
        <x:f>'Raw Sales'!C566</x:f>
        <x:v>CUST-0104</x:v>
      </x:c>
      <x:c r="G566" s="84" t="str">
        <x:f>PROPER(TRIM('Raw Sales'!D566))</x:f>
        <x:v>Isaac Nelson</x:v>
      </x:c>
      <x:c r="H566" s="84" t="str">
        <x:f>IF(TRIM('Raw Sales'!E566)="","Unknown",PROPER(TRIM('Raw Sales'!E566)))</x:f>
        <x:v>Consumer</x:v>
      </x:c>
      <x:c r="I566" s="84" t="str">
        <x:f>PROPER(TRIM('Raw Sales'!F566))</x:f>
        <x:v>Northeast</x:v>
      </x:c>
      <x:c r="J566" s="84" t="str">
        <x:f>PROPER(TRIM('Raw Sales'!G566))</x:f>
        <x:v>Boston</x:v>
      </x:c>
      <x:c r="K566" s="84" t="str">
        <x:f>PROPER(TRIM('Raw Sales'!H566))</x:f>
        <x:v>Marketplace</x:v>
      </x:c>
      <x:c r="L566" s="84" t="str">
        <x:f>'Raw Sales'!I566</x:f>
        <x:v>OFFC-002</x:v>
      </x:c>
      <x:c r="M566" s="84" t="str">
        <x:f>IFERROR(VLOOKUP(L566,'Reference Data'!$A$5:$F$40,2,FALSE),"Unknown Product")</x:f>
        <x:v>Standing Desk</x:v>
      </x:c>
      <x:c r="N566" s="84" t="str">
        <x:f>IFERROR(VLOOKUP(L566,'Reference Data'!$A$5:$F$40,3,FALSE),"Unknown")</x:f>
        <x:v>Office</x:v>
      </x:c>
      <x:c r="O566" s="84" t="str">
        <x:f>IFERROR(VLOOKUP(L566,'Reference Data'!$A$5:$F$40,4,FALSE),"Unknown")</x:f>
        <x:v>Furniture</x:v>
      </x:c>
      <x:c r="P566" s="92" t="n">
        <x:f>IFERROR(VLOOKUP(L566,'Reference Data'!$A$5:$F$40,5,FALSE),0)</x:f>
        <x:v>399</x:v>
      </x:c>
      <x:c r="Q566" s="92" t="n">
        <x:f>IFERROR(VLOOKUP(L566,'Reference Data'!$A$5:$F$40,6,FALSE),0)</x:f>
        <x:v>235</x:v>
      </x:c>
      <x:c r="R566" s="84" t="n">
        <x:f>'Raw Sales'!J566</x:f>
        <x:v>2</x:v>
      </x:c>
      <x:c r="S566" s="87" t="n">
        <x:f>'Raw Sales'!K566</x:f>
        <x:v>0.1</x:v>
      </x:c>
      <x:c r="T566" s="93" t="n">
        <x:f>P566*R566</x:f>
        <x:v>798</x:v>
      </x:c>
      <x:c r="U566" s="93" t="n">
        <x:f>T566*S566</x:f>
        <x:v>79.80000000000001</x:v>
      </x:c>
      <x:c r="V566" s="93" t="str">
        <x:f>PROPER(TRIM('Raw Sales'!L566))</x:f>
        <x:v>Completed</x:v>
      </x:c>
      <x:c r="W566" s="93" t="n">
        <x:f>IF(V566="Returned",0,T566-U566)</x:f>
        <x:v>718.2</x:v>
      </x:c>
      <x:c r="X566" s="93" t="n">
        <x:f>IF(V566="Returned",Q566*R566*10%,Q566*R566)</x:f>
        <x:v>470</x:v>
      </x:c>
      <x:c r="Y566" s="93" t="n">
        <x:f>W566-X566</x:f>
        <x:v>248.20000000000005</x:v>
      </x:c>
      <x:c r="Z566" s="94" t="n">
        <x:f>IFERROR(Y566/W566,0)</x:f>
        <x:v>0.3455861876914509</x:v>
      </x:c>
      <x:c r="AA566" s="84" t="str">
        <x:f>PROPER(TRIM('Raw Sales'!M566))</x:f>
        <x:v>Credit Card</x:v>
      </x:c>
      <x:c r="AB566" s="84" t="str">
        <x:f>PROPER(TRIM('Raw Sales'!N566))</x:f>
        <x:v>Ethan Cole</x:v>
      </x:c>
      <x:c r="AC566" s="85" t="n">
        <x:f>'Raw Sales'!O566</x:f>
        <x:v>45505</x:v>
      </x:c>
      <x:c r="AD566" s="84" t="n">
        <x:f>AC566-B566</x:f>
        <x:v>3</x:v>
      </x:c>
      <x:c r="AE566" s="84" t="str">
        <x:f>IF(COUNTIF($A$5:A566,A566)&gt;1,"Duplicate","Keep")</x:f>
        <x:v>Keep</x:v>
      </x:c>
      <x:c r="AF566" s="84" t="str">
        <x:f>IF(OR(R566&lt;=0,AC566&lt;B566,H566="Unknown",M566="Unknown Product"),"Review","Valid")</x:f>
        <x:v>Valid</x:v>
      </x:c>
      <x:c r="AG566" s="84" t="n">
        <x:f>IF(AND(AE566="Keep",AF566="Valid"),1,0)</x:f>
        <x:v>1</x:v>
      </x:c>
      <x:c r="AH566" s="84" t="n">
        <x:f>IF(AND(AG566=1,OR('Dashboard'!$B$4="All",I566='Dashboard'!$B$4),OR('Dashboard'!$E$4="All",N566='Dashboard'!$E$4),OR('Dashboard'!$H$4="All",K566='Dashboard'!$H$4),OR('Dashboard'!$K$4="All",C566='Dashboard'!$K$4)),1,0)</x:f>
        <x:v>1</x:v>
      </x:c>
      <x:c r="AI566" s="84" t="n">
        <x:f>IF(AND(AG566=1,OR('Dashboard'!$B$4="All",I566='Dashboard'!$B$4),OR('Dashboard'!$E$4="All",N566='Dashboard'!$E$4),OR('Dashboard'!$H$4="All",K566='Dashboard'!$H$4)),1,0)</x:f>
        <x:v>1</x:v>
      </x:c>
    </x:row>
    <x:row r="567">
      <x:c r="A567" s="84" t="str">
        <x:f>'Raw Sales'!A567</x:f>
        <x:v>ORD-2024-00304</x:v>
      </x:c>
      <x:c r="B567" s="85" t="n">
        <x:f>'Raw Sales'!B567</x:f>
        <x:v>45502</x:v>
      </x:c>
      <x:c r="C567" s="84" t="n">
        <x:f>YEAR(B567)</x:f>
        <x:v>2024</x:v>
      </x:c>
      <x:c r="D567" s="91" t="n">
        <x:f>DATE(YEAR(B567),MONTH(B567),1)</x:f>
        <x:v>45474</x:v>
      </x:c>
      <x:c r="E567" s="84" t="str">
        <x:f>TEXT(B567,"mmm")</x:f>
        <x:v>Jul</x:v>
      </x:c>
      <x:c r="F567" s="84" t="str">
        <x:f>'Raw Sales'!C567</x:f>
        <x:v>CUST-0183</x:v>
      </x:c>
      <x:c r="G567" s="84" t="str">
        <x:f>PROPER(TRIM('Raw Sales'!D567))</x:f>
        <x:v>Jasmine Taylor</x:v>
      </x:c>
      <x:c r="H567" s="84" t="str">
        <x:f>IF(TRIM('Raw Sales'!E567)="","Unknown",PROPER(TRIM('Raw Sales'!E567)))</x:f>
        <x:v>Corporate</x:v>
      </x:c>
      <x:c r="I567" s="84" t="str">
        <x:f>PROPER(TRIM('Raw Sales'!F567))</x:f>
        <x:v>West</x:v>
      </x:c>
      <x:c r="J567" s="84" t="str">
        <x:f>PROPER(TRIM('Raw Sales'!G567))</x:f>
        <x:v>Denver</x:v>
      </x:c>
      <x:c r="K567" s="84" t="str">
        <x:f>PROPER(TRIM('Raw Sales'!H567))</x:f>
        <x:v>Online</x:v>
      </x:c>
      <x:c r="L567" s="84" t="str">
        <x:f>'Raw Sales'!I567</x:f>
        <x:v>OFFC-001</x:v>
      </x:c>
      <x:c r="M567" s="84" t="str">
        <x:f>IFERROR(VLOOKUP(L567,'Reference Data'!$A$5:$F$40,2,FALSE),"Unknown Product")</x:f>
        <x:v>Ergonomic Chair</x:v>
      </x:c>
      <x:c r="N567" s="84" t="str">
        <x:f>IFERROR(VLOOKUP(L567,'Reference Data'!$A$5:$F$40,3,FALSE),"Unknown")</x:f>
        <x:v>Office</x:v>
      </x:c>
      <x:c r="O567" s="84" t="str">
        <x:f>IFERROR(VLOOKUP(L567,'Reference Data'!$A$5:$F$40,4,FALSE),"Unknown")</x:f>
        <x:v>Furniture</x:v>
      </x:c>
      <x:c r="P567" s="92" t="n">
        <x:f>IFERROR(VLOOKUP(L567,'Reference Data'!$A$5:$F$40,5,FALSE),0)</x:f>
        <x:v>249</x:v>
      </x:c>
      <x:c r="Q567" s="92" t="n">
        <x:f>IFERROR(VLOOKUP(L567,'Reference Data'!$A$5:$F$40,6,FALSE),0)</x:f>
        <x:v>145</x:v>
      </x:c>
      <x:c r="R567" s="84" t="n">
        <x:f>'Raw Sales'!J567</x:f>
        <x:v>2</x:v>
      </x:c>
      <x:c r="S567" s="87" t="n">
        <x:f>'Raw Sales'!K567</x:f>
        <x:v>0</x:v>
      </x:c>
      <x:c r="T567" s="93" t="n">
        <x:f>P567*R567</x:f>
        <x:v>498</x:v>
      </x:c>
      <x:c r="U567" s="93" t="n">
        <x:f>T567*S567</x:f>
        <x:v>0</x:v>
      </x:c>
      <x:c r="V567" s="93" t="str">
        <x:f>PROPER(TRIM('Raw Sales'!L567))</x:f>
        <x:v>Completed</x:v>
      </x:c>
      <x:c r="W567" s="93" t="n">
        <x:f>IF(V567="Returned",0,T567-U567)</x:f>
        <x:v>498</x:v>
      </x:c>
      <x:c r="X567" s="93" t="n">
        <x:f>IF(V567="Returned",Q567*R567*10%,Q567*R567)</x:f>
        <x:v>290</x:v>
      </x:c>
      <x:c r="Y567" s="93" t="n">
        <x:f>W567-X567</x:f>
        <x:v>208</x:v>
      </x:c>
      <x:c r="Z567" s="94" t="n">
        <x:f>IFERROR(Y567/W567,0)</x:f>
        <x:v>0.41767068273092367</x:v>
      </x:c>
      <x:c r="AA567" s="84" t="str">
        <x:f>PROPER(TRIM('Raw Sales'!M567))</x:f>
        <x:v>Paypal</x:v>
      </x:c>
      <x:c r="AB567" s="84" t="str">
        <x:f>PROPER(TRIM('Raw Sales'!N567))</x:f>
        <x:v>Nora Kim</x:v>
      </x:c>
      <x:c r="AC567" s="85" t="n">
        <x:f>'Raw Sales'!O567</x:f>
        <x:v>45506</x:v>
      </x:c>
      <x:c r="AD567" s="84" t="n">
        <x:f>AC567-B567</x:f>
        <x:v>4</x:v>
      </x:c>
      <x:c r="AE567" s="84" t="str">
        <x:f>IF(COUNTIF($A$5:A567,A567)&gt;1,"Duplicate","Keep")</x:f>
        <x:v>Keep</x:v>
      </x:c>
      <x:c r="AF567" s="84" t="str">
        <x:f>IF(OR(R567&lt;=0,AC567&lt;B567,H567="Unknown",M567="Unknown Product"),"Review","Valid")</x:f>
        <x:v>Valid</x:v>
      </x:c>
      <x:c r="AG567" s="84" t="n">
        <x:f>IF(AND(AE567="Keep",AF567="Valid"),1,0)</x:f>
        <x:v>1</x:v>
      </x:c>
      <x:c r="AH567" s="84" t="n">
        <x:f>IF(AND(AG567=1,OR('Dashboard'!$B$4="All",I567='Dashboard'!$B$4),OR('Dashboard'!$E$4="All",N567='Dashboard'!$E$4),OR('Dashboard'!$H$4="All",K567='Dashboard'!$H$4),OR('Dashboard'!$K$4="All",C567='Dashboard'!$K$4)),1,0)</x:f>
        <x:v>1</x:v>
      </x:c>
      <x:c r="AI567" s="84" t="n">
        <x:f>IF(AND(AG567=1,OR('Dashboard'!$B$4="All",I567='Dashboard'!$B$4),OR('Dashboard'!$E$4="All",N567='Dashboard'!$E$4),OR('Dashboard'!$H$4="All",K567='Dashboard'!$H$4)),1,0)</x:f>
        <x:v>1</x:v>
      </x:c>
    </x:row>
    <x:row r="568">
      <x:c r="A568" s="84" t="str">
        <x:f>'Raw Sales'!A568</x:f>
        <x:v>ORD-2024-01735</x:v>
      </x:c>
      <x:c r="B568" s="85" t="n">
        <x:f>'Raw Sales'!B568</x:f>
        <x:v>45502</x:v>
      </x:c>
      <x:c r="C568" s="84" t="n">
        <x:f>YEAR(B568)</x:f>
        <x:v>2024</x:v>
      </x:c>
      <x:c r="D568" s="91" t="n">
        <x:f>DATE(YEAR(B568),MONTH(B568),1)</x:f>
        <x:v>45474</x:v>
      </x:c>
      <x:c r="E568" s="84" t="str">
        <x:f>TEXT(B568,"mmm")</x:f>
        <x:v>Jul</x:v>
      </x:c>
      <x:c r="F568" s="84" t="str">
        <x:f>'Raw Sales'!C568</x:f>
        <x:v>CUST-0633</x:v>
      </x:c>
      <x:c r="G568" s="84" t="str">
        <x:f>PROPER(TRIM('Raw Sales'!D568))</x:f>
        <x:v>Jonah Taylor</x:v>
      </x:c>
      <x:c r="H568" s="84" t="str">
        <x:f>IF(TRIM('Raw Sales'!E568)="","Unknown",PROPER(TRIM('Raw Sales'!E568)))</x:f>
        <x:v>Consumer</x:v>
      </x:c>
      <x:c r="I568" s="84" t="str">
        <x:f>PROPER(TRIM('Raw Sales'!F568))</x:f>
        <x:v>West</x:v>
      </x:c>
      <x:c r="J568" s="84" t="str">
        <x:f>PROPER(TRIM('Raw Sales'!G568))</x:f>
        <x:v>Phoenix</x:v>
      </x:c>
      <x:c r="K568" s="84" t="str">
        <x:f>PROPER(TRIM('Raw Sales'!H568))</x:f>
        <x:v>Marketplace</x:v>
      </x:c>
      <x:c r="L568" s="84" t="str">
        <x:f>'Raw Sales'!I568</x:f>
        <x:v>ELEC-005</x:v>
      </x:c>
      <x:c r="M568" s="84" t="str">
        <x:f>IFERROR(VLOOKUP(L568,'Reference Data'!$A$5:$F$40,2,FALSE),"Unknown Product")</x:f>
        <x:v>HD Webcam</x:v>
      </x:c>
      <x:c r="N568" s="84" t="str">
        <x:f>IFERROR(VLOOKUP(L568,'Reference Data'!$A$5:$F$40,3,FALSE),"Unknown")</x:f>
        <x:v>Electronics</x:v>
      </x:c>
      <x:c r="O568" s="84" t="str">
        <x:f>IFERROR(VLOOKUP(L568,'Reference Data'!$A$5:$F$40,4,FALSE),"Unknown")</x:f>
        <x:v>Computer Accessories</x:v>
      </x:c>
      <x:c r="P568" s="92" t="n">
        <x:f>IFERROR(VLOOKUP(L568,'Reference Data'!$A$5:$F$40,5,FALSE),0)</x:f>
        <x:v>79</x:v>
      </x:c>
      <x:c r="Q568" s="92" t="n">
        <x:f>IFERROR(VLOOKUP(L568,'Reference Data'!$A$5:$F$40,6,FALSE),0)</x:f>
        <x:v>37</x:v>
      </x:c>
      <x:c r="R568" s="84" t="n">
        <x:f>'Raw Sales'!J568</x:f>
        <x:v>1</x:v>
      </x:c>
      <x:c r="S568" s="87" t="n">
        <x:f>'Raw Sales'!K568</x:f>
        <x:v>0.1</x:v>
      </x:c>
      <x:c r="T568" s="93" t="n">
        <x:f>P568*R568</x:f>
        <x:v>79</x:v>
      </x:c>
      <x:c r="U568" s="93" t="n">
        <x:f>T568*S568</x:f>
        <x:v>7.9</x:v>
      </x:c>
      <x:c r="V568" s="93" t="str">
        <x:f>PROPER(TRIM('Raw Sales'!L568))</x:f>
        <x:v>Completed</x:v>
      </x:c>
      <x:c r="W568" s="93" t="n">
        <x:f>IF(V568="Returned",0,T568-U568)</x:f>
        <x:v>71.1</x:v>
      </x:c>
      <x:c r="X568" s="93" t="n">
        <x:f>IF(V568="Returned",Q568*R568*10%,Q568*R568)</x:f>
        <x:v>37</x:v>
      </x:c>
      <x:c r="Y568" s="93" t="n">
        <x:f>W568-X568</x:f>
        <x:v>34.099999999999994</x:v>
      </x:c>
      <x:c r="Z568" s="94" t="n">
        <x:f>IFERROR(Y568/W568,0)</x:f>
        <x:v>0.4796061884669479</x:v>
      </x:c>
      <x:c r="AA568" s="84" t="str">
        <x:f>PROPER(TRIM('Raw Sales'!M568))</x:f>
        <x:v>Credit Card</x:v>
      </x:c>
      <x:c r="AB568" s="84" t="str">
        <x:f>PROPER(TRIM('Raw Sales'!N568))</x:f>
        <x:v>Mia Chen</x:v>
      </x:c>
      <x:c r="AC568" s="85" t="n">
        <x:f>'Raw Sales'!O568</x:f>
        <x:v>45506</x:v>
      </x:c>
      <x:c r="AD568" s="84" t="n">
        <x:f>AC568-B568</x:f>
        <x:v>4</x:v>
      </x:c>
      <x:c r="AE568" s="84" t="str">
        <x:f>IF(COUNTIF($A$5:A568,A568)&gt;1,"Duplicate","Keep")</x:f>
        <x:v>Keep</x:v>
      </x:c>
      <x:c r="AF568" s="84" t="str">
        <x:f>IF(OR(R568&lt;=0,AC568&lt;B568,H568="Unknown",M568="Unknown Product"),"Review","Valid")</x:f>
        <x:v>Valid</x:v>
      </x:c>
      <x:c r="AG568" s="84" t="n">
        <x:f>IF(AND(AE568="Keep",AF568="Valid"),1,0)</x:f>
        <x:v>1</x:v>
      </x:c>
      <x:c r="AH568" s="84" t="n">
        <x:f>IF(AND(AG568=1,OR('Dashboard'!$B$4="All",I568='Dashboard'!$B$4),OR('Dashboard'!$E$4="All",N568='Dashboard'!$E$4),OR('Dashboard'!$H$4="All",K568='Dashboard'!$H$4),OR('Dashboard'!$K$4="All",C568='Dashboard'!$K$4)),1,0)</x:f>
        <x:v>1</x:v>
      </x:c>
      <x:c r="AI568" s="84" t="n">
        <x:f>IF(AND(AG568=1,OR('Dashboard'!$B$4="All",I568='Dashboard'!$B$4),OR('Dashboard'!$E$4="All",N568='Dashboard'!$E$4),OR('Dashboard'!$H$4="All",K568='Dashboard'!$H$4)),1,0)</x:f>
        <x:v>1</x:v>
      </x:c>
    </x:row>
    <x:row r="569">
      <x:c r="A569" s="84" t="str">
        <x:f>'Raw Sales'!A569</x:f>
        <x:v>ORD-2024-01880</x:v>
      </x:c>
      <x:c r="B569" s="85" t="n">
        <x:f>'Raw Sales'!B569</x:f>
        <x:v>45502</x:v>
      </x:c>
      <x:c r="C569" s="84" t="n">
        <x:f>YEAR(B569)</x:f>
        <x:v>2024</x:v>
      </x:c>
      <x:c r="D569" s="91" t="n">
        <x:f>DATE(YEAR(B569),MONTH(B569),1)</x:f>
        <x:v>45474</x:v>
      </x:c>
      <x:c r="E569" s="84" t="str">
        <x:f>TEXT(B569,"mmm")</x:f>
        <x:v>Jul</x:v>
      </x:c>
      <x:c r="F569" s="84" t="str">
        <x:f>'Raw Sales'!C569</x:f>
        <x:v>CUST-0213</x:v>
      </x:c>
      <x:c r="G569" s="84" t="str">
        <x:f>PROPER(TRIM('Raw Sales'!D569))</x:f>
        <x:v>Caleb Foster</x:v>
      </x:c>
      <x:c r="H569" s="84" t="str">
        <x:f>IF(TRIM('Raw Sales'!E569)="","Unknown",PROPER(TRIM('Raw Sales'!E569)))</x:f>
        <x:v>Corporate</x:v>
      </x:c>
      <x:c r="I569" s="84" t="str">
        <x:f>PROPER(TRIM('Raw Sales'!F569))</x:f>
        <x:v>Midwest</x:v>
      </x:c>
      <x:c r="J569" s="84" t="str">
        <x:f>PROPER(TRIM('Raw Sales'!G569))</x:f>
        <x:v>Chicago</x:v>
      </x:c>
      <x:c r="K569" s="84" t="str">
        <x:f>PROPER(TRIM('Raw Sales'!H569))</x:f>
        <x:v>Retail Store</x:v>
      </x:c>
      <x:c r="L569" s="84" t="str">
        <x:f>'Raw Sales'!I569</x:f>
        <x:v>ACCS-002</x:v>
      </x:c>
      <x:c r="M569" s="84" t="str">
        <x:f>IFERROR(VLOOKUP(L569,'Reference Data'!$A$5:$F$40,2,FALSE),"Unknown Product")</x:f>
        <x:v>Travel Backpack</x:v>
      </x:c>
      <x:c r="N569" s="84" t="str">
        <x:f>IFERROR(VLOOKUP(L569,'Reference Data'!$A$5:$F$40,3,FALSE),"Unknown")</x:f>
        <x:v>Accessories</x:v>
      </x:c>
      <x:c r="O569" s="84" t="str">
        <x:f>IFERROR(VLOOKUP(L569,'Reference Data'!$A$5:$F$40,4,FALSE),"Unknown")</x:f>
        <x:v>Bags</x:v>
      </x:c>
      <x:c r="P569" s="92" t="n">
        <x:f>IFERROR(VLOOKUP(L569,'Reference Data'!$A$5:$F$40,5,FALSE),0)</x:f>
        <x:v>89</x:v>
      </x:c>
      <x:c r="Q569" s="92" t="n">
        <x:f>IFERROR(VLOOKUP(L569,'Reference Data'!$A$5:$F$40,6,FALSE),0)</x:f>
        <x:v>36</x:v>
      </x:c>
      <x:c r="R569" s="84" t="n">
        <x:f>'Raw Sales'!J569</x:f>
        <x:v>2</x:v>
      </x:c>
      <x:c r="S569" s="87" t="n">
        <x:f>'Raw Sales'!K569</x:f>
        <x:v>0.1</x:v>
      </x:c>
      <x:c r="T569" s="93" t="n">
        <x:f>P569*R569</x:f>
        <x:v>178</x:v>
      </x:c>
      <x:c r="U569" s="93" t="n">
        <x:f>T569*S569</x:f>
        <x:v>17.8</x:v>
      </x:c>
      <x:c r="V569" s="93" t="str">
        <x:f>PROPER(TRIM('Raw Sales'!L569))</x:f>
        <x:v>Completed</x:v>
      </x:c>
      <x:c r="W569" s="93" t="n">
        <x:f>IF(V569="Returned",0,T569-U569)</x:f>
        <x:v>160.2</x:v>
      </x:c>
      <x:c r="X569" s="93" t="n">
        <x:f>IF(V569="Returned",Q569*R569*10%,Q569*R569)</x:f>
        <x:v>72</x:v>
      </x:c>
      <x:c r="Y569" s="93" t="n">
        <x:f>W569-X569</x:f>
        <x:v>88.19999999999999</x:v>
      </x:c>
      <x:c r="Z569" s="94" t="n">
        <x:f>IFERROR(Y569/W569,0)</x:f>
        <x:v>0.550561797752809</x:v>
      </x:c>
      <x:c r="AA569" s="84" t="str">
        <x:f>PROPER(TRIM('Raw Sales'!M569))</x:f>
        <x:v>Mobile Wallet</x:v>
      </x:c>
      <x:c r="AB569" s="84" t="str">
        <x:f>PROPER(TRIM('Raw Sales'!N569))</x:f>
        <x:v>Lucas Grant</x:v>
      </x:c>
      <x:c r="AC569" s="85" t="n">
        <x:f>'Raw Sales'!O569</x:f>
        <x:v>45503</x:v>
      </x:c>
      <x:c r="AD569" s="84" t="n">
        <x:f>AC569-B569</x:f>
        <x:v>1</x:v>
      </x:c>
      <x:c r="AE569" s="84" t="str">
        <x:f>IF(COUNTIF($A$5:A569,A569)&gt;1,"Duplicate","Keep")</x:f>
        <x:v>Keep</x:v>
      </x:c>
      <x:c r="AF569" s="84" t="str">
        <x:f>IF(OR(R569&lt;=0,AC569&lt;B569,H569="Unknown",M569="Unknown Product"),"Review","Valid")</x:f>
        <x:v>Valid</x:v>
      </x:c>
      <x:c r="AG569" s="84" t="n">
        <x:f>IF(AND(AE569="Keep",AF569="Valid"),1,0)</x:f>
        <x:v>1</x:v>
      </x:c>
      <x:c r="AH569" s="84" t="n">
        <x:f>IF(AND(AG569=1,OR('Dashboard'!$B$4="All",I569='Dashboard'!$B$4),OR('Dashboard'!$E$4="All",N569='Dashboard'!$E$4),OR('Dashboard'!$H$4="All",K569='Dashboard'!$H$4),OR('Dashboard'!$K$4="All",C569='Dashboard'!$K$4)),1,0)</x:f>
        <x:v>1</x:v>
      </x:c>
      <x:c r="AI569" s="84" t="n">
        <x:f>IF(AND(AG569=1,OR('Dashboard'!$B$4="All",I569='Dashboard'!$B$4),OR('Dashboard'!$E$4="All",N569='Dashboard'!$E$4),OR('Dashboard'!$H$4="All",K569='Dashboard'!$H$4)),1,0)</x:f>
        <x:v>1</x:v>
      </x:c>
    </x:row>
    <x:row r="570">
      <x:c r="A570" s="84" t="str">
        <x:f>'Raw Sales'!A570</x:f>
        <x:v>ORD-2024-00850</x:v>
      </x:c>
      <x:c r="B570" s="85" t="n">
        <x:f>'Raw Sales'!B570</x:f>
        <x:v>45504</x:v>
      </x:c>
      <x:c r="C570" s="84" t="n">
        <x:f>YEAR(B570)</x:f>
        <x:v>2024</x:v>
      </x:c>
      <x:c r="D570" s="91" t="n">
        <x:f>DATE(YEAR(B570),MONTH(B570),1)</x:f>
        <x:v>45474</x:v>
      </x:c>
      <x:c r="E570" s="84" t="str">
        <x:f>TEXT(B570,"mmm")</x:f>
        <x:v>Jul</x:v>
      </x:c>
      <x:c r="F570" s="84" t="str">
        <x:f>'Raw Sales'!C570</x:f>
        <x:v>CUST-0226</x:v>
      </x:c>
      <x:c r="G570" s="84" t="str">
        <x:f>PROPER(TRIM('Raw Sales'!D570))</x:f>
        <x:v>Samuel Patel</x:v>
      </x:c>
      <x:c r="H570" s="84" t="str">
        <x:f>IF(TRIM('Raw Sales'!E570)="","Unknown",PROPER(TRIM('Raw Sales'!E570)))</x:f>
        <x:v>Consumer</x:v>
      </x:c>
      <x:c r="I570" s="84" t="str">
        <x:f>PROPER(TRIM('Raw Sales'!F570))</x:f>
        <x:v>Midwest</x:v>
      </x:c>
      <x:c r="J570" s="84" t="str">
        <x:f>PROPER(TRIM('Raw Sales'!G570))</x:f>
        <x:v>Minneapolis</x:v>
      </x:c>
      <x:c r="K570" s="84" t="str">
        <x:f>PROPER(TRIM('Raw Sales'!H570))</x:f>
        <x:v>Retail Store</x:v>
      </x:c>
      <x:c r="L570" s="84" t="str">
        <x:f>'Raw Sales'!I570</x:f>
        <x:v>CARE-001</x:v>
      </x:c>
      <x:c r="M570" s="84" t="str">
        <x:f>IFERROR(VLOOKUP(L570,'Reference Data'!$A$5:$F$40,2,FALSE),"Unknown Product")</x:f>
        <x:v>Ionic Hair Dryer</x:v>
      </x:c>
      <x:c r="N570" s="84" t="str">
        <x:f>IFERROR(VLOOKUP(L570,'Reference Data'!$A$5:$F$40,3,FALSE),"Unknown")</x:f>
        <x:v>Personal Care</x:v>
      </x:c>
      <x:c r="O570" s="84" t="str">
        <x:f>IFERROR(VLOOKUP(L570,'Reference Data'!$A$5:$F$40,4,FALSE),"Unknown")</x:f>
        <x:v>Hair Care</x:v>
      </x:c>
      <x:c r="P570" s="92" t="n">
        <x:f>IFERROR(VLOOKUP(L570,'Reference Data'!$A$5:$F$40,5,FALSE),0)</x:f>
        <x:v>54</x:v>
      </x:c>
      <x:c r="Q570" s="92" t="n">
        <x:f>IFERROR(VLOOKUP(L570,'Reference Data'!$A$5:$F$40,6,FALSE),0)</x:f>
        <x:v>25</x:v>
      </x:c>
      <x:c r="R570" s="84" t="n">
        <x:f>'Raw Sales'!J570</x:f>
        <x:v>1</x:v>
      </x:c>
      <x:c r="S570" s="87" t="n">
        <x:f>'Raw Sales'!K570</x:f>
        <x:v>0.1</x:v>
      </x:c>
      <x:c r="T570" s="93" t="n">
        <x:f>P570*R570</x:f>
        <x:v>54</x:v>
      </x:c>
      <x:c r="U570" s="93" t="n">
        <x:f>T570*S570</x:f>
        <x:v>5.4</x:v>
      </x:c>
      <x:c r="V570" s="93" t="str">
        <x:f>PROPER(TRIM('Raw Sales'!L570))</x:f>
        <x:v>Completed</x:v>
      </x:c>
      <x:c r="W570" s="93" t="n">
        <x:f>IF(V570="Returned",0,T570-U570)</x:f>
        <x:v>48.6</x:v>
      </x:c>
      <x:c r="X570" s="93" t="n">
        <x:f>IF(V570="Returned",Q570*R570*10%,Q570*R570)</x:f>
        <x:v>25</x:v>
      </x:c>
      <x:c r="Y570" s="93" t="n">
        <x:f>W570-X570</x:f>
        <x:v>23.6</x:v>
      </x:c>
      <x:c r="Z570" s="94" t="n">
        <x:f>IFERROR(Y570/W570,0)</x:f>
        <x:v>0.48559670781893005</x:v>
      </x:c>
      <x:c r="AA570" s="84" t="str">
        <x:f>PROPER(TRIM('Raw Sales'!M570))</x:f>
        <x:v>Credit Card</x:v>
      </x:c>
      <x:c r="AB570" s="84" t="str">
        <x:f>PROPER(TRIM('Raw Sales'!N570))</x:f>
        <x:v>Lucas Grant</x:v>
      </x:c>
      <x:c r="AC570" s="85" t="n">
        <x:f>'Raw Sales'!O570</x:f>
        <x:v>45504</x:v>
      </x:c>
      <x:c r="AD570" s="84" t="n">
        <x:f>AC570-B570</x:f>
        <x:v>0</x:v>
      </x:c>
      <x:c r="AE570" s="84" t="str">
        <x:f>IF(COUNTIF($A$5:A570,A570)&gt;1,"Duplicate","Keep")</x:f>
        <x:v>Keep</x:v>
      </x:c>
      <x:c r="AF570" s="84" t="str">
        <x:f>IF(OR(R570&lt;=0,AC570&lt;B570,H570="Unknown",M570="Unknown Product"),"Review","Valid")</x:f>
        <x:v>Valid</x:v>
      </x:c>
      <x:c r="AG570" s="84" t="n">
        <x:f>IF(AND(AE570="Keep",AF570="Valid"),1,0)</x:f>
        <x:v>1</x:v>
      </x:c>
      <x:c r="AH570" s="84" t="n">
        <x:f>IF(AND(AG570=1,OR('Dashboard'!$B$4="All",I570='Dashboard'!$B$4),OR('Dashboard'!$E$4="All",N570='Dashboard'!$E$4),OR('Dashboard'!$H$4="All",K570='Dashboard'!$H$4),OR('Dashboard'!$K$4="All",C570='Dashboard'!$K$4)),1,0)</x:f>
        <x:v>1</x:v>
      </x:c>
      <x:c r="AI570" s="84" t="n">
        <x:f>IF(AND(AG570=1,OR('Dashboard'!$B$4="All",I570='Dashboard'!$B$4),OR('Dashboard'!$E$4="All",N570='Dashboard'!$E$4),OR('Dashboard'!$H$4="All",K570='Dashboard'!$H$4)),1,0)</x:f>
        <x:v>1</x:v>
      </x:c>
    </x:row>
    <x:row r="571">
      <x:c r="A571" s="84" t="str">
        <x:f>'Raw Sales'!A571</x:f>
        <x:v>ORD-2024-01919</x:v>
      </x:c>
      <x:c r="B571" s="85" t="n">
        <x:f>'Raw Sales'!B571</x:f>
        <x:v>45504</x:v>
      </x:c>
      <x:c r="C571" s="84" t="n">
        <x:f>YEAR(B571)</x:f>
        <x:v>2024</x:v>
      </x:c>
      <x:c r="D571" s="91" t="n">
        <x:f>DATE(YEAR(B571),MONTH(B571),1)</x:f>
        <x:v>45474</x:v>
      </x:c>
      <x:c r="E571" s="84" t="str">
        <x:f>TEXT(B571,"mmm")</x:f>
        <x:v>Jul</x:v>
      </x:c>
      <x:c r="F571" s="84" t="str">
        <x:f>'Raw Sales'!C571</x:f>
        <x:v>CUST-0417</x:v>
      </x:c>
      <x:c r="G571" s="84" t="str">
        <x:f>PROPER(TRIM('Raw Sales'!D571))</x:f>
        <x:v>Amelia Evans</x:v>
      </x:c>
      <x:c r="H571" s="84" t="str">
        <x:f>IF(TRIM('Raw Sales'!E571)="","Unknown",PROPER(TRIM('Raw Sales'!E571)))</x:f>
        <x:v>Consumer</x:v>
      </x:c>
      <x:c r="I571" s="84" t="str">
        <x:f>PROPER(TRIM('Raw Sales'!F571))</x:f>
        <x:v>Northeast</x:v>
      </x:c>
      <x:c r="J571" s="84" t="str">
        <x:f>PROPER(TRIM('Raw Sales'!G571))</x:f>
        <x:v>Boston</x:v>
      </x:c>
      <x:c r="K571" s="84" t="str">
        <x:f>PROPER(TRIM('Raw Sales'!H571))</x:f>
        <x:v>Marketplace</x:v>
      </x:c>
      <x:c r="L571" s="84" t="str">
        <x:f>'Raw Sales'!I571</x:f>
        <x:v>CARE-001</x:v>
      </x:c>
      <x:c r="M571" s="84" t="str">
        <x:f>IFERROR(VLOOKUP(L571,'Reference Data'!$A$5:$F$40,2,FALSE),"Unknown Product")</x:f>
        <x:v>Ionic Hair Dryer</x:v>
      </x:c>
      <x:c r="N571" s="84" t="str">
        <x:f>IFERROR(VLOOKUP(L571,'Reference Data'!$A$5:$F$40,3,FALSE),"Unknown")</x:f>
        <x:v>Personal Care</x:v>
      </x:c>
      <x:c r="O571" s="84" t="str">
        <x:f>IFERROR(VLOOKUP(L571,'Reference Data'!$A$5:$F$40,4,FALSE),"Unknown")</x:f>
        <x:v>Hair Care</x:v>
      </x:c>
      <x:c r="P571" s="92" t="n">
        <x:f>IFERROR(VLOOKUP(L571,'Reference Data'!$A$5:$F$40,5,FALSE),0)</x:f>
        <x:v>54</x:v>
      </x:c>
      <x:c r="Q571" s="92" t="n">
        <x:f>IFERROR(VLOOKUP(L571,'Reference Data'!$A$5:$F$40,6,FALSE),0)</x:f>
        <x:v>25</x:v>
      </x:c>
      <x:c r="R571" s="84" t="n">
        <x:f>'Raw Sales'!J571</x:f>
        <x:v>1</x:v>
      </x:c>
      <x:c r="S571" s="87" t="n">
        <x:f>'Raw Sales'!K571</x:f>
        <x:v>0.1</x:v>
      </x:c>
      <x:c r="T571" s="93" t="n">
        <x:f>P571*R571</x:f>
        <x:v>54</x:v>
      </x:c>
      <x:c r="U571" s="93" t="n">
        <x:f>T571*S571</x:f>
        <x:v>5.4</x:v>
      </x:c>
      <x:c r="V571" s="93" t="str">
        <x:f>PROPER(TRIM('Raw Sales'!L571))</x:f>
        <x:v>Returned</x:v>
      </x:c>
      <x:c r="W571" s="93" t="n">
        <x:f>IF(V571="Returned",0,T571-U571)</x:f>
        <x:v>0</x:v>
      </x:c>
      <x:c r="X571" s="93" t="n">
        <x:f>IF(V571="Returned",Q571*R571*10%,Q571*R571)</x:f>
        <x:v>2.5</x:v>
      </x:c>
      <x:c r="Y571" s="93" t="n">
        <x:f>W571-X571</x:f>
        <x:v>-2.5</x:v>
      </x:c>
      <x:c r="Z571" s="94" t="n">
        <x:f>IFERROR(Y571/W571,0)</x:f>
        <x:v>0</x:v>
      </x:c>
      <x:c r="AA571" s="84" t="str">
        <x:f>PROPER(TRIM('Raw Sales'!M571))</x:f>
        <x:v>Credit Card</x:v>
      </x:c>
      <x:c r="AB571" s="84" t="str">
        <x:f>PROPER(TRIM('Raw Sales'!N571))</x:f>
        <x:v>Ethan Cole</x:v>
      </x:c>
      <x:c r="AC571" s="85" t="n">
        <x:f>'Raw Sales'!O571</x:f>
        <x:v>45510</x:v>
      </x:c>
      <x:c r="AD571" s="84" t="n">
        <x:f>AC571-B571</x:f>
        <x:v>6</x:v>
      </x:c>
      <x:c r="AE571" s="84" t="str">
        <x:f>IF(COUNTIF($A$5:A571,A571)&gt;1,"Duplicate","Keep")</x:f>
        <x:v>Keep</x:v>
      </x:c>
      <x:c r="AF571" s="84" t="str">
        <x:f>IF(OR(R571&lt;=0,AC571&lt;B571,H571="Unknown",M571="Unknown Product"),"Review","Valid")</x:f>
        <x:v>Valid</x:v>
      </x:c>
      <x:c r="AG571" s="84" t="n">
        <x:f>IF(AND(AE571="Keep",AF571="Valid"),1,0)</x:f>
        <x:v>1</x:v>
      </x:c>
      <x:c r="AH571" s="84" t="n">
        <x:f>IF(AND(AG571=1,OR('Dashboard'!$B$4="All",I571='Dashboard'!$B$4),OR('Dashboard'!$E$4="All",N571='Dashboard'!$E$4),OR('Dashboard'!$H$4="All",K571='Dashboard'!$H$4),OR('Dashboard'!$K$4="All",C571='Dashboard'!$K$4)),1,0)</x:f>
        <x:v>1</x:v>
      </x:c>
      <x:c r="AI571" s="84" t="n">
        <x:f>IF(AND(AG571=1,OR('Dashboard'!$B$4="All",I571='Dashboard'!$B$4),OR('Dashboard'!$E$4="All",N571='Dashboard'!$E$4),OR('Dashboard'!$H$4="All",K571='Dashboard'!$H$4)),1,0)</x:f>
        <x:v>1</x:v>
      </x:c>
    </x:row>
    <x:row r="572">
      <x:c r="A572" s="84" t="str">
        <x:f>'Raw Sales'!A572</x:f>
        <x:v>ORD-2024-02176</x:v>
      </x:c>
      <x:c r="B572" s="85" t="n">
        <x:f>'Raw Sales'!B572</x:f>
        <x:v>45504</x:v>
      </x:c>
      <x:c r="C572" s="84" t="n">
        <x:f>YEAR(B572)</x:f>
        <x:v>2024</x:v>
      </x:c>
      <x:c r="D572" s="91" t="n">
        <x:f>DATE(YEAR(B572),MONTH(B572),1)</x:f>
        <x:v>45474</x:v>
      </x:c>
      <x:c r="E572" s="84" t="str">
        <x:f>TEXT(B572,"mmm")</x:f>
        <x:v>Jul</x:v>
      </x:c>
      <x:c r="F572" s="84" t="str">
        <x:f>'Raw Sales'!C572</x:f>
        <x:v>CUST-0481</x:v>
      </x:c>
      <x:c r="G572" s="84" t="str">
        <x:f>PROPER(TRIM('Raw Sales'!D572))</x:f>
        <x:v>Marcus Hall</x:v>
      </x:c>
      <x:c r="H572" s="84" t="str">
        <x:f>IF(TRIM('Raw Sales'!E572)="","Unknown",PROPER(TRIM('Raw Sales'!E572)))</x:f>
        <x:v>Small Business</x:v>
      </x:c>
      <x:c r="I572" s="84" t="str">
        <x:f>PROPER(TRIM('Raw Sales'!F572))</x:f>
        <x:v>Northeast</x:v>
      </x:c>
      <x:c r="J572" s="84" t="str">
        <x:f>PROPER(TRIM('Raw Sales'!G572))</x:f>
        <x:v>Newark</x:v>
      </x:c>
      <x:c r="K572" s="84" t="str">
        <x:f>PROPER(TRIM('Raw Sales'!H572))</x:f>
        <x:v>Online</x:v>
      </x:c>
      <x:c r="L572" s="84" t="str">
        <x:f>'Raw Sales'!I572</x:f>
        <x:v>ELEC-002</x:v>
      </x:c>
      <x:c r="M572" s="84" t="str">
        <x:f>IFERROR(VLOOKUP(L572,'Reference Data'!$A$5:$F$40,2,FALSE),"Unknown Product")</x:f>
        <x:v>Smartwatch</x:v>
      </x:c>
      <x:c r="N572" s="84" t="str">
        <x:f>IFERROR(VLOOKUP(L572,'Reference Data'!$A$5:$F$40,3,FALSE),"Unknown")</x:f>
        <x:v>Electronics</x:v>
      </x:c>
      <x:c r="O572" s="84" t="str">
        <x:f>IFERROR(VLOOKUP(L572,'Reference Data'!$A$5:$F$40,4,FALSE),"Unknown")</x:f>
        <x:v>Wearables</x:v>
      </x:c>
      <x:c r="P572" s="92" t="n">
        <x:f>IFERROR(VLOOKUP(L572,'Reference Data'!$A$5:$F$40,5,FALSE),0)</x:f>
        <x:v>159</x:v>
      </x:c>
      <x:c r="Q572" s="92" t="n">
        <x:f>IFERROR(VLOOKUP(L572,'Reference Data'!$A$5:$F$40,6,FALSE),0)</x:f>
        <x:v>92</x:v>
      </x:c>
      <x:c r="R572" s="84" t="n">
        <x:f>'Raw Sales'!J572</x:f>
        <x:v>2</x:v>
      </x:c>
      <x:c r="S572" s="87" t="n">
        <x:f>'Raw Sales'!K572</x:f>
        <x:v>0.05</x:v>
      </x:c>
      <x:c r="T572" s="93" t="n">
        <x:f>P572*R572</x:f>
        <x:v>318</x:v>
      </x:c>
      <x:c r="U572" s="93" t="n">
        <x:f>T572*S572</x:f>
        <x:v>15.9</x:v>
      </x:c>
      <x:c r="V572" s="93" t="str">
        <x:f>PROPER(TRIM('Raw Sales'!L572))</x:f>
        <x:v>Completed</x:v>
      </x:c>
      <x:c r="W572" s="93" t="n">
        <x:f>IF(V572="Returned",0,T572-U572)</x:f>
        <x:v>302.1</x:v>
      </x:c>
      <x:c r="X572" s="93" t="n">
        <x:f>IF(V572="Returned",Q572*R572*10%,Q572*R572)</x:f>
        <x:v>184</x:v>
      </x:c>
      <x:c r="Y572" s="93" t="n">
        <x:f>W572-X572</x:f>
        <x:v>118.10000000000002</x:v>
      </x:c>
      <x:c r="Z572" s="94" t="n">
        <x:f>IFERROR(Y572/W572,0)</x:f>
        <x:v>0.39093015557762334</x:v>
      </x:c>
      <x:c r="AA572" s="84" t="str">
        <x:f>PROPER(TRIM('Raw Sales'!M572))</x:f>
        <x:v>Credit Card</x:v>
      </x:c>
      <x:c r="AB572" s="84" t="str">
        <x:f>PROPER(TRIM('Raw Sales'!N572))</x:f>
        <x:v>Ethan Cole</x:v>
      </x:c>
      <x:c r="AC572" s="85" t="n">
        <x:f>'Raw Sales'!O572</x:f>
        <x:v>45509</x:v>
      </x:c>
      <x:c r="AD572" s="84" t="n">
        <x:f>AC572-B572</x:f>
        <x:v>5</x:v>
      </x:c>
      <x:c r="AE572" s="84" t="str">
        <x:f>IF(COUNTIF($A$5:A572,A572)&gt;1,"Duplicate","Keep")</x:f>
        <x:v>Keep</x:v>
      </x:c>
      <x:c r="AF572" s="84" t="str">
        <x:f>IF(OR(R572&lt;=0,AC572&lt;B572,H572="Unknown",M572="Unknown Product"),"Review","Valid")</x:f>
        <x:v>Valid</x:v>
      </x:c>
      <x:c r="AG572" s="84" t="n">
        <x:f>IF(AND(AE572="Keep",AF572="Valid"),1,0)</x:f>
        <x:v>1</x:v>
      </x:c>
      <x:c r="AH572" s="84" t="n">
        <x:f>IF(AND(AG572=1,OR('Dashboard'!$B$4="All",I572='Dashboard'!$B$4),OR('Dashboard'!$E$4="All",N572='Dashboard'!$E$4),OR('Dashboard'!$H$4="All",K572='Dashboard'!$H$4),OR('Dashboard'!$K$4="All",C572='Dashboard'!$K$4)),1,0)</x:f>
        <x:v>1</x:v>
      </x:c>
      <x:c r="AI572" s="84" t="n">
        <x:f>IF(AND(AG572=1,OR('Dashboard'!$B$4="All",I572='Dashboard'!$B$4),OR('Dashboard'!$E$4="All",N572='Dashboard'!$E$4),OR('Dashboard'!$H$4="All",K572='Dashboard'!$H$4)),1,0)</x:f>
        <x:v>1</x:v>
      </x:c>
    </x:row>
    <x:row r="573">
      <x:c r="A573" s="84" t="str">
        <x:f>'Raw Sales'!A573</x:f>
        <x:v>ORD-2024-00336</x:v>
      </x:c>
      <x:c r="B573" s="85" t="n">
        <x:f>'Raw Sales'!B573</x:f>
        <x:v>45505</x:v>
      </x:c>
      <x:c r="C573" s="84" t="n">
        <x:f>YEAR(B573)</x:f>
        <x:v>2024</x:v>
      </x:c>
      <x:c r="D573" s="91" t="n">
        <x:f>DATE(YEAR(B573),MONTH(B573),1)</x:f>
        <x:v>45505</x:v>
      </x:c>
      <x:c r="E573" s="84" t="str">
        <x:f>TEXT(B573,"mmm")</x:f>
        <x:v>Aug</x:v>
      </x:c>
      <x:c r="F573" s="84" t="str">
        <x:f>'Raw Sales'!C573</x:f>
        <x:v>CUST-0308</x:v>
      </x:c>
      <x:c r="G573" s="84" t="str">
        <x:f>PROPER(TRIM('Raw Sales'!D573))</x:f>
        <x:v>Nathan Irwin</x:v>
      </x:c>
      <x:c r="H573" s="84" t="str">
        <x:f>IF(TRIM('Raw Sales'!E573)="","Unknown",PROPER(TRIM('Raw Sales'!E573)))</x:f>
        <x:v>Consumer</x:v>
      </x:c>
      <x:c r="I573" s="84" t="str">
        <x:f>PROPER(TRIM('Raw Sales'!F573))</x:f>
        <x:v>West</x:v>
      </x:c>
      <x:c r="J573" s="84" t="str">
        <x:f>PROPER(TRIM('Raw Sales'!G573))</x:f>
        <x:v>Denver</x:v>
      </x:c>
      <x:c r="K573" s="84" t="str">
        <x:f>PROPER(TRIM('Raw Sales'!H573))</x:f>
        <x:v>Marketplace</x:v>
      </x:c>
      <x:c r="L573" s="84" t="str">
        <x:f>'Raw Sales'!I573</x:f>
        <x:v>FITN-002</x:v>
      </x:c>
      <x:c r="M573" s="84" t="str">
        <x:f>IFERROR(VLOOKUP(L573,'Reference Data'!$A$5:$F$40,2,FALSE),"Unknown Product")</x:f>
        <x:v>Adjustable Dumbbell Set</x:v>
      </x:c>
      <x:c r="N573" s="84" t="str">
        <x:f>IFERROR(VLOOKUP(L573,'Reference Data'!$A$5:$F$40,3,FALSE),"Unknown")</x:f>
        <x:v>Fitness</x:v>
      </x:c>
      <x:c r="O573" s="84" t="str">
        <x:f>IFERROR(VLOOKUP(L573,'Reference Data'!$A$5:$F$40,4,FALSE),"Unknown")</x:f>
        <x:v>Strength</x:v>
      </x:c>
      <x:c r="P573" s="92" t="n">
        <x:f>IFERROR(VLOOKUP(L573,'Reference Data'!$A$5:$F$40,5,FALSE),0)</x:f>
        <x:v>99</x:v>
      </x:c>
      <x:c r="Q573" s="92" t="n">
        <x:f>IFERROR(VLOOKUP(L573,'Reference Data'!$A$5:$F$40,6,FALSE),0)</x:f>
        <x:v>57</x:v>
      </x:c>
      <x:c r="R573" s="84" t="n">
        <x:f>'Raw Sales'!J573</x:f>
        <x:v>1</x:v>
      </x:c>
      <x:c r="S573" s="87" t="n">
        <x:f>'Raw Sales'!K573</x:f>
        <x:v>0</x:v>
      </x:c>
      <x:c r="T573" s="93" t="n">
        <x:f>P573*R573</x:f>
        <x:v>99</x:v>
      </x:c>
      <x:c r="U573" s="93" t="n">
        <x:f>T573*S573</x:f>
        <x:v>0</x:v>
      </x:c>
      <x:c r="V573" s="93" t="str">
        <x:f>PROPER(TRIM('Raw Sales'!L573))</x:f>
        <x:v>Completed</x:v>
      </x:c>
      <x:c r="W573" s="93" t="n">
        <x:f>IF(V573="Returned",0,T573-U573)</x:f>
        <x:v>99</x:v>
      </x:c>
      <x:c r="X573" s="93" t="n">
        <x:f>IF(V573="Returned",Q573*R573*10%,Q573*R573)</x:f>
        <x:v>57</x:v>
      </x:c>
      <x:c r="Y573" s="93" t="n">
        <x:f>W573-X573</x:f>
        <x:v>42</x:v>
      </x:c>
      <x:c r="Z573" s="94" t="n">
        <x:f>IFERROR(Y573/W573,0)</x:f>
        <x:v>0.42424242424242425</x:v>
      </x:c>
      <x:c r="AA573" s="84" t="str">
        <x:f>PROPER(TRIM('Raw Sales'!M573))</x:f>
        <x:v>Paypal</x:v>
      </x:c>
      <x:c r="AB573" s="84" t="str">
        <x:f>PROPER(TRIM('Raw Sales'!N573))</x:f>
        <x:v>Nora Kim</x:v>
      </x:c>
      <x:c r="AC573" s="85" t="n">
        <x:f>'Raw Sales'!O573</x:f>
        <x:v>45513</x:v>
      </x:c>
      <x:c r="AD573" s="84" t="n">
        <x:f>AC573-B573</x:f>
        <x:v>8</x:v>
      </x:c>
      <x:c r="AE573" s="84" t="str">
        <x:f>IF(COUNTIF($A$5:A573,A573)&gt;1,"Duplicate","Keep")</x:f>
        <x:v>Keep</x:v>
      </x:c>
      <x:c r="AF573" s="84" t="str">
        <x:f>IF(OR(R573&lt;=0,AC573&lt;B573,H573="Unknown",M573="Unknown Product"),"Review","Valid")</x:f>
        <x:v>Valid</x:v>
      </x:c>
      <x:c r="AG573" s="84" t="n">
        <x:f>IF(AND(AE573="Keep",AF573="Valid"),1,0)</x:f>
        <x:v>1</x:v>
      </x:c>
      <x:c r="AH573" s="84" t="n">
        <x:f>IF(AND(AG573=1,OR('Dashboard'!$B$4="All",I573='Dashboard'!$B$4),OR('Dashboard'!$E$4="All",N573='Dashboard'!$E$4),OR('Dashboard'!$H$4="All",K573='Dashboard'!$H$4),OR('Dashboard'!$K$4="All",C573='Dashboard'!$K$4)),1,0)</x:f>
        <x:v>1</x:v>
      </x:c>
      <x:c r="AI573" s="84" t="n">
        <x:f>IF(AND(AG573=1,OR('Dashboard'!$B$4="All",I573='Dashboard'!$B$4),OR('Dashboard'!$E$4="All",N573='Dashboard'!$E$4),OR('Dashboard'!$H$4="All",K573='Dashboard'!$H$4)),1,0)</x:f>
        <x:v>1</x:v>
      </x:c>
    </x:row>
    <x:row r="574">
      <x:c r="A574" s="84" t="str">
        <x:f>'Raw Sales'!A574</x:f>
        <x:v>ORD-2024-00931</x:v>
      </x:c>
      <x:c r="B574" s="85" t="n">
        <x:f>'Raw Sales'!B574</x:f>
        <x:v>45505</x:v>
      </x:c>
      <x:c r="C574" s="84" t="n">
        <x:f>YEAR(B574)</x:f>
        <x:v>2024</x:v>
      </x:c>
      <x:c r="D574" s="91" t="n">
        <x:f>DATE(YEAR(B574),MONTH(B574),1)</x:f>
        <x:v>45505</x:v>
      </x:c>
      <x:c r="E574" s="84" t="str">
        <x:f>TEXT(B574,"mmm")</x:f>
        <x:v>Aug</x:v>
      </x:c>
      <x:c r="F574" s="84" t="str">
        <x:f>'Raw Sales'!C574</x:f>
        <x:v>CUST-0489</x:v>
      </x:c>
      <x:c r="G574" s="84" t="str">
        <x:f>PROPER(TRIM('Raw Sales'!D574))</x:f>
        <x:v>William Quinn</x:v>
      </x:c>
      <x:c r="H574" s="84" t="str">
        <x:f>IF(TRIM('Raw Sales'!E574)="","Unknown",PROPER(TRIM('Raw Sales'!E574)))</x:f>
        <x:v>Consumer</x:v>
      </x:c>
      <x:c r="I574" s="84" t="str">
        <x:f>PROPER(TRIM('Raw Sales'!F574))</x:f>
        <x:v>West</x:v>
      </x:c>
      <x:c r="J574" s="84" t="str">
        <x:f>PROPER(TRIM('Raw Sales'!G574))</x:f>
        <x:v>Los Angeles</x:v>
      </x:c>
      <x:c r="K574" s="84" t="str">
        <x:f>PROPER(TRIM('Raw Sales'!H574))</x:f>
        <x:v>Marketplace</x:v>
      </x:c>
      <x:c r="L574" s="84" t="str">
        <x:f>'Raw Sales'!I574</x:f>
        <x:v>ELEC-002</x:v>
      </x:c>
      <x:c r="M574" s="84" t="str">
        <x:f>IFERROR(VLOOKUP(L574,'Reference Data'!$A$5:$F$40,2,FALSE),"Unknown Product")</x:f>
        <x:v>Smartwatch</x:v>
      </x:c>
      <x:c r="N574" s="84" t="str">
        <x:f>IFERROR(VLOOKUP(L574,'Reference Data'!$A$5:$F$40,3,FALSE),"Unknown")</x:f>
        <x:v>Electronics</x:v>
      </x:c>
      <x:c r="O574" s="84" t="str">
        <x:f>IFERROR(VLOOKUP(L574,'Reference Data'!$A$5:$F$40,4,FALSE),"Unknown")</x:f>
        <x:v>Wearables</x:v>
      </x:c>
      <x:c r="P574" s="92" t="n">
        <x:f>IFERROR(VLOOKUP(L574,'Reference Data'!$A$5:$F$40,5,FALSE),0)</x:f>
        <x:v>159</x:v>
      </x:c>
      <x:c r="Q574" s="92" t="n">
        <x:f>IFERROR(VLOOKUP(L574,'Reference Data'!$A$5:$F$40,6,FALSE),0)</x:f>
        <x:v>92</x:v>
      </x:c>
      <x:c r="R574" s="84" t="n">
        <x:f>'Raw Sales'!J574</x:f>
        <x:v>2</x:v>
      </x:c>
      <x:c r="S574" s="87" t="n">
        <x:f>'Raw Sales'!K574</x:f>
        <x:v>0</x:v>
      </x:c>
      <x:c r="T574" s="93" t="n">
        <x:f>P574*R574</x:f>
        <x:v>318</x:v>
      </x:c>
      <x:c r="U574" s="93" t="n">
        <x:f>T574*S574</x:f>
        <x:v>0</x:v>
      </x:c>
      <x:c r="V574" s="93" t="str">
        <x:f>PROPER(TRIM('Raw Sales'!L574))</x:f>
        <x:v>Completed</x:v>
      </x:c>
      <x:c r="W574" s="93" t="n">
        <x:f>IF(V574="Returned",0,T574-U574)</x:f>
        <x:v>318</x:v>
      </x:c>
      <x:c r="X574" s="93" t="n">
        <x:f>IF(V574="Returned",Q574*R574*10%,Q574*R574)</x:f>
        <x:v>184</x:v>
      </x:c>
      <x:c r="Y574" s="93" t="n">
        <x:f>W574-X574</x:f>
        <x:v>134</x:v>
      </x:c>
      <x:c r="Z574" s="94" t="n">
        <x:f>IFERROR(Y574/W574,0)</x:f>
        <x:v>0.42138364779874216</x:v>
      </x:c>
      <x:c r="AA574" s="84" t="str">
        <x:f>PROPER(TRIM('Raw Sales'!M574))</x:f>
        <x:v>Paypal</x:v>
      </x:c>
      <x:c r="AB574" s="84" t="str">
        <x:f>PROPER(TRIM('Raw Sales'!N574))</x:f>
        <x:v>Mia Chen</x:v>
      </x:c>
      <x:c r="AC574" s="85" t="n">
        <x:f>'Raw Sales'!O574</x:f>
        <x:v>45509</x:v>
      </x:c>
      <x:c r="AD574" s="84" t="n">
        <x:f>AC574-B574</x:f>
        <x:v>4</x:v>
      </x:c>
      <x:c r="AE574" s="84" t="str">
        <x:f>IF(COUNTIF($A$5:A574,A574)&gt;1,"Duplicate","Keep")</x:f>
        <x:v>Keep</x:v>
      </x:c>
      <x:c r="AF574" s="84" t="str">
        <x:f>IF(OR(R574&lt;=0,AC574&lt;B574,H574="Unknown",M574="Unknown Product"),"Review","Valid")</x:f>
        <x:v>Valid</x:v>
      </x:c>
      <x:c r="AG574" s="84" t="n">
        <x:f>IF(AND(AE574="Keep",AF574="Valid"),1,0)</x:f>
        <x:v>1</x:v>
      </x:c>
      <x:c r="AH574" s="84" t="n">
        <x:f>IF(AND(AG574=1,OR('Dashboard'!$B$4="All",I574='Dashboard'!$B$4),OR('Dashboard'!$E$4="All",N574='Dashboard'!$E$4),OR('Dashboard'!$H$4="All",K574='Dashboard'!$H$4),OR('Dashboard'!$K$4="All",C574='Dashboard'!$K$4)),1,0)</x:f>
        <x:v>1</x:v>
      </x:c>
      <x:c r="AI574" s="84" t="n">
        <x:f>IF(AND(AG574=1,OR('Dashboard'!$B$4="All",I574='Dashboard'!$B$4),OR('Dashboard'!$E$4="All",N574='Dashboard'!$E$4),OR('Dashboard'!$H$4="All",K574='Dashboard'!$H$4)),1,0)</x:f>
        <x:v>1</x:v>
      </x:c>
    </x:row>
    <x:row r="575">
      <x:c r="A575" s="84" t="str">
        <x:f>'Raw Sales'!A575</x:f>
        <x:v>ORD-2024-01369</x:v>
      </x:c>
      <x:c r="B575" s="85" t="n">
        <x:f>'Raw Sales'!B575</x:f>
        <x:v>45505</x:v>
      </x:c>
      <x:c r="C575" s="84" t="n">
        <x:f>YEAR(B575)</x:f>
        <x:v>2024</x:v>
      </x:c>
      <x:c r="D575" s="91" t="n">
        <x:f>DATE(YEAR(B575),MONTH(B575),1)</x:f>
        <x:v>45505</x:v>
      </x:c>
      <x:c r="E575" s="84" t="str">
        <x:f>TEXT(B575,"mmm")</x:f>
        <x:v>Aug</x:v>
      </x:c>
      <x:c r="F575" s="84" t="str">
        <x:f>'Raw Sales'!C575</x:f>
        <x:v>CUST-0581</x:v>
      </x:c>
      <x:c r="G575" s="84" t="str">
        <x:f>PROPER(TRIM('Raw Sales'!D575))</x:f>
        <x:v>Grace Lewis</x:v>
      </x:c>
      <x:c r="H575" s="84" t="str">
        <x:f>IF(TRIM('Raw Sales'!E575)="","Unknown",PROPER(TRIM('Raw Sales'!E575)))</x:f>
        <x:v>Consumer</x:v>
      </x:c>
      <x:c r="I575" s="84" t="str">
        <x:f>PROPER(TRIM('Raw Sales'!F575))</x:f>
        <x:v>West</x:v>
      </x:c>
      <x:c r="J575" s="84" t="str">
        <x:f>PROPER(TRIM('Raw Sales'!G575))</x:f>
        <x:v>Phoenix</x:v>
      </x:c>
      <x:c r="K575" s="84" t="str">
        <x:f>PROPER(TRIM('Raw Sales'!H575))</x:f>
        <x:v>Online</x:v>
      </x:c>
      <x:c r="L575" s="84" t="str">
        <x:f>'Raw Sales'!I575</x:f>
        <x:v>ACCS-002</x:v>
      </x:c>
      <x:c r="M575" s="84" t="str">
        <x:f>IFERROR(VLOOKUP(L575,'Reference Data'!$A$5:$F$40,2,FALSE),"Unknown Product")</x:f>
        <x:v>Travel Backpack</x:v>
      </x:c>
      <x:c r="N575" s="84" t="str">
        <x:f>IFERROR(VLOOKUP(L575,'Reference Data'!$A$5:$F$40,3,FALSE),"Unknown")</x:f>
        <x:v>Accessories</x:v>
      </x:c>
      <x:c r="O575" s="84" t="str">
        <x:f>IFERROR(VLOOKUP(L575,'Reference Data'!$A$5:$F$40,4,FALSE),"Unknown")</x:f>
        <x:v>Bags</x:v>
      </x:c>
      <x:c r="P575" s="92" t="n">
        <x:f>IFERROR(VLOOKUP(L575,'Reference Data'!$A$5:$F$40,5,FALSE),0)</x:f>
        <x:v>89</x:v>
      </x:c>
      <x:c r="Q575" s="92" t="n">
        <x:f>IFERROR(VLOOKUP(L575,'Reference Data'!$A$5:$F$40,6,FALSE),0)</x:f>
        <x:v>36</x:v>
      </x:c>
      <x:c r="R575" s="84" t="n">
        <x:f>'Raw Sales'!J575</x:f>
        <x:v>3</x:v>
      </x:c>
      <x:c r="S575" s="87" t="n">
        <x:f>'Raw Sales'!K575</x:f>
        <x:v>0.15</x:v>
      </x:c>
      <x:c r="T575" s="93" t="n">
        <x:f>P575*R575</x:f>
        <x:v>267</x:v>
      </x:c>
      <x:c r="U575" s="93" t="n">
        <x:f>T575*S575</x:f>
        <x:v>40.05</x:v>
      </x:c>
      <x:c r="V575" s="93" t="str">
        <x:f>PROPER(TRIM('Raw Sales'!L575))</x:f>
        <x:v>Completed</x:v>
      </x:c>
      <x:c r="W575" s="93" t="n">
        <x:f>IF(V575="Returned",0,T575-U575)</x:f>
        <x:v>226.95</x:v>
      </x:c>
      <x:c r="X575" s="93" t="n">
        <x:f>IF(V575="Returned",Q575*R575*10%,Q575*R575)</x:f>
        <x:v>108</x:v>
      </x:c>
      <x:c r="Y575" s="93" t="n">
        <x:f>W575-X575</x:f>
        <x:v>118.94999999999999</x:v>
      </x:c>
      <x:c r="Z575" s="94" t="n">
        <x:f>IFERROR(Y575/W575,0)</x:f>
        <x:v>0.5241242564441506</x:v>
      </x:c>
      <x:c r="AA575" s="84" t="str">
        <x:f>PROPER(TRIM('Raw Sales'!M575))</x:f>
        <x:v>Debit Card</x:v>
      </x:c>
      <x:c r="AB575" s="84" t="str">
        <x:f>PROPER(TRIM('Raw Sales'!N575))</x:f>
        <x:v>Nora Kim</x:v>
      </x:c>
      <x:c r="AC575" s="85" t="n">
        <x:f>'Raw Sales'!O575</x:f>
        <x:v>45511</x:v>
      </x:c>
      <x:c r="AD575" s="84" t="n">
        <x:f>AC575-B575</x:f>
        <x:v>6</x:v>
      </x:c>
      <x:c r="AE575" s="84" t="str">
        <x:f>IF(COUNTIF($A$5:A575,A575)&gt;1,"Duplicate","Keep")</x:f>
        <x:v>Keep</x:v>
      </x:c>
      <x:c r="AF575" s="84" t="str">
        <x:f>IF(OR(R575&lt;=0,AC575&lt;B575,H575="Unknown",M575="Unknown Product"),"Review","Valid")</x:f>
        <x:v>Valid</x:v>
      </x:c>
      <x:c r="AG575" s="84" t="n">
        <x:f>IF(AND(AE575="Keep",AF575="Valid"),1,0)</x:f>
        <x:v>1</x:v>
      </x:c>
      <x:c r="AH575" s="84" t="n">
        <x:f>IF(AND(AG575=1,OR('Dashboard'!$B$4="All",I575='Dashboard'!$B$4),OR('Dashboard'!$E$4="All",N575='Dashboard'!$E$4),OR('Dashboard'!$H$4="All",K575='Dashboard'!$H$4),OR('Dashboard'!$K$4="All",C575='Dashboard'!$K$4)),1,0)</x:f>
        <x:v>1</x:v>
      </x:c>
      <x:c r="AI575" s="84" t="n">
        <x:f>IF(AND(AG575=1,OR('Dashboard'!$B$4="All",I575='Dashboard'!$B$4),OR('Dashboard'!$E$4="All",N575='Dashboard'!$E$4),OR('Dashboard'!$H$4="All",K575='Dashboard'!$H$4)),1,0)</x:f>
        <x:v>1</x:v>
      </x:c>
    </x:row>
    <x:row r="576">
      <x:c r="A576" s="84" t="str">
        <x:f>'Raw Sales'!A576</x:f>
        <x:v>ORD-2024-00469</x:v>
      </x:c>
      <x:c r="B576" s="85" t="n">
        <x:f>'Raw Sales'!B576</x:f>
        <x:v>45506</x:v>
      </x:c>
      <x:c r="C576" s="84" t="n">
        <x:f>YEAR(B576)</x:f>
        <x:v>2024</x:v>
      </x:c>
      <x:c r="D576" s="91" t="n">
        <x:f>DATE(YEAR(B576),MONTH(B576),1)</x:f>
        <x:v>45505</x:v>
      </x:c>
      <x:c r="E576" s="84" t="str">
        <x:f>TEXT(B576,"mmm")</x:f>
        <x:v>Aug</x:v>
      </x:c>
      <x:c r="F576" s="84" t="str">
        <x:f>'Raw Sales'!C576</x:f>
        <x:v>CUST-0097</x:v>
      </x:c>
      <x:c r="G576" s="84" t="str">
        <x:f>PROPER(TRIM('Raw Sales'!D576))</x:f>
        <x:v>Sara Ortiz</x:v>
      </x:c>
      <x:c r="H576" s="84" t="str">
        <x:f>IF(TRIM('Raw Sales'!E576)="","Unknown",PROPER(TRIM('Raw Sales'!E576)))</x:f>
        <x:v>Corporate</x:v>
      </x:c>
      <x:c r="I576" s="84" t="str">
        <x:f>PROPER(TRIM('Raw Sales'!F576))</x:f>
        <x:v>Northeast</x:v>
      </x:c>
      <x:c r="J576" s="84" t="str">
        <x:f>PROPER(TRIM('Raw Sales'!G576))</x:f>
        <x:v>New York</x:v>
      </x:c>
      <x:c r="K576" s="84" t="str">
        <x:f>PROPER(TRIM('Raw Sales'!H576))</x:f>
        <x:v>Online</x:v>
      </x:c>
      <x:c r="L576" s="84" t="str">
        <x:f>'Raw Sales'!I576</x:f>
        <x:v>HOME-006</x:v>
      </x:c>
      <x:c r="M576" s="84" t="str">
        <x:f>IFERROR(VLOOKUP(L576,'Reference Data'!$A$5:$F$40,2,FALSE),"Unknown Product")</x:f>
        <x:v>Food Storage Set</x:v>
      </x:c>
      <x:c r="N576" s="84" t="str">
        <x:f>IFERROR(VLOOKUP(L576,'Reference Data'!$A$5:$F$40,3,FALSE),"Unknown")</x:f>
        <x:v>Home &amp; Kitchen</x:v>
      </x:c>
      <x:c r="O576" s="84" t="str">
        <x:f>IFERROR(VLOOKUP(L576,'Reference Data'!$A$5:$F$40,4,FALSE),"Unknown")</x:f>
        <x:v>Kitchenware</x:v>
      </x:c>
      <x:c r="P576" s="92" t="n">
        <x:f>IFERROR(VLOOKUP(L576,'Reference Data'!$A$5:$F$40,5,FALSE),0)</x:f>
        <x:v>34</x:v>
      </x:c>
      <x:c r="Q576" s="92" t="n">
        <x:f>IFERROR(VLOOKUP(L576,'Reference Data'!$A$5:$F$40,6,FALSE),0)</x:f>
        <x:v>15</x:v>
      </x:c>
      <x:c r="R576" s="84" t="n">
        <x:f>'Raw Sales'!J576</x:f>
        <x:v>2</x:v>
      </x:c>
      <x:c r="S576" s="87" t="n">
        <x:f>'Raw Sales'!K576</x:f>
        <x:v>0.1</x:v>
      </x:c>
      <x:c r="T576" s="93" t="n">
        <x:f>P576*R576</x:f>
        <x:v>68</x:v>
      </x:c>
      <x:c r="U576" s="93" t="n">
        <x:f>T576*S576</x:f>
        <x:v>6.800000000000001</x:v>
      </x:c>
      <x:c r="V576" s="93" t="str">
        <x:f>PROPER(TRIM('Raw Sales'!L576))</x:f>
        <x:v>Completed</x:v>
      </x:c>
      <x:c r="W576" s="93" t="n">
        <x:f>IF(V576="Returned",0,T576-U576)</x:f>
        <x:v>61.2</x:v>
      </x:c>
      <x:c r="X576" s="93" t="n">
        <x:f>IF(V576="Returned",Q576*R576*10%,Q576*R576)</x:f>
        <x:v>30</x:v>
      </x:c>
      <x:c r="Y576" s="93" t="n">
        <x:f>W576-X576</x:f>
        <x:v>31.200000000000003</x:v>
      </x:c>
      <x:c r="Z576" s="94" t="n">
        <x:f>IFERROR(Y576/W576,0)</x:f>
        <x:v>0.5098039215686275</x:v>
      </x:c>
      <x:c r="AA576" s="84" t="str">
        <x:f>PROPER(TRIM('Raw Sales'!M576))</x:f>
        <x:v>Credit Card</x:v>
      </x:c>
      <x:c r="AB576" s="84" t="str">
        <x:f>PROPER(TRIM('Raw Sales'!N576))</x:f>
        <x:v>Sofia Bennett</x:v>
      </x:c>
      <x:c r="AC576" s="85" t="n">
        <x:f>'Raw Sales'!O576</x:f>
        <x:v>45510</x:v>
      </x:c>
      <x:c r="AD576" s="84" t="n">
        <x:f>AC576-B576</x:f>
        <x:v>4</x:v>
      </x:c>
      <x:c r="AE576" s="84" t="str">
        <x:f>IF(COUNTIF($A$5:A576,A576)&gt;1,"Duplicate","Keep")</x:f>
        <x:v>Keep</x:v>
      </x:c>
      <x:c r="AF576" s="84" t="str">
        <x:f>IF(OR(R576&lt;=0,AC576&lt;B576,H576="Unknown",M576="Unknown Product"),"Review","Valid")</x:f>
        <x:v>Valid</x:v>
      </x:c>
      <x:c r="AG576" s="84" t="n">
        <x:f>IF(AND(AE576="Keep",AF576="Valid"),1,0)</x:f>
        <x:v>1</x:v>
      </x:c>
      <x:c r="AH576" s="84" t="n">
        <x:f>IF(AND(AG576=1,OR('Dashboard'!$B$4="All",I576='Dashboard'!$B$4),OR('Dashboard'!$E$4="All",N576='Dashboard'!$E$4),OR('Dashboard'!$H$4="All",K576='Dashboard'!$H$4),OR('Dashboard'!$K$4="All",C576='Dashboard'!$K$4)),1,0)</x:f>
        <x:v>1</x:v>
      </x:c>
      <x:c r="AI576" s="84" t="n">
        <x:f>IF(AND(AG576=1,OR('Dashboard'!$B$4="All",I576='Dashboard'!$B$4),OR('Dashboard'!$E$4="All",N576='Dashboard'!$E$4),OR('Dashboard'!$H$4="All",K576='Dashboard'!$H$4)),1,0)</x:f>
        <x:v>1</x:v>
      </x:c>
    </x:row>
    <x:row r="577">
      <x:c r="A577" s="84" t="str">
        <x:f>'Raw Sales'!A577</x:f>
        <x:v>ORD-2024-01303</x:v>
      </x:c>
      <x:c r="B577" s="85" t="n">
        <x:f>'Raw Sales'!B577</x:f>
        <x:v>45506</x:v>
      </x:c>
      <x:c r="C577" s="84" t="n">
        <x:f>YEAR(B577)</x:f>
        <x:v>2024</x:v>
      </x:c>
      <x:c r="D577" s="91" t="n">
        <x:f>DATE(YEAR(B577),MONTH(B577),1)</x:f>
        <x:v>45505</x:v>
      </x:c>
      <x:c r="E577" s="84" t="str">
        <x:f>TEXT(B577,"mmm")</x:f>
        <x:v>Aug</x:v>
      </x:c>
      <x:c r="F577" s="84" t="str">
        <x:f>'Raw Sales'!C577</x:f>
        <x:v>CUST-0451</x:v>
      </x:c>
      <x:c r="G577" s="84" t="str">
        <x:f>PROPER(TRIM('Raw Sales'!D577))</x:f>
        <x:v>Theo Roberts</x:v>
      </x:c>
      <x:c r="H577" s="84" t="str">
        <x:f>IF(TRIM('Raw Sales'!E577)="","Unknown",PROPER(TRIM('Raw Sales'!E577)))</x:f>
        <x:v>Small Business</x:v>
      </x:c>
      <x:c r="I577" s="84" t="str">
        <x:f>PROPER(TRIM('Raw Sales'!F577))</x:f>
        <x:v>West</x:v>
      </x:c>
      <x:c r="J577" s="84" t="str">
        <x:f>PROPER(TRIM('Raw Sales'!G577))</x:f>
        <x:v>Phoenix</x:v>
      </x:c>
      <x:c r="K577" s="84" t="str">
        <x:f>PROPER(TRIM('Raw Sales'!H577))</x:f>
        <x:v>Online</x:v>
      </x:c>
      <x:c r="L577" s="84" t="str">
        <x:f>'Raw Sales'!I577</x:f>
        <x:v>OFFC-006</x:v>
      </x:c>
      <x:c r="M577" s="84" t="str">
        <x:f>IFERROR(VLOOKUP(L577,'Reference Data'!$A$5:$F$40,2,FALSE),"Unknown Product")</x:f>
        <x:v>Monitor Stand</x:v>
      </x:c>
      <x:c r="N577" s="84" t="str">
        <x:f>IFERROR(VLOOKUP(L577,'Reference Data'!$A$5:$F$40,3,FALSE),"Unknown")</x:f>
        <x:v>Office</x:v>
      </x:c>
      <x:c r="O577" s="84" t="str">
        <x:f>IFERROR(VLOOKUP(L577,'Reference Data'!$A$5:$F$40,4,FALSE),"Unknown")</x:f>
        <x:v>Desk Accessories</x:v>
      </x:c>
      <x:c r="P577" s="92" t="n">
        <x:f>IFERROR(VLOOKUP(L577,'Reference Data'!$A$5:$F$40,5,FALSE),0)</x:f>
        <x:v>49</x:v>
      </x:c>
      <x:c r="Q577" s="92" t="n">
        <x:f>IFERROR(VLOOKUP(L577,'Reference Data'!$A$5:$F$40,6,FALSE),0)</x:f>
        <x:v>21</x:v>
      </x:c>
      <x:c r="R577" s="84" t="n">
        <x:f>'Raw Sales'!J577</x:f>
        <x:v>1</x:v>
      </x:c>
      <x:c r="S577" s="87" t="n">
        <x:f>'Raw Sales'!K577</x:f>
        <x:v>0</x:v>
      </x:c>
      <x:c r="T577" s="93" t="n">
        <x:f>P577*R577</x:f>
        <x:v>49</x:v>
      </x:c>
      <x:c r="U577" s="93" t="n">
        <x:f>T577*S577</x:f>
        <x:v>0</x:v>
      </x:c>
      <x:c r="V577" s="93" t="str">
        <x:f>PROPER(TRIM('Raw Sales'!L577))</x:f>
        <x:v>Completed</x:v>
      </x:c>
      <x:c r="W577" s="93" t="n">
        <x:f>IF(V577="Returned",0,T577-U577)</x:f>
        <x:v>49</x:v>
      </x:c>
      <x:c r="X577" s="93" t="n">
        <x:f>IF(V577="Returned",Q577*R577*10%,Q577*R577)</x:f>
        <x:v>21</x:v>
      </x:c>
      <x:c r="Y577" s="93" t="n">
        <x:f>W577-X577</x:f>
        <x:v>28</x:v>
      </x:c>
      <x:c r="Z577" s="94" t="n">
        <x:f>IFERROR(Y577/W577,0)</x:f>
        <x:v>0.5714285714285714</x:v>
      </x:c>
      <x:c r="AA577" s="84" t="str">
        <x:f>PROPER(TRIM('Raw Sales'!M577))</x:f>
        <x:v>Credit Card</x:v>
      </x:c>
      <x:c r="AB577" s="84" t="str">
        <x:f>PROPER(TRIM('Raw Sales'!N577))</x:f>
        <x:v>Leo Martinez</x:v>
      </x:c>
      <x:c r="AC577" s="85" t="n">
        <x:f>'Raw Sales'!O577</x:f>
        <x:v>45510</x:v>
      </x:c>
      <x:c r="AD577" s="84" t="n">
        <x:f>AC577-B577</x:f>
        <x:v>4</x:v>
      </x:c>
      <x:c r="AE577" s="84" t="str">
        <x:f>IF(COUNTIF($A$5:A577,A577)&gt;1,"Duplicate","Keep")</x:f>
        <x:v>Keep</x:v>
      </x:c>
      <x:c r="AF577" s="84" t="str">
        <x:f>IF(OR(R577&lt;=0,AC577&lt;B577,H577="Unknown",M577="Unknown Product"),"Review","Valid")</x:f>
        <x:v>Valid</x:v>
      </x:c>
      <x:c r="AG577" s="84" t="n">
        <x:f>IF(AND(AE577="Keep",AF577="Valid"),1,0)</x:f>
        <x:v>1</x:v>
      </x:c>
      <x:c r="AH577" s="84" t="n">
        <x:f>IF(AND(AG577=1,OR('Dashboard'!$B$4="All",I577='Dashboard'!$B$4),OR('Dashboard'!$E$4="All",N577='Dashboard'!$E$4),OR('Dashboard'!$H$4="All",K577='Dashboard'!$H$4),OR('Dashboard'!$K$4="All",C577='Dashboard'!$K$4)),1,0)</x:f>
        <x:v>1</x:v>
      </x:c>
      <x:c r="AI577" s="84" t="n">
        <x:f>IF(AND(AG577=1,OR('Dashboard'!$B$4="All",I577='Dashboard'!$B$4),OR('Dashboard'!$E$4="All",N577='Dashboard'!$E$4),OR('Dashboard'!$H$4="All",K577='Dashboard'!$H$4)),1,0)</x:f>
        <x:v>1</x:v>
      </x:c>
    </x:row>
    <x:row r="578">
      <x:c r="A578" s="84" t="str">
        <x:f>'Raw Sales'!A578</x:f>
        <x:v>ORD-2024-01522</x:v>
      </x:c>
      <x:c r="B578" s="85" t="n">
        <x:f>'Raw Sales'!B578</x:f>
        <x:v>45506</x:v>
      </x:c>
      <x:c r="C578" s="84" t="n">
        <x:f>YEAR(B578)</x:f>
        <x:v>2024</x:v>
      </x:c>
      <x:c r="D578" s="91" t="n">
        <x:f>DATE(YEAR(B578),MONTH(B578),1)</x:f>
        <x:v>45505</x:v>
      </x:c>
      <x:c r="E578" s="84" t="str">
        <x:f>TEXT(B578,"mmm")</x:f>
        <x:v>Aug</x:v>
      </x:c>
      <x:c r="F578" s="84" t="str">
        <x:f>'Raw Sales'!C578</x:f>
        <x:v>CUST-0531</x:v>
      </x:c>
      <x:c r="G578" s="84" t="str">
        <x:f>PROPER(TRIM('Raw Sales'!D578))</x:f>
        <x:v>Grace Ortiz</x:v>
      </x:c>
      <x:c r="H578" s="84" t="str">
        <x:f>IF(TRIM('Raw Sales'!E578)="","Unknown",PROPER(TRIM('Raw Sales'!E578)))</x:f>
        <x:v>Small Business</x:v>
      </x:c>
      <x:c r="I578" s="84" t="str">
        <x:f>PROPER(TRIM('Raw Sales'!F578))</x:f>
        <x:v>Northeast</x:v>
      </x:c>
      <x:c r="J578" s="84" t="str">
        <x:f>PROPER(TRIM('Raw Sales'!G578))</x:f>
        <x:v>Newark</x:v>
      </x:c>
      <x:c r="K578" s="84" t="str">
        <x:f>PROPER(TRIM('Raw Sales'!H578))</x:f>
        <x:v>Retail Store</x:v>
      </x:c>
      <x:c r="L578" s="84" t="str">
        <x:f>'Raw Sales'!I578</x:f>
        <x:v>FITN-003</x:v>
      </x:c>
      <x:c r="M578" s="84" t="str">
        <x:f>IFERROR(VLOOKUP(L578,'Reference Data'!$A$5:$F$40,2,FALSE),"Unknown Product")</x:f>
        <x:v>Resistance Band Set</x:v>
      </x:c>
      <x:c r="N578" s="84" t="str">
        <x:f>IFERROR(VLOOKUP(L578,'Reference Data'!$A$5:$F$40,3,FALSE),"Unknown")</x:f>
        <x:v>Fitness</x:v>
      </x:c>
      <x:c r="O578" s="84" t="str">
        <x:f>IFERROR(VLOOKUP(L578,'Reference Data'!$A$5:$F$40,4,FALSE),"Unknown")</x:f>
        <x:v>Strength</x:v>
      </x:c>
      <x:c r="P578" s="92" t="n">
        <x:f>IFERROR(VLOOKUP(L578,'Reference Data'!$A$5:$F$40,5,FALSE),0)</x:f>
        <x:v>24</x:v>
      </x:c>
      <x:c r="Q578" s="92" t="n">
        <x:f>IFERROR(VLOOKUP(L578,'Reference Data'!$A$5:$F$40,6,FALSE),0)</x:f>
        <x:v>8</x:v>
      </x:c>
      <x:c r="R578" s="84" t="n">
        <x:f>'Raw Sales'!J578</x:f>
        <x:v>1</x:v>
      </x:c>
      <x:c r="S578" s="87" t="n">
        <x:f>'Raw Sales'!K578</x:f>
        <x:v>0.1</x:v>
      </x:c>
      <x:c r="T578" s="93" t="n">
        <x:f>P578*R578</x:f>
        <x:v>24</x:v>
      </x:c>
      <x:c r="U578" s="93" t="n">
        <x:f>T578*S578</x:f>
        <x:v>2.4000000000000004</x:v>
      </x:c>
      <x:c r="V578" s="93" t="str">
        <x:f>PROPER(TRIM('Raw Sales'!L578))</x:f>
        <x:v>Completed</x:v>
      </x:c>
      <x:c r="W578" s="93" t="n">
        <x:f>IF(V578="Returned",0,T578-U578)</x:f>
        <x:v>21.6</x:v>
      </x:c>
      <x:c r="X578" s="93" t="n">
        <x:f>IF(V578="Returned",Q578*R578*10%,Q578*R578)</x:f>
        <x:v>8</x:v>
      </x:c>
      <x:c r="Y578" s="93" t="n">
        <x:f>W578-X578</x:f>
        <x:v>13.600000000000001</x:v>
      </x:c>
      <x:c r="Z578" s="94" t="n">
        <x:f>IFERROR(Y578/W578,0)</x:f>
        <x:v>0.6296296296296297</x:v>
      </x:c>
      <x:c r="AA578" s="84" t="str">
        <x:f>PROPER(TRIM('Raw Sales'!M578))</x:f>
        <x:v>Cash</x:v>
      </x:c>
      <x:c r="AB578" s="84" t="str">
        <x:f>PROPER(TRIM('Raw Sales'!N578))</x:f>
        <x:v>Sofia Bennett</x:v>
      </x:c>
      <x:c r="AC578" s="85" t="n">
        <x:f>'Raw Sales'!O578</x:f>
        <x:v>45506</x:v>
      </x:c>
      <x:c r="AD578" s="84" t="n">
        <x:f>AC578-B578</x:f>
        <x:v>0</x:v>
      </x:c>
      <x:c r="AE578" s="84" t="str">
        <x:f>IF(COUNTIF($A$5:A578,A578)&gt;1,"Duplicate","Keep")</x:f>
        <x:v>Keep</x:v>
      </x:c>
      <x:c r="AF578" s="84" t="str">
        <x:f>IF(OR(R578&lt;=0,AC578&lt;B578,H578="Unknown",M578="Unknown Product"),"Review","Valid")</x:f>
        <x:v>Valid</x:v>
      </x:c>
      <x:c r="AG578" s="84" t="n">
        <x:f>IF(AND(AE578="Keep",AF578="Valid"),1,0)</x:f>
        <x:v>1</x:v>
      </x:c>
      <x:c r="AH578" s="84" t="n">
        <x:f>IF(AND(AG578=1,OR('Dashboard'!$B$4="All",I578='Dashboard'!$B$4),OR('Dashboard'!$E$4="All",N578='Dashboard'!$E$4),OR('Dashboard'!$H$4="All",K578='Dashboard'!$H$4),OR('Dashboard'!$K$4="All",C578='Dashboard'!$K$4)),1,0)</x:f>
        <x:v>1</x:v>
      </x:c>
      <x:c r="AI578" s="84" t="n">
        <x:f>IF(AND(AG578=1,OR('Dashboard'!$B$4="All",I578='Dashboard'!$B$4),OR('Dashboard'!$E$4="All",N578='Dashboard'!$E$4),OR('Dashboard'!$H$4="All",K578='Dashboard'!$H$4)),1,0)</x:f>
        <x:v>1</x:v>
      </x:c>
    </x:row>
    <x:row r="579">
      <x:c r="A579" s="84" t="str">
        <x:f>'Raw Sales'!A579</x:f>
        <x:v>ORD-2024-01602</x:v>
      </x:c>
      <x:c r="B579" s="85" t="n">
        <x:f>'Raw Sales'!B579</x:f>
        <x:v>45506</x:v>
      </x:c>
      <x:c r="C579" s="84" t="n">
        <x:f>YEAR(B579)</x:f>
        <x:v>2024</x:v>
      </x:c>
      <x:c r="D579" s="91" t="n">
        <x:f>DATE(YEAR(B579),MONTH(B579),1)</x:f>
        <x:v>45505</x:v>
      </x:c>
      <x:c r="E579" s="84" t="str">
        <x:f>TEXT(B579,"mmm")</x:f>
        <x:v>Aug</x:v>
      </x:c>
      <x:c r="F579" s="84" t="str">
        <x:f>'Raw Sales'!C579</x:f>
        <x:v>CUST-0479</x:v>
      </x:c>
      <x:c r="G579" s="84" t="str">
        <x:f>PROPER(TRIM('Raw Sales'!D579))</x:f>
        <x:v>Zara Taylor</x:v>
      </x:c>
      <x:c r="H579" s="84" t="str">
        <x:f>IF(TRIM('Raw Sales'!E579)="","Unknown",PROPER(TRIM('Raw Sales'!E579)))</x:f>
        <x:v>Consumer</x:v>
      </x:c>
      <x:c r="I579" s="84" t="str">
        <x:f>PROPER(TRIM('Raw Sales'!F579))</x:f>
        <x:v>West</x:v>
      </x:c>
      <x:c r="J579" s="84" t="str">
        <x:f>PROPER(TRIM('Raw Sales'!G579))</x:f>
        <x:v>Phoenix</x:v>
      </x:c>
      <x:c r="K579" s="84" t="str">
        <x:f>PROPER(TRIM('Raw Sales'!H579))</x:f>
        <x:v>Online</x:v>
      </x:c>
      <x:c r="L579" s="84" t="str">
        <x:f>'Raw Sales'!I579</x:f>
        <x:v>HOME-002</x:v>
      </x:c>
      <x:c r="M579" s="84" t="str">
        <x:f>IFERROR(VLOOKUP(L579,'Reference Data'!$A$5:$F$40,2,FALSE),"Unknown Product")</x:f>
        <x:v>Electric Kettle</x:v>
      </x:c>
      <x:c r="N579" s="84" t="str">
        <x:f>IFERROR(VLOOKUP(L579,'Reference Data'!$A$5:$F$40,3,FALSE),"Unknown")</x:f>
        <x:v>Home &amp; Kitchen</x:v>
      </x:c>
      <x:c r="O579" s="84" t="str">
        <x:f>IFERROR(VLOOKUP(L579,'Reference Data'!$A$5:$F$40,4,FALSE),"Unknown")</x:f>
        <x:v>Small Appliances</x:v>
      </x:c>
      <x:c r="P579" s="92" t="n">
        <x:f>IFERROR(VLOOKUP(L579,'Reference Data'!$A$5:$F$40,5,FALSE),0)</x:f>
        <x:v>49</x:v>
      </x:c>
      <x:c r="Q579" s="92" t="n">
        <x:f>IFERROR(VLOOKUP(L579,'Reference Data'!$A$5:$F$40,6,FALSE),0)</x:f>
        <x:v>23</x:v>
      </x:c>
      <x:c r="R579" s="84" t="n">
        <x:f>'Raw Sales'!J579</x:f>
        <x:v>3</x:v>
      </x:c>
      <x:c r="S579" s="87" t="n">
        <x:f>'Raw Sales'!K579</x:f>
        <x:v>0</x:v>
      </x:c>
      <x:c r="T579" s="93" t="n">
        <x:f>P579*R579</x:f>
        <x:v>147</x:v>
      </x:c>
      <x:c r="U579" s="93" t="n">
        <x:f>T579*S579</x:f>
        <x:v>0</x:v>
      </x:c>
      <x:c r="V579" s="93" t="str">
        <x:f>PROPER(TRIM('Raw Sales'!L579))</x:f>
        <x:v>Completed</x:v>
      </x:c>
      <x:c r="W579" s="93" t="n">
        <x:f>IF(V579="Returned",0,T579-U579)</x:f>
        <x:v>147</x:v>
      </x:c>
      <x:c r="X579" s="93" t="n">
        <x:f>IF(V579="Returned",Q579*R579*10%,Q579*R579)</x:f>
        <x:v>69</x:v>
      </x:c>
      <x:c r="Y579" s="93" t="n">
        <x:f>W579-X579</x:f>
        <x:v>78</x:v>
      </x:c>
      <x:c r="Z579" s="94" t="n">
        <x:f>IFERROR(Y579/W579,0)</x:f>
        <x:v>0.5306122448979592</x:v>
      </x:c>
      <x:c r="AA579" s="84" t="str">
        <x:f>PROPER(TRIM('Raw Sales'!M579))</x:f>
        <x:v>Credit Card</x:v>
      </x:c>
      <x:c r="AB579" s="84" t="str">
        <x:f>PROPER(TRIM('Raw Sales'!N579))</x:f>
        <x:v>Mia Chen</x:v>
      </x:c>
      <x:c r="AC579" s="85" t="n">
        <x:f>'Raw Sales'!O579</x:f>
        <x:v>45512</x:v>
      </x:c>
      <x:c r="AD579" s="84" t="n">
        <x:f>AC579-B579</x:f>
        <x:v>6</x:v>
      </x:c>
      <x:c r="AE579" s="84" t="str">
        <x:f>IF(COUNTIF($A$5:A579,A579)&gt;1,"Duplicate","Keep")</x:f>
        <x:v>Keep</x:v>
      </x:c>
      <x:c r="AF579" s="84" t="str">
        <x:f>IF(OR(R579&lt;=0,AC579&lt;B579,H579="Unknown",M579="Unknown Product"),"Review","Valid")</x:f>
        <x:v>Valid</x:v>
      </x:c>
      <x:c r="AG579" s="84" t="n">
        <x:f>IF(AND(AE579="Keep",AF579="Valid"),1,0)</x:f>
        <x:v>1</x:v>
      </x:c>
      <x:c r="AH579" s="84" t="n">
        <x:f>IF(AND(AG579=1,OR('Dashboard'!$B$4="All",I579='Dashboard'!$B$4),OR('Dashboard'!$E$4="All",N579='Dashboard'!$E$4),OR('Dashboard'!$H$4="All",K579='Dashboard'!$H$4),OR('Dashboard'!$K$4="All",C579='Dashboard'!$K$4)),1,0)</x:f>
        <x:v>1</x:v>
      </x:c>
      <x:c r="AI579" s="84" t="n">
        <x:f>IF(AND(AG579=1,OR('Dashboard'!$B$4="All",I579='Dashboard'!$B$4),OR('Dashboard'!$E$4="All",N579='Dashboard'!$E$4),OR('Dashboard'!$H$4="All",K579='Dashboard'!$H$4)),1,0)</x:f>
        <x:v>1</x:v>
      </x:c>
    </x:row>
    <x:row r="580">
      <x:c r="A580" s="84" t="str">
        <x:f>'Raw Sales'!A580</x:f>
        <x:v>ORD-2024-00629</x:v>
      </x:c>
      <x:c r="B580" s="85" t="n">
        <x:f>'Raw Sales'!B580</x:f>
        <x:v>45507</x:v>
      </x:c>
      <x:c r="C580" s="84" t="n">
        <x:f>YEAR(B580)</x:f>
        <x:v>2024</x:v>
      </x:c>
      <x:c r="D580" s="91" t="n">
        <x:f>DATE(YEAR(B580),MONTH(B580),1)</x:f>
        <x:v>45505</x:v>
      </x:c>
      <x:c r="E580" s="84" t="str">
        <x:f>TEXT(B580,"mmm")</x:f>
        <x:v>Aug</x:v>
      </x:c>
      <x:c r="F580" s="84" t="str">
        <x:f>'Raw Sales'!C580</x:f>
        <x:v>CUST-0373</x:v>
      </x:c>
      <x:c r="G580" s="84" t="str">
        <x:f>PROPER(TRIM('Raw Sales'!D580))</x:f>
        <x:v>Caleb Taylor</x:v>
      </x:c>
      <x:c r="H580" s="84" t="str">
        <x:f>IF(TRIM('Raw Sales'!E580)="","Unknown",PROPER(TRIM('Raw Sales'!E580)))</x:f>
        <x:v>Corporate</x:v>
      </x:c>
      <x:c r="I580" s="84" t="str">
        <x:f>PROPER(TRIM('Raw Sales'!F580))</x:f>
        <x:v>Midwest</x:v>
      </x:c>
      <x:c r="J580" s="84" t="str">
        <x:f>PROPER(TRIM('Raw Sales'!G580))</x:f>
        <x:v>Columbus</x:v>
      </x:c>
      <x:c r="K580" s="84" t="str">
        <x:f>PROPER(TRIM('Raw Sales'!H580))</x:f>
        <x:v>Retail Store</x:v>
      </x:c>
      <x:c r="L580" s="84" t="str">
        <x:f>'Raw Sales'!I580</x:f>
        <x:v>FITN-001</x:v>
      </x:c>
      <x:c r="M580" s="84" t="str">
        <x:f>IFERROR(VLOOKUP(L580,'Reference Data'!$A$5:$F$40,2,FALSE),"Unknown Product")</x:f>
        <x:v>Yoga Mat</x:v>
      </x:c>
      <x:c r="N580" s="84" t="str">
        <x:f>IFERROR(VLOOKUP(L580,'Reference Data'!$A$5:$F$40,3,FALSE),"Unknown")</x:f>
        <x:v>Fitness</x:v>
      </x:c>
      <x:c r="O580" s="84" t="str">
        <x:f>IFERROR(VLOOKUP(L580,'Reference Data'!$A$5:$F$40,4,FALSE),"Unknown")</x:f>
        <x:v>Yoga</x:v>
      </x:c>
      <x:c r="P580" s="92" t="n">
        <x:f>IFERROR(VLOOKUP(L580,'Reference Data'!$A$5:$F$40,5,FALSE),0)</x:f>
        <x:v>35</x:v>
      </x:c>
      <x:c r="Q580" s="92" t="n">
        <x:f>IFERROR(VLOOKUP(L580,'Reference Data'!$A$5:$F$40,6,FALSE),0)</x:f>
        <x:v>13</x:v>
      </x:c>
      <x:c r="R580" s="84" t="n">
        <x:f>'Raw Sales'!J580</x:f>
        <x:v>4</x:v>
      </x:c>
      <x:c r="S580" s="87" t="n">
        <x:f>'Raw Sales'!K580</x:f>
        <x:v>0.2</x:v>
      </x:c>
      <x:c r="T580" s="93" t="n">
        <x:f>P580*R580</x:f>
        <x:v>140</x:v>
      </x:c>
      <x:c r="U580" s="93" t="n">
        <x:f>T580*S580</x:f>
        <x:v>28</x:v>
      </x:c>
      <x:c r="V580" s="93" t="str">
        <x:f>PROPER(TRIM('Raw Sales'!L580))</x:f>
        <x:v>Completed</x:v>
      </x:c>
      <x:c r="W580" s="93" t="n">
        <x:f>IF(V580="Returned",0,T580-U580)</x:f>
        <x:v>112</x:v>
      </x:c>
      <x:c r="X580" s="93" t="n">
        <x:f>IF(V580="Returned",Q580*R580*10%,Q580*R580)</x:f>
        <x:v>52</x:v>
      </x:c>
      <x:c r="Y580" s="93" t="n">
        <x:f>W580-X580</x:f>
        <x:v>60</x:v>
      </x:c>
      <x:c r="Z580" s="94" t="n">
        <x:f>IFERROR(Y580/W580,0)</x:f>
        <x:v>0.5357142857142857</x:v>
      </x:c>
      <x:c r="AA580" s="84" t="str">
        <x:f>PROPER(TRIM('Raw Sales'!M580))</x:f>
        <x:v>Credit Card</x:v>
      </x:c>
      <x:c r="AB580" s="84" t="str">
        <x:f>PROPER(TRIM('Raw Sales'!N580))</x:f>
        <x:v>Lucas Grant</x:v>
      </x:c>
      <x:c r="AC580" s="85" t="n">
        <x:f>'Raw Sales'!O580</x:f>
        <x:v>45507</x:v>
      </x:c>
      <x:c r="AD580" s="84" t="n">
        <x:f>AC580-B580</x:f>
        <x:v>0</x:v>
      </x:c>
      <x:c r="AE580" s="84" t="str">
        <x:f>IF(COUNTIF($A$5:A580,A580)&gt;1,"Duplicate","Keep")</x:f>
        <x:v>Keep</x:v>
      </x:c>
      <x:c r="AF580" s="84" t="str">
        <x:f>IF(OR(R580&lt;=0,AC580&lt;B580,H580="Unknown",M580="Unknown Product"),"Review","Valid")</x:f>
        <x:v>Valid</x:v>
      </x:c>
      <x:c r="AG580" s="84" t="n">
        <x:f>IF(AND(AE580="Keep",AF580="Valid"),1,0)</x:f>
        <x:v>1</x:v>
      </x:c>
      <x:c r="AH580" s="84" t="n">
        <x:f>IF(AND(AG580=1,OR('Dashboard'!$B$4="All",I580='Dashboard'!$B$4),OR('Dashboard'!$E$4="All",N580='Dashboard'!$E$4),OR('Dashboard'!$H$4="All",K580='Dashboard'!$H$4),OR('Dashboard'!$K$4="All",C580='Dashboard'!$K$4)),1,0)</x:f>
        <x:v>1</x:v>
      </x:c>
      <x:c r="AI580" s="84" t="n">
        <x:f>IF(AND(AG580=1,OR('Dashboard'!$B$4="All",I580='Dashboard'!$B$4),OR('Dashboard'!$E$4="All",N580='Dashboard'!$E$4),OR('Dashboard'!$H$4="All",K580='Dashboard'!$H$4)),1,0)</x:f>
        <x:v>1</x:v>
      </x:c>
    </x:row>
    <x:row r="581">
      <x:c r="A581" s="84" t="str">
        <x:f>'Raw Sales'!A581</x:f>
        <x:v>ORD-2024-00788</x:v>
      </x:c>
      <x:c r="B581" s="85" t="n">
        <x:f>'Raw Sales'!B581</x:f>
        <x:v>45507</x:v>
      </x:c>
      <x:c r="C581" s="84" t="n">
        <x:f>YEAR(B581)</x:f>
        <x:v>2024</x:v>
      </x:c>
      <x:c r="D581" s="91" t="n">
        <x:f>DATE(YEAR(B581),MONTH(B581),1)</x:f>
        <x:v>45505</x:v>
      </x:c>
      <x:c r="E581" s="84" t="str">
        <x:f>TEXT(B581,"mmm")</x:f>
        <x:v>Aug</x:v>
      </x:c>
      <x:c r="F581" s="84" t="str">
        <x:f>'Raw Sales'!C581</x:f>
        <x:v>CUST-0154</x:v>
      </x:c>
      <x:c r="G581" s="84" t="str">
        <x:f>PROPER(TRIM('Raw Sales'!D581))</x:f>
        <x:v>Priya Moore</x:v>
      </x:c>
      <x:c r="H581" s="84" t="str">
        <x:f>IF(TRIM('Raw Sales'!E581)="","Unknown",PROPER(TRIM('Raw Sales'!E581)))</x:f>
        <x:v>Consumer</x:v>
      </x:c>
      <x:c r="I581" s="84" t="str">
        <x:f>PROPER(TRIM('Raw Sales'!F581))</x:f>
        <x:v>West</x:v>
      </x:c>
      <x:c r="J581" s="84" t="str">
        <x:f>PROPER(TRIM('Raw Sales'!G581))</x:f>
        <x:v>Denver</x:v>
      </x:c>
      <x:c r="K581" s="84" t="str">
        <x:f>PROPER(TRIM('Raw Sales'!H581))</x:f>
        <x:v>Online</x:v>
      </x:c>
      <x:c r="L581" s="84" t="str">
        <x:f>'Raw Sales'!I581</x:f>
        <x:v>ELEC-002</x:v>
      </x:c>
      <x:c r="M581" s="84" t="str">
        <x:f>IFERROR(VLOOKUP(L581,'Reference Data'!$A$5:$F$40,2,FALSE),"Unknown Product")</x:f>
        <x:v>Smartwatch</x:v>
      </x:c>
      <x:c r="N581" s="84" t="str">
        <x:f>IFERROR(VLOOKUP(L581,'Reference Data'!$A$5:$F$40,3,FALSE),"Unknown")</x:f>
        <x:v>Electronics</x:v>
      </x:c>
      <x:c r="O581" s="84" t="str">
        <x:f>IFERROR(VLOOKUP(L581,'Reference Data'!$A$5:$F$40,4,FALSE),"Unknown")</x:f>
        <x:v>Wearables</x:v>
      </x:c>
      <x:c r="P581" s="92" t="n">
        <x:f>IFERROR(VLOOKUP(L581,'Reference Data'!$A$5:$F$40,5,FALSE),0)</x:f>
        <x:v>159</x:v>
      </x:c>
      <x:c r="Q581" s="92" t="n">
        <x:f>IFERROR(VLOOKUP(L581,'Reference Data'!$A$5:$F$40,6,FALSE),0)</x:f>
        <x:v>92</x:v>
      </x:c>
      <x:c r="R581" s="84" t="n">
        <x:f>'Raw Sales'!J581</x:f>
        <x:v>2</x:v>
      </x:c>
      <x:c r="S581" s="87" t="n">
        <x:f>'Raw Sales'!K581</x:f>
        <x:v>0.1</x:v>
      </x:c>
      <x:c r="T581" s="93" t="n">
        <x:f>P581*R581</x:f>
        <x:v>318</x:v>
      </x:c>
      <x:c r="U581" s="93" t="n">
        <x:f>T581*S581</x:f>
        <x:v>31.8</x:v>
      </x:c>
      <x:c r="V581" s="93" t="str">
        <x:f>PROPER(TRIM('Raw Sales'!L581))</x:f>
        <x:v>Completed</x:v>
      </x:c>
      <x:c r="W581" s="93" t="n">
        <x:f>IF(V581="Returned",0,T581-U581)</x:f>
        <x:v>286.2</x:v>
      </x:c>
      <x:c r="X581" s="93" t="n">
        <x:f>IF(V581="Returned",Q581*R581*10%,Q581*R581)</x:f>
        <x:v>184</x:v>
      </x:c>
      <x:c r="Y581" s="93" t="n">
        <x:f>W581-X581</x:f>
        <x:v>102.19999999999999</x:v>
      </x:c>
      <x:c r="Z581" s="94" t="n">
        <x:f>IFERROR(Y581/W581,0)</x:f>
        <x:v>0.35709294199860236</x:v>
      </x:c>
      <x:c r="AA581" s="84" t="str">
        <x:f>PROPER(TRIM('Raw Sales'!M581))</x:f>
        <x:v>Mobile Wallet</x:v>
      </x:c>
      <x:c r="AB581" s="84" t="str">
        <x:f>PROPER(TRIM('Raw Sales'!N581))</x:f>
        <x:v>Mia Chen</x:v>
      </x:c>
      <x:c r="AC581" s="85" t="n">
        <x:f>'Raw Sales'!O581</x:f>
        <x:v>45513</x:v>
      </x:c>
      <x:c r="AD581" s="84" t="n">
        <x:f>AC581-B581</x:f>
        <x:v>6</x:v>
      </x:c>
      <x:c r="AE581" s="84" t="str">
        <x:f>IF(COUNTIF($A$5:A581,A581)&gt;1,"Duplicate","Keep")</x:f>
        <x:v>Keep</x:v>
      </x:c>
      <x:c r="AF581" s="84" t="str">
        <x:f>IF(OR(R581&lt;=0,AC581&lt;B581,H581="Unknown",M581="Unknown Product"),"Review","Valid")</x:f>
        <x:v>Valid</x:v>
      </x:c>
      <x:c r="AG581" s="84" t="n">
        <x:f>IF(AND(AE581="Keep",AF581="Valid"),1,0)</x:f>
        <x:v>1</x:v>
      </x:c>
      <x:c r="AH581" s="84" t="n">
        <x:f>IF(AND(AG581=1,OR('Dashboard'!$B$4="All",I581='Dashboard'!$B$4),OR('Dashboard'!$E$4="All",N581='Dashboard'!$E$4),OR('Dashboard'!$H$4="All",K581='Dashboard'!$H$4),OR('Dashboard'!$K$4="All",C581='Dashboard'!$K$4)),1,0)</x:f>
        <x:v>1</x:v>
      </x:c>
      <x:c r="AI581" s="84" t="n">
        <x:f>IF(AND(AG581=1,OR('Dashboard'!$B$4="All",I581='Dashboard'!$B$4),OR('Dashboard'!$E$4="All",N581='Dashboard'!$E$4),OR('Dashboard'!$H$4="All",K581='Dashboard'!$H$4)),1,0)</x:f>
        <x:v>1</x:v>
      </x:c>
    </x:row>
    <x:row r="582">
      <x:c r="A582" s="84" t="str">
        <x:f>'Raw Sales'!A582</x:f>
        <x:v>ORD-2024-01860</x:v>
      </x:c>
      <x:c r="B582" s="85" t="n">
        <x:f>'Raw Sales'!B582</x:f>
        <x:v>45507</x:v>
      </x:c>
      <x:c r="C582" s="84" t="n">
        <x:f>YEAR(B582)</x:f>
        <x:v>2024</x:v>
      </x:c>
      <x:c r="D582" s="91" t="n">
        <x:f>DATE(YEAR(B582),MONTH(B582),1)</x:f>
        <x:v>45505</x:v>
      </x:c>
      <x:c r="E582" s="84" t="str">
        <x:f>TEXT(B582,"mmm")</x:f>
        <x:v>Aug</x:v>
      </x:c>
      <x:c r="F582" s="84" t="str">
        <x:f>'Raw Sales'!C582</x:f>
        <x:v>CUST-0305</x:v>
      </x:c>
      <x:c r="G582" s="84" t="str">
        <x:f>PROPER(TRIM('Raw Sales'!D582))</x:f>
        <x:v>Theo Young</x:v>
      </x:c>
      <x:c r="H582" s="84" t="str">
        <x:f>IF(TRIM('Raw Sales'!E582)="","Unknown",PROPER(TRIM('Raw Sales'!E582)))</x:f>
        <x:v>Consumer</x:v>
      </x:c>
      <x:c r="I582" s="84" t="str">
        <x:f>PROPER(TRIM('Raw Sales'!F582))</x:f>
        <x:v>Midwest</x:v>
      </x:c>
      <x:c r="J582" s="84" t="str">
        <x:f>PROPER(TRIM('Raw Sales'!G582))</x:f>
        <x:v>Minneapolis</x:v>
      </x:c>
      <x:c r="K582" s="84" t="str">
        <x:f>PROPER(TRIM('Raw Sales'!H582))</x:f>
        <x:v>Online</x:v>
      </x:c>
      <x:c r="L582" s="84" t="str">
        <x:f>'Raw Sales'!I582</x:f>
        <x:v>ELEC-001</x:v>
      </x:c>
      <x:c r="M582" s="84" t="str">
        <x:f>IFERROR(VLOOKUP(L582,'Reference Data'!$A$5:$F$40,2,FALSE),"Unknown Product")</x:f>
        <x:v>Wireless Earbuds</x:v>
      </x:c>
      <x:c r="N582" s="84" t="str">
        <x:f>IFERROR(VLOOKUP(L582,'Reference Data'!$A$5:$F$40,3,FALSE),"Unknown")</x:f>
        <x:v>Electronics</x:v>
      </x:c>
      <x:c r="O582" s="84" t="str">
        <x:f>IFERROR(VLOOKUP(L582,'Reference Data'!$A$5:$F$40,4,FALSE),"Unknown")</x:f>
        <x:v>Audio</x:v>
      </x:c>
      <x:c r="P582" s="92" t="n">
        <x:f>IFERROR(VLOOKUP(L582,'Reference Data'!$A$5:$F$40,5,FALSE),0)</x:f>
        <x:v>69</x:v>
      </x:c>
      <x:c r="Q582" s="92" t="n">
        <x:f>IFERROR(VLOOKUP(L582,'Reference Data'!$A$5:$F$40,6,FALSE),0)</x:f>
        <x:v>36</x:v>
      </x:c>
      <x:c r="R582" s="84" t="n">
        <x:f>'Raw Sales'!J582</x:f>
        <x:v>2</x:v>
      </x:c>
      <x:c r="S582" s="87" t="n">
        <x:f>'Raw Sales'!K582</x:f>
        <x:v>0.1</x:v>
      </x:c>
      <x:c r="T582" s="93" t="n">
        <x:f>P582*R582</x:f>
        <x:v>138</x:v>
      </x:c>
      <x:c r="U582" s="93" t="n">
        <x:f>T582*S582</x:f>
        <x:v>13.8</x:v>
      </x:c>
      <x:c r="V582" s="93" t="str">
        <x:f>PROPER(TRIM('Raw Sales'!L582))</x:f>
        <x:v>Completed</x:v>
      </x:c>
      <x:c r="W582" s="93" t="n">
        <x:f>IF(V582="Returned",0,T582-U582)</x:f>
        <x:v>124.2</x:v>
      </x:c>
      <x:c r="X582" s="93" t="n">
        <x:f>IF(V582="Returned",Q582*R582*10%,Q582*R582)</x:f>
        <x:v>72</x:v>
      </x:c>
      <x:c r="Y582" s="93" t="n">
        <x:f>W582-X582</x:f>
        <x:v>52.2</x:v>
      </x:c>
      <x:c r="Z582" s="94" t="n">
        <x:f>IFERROR(Y582/W582,0)</x:f>
        <x:v>0.4202898550724638</x:v>
      </x:c>
      <x:c r="AA582" s="84" t="str">
        <x:f>PROPER(TRIM('Raw Sales'!M582))</x:f>
        <x:v>Debit Card</x:v>
      </x:c>
      <x:c r="AB582" s="84" t="str">
        <x:f>PROPER(TRIM('Raw Sales'!N582))</x:f>
        <x:v>Emma Hayes</x:v>
      </x:c>
      <x:c r="AC582" s="85" t="n">
        <x:f>'Raw Sales'!O582</x:f>
        <x:v>45510</x:v>
      </x:c>
      <x:c r="AD582" s="84" t="n">
        <x:f>AC582-B582</x:f>
        <x:v>3</x:v>
      </x:c>
      <x:c r="AE582" s="84" t="str">
        <x:f>IF(COUNTIF($A$5:A582,A582)&gt;1,"Duplicate","Keep")</x:f>
        <x:v>Keep</x:v>
      </x:c>
      <x:c r="AF582" s="84" t="str">
        <x:f>IF(OR(R582&lt;=0,AC582&lt;B582,H582="Unknown",M582="Unknown Product"),"Review","Valid")</x:f>
        <x:v>Valid</x:v>
      </x:c>
      <x:c r="AG582" s="84" t="n">
        <x:f>IF(AND(AE582="Keep",AF582="Valid"),1,0)</x:f>
        <x:v>1</x:v>
      </x:c>
      <x:c r="AH582" s="84" t="n">
        <x:f>IF(AND(AG582=1,OR('Dashboard'!$B$4="All",I582='Dashboard'!$B$4),OR('Dashboard'!$E$4="All",N582='Dashboard'!$E$4),OR('Dashboard'!$H$4="All",K582='Dashboard'!$H$4),OR('Dashboard'!$K$4="All",C582='Dashboard'!$K$4)),1,0)</x:f>
        <x:v>1</x:v>
      </x:c>
      <x:c r="AI582" s="84" t="n">
        <x:f>IF(AND(AG582=1,OR('Dashboard'!$B$4="All",I582='Dashboard'!$B$4),OR('Dashboard'!$E$4="All",N582='Dashboard'!$E$4),OR('Dashboard'!$H$4="All",K582='Dashboard'!$H$4)),1,0)</x:f>
        <x:v>1</x:v>
      </x:c>
    </x:row>
    <x:row r="583">
      <x:c r="A583" s="84" t="str">
        <x:f>'Raw Sales'!A583</x:f>
        <x:v>ORD-2024-01850</x:v>
      </x:c>
      <x:c r="B583" s="85" t="n">
        <x:f>'Raw Sales'!B583</x:f>
        <x:v>45508</x:v>
      </x:c>
      <x:c r="C583" s="84" t="n">
        <x:f>YEAR(B583)</x:f>
        <x:v>2024</x:v>
      </x:c>
      <x:c r="D583" s="91" t="n">
        <x:f>DATE(YEAR(B583),MONTH(B583),1)</x:f>
        <x:v>45505</x:v>
      </x:c>
      <x:c r="E583" s="84" t="str">
        <x:f>TEXT(B583,"mmm")</x:f>
        <x:v>Aug</x:v>
      </x:c>
      <x:c r="F583" s="84" t="str">
        <x:f>'Raw Sales'!C583</x:f>
        <x:v>CUST-0114</x:v>
      </x:c>
      <x:c r="G583" s="84" t="str">
        <x:f>PROPER(TRIM('Raw Sales'!D583))</x:f>
        <x:v>Amelia Smith</x:v>
      </x:c>
      <x:c r="H583" s="84" t="str">
        <x:f>IF(TRIM('Raw Sales'!E583)="","Unknown",PROPER(TRIM('Raw Sales'!E583)))</x:f>
        <x:v>Corporate</x:v>
      </x:c>
      <x:c r="I583" s="84" t="str">
        <x:f>PROPER(TRIM('Raw Sales'!F583))</x:f>
        <x:v>Midwest</x:v>
      </x:c>
      <x:c r="J583" s="84" t="str">
        <x:f>PROPER(TRIM('Raw Sales'!G583))</x:f>
        <x:v>Minneapolis</x:v>
      </x:c>
      <x:c r="K583" s="84" t="str">
        <x:f>PROPER(TRIM('Raw Sales'!H583))</x:f>
        <x:v>Marketplace</x:v>
      </x:c>
      <x:c r="L583" s="84" t="str">
        <x:f>'Raw Sales'!I583</x:f>
        <x:v>ACCS-002</x:v>
      </x:c>
      <x:c r="M583" s="84" t="str">
        <x:f>IFERROR(VLOOKUP(L583,'Reference Data'!$A$5:$F$40,2,FALSE),"Unknown Product")</x:f>
        <x:v>Travel Backpack</x:v>
      </x:c>
      <x:c r="N583" s="84" t="str">
        <x:f>IFERROR(VLOOKUP(L583,'Reference Data'!$A$5:$F$40,3,FALSE),"Unknown")</x:f>
        <x:v>Accessories</x:v>
      </x:c>
      <x:c r="O583" s="84" t="str">
        <x:f>IFERROR(VLOOKUP(L583,'Reference Data'!$A$5:$F$40,4,FALSE),"Unknown")</x:f>
        <x:v>Bags</x:v>
      </x:c>
      <x:c r="P583" s="92" t="n">
        <x:f>IFERROR(VLOOKUP(L583,'Reference Data'!$A$5:$F$40,5,FALSE),0)</x:f>
        <x:v>89</x:v>
      </x:c>
      <x:c r="Q583" s="92" t="n">
        <x:f>IFERROR(VLOOKUP(L583,'Reference Data'!$A$5:$F$40,6,FALSE),0)</x:f>
        <x:v>36</x:v>
      </x:c>
      <x:c r="R583" s="84" t="n">
        <x:f>'Raw Sales'!J583</x:f>
        <x:v>8</x:v>
      </x:c>
      <x:c r="S583" s="87" t="n">
        <x:f>'Raw Sales'!K583</x:f>
        <x:v>0.1</x:v>
      </x:c>
      <x:c r="T583" s="93" t="n">
        <x:f>P583*R583</x:f>
        <x:v>712</x:v>
      </x:c>
      <x:c r="U583" s="93" t="n">
        <x:f>T583*S583</x:f>
        <x:v>71.2</x:v>
      </x:c>
      <x:c r="V583" s="93" t="str">
        <x:f>PROPER(TRIM('Raw Sales'!L583))</x:f>
        <x:v>Returned</x:v>
      </x:c>
      <x:c r="W583" s="93" t="n">
        <x:f>IF(V583="Returned",0,T583-U583)</x:f>
        <x:v>0</x:v>
      </x:c>
      <x:c r="X583" s="93" t="n">
        <x:f>IF(V583="Returned",Q583*R583*10%,Q583*R583)</x:f>
        <x:v>28.8</x:v>
      </x:c>
      <x:c r="Y583" s="93" t="n">
        <x:f>W583-X583</x:f>
        <x:v>-28.8</x:v>
      </x:c>
      <x:c r="Z583" s="94" t="n">
        <x:f>IFERROR(Y583/W583,0)</x:f>
        <x:v>0</x:v>
      </x:c>
      <x:c r="AA583" s="84" t="str">
        <x:f>PROPER(TRIM('Raw Sales'!M583))</x:f>
        <x:v>Mobile Wallet</x:v>
      </x:c>
      <x:c r="AB583" s="84" t="str">
        <x:f>PROPER(TRIM('Raw Sales'!N583))</x:f>
        <x:v>Emma Hayes</x:v>
      </x:c>
      <x:c r="AC583" s="85" t="n">
        <x:f>'Raw Sales'!O583</x:f>
        <x:v>45512</x:v>
      </x:c>
      <x:c r="AD583" s="84" t="n">
        <x:f>AC583-B583</x:f>
        <x:v>4</x:v>
      </x:c>
      <x:c r="AE583" s="84" t="str">
        <x:f>IF(COUNTIF($A$5:A583,A583)&gt;1,"Duplicate","Keep")</x:f>
        <x:v>Keep</x:v>
      </x:c>
      <x:c r="AF583" s="84" t="str">
        <x:f>IF(OR(R583&lt;=0,AC583&lt;B583,H583="Unknown",M583="Unknown Product"),"Review","Valid")</x:f>
        <x:v>Valid</x:v>
      </x:c>
      <x:c r="AG583" s="84" t="n">
        <x:f>IF(AND(AE583="Keep",AF583="Valid"),1,0)</x:f>
        <x:v>1</x:v>
      </x:c>
      <x:c r="AH583" s="84" t="n">
        <x:f>IF(AND(AG583=1,OR('Dashboard'!$B$4="All",I583='Dashboard'!$B$4),OR('Dashboard'!$E$4="All",N583='Dashboard'!$E$4),OR('Dashboard'!$H$4="All",K583='Dashboard'!$H$4),OR('Dashboard'!$K$4="All",C583='Dashboard'!$K$4)),1,0)</x:f>
        <x:v>1</x:v>
      </x:c>
      <x:c r="AI583" s="84" t="n">
        <x:f>IF(AND(AG583=1,OR('Dashboard'!$B$4="All",I583='Dashboard'!$B$4),OR('Dashboard'!$E$4="All",N583='Dashboard'!$E$4),OR('Dashboard'!$H$4="All",K583='Dashboard'!$H$4)),1,0)</x:f>
        <x:v>1</x:v>
      </x:c>
    </x:row>
    <x:row r="584">
      <x:c r="A584" s="84" t="str">
        <x:f>'Raw Sales'!A584</x:f>
        <x:v>ORD-2024-00627</x:v>
      </x:c>
      <x:c r="B584" s="85" t="n">
        <x:f>'Raw Sales'!B584</x:f>
        <x:v>45509</x:v>
      </x:c>
      <x:c r="C584" s="84" t="n">
        <x:f>YEAR(B584)</x:f>
        <x:v>2024</x:v>
      </x:c>
      <x:c r="D584" s="91" t="n">
        <x:f>DATE(YEAR(B584),MONTH(B584),1)</x:f>
        <x:v>45505</x:v>
      </x:c>
      <x:c r="E584" s="84" t="str">
        <x:f>TEXT(B584,"mmm")</x:f>
        <x:v>Aug</x:v>
      </x:c>
      <x:c r="F584" s="84" t="str">
        <x:f>'Raw Sales'!C584</x:f>
        <x:v>CUST-0458</x:v>
      </x:c>
      <x:c r="G584" s="84" t="str">
        <x:f>PROPER(TRIM('Raw Sales'!D584))</x:f>
        <x:v>Samuel Carter</x:v>
      </x:c>
      <x:c r="H584" s="84" t="str">
        <x:f>IF(TRIM('Raw Sales'!E584)="","Unknown",PROPER(TRIM('Raw Sales'!E584)))</x:f>
        <x:v>Consumer</x:v>
      </x:c>
      <x:c r="I584" s="84" t="str">
        <x:f>PROPER(TRIM('Raw Sales'!F584))</x:f>
        <x:v>Southeast</x:v>
      </x:c>
      <x:c r="J584" s="84" t="str">
        <x:f>PROPER(TRIM('Raw Sales'!G584))</x:f>
        <x:v>Atlanta</x:v>
      </x:c>
      <x:c r="K584" s="84" t="str">
        <x:f>PROPER(TRIM('Raw Sales'!H584))</x:f>
        <x:v>Retail Store</x:v>
      </x:c>
      <x:c r="L584" s="84" t="str">
        <x:f>'Raw Sales'!I584</x:f>
        <x:v>CARE-005</x:v>
      </x:c>
      <x:c r="M584" s="84" t="str">
        <x:f>IFERROR(VLOOKUP(L584,'Reference Data'!$A$5:$F$40,2,FALSE),"Unknown Product")</x:f>
        <x:v>Skin Care Starter Kit</x:v>
      </x:c>
      <x:c r="N584" s="84" t="str">
        <x:f>IFERROR(VLOOKUP(L584,'Reference Data'!$A$5:$F$40,3,FALSE),"Unknown")</x:f>
        <x:v>Personal Care</x:v>
      </x:c>
      <x:c r="O584" s="84" t="str">
        <x:f>IFERROR(VLOOKUP(L584,'Reference Data'!$A$5:$F$40,4,FALSE),"Unknown")</x:f>
        <x:v>Skin Care</x:v>
      </x:c>
      <x:c r="P584" s="92" t="n">
        <x:f>IFERROR(VLOOKUP(L584,'Reference Data'!$A$5:$F$40,5,FALSE),0)</x:f>
        <x:v>58</x:v>
      </x:c>
      <x:c r="Q584" s="92" t="n">
        <x:f>IFERROR(VLOOKUP(L584,'Reference Data'!$A$5:$F$40,6,FALSE),0)</x:f>
        <x:v>24</x:v>
      </x:c>
      <x:c r="R584" s="84" t="n">
        <x:f>'Raw Sales'!J584</x:f>
        <x:v>1</x:v>
      </x:c>
      <x:c r="S584" s="87" t="n">
        <x:f>'Raw Sales'!K584</x:f>
        <x:v>0.05</x:v>
      </x:c>
      <x:c r="T584" s="93" t="n">
        <x:f>P584*R584</x:f>
        <x:v>58</x:v>
      </x:c>
      <x:c r="U584" s="93" t="n">
        <x:f>T584*S584</x:f>
        <x:v>2.9000000000000004</x:v>
      </x:c>
      <x:c r="V584" s="93" t="str">
        <x:f>PROPER(TRIM('Raw Sales'!L584))</x:f>
        <x:v>Completed</x:v>
      </x:c>
      <x:c r="W584" s="93" t="n">
        <x:f>IF(V584="Returned",0,T584-U584)</x:f>
        <x:v>55.1</x:v>
      </x:c>
      <x:c r="X584" s="93" t="n">
        <x:f>IF(V584="Returned",Q584*R584*10%,Q584*R584)</x:f>
        <x:v>24</x:v>
      </x:c>
      <x:c r="Y584" s="93" t="n">
        <x:f>W584-X584</x:f>
        <x:v>31.1</x:v>
      </x:c>
      <x:c r="Z584" s="94" t="n">
        <x:f>IFERROR(Y584/W584,0)</x:f>
        <x:v>0.5644283121597097</x:v>
      </x:c>
      <x:c r="AA584" s="84" t="str">
        <x:f>PROPER(TRIM('Raw Sales'!M584))</x:f>
        <x:v>Cash</x:v>
      </x:c>
      <x:c r="AB584" s="84" t="str">
        <x:f>PROPER(TRIM('Raw Sales'!N584))</x:f>
        <x:v>Liam Parker</x:v>
      </x:c>
      <x:c r="AC584" s="85" t="n">
        <x:f>'Raw Sales'!O584</x:f>
        <x:v>45510</x:v>
      </x:c>
      <x:c r="AD584" s="84" t="n">
        <x:f>AC584-B584</x:f>
        <x:v>1</x:v>
      </x:c>
      <x:c r="AE584" s="84" t="str">
        <x:f>IF(COUNTIF($A$5:A584,A584)&gt;1,"Duplicate","Keep")</x:f>
        <x:v>Keep</x:v>
      </x:c>
      <x:c r="AF584" s="84" t="str">
        <x:f>IF(OR(R584&lt;=0,AC584&lt;B584,H584="Unknown",M584="Unknown Product"),"Review","Valid")</x:f>
        <x:v>Valid</x:v>
      </x:c>
      <x:c r="AG584" s="84" t="n">
        <x:f>IF(AND(AE584="Keep",AF584="Valid"),1,0)</x:f>
        <x:v>1</x:v>
      </x:c>
      <x:c r="AH584" s="84" t="n">
        <x:f>IF(AND(AG584=1,OR('Dashboard'!$B$4="All",I584='Dashboard'!$B$4),OR('Dashboard'!$E$4="All",N584='Dashboard'!$E$4),OR('Dashboard'!$H$4="All",K584='Dashboard'!$H$4),OR('Dashboard'!$K$4="All",C584='Dashboard'!$K$4)),1,0)</x:f>
        <x:v>1</x:v>
      </x:c>
      <x:c r="AI584" s="84" t="n">
        <x:f>IF(AND(AG584=1,OR('Dashboard'!$B$4="All",I584='Dashboard'!$B$4),OR('Dashboard'!$E$4="All",N584='Dashboard'!$E$4),OR('Dashboard'!$H$4="All",K584='Dashboard'!$H$4)),1,0)</x:f>
        <x:v>1</x:v>
      </x:c>
    </x:row>
    <x:row r="585">
      <x:c r="A585" s="84" t="str">
        <x:f>'Raw Sales'!A585</x:f>
        <x:v>ORD-2024-00899</x:v>
      </x:c>
      <x:c r="B585" s="85" t="n">
        <x:f>'Raw Sales'!B585</x:f>
        <x:v>45509</x:v>
      </x:c>
      <x:c r="C585" s="84" t="n">
        <x:f>YEAR(B585)</x:f>
        <x:v>2024</x:v>
      </x:c>
      <x:c r="D585" s="91" t="n">
        <x:f>DATE(YEAR(B585),MONTH(B585),1)</x:f>
        <x:v>45505</x:v>
      </x:c>
      <x:c r="E585" s="84" t="str">
        <x:f>TEXT(B585,"mmm")</x:f>
        <x:v>Aug</x:v>
      </x:c>
      <x:c r="F585" s="84" t="str">
        <x:f>'Raw Sales'!C585</x:f>
        <x:v>CUST-0288</x:v>
      </x:c>
      <x:c r="G585" s="84" t="str">
        <x:f>PROPER(TRIM('Raw Sales'!D585))</x:f>
        <x:v>Owen Quinn</x:v>
      </x:c>
      <x:c r="H585" s="84" t="str">
        <x:f>IF(TRIM('Raw Sales'!E585)="","Unknown",PROPER(TRIM('Raw Sales'!E585)))</x:f>
        <x:v>Small Business</x:v>
      </x:c>
      <x:c r="I585" s="84" t="str">
        <x:f>PROPER(TRIM('Raw Sales'!F585))</x:f>
        <x:v>West</x:v>
      </x:c>
      <x:c r="J585" s="84" t="str">
        <x:f>PROPER(TRIM('Raw Sales'!G585))</x:f>
        <x:v>Seattle</x:v>
      </x:c>
      <x:c r="K585" s="84" t="str">
        <x:f>PROPER(TRIM('Raw Sales'!H585))</x:f>
        <x:v>Online</x:v>
      </x:c>
      <x:c r="L585" s="84" t="str">
        <x:f>'Raw Sales'!I585</x:f>
        <x:v>FITN-004</x:v>
      </x:c>
      <x:c r="M585" s="84" t="str">
        <x:f>IFERROR(VLOOKUP(L585,'Reference Data'!$A$5:$F$40,2,FALSE),"Unknown Product")</x:f>
        <x:v>Fitness Tracker</x:v>
      </x:c>
      <x:c r="N585" s="84" t="str">
        <x:f>IFERROR(VLOOKUP(L585,'Reference Data'!$A$5:$F$40,3,FALSE),"Unknown")</x:f>
        <x:v>Fitness</x:v>
      </x:c>
      <x:c r="O585" s="84" t="str">
        <x:f>IFERROR(VLOOKUP(L585,'Reference Data'!$A$5:$F$40,4,FALSE),"Unknown")</x:f>
        <x:v>Wearables</x:v>
      </x:c>
      <x:c r="P585" s="92" t="n">
        <x:f>IFERROR(VLOOKUP(L585,'Reference Data'!$A$5:$F$40,5,FALSE),0)</x:f>
        <x:v>89</x:v>
      </x:c>
      <x:c r="Q585" s="92" t="n">
        <x:f>IFERROR(VLOOKUP(L585,'Reference Data'!$A$5:$F$40,6,FALSE),0)</x:f>
        <x:v>44</x:v>
      </x:c>
      <x:c r="R585" s="84" t="n">
        <x:f>'Raw Sales'!J585</x:f>
        <x:v>2</x:v>
      </x:c>
      <x:c r="S585" s="87" t="n">
        <x:f>'Raw Sales'!K585</x:f>
        <x:v>0</x:v>
      </x:c>
      <x:c r="T585" s="93" t="n">
        <x:f>P585*R585</x:f>
        <x:v>178</x:v>
      </x:c>
      <x:c r="U585" s="93" t="n">
        <x:f>T585*S585</x:f>
        <x:v>0</x:v>
      </x:c>
      <x:c r="V585" s="93" t="str">
        <x:f>PROPER(TRIM('Raw Sales'!L585))</x:f>
        <x:v>Completed</x:v>
      </x:c>
      <x:c r="W585" s="93" t="n">
        <x:f>IF(V585="Returned",0,T585-U585)</x:f>
        <x:v>178</x:v>
      </x:c>
      <x:c r="X585" s="93" t="n">
        <x:f>IF(V585="Returned",Q585*R585*10%,Q585*R585)</x:f>
        <x:v>88</x:v>
      </x:c>
      <x:c r="Y585" s="93" t="n">
        <x:f>W585-X585</x:f>
        <x:v>90</x:v>
      </x:c>
      <x:c r="Z585" s="94" t="n">
        <x:f>IFERROR(Y585/W585,0)</x:f>
        <x:v>0.5056179775280899</x:v>
      </x:c>
      <x:c r="AA585" s="84" t="str">
        <x:f>PROPER(TRIM('Raw Sales'!M585))</x:f>
        <x:v>Credit Card</x:v>
      </x:c>
      <x:c r="AB585" s="84" t="str">
        <x:f>PROPER(TRIM('Raw Sales'!N585))</x:f>
        <x:v>Mia Chen</x:v>
      </x:c>
      <x:c r="AC585" s="85" t="n">
        <x:f>'Raw Sales'!O585</x:f>
        <x:v>45512</x:v>
      </x:c>
      <x:c r="AD585" s="84" t="n">
        <x:f>AC585-B585</x:f>
        <x:v>3</x:v>
      </x:c>
      <x:c r="AE585" s="84" t="str">
        <x:f>IF(COUNTIF($A$5:A585,A585)&gt;1,"Duplicate","Keep")</x:f>
        <x:v>Keep</x:v>
      </x:c>
      <x:c r="AF585" s="84" t="str">
        <x:f>IF(OR(R585&lt;=0,AC585&lt;B585,H585="Unknown",M585="Unknown Product"),"Review","Valid")</x:f>
        <x:v>Valid</x:v>
      </x:c>
      <x:c r="AG585" s="84" t="n">
        <x:f>IF(AND(AE585="Keep",AF585="Valid"),1,0)</x:f>
        <x:v>1</x:v>
      </x:c>
      <x:c r="AH585" s="84" t="n">
        <x:f>IF(AND(AG585=1,OR('Dashboard'!$B$4="All",I585='Dashboard'!$B$4),OR('Dashboard'!$E$4="All",N585='Dashboard'!$E$4),OR('Dashboard'!$H$4="All",K585='Dashboard'!$H$4),OR('Dashboard'!$K$4="All",C585='Dashboard'!$K$4)),1,0)</x:f>
        <x:v>1</x:v>
      </x:c>
      <x:c r="AI585" s="84" t="n">
        <x:f>IF(AND(AG585=1,OR('Dashboard'!$B$4="All",I585='Dashboard'!$B$4),OR('Dashboard'!$E$4="All",N585='Dashboard'!$E$4),OR('Dashboard'!$H$4="All",K585='Dashboard'!$H$4)),1,0)</x:f>
        <x:v>1</x:v>
      </x:c>
    </x:row>
    <x:row r="586">
      <x:c r="A586" s="84" t="str">
        <x:f>'Raw Sales'!A586</x:f>
        <x:v>ORD-2024-00186</x:v>
      </x:c>
      <x:c r="B586" s="85" t="n">
        <x:f>'Raw Sales'!B586</x:f>
        <x:v>45510</x:v>
      </x:c>
      <x:c r="C586" s="84" t="n">
        <x:f>YEAR(B586)</x:f>
        <x:v>2024</x:v>
      </x:c>
      <x:c r="D586" s="91" t="n">
        <x:f>DATE(YEAR(B586),MONTH(B586),1)</x:f>
        <x:v>45505</x:v>
      </x:c>
      <x:c r="E586" s="84" t="str">
        <x:f>TEXT(B586,"mmm")</x:f>
        <x:v>Aug</x:v>
      </x:c>
      <x:c r="F586" s="84" t="str">
        <x:f>'Raw Sales'!C586</x:f>
        <x:v>CUST-0565</x:v>
      </x:c>
      <x:c r="G586" s="84" t="str">
        <x:f>PROPER(TRIM('Raw Sales'!D586))</x:f>
        <x:v>Nathan Taylor</x:v>
      </x:c>
      <x:c r="H586" s="84" t="str">
        <x:f>IF(TRIM('Raw Sales'!E586)="","Unknown",PROPER(TRIM('Raw Sales'!E586)))</x:f>
        <x:v>Consumer</x:v>
      </x:c>
      <x:c r="I586" s="84" t="str">
        <x:f>PROPER(TRIM('Raw Sales'!F586))</x:f>
        <x:v>West</x:v>
      </x:c>
      <x:c r="J586" s="84" t="str">
        <x:f>PROPER(TRIM('Raw Sales'!G586))</x:f>
        <x:v>Phoenix</x:v>
      </x:c>
      <x:c r="K586" s="84" t="str">
        <x:f>PROPER(TRIM('Raw Sales'!H586))</x:f>
        <x:v>Online</x:v>
      </x:c>
      <x:c r="L586" s="84" t="str">
        <x:f>'Raw Sales'!I586</x:f>
        <x:v>ELEC-002</x:v>
      </x:c>
      <x:c r="M586" s="84" t="str">
        <x:f>IFERROR(VLOOKUP(L586,'Reference Data'!$A$5:$F$40,2,FALSE),"Unknown Product")</x:f>
        <x:v>Smartwatch</x:v>
      </x:c>
      <x:c r="N586" s="84" t="str">
        <x:f>IFERROR(VLOOKUP(L586,'Reference Data'!$A$5:$F$40,3,FALSE),"Unknown")</x:f>
        <x:v>Electronics</x:v>
      </x:c>
      <x:c r="O586" s="84" t="str">
        <x:f>IFERROR(VLOOKUP(L586,'Reference Data'!$A$5:$F$40,4,FALSE),"Unknown")</x:f>
        <x:v>Wearables</x:v>
      </x:c>
      <x:c r="P586" s="92" t="n">
        <x:f>IFERROR(VLOOKUP(L586,'Reference Data'!$A$5:$F$40,5,FALSE),0)</x:f>
        <x:v>159</x:v>
      </x:c>
      <x:c r="Q586" s="92" t="n">
        <x:f>IFERROR(VLOOKUP(L586,'Reference Data'!$A$5:$F$40,6,FALSE),0)</x:f>
        <x:v>92</x:v>
      </x:c>
      <x:c r="R586" s="84" t="n">
        <x:f>'Raw Sales'!J586</x:f>
        <x:v>1</x:v>
      </x:c>
      <x:c r="S586" s="87" t="n">
        <x:f>'Raw Sales'!K586</x:f>
        <x:v>0</x:v>
      </x:c>
      <x:c r="T586" s="93" t="n">
        <x:f>P586*R586</x:f>
        <x:v>159</x:v>
      </x:c>
      <x:c r="U586" s="93" t="n">
        <x:f>T586*S586</x:f>
        <x:v>0</x:v>
      </x:c>
      <x:c r="V586" s="93" t="str">
        <x:f>PROPER(TRIM('Raw Sales'!L586))</x:f>
        <x:v>Completed</x:v>
      </x:c>
      <x:c r="W586" s="93" t="n">
        <x:f>IF(V586="Returned",0,T586-U586)</x:f>
        <x:v>159</x:v>
      </x:c>
      <x:c r="X586" s="93" t="n">
        <x:f>IF(V586="Returned",Q586*R586*10%,Q586*R586)</x:f>
        <x:v>92</x:v>
      </x:c>
      <x:c r="Y586" s="93" t="n">
        <x:f>W586-X586</x:f>
        <x:v>67</x:v>
      </x:c>
      <x:c r="Z586" s="94" t="n">
        <x:f>IFERROR(Y586/W586,0)</x:f>
        <x:v>0.42138364779874216</x:v>
      </x:c>
      <x:c r="AA586" s="84" t="str">
        <x:f>PROPER(TRIM('Raw Sales'!M586))</x:f>
        <x:v>Debit Card</x:v>
      </x:c>
      <x:c r="AB586" s="84" t="str">
        <x:f>PROPER(TRIM('Raw Sales'!N586))</x:f>
        <x:v>Mia Chen</x:v>
      </x:c>
      <x:c r="AC586" s="85" t="n">
        <x:f>'Raw Sales'!O586</x:f>
        <x:v>45515</x:v>
      </x:c>
      <x:c r="AD586" s="84" t="n">
        <x:f>AC586-B586</x:f>
        <x:v>5</x:v>
      </x:c>
      <x:c r="AE586" s="84" t="str">
        <x:f>IF(COUNTIF($A$5:A586,A586)&gt;1,"Duplicate","Keep")</x:f>
        <x:v>Keep</x:v>
      </x:c>
      <x:c r="AF586" s="84" t="str">
        <x:f>IF(OR(R586&lt;=0,AC586&lt;B586,H586="Unknown",M586="Unknown Product"),"Review","Valid")</x:f>
        <x:v>Valid</x:v>
      </x:c>
      <x:c r="AG586" s="84" t="n">
        <x:f>IF(AND(AE586="Keep",AF586="Valid"),1,0)</x:f>
        <x:v>1</x:v>
      </x:c>
      <x:c r="AH586" s="84" t="n">
        <x:f>IF(AND(AG586=1,OR('Dashboard'!$B$4="All",I586='Dashboard'!$B$4),OR('Dashboard'!$E$4="All",N586='Dashboard'!$E$4),OR('Dashboard'!$H$4="All",K586='Dashboard'!$H$4),OR('Dashboard'!$K$4="All",C586='Dashboard'!$K$4)),1,0)</x:f>
        <x:v>1</x:v>
      </x:c>
      <x:c r="AI586" s="84" t="n">
        <x:f>IF(AND(AG586=1,OR('Dashboard'!$B$4="All",I586='Dashboard'!$B$4),OR('Dashboard'!$E$4="All",N586='Dashboard'!$E$4),OR('Dashboard'!$H$4="All",K586='Dashboard'!$H$4)),1,0)</x:f>
        <x:v>1</x:v>
      </x:c>
    </x:row>
    <x:row r="587">
      <x:c r="A587" s="84" t="str">
        <x:f>'Raw Sales'!A587</x:f>
        <x:v>ORD-2024-00250</x:v>
      </x:c>
      <x:c r="B587" s="85" t="n">
        <x:f>'Raw Sales'!B587</x:f>
        <x:v>45510</x:v>
      </x:c>
      <x:c r="C587" s="84" t="n">
        <x:f>YEAR(B587)</x:f>
        <x:v>2024</x:v>
      </x:c>
      <x:c r="D587" s="91" t="n">
        <x:f>DATE(YEAR(B587),MONTH(B587),1)</x:f>
        <x:v>45505</x:v>
      </x:c>
      <x:c r="E587" s="84" t="str">
        <x:f>TEXT(B587,"mmm")</x:f>
        <x:v>Aug</x:v>
      </x:c>
      <x:c r="F587" s="84" t="str">
        <x:f>'Raw Sales'!C587</x:f>
        <x:v>CUST-0542</x:v>
      </x:c>
      <x:c r="G587" s="84" t="str">
        <x:f>PROPER(TRIM('Raw Sales'!D587))</x:f>
        <x:v>Zara Roberts</x:v>
      </x:c>
      <x:c r="H587" s="84" t="str">
        <x:f>IF(TRIM('Raw Sales'!E587)="","Unknown",PROPER(TRIM('Raw Sales'!E587)))</x:f>
        <x:v>Corporate</x:v>
      </x:c>
      <x:c r="I587" s="84" t="str">
        <x:f>PROPER(TRIM('Raw Sales'!F587))</x:f>
        <x:v>Northeast</x:v>
      </x:c>
      <x:c r="J587" s="84" t="str">
        <x:f>PROPER(TRIM('Raw Sales'!G587))</x:f>
        <x:v>New York</x:v>
      </x:c>
      <x:c r="K587" s="84" t="str">
        <x:f>PROPER(TRIM('Raw Sales'!H587))</x:f>
        <x:v>Online</x:v>
      </x:c>
      <x:c r="L587" s="84" t="str">
        <x:f>'Raw Sales'!I587</x:f>
        <x:v>ACCS-004</x:v>
      </x:c>
      <x:c r="M587" s="84" t="str">
        <x:f>IFERROR(VLOOKUP(L587,'Reference Data'!$A$5:$F$40,2,FALSE),"Unknown Product")</x:f>
        <x:v>Leather Wallet</x:v>
      </x:c>
      <x:c r="N587" s="84" t="str">
        <x:f>IFERROR(VLOOKUP(L587,'Reference Data'!$A$5:$F$40,3,FALSE),"Unknown")</x:f>
        <x:v>Accessories</x:v>
      </x:c>
      <x:c r="O587" s="84" t="str">
        <x:f>IFERROR(VLOOKUP(L587,'Reference Data'!$A$5:$F$40,4,FALSE),"Unknown")</x:f>
        <x:v>Wallets</x:v>
      </x:c>
      <x:c r="P587" s="92" t="n">
        <x:f>IFERROR(VLOOKUP(L587,'Reference Data'!$A$5:$F$40,5,FALSE),0)</x:f>
        <x:v>49</x:v>
      </x:c>
      <x:c r="Q587" s="92" t="n">
        <x:f>IFERROR(VLOOKUP(L587,'Reference Data'!$A$5:$F$40,6,FALSE),0)</x:f>
        <x:v>18</x:v>
      </x:c>
      <x:c r="R587" s="84" t="n">
        <x:f>'Raw Sales'!J587</x:f>
        <x:v>4</x:v>
      </x:c>
      <x:c r="S587" s="87" t="n">
        <x:f>'Raw Sales'!K587</x:f>
        <x:v>0.1</x:v>
      </x:c>
      <x:c r="T587" s="93" t="n">
        <x:f>P587*R587</x:f>
        <x:v>196</x:v>
      </x:c>
      <x:c r="U587" s="93" t="n">
        <x:f>T587*S587</x:f>
        <x:v>19.6</x:v>
      </x:c>
      <x:c r="V587" s="93" t="str">
        <x:f>PROPER(TRIM('Raw Sales'!L587))</x:f>
        <x:v>Completed</x:v>
      </x:c>
      <x:c r="W587" s="93" t="n">
        <x:f>IF(V587="Returned",0,T587-U587)</x:f>
        <x:v>176.4</x:v>
      </x:c>
      <x:c r="X587" s="93" t="n">
        <x:f>IF(V587="Returned",Q587*R587*10%,Q587*R587)</x:f>
        <x:v>72</x:v>
      </x:c>
      <x:c r="Y587" s="93" t="n">
        <x:f>W587-X587</x:f>
        <x:v>104.4</x:v>
      </x:c>
      <x:c r="Z587" s="94" t="n">
        <x:f>IFERROR(Y587/W587,0)</x:f>
        <x:v>0.5918367346938775</x:v>
      </x:c>
      <x:c r="AA587" s="84" t="str">
        <x:f>PROPER(TRIM('Raw Sales'!M587))</x:f>
        <x:v>Debit Card</x:v>
      </x:c>
      <x:c r="AB587" s="84" t="str">
        <x:f>PROPER(TRIM('Raw Sales'!N587))</x:f>
        <x:v>Sofia Bennett</x:v>
      </x:c>
      <x:c r="AC587" s="85" t="n">
        <x:f>'Raw Sales'!O587</x:f>
        <x:v>45513</x:v>
      </x:c>
      <x:c r="AD587" s="84" t="n">
        <x:f>AC587-B587</x:f>
        <x:v>3</x:v>
      </x:c>
      <x:c r="AE587" s="84" t="str">
        <x:f>IF(COUNTIF($A$5:A587,A587)&gt;1,"Duplicate","Keep")</x:f>
        <x:v>Keep</x:v>
      </x:c>
      <x:c r="AF587" s="84" t="str">
        <x:f>IF(OR(R587&lt;=0,AC587&lt;B587,H587="Unknown",M587="Unknown Product"),"Review","Valid")</x:f>
        <x:v>Valid</x:v>
      </x:c>
      <x:c r="AG587" s="84" t="n">
        <x:f>IF(AND(AE587="Keep",AF587="Valid"),1,0)</x:f>
        <x:v>1</x:v>
      </x:c>
      <x:c r="AH587" s="84" t="n">
        <x:f>IF(AND(AG587=1,OR('Dashboard'!$B$4="All",I587='Dashboard'!$B$4),OR('Dashboard'!$E$4="All",N587='Dashboard'!$E$4),OR('Dashboard'!$H$4="All",K587='Dashboard'!$H$4),OR('Dashboard'!$K$4="All",C587='Dashboard'!$K$4)),1,0)</x:f>
        <x:v>1</x:v>
      </x:c>
      <x:c r="AI587" s="84" t="n">
        <x:f>IF(AND(AG587=1,OR('Dashboard'!$B$4="All",I587='Dashboard'!$B$4),OR('Dashboard'!$E$4="All",N587='Dashboard'!$E$4),OR('Dashboard'!$H$4="All",K587='Dashboard'!$H$4)),1,0)</x:f>
        <x:v>1</x:v>
      </x:c>
    </x:row>
    <x:row r="588">
      <x:c r="A588" s="84" t="str">
        <x:f>'Raw Sales'!A588</x:f>
        <x:v>ORD-2024-00559</x:v>
      </x:c>
      <x:c r="B588" s="85" t="n">
        <x:f>'Raw Sales'!B588</x:f>
        <x:v>45510</x:v>
      </x:c>
      <x:c r="C588" s="84" t="n">
        <x:f>YEAR(B588)</x:f>
        <x:v>2024</x:v>
      </x:c>
      <x:c r="D588" s="91" t="n">
        <x:f>DATE(YEAR(B588),MONTH(B588),1)</x:f>
        <x:v>45505</x:v>
      </x:c>
      <x:c r="E588" s="84" t="str">
        <x:f>TEXT(B588,"mmm")</x:f>
        <x:v>Aug</x:v>
      </x:c>
      <x:c r="F588" s="84" t="str">
        <x:f>'Raw Sales'!C588</x:f>
        <x:v>CUST-0003</x:v>
      </x:c>
      <x:c r="G588" s="84" t="str">
        <x:f>PROPER(TRIM('Raw Sales'!D588))</x:f>
        <x:v>Victoria Foster</x:v>
      </x:c>
      <x:c r="H588" s="84" t="str">
        <x:f>IF(TRIM('Raw Sales'!E588)="","Unknown",PROPER(TRIM('Raw Sales'!E588)))</x:f>
        <x:v>Consumer</x:v>
      </x:c>
      <x:c r="I588" s="84" t="str">
        <x:f>PROPER(TRIM('Raw Sales'!F588))</x:f>
        <x:v>West</x:v>
      </x:c>
      <x:c r="J588" s="84" t="str">
        <x:f>PROPER(TRIM('Raw Sales'!G588))</x:f>
        <x:v>Seattle</x:v>
      </x:c>
      <x:c r="K588" s="84" t="str">
        <x:f>PROPER(TRIM('Raw Sales'!H588))</x:f>
        <x:v>Retail Store</x:v>
      </x:c>
      <x:c r="L588" s="84" t="str">
        <x:f>'Raw Sales'!I588</x:f>
        <x:v>FITN-002</x:v>
      </x:c>
      <x:c r="M588" s="84" t="str">
        <x:f>IFERROR(VLOOKUP(L588,'Reference Data'!$A$5:$F$40,2,FALSE),"Unknown Product")</x:f>
        <x:v>Adjustable Dumbbell Set</x:v>
      </x:c>
      <x:c r="N588" s="84" t="str">
        <x:f>IFERROR(VLOOKUP(L588,'Reference Data'!$A$5:$F$40,3,FALSE),"Unknown")</x:f>
        <x:v>Fitness</x:v>
      </x:c>
      <x:c r="O588" s="84" t="str">
        <x:f>IFERROR(VLOOKUP(L588,'Reference Data'!$A$5:$F$40,4,FALSE),"Unknown")</x:f>
        <x:v>Strength</x:v>
      </x:c>
      <x:c r="P588" s="92" t="n">
        <x:f>IFERROR(VLOOKUP(L588,'Reference Data'!$A$5:$F$40,5,FALSE),0)</x:f>
        <x:v>99</x:v>
      </x:c>
      <x:c r="Q588" s="92" t="n">
        <x:f>IFERROR(VLOOKUP(L588,'Reference Data'!$A$5:$F$40,6,FALSE),0)</x:f>
        <x:v>57</x:v>
      </x:c>
      <x:c r="R588" s="84" t="n">
        <x:f>'Raw Sales'!J588</x:f>
        <x:v>3</x:v>
      </x:c>
      <x:c r="S588" s="87" t="n">
        <x:f>'Raw Sales'!K588</x:f>
        <x:v>0</x:v>
      </x:c>
      <x:c r="T588" s="93" t="n">
        <x:f>P588*R588</x:f>
        <x:v>297</x:v>
      </x:c>
      <x:c r="U588" s="93" t="n">
        <x:f>T588*S588</x:f>
        <x:v>0</x:v>
      </x:c>
      <x:c r="V588" s="93" t="str">
        <x:f>PROPER(TRIM('Raw Sales'!L588))</x:f>
        <x:v>Completed</x:v>
      </x:c>
      <x:c r="W588" s="93" t="n">
        <x:f>IF(V588="Returned",0,T588-U588)</x:f>
        <x:v>297</x:v>
      </x:c>
      <x:c r="X588" s="93" t="n">
        <x:f>IF(V588="Returned",Q588*R588*10%,Q588*R588)</x:f>
        <x:v>171</x:v>
      </x:c>
      <x:c r="Y588" s="93" t="n">
        <x:f>W588-X588</x:f>
        <x:v>126</x:v>
      </x:c>
      <x:c r="Z588" s="94" t="n">
        <x:f>IFERROR(Y588/W588,0)</x:f>
        <x:v>0.42424242424242425</x:v>
      </x:c>
      <x:c r="AA588" s="84" t="str">
        <x:f>PROPER(TRIM('Raw Sales'!M588))</x:f>
        <x:v>Cash</x:v>
      </x:c>
      <x:c r="AB588" s="84" t="str">
        <x:f>PROPER(TRIM('Raw Sales'!N588))</x:f>
        <x:v>Leo Martinez</x:v>
      </x:c>
      <x:c r="AC588" s="85" t="n">
        <x:f>'Raw Sales'!O588</x:f>
        <x:v>45510</x:v>
      </x:c>
      <x:c r="AD588" s="84" t="n">
        <x:f>AC588-B588</x:f>
        <x:v>0</x:v>
      </x:c>
      <x:c r="AE588" s="84" t="str">
        <x:f>IF(COUNTIF($A$5:A588,A588)&gt;1,"Duplicate","Keep")</x:f>
        <x:v>Keep</x:v>
      </x:c>
      <x:c r="AF588" s="84" t="str">
        <x:f>IF(OR(R588&lt;=0,AC588&lt;B588,H588="Unknown",M588="Unknown Product"),"Review","Valid")</x:f>
        <x:v>Valid</x:v>
      </x:c>
      <x:c r="AG588" s="84" t="n">
        <x:f>IF(AND(AE588="Keep",AF588="Valid"),1,0)</x:f>
        <x:v>1</x:v>
      </x:c>
      <x:c r="AH588" s="84" t="n">
        <x:f>IF(AND(AG588=1,OR('Dashboard'!$B$4="All",I588='Dashboard'!$B$4),OR('Dashboard'!$E$4="All",N588='Dashboard'!$E$4),OR('Dashboard'!$H$4="All",K588='Dashboard'!$H$4),OR('Dashboard'!$K$4="All",C588='Dashboard'!$K$4)),1,0)</x:f>
        <x:v>1</x:v>
      </x:c>
      <x:c r="AI588" s="84" t="n">
        <x:f>IF(AND(AG588=1,OR('Dashboard'!$B$4="All",I588='Dashboard'!$B$4),OR('Dashboard'!$E$4="All",N588='Dashboard'!$E$4),OR('Dashboard'!$H$4="All",K588='Dashboard'!$H$4)),1,0)</x:f>
        <x:v>1</x:v>
      </x:c>
    </x:row>
    <x:row r="589">
      <x:c r="A589" s="84" t="str">
        <x:f>'Raw Sales'!A589</x:f>
        <x:v>ORD-2024-01571</x:v>
      </x:c>
      <x:c r="B589" s="85" t="n">
        <x:f>'Raw Sales'!B589</x:f>
        <x:v>45510</x:v>
      </x:c>
      <x:c r="C589" s="84" t="n">
        <x:f>YEAR(B589)</x:f>
        <x:v>2024</x:v>
      </x:c>
      <x:c r="D589" s="91" t="n">
        <x:f>DATE(YEAR(B589),MONTH(B589),1)</x:f>
        <x:v>45505</x:v>
      </x:c>
      <x:c r="E589" s="84" t="str">
        <x:f>TEXT(B589,"mmm")</x:f>
        <x:v>Aug</x:v>
      </x:c>
      <x:c r="F589" s="84" t="str">
        <x:f>'Raw Sales'!C589</x:f>
        <x:v>CUST-0543</x:v>
      </x:c>
      <x:c r="G589" s="84" t="str">
        <x:f>PROPER(TRIM('Raw Sales'!D589))</x:f>
        <x:v>Marcus Quinn</x:v>
      </x:c>
      <x:c r="H589" s="84" t="str">
        <x:f>IF(TRIM('Raw Sales'!E589)="","Unknown",PROPER(TRIM('Raw Sales'!E589)))</x:f>
        <x:v>Consumer</x:v>
      </x:c>
      <x:c r="I589" s="84" t="str">
        <x:f>PROPER(TRIM('Raw Sales'!F589))</x:f>
        <x:v>Southeast</x:v>
      </x:c>
      <x:c r="J589" s="84" t="str">
        <x:f>PROPER(TRIM('Raw Sales'!G589))</x:f>
        <x:v>Charlotte</x:v>
      </x:c>
      <x:c r="K589" s="84" t="str">
        <x:f>PROPER(TRIM('Raw Sales'!H589))</x:f>
        <x:v>Retail Store</x:v>
      </x:c>
      <x:c r="L589" s="84" t="str">
        <x:f>'Raw Sales'!I589</x:f>
        <x:v>OFFC-006</x:v>
      </x:c>
      <x:c r="M589" s="84" t="str">
        <x:f>IFERROR(VLOOKUP(L589,'Reference Data'!$A$5:$F$40,2,FALSE),"Unknown Product")</x:f>
        <x:v>Monitor Stand</x:v>
      </x:c>
      <x:c r="N589" s="84" t="str">
        <x:f>IFERROR(VLOOKUP(L589,'Reference Data'!$A$5:$F$40,3,FALSE),"Unknown")</x:f>
        <x:v>Office</x:v>
      </x:c>
      <x:c r="O589" s="84" t="str">
        <x:f>IFERROR(VLOOKUP(L589,'Reference Data'!$A$5:$F$40,4,FALSE),"Unknown")</x:f>
        <x:v>Desk Accessories</x:v>
      </x:c>
      <x:c r="P589" s="92" t="n">
        <x:f>IFERROR(VLOOKUP(L589,'Reference Data'!$A$5:$F$40,5,FALSE),0)</x:f>
        <x:v>49</x:v>
      </x:c>
      <x:c r="Q589" s="92" t="n">
        <x:f>IFERROR(VLOOKUP(L589,'Reference Data'!$A$5:$F$40,6,FALSE),0)</x:f>
        <x:v>21</x:v>
      </x:c>
      <x:c r="R589" s="84" t="n">
        <x:f>'Raw Sales'!J589</x:f>
        <x:v>2</x:v>
      </x:c>
      <x:c r="S589" s="87" t="n">
        <x:f>'Raw Sales'!K589</x:f>
        <x:v>0</x:v>
      </x:c>
      <x:c r="T589" s="93" t="n">
        <x:f>P589*R589</x:f>
        <x:v>98</x:v>
      </x:c>
      <x:c r="U589" s="93" t="n">
        <x:f>T589*S589</x:f>
        <x:v>0</x:v>
      </x:c>
      <x:c r="V589" s="93" t="str">
        <x:f>PROPER(TRIM('Raw Sales'!L589))</x:f>
        <x:v>Completed</x:v>
      </x:c>
      <x:c r="W589" s="93" t="n">
        <x:f>IF(V589="Returned",0,T589-U589)</x:f>
        <x:v>98</x:v>
      </x:c>
      <x:c r="X589" s="93" t="n">
        <x:f>IF(V589="Returned",Q589*R589*10%,Q589*R589)</x:f>
        <x:v>42</x:v>
      </x:c>
      <x:c r="Y589" s="93" t="n">
        <x:f>W589-X589</x:f>
        <x:v>56</x:v>
      </x:c>
      <x:c r="Z589" s="94" t="n">
        <x:f>IFERROR(Y589/W589,0)</x:f>
        <x:v>0.5714285714285714</x:v>
      </x:c>
      <x:c r="AA589" s="84" t="str">
        <x:f>PROPER(TRIM('Raw Sales'!M589))</x:f>
        <x:v>Credit Card</x:v>
      </x:c>
      <x:c r="AB589" s="84" t="str">
        <x:f>PROPER(TRIM('Raw Sales'!N589))</x:f>
        <x:v>Liam Parker</x:v>
      </x:c>
      <x:c r="AC589" s="85" t="n">
        <x:f>'Raw Sales'!O589</x:f>
        <x:v>45510</x:v>
      </x:c>
      <x:c r="AD589" s="84" t="n">
        <x:f>AC589-B589</x:f>
        <x:v>0</x:v>
      </x:c>
      <x:c r="AE589" s="84" t="str">
        <x:f>IF(COUNTIF($A$5:A589,A589)&gt;1,"Duplicate","Keep")</x:f>
        <x:v>Keep</x:v>
      </x:c>
      <x:c r="AF589" s="84" t="str">
        <x:f>IF(OR(R589&lt;=0,AC589&lt;B589,H589="Unknown",M589="Unknown Product"),"Review","Valid")</x:f>
        <x:v>Valid</x:v>
      </x:c>
      <x:c r="AG589" s="84" t="n">
        <x:f>IF(AND(AE589="Keep",AF589="Valid"),1,0)</x:f>
        <x:v>1</x:v>
      </x:c>
      <x:c r="AH589" s="84" t="n">
        <x:f>IF(AND(AG589=1,OR('Dashboard'!$B$4="All",I589='Dashboard'!$B$4),OR('Dashboard'!$E$4="All",N589='Dashboard'!$E$4),OR('Dashboard'!$H$4="All",K589='Dashboard'!$H$4),OR('Dashboard'!$K$4="All",C589='Dashboard'!$K$4)),1,0)</x:f>
        <x:v>1</x:v>
      </x:c>
      <x:c r="AI589" s="84" t="n">
        <x:f>IF(AND(AG589=1,OR('Dashboard'!$B$4="All",I589='Dashboard'!$B$4),OR('Dashboard'!$E$4="All",N589='Dashboard'!$E$4),OR('Dashboard'!$H$4="All",K589='Dashboard'!$H$4)),1,0)</x:f>
        <x:v>1</x:v>
      </x:c>
    </x:row>
    <x:row r="590">
      <x:c r="A590" s="84" t="str">
        <x:f>'Raw Sales'!A590</x:f>
        <x:v>ORD-2024-02131</x:v>
      </x:c>
      <x:c r="B590" s="85" t="n">
        <x:f>'Raw Sales'!B590</x:f>
        <x:v>45510</x:v>
      </x:c>
      <x:c r="C590" s="84" t="n">
        <x:f>YEAR(B590)</x:f>
        <x:v>2024</x:v>
      </x:c>
      <x:c r="D590" s="91" t="n">
        <x:f>DATE(YEAR(B590),MONTH(B590),1)</x:f>
        <x:v>45505</x:v>
      </x:c>
      <x:c r="E590" s="84" t="str">
        <x:f>TEXT(B590,"mmm")</x:f>
        <x:v>Aug</x:v>
      </x:c>
      <x:c r="F590" s="84" t="str">
        <x:f>'Raw Sales'!C590</x:f>
        <x:v>CUST-0041</x:v>
      </x:c>
      <x:c r="G590" s="84" t="str">
        <x:f>PROPER(TRIM('Raw Sales'!D590))</x:f>
        <x:v>Isaac Evans</x:v>
      </x:c>
      <x:c r="H590" s="84" t="str">
        <x:f>IF(TRIM('Raw Sales'!E590)="","Unknown",PROPER(TRIM('Raw Sales'!E590)))</x:f>
        <x:v>Consumer</x:v>
      </x:c>
      <x:c r="I590" s="84" t="str">
        <x:f>PROPER(TRIM('Raw Sales'!F590))</x:f>
        <x:v>Midwest</x:v>
      </x:c>
      <x:c r="J590" s="84" t="str">
        <x:f>PROPER(TRIM('Raw Sales'!G590))</x:f>
        <x:v>Detroit</x:v>
      </x:c>
      <x:c r="K590" s="84" t="str">
        <x:f>PROPER(TRIM('Raw Sales'!H590))</x:f>
        <x:v>Online</x:v>
      </x:c>
      <x:c r="L590" s="84" t="str">
        <x:f>'Raw Sales'!I590</x:f>
        <x:v>CARE-005</x:v>
      </x:c>
      <x:c r="M590" s="84" t="str">
        <x:f>IFERROR(VLOOKUP(L590,'Reference Data'!$A$5:$F$40,2,FALSE),"Unknown Product")</x:f>
        <x:v>Skin Care Starter Kit</x:v>
      </x:c>
      <x:c r="N590" s="84" t="str">
        <x:f>IFERROR(VLOOKUP(L590,'Reference Data'!$A$5:$F$40,3,FALSE),"Unknown")</x:f>
        <x:v>Personal Care</x:v>
      </x:c>
      <x:c r="O590" s="84" t="str">
        <x:f>IFERROR(VLOOKUP(L590,'Reference Data'!$A$5:$F$40,4,FALSE),"Unknown")</x:f>
        <x:v>Skin Care</x:v>
      </x:c>
      <x:c r="P590" s="92" t="n">
        <x:f>IFERROR(VLOOKUP(L590,'Reference Data'!$A$5:$F$40,5,FALSE),0)</x:f>
        <x:v>58</x:v>
      </x:c>
      <x:c r="Q590" s="92" t="n">
        <x:f>IFERROR(VLOOKUP(L590,'Reference Data'!$A$5:$F$40,6,FALSE),0)</x:f>
        <x:v>24</x:v>
      </x:c>
      <x:c r="R590" s="84" t="n">
        <x:f>'Raw Sales'!J590</x:f>
        <x:v>1</x:v>
      </x:c>
      <x:c r="S590" s="87" t="n">
        <x:f>'Raw Sales'!K590</x:f>
        <x:v>0</x:v>
      </x:c>
      <x:c r="T590" s="93" t="n">
        <x:f>P590*R590</x:f>
        <x:v>58</x:v>
      </x:c>
      <x:c r="U590" s="93" t="n">
        <x:f>T590*S590</x:f>
        <x:v>0</x:v>
      </x:c>
      <x:c r="V590" s="93" t="str">
        <x:f>PROPER(TRIM('Raw Sales'!L590))</x:f>
        <x:v>Completed</x:v>
      </x:c>
      <x:c r="W590" s="93" t="n">
        <x:f>IF(V590="Returned",0,T590-U590)</x:f>
        <x:v>58</x:v>
      </x:c>
      <x:c r="X590" s="93" t="n">
        <x:f>IF(V590="Returned",Q590*R590*10%,Q590*R590)</x:f>
        <x:v>24</x:v>
      </x:c>
      <x:c r="Y590" s="93" t="n">
        <x:f>W590-X590</x:f>
        <x:v>34</x:v>
      </x:c>
      <x:c r="Z590" s="94" t="n">
        <x:f>IFERROR(Y590/W590,0)</x:f>
        <x:v>0.5862068965517241</x:v>
      </x:c>
      <x:c r="AA590" s="84" t="str">
        <x:f>PROPER(TRIM('Raw Sales'!M590))</x:f>
        <x:v>Credit Card</x:v>
      </x:c>
      <x:c r="AB590" s="84" t="str">
        <x:f>PROPER(TRIM('Raw Sales'!N590))</x:f>
        <x:v>Lucas Grant</x:v>
      </x:c>
      <x:c r="AC590" s="85" t="n">
        <x:f>'Raw Sales'!O590</x:f>
        <x:v>45514</x:v>
      </x:c>
      <x:c r="AD590" s="84" t="n">
        <x:f>AC590-B590</x:f>
        <x:v>4</x:v>
      </x:c>
      <x:c r="AE590" s="84" t="str">
        <x:f>IF(COUNTIF($A$5:A590,A590)&gt;1,"Duplicate","Keep")</x:f>
        <x:v>Keep</x:v>
      </x:c>
      <x:c r="AF590" s="84" t="str">
        <x:f>IF(OR(R590&lt;=0,AC590&lt;B590,H590="Unknown",M590="Unknown Product"),"Review","Valid")</x:f>
        <x:v>Valid</x:v>
      </x:c>
      <x:c r="AG590" s="84" t="n">
        <x:f>IF(AND(AE590="Keep",AF590="Valid"),1,0)</x:f>
        <x:v>1</x:v>
      </x:c>
      <x:c r="AH590" s="84" t="n">
        <x:f>IF(AND(AG590=1,OR('Dashboard'!$B$4="All",I590='Dashboard'!$B$4),OR('Dashboard'!$E$4="All",N590='Dashboard'!$E$4),OR('Dashboard'!$H$4="All",K590='Dashboard'!$H$4),OR('Dashboard'!$K$4="All",C590='Dashboard'!$K$4)),1,0)</x:f>
        <x:v>1</x:v>
      </x:c>
      <x:c r="AI590" s="84" t="n">
        <x:f>IF(AND(AG590=1,OR('Dashboard'!$B$4="All",I590='Dashboard'!$B$4),OR('Dashboard'!$E$4="All",N590='Dashboard'!$E$4),OR('Dashboard'!$H$4="All",K590='Dashboard'!$H$4)),1,0)</x:f>
        <x:v>1</x:v>
      </x:c>
    </x:row>
    <x:row r="591">
      <x:c r="A591" s="84" t="str">
        <x:f>'Raw Sales'!A591</x:f>
        <x:v>ORD-2024-02159</x:v>
      </x:c>
      <x:c r="B591" s="85" t="n">
        <x:f>'Raw Sales'!B591</x:f>
        <x:v>45510</x:v>
      </x:c>
      <x:c r="C591" s="84" t="n">
        <x:f>YEAR(B591)</x:f>
        <x:v>2024</x:v>
      </x:c>
      <x:c r="D591" s="91" t="n">
        <x:f>DATE(YEAR(B591),MONTH(B591),1)</x:f>
        <x:v>45505</x:v>
      </x:c>
      <x:c r="E591" s="84" t="str">
        <x:f>TEXT(B591,"mmm")</x:f>
        <x:v>Aug</x:v>
      </x:c>
      <x:c r="F591" s="84" t="str">
        <x:f>'Raw Sales'!C591</x:f>
        <x:v>CUST-0414</x:v>
      </x:c>
      <x:c r="G591" s="84" t="str">
        <x:f>PROPER(TRIM('Raw Sales'!D591))</x:f>
        <x:v>Aiden Garcia</x:v>
      </x:c>
      <x:c r="H591" s="84" t="str">
        <x:f>IF(TRIM('Raw Sales'!E591)="","Unknown",PROPER(TRIM('Raw Sales'!E591)))</x:f>
        <x:v>Corporate</x:v>
      </x:c>
      <x:c r="I591" s="84" t="str">
        <x:f>PROPER(TRIM('Raw Sales'!F591))</x:f>
        <x:v>Midwest</x:v>
      </x:c>
      <x:c r="J591" s="84" t="str">
        <x:f>PROPER(TRIM('Raw Sales'!G591))</x:f>
        <x:v>Minneapolis</x:v>
      </x:c>
      <x:c r="K591" s="84" t="str">
        <x:f>PROPER(TRIM('Raw Sales'!H591))</x:f>
        <x:v>Online</x:v>
      </x:c>
      <x:c r="L591" s="84" t="str">
        <x:f>'Raw Sales'!I591</x:f>
        <x:v>OFFC-004</x:v>
      </x:c>
      <x:c r="M591" s="84" t="str">
        <x:f>IFERROR(VLOOKUP(L591,'Reference Data'!$A$5:$F$40,2,FALSE),"Unknown Product")</x:f>
        <x:v>Premium Notebook Pack</x:v>
      </x:c>
      <x:c r="N591" s="84" t="str">
        <x:f>IFERROR(VLOOKUP(L591,'Reference Data'!$A$5:$F$40,3,FALSE),"Unknown")</x:f>
        <x:v>Office</x:v>
      </x:c>
      <x:c r="O591" s="84" t="str">
        <x:f>IFERROR(VLOOKUP(L591,'Reference Data'!$A$5:$F$40,4,FALSE),"Unknown")</x:f>
        <x:v>Stationery</x:v>
      </x:c>
      <x:c r="P591" s="92" t="n">
        <x:f>IFERROR(VLOOKUP(L591,'Reference Data'!$A$5:$F$40,5,FALSE),0)</x:f>
        <x:v>18</x:v>
      </x:c>
      <x:c r="Q591" s="92" t="n">
        <x:f>IFERROR(VLOOKUP(L591,'Reference Data'!$A$5:$F$40,6,FALSE),0)</x:f>
        <x:v>6.5</x:v>
      </x:c>
      <x:c r="R591" s="84" t="n">
        <x:f>'Raw Sales'!J591</x:f>
        <x:v>5</x:v>
      </x:c>
      <x:c r="S591" s="87" t="n">
        <x:f>'Raw Sales'!K591</x:f>
        <x:v>0.05</x:v>
      </x:c>
      <x:c r="T591" s="93" t="n">
        <x:f>P591*R591</x:f>
        <x:v>90</x:v>
      </x:c>
      <x:c r="U591" s="93" t="n">
        <x:f>T591*S591</x:f>
        <x:v>4.5</x:v>
      </x:c>
      <x:c r="V591" s="93" t="str">
        <x:f>PROPER(TRIM('Raw Sales'!L591))</x:f>
        <x:v>Completed</x:v>
      </x:c>
      <x:c r="W591" s="93" t="n">
        <x:f>IF(V591="Returned",0,T591-U591)</x:f>
        <x:v>85.5</x:v>
      </x:c>
      <x:c r="X591" s="93" t="n">
        <x:f>IF(V591="Returned",Q591*R591*10%,Q591*R591)</x:f>
        <x:v>32.5</x:v>
      </x:c>
      <x:c r="Y591" s="93" t="n">
        <x:f>W591-X591</x:f>
        <x:v>53</x:v>
      </x:c>
      <x:c r="Z591" s="94" t="n">
        <x:f>IFERROR(Y591/W591,0)</x:f>
        <x:v>0.6198830409356725</x:v>
      </x:c>
      <x:c r="AA591" s="84" t="str">
        <x:f>PROPER(TRIM('Raw Sales'!M591))</x:f>
        <x:v>Credit Card</x:v>
      </x:c>
      <x:c r="AB591" s="84" t="str">
        <x:f>PROPER(TRIM('Raw Sales'!N591))</x:f>
        <x:v>Zoe Turner</x:v>
      </x:c>
      <x:c r="AC591" s="85" t="n">
        <x:f>'Raw Sales'!O591</x:f>
        <x:v>45515</x:v>
      </x:c>
      <x:c r="AD591" s="84" t="n">
        <x:f>AC591-B591</x:f>
        <x:v>5</x:v>
      </x:c>
      <x:c r="AE591" s="84" t="str">
        <x:f>IF(COUNTIF($A$5:A591,A591)&gt;1,"Duplicate","Keep")</x:f>
        <x:v>Keep</x:v>
      </x:c>
      <x:c r="AF591" s="84" t="str">
        <x:f>IF(OR(R591&lt;=0,AC591&lt;B591,H591="Unknown",M591="Unknown Product"),"Review","Valid")</x:f>
        <x:v>Valid</x:v>
      </x:c>
      <x:c r="AG591" s="84" t="n">
        <x:f>IF(AND(AE591="Keep",AF591="Valid"),1,0)</x:f>
        <x:v>1</x:v>
      </x:c>
      <x:c r="AH591" s="84" t="n">
        <x:f>IF(AND(AG591=1,OR('Dashboard'!$B$4="All",I591='Dashboard'!$B$4),OR('Dashboard'!$E$4="All",N591='Dashboard'!$E$4),OR('Dashboard'!$H$4="All",K591='Dashboard'!$H$4),OR('Dashboard'!$K$4="All",C591='Dashboard'!$K$4)),1,0)</x:f>
        <x:v>1</x:v>
      </x:c>
      <x:c r="AI591" s="84" t="n">
        <x:f>IF(AND(AG591=1,OR('Dashboard'!$B$4="All",I591='Dashboard'!$B$4),OR('Dashboard'!$E$4="All",N591='Dashboard'!$E$4),OR('Dashboard'!$H$4="All",K591='Dashboard'!$H$4)),1,0)</x:f>
        <x:v>1</x:v>
      </x:c>
    </x:row>
    <x:row r="592">
      <x:c r="A592" s="84" t="str">
        <x:f>'Raw Sales'!A592</x:f>
        <x:v>ORD-2024-02247</x:v>
      </x:c>
      <x:c r="B592" s="85" t="n">
        <x:f>'Raw Sales'!B592</x:f>
        <x:v>45510</x:v>
      </x:c>
      <x:c r="C592" s="84" t="n">
        <x:f>YEAR(B592)</x:f>
        <x:v>2024</x:v>
      </x:c>
      <x:c r="D592" s="91" t="n">
        <x:f>DATE(YEAR(B592),MONTH(B592),1)</x:f>
        <x:v>45505</x:v>
      </x:c>
      <x:c r="E592" s="84" t="str">
        <x:f>TEXT(B592,"mmm")</x:f>
        <x:v>Aug</x:v>
      </x:c>
      <x:c r="F592" s="84" t="str">
        <x:f>'Raw Sales'!C592</x:f>
        <x:v>CUST-0476</x:v>
      </x:c>
      <x:c r="G592" s="84" t="str">
        <x:f>PROPER(TRIM('Raw Sales'!D592))</x:f>
        <x:v>Victoria Irwin</x:v>
      </x:c>
      <x:c r="H592" s="84" t="str">
        <x:f>IF(TRIM('Raw Sales'!E592)="","Unknown",PROPER(TRIM('Raw Sales'!E592)))</x:f>
        <x:v>Small Business</x:v>
      </x:c>
      <x:c r="I592" s="84" t="str">
        <x:f>PROPER(TRIM('Raw Sales'!F592))</x:f>
        <x:v>Southeast</x:v>
      </x:c>
      <x:c r="J592" s="84" t="str">
        <x:f>PROPER(TRIM('Raw Sales'!G592))</x:f>
        <x:v>Charlotte</x:v>
      </x:c>
      <x:c r="K592" s="84" t="str">
        <x:f>PROPER(TRIM('Raw Sales'!H592))</x:f>
        <x:v>Retail Store</x:v>
      </x:c>
      <x:c r="L592" s="84" t="str">
        <x:f>'Raw Sales'!I592</x:f>
        <x:v>CARE-001</x:v>
      </x:c>
      <x:c r="M592" s="84" t="str">
        <x:f>IFERROR(VLOOKUP(L592,'Reference Data'!$A$5:$F$40,2,FALSE),"Unknown Product")</x:f>
        <x:v>Ionic Hair Dryer</x:v>
      </x:c>
      <x:c r="N592" s="84" t="str">
        <x:f>IFERROR(VLOOKUP(L592,'Reference Data'!$A$5:$F$40,3,FALSE),"Unknown")</x:f>
        <x:v>Personal Care</x:v>
      </x:c>
      <x:c r="O592" s="84" t="str">
        <x:f>IFERROR(VLOOKUP(L592,'Reference Data'!$A$5:$F$40,4,FALSE),"Unknown")</x:f>
        <x:v>Hair Care</x:v>
      </x:c>
      <x:c r="P592" s="92" t="n">
        <x:f>IFERROR(VLOOKUP(L592,'Reference Data'!$A$5:$F$40,5,FALSE),0)</x:f>
        <x:v>54</x:v>
      </x:c>
      <x:c r="Q592" s="92" t="n">
        <x:f>IFERROR(VLOOKUP(L592,'Reference Data'!$A$5:$F$40,6,FALSE),0)</x:f>
        <x:v>25</x:v>
      </x:c>
      <x:c r="R592" s="84" t="n">
        <x:f>'Raw Sales'!J592</x:f>
        <x:v>2</x:v>
      </x:c>
      <x:c r="S592" s="87" t="n">
        <x:f>'Raw Sales'!K592</x:f>
        <x:v>0</x:v>
      </x:c>
      <x:c r="T592" s="93" t="n">
        <x:f>P592*R592</x:f>
        <x:v>108</x:v>
      </x:c>
      <x:c r="U592" s="93" t="n">
        <x:f>T592*S592</x:f>
        <x:v>0</x:v>
      </x:c>
      <x:c r="V592" s="93" t="str">
        <x:f>PROPER(TRIM('Raw Sales'!L592))</x:f>
        <x:v>Completed</x:v>
      </x:c>
      <x:c r="W592" s="93" t="n">
        <x:f>IF(V592="Returned",0,T592-U592)</x:f>
        <x:v>108</x:v>
      </x:c>
      <x:c r="X592" s="93" t="n">
        <x:f>IF(V592="Returned",Q592*R592*10%,Q592*R592)</x:f>
        <x:v>50</x:v>
      </x:c>
      <x:c r="Y592" s="93" t="n">
        <x:f>W592-X592</x:f>
        <x:v>58</x:v>
      </x:c>
      <x:c r="Z592" s="94" t="n">
        <x:f>IFERROR(Y592/W592,0)</x:f>
        <x:v>0.5370370370370371</x:v>
      </x:c>
      <x:c r="AA592" s="84" t="str">
        <x:f>PROPER(TRIM('Raw Sales'!M592))</x:f>
        <x:v>Cash</x:v>
      </x:c>
      <x:c r="AB592" s="84" t="str">
        <x:f>PROPER(TRIM('Raw Sales'!N592))</x:f>
        <x:v>Liam Parker</x:v>
      </x:c>
      <x:c r="AC592" s="85" t="n">
        <x:f>'Raw Sales'!O592</x:f>
        <x:v>45510</x:v>
      </x:c>
      <x:c r="AD592" s="84" t="n">
        <x:f>AC592-B592</x:f>
        <x:v>0</x:v>
      </x:c>
      <x:c r="AE592" s="84" t="str">
        <x:f>IF(COUNTIF($A$5:A592,A592)&gt;1,"Duplicate","Keep")</x:f>
        <x:v>Keep</x:v>
      </x:c>
      <x:c r="AF592" s="84" t="str">
        <x:f>IF(OR(R592&lt;=0,AC592&lt;B592,H592="Unknown",M592="Unknown Product"),"Review","Valid")</x:f>
        <x:v>Valid</x:v>
      </x:c>
      <x:c r="AG592" s="84" t="n">
        <x:f>IF(AND(AE592="Keep",AF592="Valid"),1,0)</x:f>
        <x:v>1</x:v>
      </x:c>
      <x:c r="AH592" s="84" t="n">
        <x:f>IF(AND(AG592=1,OR('Dashboard'!$B$4="All",I592='Dashboard'!$B$4),OR('Dashboard'!$E$4="All",N592='Dashboard'!$E$4),OR('Dashboard'!$H$4="All",K592='Dashboard'!$H$4),OR('Dashboard'!$K$4="All",C592='Dashboard'!$K$4)),1,0)</x:f>
        <x:v>1</x:v>
      </x:c>
      <x:c r="AI592" s="84" t="n">
        <x:f>IF(AND(AG592=1,OR('Dashboard'!$B$4="All",I592='Dashboard'!$B$4),OR('Dashboard'!$E$4="All",N592='Dashboard'!$E$4),OR('Dashboard'!$H$4="All",K592='Dashboard'!$H$4)),1,0)</x:f>
        <x:v>1</x:v>
      </x:c>
    </x:row>
    <x:row r="593">
      <x:c r="A593" s="84" t="str">
        <x:f>'Raw Sales'!A593</x:f>
        <x:v>ORD-2024-00099</x:v>
      </x:c>
      <x:c r="B593" s="85" t="n">
        <x:f>'Raw Sales'!B593</x:f>
        <x:v>45511</x:v>
      </x:c>
      <x:c r="C593" s="84" t="n">
        <x:f>YEAR(B593)</x:f>
        <x:v>2024</x:v>
      </x:c>
      <x:c r="D593" s="91" t="n">
        <x:f>DATE(YEAR(B593),MONTH(B593),1)</x:f>
        <x:v>45505</x:v>
      </x:c>
      <x:c r="E593" s="84" t="str">
        <x:f>TEXT(B593,"mmm")</x:f>
        <x:v>Aug</x:v>
      </x:c>
      <x:c r="F593" s="84" t="str">
        <x:f>'Raw Sales'!C593</x:f>
        <x:v>CUST-0611</x:v>
      </x:c>
      <x:c r="G593" s="84" t="str">
        <x:f>PROPER(TRIM('Raw Sales'!D593))</x:f>
        <x:v>Aiden Irwin</x:v>
      </x:c>
      <x:c r="H593" s="84" t="str">
        <x:f>IF(TRIM('Raw Sales'!E593)="","Unknown",PROPER(TRIM('Raw Sales'!E593)))</x:f>
        <x:v>Corporate</x:v>
      </x:c>
      <x:c r="I593" s="84" t="str">
        <x:f>PROPER(TRIM('Raw Sales'!F593))</x:f>
        <x:v>Midwest</x:v>
      </x:c>
      <x:c r="J593" s="84" t="str">
        <x:f>PROPER(TRIM('Raw Sales'!G593))</x:f>
        <x:v>Chicago</x:v>
      </x:c>
      <x:c r="K593" s="84" t="str">
        <x:f>PROPER(TRIM('Raw Sales'!H593))</x:f>
        <x:v>Online</x:v>
      </x:c>
      <x:c r="L593" s="84" t="str">
        <x:f>'Raw Sales'!I593</x:f>
        <x:v>ELEC-006</x:v>
      </x:c>
      <x:c r="M593" s="84" t="str">
        <x:f>IFERROR(VLOOKUP(L593,'Reference Data'!$A$5:$F$40,2,FALSE),"Unknown Product")</x:f>
        <x:v>Portable SSD</x:v>
      </x:c>
      <x:c r="N593" s="84" t="str">
        <x:f>IFERROR(VLOOKUP(L593,'Reference Data'!$A$5:$F$40,3,FALSE),"Unknown")</x:f>
        <x:v>Electronics</x:v>
      </x:c>
      <x:c r="O593" s="84" t="str">
        <x:f>IFERROR(VLOOKUP(L593,'Reference Data'!$A$5:$F$40,4,FALSE),"Unknown")</x:f>
        <x:v>Storage</x:v>
      </x:c>
      <x:c r="P593" s="92" t="n">
        <x:f>IFERROR(VLOOKUP(L593,'Reference Data'!$A$5:$F$40,5,FALSE),0)</x:f>
        <x:v>129</x:v>
      </x:c>
      <x:c r="Q593" s="92" t="n">
        <x:f>IFERROR(VLOOKUP(L593,'Reference Data'!$A$5:$F$40,6,FALSE),0)</x:f>
        <x:v>75</x:v>
      </x:c>
      <x:c r="R593" s="84" t="n">
        <x:f>'Raw Sales'!J593</x:f>
        <x:v>2</x:v>
      </x:c>
      <x:c r="S593" s="87" t="n">
        <x:f>'Raw Sales'!K593</x:f>
        <x:v>0</x:v>
      </x:c>
      <x:c r="T593" s="93" t="n">
        <x:f>P593*R593</x:f>
        <x:v>258</x:v>
      </x:c>
      <x:c r="U593" s="93" t="n">
        <x:f>T593*S593</x:f>
        <x:v>0</x:v>
      </x:c>
      <x:c r="V593" s="93" t="str">
        <x:f>PROPER(TRIM('Raw Sales'!L593))</x:f>
        <x:v>Completed</x:v>
      </x:c>
      <x:c r="W593" s="93" t="n">
        <x:f>IF(V593="Returned",0,T593-U593)</x:f>
        <x:v>258</x:v>
      </x:c>
      <x:c r="X593" s="93" t="n">
        <x:f>IF(V593="Returned",Q593*R593*10%,Q593*R593)</x:f>
        <x:v>150</x:v>
      </x:c>
      <x:c r="Y593" s="93" t="n">
        <x:f>W593-X593</x:f>
        <x:v>108</x:v>
      </x:c>
      <x:c r="Z593" s="94" t="n">
        <x:f>IFERROR(Y593/W593,0)</x:f>
        <x:v>0.4186046511627907</x:v>
      </x:c>
      <x:c r="AA593" s="84" t="str">
        <x:f>PROPER(TRIM('Raw Sales'!M593))</x:f>
        <x:v>Mobile Wallet</x:v>
      </x:c>
      <x:c r="AB593" s="84" t="str">
        <x:f>PROPER(TRIM('Raw Sales'!N593))</x:f>
        <x:v>Lucas Grant</x:v>
      </x:c>
      <x:c r="AC593" s="85" t="n">
        <x:f>'Raw Sales'!O593</x:f>
        <x:v>45515</x:v>
      </x:c>
      <x:c r="AD593" s="84" t="n">
        <x:f>AC593-B593</x:f>
        <x:v>4</x:v>
      </x:c>
      <x:c r="AE593" s="84" t="str">
        <x:f>IF(COUNTIF($A$5:A593,A593)&gt;1,"Duplicate","Keep")</x:f>
        <x:v>Keep</x:v>
      </x:c>
      <x:c r="AF593" s="84" t="str">
        <x:f>IF(OR(R593&lt;=0,AC593&lt;B593,H593="Unknown",M593="Unknown Product"),"Review","Valid")</x:f>
        <x:v>Valid</x:v>
      </x:c>
      <x:c r="AG593" s="84" t="n">
        <x:f>IF(AND(AE593="Keep",AF593="Valid"),1,0)</x:f>
        <x:v>1</x:v>
      </x:c>
      <x:c r="AH593" s="84" t="n">
        <x:f>IF(AND(AG593=1,OR('Dashboard'!$B$4="All",I593='Dashboard'!$B$4),OR('Dashboard'!$E$4="All",N593='Dashboard'!$E$4),OR('Dashboard'!$H$4="All",K593='Dashboard'!$H$4),OR('Dashboard'!$K$4="All",C593='Dashboard'!$K$4)),1,0)</x:f>
        <x:v>1</x:v>
      </x:c>
      <x:c r="AI593" s="84" t="n">
        <x:f>IF(AND(AG593=1,OR('Dashboard'!$B$4="All",I593='Dashboard'!$B$4),OR('Dashboard'!$E$4="All",N593='Dashboard'!$E$4),OR('Dashboard'!$H$4="All",K593='Dashboard'!$H$4)),1,0)</x:f>
        <x:v>1</x:v>
      </x:c>
    </x:row>
    <x:row r="594">
      <x:c r="A594" s="84" t="str">
        <x:f>'Raw Sales'!A594</x:f>
        <x:v>ORD-2024-01722</x:v>
      </x:c>
      <x:c r="B594" s="85" t="n">
        <x:f>'Raw Sales'!B594</x:f>
        <x:v>45511</x:v>
      </x:c>
      <x:c r="C594" s="84" t="n">
        <x:f>YEAR(B594)</x:f>
        <x:v>2024</x:v>
      </x:c>
      <x:c r="D594" s="91" t="n">
        <x:f>DATE(YEAR(B594),MONTH(B594),1)</x:f>
        <x:v>45505</x:v>
      </x:c>
      <x:c r="E594" s="84" t="str">
        <x:f>TEXT(B594,"mmm")</x:f>
        <x:v>Aug</x:v>
      </x:c>
      <x:c r="F594" s="84" t="str">
        <x:f>'Raw Sales'!C594</x:f>
        <x:v>CUST-0024</x:v>
      </x:c>
      <x:c r="G594" s="84" t="str">
        <x:f>PROPER(TRIM('Raw Sales'!D594))</x:f>
        <x:v>Zara Quinn</x:v>
      </x:c>
      <x:c r="H594" s="84" t="str">
        <x:f>IF(TRIM('Raw Sales'!E594)="","Unknown",PROPER(TRIM('Raw Sales'!E594)))</x:f>
        <x:v>Consumer</x:v>
      </x:c>
      <x:c r="I594" s="84" t="str">
        <x:f>PROPER(TRIM('Raw Sales'!F594))</x:f>
        <x:v>Midwest</x:v>
      </x:c>
      <x:c r="J594" s="84" t="str">
        <x:f>PROPER(TRIM('Raw Sales'!G594))</x:f>
        <x:v>Columbus</x:v>
      </x:c>
      <x:c r="K594" s="84" t="str">
        <x:f>PROPER(TRIM('Raw Sales'!H594))</x:f>
        <x:v>Online</x:v>
      </x:c>
      <x:c r="L594" s="84" t="str">
        <x:f>'Raw Sales'!I594</x:f>
        <x:v>ACCS-006</x:v>
      </x:c>
      <x:c r="M594" s="84" t="str">
        <x:f>IFERROR(VLOOKUP(L594,'Reference Data'!$A$5:$F$40,2,FALSE),"Unknown Product")</x:f>
        <x:v>Insulated Lunch Bag</x:v>
      </x:c>
      <x:c r="N594" s="84" t="str">
        <x:f>IFERROR(VLOOKUP(L594,'Reference Data'!$A$5:$F$40,3,FALSE),"Unknown")</x:f>
        <x:v>Accessories</x:v>
      </x:c>
      <x:c r="O594" s="84" t="str">
        <x:f>IFERROR(VLOOKUP(L594,'Reference Data'!$A$5:$F$40,4,FALSE),"Unknown")</x:f>
        <x:v>Bags</x:v>
      </x:c>
      <x:c r="P594" s="92" t="n">
        <x:f>IFERROR(VLOOKUP(L594,'Reference Data'!$A$5:$F$40,5,FALSE),0)</x:f>
        <x:v>29</x:v>
      </x:c>
      <x:c r="Q594" s="92" t="n">
        <x:f>IFERROR(VLOOKUP(L594,'Reference Data'!$A$5:$F$40,6,FALSE),0)</x:f>
        <x:v>10</x:v>
      </x:c>
      <x:c r="R594" s="84" t="n">
        <x:f>'Raw Sales'!J594</x:f>
        <x:v>2</x:v>
      </x:c>
      <x:c r="S594" s="87" t="n">
        <x:f>'Raw Sales'!K594</x:f>
        <x:v>0.05</x:v>
      </x:c>
      <x:c r="T594" s="93" t="n">
        <x:f>P594*R594</x:f>
        <x:v>58</x:v>
      </x:c>
      <x:c r="U594" s="93" t="n">
        <x:f>T594*S594</x:f>
        <x:v>2.9000000000000004</x:v>
      </x:c>
      <x:c r="V594" s="93" t="str">
        <x:f>PROPER(TRIM('Raw Sales'!L594))</x:f>
        <x:v>Completed</x:v>
      </x:c>
      <x:c r="W594" s="93" t="n">
        <x:f>IF(V594="Returned",0,T594-U594)</x:f>
        <x:v>55.1</x:v>
      </x:c>
      <x:c r="X594" s="93" t="n">
        <x:f>IF(V594="Returned",Q594*R594*10%,Q594*R594)</x:f>
        <x:v>20</x:v>
      </x:c>
      <x:c r="Y594" s="93" t="n">
        <x:f>W594-X594</x:f>
        <x:v>35.1</x:v>
      </x:c>
      <x:c r="Z594" s="94" t="n">
        <x:f>IFERROR(Y594/W594,0)</x:f>
        <x:v>0.6370235934664247</x:v>
      </x:c>
      <x:c r="AA594" s="84" t="str">
        <x:f>PROPER(TRIM('Raw Sales'!M594))</x:f>
        <x:v>Credit Card</x:v>
      </x:c>
      <x:c r="AB594" s="84" t="str">
        <x:f>PROPER(TRIM('Raw Sales'!N594))</x:f>
        <x:v>Emma Hayes</x:v>
      </x:c>
      <x:c r="AC594" s="85" t="n">
        <x:f>'Raw Sales'!O594</x:f>
        <x:v>45516</x:v>
      </x:c>
      <x:c r="AD594" s="84" t="n">
        <x:f>AC594-B594</x:f>
        <x:v>5</x:v>
      </x:c>
      <x:c r="AE594" s="84" t="str">
        <x:f>IF(COUNTIF($A$5:A594,A594)&gt;1,"Duplicate","Keep")</x:f>
        <x:v>Keep</x:v>
      </x:c>
      <x:c r="AF594" s="84" t="str">
        <x:f>IF(OR(R594&lt;=0,AC594&lt;B594,H594="Unknown",M594="Unknown Product"),"Review","Valid")</x:f>
        <x:v>Valid</x:v>
      </x:c>
      <x:c r="AG594" s="84" t="n">
        <x:f>IF(AND(AE594="Keep",AF594="Valid"),1,0)</x:f>
        <x:v>1</x:v>
      </x:c>
      <x:c r="AH594" s="84" t="n">
        <x:f>IF(AND(AG594=1,OR('Dashboard'!$B$4="All",I594='Dashboard'!$B$4),OR('Dashboard'!$E$4="All",N594='Dashboard'!$E$4),OR('Dashboard'!$H$4="All",K594='Dashboard'!$H$4),OR('Dashboard'!$K$4="All",C594='Dashboard'!$K$4)),1,0)</x:f>
        <x:v>1</x:v>
      </x:c>
      <x:c r="AI594" s="84" t="n">
        <x:f>IF(AND(AG594=1,OR('Dashboard'!$B$4="All",I594='Dashboard'!$B$4),OR('Dashboard'!$E$4="All",N594='Dashboard'!$E$4),OR('Dashboard'!$H$4="All",K594='Dashboard'!$H$4)),1,0)</x:f>
        <x:v>1</x:v>
      </x:c>
    </x:row>
    <x:row r="595">
      <x:c r="A595" s="84" t="str">
        <x:f>'Raw Sales'!A595</x:f>
        <x:v>ORD-2024-01966</x:v>
      </x:c>
      <x:c r="B595" s="85" t="n">
        <x:f>'Raw Sales'!B595</x:f>
        <x:v>45511</x:v>
      </x:c>
      <x:c r="C595" s="84" t="n">
        <x:f>YEAR(B595)</x:f>
        <x:v>2024</x:v>
      </x:c>
      <x:c r="D595" s="91" t="n">
        <x:f>DATE(YEAR(B595),MONTH(B595),1)</x:f>
        <x:v>45505</x:v>
      </x:c>
      <x:c r="E595" s="84" t="str">
        <x:f>TEXT(B595,"mmm")</x:f>
        <x:v>Aug</x:v>
      </x:c>
      <x:c r="F595" s="84" t="str">
        <x:f>'Raw Sales'!C595</x:f>
        <x:v>CUST-0297</x:v>
      </x:c>
      <x:c r="G595" s="84" t="str">
        <x:f>PROPER(TRIM('Raw Sales'!D595))</x:f>
        <x:v>Nathan Davis</x:v>
      </x:c>
      <x:c r="H595" s="84" t="str">
        <x:f>IF(TRIM('Raw Sales'!E595)="","Unknown",PROPER(TRIM('Raw Sales'!E595)))</x:f>
        <x:v>Consumer</x:v>
      </x:c>
      <x:c r="I595" s="84" t="str">
        <x:f>PROPER(TRIM('Raw Sales'!F595))</x:f>
        <x:v>Midwest</x:v>
      </x:c>
      <x:c r="J595" s="84" t="str">
        <x:f>PROPER(TRIM('Raw Sales'!G595))</x:f>
        <x:v>Minneapolis</x:v>
      </x:c>
      <x:c r="K595" s="84" t="str">
        <x:f>PROPER(TRIM('Raw Sales'!H595))</x:f>
        <x:v>Retail Store</x:v>
      </x:c>
      <x:c r="L595" s="84" t="str">
        <x:f>'Raw Sales'!I595</x:f>
        <x:v>ACCS-001</x:v>
      </x:c>
      <x:c r="M595" s="84" t="str">
        <x:f>IFERROR(VLOOKUP(L595,'Reference Data'!$A$5:$F$40,2,FALSE),"Unknown Product")</x:f>
        <x:v>Canvas Tote Bag</x:v>
      </x:c>
      <x:c r="N595" s="84" t="str">
        <x:f>IFERROR(VLOOKUP(L595,'Reference Data'!$A$5:$F$40,3,FALSE),"Unknown")</x:f>
        <x:v>Accessories</x:v>
      </x:c>
      <x:c r="O595" s="84" t="str">
        <x:f>IFERROR(VLOOKUP(L595,'Reference Data'!$A$5:$F$40,4,FALSE),"Unknown")</x:f>
        <x:v>Bags</x:v>
      </x:c>
      <x:c r="P595" s="92" t="n">
        <x:f>IFERROR(VLOOKUP(L595,'Reference Data'!$A$5:$F$40,5,FALSE),0)</x:f>
        <x:v>39</x:v>
      </x:c>
      <x:c r="Q595" s="92" t="n">
        <x:f>IFERROR(VLOOKUP(L595,'Reference Data'!$A$5:$F$40,6,FALSE),0)</x:f>
        <x:v>14</x:v>
      </x:c>
      <x:c r="R595" s="84" t="n">
        <x:f>'Raw Sales'!J595</x:f>
        <x:v>1</x:v>
      </x:c>
      <x:c r="S595" s="87" t="n">
        <x:f>'Raw Sales'!K595</x:f>
        <x:v>0</x:v>
      </x:c>
      <x:c r="T595" s="93" t="n">
        <x:f>P595*R595</x:f>
        <x:v>39</x:v>
      </x:c>
      <x:c r="U595" s="93" t="n">
        <x:f>T595*S595</x:f>
        <x:v>0</x:v>
      </x:c>
      <x:c r="V595" s="93" t="str">
        <x:f>PROPER(TRIM('Raw Sales'!L595))</x:f>
        <x:v>Completed</x:v>
      </x:c>
      <x:c r="W595" s="93" t="n">
        <x:f>IF(V595="Returned",0,T595-U595)</x:f>
        <x:v>39</x:v>
      </x:c>
      <x:c r="X595" s="93" t="n">
        <x:f>IF(V595="Returned",Q595*R595*10%,Q595*R595)</x:f>
        <x:v>14</x:v>
      </x:c>
      <x:c r="Y595" s="93" t="n">
        <x:f>W595-X595</x:f>
        <x:v>25</x:v>
      </x:c>
      <x:c r="Z595" s="94" t="n">
        <x:f>IFERROR(Y595/W595,0)</x:f>
        <x:v>0.6410256410256411</x:v>
      </x:c>
      <x:c r="AA595" s="84" t="str">
        <x:f>PROPER(TRIM('Raw Sales'!M595))</x:f>
        <x:v>Debit Card</x:v>
      </x:c>
      <x:c r="AB595" s="84" t="str">
        <x:f>PROPER(TRIM('Raw Sales'!N595))</x:f>
        <x:v>Emma Hayes</x:v>
      </x:c>
      <x:c r="AC595" s="85" t="n">
        <x:f>'Raw Sales'!O595</x:f>
        <x:v>45511</x:v>
      </x:c>
      <x:c r="AD595" s="84" t="n">
        <x:f>AC595-B595</x:f>
        <x:v>0</x:v>
      </x:c>
      <x:c r="AE595" s="84" t="str">
        <x:f>IF(COUNTIF($A$5:A595,A595)&gt;1,"Duplicate","Keep")</x:f>
        <x:v>Keep</x:v>
      </x:c>
      <x:c r="AF595" s="84" t="str">
        <x:f>IF(OR(R595&lt;=0,AC595&lt;B595,H595="Unknown",M595="Unknown Product"),"Review","Valid")</x:f>
        <x:v>Valid</x:v>
      </x:c>
      <x:c r="AG595" s="84" t="n">
        <x:f>IF(AND(AE595="Keep",AF595="Valid"),1,0)</x:f>
        <x:v>1</x:v>
      </x:c>
      <x:c r="AH595" s="84" t="n">
        <x:f>IF(AND(AG595=1,OR('Dashboard'!$B$4="All",I595='Dashboard'!$B$4),OR('Dashboard'!$E$4="All",N595='Dashboard'!$E$4),OR('Dashboard'!$H$4="All",K595='Dashboard'!$H$4),OR('Dashboard'!$K$4="All",C595='Dashboard'!$K$4)),1,0)</x:f>
        <x:v>1</x:v>
      </x:c>
      <x:c r="AI595" s="84" t="n">
        <x:f>IF(AND(AG595=1,OR('Dashboard'!$B$4="All",I595='Dashboard'!$B$4),OR('Dashboard'!$E$4="All",N595='Dashboard'!$E$4),OR('Dashboard'!$H$4="All",K595='Dashboard'!$H$4)),1,0)</x:f>
        <x:v>1</x:v>
      </x:c>
    </x:row>
    <x:row r="596">
      <x:c r="A596" s="84" t="str">
        <x:f>'Raw Sales'!A596</x:f>
        <x:v>ORD-2024-00028</x:v>
      </x:c>
      <x:c r="B596" s="85" t="n">
        <x:f>'Raw Sales'!B596</x:f>
        <x:v>45512</x:v>
      </x:c>
      <x:c r="C596" s="84" t="n">
        <x:f>YEAR(B596)</x:f>
        <x:v>2024</x:v>
      </x:c>
      <x:c r="D596" s="91" t="n">
        <x:f>DATE(YEAR(B596),MONTH(B596),1)</x:f>
        <x:v>45505</x:v>
      </x:c>
      <x:c r="E596" s="84" t="str">
        <x:f>TEXT(B596,"mmm")</x:f>
        <x:v>Aug</x:v>
      </x:c>
      <x:c r="F596" s="84" t="str">
        <x:f>'Raw Sales'!C596</x:f>
        <x:v>CUST-0157</x:v>
      </x:c>
      <x:c r="G596" s="84" t="str">
        <x:f>PROPER(TRIM('Raw Sales'!D596))</x:f>
        <x:v>Isaac Smith</x:v>
      </x:c>
      <x:c r="H596" s="84" t="str">
        <x:f>IF(TRIM('Raw Sales'!E596)="","Unknown",PROPER(TRIM('Raw Sales'!E596)))</x:f>
        <x:v>Corporate</x:v>
      </x:c>
      <x:c r="I596" s="84" t="str">
        <x:f>PROPER(TRIM('Raw Sales'!F596))</x:f>
        <x:v>West</x:v>
      </x:c>
      <x:c r="J596" s="84" t="str">
        <x:f>PROPER(TRIM('Raw Sales'!G596))</x:f>
        <x:v>Los Angeles</x:v>
      </x:c>
      <x:c r="K596" s="84" t="str">
        <x:f>PROPER(TRIM('Raw Sales'!H596))</x:f>
        <x:v>Online</x:v>
      </x:c>
      <x:c r="L596" s="84" t="str">
        <x:f>'Raw Sales'!I596</x:f>
        <x:v>ELEC-004</x:v>
      </x:c>
      <x:c r="M596" s="84" t="str">
        <x:f>IFERROR(VLOOKUP(L596,'Reference Data'!$A$5:$F$40,2,FALSE),"Unknown Product")</x:f>
        <x:v>Power Bank</x:v>
      </x:c>
      <x:c r="N596" s="84" t="str">
        <x:f>IFERROR(VLOOKUP(L596,'Reference Data'!$A$5:$F$40,3,FALSE),"Unknown")</x:f>
        <x:v>Electronics</x:v>
      </x:c>
      <x:c r="O596" s="84" t="str">
        <x:f>IFERROR(VLOOKUP(L596,'Reference Data'!$A$5:$F$40,4,FALSE),"Unknown")</x:f>
        <x:v>Mobile Accessories</x:v>
      </x:c>
      <x:c r="P596" s="92" t="n">
        <x:f>IFERROR(VLOOKUP(L596,'Reference Data'!$A$5:$F$40,5,FALSE),0)</x:f>
        <x:v>39</x:v>
      </x:c>
      <x:c r="Q596" s="92" t="n">
        <x:f>IFERROR(VLOOKUP(L596,'Reference Data'!$A$5:$F$40,6,FALSE),0)</x:f>
        <x:v>18</x:v>
      </x:c>
      <x:c r="R596" s="84" t="n">
        <x:f>'Raw Sales'!J596</x:f>
        <x:v>6</x:v>
      </x:c>
      <x:c r="S596" s="87" t="n">
        <x:f>'Raw Sales'!K596</x:f>
        <x:v>0.05</x:v>
      </x:c>
      <x:c r="T596" s="93" t="n">
        <x:f>P596*R596</x:f>
        <x:v>234</x:v>
      </x:c>
      <x:c r="U596" s="93" t="n">
        <x:f>T596*S596</x:f>
        <x:v>11.700000000000001</x:v>
      </x:c>
      <x:c r="V596" s="93" t="str">
        <x:f>PROPER(TRIM('Raw Sales'!L596))</x:f>
        <x:v>Completed</x:v>
      </x:c>
      <x:c r="W596" s="93" t="n">
        <x:f>IF(V596="Returned",0,T596-U596)</x:f>
        <x:v>222.3</x:v>
      </x:c>
      <x:c r="X596" s="93" t="n">
        <x:f>IF(V596="Returned",Q596*R596*10%,Q596*R596)</x:f>
        <x:v>108</x:v>
      </x:c>
      <x:c r="Y596" s="93" t="n">
        <x:f>W596-X596</x:f>
        <x:v>114.30000000000001</x:v>
      </x:c>
      <x:c r="Z596" s="94" t="n">
        <x:f>IFERROR(Y596/W596,0)</x:f>
        <x:v>0.51417004048583</x:v>
      </x:c>
      <x:c r="AA596" s="84" t="str">
        <x:f>PROPER(TRIM('Raw Sales'!M596))</x:f>
        <x:v>Mobile Wallet</x:v>
      </x:c>
      <x:c r="AB596" s="84" t="str">
        <x:f>PROPER(TRIM('Raw Sales'!N596))</x:f>
        <x:v>Nora Kim</x:v>
      </x:c>
      <x:c r="AC596" s="85" t="n">
        <x:f>'Raw Sales'!O596</x:f>
        <x:v>45515</x:v>
      </x:c>
      <x:c r="AD596" s="84" t="n">
        <x:f>AC596-B596</x:f>
        <x:v>3</x:v>
      </x:c>
      <x:c r="AE596" s="84" t="str">
        <x:f>IF(COUNTIF($A$5:A596,A596)&gt;1,"Duplicate","Keep")</x:f>
        <x:v>Keep</x:v>
      </x:c>
      <x:c r="AF596" s="84" t="str">
        <x:f>IF(OR(R596&lt;=0,AC596&lt;B596,H596="Unknown",M596="Unknown Product"),"Review","Valid")</x:f>
        <x:v>Valid</x:v>
      </x:c>
      <x:c r="AG596" s="84" t="n">
        <x:f>IF(AND(AE596="Keep",AF596="Valid"),1,0)</x:f>
        <x:v>1</x:v>
      </x:c>
      <x:c r="AH596" s="84" t="n">
        <x:f>IF(AND(AG596=1,OR('Dashboard'!$B$4="All",I596='Dashboard'!$B$4),OR('Dashboard'!$E$4="All",N596='Dashboard'!$E$4),OR('Dashboard'!$H$4="All",K596='Dashboard'!$H$4),OR('Dashboard'!$K$4="All",C596='Dashboard'!$K$4)),1,0)</x:f>
        <x:v>1</x:v>
      </x:c>
      <x:c r="AI596" s="84" t="n">
        <x:f>IF(AND(AG596=1,OR('Dashboard'!$B$4="All",I596='Dashboard'!$B$4),OR('Dashboard'!$E$4="All",N596='Dashboard'!$E$4),OR('Dashboard'!$H$4="All",K596='Dashboard'!$H$4)),1,0)</x:f>
        <x:v>1</x:v>
      </x:c>
    </x:row>
    <x:row r="597">
      <x:c r="A597" s="84" t="str">
        <x:f>'Raw Sales'!A597</x:f>
        <x:v>ORD-2024-00102</x:v>
      </x:c>
      <x:c r="B597" s="85" t="n">
        <x:f>'Raw Sales'!B597</x:f>
        <x:v>45513</x:v>
      </x:c>
      <x:c r="C597" s="84" t="n">
        <x:f>YEAR(B597)</x:f>
        <x:v>2024</x:v>
      </x:c>
      <x:c r="D597" s="91" t="n">
        <x:f>DATE(YEAR(B597),MONTH(B597),1)</x:f>
        <x:v>45505</x:v>
      </x:c>
      <x:c r="E597" s="84" t="str">
        <x:f>TEXT(B597,"mmm")</x:f>
        <x:v>Aug</x:v>
      </x:c>
      <x:c r="F597" s="84" t="str">
        <x:f>'Raw Sales'!C597</x:f>
        <x:v>CUST-0310</x:v>
      </x:c>
      <x:c r="G597" s="84" t="str">
        <x:f>PROPER(TRIM('Raw Sales'!D597))</x:f>
        <x:v>Marcus Patel</x:v>
      </x:c>
      <x:c r="H597" s="84" t="str">
        <x:f>IF(TRIM('Raw Sales'!E597)="","Unknown",PROPER(TRIM('Raw Sales'!E597)))</x:f>
        <x:v>Consumer</x:v>
      </x:c>
      <x:c r="I597" s="84" t="str">
        <x:f>PROPER(TRIM('Raw Sales'!F597))</x:f>
        <x:v>Midwest</x:v>
      </x:c>
      <x:c r="J597" s="84" t="str">
        <x:f>PROPER(TRIM('Raw Sales'!G597))</x:f>
        <x:v>Columbus</x:v>
      </x:c>
      <x:c r="K597" s="84" t="str">
        <x:f>PROPER(TRIM('Raw Sales'!H597))</x:f>
        <x:v>Retail Store</x:v>
      </x:c>
      <x:c r="L597" s="84" t="str">
        <x:f>'Raw Sales'!I597</x:f>
        <x:v>CARE-001</x:v>
      </x:c>
      <x:c r="M597" s="84" t="str">
        <x:f>IFERROR(VLOOKUP(L597,'Reference Data'!$A$5:$F$40,2,FALSE),"Unknown Product")</x:f>
        <x:v>Ionic Hair Dryer</x:v>
      </x:c>
      <x:c r="N597" s="84" t="str">
        <x:f>IFERROR(VLOOKUP(L597,'Reference Data'!$A$5:$F$40,3,FALSE),"Unknown")</x:f>
        <x:v>Personal Care</x:v>
      </x:c>
      <x:c r="O597" s="84" t="str">
        <x:f>IFERROR(VLOOKUP(L597,'Reference Data'!$A$5:$F$40,4,FALSE),"Unknown")</x:f>
        <x:v>Hair Care</x:v>
      </x:c>
      <x:c r="P597" s="92" t="n">
        <x:f>IFERROR(VLOOKUP(L597,'Reference Data'!$A$5:$F$40,5,FALSE),0)</x:f>
        <x:v>54</x:v>
      </x:c>
      <x:c r="Q597" s="92" t="n">
        <x:f>IFERROR(VLOOKUP(L597,'Reference Data'!$A$5:$F$40,6,FALSE),0)</x:f>
        <x:v>25</x:v>
      </x:c>
      <x:c r="R597" s="84" t="n">
        <x:f>'Raw Sales'!J597</x:f>
        <x:v>3</x:v>
      </x:c>
      <x:c r="S597" s="87" t="n">
        <x:f>'Raw Sales'!K597</x:f>
        <x:v>0</x:v>
      </x:c>
      <x:c r="T597" s="93" t="n">
        <x:f>P597*R597</x:f>
        <x:v>162</x:v>
      </x:c>
      <x:c r="U597" s="93" t="n">
        <x:f>T597*S597</x:f>
        <x:v>0</x:v>
      </x:c>
      <x:c r="V597" s="93" t="str">
        <x:f>PROPER(TRIM('Raw Sales'!L597))</x:f>
        <x:v>Completed</x:v>
      </x:c>
      <x:c r="W597" s="93" t="n">
        <x:f>IF(V597="Returned",0,T597-U597)</x:f>
        <x:v>162</x:v>
      </x:c>
      <x:c r="X597" s="93" t="n">
        <x:f>IF(V597="Returned",Q597*R597*10%,Q597*R597)</x:f>
        <x:v>75</x:v>
      </x:c>
      <x:c r="Y597" s="93" t="n">
        <x:f>W597-X597</x:f>
        <x:v>87</x:v>
      </x:c>
      <x:c r="Z597" s="94" t="n">
        <x:f>IFERROR(Y597/W597,0)</x:f>
        <x:v>0.5370370370370371</x:v>
      </x:c>
      <x:c r="AA597" s="84" t="str">
        <x:f>PROPER(TRIM('Raw Sales'!M597))</x:f>
        <x:v>Mobile Wallet</x:v>
      </x:c>
      <x:c r="AB597" s="84" t="str">
        <x:f>PROPER(TRIM('Raw Sales'!N597))</x:f>
        <x:v>Emma Hayes</x:v>
      </x:c>
      <x:c r="AC597" s="85" t="n">
        <x:f>'Raw Sales'!O597</x:f>
        <x:v>45513</x:v>
      </x:c>
      <x:c r="AD597" s="84" t="n">
        <x:f>AC597-B597</x:f>
        <x:v>0</x:v>
      </x:c>
      <x:c r="AE597" s="84" t="str">
        <x:f>IF(COUNTIF($A$5:A597,A597)&gt;1,"Duplicate","Keep")</x:f>
        <x:v>Keep</x:v>
      </x:c>
      <x:c r="AF597" s="84" t="str">
        <x:f>IF(OR(R597&lt;=0,AC597&lt;B597,H597="Unknown",M597="Unknown Product"),"Review","Valid")</x:f>
        <x:v>Valid</x:v>
      </x:c>
      <x:c r="AG597" s="84" t="n">
        <x:f>IF(AND(AE597="Keep",AF597="Valid"),1,0)</x:f>
        <x:v>1</x:v>
      </x:c>
      <x:c r="AH597" s="84" t="n">
        <x:f>IF(AND(AG597=1,OR('Dashboard'!$B$4="All",I597='Dashboard'!$B$4),OR('Dashboard'!$E$4="All",N597='Dashboard'!$E$4),OR('Dashboard'!$H$4="All",K597='Dashboard'!$H$4),OR('Dashboard'!$K$4="All",C597='Dashboard'!$K$4)),1,0)</x:f>
        <x:v>1</x:v>
      </x:c>
      <x:c r="AI597" s="84" t="n">
        <x:f>IF(AND(AG597=1,OR('Dashboard'!$B$4="All",I597='Dashboard'!$B$4),OR('Dashboard'!$E$4="All",N597='Dashboard'!$E$4),OR('Dashboard'!$H$4="All",K597='Dashboard'!$H$4)),1,0)</x:f>
        <x:v>1</x:v>
      </x:c>
    </x:row>
    <x:row r="598">
      <x:c r="A598" s="84" t="str">
        <x:f>'Raw Sales'!A598</x:f>
        <x:v>ORD-2024-00140</x:v>
      </x:c>
      <x:c r="B598" s="85" t="n">
        <x:f>'Raw Sales'!B598</x:f>
        <x:v>45513</x:v>
      </x:c>
      <x:c r="C598" s="84" t="n">
        <x:f>YEAR(B598)</x:f>
        <x:v>2024</x:v>
      </x:c>
      <x:c r="D598" s="91" t="n">
        <x:f>DATE(YEAR(B598),MONTH(B598),1)</x:f>
        <x:v>45505</x:v>
      </x:c>
      <x:c r="E598" s="84" t="str">
        <x:f>TEXT(B598,"mmm")</x:f>
        <x:v>Aug</x:v>
      </x:c>
      <x:c r="F598" s="84" t="str">
        <x:f>'Raw Sales'!C598</x:f>
        <x:v>CUST-0145</x:v>
      </x:c>
      <x:c r="G598" s="84" t="str">
        <x:f>PROPER(TRIM('Raw Sales'!D598))</x:f>
        <x:v>Samuel Adams</x:v>
      </x:c>
      <x:c r="H598" s="84" t="str">
        <x:f>IF(TRIM('Raw Sales'!E598)="","Unknown",PROPER(TRIM('Raw Sales'!E598)))</x:f>
        <x:v>Consumer</x:v>
      </x:c>
      <x:c r="I598" s="84" t="str">
        <x:f>PROPER(TRIM('Raw Sales'!F598))</x:f>
        <x:v>Southeast</x:v>
      </x:c>
      <x:c r="J598" s="84" t="str">
        <x:f>PROPER(TRIM('Raw Sales'!G598))</x:f>
        <x:v>Nashville</x:v>
      </x:c>
      <x:c r="K598" s="84" t="str">
        <x:f>PROPER(TRIM('Raw Sales'!H598))</x:f>
        <x:v>Online</x:v>
      </x:c>
      <x:c r="L598" s="84" t="str">
        <x:f>'Raw Sales'!I598</x:f>
        <x:v>OFFC-001</x:v>
      </x:c>
      <x:c r="M598" s="84" t="str">
        <x:f>IFERROR(VLOOKUP(L598,'Reference Data'!$A$5:$F$40,2,FALSE),"Unknown Product")</x:f>
        <x:v>Ergonomic Chair</x:v>
      </x:c>
      <x:c r="N598" s="84" t="str">
        <x:f>IFERROR(VLOOKUP(L598,'Reference Data'!$A$5:$F$40,3,FALSE),"Unknown")</x:f>
        <x:v>Office</x:v>
      </x:c>
      <x:c r="O598" s="84" t="str">
        <x:f>IFERROR(VLOOKUP(L598,'Reference Data'!$A$5:$F$40,4,FALSE),"Unknown")</x:f>
        <x:v>Furniture</x:v>
      </x:c>
      <x:c r="P598" s="92" t="n">
        <x:f>IFERROR(VLOOKUP(L598,'Reference Data'!$A$5:$F$40,5,FALSE),0)</x:f>
        <x:v>249</x:v>
      </x:c>
      <x:c r="Q598" s="92" t="n">
        <x:f>IFERROR(VLOOKUP(L598,'Reference Data'!$A$5:$F$40,6,FALSE),0)</x:f>
        <x:v>145</x:v>
      </x:c>
      <x:c r="R598" s="84" t="n">
        <x:f>'Raw Sales'!J598</x:f>
        <x:v>2</x:v>
      </x:c>
      <x:c r="S598" s="87" t="n">
        <x:f>'Raw Sales'!K598</x:f>
        <x:v>0.05</x:v>
      </x:c>
      <x:c r="T598" s="93" t="n">
        <x:f>P598*R598</x:f>
        <x:v>498</x:v>
      </x:c>
      <x:c r="U598" s="93" t="n">
        <x:f>T598*S598</x:f>
        <x:v>24.900000000000002</x:v>
      </x:c>
      <x:c r="V598" s="93" t="str">
        <x:f>PROPER(TRIM('Raw Sales'!L598))</x:f>
        <x:v>Completed</x:v>
      </x:c>
      <x:c r="W598" s="93" t="n">
        <x:f>IF(V598="Returned",0,T598-U598)</x:f>
        <x:v>473.1</x:v>
      </x:c>
      <x:c r="X598" s="93" t="n">
        <x:f>IF(V598="Returned",Q598*R598*10%,Q598*R598)</x:f>
        <x:v>290</x:v>
      </x:c>
      <x:c r="Y598" s="93" t="n">
        <x:f>W598-X598</x:f>
        <x:v>183.10000000000002</x:v>
      </x:c>
      <x:c r="Z598" s="94" t="n">
        <x:f>IFERROR(Y598/W598,0)</x:f>
        <x:v>0.3870217712957092</x:v>
      </x:c>
      <x:c r="AA598" s="84" t="str">
        <x:f>PROPER(TRIM('Raw Sales'!M598))</x:f>
        <x:v>Credit Card</x:v>
      </x:c>
      <x:c r="AB598" s="84" t="str">
        <x:f>PROPER(TRIM('Raw Sales'!N598))</x:f>
        <x:v>Noah Reed</x:v>
      </x:c>
      <x:c r="AC598" s="85" t="n">
        <x:f>'Raw Sales'!O598</x:f>
        <x:v>45515</x:v>
      </x:c>
      <x:c r="AD598" s="84" t="n">
        <x:f>AC598-B598</x:f>
        <x:v>2</x:v>
      </x:c>
      <x:c r="AE598" s="84" t="str">
        <x:f>IF(COUNTIF($A$5:A598,A598)&gt;1,"Duplicate","Keep")</x:f>
        <x:v>Keep</x:v>
      </x:c>
      <x:c r="AF598" s="84" t="str">
        <x:f>IF(OR(R598&lt;=0,AC598&lt;B598,H598="Unknown",M598="Unknown Product"),"Review","Valid")</x:f>
        <x:v>Valid</x:v>
      </x:c>
      <x:c r="AG598" s="84" t="n">
        <x:f>IF(AND(AE598="Keep",AF598="Valid"),1,0)</x:f>
        <x:v>1</x:v>
      </x:c>
      <x:c r="AH598" s="84" t="n">
        <x:f>IF(AND(AG598=1,OR('Dashboard'!$B$4="All",I598='Dashboard'!$B$4),OR('Dashboard'!$E$4="All",N598='Dashboard'!$E$4),OR('Dashboard'!$H$4="All",K598='Dashboard'!$H$4),OR('Dashboard'!$K$4="All",C598='Dashboard'!$K$4)),1,0)</x:f>
        <x:v>1</x:v>
      </x:c>
      <x:c r="AI598" s="84" t="n">
        <x:f>IF(AND(AG598=1,OR('Dashboard'!$B$4="All",I598='Dashboard'!$B$4),OR('Dashboard'!$E$4="All",N598='Dashboard'!$E$4),OR('Dashboard'!$H$4="All",K598='Dashboard'!$H$4)),1,0)</x:f>
        <x:v>1</x:v>
      </x:c>
    </x:row>
    <x:row r="599">
      <x:c r="A599" s="84" t="str">
        <x:f>'Raw Sales'!A599</x:f>
        <x:v>ORD-2024-00633</x:v>
      </x:c>
      <x:c r="B599" s="85" t="n">
        <x:f>'Raw Sales'!B599</x:f>
        <x:v>45513</x:v>
      </x:c>
      <x:c r="C599" s="84" t="n">
        <x:f>YEAR(B599)</x:f>
        <x:v>2024</x:v>
      </x:c>
      <x:c r="D599" s="91" t="n">
        <x:f>DATE(YEAR(B599),MONTH(B599),1)</x:f>
        <x:v>45505</x:v>
      </x:c>
      <x:c r="E599" s="84" t="str">
        <x:f>TEXT(B599,"mmm")</x:f>
        <x:v>Aug</x:v>
      </x:c>
      <x:c r="F599" s="84" t="str">
        <x:f>'Raw Sales'!C599</x:f>
        <x:v>CUST-0231</x:v>
      </x:c>
      <x:c r="G599" s="84" t="str">
        <x:f>PROPER(TRIM('Raw Sales'!D599))</x:f>
        <x:v>Elias Quinn</x:v>
      </x:c>
      <x:c r="H599" s="84" t="str">
        <x:f>IF(TRIM('Raw Sales'!E599)="","Unknown",PROPER(TRIM('Raw Sales'!E599)))</x:f>
        <x:v>Consumer</x:v>
      </x:c>
      <x:c r="I599" s="84" t="str">
        <x:f>PROPER(TRIM('Raw Sales'!F599))</x:f>
        <x:v>Southeast</x:v>
      </x:c>
      <x:c r="J599" s="84" t="str">
        <x:f>PROPER(TRIM('Raw Sales'!G599))</x:f>
        <x:v>Nashville</x:v>
      </x:c>
      <x:c r="K599" s="84" t="str">
        <x:f>PROPER(TRIM('Raw Sales'!H599))</x:f>
        <x:v>Marketplace</x:v>
      </x:c>
      <x:c r="L599" s="84" t="str">
        <x:f>'Raw Sales'!I599</x:f>
        <x:v>ACCS-002</x:v>
      </x:c>
      <x:c r="M599" s="84" t="str">
        <x:f>IFERROR(VLOOKUP(L599,'Reference Data'!$A$5:$F$40,2,FALSE),"Unknown Product")</x:f>
        <x:v>Travel Backpack</x:v>
      </x:c>
      <x:c r="N599" s="84" t="str">
        <x:f>IFERROR(VLOOKUP(L599,'Reference Data'!$A$5:$F$40,3,FALSE),"Unknown")</x:f>
        <x:v>Accessories</x:v>
      </x:c>
      <x:c r="O599" s="84" t="str">
        <x:f>IFERROR(VLOOKUP(L599,'Reference Data'!$A$5:$F$40,4,FALSE),"Unknown")</x:f>
        <x:v>Bags</x:v>
      </x:c>
      <x:c r="P599" s="92" t="n">
        <x:f>IFERROR(VLOOKUP(L599,'Reference Data'!$A$5:$F$40,5,FALSE),0)</x:f>
        <x:v>89</x:v>
      </x:c>
      <x:c r="Q599" s="92" t="n">
        <x:f>IFERROR(VLOOKUP(L599,'Reference Data'!$A$5:$F$40,6,FALSE),0)</x:f>
        <x:v>36</x:v>
      </x:c>
      <x:c r="R599" s="84" t="n">
        <x:f>'Raw Sales'!J599</x:f>
        <x:v>1</x:v>
      </x:c>
      <x:c r="S599" s="87" t="n">
        <x:f>'Raw Sales'!K599</x:f>
        <x:v>0.15</x:v>
      </x:c>
      <x:c r="T599" s="93" t="n">
        <x:f>P599*R599</x:f>
        <x:v>89</x:v>
      </x:c>
      <x:c r="U599" s="93" t="n">
        <x:f>T599*S599</x:f>
        <x:v>13.35</x:v>
      </x:c>
      <x:c r="V599" s="93" t="str">
        <x:f>PROPER(TRIM('Raw Sales'!L599))</x:f>
        <x:v>Completed</x:v>
      </x:c>
      <x:c r="W599" s="93" t="n">
        <x:f>IF(V599="Returned",0,T599-U599)</x:f>
        <x:v>75.65</x:v>
      </x:c>
      <x:c r="X599" s="93" t="n">
        <x:f>IF(V599="Returned",Q599*R599*10%,Q599*R599)</x:f>
        <x:v>36</x:v>
      </x:c>
      <x:c r="Y599" s="93" t="n">
        <x:f>W599-X599</x:f>
        <x:v>39.650000000000006</x:v>
      </x:c>
      <x:c r="Z599" s="94" t="n">
        <x:f>IFERROR(Y599/W599,0)</x:f>
        <x:v>0.5241242564441507</x:v>
      </x:c>
      <x:c r="AA599" s="84" t="str">
        <x:f>PROPER(TRIM('Raw Sales'!M599))</x:f>
        <x:v>Debit Card</x:v>
      </x:c>
      <x:c r="AB599" s="84" t="str">
        <x:f>PROPER(TRIM('Raw Sales'!N599))</x:f>
        <x:v>Ava Mitchell</x:v>
      </x:c>
      <x:c r="AC599" s="85" t="n">
        <x:f>'Raw Sales'!O599</x:f>
        <x:v>45518</x:v>
      </x:c>
      <x:c r="AD599" s="84" t="n">
        <x:f>AC599-B599</x:f>
        <x:v>5</x:v>
      </x:c>
      <x:c r="AE599" s="84" t="str">
        <x:f>IF(COUNTIF($A$5:A599,A599)&gt;1,"Duplicate","Keep")</x:f>
        <x:v>Keep</x:v>
      </x:c>
      <x:c r="AF599" s="84" t="str">
        <x:f>IF(OR(R599&lt;=0,AC599&lt;B599,H599="Unknown",M599="Unknown Product"),"Review","Valid")</x:f>
        <x:v>Valid</x:v>
      </x:c>
      <x:c r="AG599" s="84" t="n">
        <x:f>IF(AND(AE599="Keep",AF599="Valid"),1,0)</x:f>
        <x:v>1</x:v>
      </x:c>
      <x:c r="AH599" s="84" t="n">
        <x:f>IF(AND(AG599=1,OR('Dashboard'!$B$4="All",I599='Dashboard'!$B$4),OR('Dashboard'!$E$4="All",N599='Dashboard'!$E$4),OR('Dashboard'!$H$4="All",K599='Dashboard'!$H$4),OR('Dashboard'!$K$4="All",C599='Dashboard'!$K$4)),1,0)</x:f>
        <x:v>1</x:v>
      </x:c>
      <x:c r="AI599" s="84" t="n">
        <x:f>IF(AND(AG599=1,OR('Dashboard'!$B$4="All",I599='Dashboard'!$B$4),OR('Dashboard'!$E$4="All",N599='Dashboard'!$E$4),OR('Dashboard'!$H$4="All",K599='Dashboard'!$H$4)),1,0)</x:f>
        <x:v>1</x:v>
      </x:c>
    </x:row>
    <x:row r="600">
      <x:c r="A600" s="84" t="str">
        <x:f>'Raw Sales'!A600</x:f>
        <x:v>ORD-2024-00634</x:v>
      </x:c>
      <x:c r="B600" s="85" t="n">
        <x:f>'Raw Sales'!B600</x:f>
        <x:v>45513</x:v>
      </x:c>
      <x:c r="C600" s="84" t="n">
        <x:f>YEAR(B600)</x:f>
        <x:v>2024</x:v>
      </x:c>
      <x:c r="D600" s="91" t="n">
        <x:f>DATE(YEAR(B600),MONTH(B600),1)</x:f>
        <x:v>45505</x:v>
      </x:c>
      <x:c r="E600" s="84" t="str">
        <x:f>TEXT(B600,"mmm")</x:f>
        <x:v>Aug</x:v>
      </x:c>
      <x:c r="F600" s="84" t="str">
        <x:f>'Raw Sales'!C600</x:f>
        <x:v>CUST-0236</x:v>
      </x:c>
      <x:c r="G600" s="84" t="str">
        <x:f>PROPER(TRIM('Raw Sales'!D600))</x:f>
        <x:v>Chloe Ortiz</x:v>
      </x:c>
      <x:c r="H600" s="84" t="str">
        <x:f>IF(TRIM('Raw Sales'!E600)="","Unknown",PROPER(TRIM('Raw Sales'!E600)))</x:f>
        <x:v>Consumer</x:v>
      </x:c>
      <x:c r="I600" s="84" t="str">
        <x:f>PROPER(TRIM('Raw Sales'!F600))</x:f>
        <x:v>Midwest</x:v>
      </x:c>
      <x:c r="J600" s="84" t="str">
        <x:f>PROPER(TRIM('Raw Sales'!G600))</x:f>
        <x:v>Minneapolis</x:v>
      </x:c>
      <x:c r="K600" s="84" t="str">
        <x:f>PROPER(TRIM('Raw Sales'!H600))</x:f>
        <x:v>Online</x:v>
      </x:c>
      <x:c r="L600" s="84" t="str">
        <x:f>'Raw Sales'!I600</x:f>
        <x:v>ELEC-003</x:v>
      </x:c>
      <x:c r="M600" s="84" t="str">
        <x:f>IFERROR(VLOOKUP(L600,'Reference Data'!$A$5:$F$40,2,FALSE),"Unknown Product")</x:f>
        <x:v>Bluetooth Speaker</x:v>
      </x:c>
      <x:c r="N600" s="84" t="str">
        <x:f>IFERROR(VLOOKUP(L600,'Reference Data'!$A$5:$F$40,3,FALSE),"Unknown")</x:f>
        <x:v>Electronics</x:v>
      </x:c>
      <x:c r="O600" s="84" t="str">
        <x:f>IFERROR(VLOOKUP(L600,'Reference Data'!$A$5:$F$40,4,FALSE),"Unknown")</x:f>
        <x:v>Audio</x:v>
      </x:c>
      <x:c r="P600" s="92" t="n">
        <x:f>IFERROR(VLOOKUP(L600,'Reference Data'!$A$5:$F$40,5,FALSE),0)</x:f>
        <x:v>89</x:v>
      </x:c>
      <x:c r="Q600" s="92" t="n">
        <x:f>IFERROR(VLOOKUP(L600,'Reference Data'!$A$5:$F$40,6,FALSE),0)</x:f>
        <x:v>44</x:v>
      </x:c>
      <x:c r="R600" s="84" t="n">
        <x:f>'Raw Sales'!J600</x:f>
        <x:v>0</x:v>
      </x:c>
      <x:c r="S600" s="87" t="n">
        <x:f>'Raw Sales'!K600</x:f>
        <x:v>0</x:v>
      </x:c>
      <x:c r="T600" s="93" t="n">
        <x:f>P600*R600</x:f>
        <x:v>0</x:v>
      </x:c>
      <x:c r="U600" s="93" t="n">
        <x:f>T600*S600</x:f>
        <x:v>0</x:v>
      </x:c>
      <x:c r="V600" s="93" t="str">
        <x:f>PROPER(TRIM('Raw Sales'!L600))</x:f>
        <x:v>Completed</x:v>
      </x:c>
      <x:c r="W600" s="93" t="n">
        <x:f>IF(V600="Returned",0,T600-U600)</x:f>
        <x:v>0</x:v>
      </x:c>
      <x:c r="X600" s="93" t="n">
        <x:f>IF(V600="Returned",Q600*R600*10%,Q600*R600)</x:f>
        <x:v>0</x:v>
      </x:c>
      <x:c r="Y600" s="93" t="n">
        <x:f>W600-X600</x:f>
        <x:v>0</x:v>
      </x:c>
      <x:c r="Z600" s="94" t="n">
        <x:f>IFERROR(Y600/W600,0)</x:f>
        <x:v>0</x:v>
      </x:c>
      <x:c r="AA600" s="84" t="str">
        <x:f>PROPER(TRIM('Raw Sales'!M600))</x:f>
        <x:v>Credit Card</x:v>
      </x:c>
      <x:c r="AB600" s="84" t="str">
        <x:f>PROPER(TRIM('Raw Sales'!N600))</x:f>
        <x:v>Lucas Grant</x:v>
      </x:c>
      <x:c r="AC600" s="85" t="n">
        <x:f>'Raw Sales'!O600</x:f>
        <x:v>45519</x:v>
      </x:c>
      <x:c r="AD600" s="84" t="n">
        <x:f>AC600-B600</x:f>
        <x:v>6</x:v>
      </x:c>
      <x:c r="AE600" s="84" t="str">
        <x:f>IF(COUNTIF($A$5:A600,A600)&gt;1,"Duplicate","Keep")</x:f>
        <x:v>Keep</x:v>
      </x:c>
      <x:c r="AF600" s="84" t="str">
        <x:f>IF(OR(R600&lt;=0,AC600&lt;B600,H600="Unknown",M600="Unknown Product"),"Review","Valid")</x:f>
        <x:v>Review</x:v>
      </x:c>
      <x:c r="AG600" s="84" t="n">
        <x:f>IF(AND(AE600="Keep",AF600="Valid"),1,0)</x:f>
        <x:v>0</x:v>
      </x:c>
      <x:c r="AH600" s="84" t="n">
        <x:f>IF(AND(AG600=1,OR('Dashboard'!$B$4="All",I600='Dashboard'!$B$4),OR('Dashboard'!$E$4="All",N600='Dashboard'!$E$4),OR('Dashboard'!$H$4="All",K600='Dashboard'!$H$4),OR('Dashboard'!$K$4="All",C600='Dashboard'!$K$4)),1,0)</x:f>
        <x:v>0</x:v>
      </x:c>
      <x:c r="AI600" s="84" t="n">
        <x:f>IF(AND(AG600=1,OR('Dashboard'!$B$4="All",I600='Dashboard'!$B$4),OR('Dashboard'!$E$4="All",N600='Dashboard'!$E$4),OR('Dashboard'!$H$4="All",K600='Dashboard'!$H$4)),1,0)</x:f>
        <x:v>0</x:v>
      </x:c>
    </x:row>
    <x:row r="601">
      <x:c r="A601" s="84" t="str">
        <x:f>'Raw Sales'!A601</x:f>
        <x:v>ORD-2024-01286</x:v>
      </x:c>
      <x:c r="B601" s="85" t="n">
        <x:f>'Raw Sales'!B601</x:f>
        <x:v>45513</x:v>
      </x:c>
      <x:c r="C601" s="84" t="n">
        <x:f>YEAR(B601)</x:f>
        <x:v>2024</x:v>
      </x:c>
      <x:c r="D601" s="91" t="n">
        <x:f>DATE(YEAR(B601),MONTH(B601),1)</x:f>
        <x:v>45505</x:v>
      </x:c>
      <x:c r="E601" s="84" t="str">
        <x:f>TEXT(B601,"mmm")</x:f>
        <x:v>Aug</x:v>
      </x:c>
      <x:c r="F601" s="84" t="str">
        <x:f>'Raw Sales'!C601</x:f>
        <x:v>CUST-0408</x:v>
      </x:c>
      <x:c r="G601" s="84" t="str">
        <x:f>PROPER(TRIM('Raw Sales'!D601))</x:f>
        <x:v>Caleb Smith</x:v>
      </x:c>
      <x:c r="H601" s="84" t="str">
        <x:f>IF(TRIM('Raw Sales'!E601)="","Unknown",PROPER(TRIM('Raw Sales'!E601)))</x:f>
        <x:v>Small Business</x:v>
      </x:c>
      <x:c r="I601" s="84" t="str">
        <x:f>PROPER(TRIM('Raw Sales'!F601))</x:f>
        <x:v>Southeast</x:v>
      </x:c>
      <x:c r="J601" s="84" t="str">
        <x:f>PROPER(TRIM('Raw Sales'!G601))</x:f>
        <x:v>Miami</x:v>
      </x:c>
      <x:c r="K601" s="84" t="str">
        <x:f>PROPER(TRIM('Raw Sales'!H601))</x:f>
        <x:v>Online</x:v>
      </x:c>
      <x:c r="L601" s="84" t="str">
        <x:f>'Raw Sales'!I601</x:f>
        <x:v>ACCS-004</x:v>
      </x:c>
      <x:c r="M601" s="84" t="str">
        <x:f>IFERROR(VLOOKUP(L601,'Reference Data'!$A$5:$F$40,2,FALSE),"Unknown Product")</x:f>
        <x:v>Leather Wallet</x:v>
      </x:c>
      <x:c r="N601" s="84" t="str">
        <x:f>IFERROR(VLOOKUP(L601,'Reference Data'!$A$5:$F$40,3,FALSE),"Unknown")</x:f>
        <x:v>Accessories</x:v>
      </x:c>
      <x:c r="O601" s="84" t="str">
        <x:f>IFERROR(VLOOKUP(L601,'Reference Data'!$A$5:$F$40,4,FALSE),"Unknown")</x:f>
        <x:v>Wallets</x:v>
      </x:c>
      <x:c r="P601" s="92" t="n">
        <x:f>IFERROR(VLOOKUP(L601,'Reference Data'!$A$5:$F$40,5,FALSE),0)</x:f>
        <x:v>49</x:v>
      </x:c>
      <x:c r="Q601" s="92" t="n">
        <x:f>IFERROR(VLOOKUP(L601,'Reference Data'!$A$5:$F$40,6,FALSE),0)</x:f>
        <x:v>18</x:v>
      </x:c>
      <x:c r="R601" s="84" t="n">
        <x:f>'Raw Sales'!J601</x:f>
        <x:v>1</x:v>
      </x:c>
      <x:c r="S601" s="87" t="n">
        <x:f>'Raw Sales'!K601</x:f>
        <x:v>0.05</x:v>
      </x:c>
      <x:c r="T601" s="93" t="n">
        <x:f>P601*R601</x:f>
        <x:v>49</x:v>
      </x:c>
      <x:c r="U601" s="93" t="n">
        <x:f>T601*S601</x:f>
        <x:v>2.45</x:v>
      </x:c>
      <x:c r="V601" s="93" t="str">
        <x:f>PROPER(TRIM('Raw Sales'!L601))</x:f>
        <x:v>Completed</x:v>
      </x:c>
      <x:c r="W601" s="93" t="n">
        <x:f>IF(V601="Returned",0,T601-U601)</x:f>
        <x:v>46.55</x:v>
      </x:c>
      <x:c r="X601" s="93" t="n">
        <x:f>IF(V601="Returned",Q601*R601*10%,Q601*R601)</x:f>
        <x:v>18</x:v>
      </x:c>
      <x:c r="Y601" s="93" t="n">
        <x:f>W601-X601</x:f>
        <x:v>28.549999999999997</x:v>
      </x:c>
      <x:c r="Z601" s="94" t="n">
        <x:f>IFERROR(Y601/W601,0)</x:f>
        <x:v>0.6133190118152524</x:v>
      </x:c>
      <x:c r="AA601" s="84" t="str">
        <x:f>PROPER(TRIM('Raw Sales'!M601))</x:f>
        <x:v>Credit Card</x:v>
      </x:c>
      <x:c r="AB601" s="84" t="str">
        <x:f>PROPER(TRIM('Raw Sales'!N601))</x:f>
        <x:v>Noah Reed</x:v>
      </x:c>
      <x:c r="AC601" s="85" t="n">
        <x:f>'Raw Sales'!O601</x:f>
        <x:v>45518</x:v>
      </x:c>
      <x:c r="AD601" s="84" t="n">
        <x:f>AC601-B601</x:f>
        <x:v>5</x:v>
      </x:c>
      <x:c r="AE601" s="84" t="str">
        <x:f>IF(COUNTIF($A$5:A601,A601)&gt;1,"Duplicate","Keep")</x:f>
        <x:v>Keep</x:v>
      </x:c>
      <x:c r="AF601" s="84" t="str">
        <x:f>IF(OR(R601&lt;=0,AC601&lt;B601,H601="Unknown",M601="Unknown Product"),"Review","Valid")</x:f>
        <x:v>Valid</x:v>
      </x:c>
      <x:c r="AG601" s="84" t="n">
        <x:f>IF(AND(AE601="Keep",AF601="Valid"),1,0)</x:f>
        <x:v>1</x:v>
      </x:c>
      <x:c r="AH601" s="84" t="n">
        <x:f>IF(AND(AG601=1,OR('Dashboard'!$B$4="All",I601='Dashboard'!$B$4),OR('Dashboard'!$E$4="All",N601='Dashboard'!$E$4),OR('Dashboard'!$H$4="All",K601='Dashboard'!$H$4),OR('Dashboard'!$K$4="All",C601='Dashboard'!$K$4)),1,0)</x:f>
        <x:v>1</x:v>
      </x:c>
      <x:c r="AI601" s="84" t="n">
        <x:f>IF(AND(AG601=1,OR('Dashboard'!$B$4="All",I601='Dashboard'!$B$4),OR('Dashboard'!$E$4="All",N601='Dashboard'!$E$4),OR('Dashboard'!$H$4="All",K601='Dashboard'!$H$4)),1,0)</x:f>
        <x:v>1</x:v>
      </x:c>
    </x:row>
    <x:row r="602">
      <x:c r="A602" s="84" t="str">
        <x:f>'Raw Sales'!A602</x:f>
        <x:v>ORD-2024-01496</x:v>
      </x:c>
      <x:c r="B602" s="85" t="n">
        <x:f>'Raw Sales'!B602</x:f>
        <x:v>45513</x:v>
      </x:c>
      <x:c r="C602" s="84" t="n">
        <x:f>YEAR(B602)</x:f>
        <x:v>2024</x:v>
      </x:c>
      <x:c r="D602" s="91" t="n">
        <x:f>DATE(YEAR(B602),MONTH(B602),1)</x:f>
        <x:v>45505</x:v>
      </x:c>
      <x:c r="E602" s="84" t="str">
        <x:f>TEXT(B602,"mmm")</x:f>
        <x:v>Aug</x:v>
      </x:c>
      <x:c r="F602" s="84" t="str">
        <x:f>'Raw Sales'!C602</x:f>
        <x:v>CUST-0519</x:v>
      </x:c>
      <x:c r="G602" s="84" t="str">
        <x:f>PROPER(TRIM('Raw Sales'!D602))</x:f>
        <x:v>Isaac Walker</x:v>
      </x:c>
      <x:c r="H602" s="84" t="str">
        <x:f>IF(TRIM('Raw Sales'!E602)="","Unknown",PROPER(TRIM('Raw Sales'!E602)))</x:f>
        <x:v>Corporate</x:v>
      </x:c>
      <x:c r="I602" s="84" t="str">
        <x:f>PROPER(TRIM('Raw Sales'!F602))</x:f>
        <x:v>Midwest</x:v>
      </x:c>
      <x:c r="J602" s="84" t="str">
        <x:f>PROPER(TRIM('Raw Sales'!G602))</x:f>
        <x:v>Columbus</x:v>
      </x:c>
      <x:c r="K602" s="84" t="str">
        <x:f>PROPER(TRIM('Raw Sales'!H602))</x:f>
        <x:v>Marketplace</x:v>
      </x:c>
      <x:c r="L602" s="84" t="str">
        <x:f>'Raw Sales'!I602</x:f>
        <x:v>FITN-002</x:v>
      </x:c>
      <x:c r="M602" s="84" t="str">
        <x:f>IFERROR(VLOOKUP(L602,'Reference Data'!$A$5:$F$40,2,FALSE),"Unknown Product")</x:f>
        <x:v>Adjustable Dumbbell Set</x:v>
      </x:c>
      <x:c r="N602" s="84" t="str">
        <x:f>IFERROR(VLOOKUP(L602,'Reference Data'!$A$5:$F$40,3,FALSE),"Unknown")</x:f>
        <x:v>Fitness</x:v>
      </x:c>
      <x:c r="O602" s="84" t="str">
        <x:f>IFERROR(VLOOKUP(L602,'Reference Data'!$A$5:$F$40,4,FALSE),"Unknown")</x:f>
        <x:v>Strength</x:v>
      </x:c>
      <x:c r="P602" s="92" t="n">
        <x:f>IFERROR(VLOOKUP(L602,'Reference Data'!$A$5:$F$40,5,FALSE),0)</x:f>
        <x:v>99</x:v>
      </x:c>
      <x:c r="Q602" s="92" t="n">
        <x:f>IFERROR(VLOOKUP(L602,'Reference Data'!$A$5:$F$40,6,FALSE),0)</x:f>
        <x:v>57</x:v>
      </x:c>
      <x:c r="R602" s="84" t="n">
        <x:f>'Raw Sales'!J602</x:f>
        <x:v>2</x:v>
      </x:c>
      <x:c r="S602" s="87" t="n">
        <x:f>'Raw Sales'!K602</x:f>
        <x:v>0.05</x:v>
      </x:c>
      <x:c r="T602" s="93" t="n">
        <x:f>P602*R602</x:f>
        <x:v>198</x:v>
      </x:c>
      <x:c r="U602" s="93" t="n">
        <x:f>T602*S602</x:f>
        <x:v>9.9</x:v>
      </x:c>
      <x:c r="V602" s="93" t="str">
        <x:f>PROPER(TRIM('Raw Sales'!L602))</x:f>
        <x:v>Completed</x:v>
      </x:c>
      <x:c r="W602" s="93" t="n">
        <x:f>IF(V602="Returned",0,T602-U602)</x:f>
        <x:v>188.1</x:v>
      </x:c>
      <x:c r="X602" s="93" t="n">
        <x:f>IF(V602="Returned",Q602*R602*10%,Q602*R602)</x:f>
        <x:v>114</x:v>
      </x:c>
      <x:c r="Y602" s="93" t="n">
        <x:f>W602-X602</x:f>
        <x:v>74.1</x:v>
      </x:c>
      <x:c r="Z602" s="94" t="n">
        <x:f>IFERROR(Y602/W602,0)</x:f>
        <x:v>0.3939393939393939</x:v>
      </x:c>
      <x:c r="AA602" s="84" t="str">
        <x:f>PROPER(TRIM('Raw Sales'!M602))</x:f>
        <x:v>Paypal</x:v>
      </x:c>
      <x:c r="AB602" s="84" t="str">
        <x:f>PROPER(TRIM('Raw Sales'!N602))</x:f>
        <x:v>Zoe Turner</x:v>
      </x:c>
      <x:c r="AC602" s="85" t="n">
        <x:f>'Raw Sales'!O602</x:f>
        <x:v>45520</x:v>
      </x:c>
      <x:c r="AD602" s="84" t="n">
        <x:f>AC602-B602</x:f>
        <x:v>7</x:v>
      </x:c>
      <x:c r="AE602" s="84" t="str">
        <x:f>IF(COUNTIF($A$5:A602,A602)&gt;1,"Duplicate","Keep")</x:f>
        <x:v>Keep</x:v>
      </x:c>
      <x:c r="AF602" s="84" t="str">
        <x:f>IF(OR(R602&lt;=0,AC602&lt;B602,H602="Unknown",M602="Unknown Product"),"Review","Valid")</x:f>
        <x:v>Valid</x:v>
      </x:c>
      <x:c r="AG602" s="84" t="n">
        <x:f>IF(AND(AE602="Keep",AF602="Valid"),1,0)</x:f>
        <x:v>1</x:v>
      </x:c>
      <x:c r="AH602" s="84" t="n">
        <x:f>IF(AND(AG602=1,OR('Dashboard'!$B$4="All",I602='Dashboard'!$B$4),OR('Dashboard'!$E$4="All",N602='Dashboard'!$E$4),OR('Dashboard'!$H$4="All",K602='Dashboard'!$H$4),OR('Dashboard'!$K$4="All",C602='Dashboard'!$K$4)),1,0)</x:f>
        <x:v>1</x:v>
      </x:c>
      <x:c r="AI602" s="84" t="n">
        <x:f>IF(AND(AG602=1,OR('Dashboard'!$B$4="All",I602='Dashboard'!$B$4),OR('Dashboard'!$E$4="All",N602='Dashboard'!$E$4),OR('Dashboard'!$H$4="All",K602='Dashboard'!$H$4)),1,0)</x:f>
        <x:v>1</x:v>
      </x:c>
    </x:row>
    <x:row r="603">
      <x:c r="A603" s="84" t="str">
        <x:f>'Raw Sales'!A603</x:f>
        <x:v>ORD-2024-01730</x:v>
      </x:c>
      <x:c r="B603" s="85" t="n">
        <x:f>'Raw Sales'!B603</x:f>
        <x:v>45513</x:v>
      </x:c>
      <x:c r="C603" s="84" t="n">
        <x:f>YEAR(B603)</x:f>
        <x:v>2024</x:v>
      </x:c>
      <x:c r="D603" s="91" t="n">
        <x:f>DATE(YEAR(B603),MONTH(B603),1)</x:f>
        <x:v>45505</x:v>
      </x:c>
      <x:c r="E603" s="84" t="str">
        <x:f>TEXT(B603,"mmm")</x:f>
        <x:v>Aug</x:v>
      </x:c>
      <x:c r="F603" s="84" t="str">
        <x:f>'Raw Sales'!C603</x:f>
        <x:v>CUST-0548</x:v>
      </x:c>
      <x:c r="G603" s="84" t="str">
        <x:f>PROPER(TRIM('Raw Sales'!D603))</x:f>
        <x:v>Maya Foster</x:v>
      </x:c>
      <x:c r="H603" s="84" t="str">
        <x:f>IF(TRIM('Raw Sales'!E603)="","Unknown",PROPER(TRIM('Raw Sales'!E603)))</x:f>
        <x:v>Consumer</x:v>
      </x:c>
      <x:c r="I603" s="84" t="str">
        <x:f>PROPER(TRIM('Raw Sales'!F603))</x:f>
        <x:v>Southeast</x:v>
      </x:c>
      <x:c r="J603" s="84" t="str">
        <x:f>PROPER(TRIM('Raw Sales'!G603))</x:f>
        <x:v>Miami</x:v>
      </x:c>
      <x:c r="K603" s="84" t="str">
        <x:f>PROPER(TRIM('Raw Sales'!H603))</x:f>
        <x:v>Online</x:v>
      </x:c>
      <x:c r="L603" s="84" t="str">
        <x:f>'Raw Sales'!I603</x:f>
        <x:v>CARE-006</x:v>
      </x:c>
      <x:c r="M603" s="84" t="str">
        <x:f>IFERROR(VLOOKUP(L603,'Reference Data'!$A$5:$F$40,2,FALSE),"Unknown Product")</x:f>
        <x:v>Percussion Massage Gun</x:v>
      </x:c>
      <x:c r="N603" s="84" t="str">
        <x:f>IFERROR(VLOOKUP(L603,'Reference Data'!$A$5:$F$40,3,FALSE),"Unknown")</x:f>
        <x:v>Personal Care</x:v>
      </x:c>
      <x:c r="O603" s="84" t="str">
        <x:f>IFERROR(VLOOKUP(L603,'Reference Data'!$A$5:$F$40,4,FALSE),"Unknown")</x:f>
        <x:v>Wellness</x:v>
      </x:c>
      <x:c r="P603" s="92" t="n">
        <x:f>IFERROR(VLOOKUP(L603,'Reference Data'!$A$5:$F$40,5,FALSE),0)</x:f>
        <x:v>129</x:v>
      </x:c>
      <x:c r="Q603" s="92" t="n">
        <x:f>IFERROR(VLOOKUP(L603,'Reference Data'!$A$5:$F$40,6,FALSE),0)</x:f>
        <x:v>70</x:v>
      </x:c>
      <x:c r="R603" s="84" t="n">
        <x:f>'Raw Sales'!J603</x:f>
        <x:v>1</x:v>
      </x:c>
      <x:c r="S603" s="87" t="n">
        <x:f>'Raw Sales'!K603</x:f>
        <x:v>0.05</x:v>
      </x:c>
      <x:c r="T603" s="93" t="n">
        <x:f>P603*R603</x:f>
        <x:v>129</x:v>
      </x:c>
      <x:c r="U603" s="93" t="n">
        <x:f>T603*S603</x:f>
        <x:v>6.45</x:v>
      </x:c>
      <x:c r="V603" s="93" t="str">
        <x:f>PROPER(TRIM('Raw Sales'!L603))</x:f>
        <x:v>Completed</x:v>
      </x:c>
      <x:c r="W603" s="93" t="n">
        <x:f>IF(V603="Returned",0,T603-U603)</x:f>
        <x:v>122.55</x:v>
      </x:c>
      <x:c r="X603" s="93" t="n">
        <x:f>IF(V603="Returned",Q603*R603*10%,Q603*R603)</x:f>
        <x:v>70</x:v>
      </x:c>
      <x:c r="Y603" s="93" t="n">
        <x:f>W603-X603</x:f>
        <x:v>52.55</x:v>
      </x:c>
      <x:c r="Z603" s="94" t="n">
        <x:f>IFERROR(Y603/W603,0)</x:f>
        <x:v>0.4288045695634435</x:v>
      </x:c>
      <x:c r="AA603" s="84" t="str">
        <x:f>PROPER(TRIM('Raw Sales'!M603))</x:f>
        <x:v>Debit Card</x:v>
      </x:c>
      <x:c r="AB603" s="84" t="str">
        <x:f>PROPER(TRIM('Raw Sales'!N603))</x:f>
        <x:v>Ava Mitchell</x:v>
      </x:c>
      <x:c r="AC603" s="85" t="n">
        <x:f>'Raw Sales'!O603</x:f>
        <x:v>45516</x:v>
      </x:c>
      <x:c r="AD603" s="84" t="n">
        <x:f>AC603-B603</x:f>
        <x:v>3</x:v>
      </x:c>
      <x:c r="AE603" s="84" t="str">
        <x:f>IF(COUNTIF($A$5:A603,A603)&gt;1,"Duplicate","Keep")</x:f>
        <x:v>Keep</x:v>
      </x:c>
      <x:c r="AF603" s="84" t="str">
        <x:f>IF(OR(R603&lt;=0,AC603&lt;B603,H603="Unknown",M603="Unknown Product"),"Review","Valid")</x:f>
        <x:v>Valid</x:v>
      </x:c>
      <x:c r="AG603" s="84" t="n">
        <x:f>IF(AND(AE603="Keep",AF603="Valid"),1,0)</x:f>
        <x:v>1</x:v>
      </x:c>
      <x:c r="AH603" s="84" t="n">
        <x:f>IF(AND(AG603=1,OR('Dashboard'!$B$4="All",I603='Dashboard'!$B$4),OR('Dashboard'!$E$4="All",N603='Dashboard'!$E$4),OR('Dashboard'!$H$4="All",K603='Dashboard'!$H$4),OR('Dashboard'!$K$4="All",C603='Dashboard'!$K$4)),1,0)</x:f>
        <x:v>1</x:v>
      </x:c>
      <x:c r="AI603" s="84" t="n">
        <x:f>IF(AND(AG603=1,OR('Dashboard'!$B$4="All",I603='Dashboard'!$B$4),OR('Dashboard'!$E$4="All",N603='Dashboard'!$E$4),OR('Dashboard'!$H$4="All",K603='Dashboard'!$H$4)),1,0)</x:f>
        <x:v>1</x:v>
      </x:c>
    </x:row>
    <x:row r="604">
      <x:c r="A604" s="84" t="str">
        <x:f>'Raw Sales'!A604</x:f>
        <x:v>ORD-2024-02017</x:v>
      </x:c>
      <x:c r="B604" s="85" t="n">
        <x:f>'Raw Sales'!B604</x:f>
        <x:v>45513</x:v>
      </x:c>
      <x:c r="C604" s="84" t="n">
        <x:f>YEAR(B604)</x:f>
        <x:v>2024</x:v>
      </x:c>
      <x:c r="D604" s="91" t="n">
        <x:f>DATE(YEAR(B604),MONTH(B604),1)</x:f>
        <x:v>45505</x:v>
      </x:c>
      <x:c r="E604" s="84" t="str">
        <x:f>TEXT(B604,"mmm")</x:f>
        <x:v>Aug</x:v>
      </x:c>
      <x:c r="F604" s="84" t="str">
        <x:f>'Raw Sales'!C604</x:f>
        <x:v>CUST-0172</x:v>
      </x:c>
      <x:c r="G604" s="84" t="str">
        <x:f>PROPER(TRIM('Raw Sales'!D604))</x:f>
        <x:v>Amelia Young</x:v>
      </x:c>
      <x:c r="H604" s="84" t="str">
        <x:f>IF(TRIM('Raw Sales'!E604)="","Unknown",PROPER(TRIM('Raw Sales'!E604)))</x:f>
        <x:v>Consumer</x:v>
      </x:c>
      <x:c r="I604" s="84" t="str">
        <x:f>PROPER(TRIM('Raw Sales'!F604))</x:f>
        <x:v>Midwest</x:v>
      </x:c>
      <x:c r="J604" s="84" t="str">
        <x:f>PROPER(TRIM('Raw Sales'!G604))</x:f>
        <x:v>Columbus</x:v>
      </x:c>
      <x:c r="K604" s="84" t="str">
        <x:f>PROPER(TRIM('Raw Sales'!H604))</x:f>
        <x:v>Marketplace</x:v>
      </x:c>
      <x:c r="L604" s="84" t="str">
        <x:f>'Raw Sales'!I604</x:f>
        <x:v>ACCS-003</x:v>
      </x:c>
      <x:c r="M604" s="84" t="str">
        <x:f>IFERROR(VLOOKUP(L604,'Reference Data'!$A$5:$F$40,2,FALSE),"Unknown Product")</x:f>
        <x:v>Polarized Sunglasses</x:v>
      </x:c>
      <x:c r="N604" s="84" t="str">
        <x:f>IFERROR(VLOOKUP(L604,'Reference Data'!$A$5:$F$40,3,FALSE),"Unknown")</x:f>
        <x:v>Accessories</x:v>
      </x:c>
      <x:c r="O604" s="84" t="str">
        <x:f>IFERROR(VLOOKUP(L604,'Reference Data'!$A$5:$F$40,4,FALSE),"Unknown")</x:f>
        <x:v>Eyewear</x:v>
      </x:c>
      <x:c r="P604" s="92" t="n">
        <x:f>IFERROR(VLOOKUP(L604,'Reference Data'!$A$5:$F$40,5,FALSE),0)</x:f>
        <x:v>59</x:v>
      </x:c>
      <x:c r="Q604" s="92" t="n">
        <x:f>IFERROR(VLOOKUP(L604,'Reference Data'!$A$5:$F$40,6,FALSE),0)</x:f>
        <x:v>17</x:v>
      </x:c>
      <x:c r="R604" s="84" t="n">
        <x:f>'Raw Sales'!J604</x:f>
        <x:v>3</x:v>
      </x:c>
      <x:c r="S604" s="87" t="n">
        <x:f>'Raw Sales'!K604</x:f>
        <x:v>0</x:v>
      </x:c>
      <x:c r="T604" s="93" t="n">
        <x:f>P604*R604</x:f>
        <x:v>177</x:v>
      </x:c>
      <x:c r="U604" s="93" t="n">
        <x:f>T604*S604</x:f>
        <x:v>0</x:v>
      </x:c>
      <x:c r="V604" s="93" t="str">
        <x:f>PROPER(TRIM('Raw Sales'!L604))</x:f>
        <x:v>Completed</x:v>
      </x:c>
      <x:c r="W604" s="93" t="n">
        <x:f>IF(V604="Returned",0,T604-U604)</x:f>
        <x:v>177</x:v>
      </x:c>
      <x:c r="X604" s="93" t="n">
        <x:f>IF(V604="Returned",Q604*R604*10%,Q604*R604)</x:f>
        <x:v>51</x:v>
      </x:c>
      <x:c r="Y604" s="93" t="n">
        <x:f>W604-X604</x:f>
        <x:v>126</x:v>
      </x:c>
      <x:c r="Z604" s="94" t="n">
        <x:f>IFERROR(Y604/W604,0)</x:f>
        <x:v>0.711864406779661</x:v>
      </x:c>
      <x:c r="AA604" s="84" t="str">
        <x:f>PROPER(TRIM('Raw Sales'!M604))</x:f>
        <x:v>Paypal</x:v>
      </x:c>
      <x:c r="AB604" s="84" t="str">
        <x:f>PROPER(TRIM('Raw Sales'!N604))</x:f>
        <x:v>Zoe Turner</x:v>
      </x:c>
      <x:c r="AC604" s="85" t="n">
        <x:f>'Raw Sales'!O604</x:f>
        <x:v>45517</x:v>
      </x:c>
      <x:c r="AD604" s="84" t="n">
        <x:f>AC604-B604</x:f>
        <x:v>4</x:v>
      </x:c>
      <x:c r="AE604" s="84" t="str">
        <x:f>IF(COUNTIF($A$5:A604,A604)&gt;1,"Duplicate","Keep")</x:f>
        <x:v>Keep</x:v>
      </x:c>
      <x:c r="AF604" s="84" t="str">
        <x:f>IF(OR(R604&lt;=0,AC604&lt;B604,H604="Unknown",M604="Unknown Product"),"Review","Valid")</x:f>
        <x:v>Valid</x:v>
      </x:c>
      <x:c r="AG604" s="84" t="n">
        <x:f>IF(AND(AE604="Keep",AF604="Valid"),1,0)</x:f>
        <x:v>1</x:v>
      </x:c>
      <x:c r="AH604" s="84" t="n">
        <x:f>IF(AND(AG604=1,OR('Dashboard'!$B$4="All",I604='Dashboard'!$B$4),OR('Dashboard'!$E$4="All",N604='Dashboard'!$E$4),OR('Dashboard'!$H$4="All",K604='Dashboard'!$H$4),OR('Dashboard'!$K$4="All",C604='Dashboard'!$K$4)),1,0)</x:f>
        <x:v>1</x:v>
      </x:c>
      <x:c r="AI604" s="84" t="n">
        <x:f>IF(AND(AG604=1,OR('Dashboard'!$B$4="All",I604='Dashboard'!$B$4),OR('Dashboard'!$E$4="All",N604='Dashboard'!$E$4),OR('Dashboard'!$H$4="All",K604='Dashboard'!$H$4)),1,0)</x:f>
        <x:v>1</x:v>
      </x:c>
    </x:row>
    <x:row r="605">
      <x:c r="A605" s="84" t="str">
        <x:f>'Raw Sales'!A605</x:f>
        <x:v>ORD-2024-00310</x:v>
      </x:c>
      <x:c r="B605" s="85" t="n">
        <x:f>'Raw Sales'!B605</x:f>
        <x:v>45514</x:v>
      </x:c>
      <x:c r="C605" s="84" t="n">
        <x:f>YEAR(B605)</x:f>
        <x:v>2024</x:v>
      </x:c>
      <x:c r="D605" s="91" t="n">
        <x:f>DATE(YEAR(B605),MONTH(B605),1)</x:f>
        <x:v>45505</x:v>
      </x:c>
      <x:c r="E605" s="84" t="str">
        <x:f>TEXT(B605,"mmm")</x:f>
        <x:v>Aug</x:v>
      </x:c>
      <x:c r="F605" s="84" t="str">
        <x:f>'Raw Sales'!C605</x:f>
        <x:v>CUST-0078</x:v>
      </x:c>
      <x:c r="G605" s="84" t="str">
        <x:f>PROPER(TRIM('Raw Sales'!D605))</x:f>
        <x:v>Grace Carter</x:v>
      </x:c>
      <x:c r="H605" s="84" t="str">
        <x:f>IF(TRIM('Raw Sales'!E605)="","Unknown",PROPER(TRIM('Raw Sales'!E605)))</x:f>
        <x:v>Small Business</x:v>
      </x:c>
      <x:c r="I605" s="84" t="str">
        <x:f>PROPER(TRIM('Raw Sales'!F605))</x:f>
        <x:v>Southeast</x:v>
      </x:c>
      <x:c r="J605" s="84" t="str">
        <x:f>PROPER(TRIM('Raw Sales'!G605))</x:f>
        <x:v>Atlanta</x:v>
      </x:c>
      <x:c r="K605" s="84" t="str">
        <x:f>PROPER(TRIM('Raw Sales'!H605))</x:f>
        <x:v>Online</x:v>
      </x:c>
      <x:c r="L605" s="84" t="str">
        <x:f>'Raw Sales'!I605</x:f>
        <x:v>OFFC-004</x:v>
      </x:c>
      <x:c r="M605" s="84" t="str">
        <x:f>IFERROR(VLOOKUP(L605,'Reference Data'!$A$5:$F$40,2,FALSE),"Unknown Product")</x:f>
        <x:v>Premium Notebook Pack</x:v>
      </x:c>
      <x:c r="N605" s="84" t="str">
        <x:f>IFERROR(VLOOKUP(L605,'Reference Data'!$A$5:$F$40,3,FALSE),"Unknown")</x:f>
        <x:v>Office</x:v>
      </x:c>
      <x:c r="O605" s="84" t="str">
        <x:f>IFERROR(VLOOKUP(L605,'Reference Data'!$A$5:$F$40,4,FALSE),"Unknown")</x:f>
        <x:v>Stationery</x:v>
      </x:c>
      <x:c r="P605" s="92" t="n">
        <x:f>IFERROR(VLOOKUP(L605,'Reference Data'!$A$5:$F$40,5,FALSE),0)</x:f>
        <x:v>18</x:v>
      </x:c>
      <x:c r="Q605" s="92" t="n">
        <x:f>IFERROR(VLOOKUP(L605,'Reference Data'!$A$5:$F$40,6,FALSE),0)</x:f>
        <x:v>6.5</x:v>
      </x:c>
      <x:c r="R605" s="84" t="n">
        <x:f>'Raw Sales'!J605</x:f>
        <x:v>1</x:v>
      </x:c>
      <x:c r="S605" s="87" t="n">
        <x:f>'Raw Sales'!K605</x:f>
        <x:v>0.05</x:v>
      </x:c>
      <x:c r="T605" s="93" t="n">
        <x:f>P605*R605</x:f>
        <x:v>18</x:v>
      </x:c>
      <x:c r="U605" s="93" t="n">
        <x:f>T605*S605</x:f>
        <x:v>0.9</x:v>
      </x:c>
      <x:c r="V605" s="93" t="str">
        <x:f>PROPER(TRIM('Raw Sales'!L605))</x:f>
        <x:v>Completed</x:v>
      </x:c>
      <x:c r="W605" s="93" t="n">
        <x:f>IF(V605="Returned",0,T605-U605)</x:f>
        <x:v>17.1</x:v>
      </x:c>
      <x:c r="X605" s="93" t="n">
        <x:f>IF(V605="Returned",Q605*R605*10%,Q605*R605)</x:f>
        <x:v>6.5</x:v>
      </x:c>
      <x:c r="Y605" s="93" t="n">
        <x:f>W605-X605</x:f>
        <x:v>10.600000000000001</x:v>
      </x:c>
      <x:c r="Z605" s="94" t="n">
        <x:f>IFERROR(Y605/W605,0)</x:f>
        <x:v>0.6198830409356726</x:v>
      </x:c>
      <x:c r="AA605" s="84" t="str">
        <x:f>PROPER(TRIM('Raw Sales'!M605))</x:f>
        <x:v>Credit Card</x:v>
      </x:c>
      <x:c r="AB605" s="84" t="str">
        <x:f>PROPER(TRIM('Raw Sales'!N605))</x:f>
        <x:v>Ava Mitchell</x:v>
      </x:c>
      <x:c r="AC605" s="85" t="n">
        <x:f>'Raw Sales'!O605</x:f>
        <x:v>45518</x:v>
      </x:c>
      <x:c r="AD605" s="84" t="n">
        <x:f>AC605-B605</x:f>
        <x:v>4</x:v>
      </x:c>
      <x:c r="AE605" s="84" t="str">
        <x:f>IF(COUNTIF($A$5:A605,A605)&gt;1,"Duplicate","Keep")</x:f>
        <x:v>Keep</x:v>
      </x:c>
      <x:c r="AF605" s="84" t="str">
        <x:f>IF(OR(R605&lt;=0,AC605&lt;B605,H605="Unknown",M605="Unknown Product"),"Review","Valid")</x:f>
        <x:v>Valid</x:v>
      </x:c>
      <x:c r="AG605" s="84" t="n">
        <x:f>IF(AND(AE605="Keep",AF605="Valid"),1,0)</x:f>
        <x:v>1</x:v>
      </x:c>
      <x:c r="AH605" s="84" t="n">
        <x:f>IF(AND(AG605=1,OR('Dashboard'!$B$4="All",I605='Dashboard'!$B$4),OR('Dashboard'!$E$4="All",N605='Dashboard'!$E$4),OR('Dashboard'!$H$4="All",K605='Dashboard'!$H$4),OR('Dashboard'!$K$4="All",C605='Dashboard'!$K$4)),1,0)</x:f>
        <x:v>1</x:v>
      </x:c>
      <x:c r="AI605" s="84" t="n">
        <x:f>IF(AND(AG605=1,OR('Dashboard'!$B$4="All",I605='Dashboard'!$B$4),OR('Dashboard'!$E$4="All",N605='Dashboard'!$E$4),OR('Dashboard'!$H$4="All",K605='Dashboard'!$H$4)),1,0)</x:f>
        <x:v>1</x:v>
      </x:c>
    </x:row>
    <x:row r="606">
      <x:c r="A606" s="84" t="str">
        <x:f>'Raw Sales'!A606</x:f>
        <x:v>ORD-2024-00544</x:v>
      </x:c>
      <x:c r="B606" s="85" t="n">
        <x:f>'Raw Sales'!B606</x:f>
        <x:v>45514</x:v>
      </x:c>
      <x:c r="C606" s="84" t="n">
        <x:f>YEAR(B606)</x:f>
        <x:v>2024</x:v>
      </x:c>
      <x:c r="D606" s="91" t="n">
        <x:f>DATE(YEAR(B606),MONTH(B606),1)</x:f>
        <x:v>45505</x:v>
      </x:c>
      <x:c r="E606" s="84" t="str">
        <x:f>TEXT(B606,"mmm")</x:f>
        <x:v>Aug</x:v>
      </x:c>
      <x:c r="F606" s="84" t="str">
        <x:f>'Raw Sales'!C606</x:f>
        <x:v>CUST-0112</x:v>
      </x:c>
      <x:c r="G606" s="84" t="str">
        <x:f>PROPER(TRIM('Raw Sales'!D606))</x:f>
        <x:v>Victoria Patel</x:v>
      </x:c>
      <x:c r="H606" s="84" t="str">
        <x:f>IF(TRIM('Raw Sales'!E606)="","Unknown",PROPER(TRIM('Raw Sales'!E606)))</x:f>
        <x:v>Consumer</x:v>
      </x:c>
      <x:c r="I606" s="84" t="str">
        <x:f>PROPER(TRIM('Raw Sales'!F606))</x:f>
        <x:v>Southeast</x:v>
      </x:c>
      <x:c r="J606" s="84" t="str">
        <x:f>PROPER(TRIM('Raw Sales'!G606))</x:f>
        <x:v>Miami</x:v>
      </x:c>
      <x:c r="K606" s="84" t="str">
        <x:f>PROPER(TRIM('Raw Sales'!H606))</x:f>
        <x:v>Marketplace</x:v>
      </x:c>
      <x:c r="L606" s="84" t="str">
        <x:f>'Raw Sales'!I606</x:f>
        <x:v>ACCS-006</x:v>
      </x:c>
      <x:c r="M606" s="84" t="str">
        <x:f>IFERROR(VLOOKUP(L606,'Reference Data'!$A$5:$F$40,2,FALSE),"Unknown Product")</x:f>
        <x:v>Insulated Lunch Bag</x:v>
      </x:c>
      <x:c r="N606" s="84" t="str">
        <x:f>IFERROR(VLOOKUP(L606,'Reference Data'!$A$5:$F$40,3,FALSE),"Unknown")</x:f>
        <x:v>Accessories</x:v>
      </x:c>
      <x:c r="O606" s="84" t="str">
        <x:f>IFERROR(VLOOKUP(L606,'Reference Data'!$A$5:$F$40,4,FALSE),"Unknown")</x:f>
        <x:v>Bags</x:v>
      </x:c>
      <x:c r="P606" s="92" t="n">
        <x:f>IFERROR(VLOOKUP(L606,'Reference Data'!$A$5:$F$40,5,FALSE),0)</x:f>
        <x:v>29</x:v>
      </x:c>
      <x:c r="Q606" s="92" t="n">
        <x:f>IFERROR(VLOOKUP(L606,'Reference Data'!$A$5:$F$40,6,FALSE),0)</x:f>
        <x:v>10</x:v>
      </x:c>
      <x:c r="R606" s="84" t="n">
        <x:f>'Raw Sales'!J606</x:f>
        <x:v>1</x:v>
      </x:c>
      <x:c r="S606" s="87" t="n">
        <x:f>'Raw Sales'!K606</x:f>
        <x:v>0.1</x:v>
      </x:c>
      <x:c r="T606" s="93" t="n">
        <x:f>P606*R606</x:f>
        <x:v>29</x:v>
      </x:c>
      <x:c r="U606" s="93" t="n">
        <x:f>T606*S606</x:f>
        <x:v>2.9000000000000004</x:v>
      </x:c>
      <x:c r="V606" s="93" t="str">
        <x:f>PROPER(TRIM('Raw Sales'!L606))</x:f>
        <x:v>Completed</x:v>
      </x:c>
      <x:c r="W606" s="93" t="n">
        <x:f>IF(V606="Returned",0,T606-U606)</x:f>
        <x:v>26.1</x:v>
      </x:c>
      <x:c r="X606" s="93" t="n">
        <x:f>IF(V606="Returned",Q606*R606*10%,Q606*R606)</x:f>
        <x:v>10</x:v>
      </x:c>
      <x:c r="Y606" s="93" t="n">
        <x:f>W606-X606</x:f>
        <x:v>16.1</x:v>
      </x:c>
      <x:c r="Z606" s="94" t="n">
        <x:f>IFERROR(Y606/W606,0)</x:f>
        <x:v>0.6168582375478927</x:v>
      </x:c>
      <x:c r="AA606" s="84" t="str">
        <x:f>PROPER(TRIM('Raw Sales'!M606))</x:f>
        <x:v>Credit Card</x:v>
      </x:c>
      <x:c r="AB606" s="84" t="str">
        <x:f>PROPER(TRIM('Raw Sales'!N606))</x:f>
        <x:v>Ava Mitchell</x:v>
      </x:c>
      <x:c r="AC606" s="85" t="n">
        <x:f>'Raw Sales'!O606</x:f>
        <x:v>45518</x:v>
      </x:c>
      <x:c r="AD606" s="84" t="n">
        <x:f>AC606-B606</x:f>
        <x:v>4</x:v>
      </x:c>
      <x:c r="AE606" s="84" t="str">
        <x:f>IF(COUNTIF($A$5:A606,A606)&gt;1,"Duplicate","Keep")</x:f>
        <x:v>Keep</x:v>
      </x:c>
      <x:c r="AF606" s="84" t="str">
        <x:f>IF(OR(R606&lt;=0,AC606&lt;B606,H606="Unknown",M606="Unknown Product"),"Review","Valid")</x:f>
        <x:v>Valid</x:v>
      </x:c>
      <x:c r="AG606" s="84" t="n">
        <x:f>IF(AND(AE606="Keep",AF606="Valid"),1,0)</x:f>
        <x:v>1</x:v>
      </x:c>
      <x:c r="AH606" s="84" t="n">
        <x:f>IF(AND(AG606=1,OR('Dashboard'!$B$4="All",I606='Dashboard'!$B$4),OR('Dashboard'!$E$4="All",N606='Dashboard'!$E$4),OR('Dashboard'!$H$4="All",K606='Dashboard'!$H$4),OR('Dashboard'!$K$4="All",C606='Dashboard'!$K$4)),1,0)</x:f>
        <x:v>1</x:v>
      </x:c>
      <x:c r="AI606" s="84" t="n">
        <x:f>IF(AND(AG606=1,OR('Dashboard'!$B$4="All",I606='Dashboard'!$B$4),OR('Dashboard'!$E$4="All",N606='Dashboard'!$E$4),OR('Dashboard'!$H$4="All",K606='Dashboard'!$H$4)),1,0)</x:f>
        <x:v>1</x:v>
      </x:c>
    </x:row>
    <x:row r="607">
      <x:c r="A607" s="84" t="str">
        <x:f>'Raw Sales'!A607</x:f>
        <x:v>ORD-2024-01711</x:v>
      </x:c>
      <x:c r="B607" s="85" t="n">
        <x:f>'Raw Sales'!B607</x:f>
        <x:v>45515</x:v>
      </x:c>
      <x:c r="C607" s="84" t="n">
        <x:f>YEAR(B607)</x:f>
        <x:v>2024</x:v>
      </x:c>
      <x:c r="D607" s="91" t="n">
        <x:f>DATE(YEAR(B607),MONTH(B607),1)</x:f>
        <x:v>45505</x:v>
      </x:c>
      <x:c r="E607" s="84" t="str">
        <x:f>TEXT(B607,"mmm")</x:f>
        <x:v>Aug</x:v>
      </x:c>
      <x:c r="F607" s="84" t="str">
        <x:f>'Raw Sales'!C607</x:f>
        <x:v>CUST-0365</x:v>
      </x:c>
      <x:c r="G607" s="84" t="str">
        <x:f>PROPER(TRIM('Raw Sales'!D607))</x:f>
        <x:v>Grace Johnson</x:v>
      </x:c>
      <x:c r="H607" s="84" t="str">
        <x:f>IF(TRIM('Raw Sales'!E607)="","Unknown",PROPER(TRIM('Raw Sales'!E607)))</x:f>
        <x:v>Consumer</x:v>
      </x:c>
      <x:c r="I607" s="84" t="str">
        <x:f>PROPER(TRIM('Raw Sales'!F607))</x:f>
        <x:v>West</x:v>
      </x:c>
      <x:c r="J607" s="84" t="str">
        <x:f>PROPER(TRIM('Raw Sales'!G607))</x:f>
        <x:v>Los Angeles</x:v>
      </x:c>
      <x:c r="K607" s="84" t="str">
        <x:f>PROPER(TRIM('Raw Sales'!H607))</x:f>
        <x:v>Online</x:v>
      </x:c>
      <x:c r="L607" s="84" t="str">
        <x:f>'Raw Sales'!I607</x:f>
        <x:v>ACCS-005</x:v>
      </x:c>
      <x:c r="M607" s="84" t="str">
        <x:f>IFERROR(VLOOKUP(L607,'Reference Data'!$A$5:$F$40,2,FALSE),"Unknown Product")</x:f>
        <x:v>Protective Phone Case</x:v>
      </x:c>
      <x:c r="N607" s="84" t="str">
        <x:f>IFERROR(VLOOKUP(L607,'Reference Data'!$A$5:$F$40,3,FALSE),"Unknown")</x:f>
        <x:v>Accessories</x:v>
      </x:c>
      <x:c r="O607" s="84" t="str">
        <x:f>IFERROR(VLOOKUP(L607,'Reference Data'!$A$5:$F$40,4,FALSE),"Unknown")</x:f>
        <x:v>Mobile Accessories</x:v>
      </x:c>
      <x:c r="P607" s="92" t="n">
        <x:f>IFERROR(VLOOKUP(L607,'Reference Data'!$A$5:$F$40,5,FALSE),0)</x:f>
        <x:v>24</x:v>
      </x:c>
      <x:c r="Q607" s="92" t="n">
        <x:f>IFERROR(VLOOKUP(L607,'Reference Data'!$A$5:$F$40,6,FALSE),0)</x:f>
        <x:v>5</x:v>
      </x:c>
      <x:c r="R607" s="84" t="n">
        <x:f>'Raw Sales'!J607</x:f>
        <x:v>3</x:v>
      </x:c>
      <x:c r="S607" s="87" t="n">
        <x:f>'Raw Sales'!K607</x:f>
        <x:v>0.15</x:v>
      </x:c>
      <x:c r="T607" s="93" t="n">
        <x:f>P607*R607</x:f>
        <x:v>72</x:v>
      </x:c>
      <x:c r="U607" s="93" t="n">
        <x:f>T607*S607</x:f>
        <x:v>10.799999999999999</x:v>
      </x:c>
      <x:c r="V607" s="93" t="str">
        <x:f>PROPER(TRIM('Raw Sales'!L607))</x:f>
        <x:v>Completed</x:v>
      </x:c>
      <x:c r="W607" s="93" t="n">
        <x:f>IF(V607="Returned",0,T607-U607)</x:f>
        <x:v>61.2</x:v>
      </x:c>
      <x:c r="X607" s="93" t="n">
        <x:f>IF(V607="Returned",Q607*R607*10%,Q607*R607)</x:f>
        <x:v>15</x:v>
      </x:c>
      <x:c r="Y607" s="93" t="n">
        <x:f>W607-X607</x:f>
        <x:v>46.2</x:v>
      </x:c>
      <x:c r="Z607" s="94" t="n">
        <x:f>IFERROR(Y607/W607,0)</x:f>
        <x:v>0.7549019607843137</x:v>
      </x:c>
      <x:c r="AA607" s="84" t="str">
        <x:f>PROPER(TRIM('Raw Sales'!M607))</x:f>
        <x:v>Credit Card</x:v>
      </x:c>
      <x:c r="AB607" s="84" t="str">
        <x:f>PROPER(TRIM('Raw Sales'!N607))</x:f>
        <x:v>Mia Chen</x:v>
      </x:c>
      <x:c r="AC607" s="85" t="n">
        <x:f>'Raw Sales'!O607</x:f>
        <x:v>45518</x:v>
      </x:c>
      <x:c r="AD607" s="84" t="n">
        <x:f>AC607-B607</x:f>
        <x:v>3</x:v>
      </x:c>
      <x:c r="AE607" s="84" t="str">
        <x:f>IF(COUNTIF($A$5:A607,A607)&gt;1,"Duplicate","Keep")</x:f>
        <x:v>Keep</x:v>
      </x:c>
      <x:c r="AF607" s="84" t="str">
        <x:f>IF(OR(R607&lt;=0,AC607&lt;B607,H607="Unknown",M607="Unknown Product"),"Review","Valid")</x:f>
        <x:v>Valid</x:v>
      </x:c>
      <x:c r="AG607" s="84" t="n">
        <x:f>IF(AND(AE607="Keep",AF607="Valid"),1,0)</x:f>
        <x:v>1</x:v>
      </x:c>
      <x:c r="AH607" s="84" t="n">
        <x:f>IF(AND(AG607=1,OR('Dashboard'!$B$4="All",I607='Dashboard'!$B$4),OR('Dashboard'!$E$4="All",N607='Dashboard'!$E$4),OR('Dashboard'!$H$4="All",K607='Dashboard'!$H$4),OR('Dashboard'!$K$4="All",C607='Dashboard'!$K$4)),1,0)</x:f>
        <x:v>1</x:v>
      </x:c>
      <x:c r="AI607" s="84" t="n">
        <x:f>IF(AND(AG607=1,OR('Dashboard'!$B$4="All",I607='Dashboard'!$B$4),OR('Dashboard'!$E$4="All",N607='Dashboard'!$E$4),OR('Dashboard'!$H$4="All",K607='Dashboard'!$H$4)),1,0)</x:f>
        <x:v>1</x:v>
      </x:c>
    </x:row>
    <x:row r="608">
      <x:c r="A608" s="84" t="str">
        <x:f>'Raw Sales'!A608</x:f>
        <x:v>ORD-2024-00289</x:v>
      </x:c>
      <x:c r="B608" s="85" t="n">
        <x:f>'Raw Sales'!B608</x:f>
        <x:v>45516</x:v>
      </x:c>
      <x:c r="C608" s="84" t="n">
        <x:f>YEAR(B608)</x:f>
        <x:v>2024</x:v>
      </x:c>
      <x:c r="D608" s="91" t="n">
        <x:f>DATE(YEAR(B608),MONTH(B608),1)</x:f>
        <x:v>45505</x:v>
      </x:c>
      <x:c r="E608" s="84" t="str">
        <x:f>TEXT(B608,"mmm")</x:f>
        <x:v>Aug</x:v>
      </x:c>
      <x:c r="F608" s="84" t="str">
        <x:f>'Raw Sales'!C608</x:f>
        <x:v>CUST-0292</x:v>
      </x:c>
      <x:c r="G608" s="84" t="str">
        <x:f>PROPER(TRIM('Raw Sales'!D608))</x:f>
        <x:v>Caleb Nelson</x:v>
      </x:c>
      <x:c r="H608" s="84" t="str">
        <x:f>IF(TRIM('Raw Sales'!E608)="","Unknown",PROPER(TRIM('Raw Sales'!E608)))</x:f>
        <x:v>Small Business</x:v>
      </x:c>
      <x:c r="I608" s="84" t="str">
        <x:f>PROPER(TRIM('Raw Sales'!F608))</x:f>
        <x:v>Midwest</x:v>
      </x:c>
      <x:c r="J608" s="84" t="str">
        <x:f>PROPER(TRIM('Raw Sales'!G608))</x:f>
        <x:v>Columbus</x:v>
      </x:c>
      <x:c r="K608" s="84" t="str">
        <x:f>PROPER(TRIM('Raw Sales'!H608))</x:f>
        <x:v>Online</x:v>
      </x:c>
      <x:c r="L608" s="84" t="str">
        <x:f>'Raw Sales'!I608</x:f>
        <x:v>HOME-002</x:v>
      </x:c>
      <x:c r="M608" s="84" t="str">
        <x:f>IFERROR(VLOOKUP(L608,'Reference Data'!$A$5:$F$40,2,FALSE),"Unknown Product")</x:f>
        <x:v>Electric Kettle</x:v>
      </x:c>
      <x:c r="N608" s="84" t="str">
        <x:f>IFERROR(VLOOKUP(L608,'Reference Data'!$A$5:$F$40,3,FALSE),"Unknown")</x:f>
        <x:v>Home &amp; Kitchen</x:v>
      </x:c>
      <x:c r="O608" s="84" t="str">
        <x:f>IFERROR(VLOOKUP(L608,'Reference Data'!$A$5:$F$40,4,FALSE),"Unknown")</x:f>
        <x:v>Small Appliances</x:v>
      </x:c>
      <x:c r="P608" s="92" t="n">
        <x:f>IFERROR(VLOOKUP(L608,'Reference Data'!$A$5:$F$40,5,FALSE),0)</x:f>
        <x:v>49</x:v>
      </x:c>
      <x:c r="Q608" s="92" t="n">
        <x:f>IFERROR(VLOOKUP(L608,'Reference Data'!$A$5:$F$40,6,FALSE),0)</x:f>
        <x:v>23</x:v>
      </x:c>
      <x:c r="R608" s="84" t="n">
        <x:f>'Raw Sales'!J608</x:f>
        <x:v>1</x:v>
      </x:c>
      <x:c r="S608" s="87" t="n">
        <x:f>'Raw Sales'!K608</x:f>
        <x:v>0.05</x:v>
      </x:c>
      <x:c r="T608" s="93" t="n">
        <x:f>P608*R608</x:f>
        <x:v>49</x:v>
      </x:c>
      <x:c r="U608" s="93" t="n">
        <x:f>T608*S608</x:f>
        <x:v>2.45</x:v>
      </x:c>
      <x:c r="V608" s="93" t="str">
        <x:f>PROPER(TRIM('Raw Sales'!L608))</x:f>
        <x:v>Completed</x:v>
      </x:c>
      <x:c r="W608" s="93" t="n">
        <x:f>IF(V608="Returned",0,T608-U608)</x:f>
        <x:v>46.55</x:v>
      </x:c>
      <x:c r="X608" s="93" t="n">
        <x:f>IF(V608="Returned",Q608*R608*10%,Q608*R608)</x:f>
        <x:v>23</x:v>
      </x:c>
      <x:c r="Y608" s="93" t="n">
        <x:f>W608-X608</x:f>
        <x:v>23.549999999999997</x:v>
      </x:c>
      <x:c r="Z608" s="94" t="n">
        <x:f>IFERROR(Y608/W608,0)</x:f>
        <x:v>0.505907626208378</x:v>
      </x:c>
      <x:c r="AA608" s="84" t="str">
        <x:f>PROPER(TRIM('Raw Sales'!M608))</x:f>
        <x:v>Credit Card</x:v>
      </x:c>
      <x:c r="AB608" s="84" t="str">
        <x:f>PROPER(TRIM('Raw Sales'!N608))</x:f>
        <x:v>Lucas Grant</x:v>
      </x:c>
      <x:c r="AC608" s="85" t="n">
        <x:f>'Raw Sales'!O608</x:f>
        <x:v>45518</x:v>
      </x:c>
      <x:c r="AD608" s="84" t="n">
        <x:f>AC608-B608</x:f>
        <x:v>2</x:v>
      </x:c>
      <x:c r="AE608" s="84" t="str">
        <x:f>IF(COUNTIF($A$5:A608,A608)&gt;1,"Duplicate","Keep")</x:f>
        <x:v>Keep</x:v>
      </x:c>
      <x:c r="AF608" s="84" t="str">
        <x:f>IF(OR(R608&lt;=0,AC608&lt;B608,H608="Unknown",M608="Unknown Product"),"Review","Valid")</x:f>
        <x:v>Valid</x:v>
      </x:c>
      <x:c r="AG608" s="84" t="n">
        <x:f>IF(AND(AE608="Keep",AF608="Valid"),1,0)</x:f>
        <x:v>1</x:v>
      </x:c>
      <x:c r="AH608" s="84" t="n">
        <x:f>IF(AND(AG608=1,OR('Dashboard'!$B$4="All",I608='Dashboard'!$B$4),OR('Dashboard'!$E$4="All",N608='Dashboard'!$E$4),OR('Dashboard'!$H$4="All",K608='Dashboard'!$H$4),OR('Dashboard'!$K$4="All",C608='Dashboard'!$K$4)),1,0)</x:f>
        <x:v>1</x:v>
      </x:c>
      <x:c r="AI608" s="84" t="n">
        <x:f>IF(AND(AG608=1,OR('Dashboard'!$B$4="All",I608='Dashboard'!$B$4),OR('Dashboard'!$E$4="All",N608='Dashboard'!$E$4),OR('Dashboard'!$H$4="All",K608='Dashboard'!$H$4)),1,0)</x:f>
        <x:v>1</x:v>
      </x:c>
    </x:row>
    <x:row r="609">
      <x:c r="A609" s="84" t="str">
        <x:f>'Raw Sales'!A609</x:f>
        <x:v>ORD-2024-02364</x:v>
      </x:c>
      <x:c r="B609" s="85" t="n">
        <x:f>'Raw Sales'!B609</x:f>
        <x:v>45516</x:v>
      </x:c>
      <x:c r="C609" s="84" t="n">
        <x:f>YEAR(B609)</x:f>
        <x:v>2024</x:v>
      </x:c>
      <x:c r="D609" s="91" t="n">
        <x:f>DATE(YEAR(B609),MONTH(B609),1)</x:f>
        <x:v>45505</x:v>
      </x:c>
      <x:c r="E609" s="84" t="str">
        <x:f>TEXT(B609,"mmm")</x:f>
        <x:v>Aug</x:v>
      </x:c>
      <x:c r="F609" s="84" t="str">
        <x:f>'Raw Sales'!C609</x:f>
        <x:v>CUST-0596</x:v>
      </x:c>
      <x:c r="G609" s="84" t="str">
        <x:f>PROPER(TRIM('Raw Sales'!D609))</x:f>
        <x:v>Grace Khan</x:v>
      </x:c>
      <x:c r="H609" s="84" t="str">
        <x:f>IF(TRIM('Raw Sales'!E609)="","Unknown",PROPER(TRIM('Raw Sales'!E609)))</x:f>
        <x:v>Consumer</x:v>
      </x:c>
      <x:c r="I609" s="84" t="str">
        <x:f>PROPER(TRIM('Raw Sales'!F609))</x:f>
        <x:v>West</x:v>
      </x:c>
      <x:c r="J609" s="84" t="str">
        <x:f>PROPER(TRIM('Raw Sales'!G609))</x:f>
        <x:v>Denver</x:v>
      </x:c>
      <x:c r="K609" s="84" t="str">
        <x:f>PROPER(TRIM('Raw Sales'!H609))</x:f>
        <x:v>Retail Store</x:v>
      </x:c>
      <x:c r="L609" s="84" t="str">
        <x:f>'Raw Sales'!I609</x:f>
        <x:v>ELEC-001</x:v>
      </x:c>
      <x:c r="M609" s="84" t="str">
        <x:f>IFERROR(VLOOKUP(L609,'Reference Data'!$A$5:$F$40,2,FALSE),"Unknown Product")</x:f>
        <x:v>Wireless Earbuds</x:v>
      </x:c>
      <x:c r="N609" s="84" t="str">
        <x:f>IFERROR(VLOOKUP(L609,'Reference Data'!$A$5:$F$40,3,FALSE),"Unknown")</x:f>
        <x:v>Electronics</x:v>
      </x:c>
      <x:c r="O609" s="84" t="str">
        <x:f>IFERROR(VLOOKUP(L609,'Reference Data'!$A$5:$F$40,4,FALSE),"Unknown")</x:f>
        <x:v>Audio</x:v>
      </x:c>
      <x:c r="P609" s="92" t="n">
        <x:f>IFERROR(VLOOKUP(L609,'Reference Data'!$A$5:$F$40,5,FALSE),0)</x:f>
        <x:v>69</x:v>
      </x:c>
      <x:c r="Q609" s="92" t="n">
        <x:f>IFERROR(VLOOKUP(L609,'Reference Data'!$A$5:$F$40,6,FALSE),0)</x:f>
        <x:v>36</x:v>
      </x:c>
      <x:c r="R609" s="84" t="n">
        <x:f>'Raw Sales'!J609</x:f>
        <x:v>1</x:v>
      </x:c>
      <x:c r="S609" s="87" t="n">
        <x:f>'Raw Sales'!K609</x:f>
        <x:v>0.15</x:v>
      </x:c>
      <x:c r="T609" s="93" t="n">
        <x:f>P609*R609</x:f>
        <x:v>69</x:v>
      </x:c>
      <x:c r="U609" s="93" t="n">
        <x:f>T609*S609</x:f>
        <x:v>10.35</x:v>
      </x:c>
      <x:c r="V609" s="93" t="str">
        <x:f>PROPER(TRIM('Raw Sales'!L609))</x:f>
        <x:v>Completed</x:v>
      </x:c>
      <x:c r="W609" s="93" t="n">
        <x:f>IF(V609="Returned",0,T609-U609)</x:f>
        <x:v>58.65</x:v>
      </x:c>
      <x:c r="X609" s="93" t="n">
        <x:f>IF(V609="Returned",Q609*R609*10%,Q609*R609)</x:f>
        <x:v>36</x:v>
      </x:c>
      <x:c r="Y609" s="93" t="n">
        <x:f>W609-X609</x:f>
        <x:v>22.65</x:v>
      </x:c>
      <x:c r="Z609" s="94" t="n">
        <x:f>IFERROR(Y609/W609,0)</x:f>
        <x:v>0.38618925831202044</x:v>
      </x:c>
      <x:c r="AA609" s="84" t="str">
        <x:f>PROPER(TRIM('Raw Sales'!M609))</x:f>
        <x:v>Debit Card</x:v>
      </x:c>
      <x:c r="AB609" s="84" t="str">
        <x:f>PROPER(TRIM('Raw Sales'!N609))</x:f>
        <x:v>Mia Chen</x:v>
      </x:c>
      <x:c r="AC609" s="85" t="n">
        <x:f>'Raw Sales'!O609</x:f>
        <x:v>45516</x:v>
      </x:c>
      <x:c r="AD609" s="84" t="n">
        <x:f>AC609-B609</x:f>
        <x:v>0</x:v>
      </x:c>
      <x:c r="AE609" s="84" t="str">
        <x:f>IF(COUNTIF($A$5:A609,A609)&gt;1,"Duplicate","Keep")</x:f>
        <x:v>Keep</x:v>
      </x:c>
      <x:c r="AF609" s="84" t="str">
        <x:f>IF(OR(R609&lt;=0,AC609&lt;B609,H609="Unknown",M609="Unknown Product"),"Review","Valid")</x:f>
        <x:v>Valid</x:v>
      </x:c>
      <x:c r="AG609" s="84" t="n">
        <x:f>IF(AND(AE609="Keep",AF609="Valid"),1,0)</x:f>
        <x:v>1</x:v>
      </x:c>
      <x:c r="AH609" s="84" t="n">
        <x:f>IF(AND(AG609=1,OR('Dashboard'!$B$4="All",I609='Dashboard'!$B$4),OR('Dashboard'!$E$4="All",N609='Dashboard'!$E$4),OR('Dashboard'!$H$4="All",K609='Dashboard'!$H$4),OR('Dashboard'!$K$4="All",C609='Dashboard'!$K$4)),1,0)</x:f>
        <x:v>1</x:v>
      </x:c>
      <x:c r="AI609" s="84" t="n">
        <x:f>IF(AND(AG609=1,OR('Dashboard'!$B$4="All",I609='Dashboard'!$B$4),OR('Dashboard'!$E$4="All",N609='Dashboard'!$E$4),OR('Dashboard'!$H$4="All",K609='Dashboard'!$H$4)),1,0)</x:f>
        <x:v>1</x:v>
      </x:c>
    </x:row>
    <x:row r="610">
      <x:c r="A610" s="84" t="str">
        <x:f>'Raw Sales'!A610</x:f>
        <x:v>ORD-2024-02391</x:v>
      </x:c>
      <x:c r="B610" s="85" t="n">
        <x:f>'Raw Sales'!B610</x:f>
        <x:v>45516</x:v>
      </x:c>
      <x:c r="C610" s="84" t="n">
        <x:f>YEAR(B610)</x:f>
        <x:v>2024</x:v>
      </x:c>
      <x:c r="D610" s="91" t="n">
        <x:f>DATE(YEAR(B610),MONTH(B610),1)</x:f>
        <x:v>45505</x:v>
      </x:c>
      <x:c r="E610" s="84" t="str">
        <x:f>TEXT(B610,"mmm")</x:f>
        <x:v>Aug</x:v>
      </x:c>
      <x:c r="F610" s="84" t="str">
        <x:f>'Raw Sales'!C610</x:f>
        <x:v>CUST-0321</x:v>
      </x:c>
      <x:c r="G610" s="84" t="str">
        <x:f>PROPER(TRIM('Raw Sales'!D610))</x:f>
        <x:v>Grace Smith</x:v>
      </x:c>
      <x:c r="H610" s="84" t="str">
        <x:f>IF(TRIM('Raw Sales'!E610)="","Unknown",PROPER(TRIM('Raw Sales'!E610)))</x:f>
        <x:v>Corporate</x:v>
      </x:c>
      <x:c r="I610" s="84" t="str">
        <x:f>PROPER(TRIM('Raw Sales'!F610))</x:f>
        <x:v>Southeast</x:v>
      </x:c>
      <x:c r="J610" s="84" t="str">
        <x:f>PROPER(TRIM('Raw Sales'!G610))</x:f>
        <x:v>Miami</x:v>
      </x:c>
      <x:c r="K610" s="84" t="str">
        <x:f>PROPER(TRIM('Raw Sales'!H610))</x:f>
        <x:v>Online</x:v>
      </x:c>
      <x:c r="L610" s="84" t="str">
        <x:f>'Raw Sales'!I610</x:f>
        <x:v>ACCS-002</x:v>
      </x:c>
      <x:c r="M610" s="84" t="str">
        <x:f>IFERROR(VLOOKUP(L610,'Reference Data'!$A$5:$F$40,2,FALSE),"Unknown Product")</x:f>
        <x:v>Travel Backpack</x:v>
      </x:c>
      <x:c r="N610" s="84" t="str">
        <x:f>IFERROR(VLOOKUP(L610,'Reference Data'!$A$5:$F$40,3,FALSE),"Unknown")</x:f>
        <x:v>Accessories</x:v>
      </x:c>
      <x:c r="O610" s="84" t="str">
        <x:f>IFERROR(VLOOKUP(L610,'Reference Data'!$A$5:$F$40,4,FALSE),"Unknown")</x:f>
        <x:v>Bags</x:v>
      </x:c>
      <x:c r="P610" s="92" t="n">
        <x:f>IFERROR(VLOOKUP(L610,'Reference Data'!$A$5:$F$40,5,FALSE),0)</x:f>
        <x:v>89</x:v>
      </x:c>
      <x:c r="Q610" s="92" t="n">
        <x:f>IFERROR(VLOOKUP(L610,'Reference Data'!$A$5:$F$40,6,FALSE),0)</x:f>
        <x:v>36</x:v>
      </x:c>
      <x:c r="R610" s="84" t="n">
        <x:f>'Raw Sales'!J610</x:f>
        <x:v>3</x:v>
      </x:c>
      <x:c r="S610" s="87" t="n">
        <x:f>'Raw Sales'!K610</x:f>
        <x:v>0</x:v>
      </x:c>
      <x:c r="T610" s="93" t="n">
        <x:f>P610*R610</x:f>
        <x:v>267</x:v>
      </x:c>
      <x:c r="U610" s="93" t="n">
        <x:f>T610*S610</x:f>
        <x:v>0</x:v>
      </x:c>
      <x:c r="V610" s="93" t="str">
        <x:f>PROPER(TRIM('Raw Sales'!L610))</x:f>
        <x:v>Completed</x:v>
      </x:c>
      <x:c r="W610" s="93" t="n">
        <x:f>IF(V610="Returned",0,T610-U610)</x:f>
        <x:v>267</x:v>
      </x:c>
      <x:c r="X610" s="93" t="n">
        <x:f>IF(V610="Returned",Q610*R610*10%,Q610*R610)</x:f>
        <x:v>108</x:v>
      </x:c>
      <x:c r="Y610" s="93" t="n">
        <x:f>W610-X610</x:f>
        <x:v>159</x:v>
      </x:c>
      <x:c r="Z610" s="94" t="n">
        <x:f>IFERROR(Y610/W610,0)</x:f>
        <x:v>0.5955056179775281</x:v>
      </x:c>
      <x:c r="AA610" s="84" t="str">
        <x:f>PROPER(TRIM('Raw Sales'!M610))</x:f>
        <x:v>Mobile Wallet</x:v>
      </x:c>
      <x:c r="AB610" s="84" t="str">
        <x:f>PROPER(TRIM('Raw Sales'!N610))</x:f>
        <x:v>Ava Mitchell</x:v>
      </x:c>
      <x:c r="AC610" s="85" t="n">
        <x:f>'Raw Sales'!O610</x:f>
        <x:v>45520</x:v>
      </x:c>
      <x:c r="AD610" s="84" t="n">
        <x:f>AC610-B610</x:f>
        <x:v>4</x:v>
      </x:c>
      <x:c r="AE610" s="84" t="str">
        <x:f>IF(COUNTIF($A$5:A610,A610)&gt;1,"Duplicate","Keep")</x:f>
        <x:v>Keep</x:v>
      </x:c>
      <x:c r="AF610" s="84" t="str">
        <x:f>IF(OR(R610&lt;=0,AC610&lt;B610,H610="Unknown",M610="Unknown Product"),"Review","Valid")</x:f>
        <x:v>Valid</x:v>
      </x:c>
      <x:c r="AG610" s="84" t="n">
        <x:f>IF(AND(AE610="Keep",AF610="Valid"),1,0)</x:f>
        <x:v>1</x:v>
      </x:c>
      <x:c r="AH610" s="84" t="n">
        <x:f>IF(AND(AG610=1,OR('Dashboard'!$B$4="All",I610='Dashboard'!$B$4),OR('Dashboard'!$E$4="All",N610='Dashboard'!$E$4),OR('Dashboard'!$H$4="All",K610='Dashboard'!$H$4),OR('Dashboard'!$K$4="All",C610='Dashboard'!$K$4)),1,0)</x:f>
        <x:v>1</x:v>
      </x:c>
      <x:c r="AI610" s="84" t="n">
        <x:f>IF(AND(AG610=1,OR('Dashboard'!$B$4="All",I610='Dashboard'!$B$4),OR('Dashboard'!$E$4="All",N610='Dashboard'!$E$4),OR('Dashboard'!$H$4="All",K610='Dashboard'!$H$4)),1,0)</x:f>
        <x:v>1</x:v>
      </x:c>
    </x:row>
    <x:row r="611">
      <x:c r="A611" s="84" t="str">
        <x:f>'Raw Sales'!A611</x:f>
        <x:v>ORD-2024-01682</x:v>
      </x:c>
      <x:c r="B611" s="85" t="n">
        <x:f>'Raw Sales'!B611</x:f>
        <x:v>45517</x:v>
      </x:c>
      <x:c r="C611" s="84" t="n">
        <x:f>YEAR(B611)</x:f>
        <x:v>2024</x:v>
      </x:c>
      <x:c r="D611" s="91" t="n">
        <x:f>DATE(YEAR(B611),MONTH(B611),1)</x:f>
        <x:v>45505</x:v>
      </x:c>
      <x:c r="E611" s="84" t="str">
        <x:f>TEXT(B611,"mmm")</x:f>
        <x:v>Aug</x:v>
      </x:c>
      <x:c r="F611" s="84" t="str">
        <x:f>'Raw Sales'!C611</x:f>
        <x:v>CUST-0221</x:v>
      </x:c>
      <x:c r="G611" s="84" t="str">
        <x:f>PROPER(TRIM('Raw Sales'!D611))</x:f>
        <x:v>Priya Irwin</x:v>
      </x:c>
      <x:c r="H611" s="84" t="str">
        <x:f>IF(TRIM('Raw Sales'!E611)="","Unknown",PROPER(TRIM('Raw Sales'!E611)))</x:f>
        <x:v>Consumer</x:v>
      </x:c>
      <x:c r="I611" s="84" t="str">
        <x:f>PROPER(TRIM('Raw Sales'!F611))</x:f>
        <x:v>Southeast</x:v>
      </x:c>
      <x:c r="J611" s="84" t="str">
        <x:f>PROPER(TRIM('Raw Sales'!G611))</x:f>
        <x:v>Charlotte</x:v>
      </x:c>
      <x:c r="K611" s="84" t="str">
        <x:f>PROPER(TRIM('Raw Sales'!H611))</x:f>
        <x:v>Online</x:v>
      </x:c>
      <x:c r="L611" s="84" t="str">
        <x:f>'Raw Sales'!I611</x:f>
        <x:v>ACCS-003</x:v>
      </x:c>
      <x:c r="M611" s="84" t="str">
        <x:f>IFERROR(VLOOKUP(L611,'Reference Data'!$A$5:$F$40,2,FALSE),"Unknown Product")</x:f>
        <x:v>Polarized Sunglasses</x:v>
      </x:c>
      <x:c r="N611" s="84" t="str">
        <x:f>IFERROR(VLOOKUP(L611,'Reference Data'!$A$5:$F$40,3,FALSE),"Unknown")</x:f>
        <x:v>Accessories</x:v>
      </x:c>
      <x:c r="O611" s="84" t="str">
        <x:f>IFERROR(VLOOKUP(L611,'Reference Data'!$A$5:$F$40,4,FALSE),"Unknown")</x:f>
        <x:v>Eyewear</x:v>
      </x:c>
      <x:c r="P611" s="92" t="n">
        <x:f>IFERROR(VLOOKUP(L611,'Reference Data'!$A$5:$F$40,5,FALSE),0)</x:f>
        <x:v>59</x:v>
      </x:c>
      <x:c r="Q611" s="92" t="n">
        <x:f>IFERROR(VLOOKUP(L611,'Reference Data'!$A$5:$F$40,6,FALSE),0)</x:f>
        <x:v>17</x:v>
      </x:c>
      <x:c r="R611" s="84" t="n">
        <x:f>'Raw Sales'!J611</x:f>
        <x:v>2</x:v>
      </x:c>
      <x:c r="S611" s="87" t="n">
        <x:f>'Raw Sales'!K611</x:f>
        <x:v>0</x:v>
      </x:c>
      <x:c r="T611" s="93" t="n">
        <x:f>P611*R611</x:f>
        <x:v>118</x:v>
      </x:c>
      <x:c r="U611" s="93" t="n">
        <x:f>T611*S611</x:f>
        <x:v>0</x:v>
      </x:c>
      <x:c r="V611" s="93" t="str">
        <x:f>PROPER(TRIM('Raw Sales'!L611))</x:f>
        <x:v>Completed</x:v>
      </x:c>
      <x:c r="W611" s="93" t="n">
        <x:f>IF(V611="Returned",0,T611-U611)</x:f>
        <x:v>118</x:v>
      </x:c>
      <x:c r="X611" s="93" t="n">
        <x:f>IF(V611="Returned",Q611*R611*10%,Q611*R611)</x:f>
        <x:v>34</x:v>
      </x:c>
      <x:c r="Y611" s="93" t="n">
        <x:f>W611-X611</x:f>
        <x:v>84</x:v>
      </x:c>
      <x:c r="Z611" s="94" t="n">
        <x:f>IFERROR(Y611/W611,0)</x:f>
        <x:v>0.711864406779661</x:v>
      </x:c>
      <x:c r="AA611" s="84" t="str">
        <x:f>PROPER(TRIM('Raw Sales'!M611))</x:f>
        <x:v>Mobile Wallet</x:v>
      </x:c>
      <x:c r="AB611" s="84" t="str">
        <x:f>PROPER(TRIM('Raw Sales'!N611))</x:f>
        <x:v>Liam Parker</x:v>
      </x:c>
      <x:c r="AC611" s="85" t="n">
        <x:f>'Raw Sales'!O611</x:f>
        <x:v>45521</x:v>
      </x:c>
      <x:c r="AD611" s="84" t="n">
        <x:f>AC611-B611</x:f>
        <x:v>4</x:v>
      </x:c>
      <x:c r="AE611" s="84" t="str">
        <x:f>IF(COUNTIF($A$5:A611,A611)&gt;1,"Duplicate","Keep")</x:f>
        <x:v>Keep</x:v>
      </x:c>
      <x:c r="AF611" s="84" t="str">
        <x:f>IF(OR(R611&lt;=0,AC611&lt;B611,H611="Unknown",M611="Unknown Product"),"Review","Valid")</x:f>
        <x:v>Valid</x:v>
      </x:c>
      <x:c r="AG611" s="84" t="n">
        <x:f>IF(AND(AE611="Keep",AF611="Valid"),1,0)</x:f>
        <x:v>1</x:v>
      </x:c>
      <x:c r="AH611" s="84" t="n">
        <x:f>IF(AND(AG611=1,OR('Dashboard'!$B$4="All",I611='Dashboard'!$B$4),OR('Dashboard'!$E$4="All",N611='Dashboard'!$E$4),OR('Dashboard'!$H$4="All",K611='Dashboard'!$H$4),OR('Dashboard'!$K$4="All",C611='Dashboard'!$K$4)),1,0)</x:f>
        <x:v>1</x:v>
      </x:c>
      <x:c r="AI611" s="84" t="n">
        <x:f>IF(AND(AG611=1,OR('Dashboard'!$B$4="All",I611='Dashboard'!$B$4),OR('Dashboard'!$E$4="All",N611='Dashboard'!$E$4),OR('Dashboard'!$H$4="All",K611='Dashboard'!$H$4)),1,0)</x:f>
        <x:v>1</x:v>
      </x:c>
    </x:row>
    <x:row r="612">
      <x:c r="A612" s="84" t="str">
        <x:f>'Raw Sales'!A612</x:f>
        <x:v>ORD-2024-00121</x:v>
      </x:c>
      <x:c r="B612" s="85" t="n">
        <x:f>'Raw Sales'!B612</x:f>
        <x:v>45518</x:v>
      </x:c>
      <x:c r="C612" s="84" t="n">
        <x:f>YEAR(B612)</x:f>
        <x:v>2024</x:v>
      </x:c>
      <x:c r="D612" s="91" t="n">
        <x:f>DATE(YEAR(B612),MONTH(B612),1)</x:f>
        <x:v>45505</x:v>
      </x:c>
      <x:c r="E612" s="84" t="str">
        <x:f>TEXT(B612,"mmm")</x:f>
        <x:v>Aug</x:v>
      </x:c>
      <x:c r="F612" s="84" t="str">
        <x:f>'Raw Sales'!C612</x:f>
        <x:v>CUST-0312</x:v>
      </x:c>
      <x:c r="G612" s="84" t="str">
        <x:f>PROPER(TRIM('Raw Sales'!D612))</x:f>
        <x:v>Theo Carter</x:v>
      </x:c>
      <x:c r="H612" s="84" t="str">
        <x:f>IF(TRIM('Raw Sales'!E612)="","Unknown",PROPER(TRIM('Raw Sales'!E612)))</x:f>
        <x:v>Small Business</x:v>
      </x:c>
      <x:c r="I612" s="84" t="str">
        <x:f>PROPER(TRIM('Raw Sales'!F612))</x:f>
        <x:v>Southeast</x:v>
      </x:c>
      <x:c r="J612" s="84" t="str">
        <x:f>PROPER(TRIM('Raw Sales'!G612))</x:f>
        <x:v>Atlanta</x:v>
      </x:c>
      <x:c r="K612" s="84" t="str">
        <x:f>PROPER(TRIM('Raw Sales'!H612))</x:f>
        <x:v>Online</x:v>
      </x:c>
      <x:c r="L612" s="84" t="str">
        <x:f>'Raw Sales'!I612</x:f>
        <x:v>CARE-002</x:v>
      </x:c>
      <x:c r="M612" s="84" t="str">
        <x:f>IFERROR(VLOOKUP(L612,'Reference Data'!$A$5:$F$40,2,FALSE),"Unknown Product")</x:f>
        <x:v>Rechargeable Trimmer</x:v>
      </x:c>
      <x:c r="N612" s="84" t="str">
        <x:f>IFERROR(VLOOKUP(L612,'Reference Data'!$A$5:$F$40,3,FALSE),"Unknown")</x:f>
        <x:v>Personal Care</x:v>
      </x:c>
      <x:c r="O612" s="84" t="str">
        <x:f>IFERROR(VLOOKUP(L612,'Reference Data'!$A$5:$F$40,4,FALSE),"Unknown")</x:f>
        <x:v>Grooming</x:v>
      </x:c>
      <x:c r="P612" s="92" t="n">
        <x:f>IFERROR(VLOOKUP(L612,'Reference Data'!$A$5:$F$40,5,FALSE),0)</x:f>
        <x:v>45</x:v>
      </x:c>
      <x:c r="Q612" s="92" t="n">
        <x:f>IFERROR(VLOOKUP(L612,'Reference Data'!$A$5:$F$40,6,FALSE),0)</x:f>
        <x:v>19</x:v>
      </x:c>
      <x:c r="R612" s="84" t="n">
        <x:f>'Raw Sales'!J612</x:f>
        <x:v>1</x:v>
      </x:c>
      <x:c r="S612" s="87" t="n">
        <x:f>'Raw Sales'!K612</x:f>
        <x:v>0.1</x:v>
      </x:c>
      <x:c r="T612" s="93" t="n">
        <x:f>P612*R612</x:f>
        <x:v>45</x:v>
      </x:c>
      <x:c r="U612" s="93" t="n">
        <x:f>T612*S612</x:f>
        <x:v>4.5</x:v>
      </x:c>
      <x:c r="V612" s="93" t="str">
        <x:f>PROPER(TRIM('Raw Sales'!L612))</x:f>
        <x:v>Completed</x:v>
      </x:c>
      <x:c r="W612" s="93" t="n">
        <x:f>IF(V612="Returned",0,T612-U612)</x:f>
        <x:v>40.5</x:v>
      </x:c>
      <x:c r="X612" s="93" t="n">
        <x:f>IF(V612="Returned",Q612*R612*10%,Q612*R612)</x:f>
        <x:v>19</x:v>
      </x:c>
      <x:c r="Y612" s="93" t="n">
        <x:f>W612-X612</x:f>
        <x:v>21.5</x:v>
      </x:c>
      <x:c r="Z612" s="94" t="n">
        <x:f>IFERROR(Y612/W612,0)</x:f>
        <x:v>0.5308641975308642</x:v>
      </x:c>
      <x:c r="AA612" s="84" t="str">
        <x:f>PROPER(TRIM('Raw Sales'!M612))</x:f>
        <x:v>Paypal</x:v>
      </x:c>
      <x:c r="AB612" s="84" t="str">
        <x:f>PROPER(TRIM('Raw Sales'!N612))</x:f>
        <x:v>Noah Reed</x:v>
      </x:c>
      <x:c r="AC612" s="85" t="n">
        <x:f>'Raw Sales'!O612</x:f>
        <x:v>45521</x:v>
      </x:c>
      <x:c r="AD612" s="84" t="n">
        <x:f>AC612-B612</x:f>
        <x:v>3</x:v>
      </x:c>
      <x:c r="AE612" s="84" t="str">
        <x:f>IF(COUNTIF($A$5:A612,A612)&gt;1,"Duplicate","Keep")</x:f>
        <x:v>Keep</x:v>
      </x:c>
      <x:c r="AF612" s="84" t="str">
        <x:f>IF(OR(R612&lt;=0,AC612&lt;B612,H612="Unknown",M612="Unknown Product"),"Review","Valid")</x:f>
        <x:v>Valid</x:v>
      </x:c>
      <x:c r="AG612" s="84" t="n">
        <x:f>IF(AND(AE612="Keep",AF612="Valid"),1,0)</x:f>
        <x:v>1</x:v>
      </x:c>
      <x:c r="AH612" s="84" t="n">
        <x:f>IF(AND(AG612=1,OR('Dashboard'!$B$4="All",I612='Dashboard'!$B$4),OR('Dashboard'!$E$4="All",N612='Dashboard'!$E$4),OR('Dashboard'!$H$4="All",K612='Dashboard'!$H$4),OR('Dashboard'!$K$4="All",C612='Dashboard'!$K$4)),1,0)</x:f>
        <x:v>1</x:v>
      </x:c>
      <x:c r="AI612" s="84" t="n">
        <x:f>IF(AND(AG612=1,OR('Dashboard'!$B$4="All",I612='Dashboard'!$B$4),OR('Dashboard'!$E$4="All",N612='Dashboard'!$E$4),OR('Dashboard'!$H$4="All",K612='Dashboard'!$H$4)),1,0)</x:f>
        <x:v>1</x:v>
      </x:c>
    </x:row>
    <x:row r="613">
      <x:c r="A613" s="84" t="str">
        <x:f>'Raw Sales'!A613</x:f>
        <x:v>ORD-2024-00092</x:v>
      </x:c>
      <x:c r="B613" s="85" t="n">
        <x:f>'Raw Sales'!B613</x:f>
        <x:v>45519</x:v>
      </x:c>
      <x:c r="C613" s="84" t="n">
        <x:f>YEAR(B613)</x:f>
        <x:v>2024</x:v>
      </x:c>
      <x:c r="D613" s="91" t="n">
        <x:f>DATE(YEAR(B613),MONTH(B613),1)</x:f>
        <x:v>45505</x:v>
      </x:c>
      <x:c r="E613" s="84" t="str">
        <x:f>TEXT(B613,"mmm")</x:f>
        <x:v>Aug</x:v>
      </x:c>
      <x:c r="F613" s="84" t="str">
        <x:f>'Raw Sales'!C613</x:f>
        <x:v>CUST-0572</x:v>
      </x:c>
      <x:c r="G613" s="84" t="str">
        <x:f>PROPER(TRIM('Raw Sales'!D613))</x:f>
        <x:v>Marcus Lewis</x:v>
      </x:c>
      <x:c r="H613" s="84" t="str">
        <x:f>IF(TRIM('Raw Sales'!E613)="","Unknown",PROPER(TRIM('Raw Sales'!E613)))</x:f>
        <x:v>Consumer</x:v>
      </x:c>
      <x:c r="I613" s="84" t="str">
        <x:f>PROPER(TRIM('Raw Sales'!F613))</x:f>
        <x:v>Southeast</x:v>
      </x:c>
      <x:c r="J613" s="84" t="str">
        <x:f>PROPER(TRIM('Raw Sales'!G613))</x:f>
        <x:v>Nashville</x:v>
      </x:c>
      <x:c r="K613" s="84" t="str">
        <x:f>PROPER(TRIM('Raw Sales'!H613))</x:f>
        <x:v>Marketplace</x:v>
      </x:c>
      <x:c r="L613" s="84" t="str">
        <x:f>'Raw Sales'!I613</x:f>
        <x:v>OFFC-003</x:v>
      </x:c>
      <x:c r="M613" s="84" t="str">
        <x:f>IFERROR(VLOOKUP(L613,'Reference Data'!$A$5:$F$40,2,FALSE),"Unknown Product")</x:f>
        <x:v>LED Desk Lamp</x:v>
      </x:c>
      <x:c r="N613" s="84" t="str">
        <x:f>IFERROR(VLOOKUP(L613,'Reference Data'!$A$5:$F$40,3,FALSE),"Unknown")</x:f>
        <x:v>Office</x:v>
      </x:c>
      <x:c r="O613" s="84" t="str">
        <x:f>IFERROR(VLOOKUP(L613,'Reference Data'!$A$5:$F$40,4,FALSE),"Unknown")</x:f>
        <x:v>Desk Accessories</x:v>
      </x:c>
      <x:c r="P613" s="92" t="n">
        <x:f>IFERROR(VLOOKUP(L613,'Reference Data'!$A$5:$F$40,5,FALSE),0)</x:f>
        <x:v>45</x:v>
      </x:c>
      <x:c r="Q613" s="92" t="n">
        <x:f>IFERROR(VLOOKUP(L613,'Reference Data'!$A$5:$F$40,6,FALSE),0)</x:f>
        <x:v>20</x:v>
      </x:c>
      <x:c r="R613" s="84" t="n">
        <x:f>'Raw Sales'!J613</x:f>
        <x:v>1</x:v>
      </x:c>
      <x:c r="S613" s="87" t="n">
        <x:f>'Raw Sales'!K613</x:f>
        <x:v>0.05</x:v>
      </x:c>
      <x:c r="T613" s="93" t="n">
        <x:f>P613*R613</x:f>
        <x:v>45</x:v>
      </x:c>
      <x:c r="U613" s="93" t="n">
        <x:f>T613*S613</x:f>
        <x:v>2.25</x:v>
      </x:c>
      <x:c r="V613" s="93" t="str">
        <x:f>PROPER(TRIM('Raw Sales'!L613))</x:f>
        <x:v>Completed</x:v>
      </x:c>
      <x:c r="W613" s="93" t="n">
        <x:f>IF(V613="Returned",0,T613-U613)</x:f>
        <x:v>42.75</x:v>
      </x:c>
      <x:c r="X613" s="93" t="n">
        <x:f>IF(V613="Returned",Q613*R613*10%,Q613*R613)</x:f>
        <x:v>20</x:v>
      </x:c>
      <x:c r="Y613" s="93" t="n">
        <x:f>W613-X613</x:f>
        <x:v>22.75</x:v>
      </x:c>
      <x:c r="Z613" s="94" t="n">
        <x:f>IFERROR(Y613/W613,0)</x:f>
        <x:v>0.5321637426900585</x:v>
      </x:c>
      <x:c r="AA613" s="84" t="str">
        <x:f>PROPER(TRIM('Raw Sales'!M613))</x:f>
        <x:v>Credit Card</x:v>
      </x:c>
      <x:c r="AB613" s="84" t="str">
        <x:f>PROPER(TRIM('Raw Sales'!N613))</x:f>
        <x:v>Ava Mitchell</x:v>
      </x:c>
      <x:c r="AC613" s="85" t="n">
        <x:f>'Raw Sales'!O613</x:f>
        <x:v>45525</x:v>
      </x:c>
      <x:c r="AD613" s="84" t="n">
        <x:f>AC613-B613</x:f>
        <x:v>6</x:v>
      </x:c>
      <x:c r="AE613" s="84" t="str">
        <x:f>IF(COUNTIF($A$5:A613,A613)&gt;1,"Duplicate","Keep")</x:f>
        <x:v>Keep</x:v>
      </x:c>
      <x:c r="AF613" s="84" t="str">
        <x:f>IF(OR(R613&lt;=0,AC613&lt;B613,H613="Unknown",M613="Unknown Product"),"Review","Valid")</x:f>
        <x:v>Valid</x:v>
      </x:c>
      <x:c r="AG613" s="84" t="n">
        <x:f>IF(AND(AE613="Keep",AF613="Valid"),1,0)</x:f>
        <x:v>1</x:v>
      </x:c>
      <x:c r="AH613" s="84" t="n">
        <x:f>IF(AND(AG613=1,OR('Dashboard'!$B$4="All",I613='Dashboard'!$B$4),OR('Dashboard'!$E$4="All",N613='Dashboard'!$E$4),OR('Dashboard'!$H$4="All",K613='Dashboard'!$H$4),OR('Dashboard'!$K$4="All",C613='Dashboard'!$K$4)),1,0)</x:f>
        <x:v>1</x:v>
      </x:c>
      <x:c r="AI613" s="84" t="n">
        <x:f>IF(AND(AG613=1,OR('Dashboard'!$B$4="All",I613='Dashboard'!$B$4),OR('Dashboard'!$E$4="All",N613='Dashboard'!$E$4),OR('Dashboard'!$H$4="All",K613='Dashboard'!$H$4)),1,0)</x:f>
        <x:v>1</x:v>
      </x:c>
    </x:row>
    <x:row r="614">
      <x:c r="A614" s="84" t="str">
        <x:f>'Raw Sales'!A614</x:f>
        <x:v>ORD-2024-01298</x:v>
      </x:c>
      <x:c r="B614" s="85" t="n">
        <x:f>'Raw Sales'!B614</x:f>
        <x:v>45519</x:v>
      </x:c>
      <x:c r="C614" s="84" t="n">
        <x:f>YEAR(B614)</x:f>
        <x:v>2024</x:v>
      </x:c>
      <x:c r="D614" s="91" t="n">
        <x:f>DATE(YEAR(B614),MONTH(B614),1)</x:f>
        <x:v>45505</x:v>
      </x:c>
      <x:c r="E614" s="84" t="str">
        <x:f>TEXT(B614,"mmm")</x:f>
        <x:v>Aug</x:v>
      </x:c>
      <x:c r="F614" s="84" t="str">
        <x:f>'Raw Sales'!C614</x:f>
        <x:v>CUST-0436</x:v>
      </x:c>
      <x:c r="G614" s="84" t="str">
        <x:f>PROPER(TRIM('Raw Sales'!D614))</x:f>
        <x:v>Nathan Hall</x:v>
      </x:c>
      <x:c r="H614" s="84" t="str">
        <x:f>IF(TRIM('Raw Sales'!E614)="","Unknown",PROPER(TRIM('Raw Sales'!E614)))</x:f>
        <x:v>Consumer</x:v>
      </x:c>
      <x:c r="I614" s="84" t="str">
        <x:f>PROPER(TRIM('Raw Sales'!F614))</x:f>
        <x:v>West</x:v>
      </x:c>
      <x:c r="J614" s="84" t="str">
        <x:f>PROPER(TRIM('Raw Sales'!G614))</x:f>
        <x:v>Phoenix</x:v>
      </x:c>
      <x:c r="K614" s="84" t="str">
        <x:f>PROPER(TRIM('Raw Sales'!H614))</x:f>
        <x:v>Retail Store</x:v>
      </x:c>
      <x:c r="L614" s="84" t="str">
        <x:f>'Raw Sales'!I614</x:f>
        <x:v>HOME-003</x:v>
      </x:c>
      <x:c r="M614" s="84" t="str">
        <x:f>IFERROR(VLOOKUP(L614,'Reference Data'!$A$5:$F$40,2,FALSE),"Unknown Product")</x:f>
        <x:v>Countertop Blender</x:v>
      </x:c>
      <x:c r="N614" s="84" t="str">
        <x:f>IFERROR(VLOOKUP(L614,'Reference Data'!$A$5:$F$40,3,FALSE),"Unknown")</x:f>
        <x:v>Home &amp; Kitchen</x:v>
      </x:c>
      <x:c r="O614" s="84" t="str">
        <x:f>IFERROR(VLOOKUP(L614,'Reference Data'!$A$5:$F$40,4,FALSE),"Unknown")</x:f>
        <x:v>Small Appliances</x:v>
      </x:c>
      <x:c r="P614" s="92" t="n">
        <x:f>IFERROR(VLOOKUP(L614,'Reference Data'!$A$5:$F$40,5,FALSE),0)</x:f>
        <x:v>89</x:v>
      </x:c>
      <x:c r="Q614" s="92" t="n">
        <x:f>IFERROR(VLOOKUP(L614,'Reference Data'!$A$5:$F$40,6,FALSE),0)</x:f>
        <x:v>46</x:v>
      </x:c>
      <x:c r="R614" s="84" t="n">
        <x:f>'Raw Sales'!J614</x:f>
        <x:v>3</x:v>
      </x:c>
      <x:c r="S614" s="87" t="n">
        <x:f>'Raw Sales'!K614</x:f>
        <x:v>0.05</x:v>
      </x:c>
      <x:c r="T614" s="93" t="n">
        <x:f>P614*R614</x:f>
        <x:v>267</x:v>
      </x:c>
      <x:c r="U614" s="93" t="n">
        <x:f>T614*S614</x:f>
        <x:v>13.350000000000001</x:v>
      </x:c>
      <x:c r="V614" s="93" t="str">
        <x:f>PROPER(TRIM('Raw Sales'!L614))</x:f>
        <x:v>Completed</x:v>
      </x:c>
      <x:c r="W614" s="93" t="n">
        <x:f>IF(V614="Returned",0,T614-U614)</x:f>
        <x:v>253.65</x:v>
      </x:c>
      <x:c r="X614" s="93" t="n">
        <x:f>IF(V614="Returned",Q614*R614*10%,Q614*R614)</x:f>
        <x:v>138</x:v>
      </x:c>
      <x:c r="Y614" s="93" t="n">
        <x:f>W614-X614</x:f>
        <x:v>115.65</x:v>
      </x:c>
      <x:c r="Z614" s="94" t="n">
        <x:f>IFERROR(Y614/W614,0)</x:f>
        <x:v>0.4559432288586635</x:v>
      </x:c>
      <x:c r="AA614" s="84" t="str">
        <x:f>PROPER(TRIM('Raw Sales'!M614))</x:f>
        <x:v>Mobile Wallet</x:v>
      </x:c>
      <x:c r="AB614" s="84" t="str">
        <x:f>PROPER(TRIM('Raw Sales'!N614))</x:f>
        <x:v>Nora Kim</x:v>
      </x:c>
      <x:c r="AC614" s="85" t="n">
        <x:f>'Raw Sales'!O614</x:f>
        <x:v>45519</x:v>
      </x:c>
      <x:c r="AD614" s="84" t="n">
        <x:f>AC614-B614</x:f>
        <x:v>0</x:v>
      </x:c>
      <x:c r="AE614" s="84" t="str">
        <x:f>IF(COUNTIF($A$5:A614,A614)&gt;1,"Duplicate","Keep")</x:f>
        <x:v>Keep</x:v>
      </x:c>
      <x:c r="AF614" s="84" t="str">
        <x:f>IF(OR(R614&lt;=0,AC614&lt;B614,H614="Unknown",M614="Unknown Product"),"Review","Valid")</x:f>
        <x:v>Valid</x:v>
      </x:c>
      <x:c r="AG614" s="84" t="n">
        <x:f>IF(AND(AE614="Keep",AF614="Valid"),1,0)</x:f>
        <x:v>1</x:v>
      </x:c>
      <x:c r="AH614" s="84" t="n">
        <x:f>IF(AND(AG614=1,OR('Dashboard'!$B$4="All",I614='Dashboard'!$B$4),OR('Dashboard'!$E$4="All",N614='Dashboard'!$E$4),OR('Dashboard'!$H$4="All",K614='Dashboard'!$H$4),OR('Dashboard'!$K$4="All",C614='Dashboard'!$K$4)),1,0)</x:f>
        <x:v>1</x:v>
      </x:c>
      <x:c r="AI614" s="84" t="n">
        <x:f>IF(AND(AG614=1,OR('Dashboard'!$B$4="All",I614='Dashboard'!$B$4),OR('Dashboard'!$E$4="All",N614='Dashboard'!$E$4),OR('Dashboard'!$H$4="All",K614='Dashboard'!$H$4)),1,0)</x:f>
        <x:v>1</x:v>
      </x:c>
    </x:row>
    <x:row r="615">
      <x:c r="A615" s="84" t="str">
        <x:f>'Raw Sales'!A615</x:f>
        <x:v>ORD-2024-00046</x:v>
      </x:c>
      <x:c r="B615" s="85" t="n">
        <x:f>'Raw Sales'!B615</x:f>
        <x:v>45520</x:v>
      </x:c>
      <x:c r="C615" s="84" t="n">
        <x:f>YEAR(B615)</x:f>
        <x:v>2024</x:v>
      </x:c>
      <x:c r="D615" s="91" t="n">
        <x:f>DATE(YEAR(B615),MONTH(B615),1)</x:f>
        <x:v>45505</x:v>
      </x:c>
      <x:c r="E615" s="84" t="str">
        <x:f>TEXT(B615,"mmm")</x:f>
        <x:v>Aug</x:v>
      </x:c>
      <x:c r="F615" s="84" t="str">
        <x:f>'Raw Sales'!C615</x:f>
        <x:v>CUST-0371</x:v>
      </x:c>
      <x:c r="G615" s="84" t="str">
        <x:f>PROPER(TRIM('Raw Sales'!D615))</x:f>
        <x:v>Sara Moore</x:v>
      </x:c>
      <x:c r="H615" s="84" t="str">
        <x:f>IF(TRIM('Raw Sales'!E615)="","Unknown",PROPER(TRIM('Raw Sales'!E615)))</x:f>
        <x:v>Small Business</x:v>
      </x:c>
      <x:c r="I615" s="84" t="str">
        <x:f>PROPER(TRIM('Raw Sales'!F615))</x:f>
        <x:v>West</x:v>
      </x:c>
      <x:c r="J615" s="84" t="str">
        <x:f>PROPER(TRIM('Raw Sales'!G615))</x:f>
        <x:v>Seattle</x:v>
      </x:c>
      <x:c r="K615" s="84" t="str">
        <x:f>PROPER(TRIM('Raw Sales'!H615))</x:f>
        <x:v>Retail Store</x:v>
      </x:c>
      <x:c r="L615" s="84" t="str">
        <x:f>'Raw Sales'!I615</x:f>
        <x:v>OFFC-006</x:v>
      </x:c>
      <x:c r="M615" s="84" t="str">
        <x:f>IFERROR(VLOOKUP(L615,'Reference Data'!$A$5:$F$40,2,FALSE),"Unknown Product")</x:f>
        <x:v>Monitor Stand</x:v>
      </x:c>
      <x:c r="N615" s="84" t="str">
        <x:f>IFERROR(VLOOKUP(L615,'Reference Data'!$A$5:$F$40,3,FALSE),"Unknown")</x:f>
        <x:v>Office</x:v>
      </x:c>
      <x:c r="O615" s="84" t="str">
        <x:f>IFERROR(VLOOKUP(L615,'Reference Data'!$A$5:$F$40,4,FALSE),"Unknown")</x:f>
        <x:v>Desk Accessories</x:v>
      </x:c>
      <x:c r="P615" s="92" t="n">
        <x:f>IFERROR(VLOOKUP(L615,'Reference Data'!$A$5:$F$40,5,FALSE),0)</x:f>
        <x:v>49</x:v>
      </x:c>
      <x:c r="Q615" s="92" t="n">
        <x:f>IFERROR(VLOOKUP(L615,'Reference Data'!$A$5:$F$40,6,FALSE),0)</x:f>
        <x:v>21</x:v>
      </x:c>
      <x:c r="R615" s="84" t="n">
        <x:f>'Raw Sales'!J615</x:f>
        <x:v>1</x:v>
      </x:c>
      <x:c r="S615" s="87" t="n">
        <x:f>'Raw Sales'!K615</x:f>
        <x:v>0</x:v>
      </x:c>
      <x:c r="T615" s="93" t="n">
        <x:f>P615*R615</x:f>
        <x:v>49</x:v>
      </x:c>
      <x:c r="U615" s="93" t="n">
        <x:f>T615*S615</x:f>
        <x:v>0</x:v>
      </x:c>
      <x:c r="V615" s="93" t="str">
        <x:f>PROPER(TRIM('Raw Sales'!L615))</x:f>
        <x:v>Completed</x:v>
      </x:c>
      <x:c r="W615" s="93" t="n">
        <x:f>IF(V615="Returned",0,T615-U615)</x:f>
        <x:v>49</x:v>
      </x:c>
      <x:c r="X615" s="93" t="n">
        <x:f>IF(V615="Returned",Q615*R615*10%,Q615*R615)</x:f>
        <x:v>21</x:v>
      </x:c>
      <x:c r="Y615" s="93" t="n">
        <x:f>W615-X615</x:f>
        <x:v>28</x:v>
      </x:c>
      <x:c r="Z615" s="94" t="n">
        <x:f>IFERROR(Y615/W615,0)</x:f>
        <x:v>0.5714285714285714</x:v>
      </x:c>
      <x:c r="AA615" s="84" t="str">
        <x:f>PROPER(TRIM('Raw Sales'!M615))</x:f>
        <x:v>Mobile Wallet</x:v>
      </x:c>
      <x:c r="AB615" s="84" t="str">
        <x:f>PROPER(TRIM('Raw Sales'!N615))</x:f>
        <x:v>Mia Chen</x:v>
      </x:c>
      <x:c r="AC615" s="85" t="n">
        <x:f>'Raw Sales'!O615</x:f>
        <x:v>45520</x:v>
      </x:c>
      <x:c r="AD615" s="84" t="n">
        <x:f>AC615-B615</x:f>
        <x:v>0</x:v>
      </x:c>
      <x:c r="AE615" s="84" t="str">
        <x:f>IF(COUNTIF($A$5:A615,A615)&gt;1,"Duplicate","Keep")</x:f>
        <x:v>Keep</x:v>
      </x:c>
      <x:c r="AF615" s="84" t="str">
        <x:f>IF(OR(R615&lt;=0,AC615&lt;B615,H615="Unknown",M615="Unknown Product"),"Review","Valid")</x:f>
        <x:v>Valid</x:v>
      </x:c>
      <x:c r="AG615" s="84" t="n">
        <x:f>IF(AND(AE615="Keep",AF615="Valid"),1,0)</x:f>
        <x:v>1</x:v>
      </x:c>
      <x:c r="AH615" s="84" t="n">
        <x:f>IF(AND(AG615=1,OR('Dashboard'!$B$4="All",I615='Dashboard'!$B$4),OR('Dashboard'!$E$4="All",N615='Dashboard'!$E$4),OR('Dashboard'!$H$4="All",K615='Dashboard'!$H$4),OR('Dashboard'!$K$4="All",C615='Dashboard'!$K$4)),1,0)</x:f>
        <x:v>1</x:v>
      </x:c>
      <x:c r="AI615" s="84" t="n">
        <x:f>IF(AND(AG615=1,OR('Dashboard'!$B$4="All",I615='Dashboard'!$B$4),OR('Dashboard'!$E$4="All",N615='Dashboard'!$E$4),OR('Dashboard'!$H$4="All",K615='Dashboard'!$H$4)),1,0)</x:f>
        <x:v>1</x:v>
      </x:c>
    </x:row>
    <x:row r="616">
      <x:c r="A616" s="84" t="str">
        <x:f>'Raw Sales'!A616</x:f>
        <x:v>ORD-2024-01389</x:v>
      </x:c>
      <x:c r="B616" s="85" t="n">
        <x:f>'Raw Sales'!B616</x:f>
        <x:v>45520</x:v>
      </x:c>
      <x:c r="C616" s="84" t="n">
        <x:f>YEAR(B616)</x:f>
        <x:v>2024</x:v>
      </x:c>
      <x:c r="D616" s="91" t="n">
        <x:f>DATE(YEAR(B616),MONTH(B616),1)</x:f>
        <x:v>45505</x:v>
      </x:c>
      <x:c r="E616" s="84" t="str">
        <x:f>TEXT(B616,"mmm")</x:f>
        <x:v>Aug</x:v>
      </x:c>
      <x:c r="F616" s="84" t="str">
        <x:f>'Raw Sales'!C616</x:f>
        <x:v>CUST-0004</x:v>
      </x:c>
      <x:c r="G616" s="84" t="str">
        <x:f>PROPER(TRIM('Raw Sales'!D616))</x:f>
        <x:v>Caleb Carter</x:v>
      </x:c>
      <x:c r="H616" s="84" t="str">
        <x:f>IF(TRIM('Raw Sales'!E616)="","Unknown",PROPER(TRIM('Raw Sales'!E616)))</x:f>
        <x:v>Consumer</x:v>
      </x:c>
      <x:c r="I616" s="84" t="str">
        <x:f>PROPER(TRIM('Raw Sales'!F616))</x:f>
        <x:v>Southeast</x:v>
      </x:c>
      <x:c r="J616" s="84" t="str">
        <x:f>PROPER(TRIM('Raw Sales'!G616))</x:f>
        <x:v>Atlanta</x:v>
      </x:c>
      <x:c r="K616" s="84" t="str">
        <x:f>PROPER(TRIM('Raw Sales'!H616))</x:f>
        <x:v>Online</x:v>
      </x:c>
      <x:c r="L616" s="84" t="str">
        <x:f>'Raw Sales'!I616</x:f>
        <x:v>OFFC-004</x:v>
      </x:c>
      <x:c r="M616" s="84" t="str">
        <x:f>IFERROR(VLOOKUP(L616,'Reference Data'!$A$5:$F$40,2,FALSE),"Unknown Product")</x:f>
        <x:v>Premium Notebook Pack</x:v>
      </x:c>
      <x:c r="N616" s="84" t="str">
        <x:f>IFERROR(VLOOKUP(L616,'Reference Data'!$A$5:$F$40,3,FALSE),"Unknown")</x:f>
        <x:v>Office</x:v>
      </x:c>
      <x:c r="O616" s="84" t="str">
        <x:f>IFERROR(VLOOKUP(L616,'Reference Data'!$A$5:$F$40,4,FALSE),"Unknown")</x:f>
        <x:v>Stationery</x:v>
      </x:c>
      <x:c r="P616" s="92" t="n">
        <x:f>IFERROR(VLOOKUP(L616,'Reference Data'!$A$5:$F$40,5,FALSE),0)</x:f>
        <x:v>18</x:v>
      </x:c>
      <x:c r="Q616" s="92" t="n">
        <x:f>IFERROR(VLOOKUP(L616,'Reference Data'!$A$5:$F$40,6,FALSE),0)</x:f>
        <x:v>6.5</x:v>
      </x:c>
      <x:c r="R616" s="84" t="n">
        <x:f>'Raw Sales'!J616</x:f>
        <x:v>1</x:v>
      </x:c>
      <x:c r="S616" s="87" t="n">
        <x:f>'Raw Sales'!K616</x:f>
        <x:v>0.05</x:v>
      </x:c>
      <x:c r="T616" s="93" t="n">
        <x:f>P616*R616</x:f>
        <x:v>18</x:v>
      </x:c>
      <x:c r="U616" s="93" t="n">
        <x:f>T616*S616</x:f>
        <x:v>0.9</x:v>
      </x:c>
      <x:c r="V616" s="93" t="str">
        <x:f>PROPER(TRIM('Raw Sales'!L616))</x:f>
        <x:v>Completed</x:v>
      </x:c>
      <x:c r="W616" s="93" t="n">
        <x:f>IF(V616="Returned",0,T616-U616)</x:f>
        <x:v>17.1</x:v>
      </x:c>
      <x:c r="X616" s="93" t="n">
        <x:f>IF(V616="Returned",Q616*R616*10%,Q616*R616)</x:f>
        <x:v>6.5</x:v>
      </x:c>
      <x:c r="Y616" s="93" t="n">
        <x:f>W616-X616</x:f>
        <x:v>10.600000000000001</x:v>
      </x:c>
      <x:c r="Z616" s="94" t="n">
        <x:f>IFERROR(Y616/W616,0)</x:f>
        <x:v>0.6198830409356726</x:v>
      </x:c>
      <x:c r="AA616" s="84" t="str">
        <x:f>PROPER(TRIM('Raw Sales'!M616))</x:f>
        <x:v>Debit Card</x:v>
      </x:c>
      <x:c r="AB616" s="84" t="str">
        <x:f>PROPER(TRIM('Raw Sales'!N616))</x:f>
        <x:v>Ava Mitchell</x:v>
      </x:c>
      <x:c r="AC616" s="85" t="n">
        <x:f>'Raw Sales'!O616</x:f>
        <x:v>45524</x:v>
      </x:c>
      <x:c r="AD616" s="84" t="n">
        <x:f>AC616-B616</x:f>
        <x:v>4</x:v>
      </x:c>
      <x:c r="AE616" s="84" t="str">
        <x:f>IF(COUNTIF($A$5:A616,A616)&gt;1,"Duplicate","Keep")</x:f>
        <x:v>Keep</x:v>
      </x:c>
      <x:c r="AF616" s="84" t="str">
        <x:f>IF(OR(R616&lt;=0,AC616&lt;B616,H616="Unknown",M616="Unknown Product"),"Review","Valid")</x:f>
        <x:v>Valid</x:v>
      </x:c>
      <x:c r="AG616" s="84" t="n">
        <x:f>IF(AND(AE616="Keep",AF616="Valid"),1,0)</x:f>
        <x:v>1</x:v>
      </x:c>
      <x:c r="AH616" s="84" t="n">
        <x:f>IF(AND(AG616=1,OR('Dashboard'!$B$4="All",I616='Dashboard'!$B$4),OR('Dashboard'!$E$4="All",N616='Dashboard'!$E$4),OR('Dashboard'!$H$4="All",K616='Dashboard'!$H$4),OR('Dashboard'!$K$4="All",C616='Dashboard'!$K$4)),1,0)</x:f>
        <x:v>1</x:v>
      </x:c>
      <x:c r="AI616" s="84" t="n">
        <x:f>IF(AND(AG616=1,OR('Dashboard'!$B$4="All",I616='Dashboard'!$B$4),OR('Dashboard'!$E$4="All",N616='Dashboard'!$E$4),OR('Dashboard'!$H$4="All",K616='Dashboard'!$H$4)),1,0)</x:f>
        <x:v>1</x:v>
      </x:c>
    </x:row>
    <x:row r="617">
      <x:c r="A617" s="84" t="str">
        <x:f>'Raw Sales'!A617</x:f>
        <x:v>ORD-2024-02363</x:v>
      </x:c>
      <x:c r="B617" s="85" t="n">
        <x:f>'Raw Sales'!B617</x:f>
        <x:v>45520</x:v>
      </x:c>
      <x:c r="C617" s="84" t="n">
        <x:f>YEAR(B617)</x:f>
        <x:v>2024</x:v>
      </x:c>
      <x:c r="D617" s="91" t="n">
        <x:f>DATE(YEAR(B617),MONTH(B617),1)</x:f>
        <x:v>45505</x:v>
      </x:c>
      <x:c r="E617" s="84" t="str">
        <x:f>TEXT(B617,"mmm")</x:f>
        <x:v>Aug</x:v>
      </x:c>
      <x:c r="F617" s="84" t="str">
        <x:f>'Raw Sales'!C617</x:f>
        <x:v>CUST-0436</x:v>
      </x:c>
      <x:c r="G617" s="84" t="str">
        <x:f>PROPER(TRIM('Raw Sales'!D617))</x:f>
        <x:v>Nathan Hall</x:v>
      </x:c>
      <x:c r="H617" s="84" t="str">
        <x:f>IF(TRIM('Raw Sales'!E617)="","Unknown",PROPER(TRIM('Raw Sales'!E617)))</x:f>
        <x:v>Consumer</x:v>
      </x:c>
      <x:c r="I617" s="84" t="str">
        <x:f>PROPER(TRIM('Raw Sales'!F617))</x:f>
        <x:v>West</x:v>
      </x:c>
      <x:c r="J617" s="84" t="str">
        <x:f>PROPER(TRIM('Raw Sales'!G617))</x:f>
        <x:v>Phoenix</x:v>
      </x:c>
      <x:c r="K617" s="84" t="str">
        <x:f>PROPER(TRIM('Raw Sales'!H617))</x:f>
        <x:v>Retail Store</x:v>
      </x:c>
      <x:c r="L617" s="84" t="str">
        <x:f>'Raw Sales'!I617</x:f>
        <x:v>OFFC-002</x:v>
      </x:c>
      <x:c r="M617" s="84" t="str">
        <x:f>IFERROR(VLOOKUP(L617,'Reference Data'!$A$5:$F$40,2,FALSE),"Unknown Product")</x:f>
        <x:v>Standing Desk</x:v>
      </x:c>
      <x:c r="N617" s="84" t="str">
        <x:f>IFERROR(VLOOKUP(L617,'Reference Data'!$A$5:$F$40,3,FALSE),"Unknown")</x:f>
        <x:v>Office</x:v>
      </x:c>
      <x:c r="O617" s="84" t="str">
        <x:f>IFERROR(VLOOKUP(L617,'Reference Data'!$A$5:$F$40,4,FALSE),"Unknown")</x:f>
        <x:v>Furniture</x:v>
      </x:c>
      <x:c r="P617" s="92" t="n">
        <x:f>IFERROR(VLOOKUP(L617,'Reference Data'!$A$5:$F$40,5,FALSE),0)</x:f>
        <x:v>399</x:v>
      </x:c>
      <x:c r="Q617" s="92" t="n">
        <x:f>IFERROR(VLOOKUP(L617,'Reference Data'!$A$5:$F$40,6,FALSE),0)</x:f>
        <x:v>235</x:v>
      </x:c>
      <x:c r="R617" s="84" t="n">
        <x:f>'Raw Sales'!J617</x:f>
        <x:v>3</x:v>
      </x:c>
      <x:c r="S617" s="87" t="n">
        <x:f>'Raw Sales'!K617</x:f>
        <x:v>0.1</x:v>
      </x:c>
      <x:c r="T617" s="93" t="n">
        <x:f>P617*R617</x:f>
        <x:v>1197</x:v>
      </x:c>
      <x:c r="U617" s="93" t="n">
        <x:f>T617*S617</x:f>
        <x:v>119.7</x:v>
      </x:c>
      <x:c r="V617" s="93" t="str">
        <x:f>PROPER(TRIM('Raw Sales'!L617))</x:f>
        <x:v>Completed</x:v>
      </x:c>
      <x:c r="W617" s="93" t="n">
        <x:f>IF(V617="Returned",0,T617-U617)</x:f>
        <x:v>1077.3</x:v>
      </x:c>
      <x:c r="X617" s="93" t="n">
        <x:f>IF(V617="Returned",Q617*R617*10%,Q617*R617)</x:f>
        <x:v>705</x:v>
      </x:c>
      <x:c r="Y617" s="93" t="n">
        <x:f>W617-X617</x:f>
        <x:v>372.29999999999995</x:v>
      </x:c>
      <x:c r="Z617" s="94" t="n">
        <x:f>IFERROR(Y617/W617,0)</x:f>
        <x:v>0.34558618769145083</x:v>
      </x:c>
      <x:c r="AA617" s="84" t="str">
        <x:f>PROPER(TRIM('Raw Sales'!M617))</x:f>
        <x:v>Credit Card</x:v>
      </x:c>
      <x:c r="AB617" s="84" t="str">
        <x:f>PROPER(TRIM('Raw Sales'!N617))</x:f>
        <x:v>Mia Chen</x:v>
      </x:c>
      <x:c r="AC617" s="85" t="n">
        <x:f>'Raw Sales'!O617</x:f>
        <x:v>45521</x:v>
      </x:c>
      <x:c r="AD617" s="84" t="n">
        <x:f>AC617-B617</x:f>
        <x:v>1</x:v>
      </x:c>
      <x:c r="AE617" s="84" t="str">
        <x:f>IF(COUNTIF($A$5:A617,A617)&gt;1,"Duplicate","Keep")</x:f>
        <x:v>Keep</x:v>
      </x:c>
      <x:c r="AF617" s="84" t="str">
        <x:f>IF(OR(R617&lt;=0,AC617&lt;B617,H617="Unknown",M617="Unknown Product"),"Review","Valid")</x:f>
        <x:v>Valid</x:v>
      </x:c>
      <x:c r="AG617" s="84" t="n">
        <x:f>IF(AND(AE617="Keep",AF617="Valid"),1,0)</x:f>
        <x:v>1</x:v>
      </x:c>
      <x:c r="AH617" s="84" t="n">
        <x:f>IF(AND(AG617=1,OR('Dashboard'!$B$4="All",I617='Dashboard'!$B$4),OR('Dashboard'!$E$4="All",N617='Dashboard'!$E$4),OR('Dashboard'!$H$4="All",K617='Dashboard'!$H$4),OR('Dashboard'!$K$4="All",C617='Dashboard'!$K$4)),1,0)</x:f>
        <x:v>1</x:v>
      </x:c>
      <x:c r="AI617" s="84" t="n">
        <x:f>IF(AND(AG617=1,OR('Dashboard'!$B$4="All",I617='Dashboard'!$B$4),OR('Dashboard'!$E$4="All",N617='Dashboard'!$E$4),OR('Dashboard'!$H$4="All",K617='Dashboard'!$H$4)),1,0)</x:f>
        <x:v>1</x:v>
      </x:c>
    </x:row>
    <x:row r="618">
      <x:c r="A618" s="84" t="str">
        <x:f>'Raw Sales'!A618</x:f>
        <x:v>ORD-2024-00577</x:v>
      </x:c>
      <x:c r="B618" s="85" t="n">
        <x:f>'Raw Sales'!B618</x:f>
        <x:v>45521</x:v>
      </x:c>
      <x:c r="C618" s="84" t="n">
        <x:f>YEAR(B618)</x:f>
        <x:v>2024</x:v>
      </x:c>
      <x:c r="D618" s="91" t="n">
        <x:f>DATE(YEAR(B618),MONTH(B618),1)</x:f>
        <x:v>45505</x:v>
      </x:c>
      <x:c r="E618" s="84" t="str">
        <x:f>TEXT(B618,"mmm")</x:f>
        <x:v>Aug</x:v>
      </x:c>
      <x:c r="F618" s="84" t="str">
        <x:f>'Raw Sales'!C618</x:f>
        <x:v>CUST-0171</x:v>
      </x:c>
      <x:c r="G618" s="84" t="str">
        <x:f>PROPER(TRIM('Raw Sales'!D618))</x:f>
        <x:v>Jonah Nelson</x:v>
      </x:c>
      <x:c r="H618" s="84" t="str">
        <x:f>IF(TRIM('Raw Sales'!E618)="","Unknown",PROPER(TRIM('Raw Sales'!E618)))</x:f>
        <x:v>Small Business</x:v>
      </x:c>
      <x:c r="I618" s="84" t="str">
        <x:f>PROPER(TRIM('Raw Sales'!F618))</x:f>
        <x:v>Southeast</x:v>
      </x:c>
      <x:c r="J618" s="84" t="str">
        <x:f>PROPER(TRIM('Raw Sales'!G618))</x:f>
        <x:v>Atlanta</x:v>
      </x:c>
      <x:c r="K618" s="84" t="str">
        <x:f>PROPER(TRIM('Raw Sales'!H618))</x:f>
        <x:v>Marketplace</x:v>
      </x:c>
      <x:c r="L618" s="84" t="str">
        <x:f>'Raw Sales'!I618</x:f>
        <x:v>ELEC-004</x:v>
      </x:c>
      <x:c r="M618" s="84" t="str">
        <x:f>IFERROR(VLOOKUP(L618,'Reference Data'!$A$5:$F$40,2,FALSE),"Unknown Product")</x:f>
        <x:v>Power Bank</x:v>
      </x:c>
      <x:c r="N618" s="84" t="str">
        <x:f>IFERROR(VLOOKUP(L618,'Reference Data'!$A$5:$F$40,3,FALSE),"Unknown")</x:f>
        <x:v>Electronics</x:v>
      </x:c>
      <x:c r="O618" s="84" t="str">
        <x:f>IFERROR(VLOOKUP(L618,'Reference Data'!$A$5:$F$40,4,FALSE),"Unknown")</x:f>
        <x:v>Mobile Accessories</x:v>
      </x:c>
      <x:c r="P618" s="92" t="n">
        <x:f>IFERROR(VLOOKUP(L618,'Reference Data'!$A$5:$F$40,5,FALSE),0)</x:f>
        <x:v>39</x:v>
      </x:c>
      <x:c r="Q618" s="92" t="n">
        <x:f>IFERROR(VLOOKUP(L618,'Reference Data'!$A$5:$F$40,6,FALSE),0)</x:f>
        <x:v>18</x:v>
      </x:c>
      <x:c r="R618" s="84" t="n">
        <x:f>'Raw Sales'!J618</x:f>
        <x:v>1</x:v>
      </x:c>
      <x:c r="S618" s="87" t="n">
        <x:f>'Raw Sales'!K618</x:f>
        <x:v>0.15</x:v>
      </x:c>
      <x:c r="T618" s="93" t="n">
        <x:f>P618*R618</x:f>
        <x:v>39</x:v>
      </x:c>
      <x:c r="U618" s="93" t="n">
        <x:f>T618*S618</x:f>
        <x:v>5.85</x:v>
      </x:c>
      <x:c r="V618" s="93" t="str">
        <x:f>PROPER(TRIM('Raw Sales'!L618))</x:f>
        <x:v>Completed</x:v>
      </x:c>
      <x:c r="W618" s="93" t="n">
        <x:f>IF(V618="Returned",0,T618-U618)</x:f>
        <x:v>33.15</x:v>
      </x:c>
      <x:c r="X618" s="93" t="n">
        <x:f>IF(V618="Returned",Q618*R618*10%,Q618*R618)</x:f>
        <x:v>18</x:v>
      </x:c>
      <x:c r="Y618" s="93" t="n">
        <x:f>W618-X618</x:f>
        <x:v>15.149999999999999</x:v>
      </x:c>
      <x:c r="Z618" s="94" t="n">
        <x:f>IFERROR(Y618/W618,0)</x:f>
        <x:v>0.45701357466063347</x:v>
      </x:c>
      <x:c r="AA618" s="84" t="str">
        <x:f>PROPER(TRIM('Raw Sales'!M618))</x:f>
        <x:v>Paypal</x:v>
      </x:c>
      <x:c r="AB618" s="84" t="str">
        <x:f>PROPER(TRIM('Raw Sales'!N618))</x:f>
        <x:v>Noah Reed</x:v>
      </x:c>
      <x:c r="AC618" s="85" t="n">
        <x:f>'Raw Sales'!O618</x:f>
        <x:v>45527</x:v>
      </x:c>
      <x:c r="AD618" s="84" t="n">
        <x:f>AC618-B618</x:f>
        <x:v>6</x:v>
      </x:c>
      <x:c r="AE618" s="84" t="str">
        <x:f>IF(COUNTIF($A$5:A618,A618)&gt;1,"Duplicate","Keep")</x:f>
        <x:v>Keep</x:v>
      </x:c>
      <x:c r="AF618" s="84" t="str">
        <x:f>IF(OR(R618&lt;=0,AC618&lt;B618,H618="Unknown",M618="Unknown Product"),"Review","Valid")</x:f>
        <x:v>Valid</x:v>
      </x:c>
      <x:c r="AG618" s="84" t="n">
        <x:f>IF(AND(AE618="Keep",AF618="Valid"),1,0)</x:f>
        <x:v>1</x:v>
      </x:c>
      <x:c r="AH618" s="84" t="n">
        <x:f>IF(AND(AG618=1,OR('Dashboard'!$B$4="All",I618='Dashboard'!$B$4),OR('Dashboard'!$E$4="All",N618='Dashboard'!$E$4),OR('Dashboard'!$H$4="All",K618='Dashboard'!$H$4),OR('Dashboard'!$K$4="All",C618='Dashboard'!$K$4)),1,0)</x:f>
        <x:v>1</x:v>
      </x:c>
      <x:c r="AI618" s="84" t="n">
        <x:f>IF(AND(AG618=1,OR('Dashboard'!$B$4="All",I618='Dashboard'!$B$4),OR('Dashboard'!$E$4="All",N618='Dashboard'!$E$4),OR('Dashboard'!$H$4="All",K618='Dashboard'!$H$4)),1,0)</x:f>
        <x:v>1</x:v>
      </x:c>
    </x:row>
    <x:row r="619">
      <x:c r="A619" s="84" t="str">
        <x:f>'Raw Sales'!A619</x:f>
        <x:v>ORD-2024-00692</x:v>
      </x:c>
      <x:c r="B619" s="85" t="n">
        <x:f>'Raw Sales'!B619</x:f>
        <x:v>45521</x:v>
      </x:c>
      <x:c r="C619" s="84" t="n">
        <x:f>YEAR(B619)</x:f>
        <x:v>2024</x:v>
      </x:c>
      <x:c r="D619" s="91" t="n">
        <x:f>DATE(YEAR(B619),MONTH(B619),1)</x:f>
        <x:v>45505</x:v>
      </x:c>
      <x:c r="E619" s="84" t="str">
        <x:f>TEXT(B619,"mmm")</x:f>
        <x:v>Aug</x:v>
      </x:c>
      <x:c r="F619" s="84" t="str">
        <x:f>'Raw Sales'!C619</x:f>
        <x:v>CUST-0124</x:v>
      </x:c>
      <x:c r="G619" s="84" t="str">
        <x:f>PROPER(TRIM('Raw Sales'!D619))</x:f>
        <x:v>Priya Lewis</x:v>
      </x:c>
      <x:c r="H619" s="84" t="str">
        <x:f>IF(TRIM('Raw Sales'!E619)="","Unknown",PROPER(TRIM('Raw Sales'!E619)))</x:f>
        <x:v>Consumer</x:v>
      </x:c>
      <x:c r="I619" s="84" t="str">
        <x:f>PROPER(TRIM('Raw Sales'!F619))</x:f>
        <x:v>Midwest</x:v>
      </x:c>
      <x:c r="J619" s="84" t="str">
        <x:f>PROPER(TRIM('Raw Sales'!G619))</x:f>
        <x:v>Chicago</x:v>
      </x:c>
      <x:c r="K619" s="84" t="str">
        <x:f>PROPER(TRIM('Raw Sales'!H619))</x:f>
        <x:v>Retail Store</x:v>
      </x:c>
      <x:c r="L619" s="84" t="str">
        <x:f>'Raw Sales'!I619</x:f>
        <x:v>OFFC-002</x:v>
      </x:c>
      <x:c r="M619" s="84" t="str">
        <x:f>IFERROR(VLOOKUP(L619,'Reference Data'!$A$5:$F$40,2,FALSE),"Unknown Product")</x:f>
        <x:v>Standing Desk</x:v>
      </x:c>
      <x:c r="N619" s="84" t="str">
        <x:f>IFERROR(VLOOKUP(L619,'Reference Data'!$A$5:$F$40,3,FALSE),"Unknown")</x:f>
        <x:v>Office</x:v>
      </x:c>
      <x:c r="O619" s="84" t="str">
        <x:f>IFERROR(VLOOKUP(L619,'Reference Data'!$A$5:$F$40,4,FALSE),"Unknown")</x:f>
        <x:v>Furniture</x:v>
      </x:c>
      <x:c r="P619" s="92" t="n">
        <x:f>IFERROR(VLOOKUP(L619,'Reference Data'!$A$5:$F$40,5,FALSE),0)</x:f>
        <x:v>399</x:v>
      </x:c>
      <x:c r="Q619" s="92" t="n">
        <x:f>IFERROR(VLOOKUP(L619,'Reference Data'!$A$5:$F$40,6,FALSE),0)</x:f>
        <x:v>235</x:v>
      </x:c>
      <x:c r="R619" s="84" t="n">
        <x:f>'Raw Sales'!J619</x:f>
        <x:v>1</x:v>
      </x:c>
      <x:c r="S619" s="87" t="n">
        <x:f>'Raw Sales'!K619</x:f>
        <x:v>0</x:v>
      </x:c>
      <x:c r="T619" s="93" t="n">
        <x:f>P619*R619</x:f>
        <x:v>399</x:v>
      </x:c>
      <x:c r="U619" s="93" t="n">
        <x:f>T619*S619</x:f>
        <x:v>0</x:v>
      </x:c>
      <x:c r="V619" s="93" t="str">
        <x:f>PROPER(TRIM('Raw Sales'!L619))</x:f>
        <x:v>Completed</x:v>
      </x:c>
      <x:c r="W619" s="93" t="n">
        <x:f>IF(V619="Returned",0,T619-U619)</x:f>
        <x:v>399</x:v>
      </x:c>
      <x:c r="X619" s="93" t="n">
        <x:f>IF(V619="Returned",Q619*R619*10%,Q619*R619)</x:f>
        <x:v>235</x:v>
      </x:c>
      <x:c r="Y619" s="93" t="n">
        <x:f>W619-X619</x:f>
        <x:v>164</x:v>
      </x:c>
      <x:c r="Z619" s="94" t="n">
        <x:f>IFERROR(Y619/W619,0)</x:f>
        <x:v>0.41102756892230574</x:v>
      </x:c>
      <x:c r="AA619" s="84" t="str">
        <x:f>PROPER(TRIM('Raw Sales'!M619))</x:f>
        <x:v>Debit Card</x:v>
      </x:c>
      <x:c r="AB619" s="84" t="str">
        <x:f>PROPER(TRIM('Raw Sales'!N619))</x:f>
        <x:v>Zoe Turner</x:v>
      </x:c>
      <x:c r="AC619" s="85" t="n">
        <x:f>'Raw Sales'!O619</x:f>
        <x:v>45521</x:v>
      </x:c>
      <x:c r="AD619" s="84" t="n">
        <x:f>AC619-B619</x:f>
        <x:v>0</x:v>
      </x:c>
      <x:c r="AE619" s="84" t="str">
        <x:f>IF(COUNTIF($A$5:A619,A619)&gt;1,"Duplicate","Keep")</x:f>
        <x:v>Keep</x:v>
      </x:c>
      <x:c r="AF619" s="84" t="str">
        <x:f>IF(OR(R619&lt;=0,AC619&lt;B619,H619="Unknown",M619="Unknown Product"),"Review","Valid")</x:f>
        <x:v>Valid</x:v>
      </x:c>
      <x:c r="AG619" s="84" t="n">
        <x:f>IF(AND(AE619="Keep",AF619="Valid"),1,0)</x:f>
        <x:v>1</x:v>
      </x:c>
      <x:c r="AH619" s="84" t="n">
        <x:f>IF(AND(AG619=1,OR('Dashboard'!$B$4="All",I619='Dashboard'!$B$4),OR('Dashboard'!$E$4="All",N619='Dashboard'!$E$4),OR('Dashboard'!$H$4="All",K619='Dashboard'!$H$4),OR('Dashboard'!$K$4="All",C619='Dashboard'!$K$4)),1,0)</x:f>
        <x:v>1</x:v>
      </x:c>
      <x:c r="AI619" s="84" t="n">
        <x:f>IF(AND(AG619=1,OR('Dashboard'!$B$4="All",I619='Dashboard'!$B$4),OR('Dashboard'!$E$4="All",N619='Dashboard'!$E$4),OR('Dashboard'!$H$4="All",K619='Dashboard'!$H$4)),1,0)</x:f>
        <x:v>1</x:v>
      </x:c>
    </x:row>
    <x:row r="620">
      <x:c r="A620" s="84" t="str">
        <x:f>'Raw Sales'!A620</x:f>
        <x:v>ORD-2024-00883</x:v>
      </x:c>
      <x:c r="B620" s="85" t="n">
        <x:f>'Raw Sales'!B620</x:f>
        <x:v>45521</x:v>
      </x:c>
      <x:c r="C620" s="84" t="n">
        <x:f>YEAR(B620)</x:f>
        <x:v>2024</x:v>
      </x:c>
      <x:c r="D620" s="91" t="n">
        <x:f>DATE(YEAR(B620),MONTH(B620),1)</x:f>
        <x:v>45505</x:v>
      </x:c>
      <x:c r="E620" s="84" t="str">
        <x:f>TEXT(B620,"mmm")</x:f>
        <x:v>Aug</x:v>
      </x:c>
      <x:c r="F620" s="84" t="str">
        <x:f>'Raw Sales'!C620</x:f>
        <x:v>CUST-0324</x:v>
      </x:c>
      <x:c r="G620" s="84" t="str">
        <x:f>PROPER(TRIM('Raw Sales'!D620))</x:f>
        <x:v>Amelia Johnson</x:v>
      </x:c>
      <x:c r="H620" s="84" t="str">
        <x:f>IF(TRIM('Raw Sales'!E620)="","Unknown",PROPER(TRIM('Raw Sales'!E620)))</x:f>
        <x:v>Consumer</x:v>
      </x:c>
      <x:c r="I620" s="84" t="str">
        <x:f>PROPER(TRIM('Raw Sales'!F620))</x:f>
        <x:v>West</x:v>
      </x:c>
      <x:c r="J620" s="84" t="str">
        <x:f>PROPER(TRIM('Raw Sales'!G620))</x:f>
        <x:v>Los Angeles</x:v>
      </x:c>
      <x:c r="K620" s="84" t="str">
        <x:f>PROPER(TRIM('Raw Sales'!H620))</x:f>
        <x:v>Retail Store</x:v>
      </x:c>
      <x:c r="L620" s="84" t="str">
        <x:f>'Raw Sales'!I620</x:f>
        <x:v>ELEC-003</x:v>
      </x:c>
      <x:c r="M620" s="84" t="str">
        <x:f>IFERROR(VLOOKUP(L620,'Reference Data'!$A$5:$F$40,2,FALSE),"Unknown Product")</x:f>
        <x:v>Bluetooth Speaker</x:v>
      </x:c>
      <x:c r="N620" s="84" t="str">
        <x:f>IFERROR(VLOOKUP(L620,'Reference Data'!$A$5:$F$40,3,FALSE),"Unknown")</x:f>
        <x:v>Electronics</x:v>
      </x:c>
      <x:c r="O620" s="84" t="str">
        <x:f>IFERROR(VLOOKUP(L620,'Reference Data'!$A$5:$F$40,4,FALSE),"Unknown")</x:f>
        <x:v>Audio</x:v>
      </x:c>
      <x:c r="P620" s="92" t="n">
        <x:f>IFERROR(VLOOKUP(L620,'Reference Data'!$A$5:$F$40,5,FALSE),0)</x:f>
        <x:v>89</x:v>
      </x:c>
      <x:c r="Q620" s="92" t="n">
        <x:f>IFERROR(VLOOKUP(L620,'Reference Data'!$A$5:$F$40,6,FALSE),0)</x:f>
        <x:v>44</x:v>
      </x:c>
      <x:c r="R620" s="84" t="n">
        <x:f>'Raw Sales'!J620</x:f>
        <x:v>4</x:v>
      </x:c>
      <x:c r="S620" s="87" t="n">
        <x:f>'Raw Sales'!K620</x:f>
        <x:v>0.05</x:v>
      </x:c>
      <x:c r="T620" s="93" t="n">
        <x:f>P620*R620</x:f>
        <x:v>356</x:v>
      </x:c>
      <x:c r="U620" s="93" t="n">
        <x:f>T620*S620</x:f>
        <x:v>17.8</x:v>
      </x:c>
      <x:c r="V620" s="93" t="str">
        <x:f>PROPER(TRIM('Raw Sales'!L620))</x:f>
        <x:v>Completed</x:v>
      </x:c>
      <x:c r="W620" s="93" t="n">
        <x:f>IF(V620="Returned",0,T620-U620)</x:f>
        <x:v>338.2</x:v>
      </x:c>
      <x:c r="X620" s="93" t="n">
        <x:f>IF(V620="Returned",Q620*R620*10%,Q620*R620)</x:f>
        <x:v>176</x:v>
      </x:c>
      <x:c r="Y620" s="93" t="n">
        <x:f>W620-X620</x:f>
        <x:v>162.2</x:v>
      </x:c>
      <x:c r="Z620" s="94" t="n">
        <x:f>IFERROR(Y620/W620,0)</x:f>
        <x:v>0.47959787108219987</x:v>
      </x:c>
      <x:c r="AA620" s="84" t="str">
        <x:f>PROPER(TRIM('Raw Sales'!M620))</x:f>
        <x:v>Debit Card</x:v>
      </x:c>
      <x:c r="AB620" s="84" t="str">
        <x:f>PROPER(TRIM('Raw Sales'!N620))</x:f>
        <x:v>Mia Chen</x:v>
      </x:c>
      <x:c r="AC620" s="85" t="n">
        <x:f>'Raw Sales'!O620</x:f>
        <x:v>45521</x:v>
      </x:c>
      <x:c r="AD620" s="84" t="n">
        <x:f>AC620-B620</x:f>
        <x:v>0</x:v>
      </x:c>
      <x:c r="AE620" s="84" t="str">
        <x:f>IF(COUNTIF($A$5:A620,A620)&gt;1,"Duplicate","Keep")</x:f>
        <x:v>Keep</x:v>
      </x:c>
      <x:c r="AF620" s="84" t="str">
        <x:f>IF(OR(R620&lt;=0,AC620&lt;B620,H620="Unknown",M620="Unknown Product"),"Review","Valid")</x:f>
        <x:v>Valid</x:v>
      </x:c>
      <x:c r="AG620" s="84" t="n">
        <x:f>IF(AND(AE620="Keep",AF620="Valid"),1,0)</x:f>
        <x:v>1</x:v>
      </x:c>
      <x:c r="AH620" s="84" t="n">
        <x:f>IF(AND(AG620=1,OR('Dashboard'!$B$4="All",I620='Dashboard'!$B$4),OR('Dashboard'!$E$4="All",N620='Dashboard'!$E$4),OR('Dashboard'!$H$4="All",K620='Dashboard'!$H$4),OR('Dashboard'!$K$4="All",C620='Dashboard'!$K$4)),1,0)</x:f>
        <x:v>1</x:v>
      </x:c>
      <x:c r="AI620" s="84" t="n">
        <x:f>IF(AND(AG620=1,OR('Dashboard'!$B$4="All",I620='Dashboard'!$B$4),OR('Dashboard'!$E$4="All",N620='Dashboard'!$E$4),OR('Dashboard'!$H$4="All",K620='Dashboard'!$H$4)),1,0)</x:f>
        <x:v>1</x:v>
      </x:c>
    </x:row>
    <x:row r="621">
      <x:c r="A621" s="84" t="str">
        <x:f>'Raw Sales'!A621</x:f>
        <x:v>ORD-2024-01477</x:v>
      </x:c>
      <x:c r="B621" s="85" t="n">
        <x:f>'Raw Sales'!B621</x:f>
        <x:v>45522</x:v>
      </x:c>
      <x:c r="C621" s="84" t="n">
        <x:f>YEAR(B621)</x:f>
        <x:v>2024</x:v>
      </x:c>
      <x:c r="D621" s="91" t="n">
        <x:f>DATE(YEAR(B621),MONTH(B621),1)</x:f>
        <x:v>45505</x:v>
      </x:c>
      <x:c r="E621" s="84" t="str">
        <x:f>TEXT(B621,"mmm")</x:f>
        <x:v>Aug</x:v>
      </x:c>
      <x:c r="F621" s="84" t="str">
        <x:f>'Raw Sales'!C621</x:f>
        <x:v>CUST-0481</x:v>
      </x:c>
      <x:c r="G621" s="84" t="str">
        <x:f>PROPER(TRIM('Raw Sales'!D621))</x:f>
        <x:v>Marcus Hall</x:v>
      </x:c>
      <x:c r="H621" s="84" t="str">
        <x:f>IF(TRIM('Raw Sales'!E621)="","Unknown",PROPER(TRIM('Raw Sales'!E621)))</x:f>
        <x:v>Small Business</x:v>
      </x:c>
      <x:c r="I621" s="84" t="str">
        <x:f>PROPER(TRIM('Raw Sales'!F621))</x:f>
        <x:v>Northeast</x:v>
      </x:c>
      <x:c r="J621" s="84" t="str">
        <x:f>PROPER(TRIM('Raw Sales'!G621))</x:f>
        <x:v>Newark</x:v>
      </x:c>
      <x:c r="K621" s="84" t="str">
        <x:f>PROPER(TRIM('Raw Sales'!H621))</x:f>
        <x:v>Retail Store</x:v>
      </x:c>
      <x:c r="L621" s="84" t="str">
        <x:f>'Raw Sales'!I621</x:f>
        <x:v>CARE-006</x:v>
      </x:c>
      <x:c r="M621" s="84" t="str">
        <x:f>IFERROR(VLOOKUP(L621,'Reference Data'!$A$5:$F$40,2,FALSE),"Unknown Product")</x:f>
        <x:v>Percussion Massage Gun</x:v>
      </x:c>
      <x:c r="N621" s="84" t="str">
        <x:f>IFERROR(VLOOKUP(L621,'Reference Data'!$A$5:$F$40,3,FALSE),"Unknown")</x:f>
        <x:v>Personal Care</x:v>
      </x:c>
      <x:c r="O621" s="84" t="str">
        <x:f>IFERROR(VLOOKUP(L621,'Reference Data'!$A$5:$F$40,4,FALSE),"Unknown")</x:f>
        <x:v>Wellness</x:v>
      </x:c>
      <x:c r="P621" s="92" t="n">
        <x:f>IFERROR(VLOOKUP(L621,'Reference Data'!$A$5:$F$40,5,FALSE),0)</x:f>
        <x:v>129</x:v>
      </x:c>
      <x:c r="Q621" s="92" t="n">
        <x:f>IFERROR(VLOOKUP(L621,'Reference Data'!$A$5:$F$40,6,FALSE),0)</x:f>
        <x:v>70</x:v>
      </x:c>
      <x:c r="R621" s="84" t="n">
        <x:f>'Raw Sales'!J621</x:f>
        <x:v>1</x:v>
      </x:c>
      <x:c r="S621" s="87" t="n">
        <x:f>'Raw Sales'!K621</x:f>
        <x:v>0.1</x:v>
      </x:c>
      <x:c r="T621" s="93" t="n">
        <x:f>P621*R621</x:f>
        <x:v>129</x:v>
      </x:c>
      <x:c r="U621" s="93" t="n">
        <x:f>T621*S621</x:f>
        <x:v>12.9</x:v>
      </x:c>
      <x:c r="V621" s="93" t="str">
        <x:f>PROPER(TRIM('Raw Sales'!L621))</x:f>
        <x:v>Completed</x:v>
      </x:c>
      <x:c r="W621" s="93" t="n">
        <x:f>IF(V621="Returned",0,T621-U621)</x:f>
        <x:v>116.1</x:v>
      </x:c>
      <x:c r="X621" s="93" t="n">
        <x:f>IF(V621="Returned",Q621*R621*10%,Q621*R621)</x:f>
        <x:v>70</x:v>
      </x:c>
      <x:c r="Y621" s="93" t="n">
        <x:f>W621-X621</x:f>
        <x:v>46.099999999999994</x:v>
      </x:c>
      <x:c r="Z621" s="94" t="n">
        <x:f>IFERROR(Y621/W621,0)</x:f>
        <x:v>0.3970714900947459</x:v>
      </x:c>
      <x:c r="AA621" s="84" t="str">
        <x:f>PROPER(TRIM('Raw Sales'!M621))</x:f>
        <x:v>Credit Card</x:v>
      </x:c>
      <x:c r="AB621" s="84" t="str">
        <x:f>PROPER(TRIM('Raw Sales'!N621))</x:f>
        <x:v>Ethan Cole</x:v>
      </x:c>
      <x:c r="AC621" s="85" t="n">
        <x:f>'Raw Sales'!O621</x:f>
        <x:v>45522</x:v>
      </x:c>
      <x:c r="AD621" s="84" t="n">
        <x:f>AC621-B621</x:f>
        <x:v>0</x:v>
      </x:c>
      <x:c r="AE621" s="84" t="str">
        <x:f>IF(COUNTIF($A$5:A621,A621)&gt;1,"Duplicate","Keep")</x:f>
        <x:v>Keep</x:v>
      </x:c>
      <x:c r="AF621" s="84" t="str">
        <x:f>IF(OR(R621&lt;=0,AC621&lt;B621,H621="Unknown",M621="Unknown Product"),"Review","Valid")</x:f>
        <x:v>Valid</x:v>
      </x:c>
      <x:c r="AG621" s="84" t="n">
        <x:f>IF(AND(AE621="Keep",AF621="Valid"),1,0)</x:f>
        <x:v>1</x:v>
      </x:c>
      <x:c r="AH621" s="84" t="n">
        <x:f>IF(AND(AG621=1,OR('Dashboard'!$B$4="All",I621='Dashboard'!$B$4),OR('Dashboard'!$E$4="All",N621='Dashboard'!$E$4),OR('Dashboard'!$H$4="All",K621='Dashboard'!$H$4),OR('Dashboard'!$K$4="All",C621='Dashboard'!$K$4)),1,0)</x:f>
        <x:v>1</x:v>
      </x:c>
      <x:c r="AI621" s="84" t="n">
        <x:f>IF(AND(AG621=1,OR('Dashboard'!$B$4="All",I621='Dashboard'!$B$4),OR('Dashboard'!$E$4="All",N621='Dashboard'!$E$4),OR('Dashboard'!$H$4="All",K621='Dashboard'!$H$4)),1,0)</x:f>
        <x:v>1</x:v>
      </x:c>
    </x:row>
    <x:row r="622">
      <x:c r="A622" s="84" t="str">
        <x:f>'Raw Sales'!A622</x:f>
        <x:v>ORD-2024-01706</x:v>
      </x:c>
      <x:c r="B622" s="85" t="n">
        <x:f>'Raw Sales'!B622</x:f>
        <x:v>45522</x:v>
      </x:c>
      <x:c r="C622" s="84" t="n">
        <x:f>YEAR(B622)</x:f>
        <x:v>2024</x:v>
      </x:c>
      <x:c r="D622" s="91" t="n">
        <x:f>DATE(YEAR(B622),MONTH(B622),1)</x:f>
        <x:v>45505</x:v>
      </x:c>
      <x:c r="E622" s="84" t="str">
        <x:f>TEXT(B622,"mmm")</x:f>
        <x:v>Aug</x:v>
      </x:c>
      <x:c r="F622" s="84" t="str">
        <x:f>'Raw Sales'!C622</x:f>
        <x:v>CUST-0258</x:v>
      </x:c>
      <x:c r="G622" s="84" t="str">
        <x:f>PROPER(TRIM('Raw Sales'!D622))</x:f>
        <x:v>Nina Walker</x:v>
      </x:c>
      <x:c r="H622" s="84" t="str">
        <x:f>IF(TRIM('Raw Sales'!E622)="","Unknown",PROPER(TRIM('Raw Sales'!E622)))</x:f>
        <x:v>Consumer</x:v>
      </x:c>
      <x:c r="I622" s="84" t="str">
        <x:f>PROPER(TRIM('Raw Sales'!F622))</x:f>
        <x:v>West</x:v>
      </x:c>
      <x:c r="J622" s="84" t="str">
        <x:f>PROPER(TRIM('Raw Sales'!G622))</x:f>
        <x:v>Denver</x:v>
      </x:c>
      <x:c r="K622" s="84" t="str">
        <x:f>PROPER(TRIM('Raw Sales'!H622))</x:f>
        <x:v>Retail Store</x:v>
      </x:c>
      <x:c r="L622" s="84" t="str">
        <x:f>'Raw Sales'!I622</x:f>
        <x:v>HOME-005</x:v>
      </x:c>
      <x:c r="M622" s="84" t="str">
        <x:f>IFERROR(VLOOKUP(L622,'Reference Data'!$A$5:$F$40,2,FALSE),"Unknown Product")</x:f>
        <x:v>Cordless Vacuum</x:v>
      </x:c>
      <x:c r="N622" s="84" t="str">
        <x:f>IFERROR(VLOOKUP(L622,'Reference Data'!$A$5:$F$40,3,FALSE),"Unknown")</x:f>
        <x:v>Home &amp; Kitchen</x:v>
      </x:c>
      <x:c r="O622" s="84" t="str">
        <x:f>IFERROR(VLOOKUP(L622,'Reference Data'!$A$5:$F$40,4,FALSE),"Unknown")</x:f>
        <x:v>Cleaning</x:v>
      </x:c>
      <x:c r="P622" s="92" t="n">
        <x:f>IFERROR(VLOOKUP(L622,'Reference Data'!$A$5:$F$40,5,FALSE),0)</x:f>
        <x:v>179</x:v>
      </x:c>
      <x:c r="Q622" s="92" t="n">
        <x:f>IFERROR(VLOOKUP(L622,'Reference Data'!$A$5:$F$40,6,FALSE),0)</x:f>
        <x:v>102</x:v>
      </x:c>
      <x:c r="R622" s="84" t="n">
        <x:f>'Raw Sales'!J622</x:f>
        <x:v>2</x:v>
      </x:c>
      <x:c r="S622" s="87" t="n">
        <x:f>'Raw Sales'!K622</x:f>
        <x:v>0</x:v>
      </x:c>
      <x:c r="T622" s="93" t="n">
        <x:f>P622*R622</x:f>
        <x:v>358</x:v>
      </x:c>
      <x:c r="U622" s="93" t="n">
        <x:f>T622*S622</x:f>
        <x:v>0</x:v>
      </x:c>
      <x:c r="V622" s="93" t="str">
        <x:f>PROPER(TRIM('Raw Sales'!L622))</x:f>
        <x:v>Completed</x:v>
      </x:c>
      <x:c r="W622" s="93" t="n">
        <x:f>IF(V622="Returned",0,T622-U622)</x:f>
        <x:v>358</x:v>
      </x:c>
      <x:c r="X622" s="93" t="n">
        <x:f>IF(V622="Returned",Q622*R622*10%,Q622*R622)</x:f>
        <x:v>204</x:v>
      </x:c>
      <x:c r="Y622" s="93" t="n">
        <x:f>W622-X622</x:f>
        <x:v>154</x:v>
      </x:c>
      <x:c r="Z622" s="94" t="n">
        <x:f>IFERROR(Y622/W622,0)</x:f>
        <x:v>0.4301675977653631</x:v>
      </x:c>
      <x:c r="AA622" s="84" t="str">
        <x:f>PROPER(TRIM('Raw Sales'!M622))</x:f>
        <x:v>Credit Card</x:v>
      </x:c>
      <x:c r="AB622" s="84" t="str">
        <x:f>PROPER(TRIM('Raw Sales'!N622))</x:f>
        <x:v>Mia Chen</x:v>
      </x:c>
      <x:c r="AC622" s="85" t="n">
        <x:f>'Raw Sales'!O622</x:f>
        <x:v>45522</x:v>
      </x:c>
      <x:c r="AD622" s="84" t="n">
        <x:f>AC622-B622</x:f>
        <x:v>0</x:v>
      </x:c>
      <x:c r="AE622" s="84" t="str">
        <x:f>IF(COUNTIF($A$5:A622,A622)&gt;1,"Duplicate","Keep")</x:f>
        <x:v>Keep</x:v>
      </x:c>
      <x:c r="AF622" s="84" t="str">
        <x:f>IF(OR(R622&lt;=0,AC622&lt;B622,H622="Unknown",M622="Unknown Product"),"Review","Valid")</x:f>
        <x:v>Valid</x:v>
      </x:c>
      <x:c r="AG622" s="84" t="n">
        <x:f>IF(AND(AE622="Keep",AF622="Valid"),1,0)</x:f>
        <x:v>1</x:v>
      </x:c>
      <x:c r="AH622" s="84" t="n">
        <x:f>IF(AND(AG622=1,OR('Dashboard'!$B$4="All",I622='Dashboard'!$B$4),OR('Dashboard'!$E$4="All",N622='Dashboard'!$E$4),OR('Dashboard'!$H$4="All",K622='Dashboard'!$H$4),OR('Dashboard'!$K$4="All",C622='Dashboard'!$K$4)),1,0)</x:f>
        <x:v>1</x:v>
      </x:c>
      <x:c r="AI622" s="84" t="n">
        <x:f>IF(AND(AG622=1,OR('Dashboard'!$B$4="All",I622='Dashboard'!$B$4),OR('Dashboard'!$E$4="All",N622='Dashboard'!$E$4),OR('Dashboard'!$H$4="All",K622='Dashboard'!$H$4)),1,0)</x:f>
        <x:v>1</x:v>
      </x:c>
    </x:row>
    <x:row r="623">
      <x:c r="A623" s="84" t="str">
        <x:f>'Raw Sales'!A623</x:f>
        <x:v>ORD-2024-02309</x:v>
      </x:c>
      <x:c r="B623" s="85" t="n">
        <x:f>'Raw Sales'!B623</x:f>
        <x:v>45522</x:v>
      </x:c>
      <x:c r="C623" s="84" t="n">
        <x:f>YEAR(B623)</x:f>
        <x:v>2024</x:v>
      </x:c>
      <x:c r="D623" s="91" t="n">
        <x:f>DATE(YEAR(B623),MONTH(B623),1)</x:f>
        <x:v>45505</x:v>
      </x:c>
      <x:c r="E623" s="84" t="str">
        <x:f>TEXT(B623,"mmm")</x:f>
        <x:v>Aug</x:v>
      </x:c>
      <x:c r="F623" s="84" t="str">
        <x:f>'Raw Sales'!C623</x:f>
        <x:v>CUST-0247</x:v>
      </x:c>
      <x:c r="G623" s="84" t="str">
        <x:f>PROPER(TRIM('Raw Sales'!D623))</x:f>
        <x:v>Maya Young</x:v>
      </x:c>
      <x:c r="H623" s="84" t="str">
        <x:f>IF(TRIM('Raw Sales'!E623)="","Unknown",PROPER(TRIM('Raw Sales'!E623)))</x:f>
        <x:v>Consumer</x:v>
      </x:c>
      <x:c r="I623" s="84" t="str">
        <x:f>PROPER(TRIM('Raw Sales'!F623))</x:f>
        <x:v>Southeast</x:v>
      </x:c>
      <x:c r="J623" s="84" t="str">
        <x:f>PROPER(TRIM('Raw Sales'!G623))</x:f>
        <x:v>Nashville</x:v>
      </x:c>
      <x:c r="K623" s="84" t="str">
        <x:f>PROPER(TRIM('Raw Sales'!H623))</x:f>
        <x:v>Retail Store</x:v>
      </x:c>
      <x:c r="L623" s="84" t="str">
        <x:f>'Raw Sales'!I623</x:f>
        <x:v>ACCS-004</x:v>
      </x:c>
      <x:c r="M623" s="84" t="str">
        <x:f>IFERROR(VLOOKUP(L623,'Reference Data'!$A$5:$F$40,2,FALSE),"Unknown Product")</x:f>
        <x:v>Leather Wallet</x:v>
      </x:c>
      <x:c r="N623" s="84" t="str">
        <x:f>IFERROR(VLOOKUP(L623,'Reference Data'!$A$5:$F$40,3,FALSE),"Unknown")</x:f>
        <x:v>Accessories</x:v>
      </x:c>
      <x:c r="O623" s="84" t="str">
        <x:f>IFERROR(VLOOKUP(L623,'Reference Data'!$A$5:$F$40,4,FALSE),"Unknown")</x:f>
        <x:v>Wallets</x:v>
      </x:c>
      <x:c r="P623" s="92" t="n">
        <x:f>IFERROR(VLOOKUP(L623,'Reference Data'!$A$5:$F$40,5,FALSE),0)</x:f>
        <x:v>49</x:v>
      </x:c>
      <x:c r="Q623" s="92" t="n">
        <x:f>IFERROR(VLOOKUP(L623,'Reference Data'!$A$5:$F$40,6,FALSE),0)</x:f>
        <x:v>18</x:v>
      </x:c>
      <x:c r="R623" s="84" t="n">
        <x:f>'Raw Sales'!J623</x:f>
        <x:v>2</x:v>
      </x:c>
      <x:c r="S623" s="87" t="n">
        <x:f>'Raw Sales'!K623</x:f>
        <x:v>0.2</x:v>
      </x:c>
      <x:c r="T623" s="93" t="n">
        <x:f>P623*R623</x:f>
        <x:v>98</x:v>
      </x:c>
      <x:c r="U623" s="93" t="n">
        <x:f>T623*S623</x:f>
        <x:v>19.6</x:v>
      </x:c>
      <x:c r="V623" s="93" t="str">
        <x:f>PROPER(TRIM('Raw Sales'!L623))</x:f>
        <x:v>Completed</x:v>
      </x:c>
      <x:c r="W623" s="93" t="n">
        <x:f>IF(V623="Returned",0,T623-U623)</x:f>
        <x:v>78.4</x:v>
      </x:c>
      <x:c r="X623" s="93" t="n">
        <x:f>IF(V623="Returned",Q623*R623*10%,Q623*R623)</x:f>
        <x:v>36</x:v>
      </x:c>
      <x:c r="Y623" s="93" t="n">
        <x:f>W623-X623</x:f>
        <x:v>42.400000000000006</x:v>
      </x:c>
      <x:c r="Z623" s="94" t="n">
        <x:f>IFERROR(Y623/W623,0)</x:f>
        <x:v>0.5408163265306123</x:v>
      </x:c>
      <x:c r="AA623" s="84" t="str">
        <x:f>PROPER(TRIM('Raw Sales'!M623))</x:f>
        <x:v>Credit Card</x:v>
      </x:c>
      <x:c r="AB623" s="84" t="str">
        <x:f>PROPER(TRIM('Raw Sales'!N623))</x:f>
        <x:v>Noah Reed</x:v>
      </x:c>
      <x:c r="AC623" s="85" t="n">
        <x:f>'Raw Sales'!O623</x:f>
        <x:v>45522</x:v>
      </x:c>
      <x:c r="AD623" s="84" t="n">
        <x:f>AC623-B623</x:f>
        <x:v>0</x:v>
      </x:c>
      <x:c r="AE623" s="84" t="str">
        <x:f>IF(COUNTIF($A$5:A623,A623)&gt;1,"Duplicate","Keep")</x:f>
        <x:v>Keep</x:v>
      </x:c>
      <x:c r="AF623" s="84" t="str">
        <x:f>IF(OR(R623&lt;=0,AC623&lt;B623,H623="Unknown",M623="Unknown Product"),"Review","Valid")</x:f>
        <x:v>Valid</x:v>
      </x:c>
      <x:c r="AG623" s="84" t="n">
        <x:f>IF(AND(AE623="Keep",AF623="Valid"),1,0)</x:f>
        <x:v>1</x:v>
      </x:c>
      <x:c r="AH623" s="84" t="n">
        <x:f>IF(AND(AG623=1,OR('Dashboard'!$B$4="All",I623='Dashboard'!$B$4),OR('Dashboard'!$E$4="All",N623='Dashboard'!$E$4),OR('Dashboard'!$H$4="All",K623='Dashboard'!$H$4),OR('Dashboard'!$K$4="All",C623='Dashboard'!$K$4)),1,0)</x:f>
        <x:v>1</x:v>
      </x:c>
      <x:c r="AI623" s="84" t="n">
        <x:f>IF(AND(AG623=1,OR('Dashboard'!$B$4="All",I623='Dashboard'!$B$4),OR('Dashboard'!$E$4="All",N623='Dashboard'!$E$4),OR('Dashboard'!$H$4="All",K623='Dashboard'!$H$4)),1,0)</x:f>
        <x:v>1</x:v>
      </x:c>
    </x:row>
    <x:row r="624">
      <x:c r="A624" s="84" t="str">
        <x:f>'Raw Sales'!A624</x:f>
        <x:v>ORD-2024-00129</x:v>
      </x:c>
      <x:c r="B624" s="85" t="n">
        <x:f>'Raw Sales'!B624</x:f>
        <x:v>45523</x:v>
      </x:c>
      <x:c r="C624" s="84" t="n">
        <x:f>YEAR(B624)</x:f>
        <x:v>2024</x:v>
      </x:c>
      <x:c r="D624" s="91" t="n">
        <x:f>DATE(YEAR(B624),MONTH(B624),1)</x:f>
        <x:v>45505</x:v>
      </x:c>
      <x:c r="E624" s="84" t="str">
        <x:f>TEXT(B624,"mmm")</x:f>
        <x:v>Aug</x:v>
      </x:c>
      <x:c r="F624" s="84" t="str">
        <x:f>'Raw Sales'!C624</x:f>
        <x:v>CUST-0010</x:v>
      </x:c>
      <x:c r="G624" s="84" t="str">
        <x:f>PROPER(TRIM('Raw Sales'!D624))</x:f>
        <x:v>Nathan Taylor</x:v>
      </x:c>
      <x:c r="H624" s="84" t="str">
        <x:f>IF(TRIM('Raw Sales'!E624)="","Unknown",PROPER(TRIM('Raw Sales'!E624)))</x:f>
        <x:v>Consumer</x:v>
      </x:c>
      <x:c r="I624" s="84" t="str">
        <x:f>PROPER(TRIM('Raw Sales'!F624))</x:f>
        <x:v>Midwest</x:v>
      </x:c>
      <x:c r="J624" s="84" t="str">
        <x:f>PROPER(TRIM('Raw Sales'!G624))</x:f>
        <x:v>Minneapolis</x:v>
      </x:c>
      <x:c r="K624" s="84" t="str">
        <x:f>PROPER(TRIM('Raw Sales'!H624))</x:f>
        <x:v>Online</x:v>
      </x:c>
      <x:c r="L624" s="84" t="str">
        <x:f>'Raw Sales'!I624</x:f>
        <x:v>CARE-003</x:v>
      </x:c>
      <x:c r="M624" s="84" t="str">
        <x:f>IFERROR(VLOOKUP(L624,'Reference Data'!$A$5:$F$40,2,FALSE),"Unknown Product")</x:f>
        <x:v>Facial Cleanser</x:v>
      </x:c>
      <x:c r="N624" s="84" t="str">
        <x:f>IFERROR(VLOOKUP(L624,'Reference Data'!$A$5:$F$40,3,FALSE),"Unknown")</x:f>
        <x:v>Personal Care</x:v>
      </x:c>
      <x:c r="O624" s="84" t="str">
        <x:f>IFERROR(VLOOKUP(L624,'Reference Data'!$A$5:$F$40,4,FALSE),"Unknown")</x:f>
        <x:v>Skin Care</x:v>
      </x:c>
      <x:c r="P624" s="92" t="n">
        <x:f>IFERROR(VLOOKUP(L624,'Reference Data'!$A$5:$F$40,5,FALSE),0)</x:f>
        <x:v>18</x:v>
      </x:c>
      <x:c r="Q624" s="92" t="n">
        <x:f>IFERROR(VLOOKUP(L624,'Reference Data'!$A$5:$F$40,6,FALSE),0)</x:f>
        <x:v>6</x:v>
      </x:c>
      <x:c r="R624" s="84" t="n">
        <x:f>'Raw Sales'!J624</x:f>
        <x:v>1</x:v>
      </x:c>
      <x:c r="S624" s="87" t="n">
        <x:f>'Raw Sales'!K624</x:f>
        <x:v>0</x:v>
      </x:c>
      <x:c r="T624" s="93" t="n">
        <x:f>P624*R624</x:f>
        <x:v>18</x:v>
      </x:c>
      <x:c r="U624" s="93" t="n">
        <x:f>T624*S624</x:f>
        <x:v>0</x:v>
      </x:c>
      <x:c r="V624" s="93" t="str">
        <x:f>PROPER(TRIM('Raw Sales'!L624))</x:f>
        <x:v>Completed</x:v>
      </x:c>
      <x:c r="W624" s="93" t="n">
        <x:f>IF(V624="Returned",0,T624-U624)</x:f>
        <x:v>18</x:v>
      </x:c>
      <x:c r="X624" s="93" t="n">
        <x:f>IF(V624="Returned",Q624*R624*10%,Q624*R624)</x:f>
        <x:v>6</x:v>
      </x:c>
      <x:c r="Y624" s="93" t="n">
        <x:f>W624-X624</x:f>
        <x:v>12</x:v>
      </x:c>
      <x:c r="Z624" s="94" t="n">
        <x:f>IFERROR(Y624/W624,0)</x:f>
        <x:v>0.6666666666666666</x:v>
      </x:c>
      <x:c r="AA624" s="84" t="str">
        <x:f>PROPER(TRIM('Raw Sales'!M624))</x:f>
        <x:v>Credit Card</x:v>
      </x:c>
      <x:c r="AB624" s="84" t="str">
        <x:f>PROPER(TRIM('Raw Sales'!N624))</x:f>
        <x:v>Zoe Turner</x:v>
      </x:c>
      <x:c r="AC624" s="85" t="n">
        <x:f>'Raw Sales'!O624</x:f>
        <x:v>45526</x:v>
      </x:c>
      <x:c r="AD624" s="84" t="n">
        <x:f>AC624-B624</x:f>
        <x:v>3</x:v>
      </x:c>
      <x:c r="AE624" s="84" t="str">
        <x:f>IF(COUNTIF($A$5:A624,A624)&gt;1,"Duplicate","Keep")</x:f>
        <x:v>Keep</x:v>
      </x:c>
      <x:c r="AF624" s="84" t="str">
        <x:f>IF(OR(R624&lt;=0,AC624&lt;B624,H624="Unknown",M624="Unknown Product"),"Review","Valid")</x:f>
        <x:v>Valid</x:v>
      </x:c>
      <x:c r="AG624" s="84" t="n">
        <x:f>IF(AND(AE624="Keep",AF624="Valid"),1,0)</x:f>
        <x:v>1</x:v>
      </x:c>
      <x:c r="AH624" s="84" t="n">
        <x:f>IF(AND(AG624=1,OR('Dashboard'!$B$4="All",I624='Dashboard'!$B$4),OR('Dashboard'!$E$4="All",N624='Dashboard'!$E$4),OR('Dashboard'!$H$4="All",K624='Dashboard'!$H$4),OR('Dashboard'!$K$4="All",C624='Dashboard'!$K$4)),1,0)</x:f>
        <x:v>1</x:v>
      </x:c>
      <x:c r="AI624" s="84" t="n">
        <x:f>IF(AND(AG624=1,OR('Dashboard'!$B$4="All",I624='Dashboard'!$B$4),OR('Dashboard'!$E$4="All",N624='Dashboard'!$E$4),OR('Dashboard'!$H$4="All",K624='Dashboard'!$H$4)),1,0)</x:f>
        <x:v>1</x:v>
      </x:c>
    </x:row>
    <x:row r="625">
      <x:c r="A625" s="84" t="str">
        <x:f>'Raw Sales'!A625</x:f>
        <x:v>ORD-2024-00918</x:v>
      </x:c>
      <x:c r="B625" s="85" t="n">
        <x:f>'Raw Sales'!B625</x:f>
        <x:v>45523</x:v>
      </x:c>
      <x:c r="C625" s="84" t="n">
        <x:f>YEAR(B625)</x:f>
        <x:v>2024</x:v>
      </x:c>
      <x:c r="D625" s="91" t="n">
        <x:f>DATE(YEAR(B625),MONTH(B625),1)</x:f>
        <x:v>45505</x:v>
      </x:c>
      <x:c r="E625" s="84" t="str">
        <x:f>TEXT(B625,"mmm")</x:f>
        <x:v>Aug</x:v>
      </x:c>
      <x:c r="F625" s="84" t="str">
        <x:f>'Raw Sales'!C625</x:f>
        <x:v>CUST-0337</x:v>
      </x:c>
      <x:c r="G625" s="84" t="str">
        <x:f>PROPER(TRIM('Raw Sales'!D625))</x:f>
        <x:v>Owen Garcia</x:v>
      </x:c>
      <x:c r="H625" s="84" t="str">
        <x:f>IF(TRIM('Raw Sales'!E625)="","Unknown",PROPER(TRIM('Raw Sales'!E625)))</x:f>
        <x:v>Consumer</x:v>
      </x:c>
      <x:c r="I625" s="84" t="str">
        <x:f>PROPER(TRIM('Raw Sales'!F625))</x:f>
        <x:v>West</x:v>
      </x:c>
      <x:c r="J625" s="84" t="str">
        <x:f>PROPER(TRIM('Raw Sales'!G625))</x:f>
        <x:v>Los Angeles</x:v>
      </x:c>
      <x:c r="K625" s="84" t="str">
        <x:f>PROPER(TRIM('Raw Sales'!H625))</x:f>
        <x:v>Online</x:v>
      </x:c>
      <x:c r="L625" s="84" t="str">
        <x:f>'Raw Sales'!I625</x:f>
        <x:v>FITN-003</x:v>
      </x:c>
      <x:c r="M625" s="84" t="str">
        <x:f>IFERROR(VLOOKUP(L625,'Reference Data'!$A$5:$F$40,2,FALSE),"Unknown Product")</x:f>
        <x:v>Resistance Band Set</x:v>
      </x:c>
      <x:c r="N625" s="84" t="str">
        <x:f>IFERROR(VLOOKUP(L625,'Reference Data'!$A$5:$F$40,3,FALSE),"Unknown")</x:f>
        <x:v>Fitness</x:v>
      </x:c>
      <x:c r="O625" s="84" t="str">
        <x:f>IFERROR(VLOOKUP(L625,'Reference Data'!$A$5:$F$40,4,FALSE),"Unknown")</x:f>
        <x:v>Strength</x:v>
      </x:c>
      <x:c r="P625" s="92" t="n">
        <x:f>IFERROR(VLOOKUP(L625,'Reference Data'!$A$5:$F$40,5,FALSE),0)</x:f>
        <x:v>24</x:v>
      </x:c>
      <x:c r="Q625" s="92" t="n">
        <x:f>IFERROR(VLOOKUP(L625,'Reference Data'!$A$5:$F$40,6,FALSE),0)</x:f>
        <x:v>8</x:v>
      </x:c>
      <x:c r="R625" s="84" t="n">
        <x:f>'Raw Sales'!J625</x:f>
        <x:v>1</x:v>
      </x:c>
      <x:c r="S625" s="87" t="n">
        <x:f>'Raw Sales'!K625</x:f>
        <x:v>0.15</x:v>
      </x:c>
      <x:c r="T625" s="93" t="n">
        <x:f>P625*R625</x:f>
        <x:v>24</x:v>
      </x:c>
      <x:c r="U625" s="93" t="n">
        <x:f>T625*S625</x:f>
        <x:v>3.5999999999999996</x:v>
      </x:c>
      <x:c r="V625" s="93" t="str">
        <x:f>PROPER(TRIM('Raw Sales'!L625))</x:f>
        <x:v>Completed</x:v>
      </x:c>
      <x:c r="W625" s="93" t="n">
        <x:f>IF(V625="Returned",0,T625-U625)</x:f>
        <x:v>20.4</x:v>
      </x:c>
      <x:c r="X625" s="93" t="n">
        <x:f>IF(V625="Returned",Q625*R625*10%,Q625*R625)</x:f>
        <x:v>8</x:v>
      </x:c>
      <x:c r="Y625" s="93" t="n">
        <x:f>W625-X625</x:f>
        <x:v>12.399999999999999</x:v>
      </x:c>
      <x:c r="Z625" s="94" t="n">
        <x:f>IFERROR(Y625/W625,0)</x:f>
        <x:v>0.6078431372549019</x:v>
      </x:c>
      <x:c r="AA625" s="84" t="str">
        <x:f>PROPER(TRIM('Raw Sales'!M625))</x:f>
        <x:v>Debit Card</x:v>
      </x:c>
      <x:c r="AB625" s="84" t="str">
        <x:f>PROPER(TRIM('Raw Sales'!N625))</x:f>
        <x:v>Leo Martinez</x:v>
      </x:c>
      <x:c r="AC625" s="85" t="n">
        <x:f>'Raw Sales'!O625</x:f>
        <x:v>45526</x:v>
      </x:c>
      <x:c r="AD625" s="84" t="n">
        <x:f>AC625-B625</x:f>
        <x:v>3</x:v>
      </x:c>
      <x:c r="AE625" s="84" t="str">
        <x:f>IF(COUNTIF($A$5:A625,A625)&gt;1,"Duplicate","Keep")</x:f>
        <x:v>Keep</x:v>
      </x:c>
      <x:c r="AF625" s="84" t="str">
        <x:f>IF(OR(R625&lt;=0,AC625&lt;B625,H625="Unknown",M625="Unknown Product"),"Review","Valid")</x:f>
        <x:v>Valid</x:v>
      </x:c>
      <x:c r="AG625" s="84" t="n">
        <x:f>IF(AND(AE625="Keep",AF625="Valid"),1,0)</x:f>
        <x:v>1</x:v>
      </x:c>
      <x:c r="AH625" s="84" t="n">
        <x:f>IF(AND(AG625=1,OR('Dashboard'!$B$4="All",I625='Dashboard'!$B$4),OR('Dashboard'!$E$4="All",N625='Dashboard'!$E$4),OR('Dashboard'!$H$4="All",K625='Dashboard'!$H$4),OR('Dashboard'!$K$4="All",C625='Dashboard'!$K$4)),1,0)</x:f>
        <x:v>1</x:v>
      </x:c>
      <x:c r="AI625" s="84" t="n">
        <x:f>IF(AND(AG625=1,OR('Dashboard'!$B$4="All",I625='Dashboard'!$B$4),OR('Dashboard'!$E$4="All",N625='Dashboard'!$E$4),OR('Dashboard'!$H$4="All",K625='Dashboard'!$H$4)),1,0)</x:f>
        <x:v>1</x:v>
      </x:c>
    </x:row>
    <x:row r="626">
      <x:c r="A626" s="84" t="str">
        <x:f>'Raw Sales'!A626</x:f>
        <x:v>ORD-2024-00918</x:v>
      </x:c>
      <x:c r="B626" s="85" t="n">
        <x:f>'Raw Sales'!B626</x:f>
        <x:v>45523</x:v>
      </x:c>
      <x:c r="C626" s="84" t="n">
        <x:f>YEAR(B626)</x:f>
        <x:v>2024</x:v>
      </x:c>
      <x:c r="D626" s="91" t="n">
        <x:f>DATE(YEAR(B626),MONTH(B626),1)</x:f>
        <x:v>45505</x:v>
      </x:c>
      <x:c r="E626" s="84" t="str">
        <x:f>TEXT(B626,"mmm")</x:f>
        <x:v>Aug</x:v>
      </x:c>
      <x:c r="F626" s="84" t="str">
        <x:f>'Raw Sales'!C626</x:f>
        <x:v>CUST-0337</x:v>
      </x:c>
      <x:c r="G626" s="84" t="str">
        <x:f>PROPER(TRIM('Raw Sales'!D626))</x:f>
        <x:v>Owen Garcia</x:v>
      </x:c>
      <x:c r="H626" s="84" t="str">
        <x:f>IF(TRIM('Raw Sales'!E626)="","Unknown",PROPER(TRIM('Raw Sales'!E626)))</x:f>
        <x:v>Consumer</x:v>
      </x:c>
      <x:c r="I626" s="84" t="str">
        <x:f>PROPER(TRIM('Raw Sales'!F626))</x:f>
        <x:v>West</x:v>
      </x:c>
      <x:c r="J626" s="84" t="str">
        <x:f>PROPER(TRIM('Raw Sales'!G626))</x:f>
        <x:v>Los Angeles</x:v>
      </x:c>
      <x:c r="K626" s="84" t="str">
        <x:f>PROPER(TRIM('Raw Sales'!H626))</x:f>
        <x:v>Online</x:v>
      </x:c>
      <x:c r="L626" s="84" t="str">
        <x:f>'Raw Sales'!I626</x:f>
        <x:v>FITN-003</x:v>
      </x:c>
      <x:c r="M626" s="84" t="str">
        <x:f>IFERROR(VLOOKUP(L626,'Reference Data'!$A$5:$F$40,2,FALSE),"Unknown Product")</x:f>
        <x:v>Resistance Band Set</x:v>
      </x:c>
      <x:c r="N626" s="84" t="str">
        <x:f>IFERROR(VLOOKUP(L626,'Reference Data'!$A$5:$F$40,3,FALSE),"Unknown")</x:f>
        <x:v>Fitness</x:v>
      </x:c>
      <x:c r="O626" s="84" t="str">
        <x:f>IFERROR(VLOOKUP(L626,'Reference Data'!$A$5:$F$40,4,FALSE),"Unknown")</x:f>
        <x:v>Strength</x:v>
      </x:c>
      <x:c r="P626" s="92" t="n">
        <x:f>IFERROR(VLOOKUP(L626,'Reference Data'!$A$5:$F$40,5,FALSE),0)</x:f>
        <x:v>24</x:v>
      </x:c>
      <x:c r="Q626" s="92" t="n">
        <x:f>IFERROR(VLOOKUP(L626,'Reference Data'!$A$5:$F$40,6,FALSE),0)</x:f>
        <x:v>8</x:v>
      </x:c>
      <x:c r="R626" s="84" t="n">
        <x:f>'Raw Sales'!J626</x:f>
        <x:v>1</x:v>
      </x:c>
      <x:c r="S626" s="87" t="n">
        <x:f>'Raw Sales'!K626</x:f>
        <x:v>0.15</x:v>
      </x:c>
      <x:c r="T626" s="93" t="n">
        <x:f>P626*R626</x:f>
        <x:v>24</x:v>
      </x:c>
      <x:c r="U626" s="93" t="n">
        <x:f>T626*S626</x:f>
        <x:v>3.5999999999999996</x:v>
      </x:c>
      <x:c r="V626" s="93" t="str">
        <x:f>PROPER(TRIM('Raw Sales'!L626))</x:f>
        <x:v>Completed</x:v>
      </x:c>
      <x:c r="W626" s="93" t="n">
        <x:f>IF(V626="Returned",0,T626-U626)</x:f>
        <x:v>20.4</x:v>
      </x:c>
      <x:c r="X626" s="93" t="n">
        <x:f>IF(V626="Returned",Q626*R626*10%,Q626*R626)</x:f>
        <x:v>8</x:v>
      </x:c>
      <x:c r="Y626" s="93" t="n">
        <x:f>W626-X626</x:f>
        <x:v>12.399999999999999</x:v>
      </x:c>
      <x:c r="Z626" s="94" t="n">
        <x:f>IFERROR(Y626/W626,0)</x:f>
        <x:v>0.6078431372549019</x:v>
      </x:c>
      <x:c r="AA626" s="84" t="str">
        <x:f>PROPER(TRIM('Raw Sales'!M626))</x:f>
        <x:v>Debit Card</x:v>
      </x:c>
      <x:c r="AB626" s="84" t="str">
        <x:f>PROPER(TRIM('Raw Sales'!N626))</x:f>
        <x:v>Leo Martinez</x:v>
      </x:c>
      <x:c r="AC626" s="85" t="n">
        <x:f>'Raw Sales'!O626</x:f>
        <x:v>45526</x:v>
      </x:c>
      <x:c r="AD626" s="84" t="n">
        <x:f>AC626-B626</x:f>
        <x:v>3</x:v>
      </x:c>
      <x:c r="AE626" s="84" t="str">
        <x:f>IF(COUNTIF($A$5:A626,A626)&gt;1,"Duplicate","Keep")</x:f>
        <x:v>Duplicate</x:v>
      </x:c>
      <x:c r="AF626" s="84" t="str">
        <x:f>IF(OR(R626&lt;=0,AC626&lt;B626,H626="Unknown",M626="Unknown Product"),"Review","Valid")</x:f>
        <x:v>Valid</x:v>
      </x:c>
      <x:c r="AG626" s="84" t="n">
        <x:f>IF(AND(AE626="Keep",AF626="Valid"),1,0)</x:f>
        <x:v>0</x:v>
      </x:c>
      <x:c r="AH626" s="84" t="n">
        <x:f>IF(AND(AG626=1,OR('Dashboard'!$B$4="All",I626='Dashboard'!$B$4),OR('Dashboard'!$E$4="All",N626='Dashboard'!$E$4),OR('Dashboard'!$H$4="All",K626='Dashboard'!$H$4),OR('Dashboard'!$K$4="All",C626='Dashboard'!$K$4)),1,0)</x:f>
        <x:v>0</x:v>
      </x:c>
      <x:c r="AI626" s="84" t="n">
        <x:f>IF(AND(AG626=1,OR('Dashboard'!$B$4="All",I626='Dashboard'!$B$4),OR('Dashboard'!$E$4="All",N626='Dashboard'!$E$4),OR('Dashboard'!$H$4="All",K626='Dashboard'!$H$4)),1,0)</x:f>
        <x:v>0</x:v>
      </x:c>
    </x:row>
    <x:row r="627">
      <x:c r="A627" s="84" t="str">
        <x:f>'Raw Sales'!A627</x:f>
        <x:v>ORD-2024-01167</x:v>
      </x:c>
      <x:c r="B627" s="85" t="n">
        <x:f>'Raw Sales'!B627</x:f>
        <x:v>45523</x:v>
      </x:c>
      <x:c r="C627" s="84" t="n">
        <x:f>YEAR(B627)</x:f>
        <x:v>2024</x:v>
      </x:c>
      <x:c r="D627" s="91" t="n">
        <x:f>DATE(YEAR(B627),MONTH(B627),1)</x:f>
        <x:v>45505</x:v>
      </x:c>
      <x:c r="E627" s="84" t="str">
        <x:f>TEXT(B627,"mmm")</x:f>
        <x:v>Aug</x:v>
      </x:c>
      <x:c r="F627" s="84" t="str">
        <x:f>'Raw Sales'!C627</x:f>
        <x:v>CUST-0211</x:v>
      </x:c>
      <x:c r="G627" s="84" t="str">
        <x:f>PROPER(TRIM('Raw Sales'!D627))</x:f>
        <x:v>Caleb Roberts</x:v>
      </x:c>
      <x:c r="H627" s="84" t="str">
        <x:f>IF(TRIM('Raw Sales'!E627)="","Unknown",PROPER(TRIM('Raw Sales'!E627)))</x:f>
        <x:v>Consumer</x:v>
      </x:c>
      <x:c r="I627" s="84" t="str">
        <x:f>PROPER(TRIM('Raw Sales'!F627))</x:f>
        <x:v>Northeast</x:v>
      </x:c>
      <x:c r="J627" s="84" t="str">
        <x:f>PROPER(TRIM('Raw Sales'!G627))</x:f>
        <x:v>New York</x:v>
      </x:c>
      <x:c r="K627" s="84" t="str">
        <x:f>PROPER(TRIM('Raw Sales'!H627))</x:f>
        <x:v>Retail Store</x:v>
      </x:c>
      <x:c r="L627" s="84" t="str">
        <x:f>'Raw Sales'!I627</x:f>
        <x:v>HOME-003</x:v>
      </x:c>
      <x:c r="M627" s="84" t="str">
        <x:f>IFERROR(VLOOKUP(L627,'Reference Data'!$A$5:$F$40,2,FALSE),"Unknown Product")</x:f>
        <x:v>Countertop Blender</x:v>
      </x:c>
      <x:c r="N627" s="84" t="str">
        <x:f>IFERROR(VLOOKUP(L627,'Reference Data'!$A$5:$F$40,3,FALSE),"Unknown")</x:f>
        <x:v>Home &amp; Kitchen</x:v>
      </x:c>
      <x:c r="O627" s="84" t="str">
        <x:f>IFERROR(VLOOKUP(L627,'Reference Data'!$A$5:$F$40,4,FALSE),"Unknown")</x:f>
        <x:v>Small Appliances</x:v>
      </x:c>
      <x:c r="P627" s="92" t="n">
        <x:f>IFERROR(VLOOKUP(L627,'Reference Data'!$A$5:$F$40,5,FALSE),0)</x:f>
        <x:v>89</x:v>
      </x:c>
      <x:c r="Q627" s="92" t="n">
        <x:f>IFERROR(VLOOKUP(L627,'Reference Data'!$A$5:$F$40,6,FALSE),0)</x:f>
        <x:v>46</x:v>
      </x:c>
      <x:c r="R627" s="84" t="n">
        <x:f>'Raw Sales'!J627</x:f>
        <x:v>2</x:v>
      </x:c>
      <x:c r="S627" s="87" t="n">
        <x:f>'Raw Sales'!K627</x:f>
        <x:v>0</x:v>
      </x:c>
      <x:c r="T627" s="93" t="n">
        <x:f>P627*R627</x:f>
        <x:v>178</x:v>
      </x:c>
      <x:c r="U627" s="93" t="n">
        <x:f>T627*S627</x:f>
        <x:v>0</x:v>
      </x:c>
      <x:c r="V627" s="93" t="str">
        <x:f>PROPER(TRIM('Raw Sales'!L627))</x:f>
        <x:v>Completed</x:v>
      </x:c>
      <x:c r="W627" s="93" t="n">
        <x:f>IF(V627="Returned",0,T627-U627)</x:f>
        <x:v>178</x:v>
      </x:c>
      <x:c r="X627" s="93" t="n">
        <x:f>IF(V627="Returned",Q627*R627*10%,Q627*R627)</x:f>
        <x:v>92</x:v>
      </x:c>
      <x:c r="Y627" s="93" t="n">
        <x:f>W627-X627</x:f>
        <x:v>86</x:v>
      </x:c>
      <x:c r="Z627" s="94" t="n">
        <x:f>IFERROR(Y627/W627,0)</x:f>
        <x:v>0.48314606741573035</x:v>
      </x:c>
      <x:c r="AA627" s="84" t="str">
        <x:f>PROPER(TRIM('Raw Sales'!M627))</x:f>
        <x:v>Credit Card</x:v>
      </x:c>
      <x:c r="AB627" s="84" t="str">
        <x:f>PROPER(TRIM('Raw Sales'!N627))</x:f>
        <x:v>Sofia Bennett</x:v>
      </x:c>
      <x:c r="AC627" s="85" t="n">
        <x:f>'Raw Sales'!O627</x:f>
        <x:v>45524</x:v>
      </x:c>
      <x:c r="AD627" s="84" t="n">
        <x:f>AC627-B627</x:f>
        <x:v>1</x:v>
      </x:c>
      <x:c r="AE627" s="84" t="str">
        <x:f>IF(COUNTIF($A$5:A627,A627)&gt;1,"Duplicate","Keep")</x:f>
        <x:v>Keep</x:v>
      </x:c>
      <x:c r="AF627" s="84" t="str">
        <x:f>IF(OR(R627&lt;=0,AC627&lt;B627,H627="Unknown",M627="Unknown Product"),"Review","Valid")</x:f>
        <x:v>Valid</x:v>
      </x:c>
      <x:c r="AG627" s="84" t="n">
        <x:f>IF(AND(AE627="Keep",AF627="Valid"),1,0)</x:f>
        <x:v>1</x:v>
      </x:c>
      <x:c r="AH627" s="84" t="n">
        <x:f>IF(AND(AG627=1,OR('Dashboard'!$B$4="All",I627='Dashboard'!$B$4),OR('Dashboard'!$E$4="All",N627='Dashboard'!$E$4),OR('Dashboard'!$H$4="All",K627='Dashboard'!$H$4),OR('Dashboard'!$K$4="All",C627='Dashboard'!$K$4)),1,0)</x:f>
        <x:v>1</x:v>
      </x:c>
      <x:c r="AI627" s="84" t="n">
        <x:f>IF(AND(AG627=1,OR('Dashboard'!$B$4="All",I627='Dashboard'!$B$4),OR('Dashboard'!$E$4="All",N627='Dashboard'!$E$4),OR('Dashboard'!$H$4="All",K627='Dashboard'!$H$4)),1,0)</x:f>
        <x:v>1</x:v>
      </x:c>
    </x:row>
    <x:row r="628">
      <x:c r="A628" s="84" t="str">
        <x:f>'Raw Sales'!A628</x:f>
        <x:v>ORD-2024-01550</x:v>
      </x:c>
      <x:c r="B628" s="85" t="n">
        <x:f>'Raw Sales'!B628</x:f>
        <x:v>45523</x:v>
      </x:c>
      <x:c r="C628" s="84" t="n">
        <x:f>YEAR(B628)</x:f>
        <x:v>2024</x:v>
      </x:c>
      <x:c r="D628" s="91" t="n">
        <x:f>DATE(YEAR(B628),MONTH(B628),1)</x:f>
        <x:v>45505</x:v>
      </x:c>
      <x:c r="E628" s="84" t="str">
        <x:f>TEXT(B628,"mmm")</x:f>
        <x:v>Aug</x:v>
      </x:c>
      <x:c r="F628" s="84" t="str">
        <x:f>'Raw Sales'!C628</x:f>
        <x:v>CUST-0617</x:v>
      </x:c>
      <x:c r="G628" s="84" t="str">
        <x:f>PROPER(TRIM('Raw Sales'!D628))</x:f>
        <x:v>Layla Hall</x:v>
      </x:c>
      <x:c r="H628" s="84" t="str">
        <x:f>IF(TRIM('Raw Sales'!E628)="","Unknown",PROPER(TRIM('Raw Sales'!E628)))</x:f>
        <x:v>Consumer</x:v>
      </x:c>
      <x:c r="I628" s="84" t="str">
        <x:f>PROPER(TRIM('Raw Sales'!F628))</x:f>
        <x:v>Southeast</x:v>
      </x:c>
      <x:c r="J628" s="84" t="str">
        <x:f>PROPER(TRIM('Raw Sales'!G628))</x:f>
        <x:v>Nashville</x:v>
      </x:c>
      <x:c r="K628" s="84" t="str">
        <x:f>PROPER(TRIM('Raw Sales'!H628))</x:f>
        <x:v>Online</x:v>
      </x:c>
      <x:c r="L628" s="84" t="str">
        <x:f>'Raw Sales'!I628</x:f>
        <x:v>ACCS-001</x:v>
      </x:c>
      <x:c r="M628" s="84" t="str">
        <x:f>IFERROR(VLOOKUP(L628,'Reference Data'!$A$5:$F$40,2,FALSE),"Unknown Product")</x:f>
        <x:v>Canvas Tote Bag</x:v>
      </x:c>
      <x:c r="N628" s="84" t="str">
        <x:f>IFERROR(VLOOKUP(L628,'Reference Data'!$A$5:$F$40,3,FALSE),"Unknown")</x:f>
        <x:v>Accessories</x:v>
      </x:c>
      <x:c r="O628" s="84" t="str">
        <x:f>IFERROR(VLOOKUP(L628,'Reference Data'!$A$5:$F$40,4,FALSE),"Unknown")</x:f>
        <x:v>Bags</x:v>
      </x:c>
      <x:c r="P628" s="92" t="n">
        <x:f>IFERROR(VLOOKUP(L628,'Reference Data'!$A$5:$F$40,5,FALSE),0)</x:f>
        <x:v>39</x:v>
      </x:c>
      <x:c r="Q628" s="92" t="n">
        <x:f>IFERROR(VLOOKUP(L628,'Reference Data'!$A$5:$F$40,6,FALSE),0)</x:f>
        <x:v>14</x:v>
      </x:c>
      <x:c r="R628" s="84" t="n">
        <x:f>'Raw Sales'!J628</x:f>
        <x:v>1</x:v>
      </x:c>
      <x:c r="S628" s="87" t="n">
        <x:f>'Raw Sales'!K628</x:f>
        <x:v>0.05</x:v>
      </x:c>
      <x:c r="T628" s="93" t="n">
        <x:f>P628*R628</x:f>
        <x:v>39</x:v>
      </x:c>
      <x:c r="U628" s="93" t="n">
        <x:f>T628*S628</x:f>
        <x:v>1.9500000000000002</x:v>
      </x:c>
      <x:c r="V628" s="93" t="str">
        <x:f>PROPER(TRIM('Raw Sales'!L628))</x:f>
        <x:v>Completed</x:v>
      </x:c>
      <x:c r="W628" s="93" t="n">
        <x:f>IF(V628="Returned",0,T628-U628)</x:f>
        <x:v>37.05</x:v>
      </x:c>
      <x:c r="X628" s="93" t="n">
        <x:f>IF(V628="Returned",Q628*R628*10%,Q628*R628)</x:f>
        <x:v>14</x:v>
      </x:c>
      <x:c r="Y628" s="93" t="n">
        <x:f>W628-X628</x:f>
        <x:v>23.049999999999997</x:v>
      </x:c>
      <x:c r="Z628" s="94" t="n">
        <x:f>IFERROR(Y628/W628,0)</x:f>
        <x:v>0.6221322537112011</x:v>
      </x:c>
      <x:c r="AA628" s="84" t="str">
        <x:f>PROPER(TRIM('Raw Sales'!M628))</x:f>
        <x:v>Debit Card</x:v>
      </x:c>
      <x:c r="AB628" s="84" t="str">
        <x:f>PROPER(TRIM('Raw Sales'!N628))</x:f>
        <x:v>Ava Mitchell</x:v>
      </x:c>
      <x:c r="AC628" s="85" t="n">
        <x:f>'Raw Sales'!O628</x:f>
        <x:v>45525</x:v>
      </x:c>
      <x:c r="AD628" s="84" t="n">
        <x:f>AC628-B628</x:f>
        <x:v>2</x:v>
      </x:c>
      <x:c r="AE628" s="84" t="str">
        <x:f>IF(COUNTIF($A$5:A628,A628)&gt;1,"Duplicate","Keep")</x:f>
        <x:v>Keep</x:v>
      </x:c>
      <x:c r="AF628" s="84" t="str">
        <x:f>IF(OR(R628&lt;=0,AC628&lt;B628,H628="Unknown",M628="Unknown Product"),"Review","Valid")</x:f>
        <x:v>Valid</x:v>
      </x:c>
      <x:c r="AG628" s="84" t="n">
        <x:f>IF(AND(AE628="Keep",AF628="Valid"),1,0)</x:f>
        <x:v>1</x:v>
      </x:c>
      <x:c r="AH628" s="84" t="n">
        <x:f>IF(AND(AG628=1,OR('Dashboard'!$B$4="All",I628='Dashboard'!$B$4),OR('Dashboard'!$E$4="All",N628='Dashboard'!$E$4),OR('Dashboard'!$H$4="All",K628='Dashboard'!$H$4),OR('Dashboard'!$K$4="All",C628='Dashboard'!$K$4)),1,0)</x:f>
        <x:v>1</x:v>
      </x:c>
      <x:c r="AI628" s="84" t="n">
        <x:f>IF(AND(AG628=1,OR('Dashboard'!$B$4="All",I628='Dashboard'!$B$4),OR('Dashboard'!$E$4="All",N628='Dashboard'!$E$4),OR('Dashboard'!$H$4="All",K628='Dashboard'!$H$4)),1,0)</x:f>
        <x:v>1</x:v>
      </x:c>
    </x:row>
    <x:row r="629">
      <x:c r="A629" s="84" t="str">
        <x:f>'Raw Sales'!A629</x:f>
        <x:v>ORD-2024-01603</x:v>
      </x:c>
      <x:c r="B629" s="85" t="n">
        <x:f>'Raw Sales'!B629</x:f>
        <x:v>45523</x:v>
      </x:c>
      <x:c r="C629" s="84" t="n">
        <x:f>YEAR(B629)</x:f>
        <x:v>2024</x:v>
      </x:c>
      <x:c r="D629" s="91" t="n">
        <x:f>DATE(YEAR(B629),MONTH(B629),1)</x:f>
        <x:v>45505</x:v>
      </x:c>
      <x:c r="E629" s="84" t="str">
        <x:f>TEXT(B629,"mmm")</x:f>
        <x:v>Aug</x:v>
      </x:c>
      <x:c r="F629" s="84" t="str">
        <x:f>'Raw Sales'!C629</x:f>
        <x:v>CUST-0418</x:v>
      </x:c>
      <x:c r="G629" s="84" t="str">
        <x:f>PROPER(TRIM('Raw Sales'!D629))</x:f>
        <x:v>Grace Ortiz</x:v>
      </x:c>
      <x:c r="H629" s="84" t="str">
        <x:f>IF(TRIM('Raw Sales'!E629)="","Unknown",PROPER(TRIM('Raw Sales'!E629)))</x:f>
        <x:v>Small Business</x:v>
      </x:c>
      <x:c r="I629" s="84" t="str">
        <x:f>PROPER(TRIM('Raw Sales'!F629))</x:f>
        <x:v>West</x:v>
      </x:c>
      <x:c r="J629" s="84" t="str">
        <x:f>PROPER(TRIM('Raw Sales'!G629))</x:f>
        <x:v>Seattle</x:v>
      </x:c>
      <x:c r="K629" s="84" t="str">
        <x:f>PROPER(TRIM('Raw Sales'!H629))</x:f>
        <x:v>Retail Store</x:v>
      </x:c>
      <x:c r="L629" s="84" t="str">
        <x:f>'Raw Sales'!I629</x:f>
        <x:v>CARE-004</x:v>
      </x:c>
      <x:c r="M629" s="84" t="str">
        <x:f>IFERROR(VLOOKUP(L629,'Reference Data'!$A$5:$F$40,2,FALSE),"Unknown Product")</x:f>
        <x:v>Electric Toothbrush</x:v>
      </x:c>
      <x:c r="N629" s="84" t="str">
        <x:f>IFERROR(VLOOKUP(L629,'Reference Data'!$A$5:$F$40,3,FALSE),"Unknown")</x:f>
        <x:v>Personal Care</x:v>
      </x:c>
      <x:c r="O629" s="84" t="str">
        <x:f>IFERROR(VLOOKUP(L629,'Reference Data'!$A$5:$F$40,4,FALSE),"Unknown")</x:f>
        <x:v>Oral Care</x:v>
      </x:c>
      <x:c r="P629" s="92" t="n">
        <x:f>IFERROR(VLOOKUP(L629,'Reference Data'!$A$5:$F$40,5,FALSE),0)</x:f>
        <x:v>69</x:v>
      </x:c>
      <x:c r="Q629" s="92" t="n">
        <x:f>IFERROR(VLOOKUP(L629,'Reference Data'!$A$5:$F$40,6,FALSE),0)</x:f>
        <x:v>31</x:v>
      </x:c>
      <x:c r="R629" s="84" t="n">
        <x:f>'Raw Sales'!J629</x:f>
        <x:v>1</x:v>
      </x:c>
      <x:c r="S629" s="87" t="n">
        <x:f>'Raw Sales'!K629</x:f>
        <x:v>0.1</x:v>
      </x:c>
      <x:c r="T629" s="93" t="n">
        <x:f>P629*R629</x:f>
        <x:v>69</x:v>
      </x:c>
      <x:c r="U629" s="93" t="n">
        <x:f>T629*S629</x:f>
        <x:v>6.9</x:v>
      </x:c>
      <x:c r="V629" s="93" t="str">
        <x:f>PROPER(TRIM('Raw Sales'!L629))</x:f>
        <x:v>Completed</x:v>
      </x:c>
      <x:c r="W629" s="93" t="n">
        <x:f>IF(V629="Returned",0,T629-U629)</x:f>
        <x:v>62.1</x:v>
      </x:c>
      <x:c r="X629" s="93" t="n">
        <x:f>IF(V629="Returned",Q629*R629*10%,Q629*R629)</x:f>
        <x:v>31</x:v>
      </x:c>
      <x:c r="Y629" s="93" t="n">
        <x:f>W629-X629</x:f>
        <x:v>31.1</x:v>
      </x:c>
      <x:c r="Z629" s="94" t="n">
        <x:f>IFERROR(Y629/W629,0)</x:f>
        <x:v>0.500805152979066</x:v>
      </x:c>
      <x:c r="AA629" s="84" t="str">
        <x:f>PROPER(TRIM('Raw Sales'!M629))</x:f>
        <x:v>Credit Card</x:v>
      </x:c>
      <x:c r="AB629" s="84" t="str">
        <x:f>PROPER(TRIM('Raw Sales'!N629))</x:f>
        <x:v>Mia Chen</x:v>
      </x:c>
      <x:c r="AC629" s="85" t="n">
        <x:f>'Raw Sales'!O629</x:f>
        <x:v>45523</x:v>
      </x:c>
      <x:c r="AD629" s="84" t="n">
        <x:f>AC629-B629</x:f>
        <x:v>0</x:v>
      </x:c>
      <x:c r="AE629" s="84" t="str">
        <x:f>IF(COUNTIF($A$5:A629,A629)&gt;1,"Duplicate","Keep")</x:f>
        <x:v>Keep</x:v>
      </x:c>
      <x:c r="AF629" s="84" t="str">
        <x:f>IF(OR(R629&lt;=0,AC629&lt;B629,H629="Unknown",M629="Unknown Product"),"Review","Valid")</x:f>
        <x:v>Valid</x:v>
      </x:c>
      <x:c r="AG629" s="84" t="n">
        <x:f>IF(AND(AE629="Keep",AF629="Valid"),1,0)</x:f>
        <x:v>1</x:v>
      </x:c>
      <x:c r="AH629" s="84" t="n">
        <x:f>IF(AND(AG629=1,OR('Dashboard'!$B$4="All",I629='Dashboard'!$B$4),OR('Dashboard'!$E$4="All",N629='Dashboard'!$E$4),OR('Dashboard'!$H$4="All",K629='Dashboard'!$H$4),OR('Dashboard'!$K$4="All",C629='Dashboard'!$K$4)),1,0)</x:f>
        <x:v>1</x:v>
      </x:c>
      <x:c r="AI629" s="84" t="n">
        <x:f>IF(AND(AG629=1,OR('Dashboard'!$B$4="All",I629='Dashboard'!$B$4),OR('Dashboard'!$E$4="All",N629='Dashboard'!$E$4),OR('Dashboard'!$H$4="All",K629='Dashboard'!$H$4)),1,0)</x:f>
        <x:v>1</x:v>
      </x:c>
    </x:row>
    <x:row r="630">
      <x:c r="A630" s="84" t="str">
        <x:f>'Raw Sales'!A630</x:f>
        <x:v>ORD-2024-00331</x:v>
      </x:c>
      <x:c r="B630" s="85" t="n">
        <x:f>'Raw Sales'!B630</x:f>
        <x:v>45524</x:v>
      </x:c>
      <x:c r="C630" s="84" t="n">
        <x:f>YEAR(B630)</x:f>
        <x:v>2024</x:v>
      </x:c>
      <x:c r="D630" s="91" t="n">
        <x:f>DATE(YEAR(B630),MONTH(B630),1)</x:f>
        <x:v>45505</x:v>
      </x:c>
      <x:c r="E630" s="84" t="str">
        <x:f>TEXT(B630,"mmm")</x:f>
        <x:v>Aug</x:v>
      </x:c>
      <x:c r="F630" s="84" t="str">
        <x:f>'Raw Sales'!C630</x:f>
        <x:v>CUST-0295</x:v>
      </x:c>
      <x:c r="G630" s="84" t="str">
        <x:f>PROPER(TRIM('Raw Sales'!D630))</x:f>
        <x:v>Nina Garcia</x:v>
      </x:c>
      <x:c r="H630" s="84" t="str">
        <x:f>IF(TRIM('Raw Sales'!E630)="","Unknown",PROPER(TRIM('Raw Sales'!E630)))</x:f>
        <x:v>Consumer</x:v>
      </x:c>
      <x:c r="I630" s="84" t="str">
        <x:f>PROPER(TRIM('Raw Sales'!F630))</x:f>
        <x:v>Northeast</x:v>
      </x:c>
      <x:c r="J630" s="84" t="str">
        <x:f>PROPER(TRIM('Raw Sales'!G630))</x:f>
        <x:v>Boston</x:v>
      </x:c>
      <x:c r="K630" s="84" t="str">
        <x:f>PROPER(TRIM('Raw Sales'!H630))</x:f>
        <x:v>Retail Store</x:v>
      </x:c>
      <x:c r="L630" s="84" t="str">
        <x:f>'Raw Sales'!I630</x:f>
        <x:v>HOME-005</x:v>
      </x:c>
      <x:c r="M630" s="84" t="str">
        <x:f>IFERROR(VLOOKUP(L630,'Reference Data'!$A$5:$F$40,2,FALSE),"Unknown Product")</x:f>
        <x:v>Cordless Vacuum</x:v>
      </x:c>
      <x:c r="N630" s="84" t="str">
        <x:f>IFERROR(VLOOKUP(L630,'Reference Data'!$A$5:$F$40,3,FALSE),"Unknown")</x:f>
        <x:v>Home &amp; Kitchen</x:v>
      </x:c>
      <x:c r="O630" s="84" t="str">
        <x:f>IFERROR(VLOOKUP(L630,'Reference Data'!$A$5:$F$40,4,FALSE),"Unknown")</x:f>
        <x:v>Cleaning</x:v>
      </x:c>
      <x:c r="P630" s="92" t="n">
        <x:f>IFERROR(VLOOKUP(L630,'Reference Data'!$A$5:$F$40,5,FALSE),0)</x:f>
        <x:v>179</x:v>
      </x:c>
      <x:c r="Q630" s="92" t="n">
        <x:f>IFERROR(VLOOKUP(L630,'Reference Data'!$A$5:$F$40,6,FALSE),0)</x:f>
        <x:v>102</x:v>
      </x:c>
      <x:c r="R630" s="84" t="n">
        <x:f>'Raw Sales'!J630</x:f>
        <x:v>2</x:v>
      </x:c>
      <x:c r="S630" s="87" t="n">
        <x:f>'Raw Sales'!K630</x:f>
        <x:v>0</x:v>
      </x:c>
      <x:c r="T630" s="93" t="n">
        <x:f>P630*R630</x:f>
        <x:v>358</x:v>
      </x:c>
      <x:c r="U630" s="93" t="n">
        <x:f>T630*S630</x:f>
        <x:v>0</x:v>
      </x:c>
      <x:c r="V630" s="93" t="str">
        <x:f>PROPER(TRIM('Raw Sales'!L630))</x:f>
        <x:v>Completed</x:v>
      </x:c>
      <x:c r="W630" s="93" t="n">
        <x:f>IF(V630="Returned",0,T630-U630)</x:f>
        <x:v>358</x:v>
      </x:c>
      <x:c r="X630" s="93" t="n">
        <x:f>IF(V630="Returned",Q630*R630*10%,Q630*R630)</x:f>
        <x:v>204</x:v>
      </x:c>
      <x:c r="Y630" s="93" t="n">
        <x:f>W630-X630</x:f>
        <x:v>154</x:v>
      </x:c>
      <x:c r="Z630" s="94" t="n">
        <x:f>IFERROR(Y630/W630,0)</x:f>
        <x:v>0.4301675977653631</x:v>
      </x:c>
      <x:c r="AA630" s="84" t="str">
        <x:f>PROPER(TRIM('Raw Sales'!M630))</x:f>
        <x:v>Cash</x:v>
      </x:c>
      <x:c r="AB630" s="84" t="str">
        <x:f>PROPER(TRIM('Raw Sales'!N630))</x:f>
        <x:v>Maya Brooks</x:v>
      </x:c>
      <x:c r="AC630" s="85" t="n">
        <x:f>'Raw Sales'!O630</x:f>
        <x:v>45524</x:v>
      </x:c>
      <x:c r="AD630" s="84" t="n">
        <x:f>AC630-B630</x:f>
        <x:v>0</x:v>
      </x:c>
      <x:c r="AE630" s="84" t="str">
        <x:f>IF(COUNTIF($A$5:A630,A630)&gt;1,"Duplicate","Keep")</x:f>
        <x:v>Keep</x:v>
      </x:c>
      <x:c r="AF630" s="84" t="str">
        <x:f>IF(OR(R630&lt;=0,AC630&lt;B630,H630="Unknown",M630="Unknown Product"),"Review","Valid")</x:f>
        <x:v>Valid</x:v>
      </x:c>
      <x:c r="AG630" s="84" t="n">
        <x:f>IF(AND(AE630="Keep",AF630="Valid"),1,0)</x:f>
        <x:v>1</x:v>
      </x:c>
      <x:c r="AH630" s="84" t="n">
        <x:f>IF(AND(AG630=1,OR('Dashboard'!$B$4="All",I630='Dashboard'!$B$4),OR('Dashboard'!$E$4="All",N630='Dashboard'!$E$4),OR('Dashboard'!$H$4="All",K630='Dashboard'!$H$4),OR('Dashboard'!$K$4="All",C630='Dashboard'!$K$4)),1,0)</x:f>
        <x:v>1</x:v>
      </x:c>
      <x:c r="AI630" s="84" t="n">
        <x:f>IF(AND(AG630=1,OR('Dashboard'!$B$4="All",I630='Dashboard'!$B$4),OR('Dashboard'!$E$4="All",N630='Dashboard'!$E$4),OR('Dashboard'!$H$4="All",K630='Dashboard'!$H$4)),1,0)</x:f>
        <x:v>1</x:v>
      </x:c>
    </x:row>
    <x:row r="631">
      <x:c r="A631" s="84" t="str">
        <x:f>'Raw Sales'!A631</x:f>
        <x:v>ORD-2024-01635</x:v>
      </x:c>
      <x:c r="B631" s="85" t="n">
        <x:f>'Raw Sales'!B631</x:f>
        <x:v>45524</x:v>
      </x:c>
      <x:c r="C631" s="84" t="n">
        <x:f>YEAR(B631)</x:f>
        <x:v>2024</x:v>
      </x:c>
      <x:c r="D631" s="91" t="n">
        <x:f>DATE(YEAR(B631),MONTH(B631),1)</x:f>
        <x:v>45505</x:v>
      </x:c>
      <x:c r="E631" s="84" t="str">
        <x:f>TEXT(B631,"mmm")</x:f>
        <x:v>Aug</x:v>
      </x:c>
      <x:c r="F631" s="84" t="str">
        <x:f>'Raw Sales'!C631</x:f>
        <x:v>CUST-0146</x:v>
      </x:c>
      <x:c r="G631" s="84" t="str">
        <x:f>PROPER(TRIM('Raw Sales'!D631))</x:f>
        <x:v>Elena Quinn</x:v>
      </x:c>
      <x:c r="H631" s="84" t="str">
        <x:f>IF(TRIM('Raw Sales'!E631)="","Unknown",PROPER(TRIM('Raw Sales'!E631)))</x:f>
        <x:v>Consumer</x:v>
      </x:c>
      <x:c r="I631" s="84" t="str">
        <x:f>PROPER(TRIM('Raw Sales'!F631))</x:f>
        <x:v>West</x:v>
      </x:c>
      <x:c r="J631" s="84" t="str">
        <x:f>PROPER(TRIM('Raw Sales'!G631))</x:f>
        <x:v>Seattle</x:v>
      </x:c>
      <x:c r="K631" s="84" t="str">
        <x:f>PROPER(TRIM('Raw Sales'!H631))</x:f>
        <x:v>Online</x:v>
      </x:c>
      <x:c r="L631" s="84" t="str">
        <x:f>'Raw Sales'!I631</x:f>
        <x:v>CARE-003</x:v>
      </x:c>
      <x:c r="M631" s="84" t="str">
        <x:f>IFERROR(VLOOKUP(L631,'Reference Data'!$A$5:$F$40,2,FALSE),"Unknown Product")</x:f>
        <x:v>Facial Cleanser</x:v>
      </x:c>
      <x:c r="N631" s="84" t="str">
        <x:f>IFERROR(VLOOKUP(L631,'Reference Data'!$A$5:$F$40,3,FALSE),"Unknown")</x:f>
        <x:v>Personal Care</x:v>
      </x:c>
      <x:c r="O631" s="84" t="str">
        <x:f>IFERROR(VLOOKUP(L631,'Reference Data'!$A$5:$F$40,4,FALSE),"Unknown")</x:f>
        <x:v>Skin Care</x:v>
      </x:c>
      <x:c r="P631" s="92" t="n">
        <x:f>IFERROR(VLOOKUP(L631,'Reference Data'!$A$5:$F$40,5,FALSE),0)</x:f>
        <x:v>18</x:v>
      </x:c>
      <x:c r="Q631" s="92" t="n">
        <x:f>IFERROR(VLOOKUP(L631,'Reference Data'!$A$5:$F$40,6,FALSE),0)</x:f>
        <x:v>6</x:v>
      </x:c>
      <x:c r="R631" s="84" t="n">
        <x:f>'Raw Sales'!J631</x:f>
        <x:v>1</x:v>
      </x:c>
      <x:c r="S631" s="87" t="n">
        <x:f>'Raw Sales'!K631</x:f>
        <x:v>0.05</x:v>
      </x:c>
      <x:c r="T631" s="93" t="n">
        <x:f>P631*R631</x:f>
        <x:v>18</x:v>
      </x:c>
      <x:c r="U631" s="93" t="n">
        <x:f>T631*S631</x:f>
        <x:v>0.9</x:v>
      </x:c>
      <x:c r="V631" s="93" t="str">
        <x:f>PROPER(TRIM('Raw Sales'!L631))</x:f>
        <x:v>Completed</x:v>
      </x:c>
      <x:c r="W631" s="93" t="n">
        <x:f>IF(V631="Returned",0,T631-U631)</x:f>
        <x:v>17.1</x:v>
      </x:c>
      <x:c r="X631" s="93" t="n">
        <x:f>IF(V631="Returned",Q631*R631*10%,Q631*R631)</x:f>
        <x:v>6</x:v>
      </x:c>
      <x:c r="Y631" s="93" t="n">
        <x:f>W631-X631</x:f>
        <x:v>11.100000000000001</x:v>
      </x:c>
      <x:c r="Z631" s="94" t="n">
        <x:f>IFERROR(Y631/W631,0)</x:f>
        <x:v>0.6491228070175439</x:v>
      </x:c>
      <x:c r="AA631" s="84" t="str">
        <x:f>PROPER(TRIM('Raw Sales'!M631))</x:f>
        <x:v>Mobile Wallet</x:v>
      </x:c>
      <x:c r="AB631" s="84" t="str">
        <x:f>PROPER(TRIM('Raw Sales'!N631))</x:f>
        <x:v>Leo Martinez</x:v>
      </x:c>
      <x:c r="AC631" s="85" t="n">
        <x:f>'Raw Sales'!O631</x:f>
        <x:v>45530</x:v>
      </x:c>
      <x:c r="AD631" s="84" t="n">
        <x:f>AC631-B631</x:f>
        <x:v>6</x:v>
      </x:c>
      <x:c r="AE631" s="84" t="str">
        <x:f>IF(COUNTIF($A$5:A631,A631)&gt;1,"Duplicate","Keep")</x:f>
        <x:v>Keep</x:v>
      </x:c>
      <x:c r="AF631" s="84" t="str">
        <x:f>IF(OR(R631&lt;=0,AC631&lt;B631,H631="Unknown",M631="Unknown Product"),"Review","Valid")</x:f>
        <x:v>Valid</x:v>
      </x:c>
      <x:c r="AG631" s="84" t="n">
        <x:f>IF(AND(AE631="Keep",AF631="Valid"),1,0)</x:f>
        <x:v>1</x:v>
      </x:c>
      <x:c r="AH631" s="84" t="n">
        <x:f>IF(AND(AG631=1,OR('Dashboard'!$B$4="All",I631='Dashboard'!$B$4),OR('Dashboard'!$E$4="All",N631='Dashboard'!$E$4),OR('Dashboard'!$H$4="All",K631='Dashboard'!$H$4),OR('Dashboard'!$K$4="All",C631='Dashboard'!$K$4)),1,0)</x:f>
        <x:v>1</x:v>
      </x:c>
      <x:c r="AI631" s="84" t="n">
        <x:f>IF(AND(AG631=1,OR('Dashboard'!$B$4="All",I631='Dashboard'!$B$4),OR('Dashboard'!$E$4="All",N631='Dashboard'!$E$4),OR('Dashboard'!$H$4="All",K631='Dashboard'!$H$4)),1,0)</x:f>
        <x:v>1</x:v>
      </x:c>
    </x:row>
    <x:row r="632">
      <x:c r="A632" s="84" t="str">
        <x:f>'Raw Sales'!A632</x:f>
        <x:v>ORD-2024-01684</x:v>
      </x:c>
      <x:c r="B632" s="85" t="n">
        <x:f>'Raw Sales'!B632</x:f>
        <x:v>45524</x:v>
      </x:c>
      <x:c r="C632" s="84" t="n">
        <x:f>YEAR(B632)</x:f>
        <x:v>2024</x:v>
      </x:c>
      <x:c r="D632" s="91" t="n">
        <x:f>DATE(YEAR(B632),MONTH(B632),1)</x:f>
        <x:v>45505</x:v>
      </x:c>
      <x:c r="E632" s="84" t="str">
        <x:f>TEXT(B632,"mmm")</x:f>
        <x:v>Aug</x:v>
      </x:c>
      <x:c r="F632" s="84" t="str">
        <x:f>'Raw Sales'!C632</x:f>
        <x:v>CUST-0148</x:v>
      </x:c>
      <x:c r="G632" s="84" t="str">
        <x:f>PROPER(TRIM('Raw Sales'!D632))</x:f>
        <x:v>Caleb Adams</x:v>
      </x:c>
      <x:c r="H632" s="84" t="str">
        <x:f>IF(TRIM('Raw Sales'!E632)="","Unknown",PROPER(TRIM('Raw Sales'!E632)))</x:f>
        <x:v>Small Business</x:v>
      </x:c>
      <x:c r="I632" s="84" t="str">
        <x:f>PROPER(TRIM('Raw Sales'!F632))</x:f>
        <x:v>West</x:v>
      </x:c>
      <x:c r="J632" s="84" t="str">
        <x:f>PROPER(TRIM('Raw Sales'!G632))</x:f>
        <x:v>Phoenix</x:v>
      </x:c>
      <x:c r="K632" s="84" t="str">
        <x:f>PROPER(TRIM('Raw Sales'!H632))</x:f>
        <x:v>Retail Store</x:v>
      </x:c>
      <x:c r="L632" s="84" t="str">
        <x:f>'Raw Sales'!I632</x:f>
        <x:v>HOME-004</x:v>
      </x:c>
      <x:c r="M632" s="84" t="str">
        <x:f>IFERROR(VLOOKUP(L632,'Reference Data'!$A$5:$F$40,2,FALSE),"Unknown Product")</x:f>
        <x:v>Coffee Maker</x:v>
      </x:c>
      <x:c r="N632" s="84" t="str">
        <x:f>IFERROR(VLOOKUP(L632,'Reference Data'!$A$5:$F$40,3,FALSE),"Unknown")</x:f>
        <x:v>Home &amp; Kitchen</x:v>
      </x:c>
      <x:c r="O632" s="84" t="str">
        <x:f>IFERROR(VLOOKUP(L632,'Reference Data'!$A$5:$F$40,4,FALSE),"Unknown")</x:f>
        <x:v>Small Appliances</x:v>
      </x:c>
      <x:c r="P632" s="92" t="n">
        <x:f>IFERROR(VLOOKUP(L632,'Reference Data'!$A$5:$F$40,5,FALSE),0)</x:f>
        <x:v>99</x:v>
      </x:c>
      <x:c r="Q632" s="92" t="n">
        <x:f>IFERROR(VLOOKUP(L632,'Reference Data'!$A$5:$F$40,6,FALSE),0)</x:f>
        <x:v>51</x:v>
      </x:c>
      <x:c r="R632" s="84" t="n">
        <x:f>'Raw Sales'!J632</x:f>
        <x:v>2</x:v>
      </x:c>
      <x:c r="S632" s="87" t="n">
        <x:f>'Raw Sales'!K632</x:f>
        <x:v>0.05</x:v>
      </x:c>
      <x:c r="T632" s="93" t="n">
        <x:f>P632*R632</x:f>
        <x:v>198</x:v>
      </x:c>
      <x:c r="U632" s="93" t="n">
        <x:f>T632*S632</x:f>
        <x:v>9.9</x:v>
      </x:c>
      <x:c r="V632" s="93" t="str">
        <x:f>PROPER(TRIM('Raw Sales'!L632))</x:f>
        <x:v>Completed</x:v>
      </x:c>
      <x:c r="W632" s="93" t="n">
        <x:f>IF(V632="Returned",0,T632-U632)</x:f>
        <x:v>188.1</x:v>
      </x:c>
      <x:c r="X632" s="93" t="n">
        <x:f>IF(V632="Returned",Q632*R632*10%,Q632*R632)</x:f>
        <x:v>102</x:v>
      </x:c>
      <x:c r="Y632" s="93" t="n">
        <x:f>W632-X632</x:f>
        <x:v>86.1</x:v>
      </x:c>
      <x:c r="Z632" s="94" t="n">
        <x:f>IFERROR(Y632/W632,0)</x:f>
        <x:v>0.4577352472089314</x:v>
      </x:c>
      <x:c r="AA632" s="84" t="str">
        <x:f>PROPER(TRIM('Raw Sales'!M632))</x:f>
        <x:v>Credit Card</x:v>
      </x:c>
      <x:c r="AB632" s="84" t="str">
        <x:f>PROPER(TRIM('Raw Sales'!N632))</x:f>
        <x:v>Nora Kim</x:v>
      </x:c>
      <x:c r="AC632" s="85" t="n">
        <x:f>'Raw Sales'!O632</x:f>
        <x:v>45525</x:v>
      </x:c>
      <x:c r="AD632" s="84" t="n">
        <x:f>AC632-B632</x:f>
        <x:v>1</x:v>
      </x:c>
      <x:c r="AE632" s="84" t="str">
        <x:f>IF(COUNTIF($A$5:A632,A632)&gt;1,"Duplicate","Keep")</x:f>
        <x:v>Keep</x:v>
      </x:c>
      <x:c r="AF632" s="84" t="str">
        <x:f>IF(OR(R632&lt;=0,AC632&lt;B632,H632="Unknown",M632="Unknown Product"),"Review","Valid")</x:f>
        <x:v>Valid</x:v>
      </x:c>
      <x:c r="AG632" s="84" t="n">
        <x:f>IF(AND(AE632="Keep",AF632="Valid"),1,0)</x:f>
        <x:v>1</x:v>
      </x:c>
      <x:c r="AH632" s="84" t="n">
        <x:f>IF(AND(AG632=1,OR('Dashboard'!$B$4="All",I632='Dashboard'!$B$4),OR('Dashboard'!$E$4="All",N632='Dashboard'!$E$4),OR('Dashboard'!$H$4="All",K632='Dashboard'!$H$4),OR('Dashboard'!$K$4="All",C632='Dashboard'!$K$4)),1,0)</x:f>
        <x:v>1</x:v>
      </x:c>
      <x:c r="AI632" s="84" t="n">
        <x:f>IF(AND(AG632=1,OR('Dashboard'!$B$4="All",I632='Dashboard'!$B$4),OR('Dashboard'!$E$4="All",N632='Dashboard'!$E$4),OR('Dashboard'!$H$4="All",K632='Dashboard'!$H$4)),1,0)</x:f>
        <x:v>1</x:v>
      </x:c>
    </x:row>
    <x:row r="633">
      <x:c r="A633" s="84" t="str">
        <x:f>'Raw Sales'!A633</x:f>
        <x:v>ORD-2024-01857</x:v>
      </x:c>
      <x:c r="B633" s="85" t="n">
        <x:f>'Raw Sales'!B633</x:f>
        <x:v>45524</x:v>
      </x:c>
      <x:c r="C633" s="84" t="n">
        <x:f>YEAR(B633)</x:f>
        <x:v>2024</x:v>
      </x:c>
      <x:c r="D633" s="91" t="n">
        <x:f>DATE(YEAR(B633),MONTH(B633),1)</x:f>
        <x:v>45505</x:v>
      </x:c>
      <x:c r="E633" s="84" t="str">
        <x:f>TEXT(B633,"mmm")</x:f>
        <x:v>Aug</x:v>
      </x:c>
      <x:c r="F633" s="84" t="str">
        <x:f>'Raw Sales'!C633</x:f>
        <x:v>CUST-0409</x:v>
      </x:c>
      <x:c r="G633" s="84" t="str">
        <x:f>PROPER(TRIM('Raw Sales'!D633))</x:f>
        <x:v>Owen Ortiz</x:v>
      </x:c>
      <x:c r="H633" s="84" t="str">
        <x:f>IF(TRIM('Raw Sales'!E633)="","Unknown",PROPER(TRIM('Raw Sales'!E633)))</x:f>
        <x:v>Consumer</x:v>
      </x:c>
      <x:c r="I633" s="84" t="str">
        <x:f>PROPER(TRIM('Raw Sales'!F633))</x:f>
        <x:v>West</x:v>
      </x:c>
      <x:c r="J633" s="84" t="str">
        <x:f>PROPER(TRIM('Raw Sales'!G633))</x:f>
        <x:v>Los Angeles</x:v>
      </x:c>
      <x:c r="K633" s="84" t="str">
        <x:f>PROPER(TRIM('Raw Sales'!H633))</x:f>
        <x:v>Online</x:v>
      </x:c>
      <x:c r="L633" s="84" t="str">
        <x:f>'Raw Sales'!I633</x:f>
        <x:v>HOME-006</x:v>
      </x:c>
      <x:c r="M633" s="84" t="str">
        <x:f>IFERROR(VLOOKUP(L633,'Reference Data'!$A$5:$F$40,2,FALSE),"Unknown Product")</x:f>
        <x:v>Food Storage Set</x:v>
      </x:c>
      <x:c r="N633" s="84" t="str">
        <x:f>IFERROR(VLOOKUP(L633,'Reference Data'!$A$5:$F$40,3,FALSE),"Unknown")</x:f>
        <x:v>Home &amp; Kitchen</x:v>
      </x:c>
      <x:c r="O633" s="84" t="str">
        <x:f>IFERROR(VLOOKUP(L633,'Reference Data'!$A$5:$F$40,4,FALSE),"Unknown")</x:f>
        <x:v>Kitchenware</x:v>
      </x:c>
      <x:c r="P633" s="92" t="n">
        <x:f>IFERROR(VLOOKUP(L633,'Reference Data'!$A$5:$F$40,5,FALSE),0)</x:f>
        <x:v>34</x:v>
      </x:c>
      <x:c r="Q633" s="92" t="n">
        <x:f>IFERROR(VLOOKUP(L633,'Reference Data'!$A$5:$F$40,6,FALSE),0)</x:f>
        <x:v>15</x:v>
      </x:c>
      <x:c r="R633" s="84" t="n">
        <x:f>'Raw Sales'!J633</x:f>
        <x:v>2</x:v>
      </x:c>
      <x:c r="S633" s="87" t="n">
        <x:f>'Raw Sales'!K633</x:f>
        <x:v>0.05</x:v>
      </x:c>
      <x:c r="T633" s="93" t="n">
        <x:f>P633*R633</x:f>
        <x:v>68</x:v>
      </x:c>
      <x:c r="U633" s="93" t="n">
        <x:f>T633*S633</x:f>
        <x:v>3.4000000000000004</x:v>
      </x:c>
      <x:c r="V633" s="93" t="str">
        <x:f>PROPER(TRIM('Raw Sales'!L633))</x:f>
        <x:v>Completed</x:v>
      </x:c>
      <x:c r="W633" s="93" t="n">
        <x:f>IF(V633="Returned",0,T633-U633)</x:f>
        <x:v>64.6</x:v>
      </x:c>
      <x:c r="X633" s="93" t="n">
        <x:f>IF(V633="Returned",Q633*R633*10%,Q633*R633)</x:f>
        <x:v>30</x:v>
      </x:c>
      <x:c r="Y633" s="93" t="n">
        <x:f>W633-X633</x:f>
        <x:v>34.599999999999994</x:v>
      </x:c>
      <x:c r="Z633" s="94" t="n">
        <x:f>IFERROR(Y633/W633,0)</x:f>
        <x:v>0.5356037151702786</x:v>
      </x:c>
      <x:c r="AA633" s="84" t="str">
        <x:f>PROPER(TRIM('Raw Sales'!M633))</x:f>
        <x:v>Paypal</x:v>
      </x:c>
      <x:c r="AB633" s="84" t="str">
        <x:f>PROPER(TRIM('Raw Sales'!N633))</x:f>
        <x:v>Leo Martinez</x:v>
      </x:c>
      <x:c r="AC633" s="85" t="n">
        <x:f>'Raw Sales'!O633</x:f>
        <x:v>45526</x:v>
      </x:c>
      <x:c r="AD633" s="84" t="n">
        <x:f>AC633-B633</x:f>
        <x:v>2</x:v>
      </x:c>
      <x:c r="AE633" s="84" t="str">
        <x:f>IF(COUNTIF($A$5:A633,A633)&gt;1,"Duplicate","Keep")</x:f>
        <x:v>Keep</x:v>
      </x:c>
      <x:c r="AF633" s="84" t="str">
        <x:f>IF(OR(R633&lt;=0,AC633&lt;B633,H633="Unknown",M633="Unknown Product"),"Review","Valid")</x:f>
        <x:v>Valid</x:v>
      </x:c>
      <x:c r="AG633" s="84" t="n">
        <x:f>IF(AND(AE633="Keep",AF633="Valid"),1,0)</x:f>
        <x:v>1</x:v>
      </x:c>
      <x:c r="AH633" s="84" t="n">
        <x:f>IF(AND(AG633=1,OR('Dashboard'!$B$4="All",I633='Dashboard'!$B$4),OR('Dashboard'!$E$4="All",N633='Dashboard'!$E$4),OR('Dashboard'!$H$4="All",K633='Dashboard'!$H$4),OR('Dashboard'!$K$4="All",C633='Dashboard'!$K$4)),1,0)</x:f>
        <x:v>1</x:v>
      </x:c>
      <x:c r="AI633" s="84" t="n">
        <x:f>IF(AND(AG633=1,OR('Dashboard'!$B$4="All",I633='Dashboard'!$B$4),OR('Dashboard'!$E$4="All",N633='Dashboard'!$E$4),OR('Dashboard'!$H$4="All",K633='Dashboard'!$H$4)),1,0)</x:f>
        <x:v>1</x:v>
      </x:c>
    </x:row>
    <x:row r="634">
      <x:c r="A634" s="84" t="str">
        <x:f>'Raw Sales'!A634</x:f>
        <x:v>ORD-2024-00564</x:v>
      </x:c>
      <x:c r="B634" s="85" t="n">
        <x:f>'Raw Sales'!B634</x:f>
        <x:v>45525</x:v>
      </x:c>
      <x:c r="C634" s="84" t="n">
        <x:f>YEAR(B634)</x:f>
        <x:v>2024</x:v>
      </x:c>
      <x:c r="D634" s="91" t="n">
        <x:f>DATE(YEAR(B634),MONTH(B634),1)</x:f>
        <x:v>45505</x:v>
      </x:c>
      <x:c r="E634" s="84" t="str">
        <x:f>TEXT(B634,"mmm")</x:f>
        <x:v>Aug</x:v>
      </x:c>
      <x:c r="F634" s="84" t="str">
        <x:f>'Raw Sales'!C634</x:f>
        <x:v>CUST-0578</x:v>
      </x:c>
      <x:c r="G634" s="84" t="str">
        <x:f>PROPER(TRIM('Raw Sales'!D634))</x:f>
        <x:v>Priya Smith</x:v>
      </x:c>
      <x:c r="H634" s="84" t="str">
        <x:f>IF(TRIM('Raw Sales'!E634)="","Unknown",PROPER(TRIM('Raw Sales'!E634)))</x:f>
        <x:v>Corporate</x:v>
      </x:c>
      <x:c r="I634" s="84" t="str">
        <x:f>PROPER(TRIM('Raw Sales'!F634))</x:f>
        <x:v>Northeast</x:v>
      </x:c>
      <x:c r="J634" s="84" t="str">
        <x:f>PROPER(TRIM('Raw Sales'!G634))</x:f>
        <x:v>Newark</x:v>
      </x:c>
      <x:c r="K634" s="84" t="str">
        <x:f>PROPER(TRIM('Raw Sales'!H634))</x:f>
        <x:v>Online</x:v>
      </x:c>
      <x:c r="L634" s="84" t="str">
        <x:f>'Raw Sales'!I634</x:f>
        <x:v>HOME-004</x:v>
      </x:c>
      <x:c r="M634" s="84" t="str">
        <x:f>IFERROR(VLOOKUP(L634,'Reference Data'!$A$5:$F$40,2,FALSE),"Unknown Product")</x:f>
        <x:v>Coffee Maker</x:v>
      </x:c>
      <x:c r="N634" s="84" t="str">
        <x:f>IFERROR(VLOOKUP(L634,'Reference Data'!$A$5:$F$40,3,FALSE),"Unknown")</x:f>
        <x:v>Home &amp; Kitchen</x:v>
      </x:c>
      <x:c r="O634" s="84" t="str">
        <x:f>IFERROR(VLOOKUP(L634,'Reference Data'!$A$5:$F$40,4,FALSE),"Unknown")</x:f>
        <x:v>Small Appliances</x:v>
      </x:c>
      <x:c r="P634" s="92" t="n">
        <x:f>IFERROR(VLOOKUP(L634,'Reference Data'!$A$5:$F$40,5,FALSE),0)</x:f>
        <x:v>99</x:v>
      </x:c>
      <x:c r="Q634" s="92" t="n">
        <x:f>IFERROR(VLOOKUP(L634,'Reference Data'!$A$5:$F$40,6,FALSE),0)</x:f>
        <x:v>51</x:v>
      </x:c>
      <x:c r="R634" s="84" t="n">
        <x:f>'Raw Sales'!J634</x:f>
        <x:v>2</x:v>
      </x:c>
      <x:c r="S634" s="87" t="n">
        <x:f>'Raw Sales'!K634</x:f>
        <x:v>0.1</x:v>
      </x:c>
      <x:c r="T634" s="93" t="n">
        <x:f>P634*R634</x:f>
        <x:v>198</x:v>
      </x:c>
      <x:c r="U634" s="93" t="n">
        <x:f>T634*S634</x:f>
        <x:v>19.8</x:v>
      </x:c>
      <x:c r="V634" s="93" t="str">
        <x:f>PROPER(TRIM('Raw Sales'!L634))</x:f>
        <x:v>Completed</x:v>
      </x:c>
      <x:c r="W634" s="93" t="n">
        <x:f>IF(V634="Returned",0,T634-U634)</x:f>
        <x:v>178.2</x:v>
      </x:c>
      <x:c r="X634" s="93" t="n">
        <x:f>IF(V634="Returned",Q634*R634*10%,Q634*R634)</x:f>
        <x:v>102</x:v>
      </x:c>
      <x:c r="Y634" s="93" t="n">
        <x:f>W634-X634</x:f>
        <x:v>76.19999999999999</x:v>
      </x:c>
      <x:c r="Z634" s="94" t="n">
        <x:f>IFERROR(Y634/W634,0)</x:f>
        <x:v>0.42760942760942755</x:v>
      </x:c>
      <x:c r="AA634" s="84" t="str">
        <x:f>PROPER(TRIM('Raw Sales'!M634))</x:f>
        <x:v>Credit Card</x:v>
      </x:c>
      <x:c r="AB634" s="84" t="str">
        <x:f>PROPER(TRIM('Raw Sales'!N634))</x:f>
        <x:v>Ethan Cole</x:v>
      </x:c>
      <x:c r="AC634" s="85" t="n">
        <x:f>'Raw Sales'!O634</x:f>
        <x:v>45528</x:v>
      </x:c>
      <x:c r="AD634" s="84" t="n">
        <x:f>AC634-B634</x:f>
        <x:v>3</x:v>
      </x:c>
      <x:c r="AE634" s="84" t="str">
        <x:f>IF(COUNTIF($A$5:A634,A634)&gt;1,"Duplicate","Keep")</x:f>
        <x:v>Keep</x:v>
      </x:c>
      <x:c r="AF634" s="84" t="str">
        <x:f>IF(OR(R634&lt;=0,AC634&lt;B634,H634="Unknown",M634="Unknown Product"),"Review","Valid")</x:f>
        <x:v>Valid</x:v>
      </x:c>
      <x:c r="AG634" s="84" t="n">
        <x:f>IF(AND(AE634="Keep",AF634="Valid"),1,0)</x:f>
        <x:v>1</x:v>
      </x:c>
      <x:c r="AH634" s="84" t="n">
        <x:f>IF(AND(AG634=1,OR('Dashboard'!$B$4="All",I634='Dashboard'!$B$4),OR('Dashboard'!$E$4="All",N634='Dashboard'!$E$4),OR('Dashboard'!$H$4="All",K634='Dashboard'!$H$4),OR('Dashboard'!$K$4="All",C634='Dashboard'!$K$4)),1,0)</x:f>
        <x:v>1</x:v>
      </x:c>
      <x:c r="AI634" s="84" t="n">
        <x:f>IF(AND(AG634=1,OR('Dashboard'!$B$4="All",I634='Dashboard'!$B$4),OR('Dashboard'!$E$4="All",N634='Dashboard'!$E$4),OR('Dashboard'!$H$4="All",K634='Dashboard'!$H$4)),1,0)</x:f>
        <x:v>1</x:v>
      </x:c>
    </x:row>
    <x:row r="635">
      <x:c r="A635" s="84" t="str">
        <x:f>'Raw Sales'!A635</x:f>
        <x:v>ORD-2024-01872</x:v>
      </x:c>
      <x:c r="B635" s="85" t="n">
        <x:f>'Raw Sales'!B635</x:f>
        <x:v>45525</x:v>
      </x:c>
      <x:c r="C635" s="84" t="n">
        <x:f>YEAR(B635)</x:f>
        <x:v>2024</x:v>
      </x:c>
      <x:c r="D635" s="91" t="n">
        <x:f>DATE(YEAR(B635),MONTH(B635),1)</x:f>
        <x:v>45505</x:v>
      </x:c>
      <x:c r="E635" s="84" t="str">
        <x:f>TEXT(B635,"mmm")</x:f>
        <x:v>Aug</x:v>
      </x:c>
      <x:c r="F635" s="84" t="str">
        <x:f>'Raw Sales'!C635</x:f>
        <x:v>CUST-0149</x:v>
      </x:c>
      <x:c r="G635" s="84" t="str">
        <x:f>PROPER(TRIM('Raw Sales'!D635))</x:f>
        <x:v>Caleb Baker</x:v>
      </x:c>
      <x:c r="H635" s="84" t="str">
        <x:f>IF(TRIM('Raw Sales'!E635)="","Unknown",PROPER(TRIM('Raw Sales'!E635)))</x:f>
        <x:v>Consumer</x:v>
      </x:c>
      <x:c r="I635" s="84" t="str">
        <x:f>PROPER(TRIM('Raw Sales'!F635))</x:f>
        <x:v>Midwest</x:v>
      </x:c>
      <x:c r="J635" s="84" t="str">
        <x:f>PROPER(TRIM('Raw Sales'!G635))</x:f>
        <x:v>Detroit</x:v>
      </x:c>
      <x:c r="K635" s="84" t="str">
        <x:f>PROPER(TRIM('Raw Sales'!H635))</x:f>
        <x:v>Retail Store</x:v>
      </x:c>
      <x:c r="L635" s="84" t="str">
        <x:f>'Raw Sales'!I635</x:f>
        <x:v>FITN-006</x:v>
      </x:c>
      <x:c r="M635" s="84" t="str">
        <x:f>IFERROR(VLOOKUP(L635,'Reference Data'!$A$5:$F$40,2,FALSE),"Unknown Product")</x:f>
        <x:v>Foam Roller</x:v>
      </x:c>
      <x:c r="N635" s="84" t="str">
        <x:f>IFERROR(VLOOKUP(L635,'Reference Data'!$A$5:$F$40,3,FALSE),"Unknown")</x:f>
        <x:v>Fitness</x:v>
      </x:c>
      <x:c r="O635" s="84" t="str">
        <x:f>IFERROR(VLOOKUP(L635,'Reference Data'!$A$5:$F$40,4,FALSE),"Unknown")</x:f>
        <x:v>Recovery</x:v>
      </x:c>
      <x:c r="P635" s="92" t="n">
        <x:f>IFERROR(VLOOKUP(L635,'Reference Data'!$A$5:$F$40,5,FALSE),0)</x:f>
        <x:v>31</x:v>
      </x:c>
      <x:c r="Q635" s="92" t="n">
        <x:f>IFERROR(VLOOKUP(L635,'Reference Data'!$A$5:$F$40,6,FALSE),0)</x:f>
        <x:v>12</x:v>
      </x:c>
      <x:c r="R635" s="84" t="n">
        <x:f>'Raw Sales'!J635</x:f>
        <x:v>1</x:v>
      </x:c>
      <x:c r="S635" s="87" t="n">
        <x:f>'Raw Sales'!K635</x:f>
        <x:v>0.2</x:v>
      </x:c>
      <x:c r="T635" s="93" t="n">
        <x:f>P635*R635</x:f>
        <x:v>31</x:v>
      </x:c>
      <x:c r="U635" s="93" t="n">
        <x:f>T635*S635</x:f>
        <x:v>6.2</x:v>
      </x:c>
      <x:c r="V635" s="93" t="str">
        <x:f>PROPER(TRIM('Raw Sales'!L635))</x:f>
        <x:v>Completed</x:v>
      </x:c>
      <x:c r="W635" s="93" t="n">
        <x:f>IF(V635="Returned",0,T635-U635)</x:f>
        <x:v>24.8</x:v>
      </x:c>
      <x:c r="X635" s="93" t="n">
        <x:f>IF(V635="Returned",Q635*R635*10%,Q635*R635)</x:f>
        <x:v>12</x:v>
      </x:c>
      <x:c r="Y635" s="93" t="n">
        <x:f>W635-X635</x:f>
        <x:v>12.8</x:v>
      </x:c>
      <x:c r="Z635" s="94" t="n">
        <x:f>IFERROR(Y635/W635,0)</x:f>
        <x:v>0.5161290322580645</x:v>
      </x:c>
      <x:c r="AA635" s="84" t="str">
        <x:f>PROPER(TRIM('Raw Sales'!M635))</x:f>
        <x:v>Credit Card</x:v>
      </x:c>
      <x:c r="AB635" s="84" t="str">
        <x:f>PROPER(TRIM('Raw Sales'!N635))</x:f>
        <x:v>Emma Hayes</x:v>
      </x:c>
      <x:c r="AC635" s="85" t="n">
        <x:f>'Raw Sales'!O635</x:f>
        <x:v>45525</x:v>
      </x:c>
      <x:c r="AD635" s="84" t="n">
        <x:f>AC635-B635</x:f>
        <x:v>0</x:v>
      </x:c>
      <x:c r="AE635" s="84" t="str">
        <x:f>IF(COUNTIF($A$5:A635,A635)&gt;1,"Duplicate","Keep")</x:f>
        <x:v>Keep</x:v>
      </x:c>
      <x:c r="AF635" s="84" t="str">
        <x:f>IF(OR(R635&lt;=0,AC635&lt;B635,H635="Unknown",M635="Unknown Product"),"Review","Valid")</x:f>
        <x:v>Valid</x:v>
      </x:c>
      <x:c r="AG635" s="84" t="n">
        <x:f>IF(AND(AE635="Keep",AF635="Valid"),1,0)</x:f>
        <x:v>1</x:v>
      </x:c>
      <x:c r="AH635" s="84" t="n">
        <x:f>IF(AND(AG635=1,OR('Dashboard'!$B$4="All",I635='Dashboard'!$B$4),OR('Dashboard'!$E$4="All",N635='Dashboard'!$E$4),OR('Dashboard'!$H$4="All",K635='Dashboard'!$H$4),OR('Dashboard'!$K$4="All",C635='Dashboard'!$K$4)),1,0)</x:f>
        <x:v>1</x:v>
      </x:c>
      <x:c r="AI635" s="84" t="n">
        <x:f>IF(AND(AG635=1,OR('Dashboard'!$B$4="All",I635='Dashboard'!$B$4),OR('Dashboard'!$E$4="All",N635='Dashboard'!$E$4),OR('Dashboard'!$H$4="All",K635='Dashboard'!$H$4)),1,0)</x:f>
        <x:v>1</x:v>
      </x:c>
    </x:row>
    <x:row r="636">
      <x:c r="A636" s="84" t="str">
        <x:f>'Raw Sales'!A636</x:f>
        <x:v>ORD-2024-02104</x:v>
      </x:c>
      <x:c r="B636" s="85" t="n">
        <x:f>'Raw Sales'!B636</x:f>
        <x:v>45525</x:v>
      </x:c>
      <x:c r="C636" s="84" t="n">
        <x:f>YEAR(B636)</x:f>
        <x:v>2024</x:v>
      </x:c>
      <x:c r="D636" s="91" t="n">
        <x:f>DATE(YEAR(B636),MONTH(B636),1)</x:f>
        <x:v>45505</x:v>
      </x:c>
      <x:c r="E636" s="84" t="str">
        <x:f>TEXT(B636,"mmm")</x:f>
        <x:v>Aug</x:v>
      </x:c>
      <x:c r="F636" s="84" t="str">
        <x:f>'Raw Sales'!C636</x:f>
        <x:v>CUST-0119</x:v>
      </x:c>
      <x:c r="G636" s="84" t="str">
        <x:f>PROPER(TRIM('Raw Sales'!D636))</x:f>
        <x:v>Grace Nelson</x:v>
      </x:c>
      <x:c r="H636" s="84" t="str">
        <x:f>IF(TRIM('Raw Sales'!E636)="","Unknown",PROPER(TRIM('Raw Sales'!E636)))</x:f>
        <x:v>Small Business</x:v>
      </x:c>
      <x:c r="I636" s="84" t="str">
        <x:f>PROPER(TRIM('Raw Sales'!F636))</x:f>
        <x:v>West</x:v>
      </x:c>
      <x:c r="J636" s="84" t="str">
        <x:f>PROPER(TRIM('Raw Sales'!G636))</x:f>
        <x:v>Denver</x:v>
      </x:c>
      <x:c r="K636" s="84" t="str">
        <x:f>PROPER(TRIM('Raw Sales'!H636))</x:f>
        <x:v>Marketplace</x:v>
      </x:c>
      <x:c r="L636" s="84" t="str">
        <x:f>'Raw Sales'!I636</x:f>
        <x:v>CARE-002</x:v>
      </x:c>
      <x:c r="M636" s="84" t="str">
        <x:f>IFERROR(VLOOKUP(L636,'Reference Data'!$A$5:$F$40,2,FALSE),"Unknown Product")</x:f>
        <x:v>Rechargeable Trimmer</x:v>
      </x:c>
      <x:c r="N636" s="84" t="str">
        <x:f>IFERROR(VLOOKUP(L636,'Reference Data'!$A$5:$F$40,3,FALSE),"Unknown")</x:f>
        <x:v>Personal Care</x:v>
      </x:c>
      <x:c r="O636" s="84" t="str">
        <x:f>IFERROR(VLOOKUP(L636,'Reference Data'!$A$5:$F$40,4,FALSE),"Unknown")</x:f>
        <x:v>Grooming</x:v>
      </x:c>
      <x:c r="P636" s="92" t="n">
        <x:f>IFERROR(VLOOKUP(L636,'Reference Data'!$A$5:$F$40,5,FALSE),0)</x:f>
        <x:v>45</x:v>
      </x:c>
      <x:c r="Q636" s="92" t="n">
        <x:f>IFERROR(VLOOKUP(L636,'Reference Data'!$A$5:$F$40,6,FALSE),0)</x:f>
        <x:v>19</x:v>
      </x:c>
      <x:c r="R636" s="84" t="n">
        <x:f>'Raw Sales'!J636</x:f>
        <x:v>1</x:v>
      </x:c>
      <x:c r="S636" s="87" t="n">
        <x:f>'Raw Sales'!K636</x:f>
        <x:v>0.1</x:v>
      </x:c>
      <x:c r="T636" s="93" t="n">
        <x:f>P636*R636</x:f>
        <x:v>45</x:v>
      </x:c>
      <x:c r="U636" s="93" t="n">
        <x:f>T636*S636</x:f>
        <x:v>4.5</x:v>
      </x:c>
      <x:c r="V636" s="93" t="str">
        <x:f>PROPER(TRIM('Raw Sales'!L636))</x:f>
        <x:v>Completed</x:v>
      </x:c>
      <x:c r="W636" s="93" t="n">
        <x:f>IF(V636="Returned",0,T636-U636)</x:f>
        <x:v>40.5</x:v>
      </x:c>
      <x:c r="X636" s="93" t="n">
        <x:f>IF(V636="Returned",Q636*R636*10%,Q636*R636)</x:f>
        <x:v>19</x:v>
      </x:c>
      <x:c r="Y636" s="93" t="n">
        <x:f>W636-X636</x:f>
        <x:v>21.5</x:v>
      </x:c>
      <x:c r="Z636" s="94" t="n">
        <x:f>IFERROR(Y636/W636,0)</x:f>
        <x:v>0.5308641975308642</x:v>
      </x:c>
      <x:c r="AA636" s="84" t="str">
        <x:f>PROPER(TRIM('Raw Sales'!M636))</x:f>
        <x:v>Credit Card</x:v>
      </x:c>
      <x:c r="AB636" s="84" t="str">
        <x:f>PROPER(TRIM('Raw Sales'!N636))</x:f>
        <x:v>Mia Chen</x:v>
      </x:c>
      <x:c r="AC636" s="85" t="n">
        <x:f>'Raw Sales'!O636</x:f>
        <x:v>45531</x:v>
      </x:c>
      <x:c r="AD636" s="84" t="n">
        <x:f>AC636-B636</x:f>
        <x:v>6</x:v>
      </x:c>
      <x:c r="AE636" s="84" t="str">
        <x:f>IF(COUNTIF($A$5:A636,A636)&gt;1,"Duplicate","Keep")</x:f>
        <x:v>Keep</x:v>
      </x:c>
      <x:c r="AF636" s="84" t="str">
        <x:f>IF(OR(R636&lt;=0,AC636&lt;B636,H636="Unknown",M636="Unknown Product"),"Review","Valid")</x:f>
        <x:v>Valid</x:v>
      </x:c>
      <x:c r="AG636" s="84" t="n">
        <x:f>IF(AND(AE636="Keep",AF636="Valid"),1,0)</x:f>
        <x:v>1</x:v>
      </x:c>
      <x:c r="AH636" s="84" t="n">
        <x:f>IF(AND(AG636=1,OR('Dashboard'!$B$4="All",I636='Dashboard'!$B$4),OR('Dashboard'!$E$4="All",N636='Dashboard'!$E$4),OR('Dashboard'!$H$4="All",K636='Dashboard'!$H$4),OR('Dashboard'!$K$4="All",C636='Dashboard'!$K$4)),1,0)</x:f>
        <x:v>1</x:v>
      </x:c>
      <x:c r="AI636" s="84" t="n">
        <x:f>IF(AND(AG636=1,OR('Dashboard'!$B$4="All",I636='Dashboard'!$B$4),OR('Dashboard'!$E$4="All",N636='Dashboard'!$E$4),OR('Dashboard'!$H$4="All",K636='Dashboard'!$H$4)),1,0)</x:f>
        <x:v>1</x:v>
      </x:c>
    </x:row>
    <x:row r="637">
      <x:c r="A637" s="84" t="str">
        <x:f>'Raw Sales'!A637</x:f>
        <x:v>ORD-2024-02120</x:v>
      </x:c>
      <x:c r="B637" s="85" t="n">
        <x:f>'Raw Sales'!B637</x:f>
        <x:v>45525</x:v>
      </x:c>
      <x:c r="C637" s="84" t="n">
        <x:f>YEAR(B637)</x:f>
        <x:v>2024</x:v>
      </x:c>
      <x:c r="D637" s="91" t="n">
        <x:f>DATE(YEAR(B637),MONTH(B637),1)</x:f>
        <x:v>45505</x:v>
      </x:c>
      <x:c r="E637" s="84" t="str">
        <x:f>TEXT(B637,"mmm")</x:f>
        <x:v>Aug</x:v>
      </x:c>
      <x:c r="F637" s="84" t="str">
        <x:f>'Raw Sales'!C637</x:f>
        <x:v>CUST-0285</x:v>
      </x:c>
      <x:c r="G637" s="84" t="str">
        <x:f>PROPER(TRIM('Raw Sales'!D637))</x:f>
        <x:v>Caleb Evans</x:v>
      </x:c>
      <x:c r="H637" s="84" t="str">
        <x:f>IF(TRIM('Raw Sales'!E637)="","Unknown",PROPER(TRIM('Raw Sales'!E637)))</x:f>
        <x:v>Consumer</x:v>
      </x:c>
      <x:c r="I637" s="84" t="str">
        <x:f>PROPER(TRIM('Raw Sales'!F637))</x:f>
        <x:v>Southeast</x:v>
      </x:c>
      <x:c r="J637" s="84" t="str">
        <x:f>PROPER(TRIM('Raw Sales'!G637))</x:f>
        <x:v>Charlotte</x:v>
      </x:c>
      <x:c r="K637" s="84" t="str">
        <x:f>PROPER(TRIM('Raw Sales'!H637))</x:f>
        <x:v>Marketplace</x:v>
      </x:c>
      <x:c r="L637" s="84" t="str">
        <x:f>'Raw Sales'!I637</x:f>
        <x:v>HOME-001</x:v>
      </x:c>
      <x:c r="M637" s="84" t="str">
        <x:f>IFERROR(VLOOKUP(L637,'Reference Data'!$A$5:$F$40,2,FALSE),"Unknown Product")</x:f>
        <x:v>Air Fryer</x:v>
      </x:c>
      <x:c r="N637" s="84" t="str">
        <x:f>IFERROR(VLOOKUP(L637,'Reference Data'!$A$5:$F$40,3,FALSE),"Unknown")</x:f>
        <x:v>Home &amp; Kitchen</x:v>
      </x:c>
      <x:c r="O637" s="84" t="str">
        <x:f>IFERROR(VLOOKUP(L637,'Reference Data'!$A$5:$F$40,4,FALSE),"Unknown")</x:f>
        <x:v>Small Appliances</x:v>
      </x:c>
      <x:c r="P637" s="92" t="n">
        <x:f>IFERROR(VLOOKUP(L637,'Reference Data'!$A$5:$F$40,5,FALSE),0)</x:f>
        <x:v>119</x:v>
      </x:c>
      <x:c r="Q637" s="92" t="n">
        <x:f>IFERROR(VLOOKUP(L637,'Reference Data'!$A$5:$F$40,6,FALSE),0)</x:f>
        <x:v>68</x:v>
      </x:c>
      <x:c r="R637" s="84" t="n">
        <x:f>'Raw Sales'!J637</x:f>
        <x:v>1</x:v>
      </x:c>
      <x:c r="S637" s="87" t="n">
        <x:f>'Raw Sales'!K637</x:f>
        <x:v>0.1</x:v>
      </x:c>
      <x:c r="T637" s="93" t="n">
        <x:f>P637*R637</x:f>
        <x:v>119</x:v>
      </x:c>
      <x:c r="U637" s="93" t="n">
        <x:f>T637*S637</x:f>
        <x:v>11.9</x:v>
      </x:c>
      <x:c r="V637" s="93" t="str">
        <x:f>PROPER(TRIM('Raw Sales'!L637))</x:f>
        <x:v>Completed</x:v>
      </x:c>
      <x:c r="W637" s="93" t="n">
        <x:f>IF(V637="Returned",0,T637-U637)</x:f>
        <x:v>107.1</x:v>
      </x:c>
      <x:c r="X637" s="93" t="n">
        <x:f>IF(V637="Returned",Q637*R637*10%,Q637*R637)</x:f>
        <x:v>68</x:v>
      </x:c>
      <x:c r="Y637" s="93" t="n">
        <x:f>W637-X637</x:f>
        <x:v>39.099999999999994</x:v>
      </x:c>
      <x:c r="Z637" s="94" t="n">
        <x:f>IFERROR(Y637/W637,0)</x:f>
        <x:v>0.36507936507936506</x:v>
      </x:c>
      <x:c r="AA637" s="84" t="str">
        <x:f>PROPER(TRIM('Raw Sales'!M637))</x:f>
        <x:v>Credit Card</x:v>
      </x:c>
      <x:c r="AB637" s="84" t="str">
        <x:f>PROPER(TRIM('Raw Sales'!N637))</x:f>
        <x:v>Liam Parker</x:v>
      </x:c>
      <x:c r="AC637" s="85" t="n">
        <x:f>'Raw Sales'!O637</x:f>
        <x:v>45533</x:v>
      </x:c>
      <x:c r="AD637" s="84" t="n">
        <x:f>AC637-B637</x:f>
        <x:v>8</x:v>
      </x:c>
      <x:c r="AE637" s="84" t="str">
        <x:f>IF(COUNTIF($A$5:A637,A637)&gt;1,"Duplicate","Keep")</x:f>
        <x:v>Keep</x:v>
      </x:c>
      <x:c r="AF637" s="84" t="str">
        <x:f>IF(OR(R637&lt;=0,AC637&lt;B637,H637="Unknown",M637="Unknown Product"),"Review","Valid")</x:f>
        <x:v>Valid</x:v>
      </x:c>
      <x:c r="AG637" s="84" t="n">
        <x:f>IF(AND(AE637="Keep",AF637="Valid"),1,0)</x:f>
        <x:v>1</x:v>
      </x:c>
      <x:c r="AH637" s="84" t="n">
        <x:f>IF(AND(AG637=1,OR('Dashboard'!$B$4="All",I637='Dashboard'!$B$4),OR('Dashboard'!$E$4="All",N637='Dashboard'!$E$4),OR('Dashboard'!$H$4="All",K637='Dashboard'!$H$4),OR('Dashboard'!$K$4="All",C637='Dashboard'!$K$4)),1,0)</x:f>
        <x:v>1</x:v>
      </x:c>
      <x:c r="AI637" s="84" t="n">
        <x:f>IF(AND(AG637=1,OR('Dashboard'!$B$4="All",I637='Dashboard'!$B$4),OR('Dashboard'!$E$4="All",N637='Dashboard'!$E$4),OR('Dashboard'!$H$4="All",K637='Dashboard'!$H$4)),1,0)</x:f>
        <x:v>1</x:v>
      </x:c>
    </x:row>
    <x:row r="638">
      <x:c r="A638" s="84" t="str">
        <x:f>'Raw Sales'!A638</x:f>
        <x:v>ORD-2024-02166</x:v>
      </x:c>
      <x:c r="B638" s="85" t="n">
        <x:f>'Raw Sales'!B638</x:f>
        <x:v>45525</x:v>
      </x:c>
      <x:c r="C638" s="84" t="n">
        <x:f>YEAR(B638)</x:f>
        <x:v>2024</x:v>
      </x:c>
      <x:c r="D638" s="91" t="n">
        <x:f>DATE(YEAR(B638),MONTH(B638),1)</x:f>
        <x:v>45505</x:v>
      </x:c>
      <x:c r="E638" s="84" t="str">
        <x:f>TEXT(B638,"mmm")</x:f>
        <x:v>Aug</x:v>
      </x:c>
      <x:c r="F638" s="84" t="str">
        <x:f>'Raw Sales'!C638</x:f>
        <x:v>CUST-0040</x:v>
      </x:c>
      <x:c r="G638" s="84" t="str">
        <x:f>PROPER(TRIM('Raw Sales'!D638))</x:f>
        <x:v>Elias Irwin</x:v>
      </x:c>
      <x:c r="H638" s="84" t="str">
        <x:f>IF(TRIM('Raw Sales'!E638)="","Unknown",PROPER(TRIM('Raw Sales'!E638)))</x:f>
        <x:v>Small Business</x:v>
      </x:c>
      <x:c r="I638" s="84" t="str">
        <x:f>PROPER(TRIM('Raw Sales'!F638))</x:f>
        <x:v>Southeast</x:v>
      </x:c>
      <x:c r="J638" s="84" t="str">
        <x:f>PROPER(TRIM('Raw Sales'!G638))</x:f>
        <x:v>Charlotte</x:v>
      </x:c>
      <x:c r="K638" s="84" t="str">
        <x:f>PROPER(TRIM('Raw Sales'!H638))</x:f>
        <x:v>Retail Store</x:v>
      </x:c>
      <x:c r="L638" s="84" t="str">
        <x:f>'Raw Sales'!I638</x:f>
        <x:v>FITN-004</x:v>
      </x:c>
      <x:c r="M638" s="84" t="str">
        <x:f>IFERROR(VLOOKUP(L638,'Reference Data'!$A$5:$F$40,2,FALSE),"Unknown Product")</x:f>
        <x:v>Fitness Tracker</x:v>
      </x:c>
      <x:c r="N638" s="84" t="str">
        <x:f>IFERROR(VLOOKUP(L638,'Reference Data'!$A$5:$F$40,3,FALSE),"Unknown")</x:f>
        <x:v>Fitness</x:v>
      </x:c>
      <x:c r="O638" s="84" t="str">
        <x:f>IFERROR(VLOOKUP(L638,'Reference Data'!$A$5:$F$40,4,FALSE),"Unknown")</x:f>
        <x:v>Wearables</x:v>
      </x:c>
      <x:c r="P638" s="92" t="n">
        <x:f>IFERROR(VLOOKUP(L638,'Reference Data'!$A$5:$F$40,5,FALSE),0)</x:f>
        <x:v>89</x:v>
      </x:c>
      <x:c r="Q638" s="92" t="n">
        <x:f>IFERROR(VLOOKUP(L638,'Reference Data'!$A$5:$F$40,6,FALSE),0)</x:f>
        <x:v>44</x:v>
      </x:c>
      <x:c r="R638" s="84" t="n">
        <x:f>'Raw Sales'!J638</x:f>
        <x:v>2</x:v>
      </x:c>
      <x:c r="S638" s="87" t="n">
        <x:f>'Raw Sales'!K638</x:f>
        <x:v>0.05</x:v>
      </x:c>
      <x:c r="T638" s="93" t="n">
        <x:f>P638*R638</x:f>
        <x:v>178</x:v>
      </x:c>
      <x:c r="U638" s="93" t="n">
        <x:f>T638*S638</x:f>
        <x:v>8.9</x:v>
      </x:c>
      <x:c r="V638" s="93" t="str">
        <x:f>PROPER(TRIM('Raw Sales'!L638))</x:f>
        <x:v>Completed</x:v>
      </x:c>
      <x:c r="W638" s="93" t="n">
        <x:f>IF(V638="Returned",0,T638-U638)</x:f>
        <x:v>169.1</x:v>
      </x:c>
      <x:c r="X638" s="93" t="n">
        <x:f>IF(V638="Returned",Q638*R638*10%,Q638*R638)</x:f>
        <x:v>88</x:v>
      </x:c>
      <x:c r="Y638" s="93" t="n">
        <x:f>W638-X638</x:f>
        <x:v>81.1</x:v>
      </x:c>
      <x:c r="Z638" s="94" t="n">
        <x:f>IFERROR(Y638/W638,0)</x:f>
        <x:v>0.47959787108219987</x:v>
      </x:c>
      <x:c r="AA638" s="84" t="str">
        <x:f>PROPER(TRIM('Raw Sales'!M638))</x:f>
        <x:v>Debit Card</x:v>
      </x:c>
      <x:c r="AB638" s="84" t="str">
        <x:f>PROPER(TRIM('Raw Sales'!N638))</x:f>
        <x:v>Ava Mitchell</x:v>
      </x:c>
      <x:c r="AC638" s="85" t="n">
        <x:f>'Raw Sales'!O638</x:f>
        <x:v>45525</x:v>
      </x:c>
      <x:c r="AD638" s="84" t="n">
        <x:f>AC638-B638</x:f>
        <x:v>0</x:v>
      </x:c>
      <x:c r="AE638" s="84" t="str">
        <x:f>IF(COUNTIF($A$5:A638,A638)&gt;1,"Duplicate","Keep")</x:f>
        <x:v>Keep</x:v>
      </x:c>
      <x:c r="AF638" s="84" t="str">
        <x:f>IF(OR(R638&lt;=0,AC638&lt;B638,H638="Unknown",M638="Unknown Product"),"Review","Valid")</x:f>
        <x:v>Valid</x:v>
      </x:c>
      <x:c r="AG638" s="84" t="n">
        <x:f>IF(AND(AE638="Keep",AF638="Valid"),1,0)</x:f>
        <x:v>1</x:v>
      </x:c>
      <x:c r="AH638" s="84" t="n">
        <x:f>IF(AND(AG638=1,OR('Dashboard'!$B$4="All",I638='Dashboard'!$B$4),OR('Dashboard'!$E$4="All",N638='Dashboard'!$E$4),OR('Dashboard'!$H$4="All",K638='Dashboard'!$H$4),OR('Dashboard'!$K$4="All",C638='Dashboard'!$K$4)),1,0)</x:f>
        <x:v>1</x:v>
      </x:c>
      <x:c r="AI638" s="84" t="n">
        <x:f>IF(AND(AG638=1,OR('Dashboard'!$B$4="All",I638='Dashboard'!$B$4),OR('Dashboard'!$E$4="All",N638='Dashboard'!$E$4),OR('Dashboard'!$H$4="All",K638='Dashboard'!$H$4)),1,0)</x:f>
        <x:v>1</x:v>
      </x:c>
    </x:row>
    <x:row r="639">
      <x:c r="A639" s="84" t="str">
        <x:f>'Raw Sales'!A639</x:f>
        <x:v>ORD-2024-00038</x:v>
      </x:c>
      <x:c r="B639" s="85" t="n">
        <x:f>'Raw Sales'!B639</x:f>
        <x:v>45526</x:v>
      </x:c>
      <x:c r="C639" s="84" t="n">
        <x:f>YEAR(B639)</x:f>
        <x:v>2024</x:v>
      </x:c>
      <x:c r="D639" s="91" t="n">
        <x:f>DATE(YEAR(B639),MONTH(B639),1)</x:f>
        <x:v>45505</x:v>
      </x:c>
      <x:c r="E639" s="84" t="str">
        <x:f>TEXT(B639,"mmm")</x:f>
        <x:v>Aug</x:v>
      </x:c>
      <x:c r="F639" s="84" t="str">
        <x:f>'Raw Sales'!C639</x:f>
        <x:v>CUST-0054</x:v>
      </x:c>
      <x:c r="G639" s="84" t="str">
        <x:f>PROPER(TRIM('Raw Sales'!D639))</x:f>
        <x:v>Priya Roberts</x:v>
      </x:c>
      <x:c r="H639" s="84" t="str">
        <x:f>IF(TRIM('Raw Sales'!E639)="","Unknown",PROPER(TRIM('Raw Sales'!E639)))</x:f>
        <x:v>Consumer</x:v>
      </x:c>
      <x:c r="I639" s="84" t="str">
        <x:f>PROPER(TRIM('Raw Sales'!F639))</x:f>
        <x:v>West</x:v>
      </x:c>
      <x:c r="J639" s="84" t="str">
        <x:f>PROPER(TRIM('Raw Sales'!G639))</x:f>
        <x:v>Phoenix</x:v>
      </x:c>
      <x:c r="K639" s="84" t="str">
        <x:f>PROPER(TRIM('Raw Sales'!H639))</x:f>
        <x:v>Online</x:v>
      </x:c>
      <x:c r="L639" s="84" t="str">
        <x:f>'Raw Sales'!I639</x:f>
        <x:v>OFFC-001</x:v>
      </x:c>
      <x:c r="M639" s="84" t="str">
        <x:f>IFERROR(VLOOKUP(L639,'Reference Data'!$A$5:$F$40,2,FALSE),"Unknown Product")</x:f>
        <x:v>Ergonomic Chair</x:v>
      </x:c>
      <x:c r="N639" s="84" t="str">
        <x:f>IFERROR(VLOOKUP(L639,'Reference Data'!$A$5:$F$40,3,FALSE),"Unknown")</x:f>
        <x:v>Office</x:v>
      </x:c>
      <x:c r="O639" s="84" t="str">
        <x:f>IFERROR(VLOOKUP(L639,'Reference Data'!$A$5:$F$40,4,FALSE),"Unknown")</x:f>
        <x:v>Furniture</x:v>
      </x:c>
      <x:c r="P639" s="92" t="n">
        <x:f>IFERROR(VLOOKUP(L639,'Reference Data'!$A$5:$F$40,5,FALSE),0)</x:f>
        <x:v>249</x:v>
      </x:c>
      <x:c r="Q639" s="92" t="n">
        <x:f>IFERROR(VLOOKUP(L639,'Reference Data'!$A$5:$F$40,6,FALSE),0)</x:f>
        <x:v>145</x:v>
      </x:c>
      <x:c r="R639" s="84" t="n">
        <x:f>'Raw Sales'!J639</x:f>
        <x:v>1</x:v>
      </x:c>
      <x:c r="S639" s="87" t="n">
        <x:f>'Raw Sales'!K639</x:f>
        <x:v>0</x:v>
      </x:c>
      <x:c r="T639" s="93" t="n">
        <x:f>P639*R639</x:f>
        <x:v>249</x:v>
      </x:c>
      <x:c r="U639" s="93" t="n">
        <x:f>T639*S639</x:f>
        <x:v>0</x:v>
      </x:c>
      <x:c r="V639" s="93" t="str">
        <x:f>PROPER(TRIM('Raw Sales'!L639))</x:f>
        <x:v>Completed</x:v>
      </x:c>
      <x:c r="W639" s="93" t="n">
        <x:f>IF(V639="Returned",0,T639-U639)</x:f>
        <x:v>249</x:v>
      </x:c>
      <x:c r="X639" s="93" t="n">
        <x:f>IF(V639="Returned",Q639*R639*10%,Q639*R639)</x:f>
        <x:v>145</x:v>
      </x:c>
      <x:c r="Y639" s="93" t="n">
        <x:f>W639-X639</x:f>
        <x:v>104</x:v>
      </x:c>
      <x:c r="Z639" s="94" t="n">
        <x:f>IFERROR(Y639/W639,0)</x:f>
        <x:v>0.41767068273092367</x:v>
      </x:c>
      <x:c r="AA639" s="84" t="str">
        <x:f>PROPER(TRIM('Raw Sales'!M639))</x:f>
        <x:v>Debit Card</x:v>
      </x:c>
      <x:c r="AB639" s="84" t="str">
        <x:f>PROPER(TRIM('Raw Sales'!N639))</x:f>
        <x:v>Mia Chen</x:v>
      </x:c>
      <x:c r="AC639" s="85" t="n">
        <x:f>'Raw Sales'!O639</x:f>
        <x:v>45530</x:v>
      </x:c>
      <x:c r="AD639" s="84" t="n">
        <x:f>AC639-B639</x:f>
        <x:v>4</x:v>
      </x:c>
      <x:c r="AE639" s="84" t="str">
        <x:f>IF(COUNTIF($A$5:A639,A639)&gt;1,"Duplicate","Keep")</x:f>
        <x:v>Keep</x:v>
      </x:c>
      <x:c r="AF639" s="84" t="str">
        <x:f>IF(OR(R639&lt;=0,AC639&lt;B639,H639="Unknown",M639="Unknown Product"),"Review","Valid")</x:f>
        <x:v>Valid</x:v>
      </x:c>
      <x:c r="AG639" s="84" t="n">
        <x:f>IF(AND(AE639="Keep",AF639="Valid"),1,0)</x:f>
        <x:v>1</x:v>
      </x:c>
      <x:c r="AH639" s="84" t="n">
        <x:f>IF(AND(AG639=1,OR('Dashboard'!$B$4="All",I639='Dashboard'!$B$4),OR('Dashboard'!$E$4="All",N639='Dashboard'!$E$4),OR('Dashboard'!$H$4="All",K639='Dashboard'!$H$4),OR('Dashboard'!$K$4="All",C639='Dashboard'!$K$4)),1,0)</x:f>
        <x:v>1</x:v>
      </x:c>
      <x:c r="AI639" s="84" t="n">
        <x:f>IF(AND(AG639=1,OR('Dashboard'!$B$4="All",I639='Dashboard'!$B$4),OR('Dashboard'!$E$4="All",N639='Dashboard'!$E$4),OR('Dashboard'!$H$4="All",K639='Dashboard'!$H$4)),1,0)</x:f>
        <x:v>1</x:v>
      </x:c>
    </x:row>
    <x:row r="640">
      <x:c r="A640" s="84" t="str">
        <x:f>'Raw Sales'!A640</x:f>
        <x:v>ORD-2024-01552</x:v>
      </x:c>
      <x:c r="B640" s="85" t="n">
        <x:f>'Raw Sales'!B640</x:f>
        <x:v>45526</x:v>
      </x:c>
      <x:c r="C640" s="84" t="n">
        <x:f>YEAR(B640)</x:f>
        <x:v>2024</x:v>
      </x:c>
      <x:c r="D640" s="91" t="n">
        <x:f>DATE(YEAR(B640),MONTH(B640),1)</x:f>
        <x:v>45505</x:v>
      </x:c>
      <x:c r="E640" s="84" t="str">
        <x:f>TEXT(B640,"mmm")</x:f>
        <x:v>Aug</x:v>
      </x:c>
      <x:c r="F640" s="84" t="str">
        <x:f>'Raw Sales'!C640</x:f>
        <x:v>CUST-0282</x:v>
      </x:c>
      <x:c r="G640" s="84" t="str">
        <x:f>PROPER(TRIM('Raw Sales'!D640))</x:f>
        <x:v>Caleb Carter</x:v>
      </x:c>
      <x:c r="H640" s="84" t="str">
        <x:f>IF(TRIM('Raw Sales'!E640)="","Unknown",PROPER(TRIM('Raw Sales'!E640)))</x:f>
        <x:v>Consumer</x:v>
      </x:c>
      <x:c r="I640" s="84" t="str">
        <x:f>PROPER(TRIM('Raw Sales'!F640))</x:f>
        <x:v>Northeast</x:v>
      </x:c>
      <x:c r="J640" s="84" t="str">
        <x:f>PROPER(TRIM('Raw Sales'!G640))</x:f>
        <x:v>Boston</x:v>
      </x:c>
      <x:c r="K640" s="84" t="str">
        <x:f>PROPER(TRIM('Raw Sales'!H640))</x:f>
        <x:v>Online</x:v>
      </x:c>
      <x:c r="L640" s="84" t="str">
        <x:f>'Raw Sales'!I640</x:f>
        <x:v>HOME-006</x:v>
      </x:c>
      <x:c r="M640" s="84" t="str">
        <x:f>IFERROR(VLOOKUP(L640,'Reference Data'!$A$5:$F$40,2,FALSE),"Unknown Product")</x:f>
        <x:v>Food Storage Set</x:v>
      </x:c>
      <x:c r="N640" s="84" t="str">
        <x:f>IFERROR(VLOOKUP(L640,'Reference Data'!$A$5:$F$40,3,FALSE),"Unknown")</x:f>
        <x:v>Home &amp; Kitchen</x:v>
      </x:c>
      <x:c r="O640" s="84" t="str">
        <x:f>IFERROR(VLOOKUP(L640,'Reference Data'!$A$5:$F$40,4,FALSE),"Unknown")</x:f>
        <x:v>Kitchenware</x:v>
      </x:c>
      <x:c r="P640" s="92" t="n">
        <x:f>IFERROR(VLOOKUP(L640,'Reference Data'!$A$5:$F$40,5,FALSE),0)</x:f>
        <x:v>34</x:v>
      </x:c>
      <x:c r="Q640" s="92" t="n">
        <x:f>IFERROR(VLOOKUP(L640,'Reference Data'!$A$5:$F$40,6,FALSE),0)</x:f>
        <x:v>15</x:v>
      </x:c>
      <x:c r="R640" s="84" t="n">
        <x:f>'Raw Sales'!J640</x:f>
        <x:v>1</x:v>
      </x:c>
      <x:c r="S640" s="87" t="n">
        <x:f>'Raw Sales'!K640</x:f>
        <x:v>0</x:v>
      </x:c>
      <x:c r="T640" s="93" t="n">
        <x:f>P640*R640</x:f>
        <x:v>34</x:v>
      </x:c>
      <x:c r="U640" s="93" t="n">
        <x:f>T640*S640</x:f>
        <x:v>0</x:v>
      </x:c>
      <x:c r="V640" s="93" t="str">
        <x:f>PROPER(TRIM('Raw Sales'!L640))</x:f>
        <x:v>Completed</x:v>
      </x:c>
      <x:c r="W640" s="93" t="n">
        <x:f>IF(V640="Returned",0,T640-U640)</x:f>
        <x:v>34</x:v>
      </x:c>
      <x:c r="X640" s="93" t="n">
        <x:f>IF(V640="Returned",Q640*R640*10%,Q640*R640)</x:f>
        <x:v>15</x:v>
      </x:c>
      <x:c r="Y640" s="93" t="n">
        <x:f>W640-X640</x:f>
        <x:v>19</x:v>
      </x:c>
      <x:c r="Z640" s="94" t="n">
        <x:f>IFERROR(Y640/W640,0)</x:f>
        <x:v>0.5588235294117647</x:v>
      </x:c>
      <x:c r="AA640" s="84" t="str">
        <x:f>PROPER(TRIM('Raw Sales'!M640))</x:f>
        <x:v>Debit Card</x:v>
      </x:c>
      <x:c r="AB640" s="84" t="str">
        <x:f>PROPER(TRIM('Raw Sales'!N640))</x:f>
        <x:v>Sofia Bennett</x:v>
      </x:c>
      <x:c r="AC640" s="85" t="n">
        <x:f>'Raw Sales'!O640</x:f>
        <x:v>45532</x:v>
      </x:c>
      <x:c r="AD640" s="84" t="n">
        <x:f>AC640-B640</x:f>
        <x:v>6</x:v>
      </x:c>
      <x:c r="AE640" s="84" t="str">
        <x:f>IF(COUNTIF($A$5:A640,A640)&gt;1,"Duplicate","Keep")</x:f>
        <x:v>Keep</x:v>
      </x:c>
      <x:c r="AF640" s="84" t="str">
        <x:f>IF(OR(R640&lt;=0,AC640&lt;B640,H640="Unknown",M640="Unknown Product"),"Review","Valid")</x:f>
        <x:v>Valid</x:v>
      </x:c>
      <x:c r="AG640" s="84" t="n">
        <x:f>IF(AND(AE640="Keep",AF640="Valid"),1,0)</x:f>
        <x:v>1</x:v>
      </x:c>
      <x:c r="AH640" s="84" t="n">
        <x:f>IF(AND(AG640=1,OR('Dashboard'!$B$4="All",I640='Dashboard'!$B$4),OR('Dashboard'!$E$4="All",N640='Dashboard'!$E$4),OR('Dashboard'!$H$4="All",K640='Dashboard'!$H$4),OR('Dashboard'!$K$4="All",C640='Dashboard'!$K$4)),1,0)</x:f>
        <x:v>1</x:v>
      </x:c>
      <x:c r="AI640" s="84" t="n">
        <x:f>IF(AND(AG640=1,OR('Dashboard'!$B$4="All",I640='Dashboard'!$B$4),OR('Dashboard'!$E$4="All",N640='Dashboard'!$E$4),OR('Dashboard'!$H$4="All",K640='Dashboard'!$H$4)),1,0)</x:f>
        <x:v>1</x:v>
      </x:c>
    </x:row>
    <x:row r="641">
      <x:c r="A641" s="84" t="str">
        <x:f>'Raw Sales'!A641</x:f>
        <x:v>ORD-2024-01595</x:v>
      </x:c>
      <x:c r="B641" s="85" t="n">
        <x:f>'Raw Sales'!B641</x:f>
        <x:v>45526</x:v>
      </x:c>
      <x:c r="C641" s="84" t="n">
        <x:f>YEAR(B641)</x:f>
        <x:v>2024</x:v>
      </x:c>
      <x:c r="D641" s="91" t="n">
        <x:f>DATE(YEAR(B641),MONTH(B641),1)</x:f>
        <x:v>45505</x:v>
      </x:c>
      <x:c r="E641" s="84" t="str">
        <x:f>TEXT(B641,"mmm")</x:f>
        <x:v>Aug</x:v>
      </x:c>
      <x:c r="F641" s="84" t="str">
        <x:f>'Raw Sales'!C641</x:f>
        <x:v>CUST-0598</x:v>
      </x:c>
      <x:c r="G641" s="84" t="str">
        <x:f>PROPER(TRIM('Raw Sales'!D641))</x:f>
        <x:v>Amelia Evans</x:v>
      </x:c>
      <x:c r="H641" s="84" t="str">
        <x:f>IF(TRIM('Raw Sales'!E641)="","Unknown",PROPER(TRIM('Raw Sales'!E641)))</x:f>
        <x:v>Corporate</x:v>
      </x:c>
      <x:c r="I641" s="84" t="str">
        <x:f>PROPER(TRIM('Raw Sales'!F641))</x:f>
        <x:v>Southeast</x:v>
      </x:c>
      <x:c r="J641" s="84" t="str">
        <x:f>PROPER(TRIM('Raw Sales'!G641))</x:f>
        <x:v>Nashville</x:v>
      </x:c>
      <x:c r="K641" s="84" t="str">
        <x:f>PROPER(TRIM('Raw Sales'!H641))</x:f>
        <x:v>Online</x:v>
      </x:c>
      <x:c r="L641" s="84" t="str">
        <x:f>'Raw Sales'!I641</x:f>
        <x:v>ELEC-003</x:v>
      </x:c>
      <x:c r="M641" s="84" t="str">
        <x:f>IFERROR(VLOOKUP(L641,'Reference Data'!$A$5:$F$40,2,FALSE),"Unknown Product")</x:f>
        <x:v>Bluetooth Speaker</x:v>
      </x:c>
      <x:c r="N641" s="84" t="str">
        <x:f>IFERROR(VLOOKUP(L641,'Reference Data'!$A$5:$F$40,3,FALSE),"Unknown")</x:f>
        <x:v>Electronics</x:v>
      </x:c>
      <x:c r="O641" s="84" t="str">
        <x:f>IFERROR(VLOOKUP(L641,'Reference Data'!$A$5:$F$40,4,FALSE),"Unknown")</x:f>
        <x:v>Audio</x:v>
      </x:c>
      <x:c r="P641" s="92" t="n">
        <x:f>IFERROR(VLOOKUP(L641,'Reference Data'!$A$5:$F$40,5,FALSE),0)</x:f>
        <x:v>89</x:v>
      </x:c>
      <x:c r="Q641" s="92" t="n">
        <x:f>IFERROR(VLOOKUP(L641,'Reference Data'!$A$5:$F$40,6,FALSE),0)</x:f>
        <x:v>44</x:v>
      </x:c>
      <x:c r="R641" s="84" t="n">
        <x:f>'Raw Sales'!J641</x:f>
        <x:v>6</x:v>
      </x:c>
      <x:c r="S641" s="87" t="n">
        <x:f>'Raw Sales'!K641</x:f>
        <x:v>0</x:v>
      </x:c>
      <x:c r="T641" s="93" t="n">
        <x:f>P641*R641</x:f>
        <x:v>534</x:v>
      </x:c>
      <x:c r="U641" s="93" t="n">
        <x:f>T641*S641</x:f>
        <x:v>0</x:v>
      </x:c>
      <x:c r="V641" s="93" t="str">
        <x:f>PROPER(TRIM('Raw Sales'!L641))</x:f>
        <x:v>Completed</x:v>
      </x:c>
      <x:c r="W641" s="93" t="n">
        <x:f>IF(V641="Returned",0,T641-U641)</x:f>
        <x:v>534</x:v>
      </x:c>
      <x:c r="X641" s="93" t="n">
        <x:f>IF(V641="Returned",Q641*R641*10%,Q641*R641)</x:f>
        <x:v>264</x:v>
      </x:c>
      <x:c r="Y641" s="93" t="n">
        <x:f>W641-X641</x:f>
        <x:v>270</x:v>
      </x:c>
      <x:c r="Z641" s="94" t="n">
        <x:f>IFERROR(Y641/W641,0)</x:f>
        <x:v>0.5056179775280899</x:v>
      </x:c>
      <x:c r="AA641" s="84" t="str">
        <x:f>PROPER(TRIM('Raw Sales'!M641))</x:f>
        <x:v>Debit Card</x:v>
      </x:c>
      <x:c r="AB641" s="84" t="str">
        <x:f>PROPER(TRIM('Raw Sales'!N641))</x:f>
        <x:v>Noah Reed</x:v>
      </x:c>
      <x:c r="AC641" s="85" t="n">
        <x:f>'Raw Sales'!O641</x:f>
        <x:v>45532</x:v>
      </x:c>
      <x:c r="AD641" s="84" t="n">
        <x:f>AC641-B641</x:f>
        <x:v>6</x:v>
      </x:c>
      <x:c r="AE641" s="84" t="str">
        <x:f>IF(COUNTIF($A$5:A641,A641)&gt;1,"Duplicate","Keep")</x:f>
        <x:v>Keep</x:v>
      </x:c>
      <x:c r="AF641" s="84" t="str">
        <x:f>IF(OR(R641&lt;=0,AC641&lt;B641,H641="Unknown",M641="Unknown Product"),"Review","Valid")</x:f>
        <x:v>Valid</x:v>
      </x:c>
      <x:c r="AG641" s="84" t="n">
        <x:f>IF(AND(AE641="Keep",AF641="Valid"),1,0)</x:f>
        <x:v>1</x:v>
      </x:c>
      <x:c r="AH641" s="84" t="n">
        <x:f>IF(AND(AG641=1,OR('Dashboard'!$B$4="All",I641='Dashboard'!$B$4),OR('Dashboard'!$E$4="All",N641='Dashboard'!$E$4),OR('Dashboard'!$H$4="All",K641='Dashboard'!$H$4),OR('Dashboard'!$K$4="All",C641='Dashboard'!$K$4)),1,0)</x:f>
        <x:v>1</x:v>
      </x:c>
      <x:c r="AI641" s="84" t="n">
        <x:f>IF(AND(AG641=1,OR('Dashboard'!$B$4="All",I641='Dashboard'!$B$4),OR('Dashboard'!$E$4="All",N641='Dashboard'!$E$4),OR('Dashboard'!$H$4="All",K641='Dashboard'!$H$4)),1,0)</x:f>
        <x:v>1</x:v>
      </x:c>
    </x:row>
    <x:row r="642">
      <x:c r="A642" s="84" t="str">
        <x:f>'Raw Sales'!A642</x:f>
        <x:v>ORD-2024-01909</x:v>
      </x:c>
      <x:c r="B642" s="85" t="n">
        <x:f>'Raw Sales'!B642</x:f>
        <x:v>45526</x:v>
      </x:c>
      <x:c r="C642" s="84" t="n">
        <x:f>YEAR(B642)</x:f>
        <x:v>2024</x:v>
      </x:c>
      <x:c r="D642" s="91" t="n">
        <x:f>DATE(YEAR(B642),MONTH(B642),1)</x:f>
        <x:v>45505</x:v>
      </x:c>
      <x:c r="E642" s="84" t="str">
        <x:f>TEXT(B642,"mmm")</x:f>
        <x:v>Aug</x:v>
      </x:c>
      <x:c r="F642" s="84" t="str">
        <x:f>'Raw Sales'!C642</x:f>
        <x:v>CUST-0251</x:v>
      </x:c>
      <x:c r="G642" s="84" t="str">
        <x:f>PROPER(TRIM('Raw Sales'!D642))</x:f>
        <x:v>Isaac Patel</x:v>
      </x:c>
      <x:c r="H642" s="84" t="str">
        <x:f>IF(TRIM('Raw Sales'!E642)="","Unknown",PROPER(TRIM('Raw Sales'!E642)))</x:f>
        <x:v>Small Business</x:v>
      </x:c>
      <x:c r="I642" s="84" t="str">
        <x:f>PROPER(TRIM('Raw Sales'!F642))</x:f>
        <x:v>Southeast</x:v>
      </x:c>
      <x:c r="J642" s="84" t="str">
        <x:f>PROPER(TRIM('Raw Sales'!G642))</x:f>
        <x:v>Atlanta</x:v>
      </x:c>
      <x:c r="K642" s="84" t="str">
        <x:f>PROPER(TRIM('Raw Sales'!H642))</x:f>
        <x:v>Online</x:v>
      </x:c>
      <x:c r="L642" s="84" t="str">
        <x:f>'Raw Sales'!I642</x:f>
        <x:v>HOME-001</x:v>
      </x:c>
      <x:c r="M642" s="84" t="str">
        <x:f>IFERROR(VLOOKUP(L642,'Reference Data'!$A$5:$F$40,2,FALSE),"Unknown Product")</x:f>
        <x:v>Air Fryer</x:v>
      </x:c>
      <x:c r="N642" s="84" t="str">
        <x:f>IFERROR(VLOOKUP(L642,'Reference Data'!$A$5:$F$40,3,FALSE),"Unknown")</x:f>
        <x:v>Home &amp; Kitchen</x:v>
      </x:c>
      <x:c r="O642" s="84" t="str">
        <x:f>IFERROR(VLOOKUP(L642,'Reference Data'!$A$5:$F$40,4,FALSE),"Unknown")</x:f>
        <x:v>Small Appliances</x:v>
      </x:c>
      <x:c r="P642" s="92" t="n">
        <x:f>IFERROR(VLOOKUP(L642,'Reference Data'!$A$5:$F$40,5,FALSE),0)</x:f>
        <x:v>119</x:v>
      </x:c>
      <x:c r="Q642" s="92" t="n">
        <x:f>IFERROR(VLOOKUP(L642,'Reference Data'!$A$5:$F$40,6,FALSE),0)</x:f>
        <x:v>68</x:v>
      </x:c>
      <x:c r="R642" s="84" t="n">
        <x:f>'Raw Sales'!J642</x:f>
        <x:v>1</x:v>
      </x:c>
      <x:c r="S642" s="87" t="n">
        <x:f>'Raw Sales'!K642</x:f>
        <x:v>0</x:v>
      </x:c>
      <x:c r="T642" s="93" t="n">
        <x:f>P642*R642</x:f>
        <x:v>119</x:v>
      </x:c>
      <x:c r="U642" s="93" t="n">
        <x:f>T642*S642</x:f>
        <x:v>0</x:v>
      </x:c>
      <x:c r="V642" s="93" t="str">
        <x:f>PROPER(TRIM('Raw Sales'!L642))</x:f>
        <x:v>Completed</x:v>
      </x:c>
      <x:c r="W642" s="93" t="n">
        <x:f>IF(V642="Returned",0,T642-U642)</x:f>
        <x:v>119</x:v>
      </x:c>
      <x:c r="X642" s="93" t="n">
        <x:f>IF(V642="Returned",Q642*R642*10%,Q642*R642)</x:f>
        <x:v>68</x:v>
      </x:c>
      <x:c r="Y642" s="93" t="n">
        <x:f>W642-X642</x:f>
        <x:v>51</x:v>
      </x:c>
      <x:c r="Z642" s="94" t="n">
        <x:f>IFERROR(Y642/W642,0)</x:f>
        <x:v>0.42857142857142855</x:v>
      </x:c>
      <x:c r="AA642" s="84" t="str">
        <x:f>PROPER(TRIM('Raw Sales'!M642))</x:f>
        <x:v>Credit Card</x:v>
      </x:c>
      <x:c r="AB642" s="84" t="str">
        <x:f>PROPER(TRIM('Raw Sales'!N642))</x:f>
        <x:v>Liam Parker</x:v>
      </x:c>
      <x:c r="AC642" s="85" t="n">
        <x:f>'Raw Sales'!O642</x:f>
        <x:v>45529</x:v>
      </x:c>
      <x:c r="AD642" s="84" t="n">
        <x:f>AC642-B642</x:f>
        <x:v>3</x:v>
      </x:c>
      <x:c r="AE642" s="84" t="str">
        <x:f>IF(COUNTIF($A$5:A642,A642)&gt;1,"Duplicate","Keep")</x:f>
        <x:v>Keep</x:v>
      </x:c>
      <x:c r="AF642" s="84" t="str">
        <x:f>IF(OR(R642&lt;=0,AC642&lt;B642,H642="Unknown",M642="Unknown Product"),"Review","Valid")</x:f>
        <x:v>Valid</x:v>
      </x:c>
      <x:c r="AG642" s="84" t="n">
        <x:f>IF(AND(AE642="Keep",AF642="Valid"),1,0)</x:f>
        <x:v>1</x:v>
      </x:c>
      <x:c r="AH642" s="84" t="n">
        <x:f>IF(AND(AG642=1,OR('Dashboard'!$B$4="All",I642='Dashboard'!$B$4),OR('Dashboard'!$E$4="All",N642='Dashboard'!$E$4),OR('Dashboard'!$H$4="All",K642='Dashboard'!$H$4),OR('Dashboard'!$K$4="All",C642='Dashboard'!$K$4)),1,0)</x:f>
        <x:v>1</x:v>
      </x:c>
      <x:c r="AI642" s="84" t="n">
        <x:f>IF(AND(AG642=1,OR('Dashboard'!$B$4="All",I642='Dashboard'!$B$4),OR('Dashboard'!$E$4="All",N642='Dashboard'!$E$4),OR('Dashboard'!$H$4="All",K642='Dashboard'!$H$4)),1,0)</x:f>
        <x:v>1</x:v>
      </x:c>
    </x:row>
    <x:row r="643">
      <x:c r="A643" s="84" t="str">
        <x:f>'Raw Sales'!A643</x:f>
        <x:v>ORD-2024-02343</x:v>
      </x:c>
      <x:c r="B643" s="85" t="n">
        <x:f>'Raw Sales'!B643</x:f>
        <x:v>45526</x:v>
      </x:c>
      <x:c r="C643" s="84" t="n">
        <x:f>YEAR(B643)</x:f>
        <x:v>2024</x:v>
      </x:c>
      <x:c r="D643" s="91" t="n">
        <x:f>DATE(YEAR(B643),MONTH(B643),1)</x:f>
        <x:v>45505</x:v>
      </x:c>
      <x:c r="E643" s="84" t="str">
        <x:f>TEXT(B643,"mmm")</x:f>
        <x:v>Aug</x:v>
      </x:c>
      <x:c r="F643" s="84" t="str">
        <x:f>'Raw Sales'!C643</x:f>
        <x:v>CUST-0376</x:v>
      </x:c>
      <x:c r="G643" s="84" t="str">
        <x:f>PROPER(TRIM('Raw Sales'!D643))</x:f>
        <x:v>Nina Foster</x:v>
      </x:c>
      <x:c r="H643" s="84" t="str">
        <x:f>IF(TRIM('Raw Sales'!E643)="","Unknown",PROPER(TRIM('Raw Sales'!E643)))</x:f>
        <x:v>Consumer</x:v>
      </x:c>
      <x:c r="I643" s="84" t="str">
        <x:f>PROPER(TRIM('Raw Sales'!F643))</x:f>
        <x:v>West</x:v>
      </x:c>
      <x:c r="J643" s="84" t="str">
        <x:f>PROPER(TRIM('Raw Sales'!G643))</x:f>
        <x:v>Denver</x:v>
      </x:c>
      <x:c r="K643" s="84" t="str">
        <x:f>PROPER(TRIM('Raw Sales'!H643))</x:f>
        <x:v>Online</x:v>
      </x:c>
      <x:c r="L643" s="84" t="str">
        <x:f>'Raw Sales'!I643</x:f>
        <x:v>ACCS-006</x:v>
      </x:c>
      <x:c r="M643" s="84" t="str">
        <x:f>IFERROR(VLOOKUP(L643,'Reference Data'!$A$5:$F$40,2,FALSE),"Unknown Product")</x:f>
        <x:v>Insulated Lunch Bag</x:v>
      </x:c>
      <x:c r="N643" s="84" t="str">
        <x:f>IFERROR(VLOOKUP(L643,'Reference Data'!$A$5:$F$40,3,FALSE),"Unknown")</x:f>
        <x:v>Accessories</x:v>
      </x:c>
      <x:c r="O643" s="84" t="str">
        <x:f>IFERROR(VLOOKUP(L643,'Reference Data'!$A$5:$F$40,4,FALSE),"Unknown")</x:f>
        <x:v>Bags</x:v>
      </x:c>
      <x:c r="P643" s="92" t="n">
        <x:f>IFERROR(VLOOKUP(L643,'Reference Data'!$A$5:$F$40,5,FALSE),0)</x:f>
        <x:v>29</x:v>
      </x:c>
      <x:c r="Q643" s="92" t="n">
        <x:f>IFERROR(VLOOKUP(L643,'Reference Data'!$A$5:$F$40,6,FALSE),0)</x:f>
        <x:v>10</x:v>
      </x:c>
      <x:c r="R643" s="84" t="n">
        <x:f>'Raw Sales'!J643</x:f>
        <x:v>1</x:v>
      </x:c>
      <x:c r="S643" s="87" t="n">
        <x:f>'Raw Sales'!K643</x:f>
        <x:v>0.1</x:v>
      </x:c>
      <x:c r="T643" s="93" t="n">
        <x:f>P643*R643</x:f>
        <x:v>29</x:v>
      </x:c>
      <x:c r="U643" s="93" t="n">
        <x:f>T643*S643</x:f>
        <x:v>2.9000000000000004</x:v>
      </x:c>
      <x:c r="V643" s="93" t="str">
        <x:f>PROPER(TRIM('Raw Sales'!L643))</x:f>
        <x:v>Completed</x:v>
      </x:c>
      <x:c r="W643" s="93" t="n">
        <x:f>IF(V643="Returned",0,T643-U643)</x:f>
        <x:v>26.1</x:v>
      </x:c>
      <x:c r="X643" s="93" t="n">
        <x:f>IF(V643="Returned",Q643*R643*10%,Q643*R643)</x:f>
        <x:v>10</x:v>
      </x:c>
      <x:c r="Y643" s="93" t="n">
        <x:f>W643-X643</x:f>
        <x:v>16.1</x:v>
      </x:c>
      <x:c r="Z643" s="94" t="n">
        <x:f>IFERROR(Y643/W643,0)</x:f>
        <x:v>0.6168582375478927</x:v>
      </x:c>
      <x:c r="AA643" s="84" t="str">
        <x:f>PROPER(TRIM('Raw Sales'!M643))</x:f>
        <x:v>Debit Card</x:v>
      </x:c>
      <x:c r="AB643" s="84" t="str">
        <x:f>PROPER(TRIM('Raw Sales'!N643))</x:f>
        <x:v>Leo Martinez</x:v>
      </x:c>
      <x:c r="AC643" s="85" t="n">
        <x:f>'Raw Sales'!O643</x:f>
        <x:v>45528</x:v>
      </x:c>
      <x:c r="AD643" s="84" t="n">
        <x:f>AC643-B643</x:f>
        <x:v>2</x:v>
      </x:c>
      <x:c r="AE643" s="84" t="str">
        <x:f>IF(COUNTIF($A$5:A643,A643)&gt;1,"Duplicate","Keep")</x:f>
        <x:v>Keep</x:v>
      </x:c>
      <x:c r="AF643" s="84" t="str">
        <x:f>IF(OR(R643&lt;=0,AC643&lt;B643,H643="Unknown",M643="Unknown Product"),"Review","Valid")</x:f>
        <x:v>Valid</x:v>
      </x:c>
      <x:c r="AG643" s="84" t="n">
        <x:f>IF(AND(AE643="Keep",AF643="Valid"),1,0)</x:f>
        <x:v>1</x:v>
      </x:c>
      <x:c r="AH643" s="84" t="n">
        <x:f>IF(AND(AG643=1,OR('Dashboard'!$B$4="All",I643='Dashboard'!$B$4),OR('Dashboard'!$E$4="All",N643='Dashboard'!$E$4),OR('Dashboard'!$H$4="All",K643='Dashboard'!$H$4),OR('Dashboard'!$K$4="All",C643='Dashboard'!$K$4)),1,0)</x:f>
        <x:v>1</x:v>
      </x:c>
      <x:c r="AI643" s="84" t="n">
        <x:f>IF(AND(AG643=1,OR('Dashboard'!$B$4="All",I643='Dashboard'!$B$4),OR('Dashboard'!$E$4="All",N643='Dashboard'!$E$4),OR('Dashboard'!$H$4="All",K643='Dashboard'!$H$4)),1,0)</x:f>
        <x:v>1</x:v>
      </x:c>
    </x:row>
    <x:row r="644">
      <x:c r="A644" s="84" t="str">
        <x:f>'Raw Sales'!A644</x:f>
        <x:v>ORD-2024-00245</x:v>
      </x:c>
      <x:c r="B644" s="85" t="n">
        <x:f>'Raw Sales'!B644</x:f>
        <x:v>45527</x:v>
      </x:c>
      <x:c r="C644" s="84" t="n">
        <x:f>YEAR(B644)</x:f>
        <x:v>2024</x:v>
      </x:c>
      <x:c r="D644" s="91" t="n">
        <x:f>DATE(YEAR(B644),MONTH(B644),1)</x:f>
        <x:v>45505</x:v>
      </x:c>
      <x:c r="E644" s="84" t="str">
        <x:f>TEXT(B644,"mmm")</x:f>
        <x:v>Aug</x:v>
      </x:c>
      <x:c r="F644" s="84" t="str">
        <x:f>'Raw Sales'!C644</x:f>
        <x:v>CUST-0010</x:v>
      </x:c>
      <x:c r="G644" s="84" t="str">
        <x:f>PROPER(TRIM('Raw Sales'!D644))</x:f>
        <x:v>Nathan Taylor</x:v>
      </x:c>
      <x:c r="H644" s="84" t="str">
        <x:f>IF(TRIM('Raw Sales'!E644)="","Unknown",PROPER(TRIM('Raw Sales'!E644)))</x:f>
        <x:v>Consumer</x:v>
      </x:c>
      <x:c r="I644" s="84" t="str">
        <x:f>PROPER(TRIM('Raw Sales'!F644))</x:f>
        <x:v>Midwest</x:v>
      </x:c>
      <x:c r="J644" s="84" t="str">
        <x:f>PROPER(TRIM('Raw Sales'!G644))</x:f>
        <x:v>Minneapolis</x:v>
      </x:c>
      <x:c r="K644" s="84" t="str">
        <x:f>PROPER(TRIM('Raw Sales'!H644))</x:f>
        <x:v>Retail Store</x:v>
      </x:c>
      <x:c r="L644" s="84" t="str">
        <x:f>'Raw Sales'!I644</x:f>
        <x:v>FITN-001</x:v>
      </x:c>
      <x:c r="M644" s="84" t="str">
        <x:f>IFERROR(VLOOKUP(L644,'Reference Data'!$A$5:$F$40,2,FALSE),"Unknown Product")</x:f>
        <x:v>Yoga Mat</x:v>
      </x:c>
      <x:c r="N644" s="84" t="str">
        <x:f>IFERROR(VLOOKUP(L644,'Reference Data'!$A$5:$F$40,3,FALSE),"Unknown")</x:f>
        <x:v>Fitness</x:v>
      </x:c>
      <x:c r="O644" s="84" t="str">
        <x:f>IFERROR(VLOOKUP(L644,'Reference Data'!$A$5:$F$40,4,FALSE),"Unknown")</x:f>
        <x:v>Yoga</x:v>
      </x:c>
      <x:c r="P644" s="92" t="n">
        <x:f>IFERROR(VLOOKUP(L644,'Reference Data'!$A$5:$F$40,5,FALSE),0)</x:f>
        <x:v>35</x:v>
      </x:c>
      <x:c r="Q644" s="92" t="n">
        <x:f>IFERROR(VLOOKUP(L644,'Reference Data'!$A$5:$F$40,6,FALSE),0)</x:f>
        <x:v>13</x:v>
      </x:c>
      <x:c r="R644" s="84" t="n">
        <x:f>'Raw Sales'!J644</x:f>
        <x:v>1</x:v>
      </x:c>
      <x:c r="S644" s="87" t="n">
        <x:f>'Raw Sales'!K644</x:f>
        <x:v>0.1</x:v>
      </x:c>
      <x:c r="T644" s="93" t="n">
        <x:f>P644*R644</x:f>
        <x:v>35</x:v>
      </x:c>
      <x:c r="U644" s="93" t="n">
        <x:f>T644*S644</x:f>
        <x:v>3.5</x:v>
      </x:c>
      <x:c r="V644" s="93" t="str">
        <x:f>PROPER(TRIM('Raw Sales'!L644))</x:f>
        <x:v>Completed</x:v>
      </x:c>
      <x:c r="W644" s="93" t="n">
        <x:f>IF(V644="Returned",0,T644-U644)</x:f>
        <x:v>31.5</x:v>
      </x:c>
      <x:c r="X644" s="93" t="n">
        <x:f>IF(V644="Returned",Q644*R644*10%,Q644*R644)</x:f>
        <x:v>13</x:v>
      </x:c>
      <x:c r="Y644" s="93" t="n">
        <x:f>W644-X644</x:f>
        <x:v>18.5</x:v>
      </x:c>
      <x:c r="Z644" s="94" t="n">
        <x:f>IFERROR(Y644/W644,0)</x:f>
        <x:v>0.5873015873015873</x:v>
      </x:c>
      <x:c r="AA644" s="84" t="str">
        <x:f>PROPER(TRIM('Raw Sales'!M644))</x:f>
        <x:v>Debit Card</x:v>
      </x:c>
      <x:c r="AB644" s="84" t="str">
        <x:f>PROPER(TRIM('Raw Sales'!N644))</x:f>
        <x:v>Lucas Grant</x:v>
      </x:c>
      <x:c r="AC644" s="85" t="n">
        <x:f>'Raw Sales'!O644</x:f>
        <x:v>45527</x:v>
      </x:c>
      <x:c r="AD644" s="84" t="n">
        <x:f>AC644-B644</x:f>
        <x:v>0</x:v>
      </x:c>
      <x:c r="AE644" s="84" t="str">
        <x:f>IF(COUNTIF($A$5:A644,A644)&gt;1,"Duplicate","Keep")</x:f>
        <x:v>Keep</x:v>
      </x:c>
      <x:c r="AF644" s="84" t="str">
        <x:f>IF(OR(R644&lt;=0,AC644&lt;B644,H644="Unknown",M644="Unknown Product"),"Review","Valid")</x:f>
        <x:v>Valid</x:v>
      </x:c>
      <x:c r="AG644" s="84" t="n">
        <x:f>IF(AND(AE644="Keep",AF644="Valid"),1,0)</x:f>
        <x:v>1</x:v>
      </x:c>
      <x:c r="AH644" s="84" t="n">
        <x:f>IF(AND(AG644=1,OR('Dashboard'!$B$4="All",I644='Dashboard'!$B$4),OR('Dashboard'!$E$4="All",N644='Dashboard'!$E$4),OR('Dashboard'!$H$4="All",K644='Dashboard'!$H$4),OR('Dashboard'!$K$4="All",C644='Dashboard'!$K$4)),1,0)</x:f>
        <x:v>1</x:v>
      </x:c>
      <x:c r="AI644" s="84" t="n">
        <x:f>IF(AND(AG644=1,OR('Dashboard'!$B$4="All",I644='Dashboard'!$B$4),OR('Dashboard'!$E$4="All",N644='Dashboard'!$E$4),OR('Dashboard'!$H$4="All",K644='Dashboard'!$H$4)),1,0)</x:f>
        <x:v>1</x:v>
      </x:c>
    </x:row>
    <x:row r="645">
      <x:c r="A645" s="84" t="str">
        <x:f>'Raw Sales'!A645</x:f>
        <x:v>ORD-2024-00254</x:v>
      </x:c>
      <x:c r="B645" s="85" t="n">
        <x:f>'Raw Sales'!B645</x:f>
        <x:v>45527</x:v>
      </x:c>
      <x:c r="C645" s="84" t="n">
        <x:f>YEAR(B645)</x:f>
        <x:v>2024</x:v>
      </x:c>
      <x:c r="D645" s="91" t="n">
        <x:f>DATE(YEAR(B645),MONTH(B645),1)</x:f>
        <x:v>45505</x:v>
      </x:c>
      <x:c r="E645" s="84" t="str">
        <x:f>TEXT(B645,"mmm")</x:f>
        <x:v>Aug</x:v>
      </x:c>
      <x:c r="F645" s="84" t="str">
        <x:f>'Raw Sales'!C645</x:f>
        <x:v>CUST-0549</x:v>
      </x:c>
      <x:c r="G645" s="84" t="str">
        <x:f>PROPER(TRIM('Raw Sales'!D645))</x:f>
        <x:v>Marcus Patel</x:v>
      </x:c>
      <x:c r="H645" s="84" t="str">
        <x:f>IF(TRIM('Raw Sales'!E645)="","Unknown",PROPER(TRIM('Raw Sales'!E645)))</x:f>
        <x:v>Small Business</x:v>
      </x:c>
      <x:c r="I645" s="84" t="str">
        <x:f>PROPER(TRIM('Raw Sales'!F645))</x:f>
        <x:v>Northeast</x:v>
      </x:c>
      <x:c r="J645" s="84" t="str">
        <x:f>PROPER(TRIM('Raw Sales'!G645))</x:f>
        <x:v>Boston</x:v>
      </x:c>
      <x:c r="K645" s="84" t="str">
        <x:f>PROPER(TRIM('Raw Sales'!H645))</x:f>
        <x:v>Online</x:v>
      </x:c>
      <x:c r="L645" s="84" t="str">
        <x:f>'Raw Sales'!I645</x:f>
        <x:v>HOME-003</x:v>
      </x:c>
      <x:c r="M645" s="84" t="str">
        <x:f>IFERROR(VLOOKUP(L645,'Reference Data'!$A$5:$F$40,2,FALSE),"Unknown Product")</x:f>
        <x:v>Countertop Blender</x:v>
      </x:c>
      <x:c r="N645" s="84" t="str">
        <x:f>IFERROR(VLOOKUP(L645,'Reference Data'!$A$5:$F$40,3,FALSE),"Unknown")</x:f>
        <x:v>Home &amp; Kitchen</x:v>
      </x:c>
      <x:c r="O645" s="84" t="str">
        <x:f>IFERROR(VLOOKUP(L645,'Reference Data'!$A$5:$F$40,4,FALSE),"Unknown")</x:f>
        <x:v>Small Appliances</x:v>
      </x:c>
      <x:c r="P645" s="92" t="n">
        <x:f>IFERROR(VLOOKUP(L645,'Reference Data'!$A$5:$F$40,5,FALSE),0)</x:f>
        <x:v>89</x:v>
      </x:c>
      <x:c r="Q645" s="92" t="n">
        <x:f>IFERROR(VLOOKUP(L645,'Reference Data'!$A$5:$F$40,6,FALSE),0)</x:f>
        <x:v>46</x:v>
      </x:c>
      <x:c r="R645" s="84" t="n">
        <x:f>'Raw Sales'!J645</x:f>
        <x:v>1</x:v>
      </x:c>
      <x:c r="S645" s="87" t="n">
        <x:f>'Raw Sales'!K645</x:f>
        <x:v>0.05</x:v>
      </x:c>
      <x:c r="T645" s="93" t="n">
        <x:f>P645*R645</x:f>
        <x:v>89</x:v>
      </x:c>
      <x:c r="U645" s="93" t="n">
        <x:f>T645*S645</x:f>
        <x:v>4.45</x:v>
      </x:c>
      <x:c r="V645" s="93" t="str">
        <x:f>PROPER(TRIM('Raw Sales'!L645))</x:f>
        <x:v>Completed</x:v>
      </x:c>
      <x:c r="W645" s="93" t="n">
        <x:f>IF(V645="Returned",0,T645-U645)</x:f>
        <x:v>84.55</x:v>
      </x:c>
      <x:c r="X645" s="93" t="n">
        <x:f>IF(V645="Returned",Q645*R645*10%,Q645*R645)</x:f>
        <x:v>46</x:v>
      </x:c>
      <x:c r="Y645" s="93" t="n">
        <x:f>W645-X645</x:f>
        <x:v>38.55</x:v>
      </x:c>
      <x:c r="Z645" s="94" t="n">
        <x:f>IFERROR(Y645/W645,0)</x:f>
        <x:v>0.4559432288586635</x:v>
      </x:c>
      <x:c r="AA645" s="84" t="str">
        <x:f>PROPER(TRIM('Raw Sales'!M645))</x:f>
        <x:v>Credit Card</x:v>
      </x:c>
      <x:c r="AB645" s="84" t="str">
        <x:f>PROPER(TRIM('Raw Sales'!N645))</x:f>
        <x:v>Maya Brooks</x:v>
      </x:c>
      <x:c r="AC645" s="85" t="n">
        <x:f>'Raw Sales'!O645</x:f>
        <x:v>45531</x:v>
      </x:c>
      <x:c r="AD645" s="84" t="n">
        <x:f>AC645-B645</x:f>
        <x:v>4</x:v>
      </x:c>
      <x:c r="AE645" s="84" t="str">
        <x:f>IF(COUNTIF($A$5:A645,A645)&gt;1,"Duplicate","Keep")</x:f>
        <x:v>Keep</x:v>
      </x:c>
      <x:c r="AF645" s="84" t="str">
        <x:f>IF(OR(R645&lt;=0,AC645&lt;B645,H645="Unknown",M645="Unknown Product"),"Review","Valid")</x:f>
        <x:v>Valid</x:v>
      </x:c>
      <x:c r="AG645" s="84" t="n">
        <x:f>IF(AND(AE645="Keep",AF645="Valid"),1,0)</x:f>
        <x:v>1</x:v>
      </x:c>
      <x:c r="AH645" s="84" t="n">
        <x:f>IF(AND(AG645=1,OR('Dashboard'!$B$4="All",I645='Dashboard'!$B$4),OR('Dashboard'!$E$4="All",N645='Dashboard'!$E$4),OR('Dashboard'!$H$4="All",K645='Dashboard'!$H$4),OR('Dashboard'!$K$4="All",C645='Dashboard'!$K$4)),1,0)</x:f>
        <x:v>1</x:v>
      </x:c>
      <x:c r="AI645" s="84" t="n">
        <x:f>IF(AND(AG645=1,OR('Dashboard'!$B$4="All",I645='Dashboard'!$B$4),OR('Dashboard'!$E$4="All",N645='Dashboard'!$E$4),OR('Dashboard'!$H$4="All",K645='Dashboard'!$H$4)),1,0)</x:f>
        <x:v>1</x:v>
      </x:c>
    </x:row>
    <x:row r="646">
      <x:c r="A646" s="84" t="str">
        <x:f>'Raw Sales'!A646</x:f>
        <x:v>ORD-2024-02219</x:v>
      </x:c>
      <x:c r="B646" s="85" t="n">
        <x:f>'Raw Sales'!B646</x:f>
        <x:v>45527</x:v>
      </x:c>
      <x:c r="C646" s="84" t="n">
        <x:f>YEAR(B646)</x:f>
        <x:v>2024</x:v>
      </x:c>
      <x:c r="D646" s="91" t="n">
        <x:f>DATE(YEAR(B646),MONTH(B646),1)</x:f>
        <x:v>45505</x:v>
      </x:c>
      <x:c r="E646" s="84" t="str">
        <x:f>TEXT(B646,"mmm")</x:f>
        <x:v>Aug</x:v>
      </x:c>
      <x:c r="F646" s="84" t="str">
        <x:f>'Raw Sales'!C646</x:f>
        <x:v>CUST-0029</x:v>
      </x:c>
      <x:c r="G646" s="84" t="str">
        <x:f>PROPER(TRIM('Raw Sales'!D646))</x:f>
        <x:v>Theo Ortiz</x:v>
      </x:c>
      <x:c r="H646" s="84" t="str">
        <x:f>IF(TRIM('Raw Sales'!E646)="","Unknown",PROPER(TRIM('Raw Sales'!E646)))</x:f>
        <x:v>Corporate</x:v>
      </x:c>
      <x:c r="I646" s="84" t="str">
        <x:f>PROPER(TRIM('Raw Sales'!F646))</x:f>
        <x:v>Northeast</x:v>
      </x:c>
      <x:c r="J646" s="84" t="str">
        <x:f>PROPER(TRIM('Raw Sales'!G646))</x:f>
        <x:v>Philadelphia</x:v>
      </x:c>
      <x:c r="K646" s="84" t="str">
        <x:f>PROPER(TRIM('Raw Sales'!H646))</x:f>
        <x:v>Retail Store</x:v>
      </x:c>
      <x:c r="L646" s="84" t="str">
        <x:f>'Raw Sales'!I646</x:f>
        <x:v>CARE-001</x:v>
      </x:c>
      <x:c r="M646" s="84" t="str">
        <x:f>IFERROR(VLOOKUP(L646,'Reference Data'!$A$5:$F$40,2,FALSE),"Unknown Product")</x:f>
        <x:v>Ionic Hair Dryer</x:v>
      </x:c>
      <x:c r="N646" s="84" t="str">
        <x:f>IFERROR(VLOOKUP(L646,'Reference Data'!$A$5:$F$40,3,FALSE),"Unknown")</x:f>
        <x:v>Personal Care</x:v>
      </x:c>
      <x:c r="O646" s="84" t="str">
        <x:f>IFERROR(VLOOKUP(L646,'Reference Data'!$A$5:$F$40,4,FALSE),"Unknown")</x:f>
        <x:v>Hair Care</x:v>
      </x:c>
      <x:c r="P646" s="92" t="n">
        <x:f>IFERROR(VLOOKUP(L646,'Reference Data'!$A$5:$F$40,5,FALSE),0)</x:f>
        <x:v>54</x:v>
      </x:c>
      <x:c r="Q646" s="92" t="n">
        <x:f>IFERROR(VLOOKUP(L646,'Reference Data'!$A$5:$F$40,6,FALSE),0)</x:f>
        <x:v>25</x:v>
      </x:c>
      <x:c r="R646" s="84" t="n">
        <x:f>'Raw Sales'!J646</x:f>
        <x:v>2</x:v>
      </x:c>
      <x:c r="S646" s="87" t="n">
        <x:f>'Raw Sales'!K646</x:f>
        <x:v>0</x:v>
      </x:c>
      <x:c r="T646" s="93" t="n">
        <x:f>P646*R646</x:f>
        <x:v>108</x:v>
      </x:c>
      <x:c r="U646" s="93" t="n">
        <x:f>T646*S646</x:f>
        <x:v>0</x:v>
      </x:c>
      <x:c r="V646" s="93" t="str">
        <x:f>PROPER(TRIM('Raw Sales'!L646))</x:f>
        <x:v>Completed</x:v>
      </x:c>
      <x:c r="W646" s="93" t="n">
        <x:f>IF(V646="Returned",0,T646-U646)</x:f>
        <x:v>108</x:v>
      </x:c>
      <x:c r="X646" s="93" t="n">
        <x:f>IF(V646="Returned",Q646*R646*10%,Q646*R646)</x:f>
        <x:v>50</x:v>
      </x:c>
      <x:c r="Y646" s="93" t="n">
        <x:f>W646-X646</x:f>
        <x:v>58</x:v>
      </x:c>
      <x:c r="Z646" s="94" t="n">
        <x:f>IFERROR(Y646/W646,0)</x:f>
        <x:v>0.5370370370370371</x:v>
      </x:c>
      <x:c r="AA646" s="84" t="str">
        <x:f>PROPER(TRIM('Raw Sales'!M646))</x:f>
        <x:v>Debit Card</x:v>
      </x:c>
      <x:c r="AB646" s="84" t="str">
        <x:f>PROPER(TRIM('Raw Sales'!N646))</x:f>
        <x:v>Sofia Bennett</x:v>
      </x:c>
      <x:c r="AC646" s="85" t="n">
        <x:f>'Raw Sales'!O646</x:f>
        <x:v>45527</x:v>
      </x:c>
      <x:c r="AD646" s="84" t="n">
        <x:f>AC646-B646</x:f>
        <x:v>0</x:v>
      </x:c>
      <x:c r="AE646" s="84" t="str">
        <x:f>IF(COUNTIF($A$5:A646,A646)&gt;1,"Duplicate","Keep")</x:f>
        <x:v>Keep</x:v>
      </x:c>
      <x:c r="AF646" s="84" t="str">
        <x:f>IF(OR(R646&lt;=0,AC646&lt;B646,H646="Unknown",M646="Unknown Product"),"Review","Valid")</x:f>
        <x:v>Valid</x:v>
      </x:c>
      <x:c r="AG646" s="84" t="n">
        <x:f>IF(AND(AE646="Keep",AF646="Valid"),1,0)</x:f>
        <x:v>1</x:v>
      </x:c>
      <x:c r="AH646" s="84" t="n">
        <x:f>IF(AND(AG646=1,OR('Dashboard'!$B$4="All",I646='Dashboard'!$B$4),OR('Dashboard'!$E$4="All",N646='Dashboard'!$E$4),OR('Dashboard'!$H$4="All",K646='Dashboard'!$H$4),OR('Dashboard'!$K$4="All",C646='Dashboard'!$K$4)),1,0)</x:f>
        <x:v>1</x:v>
      </x:c>
      <x:c r="AI646" s="84" t="n">
        <x:f>IF(AND(AG646=1,OR('Dashboard'!$B$4="All",I646='Dashboard'!$B$4),OR('Dashboard'!$E$4="All",N646='Dashboard'!$E$4),OR('Dashboard'!$H$4="All",K646='Dashboard'!$H$4)),1,0)</x:f>
        <x:v>1</x:v>
      </x:c>
    </x:row>
    <x:row r="647">
      <x:c r="A647" s="84" t="str">
        <x:f>'Raw Sales'!A647</x:f>
        <x:v>ORD-2024-00109</x:v>
      </x:c>
      <x:c r="B647" s="85" t="n">
        <x:f>'Raw Sales'!B647</x:f>
        <x:v>45528</x:v>
      </x:c>
      <x:c r="C647" s="84" t="n">
        <x:f>YEAR(B647)</x:f>
        <x:v>2024</x:v>
      </x:c>
      <x:c r="D647" s="91" t="n">
        <x:f>DATE(YEAR(B647),MONTH(B647),1)</x:f>
        <x:v>45505</x:v>
      </x:c>
      <x:c r="E647" s="84" t="str">
        <x:f>TEXT(B647,"mmm")</x:f>
        <x:v>Aug</x:v>
      </x:c>
      <x:c r="F647" s="84" t="str">
        <x:f>'Raw Sales'!C647</x:f>
        <x:v>CUST-0272</x:v>
      </x:c>
      <x:c r="G647" s="84" t="str">
        <x:f>PROPER(TRIM('Raw Sales'!D647))</x:f>
        <x:v>Amelia Smith</x:v>
      </x:c>
      <x:c r="H647" s="84" t="str">
        <x:f>IF(TRIM('Raw Sales'!E647)="","Unknown",PROPER(TRIM('Raw Sales'!E647)))</x:f>
        <x:v>Corporate</x:v>
      </x:c>
      <x:c r="I647" s="84" t="str">
        <x:f>PROPER(TRIM('Raw Sales'!F647))</x:f>
        <x:v>Northeast</x:v>
      </x:c>
      <x:c r="J647" s="84" t="str">
        <x:f>PROPER(TRIM('Raw Sales'!G647))</x:f>
        <x:v>Philadelphia</x:v>
      </x:c>
      <x:c r="K647" s="84" t="str">
        <x:f>PROPER(TRIM('Raw Sales'!H647))</x:f>
        <x:v>Retail Store</x:v>
      </x:c>
      <x:c r="L647" s="84" t="str">
        <x:f>'Raw Sales'!I647</x:f>
        <x:v>HOME-002</x:v>
      </x:c>
      <x:c r="M647" s="84" t="str">
        <x:f>IFERROR(VLOOKUP(L647,'Reference Data'!$A$5:$F$40,2,FALSE),"Unknown Product")</x:f>
        <x:v>Electric Kettle</x:v>
      </x:c>
      <x:c r="N647" s="84" t="str">
        <x:f>IFERROR(VLOOKUP(L647,'Reference Data'!$A$5:$F$40,3,FALSE),"Unknown")</x:f>
        <x:v>Home &amp; Kitchen</x:v>
      </x:c>
      <x:c r="O647" s="84" t="str">
        <x:f>IFERROR(VLOOKUP(L647,'Reference Data'!$A$5:$F$40,4,FALSE),"Unknown")</x:f>
        <x:v>Small Appliances</x:v>
      </x:c>
      <x:c r="P647" s="92" t="n">
        <x:f>IFERROR(VLOOKUP(L647,'Reference Data'!$A$5:$F$40,5,FALSE),0)</x:f>
        <x:v>49</x:v>
      </x:c>
      <x:c r="Q647" s="92" t="n">
        <x:f>IFERROR(VLOOKUP(L647,'Reference Data'!$A$5:$F$40,6,FALSE),0)</x:f>
        <x:v>23</x:v>
      </x:c>
      <x:c r="R647" s="84" t="n">
        <x:f>'Raw Sales'!J647</x:f>
        <x:v>1</x:v>
      </x:c>
      <x:c r="S647" s="87" t="n">
        <x:f>'Raw Sales'!K647</x:f>
        <x:v>0.2</x:v>
      </x:c>
      <x:c r="T647" s="93" t="n">
        <x:f>P647*R647</x:f>
        <x:v>49</x:v>
      </x:c>
      <x:c r="U647" s="93" t="n">
        <x:f>T647*S647</x:f>
        <x:v>9.8</x:v>
      </x:c>
      <x:c r="V647" s="93" t="str">
        <x:f>PROPER(TRIM('Raw Sales'!L647))</x:f>
        <x:v>Completed</x:v>
      </x:c>
      <x:c r="W647" s="93" t="n">
        <x:f>IF(V647="Returned",0,T647-U647)</x:f>
        <x:v>39.2</x:v>
      </x:c>
      <x:c r="X647" s="93" t="n">
        <x:f>IF(V647="Returned",Q647*R647*10%,Q647*R647)</x:f>
        <x:v>23</x:v>
      </x:c>
      <x:c r="Y647" s="93" t="n">
        <x:f>W647-X647</x:f>
        <x:v>16.200000000000003</x:v>
      </x:c>
      <x:c r="Z647" s="94" t="n">
        <x:f>IFERROR(Y647/W647,0)</x:f>
        <x:v>0.41326530612244905</x:v>
      </x:c>
      <x:c r="AA647" s="84" t="str">
        <x:f>PROPER(TRIM('Raw Sales'!M647))</x:f>
        <x:v>Mobile Wallet</x:v>
      </x:c>
      <x:c r="AB647" s="84" t="str">
        <x:f>PROPER(TRIM('Raw Sales'!N647))</x:f>
        <x:v>Ethan Cole</x:v>
      </x:c>
      <x:c r="AC647" s="85" t="n">
        <x:f>'Raw Sales'!O647</x:f>
        <x:v>45529</x:v>
      </x:c>
      <x:c r="AD647" s="84" t="n">
        <x:f>AC647-B647</x:f>
        <x:v>1</x:v>
      </x:c>
      <x:c r="AE647" s="84" t="str">
        <x:f>IF(COUNTIF($A$5:A647,A647)&gt;1,"Duplicate","Keep")</x:f>
        <x:v>Keep</x:v>
      </x:c>
      <x:c r="AF647" s="84" t="str">
        <x:f>IF(OR(R647&lt;=0,AC647&lt;B647,H647="Unknown",M647="Unknown Product"),"Review","Valid")</x:f>
        <x:v>Valid</x:v>
      </x:c>
      <x:c r="AG647" s="84" t="n">
        <x:f>IF(AND(AE647="Keep",AF647="Valid"),1,0)</x:f>
        <x:v>1</x:v>
      </x:c>
      <x:c r="AH647" s="84" t="n">
        <x:f>IF(AND(AG647=1,OR('Dashboard'!$B$4="All",I647='Dashboard'!$B$4),OR('Dashboard'!$E$4="All",N647='Dashboard'!$E$4),OR('Dashboard'!$H$4="All",K647='Dashboard'!$H$4),OR('Dashboard'!$K$4="All",C647='Dashboard'!$K$4)),1,0)</x:f>
        <x:v>1</x:v>
      </x:c>
      <x:c r="AI647" s="84" t="n">
        <x:f>IF(AND(AG647=1,OR('Dashboard'!$B$4="All",I647='Dashboard'!$B$4),OR('Dashboard'!$E$4="All",N647='Dashboard'!$E$4),OR('Dashboard'!$H$4="All",K647='Dashboard'!$H$4)),1,0)</x:f>
        <x:v>1</x:v>
      </x:c>
    </x:row>
    <x:row r="648">
      <x:c r="A648" s="84" t="str">
        <x:f>'Raw Sales'!A648</x:f>
        <x:v>ORD-2024-00711</x:v>
      </x:c>
      <x:c r="B648" s="85" t="n">
        <x:f>'Raw Sales'!B648</x:f>
        <x:v>45528</x:v>
      </x:c>
      <x:c r="C648" s="84" t="n">
        <x:f>YEAR(B648)</x:f>
        <x:v>2024</x:v>
      </x:c>
      <x:c r="D648" s="91" t="n">
        <x:f>DATE(YEAR(B648),MONTH(B648),1)</x:f>
        <x:v>45505</x:v>
      </x:c>
      <x:c r="E648" s="84" t="str">
        <x:f>TEXT(B648,"mmm")</x:f>
        <x:v>Aug</x:v>
      </x:c>
      <x:c r="F648" s="84" t="str">
        <x:f>'Raw Sales'!C648</x:f>
        <x:v>CUST-0254</x:v>
      </x:c>
      <x:c r="G648" s="84" t="str">
        <x:f>PROPER(TRIM('Raw Sales'!D648))</x:f>
        <x:v>Marcus Carter</x:v>
      </x:c>
      <x:c r="H648" s="84" t="str">
        <x:f>IF(TRIM('Raw Sales'!E648)="","Unknown",PROPER(TRIM('Raw Sales'!E648)))</x:f>
        <x:v>Consumer</x:v>
      </x:c>
      <x:c r="I648" s="84" t="str">
        <x:f>PROPER(TRIM('Raw Sales'!F648))</x:f>
        <x:v>Northeast</x:v>
      </x:c>
      <x:c r="J648" s="84" t="str">
        <x:f>PROPER(TRIM('Raw Sales'!G648))</x:f>
        <x:v>Boston</x:v>
      </x:c>
      <x:c r="K648" s="84" t="str">
        <x:f>PROPER(TRIM('Raw Sales'!H648))</x:f>
        <x:v>Online</x:v>
      </x:c>
      <x:c r="L648" s="84" t="str">
        <x:f>'Raw Sales'!I648</x:f>
        <x:v>ACCS-006</x:v>
      </x:c>
      <x:c r="M648" s="84" t="str">
        <x:f>IFERROR(VLOOKUP(L648,'Reference Data'!$A$5:$F$40,2,FALSE),"Unknown Product")</x:f>
        <x:v>Insulated Lunch Bag</x:v>
      </x:c>
      <x:c r="N648" s="84" t="str">
        <x:f>IFERROR(VLOOKUP(L648,'Reference Data'!$A$5:$F$40,3,FALSE),"Unknown")</x:f>
        <x:v>Accessories</x:v>
      </x:c>
      <x:c r="O648" s="84" t="str">
        <x:f>IFERROR(VLOOKUP(L648,'Reference Data'!$A$5:$F$40,4,FALSE),"Unknown")</x:f>
        <x:v>Bags</x:v>
      </x:c>
      <x:c r="P648" s="92" t="n">
        <x:f>IFERROR(VLOOKUP(L648,'Reference Data'!$A$5:$F$40,5,FALSE),0)</x:f>
        <x:v>29</x:v>
      </x:c>
      <x:c r="Q648" s="92" t="n">
        <x:f>IFERROR(VLOOKUP(L648,'Reference Data'!$A$5:$F$40,6,FALSE),0)</x:f>
        <x:v>10</x:v>
      </x:c>
      <x:c r="R648" s="84" t="n">
        <x:f>'Raw Sales'!J648</x:f>
        <x:v>2</x:v>
      </x:c>
      <x:c r="S648" s="87" t="n">
        <x:f>'Raw Sales'!K648</x:f>
        <x:v>0.05</x:v>
      </x:c>
      <x:c r="T648" s="93" t="n">
        <x:f>P648*R648</x:f>
        <x:v>58</x:v>
      </x:c>
      <x:c r="U648" s="93" t="n">
        <x:f>T648*S648</x:f>
        <x:v>2.9000000000000004</x:v>
      </x:c>
      <x:c r="V648" s="93" t="str">
        <x:f>PROPER(TRIM('Raw Sales'!L648))</x:f>
        <x:v>Completed</x:v>
      </x:c>
      <x:c r="W648" s="93" t="n">
        <x:f>IF(V648="Returned",0,T648-U648)</x:f>
        <x:v>55.1</x:v>
      </x:c>
      <x:c r="X648" s="93" t="n">
        <x:f>IF(V648="Returned",Q648*R648*10%,Q648*R648)</x:f>
        <x:v>20</x:v>
      </x:c>
      <x:c r="Y648" s="93" t="n">
        <x:f>W648-X648</x:f>
        <x:v>35.1</x:v>
      </x:c>
      <x:c r="Z648" s="94" t="n">
        <x:f>IFERROR(Y648/W648,0)</x:f>
        <x:v>0.6370235934664247</x:v>
      </x:c>
      <x:c r="AA648" s="84" t="str">
        <x:f>PROPER(TRIM('Raw Sales'!M648))</x:f>
        <x:v>Credit Card</x:v>
      </x:c>
      <x:c r="AB648" s="84" t="str">
        <x:f>PROPER(TRIM('Raw Sales'!N648))</x:f>
        <x:v>Maya Brooks</x:v>
      </x:c>
      <x:c r="AC648" s="85" t="n">
        <x:f>'Raw Sales'!O648</x:f>
        <x:v>45532</x:v>
      </x:c>
      <x:c r="AD648" s="84" t="n">
        <x:f>AC648-B648</x:f>
        <x:v>4</x:v>
      </x:c>
      <x:c r="AE648" s="84" t="str">
        <x:f>IF(COUNTIF($A$5:A648,A648)&gt;1,"Duplicate","Keep")</x:f>
        <x:v>Keep</x:v>
      </x:c>
      <x:c r="AF648" s="84" t="str">
        <x:f>IF(OR(R648&lt;=0,AC648&lt;B648,H648="Unknown",M648="Unknown Product"),"Review","Valid")</x:f>
        <x:v>Valid</x:v>
      </x:c>
      <x:c r="AG648" s="84" t="n">
        <x:f>IF(AND(AE648="Keep",AF648="Valid"),1,0)</x:f>
        <x:v>1</x:v>
      </x:c>
      <x:c r="AH648" s="84" t="n">
        <x:f>IF(AND(AG648=1,OR('Dashboard'!$B$4="All",I648='Dashboard'!$B$4),OR('Dashboard'!$E$4="All",N648='Dashboard'!$E$4),OR('Dashboard'!$H$4="All",K648='Dashboard'!$H$4),OR('Dashboard'!$K$4="All",C648='Dashboard'!$K$4)),1,0)</x:f>
        <x:v>1</x:v>
      </x:c>
      <x:c r="AI648" s="84" t="n">
        <x:f>IF(AND(AG648=1,OR('Dashboard'!$B$4="All",I648='Dashboard'!$B$4),OR('Dashboard'!$E$4="All",N648='Dashboard'!$E$4),OR('Dashboard'!$H$4="All",K648='Dashboard'!$H$4)),1,0)</x:f>
        <x:v>1</x:v>
      </x:c>
    </x:row>
    <x:row r="649">
      <x:c r="A649" s="84" t="str">
        <x:f>'Raw Sales'!A649</x:f>
        <x:v>ORD-2024-01960</x:v>
      </x:c>
      <x:c r="B649" s="85" t="n">
        <x:f>'Raw Sales'!B649</x:f>
        <x:v>45528</x:v>
      </x:c>
      <x:c r="C649" s="84" t="n">
        <x:f>YEAR(B649)</x:f>
        <x:v>2024</x:v>
      </x:c>
      <x:c r="D649" s="91" t="n">
        <x:f>DATE(YEAR(B649),MONTH(B649),1)</x:f>
        <x:v>45505</x:v>
      </x:c>
      <x:c r="E649" s="84" t="str">
        <x:f>TEXT(B649,"mmm")</x:f>
        <x:v>Aug</x:v>
      </x:c>
      <x:c r="F649" s="84" t="str">
        <x:f>'Raw Sales'!C649</x:f>
        <x:v>CUST-0077</x:v>
      </x:c>
      <x:c r="G649" s="84" t="str">
        <x:f>PROPER(TRIM('Raw Sales'!D649))</x:f>
        <x:v>Layla Foster</x:v>
      </x:c>
      <x:c r="H649" s="84" t="str">
        <x:f>IF(TRIM('Raw Sales'!E649)="","Unknown",PROPER(TRIM('Raw Sales'!E649)))</x:f>
        <x:v>Corporate</x:v>
      </x:c>
      <x:c r="I649" s="84" t="str">
        <x:f>PROPER(TRIM('Raw Sales'!F649))</x:f>
        <x:v>Northeast</x:v>
      </x:c>
      <x:c r="J649" s="84" t="str">
        <x:f>PROPER(TRIM('Raw Sales'!G649))</x:f>
        <x:v>Philadelphia</x:v>
      </x:c>
      <x:c r="K649" s="84" t="str">
        <x:f>PROPER(TRIM('Raw Sales'!H649))</x:f>
        <x:v>Retail Store</x:v>
      </x:c>
      <x:c r="L649" s="84" t="str">
        <x:f>'Raw Sales'!I649</x:f>
        <x:v>OFFC-003</x:v>
      </x:c>
      <x:c r="M649" s="84" t="str">
        <x:f>IFERROR(VLOOKUP(L649,'Reference Data'!$A$5:$F$40,2,FALSE),"Unknown Product")</x:f>
        <x:v>LED Desk Lamp</x:v>
      </x:c>
      <x:c r="N649" s="84" t="str">
        <x:f>IFERROR(VLOOKUP(L649,'Reference Data'!$A$5:$F$40,3,FALSE),"Unknown")</x:f>
        <x:v>Office</x:v>
      </x:c>
      <x:c r="O649" s="84" t="str">
        <x:f>IFERROR(VLOOKUP(L649,'Reference Data'!$A$5:$F$40,4,FALSE),"Unknown")</x:f>
        <x:v>Desk Accessories</x:v>
      </x:c>
      <x:c r="P649" s="92" t="n">
        <x:f>IFERROR(VLOOKUP(L649,'Reference Data'!$A$5:$F$40,5,FALSE),0)</x:f>
        <x:v>45</x:v>
      </x:c>
      <x:c r="Q649" s="92" t="n">
        <x:f>IFERROR(VLOOKUP(L649,'Reference Data'!$A$5:$F$40,6,FALSE),0)</x:f>
        <x:v>20</x:v>
      </x:c>
      <x:c r="R649" s="84" t="n">
        <x:f>'Raw Sales'!J649</x:f>
        <x:v>4</x:v>
      </x:c>
      <x:c r="S649" s="87" t="n">
        <x:f>'Raw Sales'!K649</x:f>
        <x:v>0.05</x:v>
      </x:c>
      <x:c r="T649" s="93" t="n">
        <x:f>P649*R649</x:f>
        <x:v>180</x:v>
      </x:c>
      <x:c r="U649" s="93" t="n">
        <x:f>T649*S649</x:f>
        <x:v>9</x:v>
      </x:c>
      <x:c r="V649" s="93" t="str">
        <x:f>PROPER(TRIM('Raw Sales'!L649))</x:f>
        <x:v>Completed</x:v>
      </x:c>
      <x:c r="W649" s="93" t="n">
        <x:f>IF(V649="Returned",0,T649-U649)</x:f>
        <x:v>171</x:v>
      </x:c>
      <x:c r="X649" s="93" t="n">
        <x:f>IF(V649="Returned",Q649*R649*10%,Q649*R649)</x:f>
        <x:v>80</x:v>
      </x:c>
      <x:c r="Y649" s="93" t="n">
        <x:f>W649-X649</x:f>
        <x:v>91</x:v>
      </x:c>
      <x:c r="Z649" s="94" t="n">
        <x:f>IFERROR(Y649/W649,0)</x:f>
        <x:v>0.5321637426900585</x:v>
      </x:c>
      <x:c r="AA649" s="84" t="str">
        <x:f>PROPER(TRIM('Raw Sales'!M649))</x:f>
        <x:v>Debit Card</x:v>
      </x:c>
      <x:c r="AB649" s="84" t="str">
        <x:f>PROPER(TRIM('Raw Sales'!N649))</x:f>
        <x:v>Maya Brooks</x:v>
      </x:c>
      <x:c r="AC649" s="85" t="n">
        <x:f>'Raw Sales'!O649</x:f>
        <x:v>45528</x:v>
      </x:c>
      <x:c r="AD649" s="84" t="n">
        <x:f>AC649-B649</x:f>
        <x:v>0</x:v>
      </x:c>
      <x:c r="AE649" s="84" t="str">
        <x:f>IF(COUNTIF($A$5:A649,A649)&gt;1,"Duplicate","Keep")</x:f>
        <x:v>Keep</x:v>
      </x:c>
      <x:c r="AF649" s="84" t="str">
        <x:f>IF(OR(R649&lt;=0,AC649&lt;B649,H649="Unknown",M649="Unknown Product"),"Review","Valid")</x:f>
        <x:v>Valid</x:v>
      </x:c>
      <x:c r="AG649" s="84" t="n">
        <x:f>IF(AND(AE649="Keep",AF649="Valid"),1,0)</x:f>
        <x:v>1</x:v>
      </x:c>
      <x:c r="AH649" s="84" t="n">
        <x:f>IF(AND(AG649=1,OR('Dashboard'!$B$4="All",I649='Dashboard'!$B$4),OR('Dashboard'!$E$4="All",N649='Dashboard'!$E$4),OR('Dashboard'!$H$4="All",K649='Dashboard'!$H$4),OR('Dashboard'!$K$4="All",C649='Dashboard'!$K$4)),1,0)</x:f>
        <x:v>1</x:v>
      </x:c>
      <x:c r="AI649" s="84" t="n">
        <x:f>IF(AND(AG649=1,OR('Dashboard'!$B$4="All",I649='Dashboard'!$B$4),OR('Dashboard'!$E$4="All",N649='Dashboard'!$E$4),OR('Dashboard'!$H$4="All",K649='Dashboard'!$H$4)),1,0)</x:f>
        <x:v>1</x:v>
      </x:c>
    </x:row>
    <x:row r="650">
      <x:c r="A650" s="84" t="str">
        <x:f>'Raw Sales'!A650</x:f>
        <x:v>ORD-2024-01798</x:v>
      </x:c>
      <x:c r="B650" s="85" t="n">
        <x:f>'Raw Sales'!B650</x:f>
        <x:v>45529</x:v>
      </x:c>
      <x:c r="C650" s="84" t="n">
        <x:f>YEAR(B650)</x:f>
        <x:v>2024</x:v>
      </x:c>
      <x:c r="D650" s="91" t="n">
        <x:f>DATE(YEAR(B650),MONTH(B650),1)</x:f>
        <x:v>45505</x:v>
      </x:c>
      <x:c r="E650" s="84" t="str">
        <x:f>TEXT(B650,"mmm")</x:f>
        <x:v>Aug</x:v>
      </x:c>
      <x:c r="F650" s="84" t="str">
        <x:f>'Raw Sales'!C650</x:f>
        <x:v>CUST-0267</x:v>
      </x:c>
      <x:c r="G650" s="84" t="str">
        <x:f>PROPER(TRIM('Raw Sales'!D650))</x:f>
        <x:v>Theo Taylor</x:v>
      </x:c>
      <x:c r="H650" s="84" t="str">
        <x:f>IF(TRIM('Raw Sales'!E650)="","Unknown",PROPER(TRIM('Raw Sales'!E650)))</x:f>
        <x:v>Consumer</x:v>
      </x:c>
      <x:c r="I650" s="84" t="str">
        <x:f>PROPER(TRIM('Raw Sales'!F650))</x:f>
        <x:v>West</x:v>
      </x:c>
      <x:c r="J650" s="84" t="str">
        <x:f>PROPER(TRIM('Raw Sales'!G650))</x:f>
        <x:v>Denver</x:v>
      </x:c>
      <x:c r="K650" s="84" t="str">
        <x:f>PROPER(TRIM('Raw Sales'!H650))</x:f>
        <x:v>Online</x:v>
      </x:c>
      <x:c r="L650" s="84" t="str">
        <x:f>'Raw Sales'!I650</x:f>
        <x:v>OFFC-003</x:v>
      </x:c>
      <x:c r="M650" s="84" t="str">
        <x:f>IFERROR(VLOOKUP(L650,'Reference Data'!$A$5:$F$40,2,FALSE),"Unknown Product")</x:f>
        <x:v>LED Desk Lamp</x:v>
      </x:c>
      <x:c r="N650" s="84" t="str">
        <x:f>IFERROR(VLOOKUP(L650,'Reference Data'!$A$5:$F$40,3,FALSE),"Unknown")</x:f>
        <x:v>Office</x:v>
      </x:c>
      <x:c r="O650" s="84" t="str">
        <x:f>IFERROR(VLOOKUP(L650,'Reference Data'!$A$5:$F$40,4,FALSE),"Unknown")</x:f>
        <x:v>Desk Accessories</x:v>
      </x:c>
      <x:c r="P650" s="92" t="n">
        <x:f>IFERROR(VLOOKUP(L650,'Reference Data'!$A$5:$F$40,5,FALSE),0)</x:f>
        <x:v>45</x:v>
      </x:c>
      <x:c r="Q650" s="92" t="n">
        <x:f>IFERROR(VLOOKUP(L650,'Reference Data'!$A$5:$F$40,6,FALSE),0)</x:f>
        <x:v>20</x:v>
      </x:c>
      <x:c r="R650" s="84" t="n">
        <x:f>'Raw Sales'!J650</x:f>
        <x:v>3</x:v>
      </x:c>
      <x:c r="S650" s="87" t="n">
        <x:f>'Raw Sales'!K650</x:f>
        <x:v>0.05</x:v>
      </x:c>
      <x:c r="T650" s="93" t="n">
        <x:f>P650*R650</x:f>
        <x:v>135</x:v>
      </x:c>
      <x:c r="U650" s="93" t="n">
        <x:f>T650*S650</x:f>
        <x:v>6.75</x:v>
      </x:c>
      <x:c r="V650" s="93" t="str">
        <x:f>PROPER(TRIM('Raw Sales'!L650))</x:f>
        <x:v>Completed</x:v>
      </x:c>
      <x:c r="W650" s="93" t="n">
        <x:f>IF(V650="Returned",0,T650-U650)</x:f>
        <x:v>128.25</x:v>
      </x:c>
      <x:c r="X650" s="93" t="n">
        <x:f>IF(V650="Returned",Q650*R650*10%,Q650*R650)</x:f>
        <x:v>60</x:v>
      </x:c>
      <x:c r="Y650" s="93" t="n">
        <x:f>W650-X650</x:f>
        <x:v>68.25</x:v>
      </x:c>
      <x:c r="Z650" s="94" t="n">
        <x:f>IFERROR(Y650/W650,0)</x:f>
        <x:v>0.5321637426900585</x:v>
      </x:c>
      <x:c r="AA650" s="84" t="str">
        <x:f>PROPER(TRIM('Raw Sales'!M650))</x:f>
        <x:v>Debit Card</x:v>
      </x:c>
      <x:c r="AB650" s="84" t="str">
        <x:f>PROPER(TRIM('Raw Sales'!N650))</x:f>
        <x:v>Mia Chen</x:v>
      </x:c>
      <x:c r="AC650" s="85" t="n">
        <x:f>'Raw Sales'!O650</x:f>
        <x:v>45533</x:v>
      </x:c>
      <x:c r="AD650" s="84" t="n">
        <x:f>AC650-B650</x:f>
        <x:v>4</x:v>
      </x:c>
      <x:c r="AE650" s="84" t="str">
        <x:f>IF(COUNTIF($A$5:A650,A650)&gt;1,"Duplicate","Keep")</x:f>
        <x:v>Keep</x:v>
      </x:c>
      <x:c r="AF650" s="84" t="str">
        <x:f>IF(OR(R650&lt;=0,AC650&lt;B650,H650="Unknown",M650="Unknown Product"),"Review","Valid")</x:f>
        <x:v>Valid</x:v>
      </x:c>
      <x:c r="AG650" s="84" t="n">
        <x:f>IF(AND(AE650="Keep",AF650="Valid"),1,0)</x:f>
        <x:v>1</x:v>
      </x:c>
      <x:c r="AH650" s="84" t="n">
        <x:f>IF(AND(AG650=1,OR('Dashboard'!$B$4="All",I650='Dashboard'!$B$4),OR('Dashboard'!$E$4="All",N650='Dashboard'!$E$4),OR('Dashboard'!$H$4="All",K650='Dashboard'!$H$4),OR('Dashboard'!$K$4="All",C650='Dashboard'!$K$4)),1,0)</x:f>
        <x:v>1</x:v>
      </x:c>
      <x:c r="AI650" s="84" t="n">
        <x:f>IF(AND(AG650=1,OR('Dashboard'!$B$4="All",I650='Dashboard'!$B$4),OR('Dashboard'!$E$4="All",N650='Dashboard'!$E$4),OR('Dashboard'!$H$4="All",K650='Dashboard'!$H$4)),1,0)</x:f>
        <x:v>1</x:v>
      </x:c>
    </x:row>
    <x:row r="651">
      <x:c r="A651" s="84" t="str">
        <x:f>'Raw Sales'!A651</x:f>
        <x:v>ORD-2024-01848</x:v>
      </x:c>
      <x:c r="B651" s="85" t="n">
        <x:f>'Raw Sales'!B651</x:f>
        <x:v>45529</x:v>
      </x:c>
      <x:c r="C651" s="84" t="n">
        <x:f>YEAR(B651)</x:f>
        <x:v>2024</x:v>
      </x:c>
      <x:c r="D651" s="91" t="n">
        <x:f>DATE(YEAR(B651),MONTH(B651),1)</x:f>
        <x:v>45505</x:v>
      </x:c>
      <x:c r="E651" s="84" t="str">
        <x:f>TEXT(B651,"mmm")</x:f>
        <x:v>Aug</x:v>
      </x:c>
      <x:c r="F651" s="84" t="str">
        <x:f>'Raw Sales'!C651</x:f>
        <x:v>CUST-0375</x:v>
      </x:c>
      <x:c r="G651" s="84" t="str">
        <x:f>PROPER(TRIM('Raw Sales'!D651))</x:f>
        <x:v>Grace Baker</x:v>
      </x:c>
      <x:c r="H651" s="84" t="str">
        <x:f>IF(TRIM('Raw Sales'!E651)="","Unknown",PROPER(TRIM('Raw Sales'!E651)))</x:f>
        <x:v>Consumer</x:v>
      </x:c>
      <x:c r="I651" s="84" t="str">
        <x:f>PROPER(TRIM('Raw Sales'!F651))</x:f>
        <x:v>Midwest</x:v>
      </x:c>
      <x:c r="J651" s="84" t="str">
        <x:f>PROPER(TRIM('Raw Sales'!G651))</x:f>
        <x:v>Minneapolis</x:v>
      </x:c>
      <x:c r="K651" s="84" t="str">
        <x:f>PROPER(TRIM('Raw Sales'!H651))</x:f>
        <x:v>Online</x:v>
      </x:c>
      <x:c r="L651" s="84" t="str">
        <x:f>'Raw Sales'!I651</x:f>
        <x:v>ELEC-003</x:v>
      </x:c>
      <x:c r="M651" s="84" t="str">
        <x:f>IFERROR(VLOOKUP(L651,'Reference Data'!$A$5:$F$40,2,FALSE),"Unknown Product")</x:f>
        <x:v>Bluetooth Speaker</x:v>
      </x:c>
      <x:c r="N651" s="84" t="str">
        <x:f>IFERROR(VLOOKUP(L651,'Reference Data'!$A$5:$F$40,3,FALSE),"Unknown")</x:f>
        <x:v>Electronics</x:v>
      </x:c>
      <x:c r="O651" s="84" t="str">
        <x:f>IFERROR(VLOOKUP(L651,'Reference Data'!$A$5:$F$40,4,FALSE),"Unknown")</x:f>
        <x:v>Audio</x:v>
      </x:c>
      <x:c r="P651" s="92" t="n">
        <x:f>IFERROR(VLOOKUP(L651,'Reference Data'!$A$5:$F$40,5,FALSE),0)</x:f>
        <x:v>89</x:v>
      </x:c>
      <x:c r="Q651" s="92" t="n">
        <x:f>IFERROR(VLOOKUP(L651,'Reference Data'!$A$5:$F$40,6,FALSE),0)</x:f>
        <x:v>44</x:v>
      </x:c>
      <x:c r="R651" s="84" t="n">
        <x:f>'Raw Sales'!J651</x:f>
        <x:v>1</x:v>
      </x:c>
      <x:c r="S651" s="87" t="n">
        <x:f>'Raw Sales'!K651</x:f>
        <x:v>0.1</x:v>
      </x:c>
      <x:c r="T651" s="93" t="n">
        <x:f>P651*R651</x:f>
        <x:v>89</x:v>
      </x:c>
      <x:c r="U651" s="93" t="n">
        <x:f>T651*S651</x:f>
        <x:v>8.9</x:v>
      </x:c>
      <x:c r="V651" s="93" t="str">
        <x:f>PROPER(TRIM('Raw Sales'!L651))</x:f>
        <x:v>Returned</x:v>
      </x:c>
      <x:c r="W651" s="93" t="n">
        <x:f>IF(V651="Returned",0,T651-U651)</x:f>
        <x:v>0</x:v>
      </x:c>
      <x:c r="X651" s="93" t="n">
        <x:f>IF(V651="Returned",Q651*R651*10%,Q651*R651)</x:f>
        <x:v>4.4</x:v>
      </x:c>
      <x:c r="Y651" s="93" t="n">
        <x:f>W651-X651</x:f>
        <x:v>-4.4</x:v>
      </x:c>
      <x:c r="Z651" s="94" t="n">
        <x:f>IFERROR(Y651/W651,0)</x:f>
        <x:v>0</x:v>
      </x:c>
      <x:c r="AA651" s="84" t="str">
        <x:f>PROPER(TRIM('Raw Sales'!M651))</x:f>
        <x:v>Credit Card</x:v>
      </x:c>
      <x:c r="AB651" s="84" t="str">
        <x:f>PROPER(TRIM('Raw Sales'!N651))</x:f>
        <x:v>Zoe Turner</x:v>
      </x:c>
      <x:c r="AC651" s="85" t="n">
        <x:f>'Raw Sales'!O651</x:f>
        <x:v>45534</x:v>
      </x:c>
      <x:c r="AD651" s="84" t="n">
        <x:f>AC651-B651</x:f>
        <x:v>5</x:v>
      </x:c>
      <x:c r="AE651" s="84" t="str">
        <x:f>IF(COUNTIF($A$5:A651,A651)&gt;1,"Duplicate","Keep")</x:f>
        <x:v>Keep</x:v>
      </x:c>
      <x:c r="AF651" s="84" t="str">
        <x:f>IF(OR(R651&lt;=0,AC651&lt;B651,H651="Unknown",M651="Unknown Product"),"Review","Valid")</x:f>
        <x:v>Valid</x:v>
      </x:c>
      <x:c r="AG651" s="84" t="n">
        <x:f>IF(AND(AE651="Keep",AF651="Valid"),1,0)</x:f>
        <x:v>1</x:v>
      </x:c>
      <x:c r="AH651" s="84" t="n">
        <x:f>IF(AND(AG651=1,OR('Dashboard'!$B$4="All",I651='Dashboard'!$B$4),OR('Dashboard'!$E$4="All",N651='Dashboard'!$E$4),OR('Dashboard'!$H$4="All",K651='Dashboard'!$H$4),OR('Dashboard'!$K$4="All",C651='Dashboard'!$K$4)),1,0)</x:f>
        <x:v>1</x:v>
      </x:c>
      <x:c r="AI651" s="84" t="n">
        <x:f>IF(AND(AG651=1,OR('Dashboard'!$B$4="All",I651='Dashboard'!$B$4),OR('Dashboard'!$E$4="All",N651='Dashboard'!$E$4),OR('Dashboard'!$H$4="All",K651='Dashboard'!$H$4)),1,0)</x:f>
        <x:v>1</x:v>
      </x:c>
    </x:row>
    <x:row r="652">
      <x:c r="A652" s="84" t="str">
        <x:f>'Raw Sales'!A652</x:f>
        <x:v>ORD-2024-02066</x:v>
      </x:c>
      <x:c r="B652" s="85" t="n">
        <x:f>'Raw Sales'!B652</x:f>
        <x:v>45529</x:v>
      </x:c>
      <x:c r="C652" s="84" t="n">
        <x:f>YEAR(B652)</x:f>
        <x:v>2024</x:v>
      </x:c>
      <x:c r="D652" s="91" t="n">
        <x:f>DATE(YEAR(B652),MONTH(B652),1)</x:f>
        <x:v>45505</x:v>
      </x:c>
      <x:c r="E652" s="84" t="str">
        <x:f>TEXT(B652,"mmm")</x:f>
        <x:v>Aug</x:v>
      </x:c>
      <x:c r="F652" s="84" t="str">
        <x:f>'Raw Sales'!C652</x:f>
        <x:v>CUST-0563</x:v>
      </x:c>
      <x:c r="G652" s="84" t="str">
        <x:f>PROPER(TRIM('Raw Sales'!D652))</x:f>
        <x:v>Amelia Adams</x:v>
      </x:c>
      <x:c r="H652" s="84" t="str">
        <x:f>IF(TRIM('Raw Sales'!E652)="","Unknown",PROPER(TRIM('Raw Sales'!E652)))</x:f>
        <x:v>Consumer</x:v>
      </x:c>
      <x:c r="I652" s="84" t="str">
        <x:f>PROPER(TRIM('Raw Sales'!F652))</x:f>
        <x:v>Southeast</x:v>
      </x:c>
      <x:c r="J652" s="84" t="str">
        <x:f>PROPER(TRIM('Raw Sales'!G652))</x:f>
        <x:v>Charlotte</x:v>
      </x:c>
      <x:c r="K652" s="84" t="str">
        <x:f>PROPER(TRIM('Raw Sales'!H652))</x:f>
        <x:v>Retail Store</x:v>
      </x:c>
      <x:c r="L652" s="84" t="str">
        <x:f>'Raw Sales'!I652</x:f>
        <x:v>ACCS-003</x:v>
      </x:c>
      <x:c r="M652" s="84" t="str">
        <x:f>IFERROR(VLOOKUP(L652,'Reference Data'!$A$5:$F$40,2,FALSE),"Unknown Product")</x:f>
        <x:v>Polarized Sunglasses</x:v>
      </x:c>
      <x:c r="N652" s="84" t="str">
        <x:f>IFERROR(VLOOKUP(L652,'Reference Data'!$A$5:$F$40,3,FALSE),"Unknown")</x:f>
        <x:v>Accessories</x:v>
      </x:c>
      <x:c r="O652" s="84" t="str">
        <x:f>IFERROR(VLOOKUP(L652,'Reference Data'!$A$5:$F$40,4,FALSE),"Unknown")</x:f>
        <x:v>Eyewear</x:v>
      </x:c>
      <x:c r="P652" s="92" t="n">
        <x:f>IFERROR(VLOOKUP(L652,'Reference Data'!$A$5:$F$40,5,FALSE),0)</x:f>
        <x:v>59</x:v>
      </x:c>
      <x:c r="Q652" s="92" t="n">
        <x:f>IFERROR(VLOOKUP(L652,'Reference Data'!$A$5:$F$40,6,FALSE),0)</x:f>
        <x:v>17</x:v>
      </x:c>
      <x:c r="R652" s="84" t="n">
        <x:f>'Raw Sales'!J652</x:f>
        <x:v>1</x:v>
      </x:c>
      <x:c r="S652" s="87" t="n">
        <x:f>'Raw Sales'!K652</x:f>
        <x:v>0.05</x:v>
      </x:c>
      <x:c r="T652" s="93" t="n">
        <x:f>P652*R652</x:f>
        <x:v>59</x:v>
      </x:c>
      <x:c r="U652" s="93" t="n">
        <x:f>T652*S652</x:f>
        <x:v>2.95</x:v>
      </x:c>
      <x:c r="V652" s="93" t="str">
        <x:f>PROPER(TRIM('Raw Sales'!L652))</x:f>
        <x:v>Completed</x:v>
      </x:c>
      <x:c r="W652" s="93" t="n">
        <x:f>IF(V652="Returned",0,T652-U652)</x:f>
        <x:v>56.05</x:v>
      </x:c>
      <x:c r="X652" s="93" t="n">
        <x:f>IF(V652="Returned",Q652*R652*10%,Q652*R652)</x:f>
        <x:v>17</x:v>
      </x:c>
      <x:c r="Y652" s="93" t="n">
        <x:f>W652-X652</x:f>
        <x:v>39.05</x:v>
      </x:c>
      <x:c r="Z652" s="94" t="n">
        <x:f>IFERROR(Y652/W652,0)</x:f>
        <x:v>0.6966993755575379</x:v>
      </x:c>
      <x:c r="AA652" s="84" t="str">
        <x:f>PROPER(TRIM('Raw Sales'!M652))</x:f>
        <x:v>Mobile Wallet</x:v>
      </x:c>
      <x:c r="AB652" s="84" t="str">
        <x:f>PROPER(TRIM('Raw Sales'!N652))</x:f>
        <x:v>Noah Reed</x:v>
      </x:c>
      <x:c r="AC652" s="85" t="n">
        <x:f>'Raw Sales'!O652</x:f>
        <x:v>45529</x:v>
      </x:c>
      <x:c r="AD652" s="84" t="n">
        <x:f>AC652-B652</x:f>
        <x:v>0</x:v>
      </x:c>
      <x:c r="AE652" s="84" t="str">
        <x:f>IF(COUNTIF($A$5:A652,A652)&gt;1,"Duplicate","Keep")</x:f>
        <x:v>Keep</x:v>
      </x:c>
      <x:c r="AF652" s="84" t="str">
        <x:f>IF(OR(R652&lt;=0,AC652&lt;B652,H652="Unknown",M652="Unknown Product"),"Review","Valid")</x:f>
        <x:v>Valid</x:v>
      </x:c>
      <x:c r="AG652" s="84" t="n">
        <x:f>IF(AND(AE652="Keep",AF652="Valid"),1,0)</x:f>
        <x:v>1</x:v>
      </x:c>
      <x:c r="AH652" s="84" t="n">
        <x:f>IF(AND(AG652=1,OR('Dashboard'!$B$4="All",I652='Dashboard'!$B$4),OR('Dashboard'!$E$4="All",N652='Dashboard'!$E$4),OR('Dashboard'!$H$4="All",K652='Dashboard'!$H$4),OR('Dashboard'!$K$4="All",C652='Dashboard'!$K$4)),1,0)</x:f>
        <x:v>1</x:v>
      </x:c>
      <x:c r="AI652" s="84" t="n">
        <x:f>IF(AND(AG652=1,OR('Dashboard'!$B$4="All",I652='Dashboard'!$B$4),OR('Dashboard'!$E$4="All",N652='Dashboard'!$E$4),OR('Dashboard'!$H$4="All",K652='Dashboard'!$H$4)),1,0)</x:f>
        <x:v>1</x:v>
      </x:c>
    </x:row>
    <x:row r="653">
      <x:c r="A653" s="84" t="str">
        <x:f>'Raw Sales'!A653</x:f>
        <x:v>ORD-2024-02129</x:v>
      </x:c>
      <x:c r="B653" s="85" t="n">
        <x:f>'Raw Sales'!B653</x:f>
        <x:v>45529</x:v>
      </x:c>
      <x:c r="C653" s="84" t="n">
        <x:f>YEAR(B653)</x:f>
        <x:v>2024</x:v>
      </x:c>
      <x:c r="D653" s="91" t="n">
        <x:f>DATE(YEAR(B653),MONTH(B653),1)</x:f>
        <x:v>45505</x:v>
      </x:c>
      <x:c r="E653" s="84" t="str">
        <x:f>TEXT(B653,"mmm")</x:f>
        <x:v>Aug</x:v>
      </x:c>
      <x:c r="F653" s="84" t="str">
        <x:f>'Raw Sales'!C653</x:f>
        <x:v>CUST-0511</x:v>
      </x:c>
      <x:c r="G653" s="84" t="str">
        <x:f>PROPER(TRIM('Raw Sales'!D653))</x:f>
        <x:v>Marcus Walker</x:v>
      </x:c>
      <x:c r="H653" s="84" t="str">
        <x:f>IF(TRIM('Raw Sales'!E653)="","Unknown",PROPER(TRIM('Raw Sales'!E653)))</x:f>
        <x:v>Corporate</x:v>
      </x:c>
      <x:c r="I653" s="84" t="str">
        <x:f>PROPER(TRIM('Raw Sales'!F653))</x:f>
        <x:v>Northeast</x:v>
      </x:c>
      <x:c r="J653" s="84" t="str">
        <x:f>PROPER(TRIM('Raw Sales'!G653))</x:f>
        <x:v>Newark</x:v>
      </x:c>
      <x:c r="K653" s="84" t="str">
        <x:f>PROPER(TRIM('Raw Sales'!H653))</x:f>
        <x:v>Online</x:v>
      </x:c>
      <x:c r="L653" s="84" t="str">
        <x:f>'Raw Sales'!I653</x:f>
        <x:v>FITN-006</x:v>
      </x:c>
      <x:c r="M653" s="84" t="str">
        <x:f>IFERROR(VLOOKUP(L653,'Reference Data'!$A$5:$F$40,2,FALSE),"Unknown Product")</x:f>
        <x:v>Foam Roller</x:v>
      </x:c>
      <x:c r="N653" s="84" t="str">
        <x:f>IFERROR(VLOOKUP(L653,'Reference Data'!$A$5:$F$40,3,FALSE),"Unknown")</x:f>
        <x:v>Fitness</x:v>
      </x:c>
      <x:c r="O653" s="84" t="str">
        <x:f>IFERROR(VLOOKUP(L653,'Reference Data'!$A$5:$F$40,4,FALSE),"Unknown")</x:f>
        <x:v>Recovery</x:v>
      </x:c>
      <x:c r="P653" s="92" t="n">
        <x:f>IFERROR(VLOOKUP(L653,'Reference Data'!$A$5:$F$40,5,FALSE),0)</x:f>
        <x:v>31</x:v>
      </x:c>
      <x:c r="Q653" s="92" t="n">
        <x:f>IFERROR(VLOOKUP(L653,'Reference Data'!$A$5:$F$40,6,FALSE),0)</x:f>
        <x:v>12</x:v>
      </x:c>
      <x:c r="R653" s="84" t="n">
        <x:f>'Raw Sales'!J653</x:f>
        <x:v>2</x:v>
      </x:c>
      <x:c r="S653" s="87" t="n">
        <x:f>'Raw Sales'!K653</x:f>
        <x:v>0.05</x:v>
      </x:c>
      <x:c r="T653" s="93" t="n">
        <x:f>P653*R653</x:f>
        <x:v>62</x:v>
      </x:c>
      <x:c r="U653" s="93" t="n">
        <x:f>T653*S653</x:f>
        <x:v>3.1</x:v>
      </x:c>
      <x:c r="V653" s="93" t="str">
        <x:f>PROPER(TRIM('Raw Sales'!L653))</x:f>
        <x:v>Completed</x:v>
      </x:c>
      <x:c r="W653" s="93" t="n">
        <x:f>IF(V653="Returned",0,T653-U653)</x:f>
        <x:v>58.9</x:v>
      </x:c>
      <x:c r="X653" s="93" t="n">
        <x:f>IF(V653="Returned",Q653*R653*10%,Q653*R653)</x:f>
        <x:v>24</x:v>
      </x:c>
      <x:c r="Y653" s="93" t="n">
        <x:f>W653-X653</x:f>
        <x:v>34.9</x:v>
      </x:c>
      <x:c r="Z653" s="94" t="n">
        <x:f>IFERROR(Y653/W653,0)</x:f>
        <x:v>0.5925297113752123</x:v>
      </x:c>
      <x:c r="AA653" s="84" t="str">
        <x:f>PROPER(TRIM('Raw Sales'!M653))</x:f>
        <x:v>Credit Card</x:v>
      </x:c>
      <x:c r="AB653" s="84" t="str">
        <x:f>PROPER(TRIM('Raw Sales'!N653))</x:f>
        <x:v>Maya Brooks</x:v>
      </x:c>
      <x:c r="AC653" s="85" t="n">
        <x:f>'Raw Sales'!O653</x:f>
        <x:v>45532</x:v>
      </x:c>
      <x:c r="AD653" s="84" t="n">
        <x:f>AC653-B653</x:f>
        <x:v>3</x:v>
      </x:c>
      <x:c r="AE653" s="84" t="str">
        <x:f>IF(COUNTIF($A$5:A653,A653)&gt;1,"Duplicate","Keep")</x:f>
        <x:v>Keep</x:v>
      </x:c>
      <x:c r="AF653" s="84" t="str">
        <x:f>IF(OR(R653&lt;=0,AC653&lt;B653,H653="Unknown",M653="Unknown Product"),"Review","Valid")</x:f>
        <x:v>Valid</x:v>
      </x:c>
      <x:c r="AG653" s="84" t="n">
        <x:f>IF(AND(AE653="Keep",AF653="Valid"),1,0)</x:f>
        <x:v>1</x:v>
      </x:c>
      <x:c r="AH653" s="84" t="n">
        <x:f>IF(AND(AG653=1,OR('Dashboard'!$B$4="All",I653='Dashboard'!$B$4),OR('Dashboard'!$E$4="All",N653='Dashboard'!$E$4),OR('Dashboard'!$H$4="All",K653='Dashboard'!$H$4),OR('Dashboard'!$K$4="All",C653='Dashboard'!$K$4)),1,0)</x:f>
        <x:v>1</x:v>
      </x:c>
      <x:c r="AI653" s="84" t="n">
        <x:f>IF(AND(AG653=1,OR('Dashboard'!$B$4="All",I653='Dashboard'!$B$4),OR('Dashboard'!$E$4="All",N653='Dashboard'!$E$4),OR('Dashboard'!$H$4="All",K653='Dashboard'!$H$4)),1,0)</x:f>
        <x:v>1</x:v>
      </x:c>
    </x:row>
    <x:row r="654">
      <x:c r="A654" s="84" t="str">
        <x:f>'Raw Sales'!A654</x:f>
        <x:v>ORD-2024-00158</x:v>
      </x:c>
      <x:c r="B654" s="85" t="n">
        <x:f>'Raw Sales'!B654</x:f>
        <x:v>45530</x:v>
      </x:c>
      <x:c r="C654" s="84" t="n">
        <x:f>YEAR(B654)</x:f>
        <x:v>2024</x:v>
      </x:c>
      <x:c r="D654" s="91" t="n">
        <x:f>DATE(YEAR(B654),MONTH(B654),1)</x:f>
        <x:v>45505</x:v>
      </x:c>
      <x:c r="E654" s="84" t="str">
        <x:f>TEXT(B654,"mmm")</x:f>
        <x:v>Aug</x:v>
      </x:c>
      <x:c r="F654" s="84" t="str">
        <x:f>'Raw Sales'!C654</x:f>
        <x:v>CUST-0574</x:v>
      </x:c>
      <x:c r="G654" s="84" t="str">
        <x:f>PROPER(TRIM('Raw Sales'!D654))</x:f>
        <x:v>Grace Quinn</x:v>
      </x:c>
      <x:c r="H654" s="84" t="str">
        <x:f>IF(TRIM('Raw Sales'!E654)="","Unknown",PROPER(TRIM('Raw Sales'!E654)))</x:f>
        <x:v>Corporate</x:v>
      </x:c>
      <x:c r="I654" s="84" t="str">
        <x:f>PROPER(TRIM('Raw Sales'!F654))</x:f>
        <x:v>Northeast</x:v>
      </x:c>
      <x:c r="J654" s="84" t="str">
        <x:f>PROPER(TRIM('Raw Sales'!G654))</x:f>
        <x:v>New York</x:v>
      </x:c>
      <x:c r="K654" s="84" t="str">
        <x:f>PROPER(TRIM('Raw Sales'!H654))</x:f>
        <x:v>Marketplace</x:v>
      </x:c>
      <x:c r="L654" s="84" t="str">
        <x:f>'Raw Sales'!I654</x:f>
        <x:v>OFFC-006</x:v>
      </x:c>
      <x:c r="M654" s="84" t="str">
        <x:f>IFERROR(VLOOKUP(L654,'Reference Data'!$A$5:$F$40,2,FALSE),"Unknown Product")</x:f>
        <x:v>Monitor Stand</x:v>
      </x:c>
      <x:c r="N654" s="84" t="str">
        <x:f>IFERROR(VLOOKUP(L654,'Reference Data'!$A$5:$F$40,3,FALSE),"Unknown")</x:f>
        <x:v>Office</x:v>
      </x:c>
      <x:c r="O654" s="84" t="str">
        <x:f>IFERROR(VLOOKUP(L654,'Reference Data'!$A$5:$F$40,4,FALSE),"Unknown")</x:f>
        <x:v>Desk Accessories</x:v>
      </x:c>
      <x:c r="P654" s="92" t="n">
        <x:f>IFERROR(VLOOKUP(L654,'Reference Data'!$A$5:$F$40,5,FALSE),0)</x:f>
        <x:v>49</x:v>
      </x:c>
      <x:c r="Q654" s="92" t="n">
        <x:f>IFERROR(VLOOKUP(L654,'Reference Data'!$A$5:$F$40,6,FALSE),0)</x:f>
        <x:v>21</x:v>
      </x:c>
      <x:c r="R654" s="84" t="n">
        <x:f>'Raw Sales'!J654</x:f>
        <x:v>8</x:v>
      </x:c>
      <x:c r="S654" s="87" t="n">
        <x:f>'Raw Sales'!K654</x:f>
        <x:v>0.1</x:v>
      </x:c>
      <x:c r="T654" s="93" t="n">
        <x:f>P654*R654</x:f>
        <x:v>392</x:v>
      </x:c>
      <x:c r="U654" s="93" t="n">
        <x:f>T654*S654</x:f>
        <x:v>39.2</x:v>
      </x:c>
      <x:c r="V654" s="93" t="str">
        <x:f>PROPER(TRIM('Raw Sales'!L654))</x:f>
        <x:v>Completed</x:v>
      </x:c>
      <x:c r="W654" s="93" t="n">
        <x:f>IF(V654="Returned",0,T654-U654)</x:f>
        <x:v>352.8</x:v>
      </x:c>
      <x:c r="X654" s="93" t="n">
        <x:f>IF(V654="Returned",Q654*R654*10%,Q654*R654)</x:f>
        <x:v>168</x:v>
      </x:c>
      <x:c r="Y654" s="93" t="n">
        <x:f>W654-X654</x:f>
        <x:v>184.8</x:v>
      </x:c>
      <x:c r="Z654" s="94" t="n">
        <x:f>IFERROR(Y654/W654,0)</x:f>
        <x:v>0.5238095238095238</x:v>
      </x:c>
      <x:c r="AA654" s="84" t="str">
        <x:f>PROPER(TRIM('Raw Sales'!M654))</x:f>
        <x:v>Credit Card</x:v>
      </x:c>
      <x:c r="AB654" s="84" t="str">
        <x:f>PROPER(TRIM('Raw Sales'!N654))</x:f>
        <x:v>Maya Brooks</x:v>
      </x:c>
      <x:c r="AC654" s="85" t="n">
        <x:f>'Raw Sales'!O654</x:f>
        <x:v>45538</x:v>
      </x:c>
      <x:c r="AD654" s="84" t="n">
        <x:f>AC654-B654</x:f>
        <x:v>8</x:v>
      </x:c>
      <x:c r="AE654" s="84" t="str">
        <x:f>IF(COUNTIF($A$5:A654,A654)&gt;1,"Duplicate","Keep")</x:f>
        <x:v>Keep</x:v>
      </x:c>
      <x:c r="AF654" s="84" t="str">
        <x:f>IF(OR(R654&lt;=0,AC654&lt;B654,H654="Unknown",M654="Unknown Product"),"Review","Valid")</x:f>
        <x:v>Valid</x:v>
      </x:c>
      <x:c r="AG654" s="84" t="n">
        <x:f>IF(AND(AE654="Keep",AF654="Valid"),1,0)</x:f>
        <x:v>1</x:v>
      </x:c>
      <x:c r="AH654" s="84" t="n">
        <x:f>IF(AND(AG654=1,OR('Dashboard'!$B$4="All",I654='Dashboard'!$B$4),OR('Dashboard'!$E$4="All",N654='Dashboard'!$E$4),OR('Dashboard'!$H$4="All",K654='Dashboard'!$H$4),OR('Dashboard'!$K$4="All",C654='Dashboard'!$K$4)),1,0)</x:f>
        <x:v>1</x:v>
      </x:c>
      <x:c r="AI654" s="84" t="n">
        <x:f>IF(AND(AG654=1,OR('Dashboard'!$B$4="All",I654='Dashboard'!$B$4),OR('Dashboard'!$E$4="All",N654='Dashboard'!$E$4),OR('Dashboard'!$H$4="All",K654='Dashboard'!$H$4)),1,0)</x:f>
        <x:v>1</x:v>
      </x:c>
    </x:row>
    <x:row r="655">
      <x:c r="A655" s="84" t="str">
        <x:f>'Raw Sales'!A655</x:f>
        <x:v>ORD-2024-00842</x:v>
      </x:c>
      <x:c r="B655" s="85" t="n">
        <x:f>'Raw Sales'!B655</x:f>
        <x:v>45530</x:v>
      </x:c>
      <x:c r="C655" s="84" t="n">
        <x:f>YEAR(B655)</x:f>
        <x:v>2024</x:v>
      </x:c>
      <x:c r="D655" s="91" t="n">
        <x:f>DATE(YEAR(B655),MONTH(B655),1)</x:f>
        <x:v>45505</x:v>
      </x:c>
      <x:c r="E655" s="84" t="str">
        <x:f>TEXT(B655,"mmm")</x:f>
        <x:v>Aug</x:v>
      </x:c>
      <x:c r="F655" s="84" t="str">
        <x:f>'Raw Sales'!C655</x:f>
        <x:v>CUST-0046</x:v>
      </x:c>
      <x:c r="G655" s="84" t="str">
        <x:f>PROPER(TRIM('Raw Sales'!D655))</x:f>
        <x:v>Nathan Moore</x:v>
      </x:c>
      <x:c r="H655" s="84" t="str">
        <x:f>IF(TRIM('Raw Sales'!E655)="","Unknown",PROPER(TRIM('Raw Sales'!E655)))</x:f>
        <x:v>Consumer</x:v>
      </x:c>
      <x:c r="I655" s="84" t="str">
        <x:f>PROPER(TRIM('Raw Sales'!F655))</x:f>
        <x:v>Midwest</x:v>
      </x:c>
      <x:c r="J655" s="84" t="str">
        <x:f>PROPER(TRIM('Raw Sales'!G655))</x:f>
        <x:v>Columbus</x:v>
      </x:c>
      <x:c r="K655" s="84" t="str">
        <x:f>PROPER(TRIM('Raw Sales'!H655))</x:f>
        <x:v>Retail Store</x:v>
      </x:c>
      <x:c r="L655" s="84" t="str">
        <x:f>'Raw Sales'!I655</x:f>
        <x:v>ELEC-003</x:v>
      </x:c>
      <x:c r="M655" s="84" t="str">
        <x:f>IFERROR(VLOOKUP(L655,'Reference Data'!$A$5:$F$40,2,FALSE),"Unknown Product")</x:f>
        <x:v>Bluetooth Speaker</x:v>
      </x:c>
      <x:c r="N655" s="84" t="str">
        <x:f>IFERROR(VLOOKUP(L655,'Reference Data'!$A$5:$F$40,3,FALSE),"Unknown")</x:f>
        <x:v>Electronics</x:v>
      </x:c>
      <x:c r="O655" s="84" t="str">
        <x:f>IFERROR(VLOOKUP(L655,'Reference Data'!$A$5:$F$40,4,FALSE),"Unknown")</x:f>
        <x:v>Audio</x:v>
      </x:c>
      <x:c r="P655" s="92" t="n">
        <x:f>IFERROR(VLOOKUP(L655,'Reference Data'!$A$5:$F$40,5,FALSE),0)</x:f>
        <x:v>89</x:v>
      </x:c>
      <x:c r="Q655" s="92" t="n">
        <x:f>IFERROR(VLOOKUP(L655,'Reference Data'!$A$5:$F$40,6,FALSE),0)</x:f>
        <x:v>44</x:v>
      </x:c>
      <x:c r="R655" s="84" t="n">
        <x:f>'Raw Sales'!J655</x:f>
        <x:v>3</x:v>
      </x:c>
      <x:c r="S655" s="87" t="n">
        <x:f>'Raw Sales'!K655</x:f>
        <x:v>0</x:v>
      </x:c>
      <x:c r="T655" s="93" t="n">
        <x:f>P655*R655</x:f>
        <x:v>267</x:v>
      </x:c>
      <x:c r="U655" s="93" t="n">
        <x:f>T655*S655</x:f>
        <x:v>0</x:v>
      </x:c>
      <x:c r="V655" s="93" t="str">
        <x:f>PROPER(TRIM('Raw Sales'!L655))</x:f>
        <x:v>Completed</x:v>
      </x:c>
      <x:c r="W655" s="93" t="n">
        <x:f>IF(V655="Returned",0,T655-U655)</x:f>
        <x:v>267</x:v>
      </x:c>
      <x:c r="X655" s="93" t="n">
        <x:f>IF(V655="Returned",Q655*R655*10%,Q655*R655)</x:f>
        <x:v>132</x:v>
      </x:c>
      <x:c r="Y655" s="93" t="n">
        <x:f>W655-X655</x:f>
        <x:v>135</x:v>
      </x:c>
      <x:c r="Z655" s="94" t="n">
        <x:f>IFERROR(Y655/W655,0)</x:f>
        <x:v>0.5056179775280899</x:v>
      </x:c>
      <x:c r="AA655" s="84" t="str">
        <x:f>PROPER(TRIM('Raw Sales'!M655))</x:f>
        <x:v>Credit Card</x:v>
      </x:c>
      <x:c r="AB655" s="84" t="str">
        <x:f>PROPER(TRIM('Raw Sales'!N655))</x:f>
        <x:v>Zoe Turner</x:v>
      </x:c>
      <x:c r="AC655" s="85" t="n">
        <x:f>'Raw Sales'!O655</x:f>
        <x:v>45530</x:v>
      </x:c>
      <x:c r="AD655" s="84" t="n">
        <x:f>AC655-B655</x:f>
        <x:v>0</x:v>
      </x:c>
      <x:c r="AE655" s="84" t="str">
        <x:f>IF(COUNTIF($A$5:A655,A655)&gt;1,"Duplicate","Keep")</x:f>
        <x:v>Keep</x:v>
      </x:c>
      <x:c r="AF655" s="84" t="str">
        <x:f>IF(OR(R655&lt;=0,AC655&lt;B655,H655="Unknown",M655="Unknown Product"),"Review","Valid")</x:f>
        <x:v>Valid</x:v>
      </x:c>
      <x:c r="AG655" s="84" t="n">
        <x:f>IF(AND(AE655="Keep",AF655="Valid"),1,0)</x:f>
        <x:v>1</x:v>
      </x:c>
      <x:c r="AH655" s="84" t="n">
        <x:f>IF(AND(AG655=1,OR('Dashboard'!$B$4="All",I655='Dashboard'!$B$4),OR('Dashboard'!$E$4="All",N655='Dashboard'!$E$4),OR('Dashboard'!$H$4="All",K655='Dashboard'!$H$4),OR('Dashboard'!$K$4="All",C655='Dashboard'!$K$4)),1,0)</x:f>
        <x:v>1</x:v>
      </x:c>
      <x:c r="AI655" s="84" t="n">
        <x:f>IF(AND(AG655=1,OR('Dashboard'!$B$4="All",I655='Dashboard'!$B$4),OR('Dashboard'!$E$4="All",N655='Dashboard'!$E$4),OR('Dashboard'!$H$4="All",K655='Dashboard'!$H$4)),1,0)</x:f>
        <x:v>1</x:v>
      </x:c>
    </x:row>
    <x:row r="656">
      <x:c r="A656" s="84" t="str">
        <x:f>'Raw Sales'!A656</x:f>
        <x:v>ORD-2024-00982</x:v>
      </x:c>
      <x:c r="B656" s="85" t="n">
        <x:f>'Raw Sales'!B656</x:f>
        <x:v>45530</x:v>
      </x:c>
      <x:c r="C656" s="84" t="n">
        <x:f>YEAR(B656)</x:f>
        <x:v>2024</x:v>
      </x:c>
      <x:c r="D656" s="91" t="n">
        <x:f>DATE(YEAR(B656),MONTH(B656),1)</x:f>
        <x:v>45505</x:v>
      </x:c>
      <x:c r="E656" s="84" t="str">
        <x:f>TEXT(B656,"mmm")</x:f>
        <x:v>Aug</x:v>
      </x:c>
      <x:c r="F656" s="84" t="str">
        <x:f>'Raw Sales'!C656</x:f>
        <x:v>CUST-0626</x:v>
      </x:c>
      <x:c r="G656" s="84" t="str">
        <x:f>PROPER(TRIM('Raw Sales'!D656))</x:f>
        <x:v>Theo Irwin</x:v>
      </x:c>
      <x:c r="H656" s="84" t="str">
        <x:f>IF(TRIM('Raw Sales'!E656)="","Unknown",PROPER(TRIM('Raw Sales'!E656)))</x:f>
        <x:v>Corporate</x:v>
      </x:c>
      <x:c r="I656" s="84" t="str">
        <x:f>PROPER(TRIM('Raw Sales'!F656))</x:f>
        <x:v>Midwest</x:v>
      </x:c>
      <x:c r="J656" s="84" t="str">
        <x:f>PROPER(TRIM('Raw Sales'!G656))</x:f>
        <x:v>Minneapolis</x:v>
      </x:c>
      <x:c r="K656" s="84" t="str">
        <x:f>PROPER(TRIM('Raw Sales'!H656))</x:f>
        <x:v>Online</x:v>
      </x:c>
      <x:c r="L656" s="84" t="str">
        <x:f>'Raw Sales'!I656</x:f>
        <x:v>OFFC-005</x:v>
      </x:c>
      <x:c r="M656" s="84" t="str">
        <x:f>IFERROR(VLOOKUP(L656,'Reference Data'!$A$5:$F$40,2,FALSE),"Unknown Product")</x:f>
        <x:v>Wireless Keyboard</x:v>
      </x:c>
      <x:c r="N656" s="84" t="str">
        <x:f>IFERROR(VLOOKUP(L656,'Reference Data'!$A$5:$F$40,3,FALSE),"Unknown")</x:f>
        <x:v>Office</x:v>
      </x:c>
      <x:c r="O656" s="84" t="str">
        <x:f>IFERROR(VLOOKUP(L656,'Reference Data'!$A$5:$F$40,4,FALSE),"Unknown")</x:f>
        <x:v>Computer Accessories</x:v>
      </x:c>
      <x:c r="P656" s="92" t="n">
        <x:f>IFERROR(VLOOKUP(L656,'Reference Data'!$A$5:$F$40,5,FALSE),0)</x:f>
        <x:v>59</x:v>
      </x:c>
      <x:c r="Q656" s="92" t="n">
        <x:f>IFERROR(VLOOKUP(L656,'Reference Data'!$A$5:$F$40,6,FALSE),0)</x:f>
        <x:v>28</x:v>
      </x:c>
      <x:c r="R656" s="84" t="n">
        <x:f>'Raw Sales'!J656</x:f>
        <x:v>3</x:v>
      </x:c>
      <x:c r="S656" s="87" t="n">
        <x:f>'Raw Sales'!K656</x:f>
        <x:v>0.1</x:v>
      </x:c>
      <x:c r="T656" s="93" t="n">
        <x:f>P656*R656</x:f>
        <x:v>177</x:v>
      </x:c>
      <x:c r="U656" s="93" t="n">
        <x:f>T656*S656</x:f>
        <x:v>17.7</x:v>
      </x:c>
      <x:c r="V656" s="93" t="str">
        <x:f>PROPER(TRIM('Raw Sales'!L656))</x:f>
        <x:v>Completed</x:v>
      </x:c>
      <x:c r="W656" s="93" t="n">
        <x:f>IF(V656="Returned",0,T656-U656)</x:f>
        <x:v>159.3</x:v>
      </x:c>
      <x:c r="X656" s="93" t="n">
        <x:f>IF(V656="Returned",Q656*R656*10%,Q656*R656)</x:f>
        <x:v>84</x:v>
      </x:c>
      <x:c r="Y656" s="93" t="n">
        <x:f>W656-X656</x:f>
        <x:v>75.30000000000001</x:v>
      </x:c>
      <x:c r="Z656" s="94" t="n">
        <x:f>IFERROR(Y656/W656,0)</x:f>
        <x:v>0.47269303201506596</x:v>
      </x:c>
      <x:c r="AA656" s="84" t="str">
        <x:f>PROPER(TRIM('Raw Sales'!M656))</x:f>
        <x:v>Paypal</x:v>
      </x:c>
      <x:c r="AB656" s="84" t="str">
        <x:f>PROPER(TRIM('Raw Sales'!N656))</x:f>
        <x:v>Zoe Turner</x:v>
      </x:c>
      <x:c r="AC656" s="85" t="n">
        <x:f>'Raw Sales'!O656</x:f>
        <x:v>45533</x:v>
      </x:c>
      <x:c r="AD656" s="84" t="n">
        <x:f>AC656-B656</x:f>
        <x:v>3</x:v>
      </x:c>
      <x:c r="AE656" s="84" t="str">
        <x:f>IF(COUNTIF($A$5:A656,A656)&gt;1,"Duplicate","Keep")</x:f>
        <x:v>Keep</x:v>
      </x:c>
      <x:c r="AF656" s="84" t="str">
        <x:f>IF(OR(R656&lt;=0,AC656&lt;B656,H656="Unknown",M656="Unknown Product"),"Review","Valid")</x:f>
        <x:v>Valid</x:v>
      </x:c>
      <x:c r="AG656" s="84" t="n">
        <x:f>IF(AND(AE656="Keep",AF656="Valid"),1,0)</x:f>
        <x:v>1</x:v>
      </x:c>
      <x:c r="AH656" s="84" t="n">
        <x:f>IF(AND(AG656=1,OR('Dashboard'!$B$4="All",I656='Dashboard'!$B$4),OR('Dashboard'!$E$4="All",N656='Dashboard'!$E$4),OR('Dashboard'!$H$4="All",K656='Dashboard'!$H$4),OR('Dashboard'!$K$4="All",C656='Dashboard'!$K$4)),1,0)</x:f>
        <x:v>1</x:v>
      </x:c>
      <x:c r="AI656" s="84" t="n">
        <x:f>IF(AND(AG656=1,OR('Dashboard'!$B$4="All",I656='Dashboard'!$B$4),OR('Dashboard'!$E$4="All",N656='Dashboard'!$E$4),OR('Dashboard'!$H$4="All",K656='Dashboard'!$H$4)),1,0)</x:f>
        <x:v>1</x:v>
      </x:c>
    </x:row>
    <x:row r="657">
      <x:c r="A657" s="84" t="str">
        <x:f>'Raw Sales'!A657</x:f>
        <x:v>ORD-2024-01225</x:v>
      </x:c>
      <x:c r="B657" s="85" t="n">
        <x:f>'Raw Sales'!B657</x:f>
        <x:v>45530</x:v>
      </x:c>
      <x:c r="C657" s="84" t="n">
        <x:f>YEAR(B657)</x:f>
        <x:v>2024</x:v>
      </x:c>
      <x:c r="D657" s="91" t="n">
        <x:f>DATE(YEAR(B657),MONTH(B657),1)</x:f>
        <x:v>45505</x:v>
      </x:c>
      <x:c r="E657" s="84" t="str">
        <x:f>TEXT(B657,"mmm")</x:f>
        <x:v>Aug</x:v>
      </x:c>
      <x:c r="F657" s="84" t="str">
        <x:f>'Raw Sales'!C657</x:f>
        <x:v>CUST-0282</x:v>
      </x:c>
      <x:c r="G657" s="84" t="str">
        <x:f>PROPER(TRIM('Raw Sales'!D657))</x:f>
        <x:v>Caleb Carter</x:v>
      </x:c>
      <x:c r="H657" s="84" t="str">
        <x:f>IF(TRIM('Raw Sales'!E657)="","Unknown",PROPER(TRIM('Raw Sales'!E657)))</x:f>
        <x:v>Consumer</x:v>
      </x:c>
      <x:c r="I657" s="84" t="str">
        <x:f>PROPER(TRIM('Raw Sales'!F657))</x:f>
        <x:v>Northeast</x:v>
      </x:c>
      <x:c r="J657" s="84" t="str">
        <x:f>PROPER(TRIM('Raw Sales'!G657))</x:f>
        <x:v>Boston</x:v>
      </x:c>
      <x:c r="K657" s="84" t="str">
        <x:f>PROPER(TRIM('Raw Sales'!H657))</x:f>
        <x:v>Online</x:v>
      </x:c>
      <x:c r="L657" s="84" t="str">
        <x:f>'Raw Sales'!I657</x:f>
        <x:v>OFFC-002</x:v>
      </x:c>
      <x:c r="M657" s="84" t="str">
        <x:f>IFERROR(VLOOKUP(L657,'Reference Data'!$A$5:$F$40,2,FALSE),"Unknown Product")</x:f>
        <x:v>Standing Desk</x:v>
      </x:c>
      <x:c r="N657" s="84" t="str">
        <x:f>IFERROR(VLOOKUP(L657,'Reference Data'!$A$5:$F$40,3,FALSE),"Unknown")</x:f>
        <x:v>Office</x:v>
      </x:c>
      <x:c r="O657" s="84" t="str">
        <x:f>IFERROR(VLOOKUP(L657,'Reference Data'!$A$5:$F$40,4,FALSE),"Unknown")</x:f>
        <x:v>Furniture</x:v>
      </x:c>
      <x:c r="P657" s="92" t="n">
        <x:f>IFERROR(VLOOKUP(L657,'Reference Data'!$A$5:$F$40,5,FALSE),0)</x:f>
        <x:v>399</x:v>
      </x:c>
      <x:c r="Q657" s="92" t="n">
        <x:f>IFERROR(VLOOKUP(L657,'Reference Data'!$A$5:$F$40,6,FALSE),0)</x:f>
        <x:v>235</x:v>
      </x:c>
      <x:c r="R657" s="84" t="n">
        <x:f>'Raw Sales'!J657</x:f>
        <x:v>2</x:v>
      </x:c>
      <x:c r="S657" s="87" t="n">
        <x:f>'Raw Sales'!K657</x:f>
        <x:v>0</x:v>
      </x:c>
      <x:c r="T657" s="93" t="n">
        <x:f>P657*R657</x:f>
        <x:v>798</x:v>
      </x:c>
      <x:c r="U657" s="93" t="n">
        <x:f>T657*S657</x:f>
        <x:v>0</x:v>
      </x:c>
      <x:c r="V657" s="93" t="str">
        <x:f>PROPER(TRIM('Raw Sales'!L657))</x:f>
        <x:v>Completed</x:v>
      </x:c>
      <x:c r="W657" s="93" t="n">
        <x:f>IF(V657="Returned",0,T657-U657)</x:f>
        <x:v>798</x:v>
      </x:c>
      <x:c r="X657" s="93" t="n">
        <x:f>IF(V657="Returned",Q657*R657*10%,Q657*R657)</x:f>
        <x:v>470</x:v>
      </x:c>
      <x:c r="Y657" s="93" t="n">
        <x:f>W657-X657</x:f>
        <x:v>328</x:v>
      </x:c>
      <x:c r="Z657" s="94" t="n">
        <x:f>IFERROR(Y657/W657,0)</x:f>
        <x:v>0.41102756892230574</x:v>
      </x:c>
      <x:c r="AA657" s="84" t="str">
        <x:f>PROPER(TRIM('Raw Sales'!M657))</x:f>
        <x:v>Credit Card</x:v>
      </x:c>
      <x:c r="AB657" s="84" t="str">
        <x:f>PROPER(TRIM('Raw Sales'!N657))</x:f>
        <x:v>Maya Brooks</x:v>
      </x:c>
      <x:c r="AC657" s="85" t="n">
        <x:f>'Raw Sales'!O657</x:f>
        <x:v>45536</x:v>
      </x:c>
      <x:c r="AD657" s="84" t="n">
        <x:f>AC657-B657</x:f>
        <x:v>6</x:v>
      </x:c>
      <x:c r="AE657" s="84" t="str">
        <x:f>IF(COUNTIF($A$5:A657,A657)&gt;1,"Duplicate","Keep")</x:f>
        <x:v>Keep</x:v>
      </x:c>
      <x:c r="AF657" s="84" t="str">
        <x:f>IF(OR(R657&lt;=0,AC657&lt;B657,H657="Unknown",M657="Unknown Product"),"Review","Valid")</x:f>
        <x:v>Valid</x:v>
      </x:c>
      <x:c r="AG657" s="84" t="n">
        <x:f>IF(AND(AE657="Keep",AF657="Valid"),1,0)</x:f>
        <x:v>1</x:v>
      </x:c>
      <x:c r="AH657" s="84" t="n">
        <x:f>IF(AND(AG657=1,OR('Dashboard'!$B$4="All",I657='Dashboard'!$B$4),OR('Dashboard'!$E$4="All",N657='Dashboard'!$E$4),OR('Dashboard'!$H$4="All",K657='Dashboard'!$H$4),OR('Dashboard'!$K$4="All",C657='Dashboard'!$K$4)),1,0)</x:f>
        <x:v>1</x:v>
      </x:c>
      <x:c r="AI657" s="84" t="n">
        <x:f>IF(AND(AG657=1,OR('Dashboard'!$B$4="All",I657='Dashboard'!$B$4),OR('Dashboard'!$E$4="All",N657='Dashboard'!$E$4),OR('Dashboard'!$H$4="All",K657='Dashboard'!$H$4)),1,0)</x:f>
        <x:v>1</x:v>
      </x:c>
    </x:row>
    <x:row r="658">
      <x:c r="A658" s="84" t="str">
        <x:f>'Raw Sales'!A658</x:f>
        <x:v>ORD-2024-01330</x:v>
      </x:c>
      <x:c r="B658" s="85" t="n">
        <x:f>'Raw Sales'!B658</x:f>
        <x:v>45530</x:v>
      </x:c>
      <x:c r="C658" s="84" t="n">
        <x:f>YEAR(B658)</x:f>
        <x:v>2024</x:v>
      </x:c>
      <x:c r="D658" s="91" t="n">
        <x:f>DATE(YEAR(B658),MONTH(B658),1)</x:f>
        <x:v>45505</x:v>
      </x:c>
      <x:c r="E658" s="84" t="str">
        <x:f>TEXT(B658,"mmm")</x:f>
        <x:v>Aug</x:v>
      </x:c>
      <x:c r="F658" s="84" t="str">
        <x:f>'Raw Sales'!C658</x:f>
        <x:v>CUST-0460</x:v>
      </x:c>
      <x:c r="G658" s="84" t="str">
        <x:f>PROPER(TRIM('Raw Sales'!D658))</x:f>
        <x:v>Sara Johnson</x:v>
      </x:c>
      <x:c r="H658" s="84" t="str">
        <x:f>IF(TRIM('Raw Sales'!E658)="","Unknown",PROPER(TRIM('Raw Sales'!E658)))</x:f>
        <x:v>Consumer</x:v>
      </x:c>
      <x:c r="I658" s="84" t="str">
        <x:f>PROPER(TRIM('Raw Sales'!F658))</x:f>
        <x:v>West</x:v>
      </x:c>
      <x:c r="J658" s="84" t="str">
        <x:f>PROPER(TRIM('Raw Sales'!G658))</x:f>
        <x:v>Denver</x:v>
      </x:c>
      <x:c r="K658" s="84" t="str">
        <x:f>PROPER(TRIM('Raw Sales'!H658))</x:f>
        <x:v>Online</x:v>
      </x:c>
      <x:c r="L658" s="84" t="str">
        <x:f>'Raw Sales'!I658</x:f>
        <x:v>ELEC-005</x:v>
      </x:c>
      <x:c r="M658" s="84" t="str">
        <x:f>IFERROR(VLOOKUP(L658,'Reference Data'!$A$5:$F$40,2,FALSE),"Unknown Product")</x:f>
        <x:v>HD Webcam</x:v>
      </x:c>
      <x:c r="N658" s="84" t="str">
        <x:f>IFERROR(VLOOKUP(L658,'Reference Data'!$A$5:$F$40,3,FALSE),"Unknown")</x:f>
        <x:v>Electronics</x:v>
      </x:c>
      <x:c r="O658" s="84" t="str">
        <x:f>IFERROR(VLOOKUP(L658,'Reference Data'!$A$5:$F$40,4,FALSE),"Unknown")</x:f>
        <x:v>Computer Accessories</x:v>
      </x:c>
      <x:c r="P658" s="92" t="n">
        <x:f>IFERROR(VLOOKUP(L658,'Reference Data'!$A$5:$F$40,5,FALSE),0)</x:f>
        <x:v>79</x:v>
      </x:c>
      <x:c r="Q658" s="92" t="n">
        <x:f>IFERROR(VLOOKUP(L658,'Reference Data'!$A$5:$F$40,6,FALSE),0)</x:f>
        <x:v>37</x:v>
      </x:c>
      <x:c r="R658" s="84" t="n">
        <x:f>'Raw Sales'!J658</x:f>
        <x:v>1</x:v>
      </x:c>
      <x:c r="S658" s="87" t="n">
        <x:f>'Raw Sales'!K658</x:f>
        <x:v>0.1</x:v>
      </x:c>
      <x:c r="T658" s="93" t="n">
        <x:f>P658*R658</x:f>
        <x:v>79</x:v>
      </x:c>
      <x:c r="U658" s="93" t="n">
        <x:f>T658*S658</x:f>
        <x:v>7.9</x:v>
      </x:c>
      <x:c r="V658" s="93" t="str">
        <x:f>PROPER(TRIM('Raw Sales'!L658))</x:f>
        <x:v>Returned</x:v>
      </x:c>
      <x:c r="W658" s="93" t="n">
        <x:f>IF(V658="Returned",0,T658-U658)</x:f>
        <x:v>0</x:v>
      </x:c>
      <x:c r="X658" s="93" t="n">
        <x:f>IF(V658="Returned",Q658*R658*10%,Q658*R658)</x:f>
        <x:v>3.7</x:v>
      </x:c>
      <x:c r="Y658" s="93" t="n">
        <x:f>W658-X658</x:f>
        <x:v>-3.7</x:v>
      </x:c>
      <x:c r="Z658" s="94" t="n">
        <x:f>IFERROR(Y658/W658,0)</x:f>
        <x:v>0</x:v>
      </x:c>
      <x:c r="AA658" s="84" t="str">
        <x:f>PROPER(TRIM('Raw Sales'!M658))</x:f>
        <x:v>Debit Card</x:v>
      </x:c>
      <x:c r="AB658" s="84" t="str">
        <x:f>PROPER(TRIM('Raw Sales'!N658))</x:f>
        <x:v>Nora Kim</x:v>
      </x:c>
      <x:c r="AC658" s="85" t="n">
        <x:f>'Raw Sales'!O658</x:f>
        <x:v>45534</x:v>
      </x:c>
      <x:c r="AD658" s="84" t="n">
        <x:f>AC658-B658</x:f>
        <x:v>4</x:v>
      </x:c>
      <x:c r="AE658" s="84" t="str">
        <x:f>IF(COUNTIF($A$5:A658,A658)&gt;1,"Duplicate","Keep")</x:f>
        <x:v>Keep</x:v>
      </x:c>
      <x:c r="AF658" s="84" t="str">
        <x:f>IF(OR(R658&lt;=0,AC658&lt;B658,H658="Unknown",M658="Unknown Product"),"Review","Valid")</x:f>
        <x:v>Valid</x:v>
      </x:c>
      <x:c r="AG658" s="84" t="n">
        <x:f>IF(AND(AE658="Keep",AF658="Valid"),1,0)</x:f>
        <x:v>1</x:v>
      </x:c>
      <x:c r="AH658" s="84" t="n">
        <x:f>IF(AND(AG658=1,OR('Dashboard'!$B$4="All",I658='Dashboard'!$B$4),OR('Dashboard'!$E$4="All",N658='Dashboard'!$E$4),OR('Dashboard'!$H$4="All",K658='Dashboard'!$H$4),OR('Dashboard'!$K$4="All",C658='Dashboard'!$K$4)),1,0)</x:f>
        <x:v>1</x:v>
      </x:c>
      <x:c r="AI658" s="84" t="n">
        <x:f>IF(AND(AG658=1,OR('Dashboard'!$B$4="All",I658='Dashboard'!$B$4),OR('Dashboard'!$E$4="All",N658='Dashboard'!$E$4),OR('Dashboard'!$H$4="All",K658='Dashboard'!$H$4)),1,0)</x:f>
        <x:v>1</x:v>
      </x:c>
    </x:row>
    <x:row r="659">
      <x:c r="A659" s="84" t="str">
        <x:f>'Raw Sales'!A659</x:f>
        <x:v>ORD-2024-00228</x:v>
      </x:c>
      <x:c r="B659" s="85" t="n">
        <x:f>'Raw Sales'!B659</x:f>
        <x:v>45531</x:v>
      </x:c>
      <x:c r="C659" s="84" t="n">
        <x:f>YEAR(B659)</x:f>
        <x:v>2024</x:v>
      </x:c>
      <x:c r="D659" s="91" t="n">
        <x:f>DATE(YEAR(B659),MONTH(B659),1)</x:f>
        <x:v>45505</x:v>
      </x:c>
      <x:c r="E659" s="84" t="str">
        <x:f>TEXT(B659,"mmm")</x:f>
        <x:v>Aug</x:v>
      </x:c>
      <x:c r="F659" s="84" t="str">
        <x:f>'Raw Sales'!C659</x:f>
        <x:v>CUST-0415</x:v>
      </x:c>
      <x:c r="G659" s="84" t="str">
        <x:f>PROPER(TRIM('Raw Sales'!D659))</x:f>
        <x:v>Zara Foster</x:v>
      </x:c>
      <x:c r="H659" s="84" t="str">
        <x:f>IF(TRIM('Raw Sales'!E659)="","Unknown",PROPER(TRIM('Raw Sales'!E659)))</x:f>
        <x:v>Corporate</x:v>
      </x:c>
      <x:c r="I659" s="84" t="str">
        <x:f>PROPER(TRIM('Raw Sales'!F659))</x:f>
        <x:v>Southeast</x:v>
      </x:c>
      <x:c r="J659" s="84" t="str">
        <x:f>PROPER(TRIM('Raw Sales'!G659))</x:f>
        <x:v>Charlotte</x:v>
      </x:c>
      <x:c r="K659" s="84" t="str">
        <x:f>PROPER(TRIM('Raw Sales'!H659))</x:f>
        <x:v>Retail Store</x:v>
      </x:c>
      <x:c r="L659" s="84" t="str">
        <x:f>'Raw Sales'!I659</x:f>
        <x:v>OFFC-004</x:v>
      </x:c>
      <x:c r="M659" s="84" t="str">
        <x:f>IFERROR(VLOOKUP(L659,'Reference Data'!$A$5:$F$40,2,FALSE),"Unknown Product")</x:f>
        <x:v>Premium Notebook Pack</x:v>
      </x:c>
      <x:c r="N659" s="84" t="str">
        <x:f>IFERROR(VLOOKUP(L659,'Reference Data'!$A$5:$F$40,3,FALSE),"Unknown")</x:f>
        <x:v>Office</x:v>
      </x:c>
      <x:c r="O659" s="84" t="str">
        <x:f>IFERROR(VLOOKUP(L659,'Reference Data'!$A$5:$F$40,4,FALSE),"Unknown")</x:f>
        <x:v>Stationery</x:v>
      </x:c>
      <x:c r="P659" s="92" t="n">
        <x:f>IFERROR(VLOOKUP(L659,'Reference Data'!$A$5:$F$40,5,FALSE),0)</x:f>
        <x:v>18</x:v>
      </x:c>
      <x:c r="Q659" s="92" t="n">
        <x:f>IFERROR(VLOOKUP(L659,'Reference Data'!$A$5:$F$40,6,FALSE),0)</x:f>
        <x:v>6.5</x:v>
      </x:c>
      <x:c r="R659" s="84" t="n">
        <x:f>'Raw Sales'!J659</x:f>
        <x:v>2</x:v>
      </x:c>
      <x:c r="S659" s="87" t="n">
        <x:f>'Raw Sales'!K659</x:f>
        <x:v>0.1</x:v>
      </x:c>
      <x:c r="T659" s="93" t="n">
        <x:f>P659*R659</x:f>
        <x:v>36</x:v>
      </x:c>
      <x:c r="U659" s="93" t="n">
        <x:f>T659*S659</x:f>
        <x:v>3.6</x:v>
      </x:c>
      <x:c r="V659" s="93" t="str">
        <x:f>PROPER(TRIM('Raw Sales'!L659))</x:f>
        <x:v>Completed</x:v>
      </x:c>
      <x:c r="W659" s="93" t="n">
        <x:f>IF(V659="Returned",0,T659-U659)</x:f>
        <x:v>32.4</x:v>
      </x:c>
      <x:c r="X659" s="93" t="n">
        <x:f>IF(V659="Returned",Q659*R659*10%,Q659*R659)</x:f>
        <x:v>13</x:v>
      </x:c>
      <x:c r="Y659" s="93" t="n">
        <x:f>W659-X659</x:f>
        <x:v>19.4</x:v>
      </x:c>
      <x:c r="Z659" s="94" t="n">
        <x:f>IFERROR(Y659/W659,0)</x:f>
        <x:v>0.5987654320987654</x:v>
      </x:c>
      <x:c r="AA659" s="84" t="str">
        <x:f>PROPER(TRIM('Raw Sales'!M659))</x:f>
        <x:v>Cash</x:v>
      </x:c>
      <x:c r="AB659" s="84" t="str">
        <x:f>PROPER(TRIM('Raw Sales'!N659))</x:f>
        <x:v>Noah Reed</x:v>
      </x:c>
      <x:c r="AC659" s="85" t="n">
        <x:f>'Raw Sales'!O659</x:f>
        <x:v>45531</x:v>
      </x:c>
      <x:c r="AD659" s="84" t="n">
        <x:f>AC659-B659</x:f>
        <x:v>0</x:v>
      </x:c>
      <x:c r="AE659" s="84" t="str">
        <x:f>IF(COUNTIF($A$5:A659,A659)&gt;1,"Duplicate","Keep")</x:f>
        <x:v>Keep</x:v>
      </x:c>
      <x:c r="AF659" s="84" t="str">
        <x:f>IF(OR(R659&lt;=0,AC659&lt;B659,H659="Unknown",M659="Unknown Product"),"Review","Valid")</x:f>
        <x:v>Valid</x:v>
      </x:c>
      <x:c r="AG659" s="84" t="n">
        <x:f>IF(AND(AE659="Keep",AF659="Valid"),1,0)</x:f>
        <x:v>1</x:v>
      </x:c>
      <x:c r="AH659" s="84" t="n">
        <x:f>IF(AND(AG659=1,OR('Dashboard'!$B$4="All",I659='Dashboard'!$B$4),OR('Dashboard'!$E$4="All",N659='Dashboard'!$E$4),OR('Dashboard'!$H$4="All",K659='Dashboard'!$H$4),OR('Dashboard'!$K$4="All",C659='Dashboard'!$K$4)),1,0)</x:f>
        <x:v>1</x:v>
      </x:c>
      <x:c r="AI659" s="84" t="n">
        <x:f>IF(AND(AG659=1,OR('Dashboard'!$B$4="All",I659='Dashboard'!$B$4),OR('Dashboard'!$E$4="All",N659='Dashboard'!$E$4),OR('Dashboard'!$H$4="All",K659='Dashboard'!$H$4)),1,0)</x:f>
        <x:v>1</x:v>
      </x:c>
    </x:row>
    <x:row r="660">
      <x:c r="A660" s="84" t="str">
        <x:f>'Raw Sales'!A660</x:f>
        <x:v>ORD-2024-00409</x:v>
      </x:c>
      <x:c r="B660" s="85" t="n">
        <x:f>'Raw Sales'!B660</x:f>
        <x:v>45531</x:v>
      </x:c>
      <x:c r="C660" s="84" t="n">
        <x:f>YEAR(B660)</x:f>
        <x:v>2024</x:v>
      </x:c>
      <x:c r="D660" s="91" t="n">
        <x:f>DATE(YEAR(B660),MONTH(B660),1)</x:f>
        <x:v>45505</x:v>
      </x:c>
      <x:c r="E660" s="84" t="str">
        <x:f>TEXT(B660,"mmm")</x:f>
        <x:v>Aug</x:v>
      </x:c>
      <x:c r="F660" s="84" t="str">
        <x:f>'Raw Sales'!C660</x:f>
        <x:v>CUST-0158</x:v>
      </x:c>
      <x:c r="G660" s="84" t="str">
        <x:f>PROPER(TRIM('Raw Sales'!D660))</x:f>
        <x:v>Nina Moore</x:v>
      </x:c>
      <x:c r="H660" s="84" t="str">
        <x:f>IF(TRIM('Raw Sales'!E660)="","Unknown",PROPER(TRIM('Raw Sales'!E660)))</x:f>
        <x:v>Consumer</x:v>
      </x:c>
      <x:c r="I660" s="84" t="str">
        <x:f>PROPER(TRIM('Raw Sales'!F660))</x:f>
        <x:v>Northeast</x:v>
      </x:c>
      <x:c r="J660" s="84" t="str">
        <x:f>PROPER(TRIM('Raw Sales'!G660))</x:f>
        <x:v>Newark</x:v>
      </x:c>
      <x:c r="K660" s="84" t="str">
        <x:f>PROPER(TRIM('Raw Sales'!H660))</x:f>
        <x:v>Retail Store</x:v>
      </x:c>
      <x:c r="L660" s="84" t="str">
        <x:f>'Raw Sales'!I660</x:f>
        <x:v>HOME-003</x:v>
      </x:c>
      <x:c r="M660" s="84" t="str">
        <x:f>IFERROR(VLOOKUP(L660,'Reference Data'!$A$5:$F$40,2,FALSE),"Unknown Product")</x:f>
        <x:v>Countertop Blender</x:v>
      </x:c>
      <x:c r="N660" s="84" t="str">
        <x:f>IFERROR(VLOOKUP(L660,'Reference Data'!$A$5:$F$40,3,FALSE),"Unknown")</x:f>
        <x:v>Home &amp; Kitchen</x:v>
      </x:c>
      <x:c r="O660" s="84" t="str">
        <x:f>IFERROR(VLOOKUP(L660,'Reference Data'!$A$5:$F$40,4,FALSE),"Unknown")</x:f>
        <x:v>Small Appliances</x:v>
      </x:c>
      <x:c r="P660" s="92" t="n">
        <x:f>IFERROR(VLOOKUP(L660,'Reference Data'!$A$5:$F$40,5,FALSE),0)</x:f>
        <x:v>89</x:v>
      </x:c>
      <x:c r="Q660" s="92" t="n">
        <x:f>IFERROR(VLOOKUP(L660,'Reference Data'!$A$5:$F$40,6,FALSE),0)</x:f>
        <x:v>46</x:v>
      </x:c>
      <x:c r="R660" s="84" t="n">
        <x:f>'Raw Sales'!J660</x:f>
        <x:v>1</x:v>
      </x:c>
      <x:c r="S660" s="87" t="n">
        <x:f>'Raw Sales'!K660</x:f>
        <x:v>0.1</x:v>
      </x:c>
      <x:c r="T660" s="93" t="n">
        <x:f>P660*R660</x:f>
        <x:v>89</x:v>
      </x:c>
      <x:c r="U660" s="93" t="n">
        <x:f>T660*S660</x:f>
        <x:v>8.9</x:v>
      </x:c>
      <x:c r="V660" s="93" t="str">
        <x:f>PROPER(TRIM('Raw Sales'!L660))</x:f>
        <x:v>Completed</x:v>
      </x:c>
      <x:c r="W660" s="93" t="n">
        <x:f>IF(V660="Returned",0,T660-U660)</x:f>
        <x:v>80.1</x:v>
      </x:c>
      <x:c r="X660" s="93" t="n">
        <x:f>IF(V660="Returned",Q660*R660*10%,Q660*R660)</x:f>
        <x:v>46</x:v>
      </x:c>
      <x:c r="Y660" s="93" t="n">
        <x:f>W660-X660</x:f>
        <x:v>34.099999999999994</x:v>
      </x:c>
      <x:c r="Z660" s="94" t="n">
        <x:f>IFERROR(Y660/W660,0)</x:f>
        <x:v>0.4257178526841448</x:v>
      </x:c>
      <x:c r="AA660" s="84" t="str">
        <x:f>PROPER(TRIM('Raw Sales'!M660))</x:f>
        <x:v>Debit Card</x:v>
      </x:c>
      <x:c r="AB660" s="84" t="str">
        <x:f>PROPER(TRIM('Raw Sales'!N660))</x:f>
        <x:v>Sofia Bennett</x:v>
      </x:c>
      <x:c r="AC660" s="85" t="n">
        <x:f>'Raw Sales'!O660</x:f>
        <x:v>45531</x:v>
      </x:c>
      <x:c r="AD660" s="84" t="n">
        <x:f>AC660-B660</x:f>
        <x:v>0</x:v>
      </x:c>
      <x:c r="AE660" s="84" t="str">
        <x:f>IF(COUNTIF($A$5:A660,A660)&gt;1,"Duplicate","Keep")</x:f>
        <x:v>Keep</x:v>
      </x:c>
      <x:c r="AF660" s="84" t="str">
        <x:f>IF(OR(R660&lt;=0,AC660&lt;B660,H660="Unknown",M660="Unknown Product"),"Review","Valid")</x:f>
        <x:v>Valid</x:v>
      </x:c>
      <x:c r="AG660" s="84" t="n">
        <x:f>IF(AND(AE660="Keep",AF660="Valid"),1,0)</x:f>
        <x:v>1</x:v>
      </x:c>
      <x:c r="AH660" s="84" t="n">
        <x:f>IF(AND(AG660=1,OR('Dashboard'!$B$4="All",I660='Dashboard'!$B$4),OR('Dashboard'!$E$4="All",N660='Dashboard'!$E$4),OR('Dashboard'!$H$4="All",K660='Dashboard'!$H$4),OR('Dashboard'!$K$4="All",C660='Dashboard'!$K$4)),1,0)</x:f>
        <x:v>1</x:v>
      </x:c>
      <x:c r="AI660" s="84" t="n">
        <x:f>IF(AND(AG660=1,OR('Dashboard'!$B$4="All",I660='Dashboard'!$B$4),OR('Dashboard'!$E$4="All",N660='Dashboard'!$E$4),OR('Dashboard'!$H$4="All",K660='Dashboard'!$H$4)),1,0)</x:f>
        <x:v>1</x:v>
      </x:c>
    </x:row>
    <x:row r="661">
      <x:c r="A661" s="84" t="str">
        <x:f>'Raw Sales'!A661</x:f>
        <x:v>ORD-2024-00409</x:v>
      </x:c>
      <x:c r="B661" s="85" t="n">
        <x:f>'Raw Sales'!B661</x:f>
        <x:v>45531</x:v>
      </x:c>
      <x:c r="C661" s="84" t="n">
        <x:f>YEAR(B661)</x:f>
        <x:v>2024</x:v>
      </x:c>
      <x:c r="D661" s="91" t="n">
        <x:f>DATE(YEAR(B661),MONTH(B661),1)</x:f>
        <x:v>45505</x:v>
      </x:c>
      <x:c r="E661" s="84" t="str">
        <x:f>TEXT(B661,"mmm")</x:f>
        <x:v>Aug</x:v>
      </x:c>
      <x:c r="F661" s="84" t="str">
        <x:f>'Raw Sales'!C661</x:f>
        <x:v>CUST-0158</x:v>
      </x:c>
      <x:c r="G661" s="84" t="str">
        <x:f>PROPER(TRIM('Raw Sales'!D661))</x:f>
        <x:v>Nina Moore</x:v>
      </x:c>
      <x:c r="H661" s="84" t="str">
        <x:f>IF(TRIM('Raw Sales'!E661)="","Unknown",PROPER(TRIM('Raw Sales'!E661)))</x:f>
        <x:v>Consumer</x:v>
      </x:c>
      <x:c r="I661" s="84" t="str">
        <x:f>PROPER(TRIM('Raw Sales'!F661))</x:f>
        <x:v>Northeast</x:v>
      </x:c>
      <x:c r="J661" s="84" t="str">
        <x:f>PROPER(TRIM('Raw Sales'!G661))</x:f>
        <x:v>Newark</x:v>
      </x:c>
      <x:c r="K661" s="84" t="str">
        <x:f>PROPER(TRIM('Raw Sales'!H661))</x:f>
        <x:v>Retail Store</x:v>
      </x:c>
      <x:c r="L661" s="84" t="str">
        <x:f>'Raw Sales'!I661</x:f>
        <x:v>HOME-003</x:v>
      </x:c>
      <x:c r="M661" s="84" t="str">
        <x:f>IFERROR(VLOOKUP(L661,'Reference Data'!$A$5:$F$40,2,FALSE),"Unknown Product")</x:f>
        <x:v>Countertop Blender</x:v>
      </x:c>
      <x:c r="N661" s="84" t="str">
        <x:f>IFERROR(VLOOKUP(L661,'Reference Data'!$A$5:$F$40,3,FALSE),"Unknown")</x:f>
        <x:v>Home &amp; Kitchen</x:v>
      </x:c>
      <x:c r="O661" s="84" t="str">
        <x:f>IFERROR(VLOOKUP(L661,'Reference Data'!$A$5:$F$40,4,FALSE),"Unknown")</x:f>
        <x:v>Small Appliances</x:v>
      </x:c>
      <x:c r="P661" s="92" t="n">
        <x:f>IFERROR(VLOOKUP(L661,'Reference Data'!$A$5:$F$40,5,FALSE),0)</x:f>
        <x:v>89</x:v>
      </x:c>
      <x:c r="Q661" s="92" t="n">
        <x:f>IFERROR(VLOOKUP(L661,'Reference Data'!$A$5:$F$40,6,FALSE),0)</x:f>
        <x:v>46</x:v>
      </x:c>
      <x:c r="R661" s="84" t="n">
        <x:f>'Raw Sales'!J661</x:f>
        <x:v>1</x:v>
      </x:c>
      <x:c r="S661" s="87" t="n">
        <x:f>'Raw Sales'!K661</x:f>
        <x:v>0.1</x:v>
      </x:c>
      <x:c r="T661" s="93" t="n">
        <x:f>P661*R661</x:f>
        <x:v>89</x:v>
      </x:c>
      <x:c r="U661" s="93" t="n">
        <x:f>T661*S661</x:f>
        <x:v>8.9</x:v>
      </x:c>
      <x:c r="V661" s="93" t="str">
        <x:f>PROPER(TRIM('Raw Sales'!L661))</x:f>
        <x:v>Completed</x:v>
      </x:c>
      <x:c r="W661" s="93" t="n">
        <x:f>IF(V661="Returned",0,T661-U661)</x:f>
        <x:v>80.1</x:v>
      </x:c>
      <x:c r="X661" s="93" t="n">
        <x:f>IF(V661="Returned",Q661*R661*10%,Q661*R661)</x:f>
        <x:v>46</x:v>
      </x:c>
      <x:c r="Y661" s="93" t="n">
        <x:f>W661-X661</x:f>
        <x:v>34.099999999999994</x:v>
      </x:c>
      <x:c r="Z661" s="94" t="n">
        <x:f>IFERROR(Y661/W661,0)</x:f>
        <x:v>0.4257178526841448</x:v>
      </x:c>
      <x:c r="AA661" s="84" t="str">
        <x:f>PROPER(TRIM('Raw Sales'!M661))</x:f>
        <x:v>Debit Card</x:v>
      </x:c>
      <x:c r="AB661" s="84" t="str">
        <x:f>PROPER(TRIM('Raw Sales'!N661))</x:f>
        <x:v>Sofia Bennett</x:v>
      </x:c>
      <x:c r="AC661" s="85" t="n">
        <x:f>'Raw Sales'!O661</x:f>
        <x:v>45531</x:v>
      </x:c>
      <x:c r="AD661" s="84" t="n">
        <x:f>AC661-B661</x:f>
        <x:v>0</x:v>
      </x:c>
      <x:c r="AE661" s="84" t="str">
        <x:f>IF(COUNTIF($A$5:A661,A661)&gt;1,"Duplicate","Keep")</x:f>
        <x:v>Duplicate</x:v>
      </x:c>
      <x:c r="AF661" s="84" t="str">
        <x:f>IF(OR(R661&lt;=0,AC661&lt;B661,H661="Unknown",M661="Unknown Product"),"Review","Valid")</x:f>
        <x:v>Valid</x:v>
      </x:c>
      <x:c r="AG661" s="84" t="n">
        <x:f>IF(AND(AE661="Keep",AF661="Valid"),1,0)</x:f>
        <x:v>0</x:v>
      </x:c>
      <x:c r="AH661" s="84" t="n">
        <x:f>IF(AND(AG661=1,OR('Dashboard'!$B$4="All",I661='Dashboard'!$B$4),OR('Dashboard'!$E$4="All",N661='Dashboard'!$E$4),OR('Dashboard'!$H$4="All",K661='Dashboard'!$H$4),OR('Dashboard'!$K$4="All",C661='Dashboard'!$K$4)),1,0)</x:f>
        <x:v>0</x:v>
      </x:c>
      <x:c r="AI661" s="84" t="n">
        <x:f>IF(AND(AG661=1,OR('Dashboard'!$B$4="All",I661='Dashboard'!$B$4),OR('Dashboard'!$E$4="All",N661='Dashboard'!$E$4),OR('Dashboard'!$H$4="All",K661='Dashboard'!$H$4)),1,0)</x:f>
        <x:v>0</x:v>
      </x:c>
    </x:row>
    <x:row r="662">
      <x:c r="A662" s="84" t="str">
        <x:f>'Raw Sales'!A662</x:f>
        <x:v>ORD-2024-01189</x:v>
      </x:c>
      <x:c r="B662" s="85" t="n">
        <x:f>'Raw Sales'!B662</x:f>
        <x:v>45531</x:v>
      </x:c>
      <x:c r="C662" s="84" t="n">
        <x:f>YEAR(B662)</x:f>
        <x:v>2024</x:v>
      </x:c>
      <x:c r="D662" s="91" t="n">
        <x:f>DATE(YEAR(B662),MONTH(B662),1)</x:f>
        <x:v>45505</x:v>
      </x:c>
      <x:c r="E662" s="84" t="str">
        <x:f>TEXT(B662,"mmm")</x:f>
        <x:v>Aug</x:v>
      </x:c>
      <x:c r="F662" s="84" t="str">
        <x:f>'Raw Sales'!C662</x:f>
        <x:v>CUST-0029</x:v>
      </x:c>
      <x:c r="G662" s="84" t="str">
        <x:f>PROPER(TRIM('Raw Sales'!D662))</x:f>
        <x:v>Theo Ortiz</x:v>
      </x:c>
      <x:c r="H662" s="84" t="str">
        <x:f>IF(TRIM('Raw Sales'!E662)="","Unknown",PROPER(TRIM('Raw Sales'!E662)))</x:f>
        <x:v>Corporate</x:v>
      </x:c>
      <x:c r="I662" s="84" t="str">
        <x:f>PROPER(TRIM('Raw Sales'!F662))</x:f>
        <x:v>Northeast</x:v>
      </x:c>
      <x:c r="J662" s="84" t="str">
        <x:f>PROPER(TRIM('Raw Sales'!G662))</x:f>
        <x:v>Philadelphia</x:v>
      </x:c>
      <x:c r="K662" s="84" t="str">
        <x:f>PROPER(TRIM('Raw Sales'!H662))</x:f>
        <x:v>Online</x:v>
      </x:c>
      <x:c r="L662" s="84" t="str">
        <x:f>'Raw Sales'!I662</x:f>
        <x:v>FITN-002</x:v>
      </x:c>
      <x:c r="M662" s="84" t="str">
        <x:f>IFERROR(VLOOKUP(L662,'Reference Data'!$A$5:$F$40,2,FALSE),"Unknown Product")</x:f>
        <x:v>Adjustable Dumbbell Set</x:v>
      </x:c>
      <x:c r="N662" s="84" t="str">
        <x:f>IFERROR(VLOOKUP(L662,'Reference Data'!$A$5:$F$40,3,FALSE),"Unknown")</x:f>
        <x:v>Fitness</x:v>
      </x:c>
      <x:c r="O662" s="84" t="str">
        <x:f>IFERROR(VLOOKUP(L662,'Reference Data'!$A$5:$F$40,4,FALSE),"Unknown")</x:f>
        <x:v>Strength</x:v>
      </x:c>
      <x:c r="P662" s="92" t="n">
        <x:f>IFERROR(VLOOKUP(L662,'Reference Data'!$A$5:$F$40,5,FALSE),0)</x:f>
        <x:v>99</x:v>
      </x:c>
      <x:c r="Q662" s="92" t="n">
        <x:f>IFERROR(VLOOKUP(L662,'Reference Data'!$A$5:$F$40,6,FALSE),0)</x:f>
        <x:v>57</x:v>
      </x:c>
      <x:c r="R662" s="84" t="n">
        <x:f>'Raw Sales'!J662</x:f>
        <x:v>3</x:v>
      </x:c>
      <x:c r="S662" s="87" t="n">
        <x:f>'Raw Sales'!K662</x:f>
        <x:v>0.1</x:v>
      </x:c>
      <x:c r="T662" s="93" t="n">
        <x:f>P662*R662</x:f>
        <x:v>297</x:v>
      </x:c>
      <x:c r="U662" s="93" t="n">
        <x:f>T662*S662</x:f>
        <x:v>29.700000000000003</x:v>
      </x:c>
      <x:c r="V662" s="93" t="str">
        <x:f>PROPER(TRIM('Raw Sales'!L662))</x:f>
        <x:v>Returned</x:v>
      </x:c>
      <x:c r="W662" s="93" t="n">
        <x:f>IF(V662="Returned",0,T662-U662)</x:f>
        <x:v>0</x:v>
      </x:c>
      <x:c r="X662" s="93" t="n">
        <x:f>IF(V662="Returned",Q662*R662*10%,Q662*R662)</x:f>
        <x:v>17.1</x:v>
      </x:c>
      <x:c r="Y662" s="93" t="n">
        <x:f>W662-X662</x:f>
        <x:v>-17.1</x:v>
      </x:c>
      <x:c r="Z662" s="94" t="n">
        <x:f>IFERROR(Y662/W662,0)</x:f>
        <x:v>0</x:v>
      </x:c>
      <x:c r="AA662" s="84" t="str">
        <x:f>PROPER(TRIM('Raw Sales'!M662))</x:f>
        <x:v>Paypal</x:v>
      </x:c>
      <x:c r="AB662" s="84" t="str">
        <x:f>PROPER(TRIM('Raw Sales'!N662))</x:f>
        <x:v>Sofia Bennett</x:v>
      </x:c>
      <x:c r="AC662" s="85" t="n">
        <x:f>'Raw Sales'!O662</x:f>
        <x:v>45534</x:v>
      </x:c>
      <x:c r="AD662" s="84" t="n">
        <x:f>AC662-B662</x:f>
        <x:v>3</x:v>
      </x:c>
      <x:c r="AE662" s="84" t="str">
        <x:f>IF(COUNTIF($A$5:A662,A662)&gt;1,"Duplicate","Keep")</x:f>
        <x:v>Keep</x:v>
      </x:c>
      <x:c r="AF662" s="84" t="str">
        <x:f>IF(OR(R662&lt;=0,AC662&lt;B662,H662="Unknown",M662="Unknown Product"),"Review","Valid")</x:f>
        <x:v>Valid</x:v>
      </x:c>
      <x:c r="AG662" s="84" t="n">
        <x:f>IF(AND(AE662="Keep",AF662="Valid"),1,0)</x:f>
        <x:v>1</x:v>
      </x:c>
      <x:c r="AH662" s="84" t="n">
        <x:f>IF(AND(AG662=1,OR('Dashboard'!$B$4="All",I662='Dashboard'!$B$4),OR('Dashboard'!$E$4="All",N662='Dashboard'!$E$4),OR('Dashboard'!$H$4="All",K662='Dashboard'!$H$4),OR('Dashboard'!$K$4="All",C662='Dashboard'!$K$4)),1,0)</x:f>
        <x:v>1</x:v>
      </x:c>
      <x:c r="AI662" s="84" t="n">
        <x:f>IF(AND(AG662=1,OR('Dashboard'!$B$4="All",I662='Dashboard'!$B$4),OR('Dashboard'!$E$4="All",N662='Dashboard'!$E$4),OR('Dashboard'!$H$4="All",K662='Dashboard'!$H$4)),1,0)</x:f>
        <x:v>1</x:v>
      </x:c>
    </x:row>
    <x:row r="663">
      <x:c r="A663" s="84" t="str">
        <x:f>'Raw Sales'!A663</x:f>
        <x:v>ORD-2024-00542</x:v>
      </x:c>
      <x:c r="B663" s="85" t="n">
        <x:f>'Raw Sales'!B663</x:f>
        <x:v>45532</x:v>
      </x:c>
      <x:c r="C663" s="84" t="n">
        <x:f>YEAR(B663)</x:f>
        <x:v>2024</x:v>
      </x:c>
      <x:c r="D663" s="91" t="n">
        <x:f>DATE(YEAR(B663),MONTH(B663),1)</x:f>
        <x:v>45505</x:v>
      </x:c>
      <x:c r="E663" s="84" t="str">
        <x:f>TEXT(B663,"mmm")</x:f>
        <x:v>Aug</x:v>
      </x:c>
      <x:c r="F663" s="84" t="str">
        <x:f>'Raw Sales'!C663</x:f>
        <x:v>CUST-0129</x:v>
      </x:c>
      <x:c r="G663" s="84" t="str">
        <x:f>PROPER(TRIM('Raw Sales'!D663))</x:f>
        <x:v>Owen Walker</x:v>
      </x:c>
      <x:c r="H663" s="84" t="str">
        <x:f>IF(TRIM('Raw Sales'!E663)="","Unknown",PROPER(TRIM('Raw Sales'!E663)))</x:f>
        <x:v>Corporate</x:v>
      </x:c>
      <x:c r="I663" s="84" t="str">
        <x:f>PROPER(TRIM('Raw Sales'!F663))</x:f>
        <x:v>Midwest</x:v>
      </x:c>
      <x:c r="J663" s="84" t="str">
        <x:f>PROPER(TRIM('Raw Sales'!G663))</x:f>
        <x:v>Chicago</x:v>
      </x:c>
      <x:c r="K663" s="84" t="str">
        <x:f>PROPER(TRIM('Raw Sales'!H663))</x:f>
        <x:v>Online</x:v>
      </x:c>
      <x:c r="L663" s="84" t="str">
        <x:f>'Raw Sales'!I663</x:f>
        <x:v>ELEC-006</x:v>
      </x:c>
      <x:c r="M663" s="84" t="str">
        <x:f>IFERROR(VLOOKUP(L663,'Reference Data'!$A$5:$F$40,2,FALSE),"Unknown Product")</x:f>
        <x:v>Portable SSD</x:v>
      </x:c>
      <x:c r="N663" s="84" t="str">
        <x:f>IFERROR(VLOOKUP(L663,'Reference Data'!$A$5:$F$40,3,FALSE),"Unknown")</x:f>
        <x:v>Electronics</x:v>
      </x:c>
      <x:c r="O663" s="84" t="str">
        <x:f>IFERROR(VLOOKUP(L663,'Reference Data'!$A$5:$F$40,4,FALSE),"Unknown")</x:f>
        <x:v>Storage</x:v>
      </x:c>
      <x:c r="P663" s="92" t="n">
        <x:f>IFERROR(VLOOKUP(L663,'Reference Data'!$A$5:$F$40,5,FALSE),0)</x:f>
        <x:v>129</x:v>
      </x:c>
      <x:c r="Q663" s="92" t="n">
        <x:f>IFERROR(VLOOKUP(L663,'Reference Data'!$A$5:$F$40,6,FALSE),0)</x:f>
        <x:v>75</x:v>
      </x:c>
      <x:c r="R663" s="84" t="n">
        <x:f>'Raw Sales'!J663</x:f>
        <x:v>1</x:v>
      </x:c>
      <x:c r="S663" s="87" t="n">
        <x:f>'Raw Sales'!K663</x:f>
        <x:v>0.1</x:v>
      </x:c>
      <x:c r="T663" s="93" t="n">
        <x:f>P663*R663</x:f>
        <x:v>129</x:v>
      </x:c>
      <x:c r="U663" s="93" t="n">
        <x:f>T663*S663</x:f>
        <x:v>12.9</x:v>
      </x:c>
      <x:c r="V663" s="93" t="str">
        <x:f>PROPER(TRIM('Raw Sales'!L663))</x:f>
        <x:v>Completed</x:v>
      </x:c>
      <x:c r="W663" s="93" t="n">
        <x:f>IF(V663="Returned",0,T663-U663)</x:f>
        <x:v>116.1</x:v>
      </x:c>
      <x:c r="X663" s="93" t="n">
        <x:f>IF(V663="Returned",Q663*R663*10%,Q663*R663)</x:f>
        <x:v>75</x:v>
      </x:c>
      <x:c r="Y663" s="93" t="n">
        <x:f>W663-X663</x:f>
        <x:v>41.099999999999994</x:v>
      </x:c>
      <x:c r="Z663" s="94" t="n">
        <x:f>IFERROR(Y663/W663,0)</x:f>
        <x:v>0.3540051679586563</x:v>
      </x:c>
      <x:c r="AA663" s="84" t="str">
        <x:f>PROPER(TRIM('Raw Sales'!M663))</x:f>
        <x:v>Mobile Wallet</x:v>
      </x:c>
      <x:c r="AB663" s="84" t="str">
        <x:f>PROPER(TRIM('Raw Sales'!N663))</x:f>
        <x:v>Zoe Turner</x:v>
      </x:c>
      <x:c r="AC663" s="85" t="n">
        <x:f>'Raw Sales'!O663</x:f>
        <x:v>45535</x:v>
      </x:c>
      <x:c r="AD663" s="84" t="n">
        <x:f>AC663-B663</x:f>
        <x:v>3</x:v>
      </x:c>
      <x:c r="AE663" s="84" t="str">
        <x:f>IF(COUNTIF($A$5:A663,A663)&gt;1,"Duplicate","Keep")</x:f>
        <x:v>Keep</x:v>
      </x:c>
      <x:c r="AF663" s="84" t="str">
        <x:f>IF(OR(R663&lt;=0,AC663&lt;B663,H663="Unknown",M663="Unknown Product"),"Review","Valid")</x:f>
        <x:v>Valid</x:v>
      </x:c>
      <x:c r="AG663" s="84" t="n">
        <x:f>IF(AND(AE663="Keep",AF663="Valid"),1,0)</x:f>
        <x:v>1</x:v>
      </x:c>
      <x:c r="AH663" s="84" t="n">
        <x:f>IF(AND(AG663=1,OR('Dashboard'!$B$4="All",I663='Dashboard'!$B$4),OR('Dashboard'!$E$4="All",N663='Dashboard'!$E$4),OR('Dashboard'!$H$4="All",K663='Dashboard'!$H$4),OR('Dashboard'!$K$4="All",C663='Dashboard'!$K$4)),1,0)</x:f>
        <x:v>1</x:v>
      </x:c>
      <x:c r="AI663" s="84" t="n">
        <x:f>IF(AND(AG663=1,OR('Dashboard'!$B$4="All",I663='Dashboard'!$B$4),OR('Dashboard'!$E$4="All",N663='Dashboard'!$E$4),OR('Dashboard'!$H$4="All",K663='Dashboard'!$H$4)),1,0)</x:f>
        <x:v>1</x:v>
      </x:c>
    </x:row>
    <x:row r="664">
      <x:c r="A664" s="84" t="str">
        <x:f>'Raw Sales'!A664</x:f>
        <x:v>ORD-2024-01455</x:v>
      </x:c>
      <x:c r="B664" s="85" t="n">
        <x:f>'Raw Sales'!B664</x:f>
        <x:v>45532</x:v>
      </x:c>
      <x:c r="C664" s="84" t="n">
        <x:f>YEAR(B664)</x:f>
        <x:v>2024</x:v>
      </x:c>
      <x:c r="D664" s="91" t="n">
        <x:f>DATE(YEAR(B664),MONTH(B664),1)</x:f>
        <x:v>45505</x:v>
      </x:c>
      <x:c r="E664" s="84" t="str">
        <x:f>TEXT(B664,"mmm")</x:f>
        <x:v>Aug</x:v>
      </x:c>
      <x:c r="F664" s="84" t="str">
        <x:f>'Raw Sales'!C664</x:f>
        <x:v>CUST-0307</x:v>
      </x:c>
      <x:c r="G664" s="84" t="str">
        <x:f>PROPER(TRIM('Raw Sales'!D664))</x:f>
        <x:v>Theo Patel</x:v>
      </x:c>
      <x:c r="H664" s="84" t="str">
        <x:f>IF(TRIM('Raw Sales'!E664)="","Unknown",PROPER(TRIM('Raw Sales'!E664)))</x:f>
        <x:v>Consumer</x:v>
      </x:c>
      <x:c r="I664" s="84" t="str">
        <x:f>PROPER(TRIM('Raw Sales'!F664))</x:f>
        <x:v>Midwest</x:v>
      </x:c>
      <x:c r="J664" s="84" t="str">
        <x:f>PROPER(TRIM('Raw Sales'!G664))</x:f>
        <x:v>Chicago</x:v>
      </x:c>
      <x:c r="K664" s="84" t="str">
        <x:f>PROPER(TRIM('Raw Sales'!H664))</x:f>
        <x:v>Retail Store</x:v>
      </x:c>
      <x:c r="L664" s="84" t="str">
        <x:f>'Raw Sales'!I664</x:f>
        <x:v>ELEC-003</x:v>
      </x:c>
      <x:c r="M664" s="84" t="str">
        <x:f>IFERROR(VLOOKUP(L664,'Reference Data'!$A$5:$F$40,2,FALSE),"Unknown Product")</x:f>
        <x:v>Bluetooth Speaker</x:v>
      </x:c>
      <x:c r="N664" s="84" t="str">
        <x:f>IFERROR(VLOOKUP(L664,'Reference Data'!$A$5:$F$40,3,FALSE),"Unknown")</x:f>
        <x:v>Electronics</x:v>
      </x:c>
      <x:c r="O664" s="84" t="str">
        <x:f>IFERROR(VLOOKUP(L664,'Reference Data'!$A$5:$F$40,4,FALSE),"Unknown")</x:f>
        <x:v>Audio</x:v>
      </x:c>
      <x:c r="P664" s="92" t="n">
        <x:f>IFERROR(VLOOKUP(L664,'Reference Data'!$A$5:$F$40,5,FALSE),0)</x:f>
        <x:v>89</x:v>
      </x:c>
      <x:c r="Q664" s="92" t="n">
        <x:f>IFERROR(VLOOKUP(L664,'Reference Data'!$A$5:$F$40,6,FALSE),0)</x:f>
        <x:v>44</x:v>
      </x:c>
      <x:c r="R664" s="84" t="n">
        <x:f>'Raw Sales'!J664</x:f>
        <x:v>1</x:v>
      </x:c>
      <x:c r="S664" s="87" t="n">
        <x:f>'Raw Sales'!K664</x:f>
        <x:v>0.1</x:v>
      </x:c>
      <x:c r="T664" s="93" t="n">
        <x:f>P664*R664</x:f>
        <x:v>89</x:v>
      </x:c>
      <x:c r="U664" s="93" t="n">
        <x:f>T664*S664</x:f>
        <x:v>8.9</x:v>
      </x:c>
      <x:c r="V664" s="93" t="str">
        <x:f>PROPER(TRIM('Raw Sales'!L664))</x:f>
        <x:v>Completed</x:v>
      </x:c>
      <x:c r="W664" s="93" t="n">
        <x:f>IF(V664="Returned",0,T664-U664)</x:f>
        <x:v>80.1</x:v>
      </x:c>
      <x:c r="X664" s="93" t="n">
        <x:f>IF(V664="Returned",Q664*R664*10%,Q664*R664)</x:f>
        <x:v>44</x:v>
      </x:c>
      <x:c r="Y664" s="93" t="n">
        <x:f>W664-X664</x:f>
        <x:v>36.099999999999994</x:v>
      </x:c>
      <x:c r="Z664" s="94" t="n">
        <x:f>IFERROR(Y664/W664,0)</x:f>
        <x:v>0.4506866416978776</x:v>
      </x:c>
      <x:c r="AA664" s="84" t="str">
        <x:f>PROPER(TRIM('Raw Sales'!M664))</x:f>
        <x:v>Cash</x:v>
      </x:c>
      <x:c r="AB664" s="84" t="str">
        <x:f>PROPER(TRIM('Raw Sales'!N664))</x:f>
        <x:v>Emma Hayes</x:v>
      </x:c>
      <x:c r="AC664" s="85" t="n">
        <x:f>'Raw Sales'!O664</x:f>
        <x:v>45532</x:v>
      </x:c>
      <x:c r="AD664" s="84" t="n">
        <x:f>AC664-B664</x:f>
        <x:v>0</x:v>
      </x:c>
      <x:c r="AE664" s="84" t="str">
        <x:f>IF(COUNTIF($A$5:A664,A664)&gt;1,"Duplicate","Keep")</x:f>
        <x:v>Keep</x:v>
      </x:c>
      <x:c r="AF664" s="84" t="str">
        <x:f>IF(OR(R664&lt;=0,AC664&lt;B664,H664="Unknown",M664="Unknown Product"),"Review","Valid")</x:f>
        <x:v>Valid</x:v>
      </x:c>
      <x:c r="AG664" s="84" t="n">
        <x:f>IF(AND(AE664="Keep",AF664="Valid"),1,0)</x:f>
        <x:v>1</x:v>
      </x:c>
      <x:c r="AH664" s="84" t="n">
        <x:f>IF(AND(AG664=1,OR('Dashboard'!$B$4="All",I664='Dashboard'!$B$4),OR('Dashboard'!$E$4="All",N664='Dashboard'!$E$4),OR('Dashboard'!$H$4="All",K664='Dashboard'!$H$4),OR('Dashboard'!$K$4="All",C664='Dashboard'!$K$4)),1,0)</x:f>
        <x:v>1</x:v>
      </x:c>
      <x:c r="AI664" s="84" t="n">
        <x:f>IF(AND(AG664=1,OR('Dashboard'!$B$4="All",I664='Dashboard'!$B$4),OR('Dashboard'!$E$4="All",N664='Dashboard'!$E$4),OR('Dashboard'!$H$4="All",K664='Dashboard'!$H$4)),1,0)</x:f>
        <x:v>1</x:v>
      </x:c>
    </x:row>
    <x:row r="665">
      <x:c r="A665" s="84" t="str">
        <x:f>'Raw Sales'!A665</x:f>
        <x:v>ORD-2024-02370</x:v>
      </x:c>
      <x:c r="B665" s="85" t="n">
        <x:f>'Raw Sales'!B665</x:f>
        <x:v>45532</x:v>
      </x:c>
      <x:c r="C665" s="84" t="n">
        <x:f>YEAR(B665)</x:f>
        <x:v>2024</x:v>
      </x:c>
      <x:c r="D665" s="91" t="n">
        <x:f>DATE(YEAR(B665),MONTH(B665),1)</x:f>
        <x:v>45505</x:v>
      </x:c>
      <x:c r="E665" s="84" t="str">
        <x:f>TEXT(B665,"mmm")</x:f>
        <x:v>Aug</x:v>
      </x:c>
      <x:c r="F665" s="84" t="str">
        <x:f>'Raw Sales'!C665</x:f>
        <x:v>CUST-0418</x:v>
      </x:c>
      <x:c r="G665" s="84" t="str">
        <x:f>PROPER(TRIM('Raw Sales'!D665))</x:f>
        <x:v>Grace Ortiz</x:v>
      </x:c>
      <x:c r="H665" s="84" t="str">
        <x:f>IF(TRIM('Raw Sales'!E665)="","Unknown",PROPER(TRIM('Raw Sales'!E665)))</x:f>
        <x:v>Small Business</x:v>
      </x:c>
      <x:c r="I665" s="84" t="str">
        <x:f>PROPER(TRIM('Raw Sales'!F665))</x:f>
        <x:v>West</x:v>
      </x:c>
      <x:c r="J665" s="84" t="str">
        <x:f>PROPER(TRIM('Raw Sales'!G665))</x:f>
        <x:v>Seattle</x:v>
      </x:c>
      <x:c r="K665" s="84" t="str">
        <x:f>PROPER(TRIM('Raw Sales'!H665))</x:f>
        <x:v>Online</x:v>
      </x:c>
      <x:c r="L665" s="84" t="str">
        <x:f>'Raw Sales'!I665</x:f>
        <x:v>HOME-001</x:v>
      </x:c>
      <x:c r="M665" s="84" t="str">
        <x:f>IFERROR(VLOOKUP(L665,'Reference Data'!$A$5:$F$40,2,FALSE),"Unknown Product")</x:f>
        <x:v>Air Fryer</x:v>
      </x:c>
      <x:c r="N665" s="84" t="str">
        <x:f>IFERROR(VLOOKUP(L665,'Reference Data'!$A$5:$F$40,3,FALSE),"Unknown")</x:f>
        <x:v>Home &amp; Kitchen</x:v>
      </x:c>
      <x:c r="O665" s="84" t="str">
        <x:f>IFERROR(VLOOKUP(L665,'Reference Data'!$A$5:$F$40,4,FALSE),"Unknown")</x:f>
        <x:v>Small Appliances</x:v>
      </x:c>
      <x:c r="P665" s="92" t="n">
        <x:f>IFERROR(VLOOKUP(L665,'Reference Data'!$A$5:$F$40,5,FALSE),0)</x:f>
        <x:v>119</x:v>
      </x:c>
      <x:c r="Q665" s="92" t="n">
        <x:f>IFERROR(VLOOKUP(L665,'Reference Data'!$A$5:$F$40,6,FALSE),0)</x:f>
        <x:v>68</x:v>
      </x:c>
      <x:c r="R665" s="84" t="n">
        <x:f>'Raw Sales'!J665</x:f>
        <x:v>2</x:v>
      </x:c>
      <x:c r="S665" s="87" t="n">
        <x:f>'Raw Sales'!K665</x:f>
        <x:v>0</x:v>
      </x:c>
      <x:c r="T665" s="93" t="n">
        <x:f>P665*R665</x:f>
        <x:v>238</x:v>
      </x:c>
      <x:c r="U665" s="93" t="n">
        <x:f>T665*S665</x:f>
        <x:v>0</x:v>
      </x:c>
      <x:c r="V665" s="93" t="str">
        <x:f>PROPER(TRIM('Raw Sales'!L665))</x:f>
        <x:v>Returned</x:v>
      </x:c>
      <x:c r="W665" s="93" t="n">
        <x:f>IF(V665="Returned",0,T665-U665)</x:f>
        <x:v>0</x:v>
      </x:c>
      <x:c r="X665" s="93" t="n">
        <x:f>IF(V665="Returned",Q665*R665*10%,Q665*R665)</x:f>
        <x:v>13.600000000000001</x:v>
      </x:c>
      <x:c r="Y665" s="93" t="n">
        <x:f>W665-X665</x:f>
        <x:v>-13.600000000000001</x:v>
      </x:c>
      <x:c r="Z665" s="94" t="n">
        <x:f>IFERROR(Y665/W665,0)</x:f>
        <x:v>0</x:v>
      </x:c>
      <x:c r="AA665" s="84" t="str">
        <x:f>PROPER(TRIM('Raw Sales'!M665))</x:f>
        <x:v>Paypal</x:v>
      </x:c>
      <x:c r="AB665" s="84" t="str">
        <x:f>PROPER(TRIM('Raw Sales'!N665))</x:f>
        <x:v>Nora Kim</x:v>
      </x:c>
      <x:c r="AC665" s="85" t="n">
        <x:f>'Raw Sales'!O665</x:f>
        <x:v>45535</x:v>
      </x:c>
      <x:c r="AD665" s="84" t="n">
        <x:f>AC665-B665</x:f>
        <x:v>3</x:v>
      </x:c>
      <x:c r="AE665" s="84" t="str">
        <x:f>IF(COUNTIF($A$5:A665,A665)&gt;1,"Duplicate","Keep")</x:f>
        <x:v>Keep</x:v>
      </x:c>
      <x:c r="AF665" s="84" t="str">
        <x:f>IF(OR(R665&lt;=0,AC665&lt;B665,H665="Unknown",M665="Unknown Product"),"Review","Valid")</x:f>
        <x:v>Valid</x:v>
      </x:c>
      <x:c r="AG665" s="84" t="n">
        <x:f>IF(AND(AE665="Keep",AF665="Valid"),1,0)</x:f>
        <x:v>1</x:v>
      </x:c>
      <x:c r="AH665" s="84" t="n">
        <x:f>IF(AND(AG665=1,OR('Dashboard'!$B$4="All",I665='Dashboard'!$B$4),OR('Dashboard'!$E$4="All",N665='Dashboard'!$E$4),OR('Dashboard'!$H$4="All",K665='Dashboard'!$H$4),OR('Dashboard'!$K$4="All",C665='Dashboard'!$K$4)),1,0)</x:f>
        <x:v>1</x:v>
      </x:c>
      <x:c r="AI665" s="84" t="n">
        <x:f>IF(AND(AG665=1,OR('Dashboard'!$B$4="All",I665='Dashboard'!$B$4),OR('Dashboard'!$E$4="All",N665='Dashboard'!$E$4),OR('Dashboard'!$H$4="All",K665='Dashboard'!$H$4)),1,0)</x:f>
        <x:v>1</x:v>
      </x:c>
    </x:row>
    <x:row r="666">
      <x:c r="A666" s="84" t="str">
        <x:f>'Raw Sales'!A666</x:f>
        <x:v>ORD-2024-01180</x:v>
      </x:c>
      <x:c r="B666" s="85" t="n">
        <x:f>'Raw Sales'!B666</x:f>
        <x:v>45533</x:v>
      </x:c>
      <x:c r="C666" s="84" t="n">
        <x:f>YEAR(B666)</x:f>
        <x:v>2024</x:v>
      </x:c>
      <x:c r="D666" s="91" t="n">
        <x:f>DATE(YEAR(B666),MONTH(B666),1)</x:f>
        <x:v>45505</x:v>
      </x:c>
      <x:c r="E666" s="84" t="str">
        <x:f>TEXT(B666,"mmm")</x:f>
        <x:v>Aug</x:v>
      </x:c>
      <x:c r="F666" s="84" t="str">
        <x:f>'Raw Sales'!C666</x:f>
        <x:v>CUST-0491</x:v>
      </x:c>
      <x:c r="G666" s="84" t="str">
        <x:f>PROPER(TRIM('Raw Sales'!D666))</x:f>
        <x:v>Jonah Walker</x:v>
      </x:c>
      <x:c r="H666" s="84" t="str">
        <x:f>IF(TRIM('Raw Sales'!E666)="","Unknown",PROPER(TRIM('Raw Sales'!E666)))</x:f>
        <x:v>Consumer</x:v>
      </x:c>
      <x:c r="I666" s="84" t="str">
        <x:f>PROPER(TRIM('Raw Sales'!F666))</x:f>
        <x:v>Midwest</x:v>
      </x:c>
      <x:c r="J666" s="84" t="str">
        <x:f>PROPER(TRIM('Raw Sales'!G666))</x:f>
        <x:v>Detroit</x:v>
      </x:c>
      <x:c r="K666" s="84" t="str">
        <x:f>PROPER(TRIM('Raw Sales'!H666))</x:f>
        <x:v>Online</x:v>
      </x:c>
      <x:c r="L666" s="84" t="str">
        <x:f>'Raw Sales'!I666</x:f>
        <x:v>ELEC-004</x:v>
      </x:c>
      <x:c r="M666" s="84" t="str">
        <x:f>IFERROR(VLOOKUP(L666,'Reference Data'!$A$5:$F$40,2,FALSE),"Unknown Product")</x:f>
        <x:v>Power Bank</x:v>
      </x:c>
      <x:c r="N666" s="84" t="str">
        <x:f>IFERROR(VLOOKUP(L666,'Reference Data'!$A$5:$F$40,3,FALSE),"Unknown")</x:f>
        <x:v>Electronics</x:v>
      </x:c>
      <x:c r="O666" s="84" t="str">
        <x:f>IFERROR(VLOOKUP(L666,'Reference Data'!$A$5:$F$40,4,FALSE),"Unknown")</x:f>
        <x:v>Mobile Accessories</x:v>
      </x:c>
      <x:c r="P666" s="92" t="n">
        <x:f>IFERROR(VLOOKUP(L666,'Reference Data'!$A$5:$F$40,5,FALSE),0)</x:f>
        <x:v>39</x:v>
      </x:c>
      <x:c r="Q666" s="92" t="n">
        <x:f>IFERROR(VLOOKUP(L666,'Reference Data'!$A$5:$F$40,6,FALSE),0)</x:f>
        <x:v>18</x:v>
      </x:c>
      <x:c r="R666" s="84" t="n">
        <x:f>'Raw Sales'!J666</x:f>
        <x:v>1</x:v>
      </x:c>
      <x:c r="S666" s="87" t="n">
        <x:f>'Raw Sales'!K666</x:f>
        <x:v>0</x:v>
      </x:c>
      <x:c r="T666" s="93" t="n">
        <x:f>P666*R666</x:f>
        <x:v>39</x:v>
      </x:c>
      <x:c r="U666" s="93" t="n">
        <x:f>T666*S666</x:f>
        <x:v>0</x:v>
      </x:c>
      <x:c r="V666" s="93" t="str">
        <x:f>PROPER(TRIM('Raw Sales'!L666))</x:f>
        <x:v>Completed</x:v>
      </x:c>
      <x:c r="W666" s="93" t="n">
        <x:f>IF(V666="Returned",0,T666-U666)</x:f>
        <x:v>39</x:v>
      </x:c>
      <x:c r="X666" s="93" t="n">
        <x:f>IF(V666="Returned",Q666*R666*10%,Q666*R666)</x:f>
        <x:v>18</x:v>
      </x:c>
      <x:c r="Y666" s="93" t="n">
        <x:f>W666-X666</x:f>
        <x:v>21</x:v>
      </x:c>
      <x:c r="Z666" s="94" t="n">
        <x:f>IFERROR(Y666/W666,0)</x:f>
        <x:v>0.5384615384615384</x:v>
      </x:c>
      <x:c r="AA666" s="84" t="str">
        <x:f>PROPER(TRIM('Raw Sales'!M666))</x:f>
        <x:v>Credit Card</x:v>
      </x:c>
      <x:c r="AB666" s="84" t="str">
        <x:f>PROPER(TRIM('Raw Sales'!N666))</x:f>
        <x:v>Emma Hayes</x:v>
      </x:c>
      <x:c r="AC666" s="85" t="n">
        <x:f>'Raw Sales'!O666</x:f>
        <x:v>45537</x:v>
      </x:c>
      <x:c r="AD666" s="84" t="n">
        <x:f>AC666-B666</x:f>
        <x:v>4</x:v>
      </x:c>
      <x:c r="AE666" s="84" t="str">
        <x:f>IF(COUNTIF($A$5:A666,A666)&gt;1,"Duplicate","Keep")</x:f>
        <x:v>Keep</x:v>
      </x:c>
      <x:c r="AF666" s="84" t="str">
        <x:f>IF(OR(R666&lt;=0,AC666&lt;B666,H666="Unknown",M666="Unknown Product"),"Review","Valid")</x:f>
        <x:v>Valid</x:v>
      </x:c>
      <x:c r="AG666" s="84" t="n">
        <x:f>IF(AND(AE666="Keep",AF666="Valid"),1,0)</x:f>
        <x:v>1</x:v>
      </x:c>
      <x:c r="AH666" s="84" t="n">
        <x:f>IF(AND(AG666=1,OR('Dashboard'!$B$4="All",I666='Dashboard'!$B$4),OR('Dashboard'!$E$4="All",N666='Dashboard'!$E$4),OR('Dashboard'!$H$4="All",K666='Dashboard'!$H$4),OR('Dashboard'!$K$4="All",C666='Dashboard'!$K$4)),1,0)</x:f>
        <x:v>1</x:v>
      </x:c>
      <x:c r="AI666" s="84" t="n">
        <x:f>IF(AND(AG666=1,OR('Dashboard'!$B$4="All",I666='Dashboard'!$B$4),OR('Dashboard'!$E$4="All",N666='Dashboard'!$E$4),OR('Dashboard'!$H$4="All",K666='Dashboard'!$H$4)),1,0)</x:f>
        <x:v>1</x:v>
      </x:c>
    </x:row>
    <x:row r="667">
      <x:c r="A667" s="84" t="str">
        <x:f>'Raw Sales'!A667</x:f>
        <x:v>ORD-2024-01293</x:v>
      </x:c>
      <x:c r="B667" s="85" t="n">
        <x:f>'Raw Sales'!B667</x:f>
        <x:v>45533</x:v>
      </x:c>
      <x:c r="C667" s="84" t="n">
        <x:f>YEAR(B667)</x:f>
        <x:v>2024</x:v>
      </x:c>
      <x:c r="D667" s="91" t="n">
        <x:f>DATE(YEAR(B667),MONTH(B667),1)</x:f>
        <x:v>45505</x:v>
      </x:c>
      <x:c r="E667" s="84" t="str">
        <x:f>TEXT(B667,"mmm")</x:f>
        <x:v>Aug</x:v>
      </x:c>
      <x:c r="F667" s="84" t="str">
        <x:f>'Raw Sales'!C667</x:f>
        <x:v>CUST-0169</x:v>
      </x:c>
      <x:c r="G667" s="84" t="str">
        <x:f>PROPER(TRIM('Raw Sales'!D667))</x:f>
        <x:v>Marcus Evans</x:v>
      </x:c>
      <x:c r="H667" s="84" t="str">
        <x:f>IF(TRIM('Raw Sales'!E667)="","Unknown",PROPER(TRIM('Raw Sales'!E667)))</x:f>
        <x:v>Corporate</x:v>
      </x:c>
      <x:c r="I667" s="84" t="str">
        <x:f>PROPER(TRIM('Raw Sales'!F667))</x:f>
        <x:v>Northeast</x:v>
      </x:c>
      <x:c r="J667" s="84" t="str">
        <x:f>PROPER(TRIM('Raw Sales'!G667))</x:f>
        <x:v>New York</x:v>
      </x:c>
      <x:c r="K667" s="84" t="str">
        <x:f>PROPER(TRIM('Raw Sales'!H667))</x:f>
        <x:v>Retail Store</x:v>
      </x:c>
      <x:c r="L667" s="84" t="str">
        <x:f>'Raw Sales'!I667</x:f>
        <x:v>HOME-004</x:v>
      </x:c>
      <x:c r="M667" s="84" t="str">
        <x:f>IFERROR(VLOOKUP(L667,'Reference Data'!$A$5:$F$40,2,FALSE),"Unknown Product")</x:f>
        <x:v>Coffee Maker</x:v>
      </x:c>
      <x:c r="N667" s="84" t="str">
        <x:f>IFERROR(VLOOKUP(L667,'Reference Data'!$A$5:$F$40,3,FALSE),"Unknown")</x:f>
        <x:v>Home &amp; Kitchen</x:v>
      </x:c>
      <x:c r="O667" s="84" t="str">
        <x:f>IFERROR(VLOOKUP(L667,'Reference Data'!$A$5:$F$40,4,FALSE),"Unknown")</x:f>
        <x:v>Small Appliances</x:v>
      </x:c>
      <x:c r="P667" s="92" t="n">
        <x:f>IFERROR(VLOOKUP(L667,'Reference Data'!$A$5:$F$40,5,FALSE),0)</x:f>
        <x:v>99</x:v>
      </x:c>
      <x:c r="Q667" s="92" t="n">
        <x:f>IFERROR(VLOOKUP(L667,'Reference Data'!$A$5:$F$40,6,FALSE),0)</x:f>
        <x:v>51</x:v>
      </x:c>
      <x:c r="R667" s="84" t="n">
        <x:f>'Raw Sales'!J667</x:f>
        <x:v>4</x:v>
      </x:c>
      <x:c r="S667" s="87" t="n">
        <x:f>'Raw Sales'!K667</x:f>
        <x:v>0.05</x:v>
      </x:c>
      <x:c r="T667" s="93" t="n">
        <x:f>P667*R667</x:f>
        <x:v>396</x:v>
      </x:c>
      <x:c r="U667" s="93" t="n">
        <x:f>T667*S667</x:f>
        <x:v>19.8</x:v>
      </x:c>
      <x:c r="V667" s="93" t="str">
        <x:f>PROPER(TRIM('Raw Sales'!L667))</x:f>
        <x:v>Completed</x:v>
      </x:c>
      <x:c r="W667" s="93" t="n">
        <x:f>IF(V667="Returned",0,T667-U667)</x:f>
        <x:v>376.2</x:v>
      </x:c>
      <x:c r="X667" s="93" t="n">
        <x:f>IF(V667="Returned",Q667*R667*10%,Q667*R667)</x:f>
        <x:v>204</x:v>
      </x:c>
      <x:c r="Y667" s="93" t="n">
        <x:f>W667-X667</x:f>
        <x:v>172.2</x:v>
      </x:c>
      <x:c r="Z667" s="94" t="n">
        <x:f>IFERROR(Y667/W667,0)</x:f>
        <x:v>0.4577352472089314</x:v>
      </x:c>
      <x:c r="AA667" s="84" t="str">
        <x:f>PROPER(TRIM('Raw Sales'!M667))</x:f>
        <x:v>Mobile Wallet</x:v>
      </x:c>
      <x:c r="AB667" s="84" t="str">
        <x:f>PROPER(TRIM('Raw Sales'!N667))</x:f>
        <x:v>Sofia Bennett</x:v>
      </x:c>
      <x:c r="AC667" s="85" t="n">
        <x:f>'Raw Sales'!O667</x:f>
        <x:v>45533</x:v>
      </x:c>
      <x:c r="AD667" s="84" t="n">
        <x:f>AC667-B667</x:f>
        <x:v>0</x:v>
      </x:c>
      <x:c r="AE667" s="84" t="str">
        <x:f>IF(COUNTIF($A$5:A667,A667)&gt;1,"Duplicate","Keep")</x:f>
        <x:v>Keep</x:v>
      </x:c>
      <x:c r="AF667" s="84" t="str">
        <x:f>IF(OR(R667&lt;=0,AC667&lt;B667,H667="Unknown",M667="Unknown Product"),"Review","Valid")</x:f>
        <x:v>Valid</x:v>
      </x:c>
      <x:c r="AG667" s="84" t="n">
        <x:f>IF(AND(AE667="Keep",AF667="Valid"),1,0)</x:f>
        <x:v>1</x:v>
      </x:c>
      <x:c r="AH667" s="84" t="n">
        <x:f>IF(AND(AG667=1,OR('Dashboard'!$B$4="All",I667='Dashboard'!$B$4),OR('Dashboard'!$E$4="All",N667='Dashboard'!$E$4),OR('Dashboard'!$H$4="All",K667='Dashboard'!$H$4),OR('Dashboard'!$K$4="All",C667='Dashboard'!$K$4)),1,0)</x:f>
        <x:v>1</x:v>
      </x:c>
      <x:c r="AI667" s="84" t="n">
        <x:f>IF(AND(AG667=1,OR('Dashboard'!$B$4="All",I667='Dashboard'!$B$4),OR('Dashboard'!$E$4="All",N667='Dashboard'!$E$4),OR('Dashboard'!$H$4="All",K667='Dashboard'!$H$4)),1,0)</x:f>
        <x:v>1</x:v>
      </x:c>
    </x:row>
    <x:row r="668">
      <x:c r="A668" s="84" t="str">
        <x:f>'Raw Sales'!A668</x:f>
        <x:v>ORD-2024-01761</x:v>
      </x:c>
      <x:c r="B668" s="85" t="n">
        <x:f>'Raw Sales'!B668</x:f>
        <x:v>45533</x:v>
      </x:c>
      <x:c r="C668" s="84" t="n">
        <x:f>YEAR(B668)</x:f>
        <x:v>2024</x:v>
      </x:c>
      <x:c r="D668" s="91" t="n">
        <x:f>DATE(YEAR(B668),MONTH(B668),1)</x:f>
        <x:v>45505</x:v>
      </x:c>
      <x:c r="E668" s="84" t="str">
        <x:f>TEXT(B668,"mmm")</x:f>
        <x:v>Aug</x:v>
      </x:c>
      <x:c r="F668" s="84" t="str">
        <x:f>'Raw Sales'!C668</x:f>
        <x:v>CUST-0351</x:v>
      </x:c>
      <x:c r="G668" s="84" t="str">
        <x:f>PROPER(TRIM('Raw Sales'!D668))</x:f>
        <x:v>Sara Garcia</x:v>
      </x:c>
      <x:c r="H668" s="84" t="str">
        <x:f>IF(TRIM('Raw Sales'!E668)="","Unknown",PROPER(TRIM('Raw Sales'!E668)))</x:f>
        <x:v>Consumer</x:v>
      </x:c>
      <x:c r="I668" s="84" t="str">
        <x:f>PROPER(TRIM('Raw Sales'!F668))</x:f>
        <x:v>Midwest</x:v>
      </x:c>
      <x:c r="J668" s="84" t="str">
        <x:f>PROPER(TRIM('Raw Sales'!G668))</x:f>
        <x:v>Columbus</x:v>
      </x:c>
      <x:c r="K668" s="84" t="str">
        <x:f>PROPER(TRIM('Raw Sales'!H668))</x:f>
        <x:v>Online</x:v>
      </x:c>
      <x:c r="L668" s="84" t="str">
        <x:f>'Raw Sales'!I668</x:f>
        <x:v>CARE-001</x:v>
      </x:c>
      <x:c r="M668" s="84" t="str">
        <x:f>IFERROR(VLOOKUP(L668,'Reference Data'!$A$5:$F$40,2,FALSE),"Unknown Product")</x:f>
        <x:v>Ionic Hair Dryer</x:v>
      </x:c>
      <x:c r="N668" s="84" t="str">
        <x:f>IFERROR(VLOOKUP(L668,'Reference Data'!$A$5:$F$40,3,FALSE),"Unknown")</x:f>
        <x:v>Personal Care</x:v>
      </x:c>
      <x:c r="O668" s="84" t="str">
        <x:f>IFERROR(VLOOKUP(L668,'Reference Data'!$A$5:$F$40,4,FALSE),"Unknown")</x:f>
        <x:v>Hair Care</x:v>
      </x:c>
      <x:c r="P668" s="92" t="n">
        <x:f>IFERROR(VLOOKUP(L668,'Reference Data'!$A$5:$F$40,5,FALSE),0)</x:f>
        <x:v>54</x:v>
      </x:c>
      <x:c r="Q668" s="92" t="n">
        <x:f>IFERROR(VLOOKUP(L668,'Reference Data'!$A$5:$F$40,6,FALSE),0)</x:f>
        <x:v>25</x:v>
      </x:c>
      <x:c r="R668" s="84" t="n">
        <x:f>'Raw Sales'!J668</x:f>
        <x:v>2</x:v>
      </x:c>
      <x:c r="S668" s="87" t="n">
        <x:f>'Raw Sales'!K668</x:f>
        <x:v>0</x:v>
      </x:c>
      <x:c r="T668" s="93" t="n">
        <x:f>P668*R668</x:f>
        <x:v>108</x:v>
      </x:c>
      <x:c r="U668" s="93" t="n">
        <x:f>T668*S668</x:f>
        <x:v>0</x:v>
      </x:c>
      <x:c r="V668" s="93" t="str">
        <x:f>PROPER(TRIM('Raw Sales'!L668))</x:f>
        <x:v>Completed</x:v>
      </x:c>
      <x:c r="W668" s="93" t="n">
        <x:f>IF(V668="Returned",0,T668-U668)</x:f>
        <x:v>108</x:v>
      </x:c>
      <x:c r="X668" s="93" t="n">
        <x:f>IF(V668="Returned",Q668*R668*10%,Q668*R668)</x:f>
        <x:v>50</x:v>
      </x:c>
      <x:c r="Y668" s="93" t="n">
        <x:f>W668-X668</x:f>
        <x:v>58</x:v>
      </x:c>
      <x:c r="Z668" s="94" t="n">
        <x:f>IFERROR(Y668/W668,0)</x:f>
        <x:v>0.5370370370370371</x:v>
      </x:c>
      <x:c r="AA668" s="84" t="str">
        <x:f>PROPER(TRIM('Raw Sales'!M668))</x:f>
        <x:v>Credit Card</x:v>
      </x:c>
      <x:c r="AB668" s="84" t="str">
        <x:f>PROPER(TRIM('Raw Sales'!N668))</x:f>
        <x:v>Lucas Grant</x:v>
      </x:c>
      <x:c r="AC668" s="85" t="n">
        <x:f>'Raw Sales'!O668</x:f>
        <x:v>45535</x:v>
      </x:c>
      <x:c r="AD668" s="84" t="n">
        <x:f>AC668-B668</x:f>
        <x:v>2</x:v>
      </x:c>
      <x:c r="AE668" s="84" t="str">
        <x:f>IF(COUNTIF($A$5:A668,A668)&gt;1,"Duplicate","Keep")</x:f>
        <x:v>Keep</x:v>
      </x:c>
      <x:c r="AF668" s="84" t="str">
        <x:f>IF(OR(R668&lt;=0,AC668&lt;B668,H668="Unknown",M668="Unknown Product"),"Review","Valid")</x:f>
        <x:v>Valid</x:v>
      </x:c>
      <x:c r="AG668" s="84" t="n">
        <x:f>IF(AND(AE668="Keep",AF668="Valid"),1,0)</x:f>
        <x:v>1</x:v>
      </x:c>
      <x:c r="AH668" s="84" t="n">
        <x:f>IF(AND(AG668=1,OR('Dashboard'!$B$4="All",I668='Dashboard'!$B$4),OR('Dashboard'!$E$4="All",N668='Dashboard'!$E$4),OR('Dashboard'!$H$4="All",K668='Dashboard'!$H$4),OR('Dashboard'!$K$4="All",C668='Dashboard'!$K$4)),1,0)</x:f>
        <x:v>1</x:v>
      </x:c>
      <x:c r="AI668" s="84" t="n">
        <x:f>IF(AND(AG668=1,OR('Dashboard'!$B$4="All",I668='Dashboard'!$B$4),OR('Dashboard'!$E$4="All",N668='Dashboard'!$E$4),OR('Dashboard'!$H$4="All",K668='Dashboard'!$H$4)),1,0)</x:f>
        <x:v>1</x:v>
      </x:c>
    </x:row>
    <x:row r="669">
      <x:c r="A669" s="84" t="str">
        <x:f>'Raw Sales'!A669</x:f>
        <x:v>ORD-2024-01849</x:v>
      </x:c>
      <x:c r="B669" s="85" t="n">
        <x:f>'Raw Sales'!B669</x:f>
        <x:v>45533</x:v>
      </x:c>
      <x:c r="C669" s="84" t="n">
        <x:f>YEAR(B669)</x:f>
        <x:v>2024</x:v>
      </x:c>
      <x:c r="D669" s="91" t="n">
        <x:f>DATE(YEAR(B669),MONTH(B669),1)</x:f>
        <x:v>45505</x:v>
      </x:c>
      <x:c r="E669" s="84" t="str">
        <x:f>TEXT(B669,"mmm")</x:f>
        <x:v>Aug</x:v>
      </x:c>
      <x:c r="F669" s="84" t="str">
        <x:f>'Raw Sales'!C669</x:f>
        <x:v>CUST-0093</x:v>
      </x:c>
      <x:c r="G669" s="84" t="str">
        <x:f>PROPER(TRIM('Raw Sales'!D669))</x:f>
        <x:v>Priya Lewis</x:v>
      </x:c>
      <x:c r="H669" s="84" t="str">
        <x:f>IF(TRIM('Raw Sales'!E669)="","Unknown",PROPER(TRIM('Raw Sales'!E669)))</x:f>
        <x:v>Corporate</x:v>
      </x:c>
      <x:c r="I669" s="84" t="str">
        <x:f>PROPER(TRIM('Raw Sales'!F669))</x:f>
        <x:v>Southeast</x:v>
      </x:c>
      <x:c r="J669" s="84" t="str">
        <x:f>PROPER(TRIM('Raw Sales'!G669))</x:f>
        <x:v>Charlotte</x:v>
      </x:c>
      <x:c r="K669" s="84" t="str">
        <x:f>PROPER(TRIM('Raw Sales'!H669))</x:f>
        <x:v>Marketplace</x:v>
      </x:c>
      <x:c r="L669" s="84" t="str">
        <x:f>'Raw Sales'!I669</x:f>
        <x:v>ELEC-004</x:v>
      </x:c>
      <x:c r="M669" s="84" t="str">
        <x:f>IFERROR(VLOOKUP(L669,'Reference Data'!$A$5:$F$40,2,FALSE),"Unknown Product")</x:f>
        <x:v>Power Bank</x:v>
      </x:c>
      <x:c r="N669" s="84" t="str">
        <x:f>IFERROR(VLOOKUP(L669,'Reference Data'!$A$5:$F$40,3,FALSE),"Unknown")</x:f>
        <x:v>Electronics</x:v>
      </x:c>
      <x:c r="O669" s="84" t="str">
        <x:f>IFERROR(VLOOKUP(L669,'Reference Data'!$A$5:$F$40,4,FALSE),"Unknown")</x:f>
        <x:v>Mobile Accessories</x:v>
      </x:c>
      <x:c r="P669" s="92" t="n">
        <x:f>IFERROR(VLOOKUP(L669,'Reference Data'!$A$5:$F$40,5,FALSE),0)</x:f>
        <x:v>39</x:v>
      </x:c>
      <x:c r="Q669" s="92" t="n">
        <x:f>IFERROR(VLOOKUP(L669,'Reference Data'!$A$5:$F$40,6,FALSE),0)</x:f>
        <x:v>18</x:v>
      </x:c>
      <x:c r="R669" s="84" t="n">
        <x:f>'Raw Sales'!J669</x:f>
        <x:v>6</x:v>
      </x:c>
      <x:c r="S669" s="87" t="n">
        <x:f>'Raw Sales'!K669</x:f>
        <x:v>0.05</x:v>
      </x:c>
      <x:c r="T669" s="93" t="n">
        <x:f>P669*R669</x:f>
        <x:v>234</x:v>
      </x:c>
      <x:c r="U669" s="93" t="n">
        <x:f>T669*S669</x:f>
        <x:v>11.700000000000001</x:v>
      </x:c>
      <x:c r="V669" s="93" t="str">
        <x:f>PROPER(TRIM('Raw Sales'!L669))</x:f>
        <x:v>Completed</x:v>
      </x:c>
      <x:c r="W669" s="93" t="n">
        <x:f>IF(V669="Returned",0,T669-U669)</x:f>
        <x:v>222.3</x:v>
      </x:c>
      <x:c r="X669" s="93" t="n">
        <x:f>IF(V669="Returned",Q669*R669*10%,Q669*R669)</x:f>
        <x:v>108</x:v>
      </x:c>
      <x:c r="Y669" s="93" t="n">
        <x:f>W669-X669</x:f>
        <x:v>114.30000000000001</x:v>
      </x:c>
      <x:c r="Z669" s="94" t="n">
        <x:f>IFERROR(Y669/W669,0)</x:f>
        <x:v>0.51417004048583</x:v>
      </x:c>
      <x:c r="AA669" s="84" t="str">
        <x:f>PROPER(TRIM('Raw Sales'!M669))</x:f>
        <x:v>Mobile Wallet</x:v>
      </x:c>
      <x:c r="AB669" s="84" t="str">
        <x:f>PROPER(TRIM('Raw Sales'!N669))</x:f>
        <x:v>Liam Parker</x:v>
      </x:c>
      <x:c r="AC669" s="85" t="n">
        <x:f>'Raw Sales'!O669</x:f>
        <x:v>45539</x:v>
      </x:c>
      <x:c r="AD669" s="84" t="n">
        <x:f>AC669-B669</x:f>
        <x:v>6</x:v>
      </x:c>
      <x:c r="AE669" s="84" t="str">
        <x:f>IF(COUNTIF($A$5:A669,A669)&gt;1,"Duplicate","Keep")</x:f>
        <x:v>Keep</x:v>
      </x:c>
      <x:c r="AF669" s="84" t="str">
        <x:f>IF(OR(R669&lt;=0,AC669&lt;B669,H669="Unknown",M669="Unknown Product"),"Review","Valid")</x:f>
        <x:v>Valid</x:v>
      </x:c>
      <x:c r="AG669" s="84" t="n">
        <x:f>IF(AND(AE669="Keep",AF669="Valid"),1,0)</x:f>
        <x:v>1</x:v>
      </x:c>
      <x:c r="AH669" s="84" t="n">
        <x:f>IF(AND(AG669=1,OR('Dashboard'!$B$4="All",I669='Dashboard'!$B$4),OR('Dashboard'!$E$4="All",N669='Dashboard'!$E$4),OR('Dashboard'!$H$4="All",K669='Dashboard'!$H$4),OR('Dashboard'!$K$4="All",C669='Dashboard'!$K$4)),1,0)</x:f>
        <x:v>1</x:v>
      </x:c>
      <x:c r="AI669" s="84" t="n">
        <x:f>IF(AND(AG669=1,OR('Dashboard'!$B$4="All",I669='Dashboard'!$B$4),OR('Dashboard'!$E$4="All",N669='Dashboard'!$E$4),OR('Dashboard'!$H$4="All",K669='Dashboard'!$H$4)),1,0)</x:f>
        <x:v>1</x:v>
      </x:c>
    </x:row>
    <x:row r="670">
      <x:c r="A670" s="84" t="str">
        <x:f>'Raw Sales'!A670</x:f>
        <x:v>ORD-2024-00156</x:v>
      </x:c>
      <x:c r="B670" s="85" t="n">
        <x:f>'Raw Sales'!B670</x:f>
        <x:v>45534</x:v>
      </x:c>
      <x:c r="C670" s="84" t="n">
        <x:f>YEAR(B670)</x:f>
        <x:v>2024</x:v>
      </x:c>
      <x:c r="D670" s="91" t="n">
        <x:f>DATE(YEAR(B670),MONTH(B670),1)</x:f>
        <x:v>45505</x:v>
      </x:c>
      <x:c r="E670" s="84" t="str">
        <x:f>TEXT(B670,"mmm")</x:f>
        <x:v>Aug</x:v>
      </x:c>
      <x:c r="F670" s="84" t="str">
        <x:f>'Raw Sales'!C670</x:f>
        <x:v>CUST-0062</x:v>
      </x:c>
      <x:c r="G670" s="84" t="str">
        <x:f>PROPER(TRIM('Raw Sales'!D670))</x:f>
        <x:v>Caleb Davis</x:v>
      </x:c>
      <x:c r="H670" s="84" t="str">
        <x:f>IF(TRIM('Raw Sales'!E670)="","Unknown",PROPER(TRIM('Raw Sales'!E670)))</x:f>
        <x:v>Consumer</x:v>
      </x:c>
      <x:c r="I670" s="84" t="str">
        <x:f>PROPER(TRIM('Raw Sales'!F670))</x:f>
        <x:v>Northeast</x:v>
      </x:c>
      <x:c r="J670" s="84" t="str">
        <x:f>PROPER(TRIM('Raw Sales'!G670))</x:f>
        <x:v>New York</x:v>
      </x:c>
      <x:c r="K670" s="84" t="str">
        <x:f>PROPER(TRIM('Raw Sales'!H670))</x:f>
        <x:v>Retail Store</x:v>
      </x:c>
      <x:c r="L670" s="84" t="str">
        <x:f>'Raw Sales'!I670</x:f>
        <x:v>OFFC-005</x:v>
      </x:c>
      <x:c r="M670" s="84" t="str">
        <x:f>IFERROR(VLOOKUP(L670,'Reference Data'!$A$5:$F$40,2,FALSE),"Unknown Product")</x:f>
        <x:v>Wireless Keyboard</x:v>
      </x:c>
      <x:c r="N670" s="84" t="str">
        <x:f>IFERROR(VLOOKUP(L670,'Reference Data'!$A$5:$F$40,3,FALSE),"Unknown")</x:f>
        <x:v>Office</x:v>
      </x:c>
      <x:c r="O670" s="84" t="str">
        <x:f>IFERROR(VLOOKUP(L670,'Reference Data'!$A$5:$F$40,4,FALSE),"Unknown")</x:f>
        <x:v>Computer Accessories</x:v>
      </x:c>
      <x:c r="P670" s="92" t="n">
        <x:f>IFERROR(VLOOKUP(L670,'Reference Data'!$A$5:$F$40,5,FALSE),0)</x:f>
        <x:v>59</x:v>
      </x:c>
      <x:c r="Q670" s="92" t="n">
        <x:f>IFERROR(VLOOKUP(L670,'Reference Data'!$A$5:$F$40,6,FALSE),0)</x:f>
        <x:v>28</x:v>
      </x:c>
      <x:c r="R670" s="84" t="n">
        <x:f>'Raw Sales'!J670</x:f>
        <x:v>3</x:v>
      </x:c>
      <x:c r="S670" s="87" t="n">
        <x:f>'Raw Sales'!K670</x:f>
        <x:v>0.05</x:v>
      </x:c>
      <x:c r="T670" s="93" t="n">
        <x:f>P670*R670</x:f>
        <x:v>177</x:v>
      </x:c>
      <x:c r="U670" s="93" t="n">
        <x:f>T670*S670</x:f>
        <x:v>8.85</x:v>
      </x:c>
      <x:c r="V670" s="93" t="str">
        <x:f>PROPER(TRIM('Raw Sales'!L670))</x:f>
        <x:v>Completed</x:v>
      </x:c>
      <x:c r="W670" s="93" t="n">
        <x:f>IF(V670="Returned",0,T670-U670)</x:f>
        <x:v>168.15</x:v>
      </x:c>
      <x:c r="X670" s="93" t="n">
        <x:f>IF(V670="Returned",Q670*R670*10%,Q670*R670)</x:f>
        <x:v>84</x:v>
      </x:c>
      <x:c r="Y670" s="93" t="n">
        <x:f>W670-X670</x:f>
        <x:v>84.15</x:v>
      </x:c>
      <x:c r="Z670" s="94" t="n">
        <x:f>IFERROR(Y670/W670,0)</x:f>
        <x:v>0.5004460303300624</x:v>
      </x:c>
      <x:c r="AA670" s="84" t="str">
        <x:f>PROPER(TRIM('Raw Sales'!M670))</x:f>
        <x:v>Credit Card</x:v>
      </x:c>
      <x:c r="AB670" s="84" t="str">
        <x:f>PROPER(TRIM('Raw Sales'!N670))</x:f>
        <x:v>Ethan Cole</x:v>
      </x:c>
      <x:c r="AC670" s="85" t="n">
        <x:f>'Raw Sales'!O670</x:f>
        <x:v>45534</x:v>
      </x:c>
      <x:c r="AD670" s="84" t="n">
        <x:f>AC670-B670</x:f>
        <x:v>0</x:v>
      </x:c>
      <x:c r="AE670" s="84" t="str">
        <x:f>IF(COUNTIF($A$5:A670,A670)&gt;1,"Duplicate","Keep")</x:f>
        <x:v>Keep</x:v>
      </x:c>
      <x:c r="AF670" s="84" t="str">
        <x:f>IF(OR(R670&lt;=0,AC670&lt;B670,H670="Unknown",M670="Unknown Product"),"Review","Valid")</x:f>
        <x:v>Valid</x:v>
      </x:c>
      <x:c r="AG670" s="84" t="n">
        <x:f>IF(AND(AE670="Keep",AF670="Valid"),1,0)</x:f>
        <x:v>1</x:v>
      </x:c>
      <x:c r="AH670" s="84" t="n">
        <x:f>IF(AND(AG670=1,OR('Dashboard'!$B$4="All",I670='Dashboard'!$B$4),OR('Dashboard'!$E$4="All",N670='Dashboard'!$E$4),OR('Dashboard'!$H$4="All",K670='Dashboard'!$H$4),OR('Dashboard'!$K$4="All",C670='Dashboard'!$K$4)),1,0)</x:f>
        <x:v>1</x:v>
      </x:c>
      <x:c r="AI670" s="84" t="n">
        <x:f>IF(AND(AG670=1,OR('Dashboard'!$B$4="All",I670='Dashboard'!$B$4),OR('Dashboard'!$E$4="All",N670='Dashboard'!$E$4),OR('Dashboard'!$H$4="All",K670='Dashboard'!$H$4)),1,0)</x:f>
        <x:v>1</x:v>
      </x:c>
    </x:row>
    <x:row r="671">
      <x:c r="A671" s="84" t="str">
        <x:f>'Raw Sales'!A671</x:f>
        <x:v>ORD-2024-00722</x:v>
      </x:c>
      <x:c r="B671" s="85" t="n">
        <x:f>'Raw Sales'!B671</x:f>
        <x:v>45534</x:v>
      </x:c>
      <x:c r="C671" s="84" t="n">
        <x:f>YEAR(B671)</x:f>
        <x:v>2024</x:v>
      </x:c>
      <x:c r="D671" s="91" t="n">
        <x:f>DATE(YEAR(B671),MONTH(B671),1)</x:f>
        <x:v>45505</x:v>
      </x:c>
      <x:c r="E671" s="84" t="str">
        <x:f>TEXT(B671,"mmm")</x:f>
        <x:v>Aug</x:v>
      </x:c>
      <x:c r="F671" s="84" t="str">
        <x:f>'Raw Sales'!C671</x:f>
        <x:v>CUST-0240</x:v>
      </x:c>
      <x:c r="G671" s="84" t="str">
        <x:f>PROPER(TRIM('Raw Sales'!D671))</x:f>
        <x:v>Elena Garcia</x:v>
      </x:c>
      <x:c r="H671" s="84" t="str">
        <x:f>IF(TRIM('Raw Sales'!E671)="","Unknown",PROPER(TRIM('Raw Sales'!E671)))</x:f>
        <x:v>Consumer</x:v>
      </x:c>
      <x:c r="I671" s="84" t="str">
        <x:f>PROPER(TRIM('Raw Sales'!F671))</x:f>
        <x:v>Midwest</x:v>
      </x:c>
      <x:c r="J671" s="84" t="str">
        <x:f>PROPER(TRIM('Raw Sales'!G671))</x:f>
        <x:v>Detroit</x:v>
      </x:c>
      <x:c r="K671" s="84" t="str">
        <x:f>PROPER(TRIM('Raw Sales'!H671))</x:f>
        <x:v>Marketplace</x:v>
      </x:c>
      <x:c r="L671" s="84" t="str">
        <x:f>'Raw Sales'!I671</x:f>
        <x:v>ACCS-005</x:v>
      </x:c>
      <x:c r="M671" s="84" t="str">
        <x:f>IFERROR(VLOOKUP(L671,'Reference Data'!$A$5:$F$40,2,FALSE),"Unknown Product")</x:f>
        <x:v>Protective Phone Case</x:v>
      </x:c>
      <x:c r="N671" s="84" t="str">
        <x:f>IFERROR(VLOOKUP(L671,'Reference Data'!$A$5:$F$40,3,FALSE),"Unknown")</x:f>
        <x:v>Accessories</x:v>
      </x:c>
      <x:c r="O671" s="84" t="str">
        <x:f>IFERROR(VLOOKUP(L671,'Reference Data'!$A$5:$F$40,4,FALSE),"Unknown")</x:f>
        <x:v>Mobile Accessories</x:v>
      </x:c>
      <x:c r="P671" s="92" t="n">
        <x:f>IFERROR(VLOOKUP(L671,'Reference Data'!$A$5:$F$40,5,FALSE),0)</x:f>
        <x:v>24</x:v>
      </x:c>
      <x:c r="Q671" s="92" t="n">
        <x:f>IFERROR(VLOOKUP(L671,'Reference Data'!$A$5:$F$40,6,FALSE),0)</x:f>
        <x:v>5</x:v>
      </x:c>
      <x:c r="R671" s="84" t="n">
        <x:f>'Raw Sales'!J671</x:f>
        <x:v>1</x:v>
      </x:c>
      <x:c r="S671" s="87" t="n">
        <x:f>'Raw Sales'!K671</x:f>
        <x:v>0.15</x:v>
      </x:c>
      <x:c r="T671" s="93" t="n">
        <x:f>P671*R671</x:f>
        <x:v>24</x:v>
      </x:c>
      <x:c r="U671" s="93" t="n">
        <x:f>T671*S671</x:f>
        <x:v>3.5999999999999996</x:v>
      </x:c>
      <x:c r="V671" s="93" t="str">
        <x:f>PROPER(TRIM('Raw Sales'!L671))</x:f>
        <x:v>Returned</x:v>
      </x:c>
      <x:c r="W671" s="93" t="n">
        <x:f>IF(V671="Returned",0,T671-U671)</x:f>
        <x:v>0</x:v>
      </x:c>
      <x:c r="X671" s="93" t="n">
        <x:f>IF(V671="Returned",Q671*R671*10%,Q671*R671)</x:f>
        <x:v>0.5</x:v>
      </x:c>
      <x:c r="Y671" s="93" t="n">
        <x:f>W671-X671</x:f>
        <x:v>-0.5</x:v>
      </x:c>
      <x:c r="Z671" s="94" t="n">
        <x:f>IFERROR(Y671/W671,0)</x:f>
        <x:v>0</x:v>
      </x:c>
      <x:c r="AA671" s="84" t="str">
        <x:f>PROPER(TRIM('Raw Sales'!M671))</x:f>
        <x:v>Credit Card</x:v>
      </x:c>
      <x:c r="AB671" s="84" t="str">
        <x:f>PROPER(TRIM('Raw Sales'!N671))</x:f>
        <x:v>Emma Hayes</x:v>
      </x:c>
      <x:c r="AC671" s="85" t="n">
        <x:f>'Raw Sales'!O671</x:f>
        <x:v>45539</x:v>
      </x:c>
      <x:c r="AD671" s="84" t="n">
        <x:f>AC671-B671</x:f>
        <x:v>5</x:v>
      </x:c>
      <x:c r="AE671" s="84" t="str">
        <x:f>IF(COUNTIF($A$5:A671,A671)&gt;1,"Duplicate","Keep")</x:f>
        <x:v>Keep</x:v>
      </x:c>
      <x:c r="AF671" s="84" t="str">
        <x:f>IF(OR(R671&lt;=0,AC671&lt;B671,H671="Unknown",M671="Unknown Product"),"Review","Valid")</x:f>
        <x:v>Valid</x:v>
      </x:c>
      <x:c r="AG671" s="84" t="n">
        <x:f>IF(AND(AE671="Keep",AF671="Valid"),1,0)</x:f>
        <x:v>1</x:v>
      </x:c>
      <x:c r="AH671" s="84" t="n">
        <x:f>IF(AND(AG671=1,OR('Dashboard'!$B$4="All",I671='Dashboard'!$B$4),OR('Dashboard'!$E$4="All",N671='Dashboard'!$E$4),OR('Dashboard'!$H$4="All",K671='Dashboard'!$H$4),OR('Dashboard'!$K$4="All",C671='Dashboard'!$K$4)),1,0)</x:f>
        <x:v>1</x:v>
      </x:c>
      <x:c r="AI671" s="84" t="n">
        <x:f>IF(AND(AG671=1,OR('Dashboard'!$B$4="All",I671='Dashboard'!$B$4),OR('Dashboard'!$E$4="All",N671='Dashboard'!$E$4),OR('Dashboard'!$H$4="All",K671='Dashboard'!$H$4)),1,0)</x:f>
        <x:v>1</x:v>
      </x:c>
    </x:row>
    <x:row r="672">
      <x:c r="A672" s="84" t="str">
        <x:f>'Raw Sales'!A672</x:f>
        <x:v>ORD-2024-00728</x:v>
      </x:c>
      <x:c r="B672" s="85" t="n">
        <x:f>'Raw Sales'!B672</x:f>
        <x:v>45535</x:v>
      </x:c>
      <x:c r="C672" s="84" t="n">
        <x:f>YEAR(B672)</x:f>
        <x:v>2024</x:v>
      </x:c>
      <x:c r="D672" s="91" t="n">
        <x:f>DATE(YEAR(B672),MONTH(B672),1)</x:f>
        <x:v>45505</x:v>
      </x:c>
      <x:c r="E672" s="84" t="str">
        <x:f>TEXT(B672,"mmm")</x:f>
        <x:v>Aug</x:v>
      </x:c>
      <x:c r="F672" s="84" t="str">
        <x:f>'Raw Sales'!C672</x:f>
        <x:v>CUST-0209</x:v>
      </x:c>
      <x:c r="G672" s="84" t="str">
        <x:f>PROPER(TRIM('Raw Sales'!D672))</x:f>
        <x:v>Sara Walker</x:v>
      </x:c>
      <x:c r="H672" s="84" t="str">
        <x:f>IF(TRIM('Raw Sales'!E672)="","Unknown",PROPER(TRIM('Raw Sales'!E672)))</x:f>
        <x:v>Consumer</x:v>
      </x:c>
      <x:c r="I672" s="84" t="str">
        <x:f>PROPER(TRIM('Raw Sales'!F672))</x:f>
        <x:v>Midwest</x:v>
      </x:c>
      <x:c r="J672" s="84" t="str">
        <x:f>PROPER(TRIM('Raw Sales'!G672))</x:f>
        <x:v>Chicago</x:v>
      </x:c>
      <x:c r="K672" s="84" t="str">
        <x:f>PROPER(TRIM('Raw Sales'!H672))</x:f>
        <x:v>Online</x:v>
      </x:c>
      <x:c r="L672" s="84" t="str">
        <x:f>'Raw Sales'!I672</x:f>
        <x:v>HOME-003</x:v>
      </x:c>
      <x:c r="M672" s="84" t="str">
        <x:f>IFERROR(VLOOKUP(L672,'Reference Data'!$A$5:$F$40,2,FALSE),"Unknown Product")</x:f>
        <x:v>Countertop Blender</x:v>
      </x:c>
      <x:c r="N672" s="84" t="str">
        <x:f>IFERROR(VLOOKUP(L672,'Reference Data'!$A$5:$F$40,3,FALSE),"Unknown")</x:f>
        <x:v>Home &amp; Kitchen</x:v>
      </x:c>
      <x:c r="O672" s="84" t="str">
        <x:f>IFERROR(VLOOKUP(L672,'Reference Data'!$A$5:$F$40,4,FALSE),"Unknown")</x:f>
        <x:v>Small Appliances</x:v>
      </x:c>
      <x:c r="P672" s="92" t="n">
        <x:f>IFERROR(VLOOKUP(L672,'Reference Data'!$A$5:$F$40,5,FALSE),0)</x:f>
        <x:v>89</x:v>
      </x:c>
      <x:c r="Q672" s="92" t="n">
        <x:f>IFERROR(VLOOKUP(L672,'Reference Data'!$A$5:$F$40,6,FALSE),0)</x:f>
        <x:v>46</x:v>
      </x:c>
      <x:c r="R672" s="84" t="n">
        <x:f>'Raw Sales'!J672</x:f>
        <x:v>1</x:v>
      </x:c>
      <x:c r="S672" s="87" t="n">
        <x:f>'Raw Sales'!K672</x:f>
        <x:v>0.1</x:v>
      </x:c>
      <x:c r="T672" s="93" t="n">
        <x:f>P672*R672</x:f>
        <x:v>89</x:v>
      </x:c>
      <x:c r="U672" s="93" t="n">
        <x:f>T672*S672</x:f>
        <x:v>8.9</x:v>
      </x:c>
      <x:c r="V672" s="93" t="str">
        <x:f>PROPER(TRIM('Raw Sales'!L672))</x:f>
        <x:v>Completed</x:v>
      </x:c>
      <x:c r="W672" s="93" t="n">
        <x:f>IF(V672="Returned",0,T672-U672)</x:f>
        <x:v>80.1</x:v>
      </x:c>
      <x:c r="X672" s="93" t="n">
        <x:f>IF(V672="Returned",Q672*R672*10%,Q672*R672)</x:f>
        <x:v>46</x:v>
      </x:c>
      <x:c r="Y672" s="93" t="n">
        <x:f>W672-X672</x:f>
        <x:v>34.099999999999994</x:v>
      </x:c>
      <x:c r="Z672" s="94" t="n">
        <x:f>IFERROR(Y672/W672,0)</x:f>
        <x:v>0.4257178526841448</x:v>
      </x:c>
      <x:c r="AA672" s="84" t="str">
        <x:f>PROPER(TRIM('Raw Sales'!M672))</x:f>
        <x:v>Credit Card</x:v>
      </x:c>
      <x:c r="AB672" s="84" t="str">
        <x:f>PROPER(TRIM('Raw Sales'!N672))</x:f>
        <x:v>Emma Hayes</x:v>
      </x:c>
      <x:c r="AC672" s="85" t="n">
        <x:f>'Raw Sales'!O672</x:f>
        <x:v>45539</x:v>
      </x:c>
      <x:c r="AD672" s="84" t="n">
        <x:f>AC672-B672</x:f>
        <x:v>4</x:v>
      </x:c>
      <x:c r="AE672" s="84" t="str">
        <x:f>IF(COUNTIF($A$5:A672,A672)&gt;1,"Duplicate","Keep")</x:f>
        <x:v>Keep</x:v>
      </x:c>
      <x:c r="AF672" s="84" t="str">
        <x:f>IF(OR(R672&lt;=0,AC672&lt;B672,H672="Unknown",M672="Unknown Product"),"Review","Valid")</x:f>
        <x:v>Valid</x:v>
      </x:c>
      <x:c r="AG672" s="84" t="n">
        <x:f>IF(AND(AE672="Keep",AF672="Valid"),1,0)</x:f>
        <x:v>1</x:v>
      </x:c>
      <x:c r="AH672" s="84" t="n">
        <x:f>IF(AND(AG672=1,OR('Dashboard'!$B$4="All",I672='Dashboard'!$B$4),OR('Dashboard'!$E$4="All",N672='Dashboard'!$E$4),OR('Dashboard'!$H$4="All",K672='Dashboard'!$H$4),OR('Dashboard'!$K$4="All",C672='Dashboard'!$K$4)),1,0)</x:f>
        <x:v>1</x:v>
      </x:c>
      <x:c r="AI672" s="84" t="n">
        <x:f>IF(AND(AG672=1,OR('Dashboard'!$B$4="All",I672='Dashboard'!$B$4),OR('Dashboard'!$E$4="All",N672='Dashboard'!$E$4),OR('Dashboard'!$H$4="All",K672='Dashboard'!$H$4)),1,0)</x:f>
        <x:v>1</x:v>
      </x:c>
    </x:row>
    <x:row r="673">
      <x:c r="A673" s="84" t="str">
        <x:f>'Raw Sales'!A673</x:f>
        <x:v>ORD-2024-00447</x:v>
      </x:c>
      <x:c r="B673" s="85" t="n">
        <x:f>'Raw Sales'!B673</x:f>
        <x:v>45536</x:v>
      </x:c>
      <x:c r="C673" s="84" t="n">
        <x:f>YEAR(B673)</x:f>
        <x:v>2024</x:v>
      </x:c>
      <x:c r="D673" s="91" t="n">
        <x:f>DATE(YEAR(B673),MONTH(B673),1)</x:f>
        <x:v>45536</x:v>
      </x:c>
      <x:c r="E673" s="84" t="str">
        <x:f>TEXT(B673,"mmm")</x:f>
        <x:v>Sep</x:v>
      </x:c>
      <x:c r="F673" s="84" t="str">
        <x:f>'Raw Sales'!C673</x:f>
        <x:v>CUST-0399</x:v>
      </x:c>
      <x:c r="G673" s="84" t="str">
        <x:f>PROPER(TRIM('Raw Sales'!D673))</x:f>
        <x:v>Aiden Foster</x:v>
      </x:c>
      <x:c r="H673" s="84" t="str">
        <x:f>IF(TRIM('Raw Sales'!E673)="","Unknown",PROPER(TRIM('Raw Sales'!E673)))</x:f>
        <x:v>Consumer</x:v>
      </x:c>
      <x:c r="I673" s="84" t="str">
        <x:f>PROPER(TRIM('Raw Sales'!F673))</x:f>
        <x:v>Midwest</x:v>
      </x:c>
      <x:c r="J673" s="84" t="str">
        <x:f>PROPER(TRIM('Raw Sales'!G673))</x:f>
        <x:v>Detroit</x:v>
      </x:c>
      <x:c r="K673" s="84" t="str">
        <x:f>PROPER(TRIM('Raw Sales'!H673))</x:f>
        <x:v>Online</x:v>
      </x:c>
      <x:c r="L673" s="84" t="str">
        <x:f>'Raw Sales'!I673</x:f>
        <x:v>OFFC-002</x:v>
      </x:c>
      <x:c r="M673" s="84" t="str">
        <x:f>IFERROR(VLOOKUP(L673,'Reference Data'!$A$5:$F$40,2,FALSE),"Unknown Product")</x:f>
        <x:v>Standing Desk</x:v>
      </x:c>
      <x:c r="N673" s="84" t="str">
        <x:f>IFERROR(VLOOKUP(L673,'Reference Data'!$A$5:$F$40,3,FALSE),"Unknown")</x:f>
        <x:v>Office</x:v>
      </x:c>
      <x:c r="O673" s="84" t="str">
        <x:f>IFERROR(VLOOKUP(L673,'Reference Data'!$A$5:$F$40,4,FALSE),"Unknown")</x:f>
        <x:v>Furniture</x:v>
      </x:c>
      <x:c r="P673" s="92" t="n">
        <x:f>IFERROR(VLOOKUP(L673,'Reference Data'!$A$5:$F$40,5,FALSE),0)</x:f>
        <x:v>399</x:v>
      </x:c>
      <x:c r="Q673" s="92" t="n">
        <x:f>IFERROR(VLOOKUP(L673,'Reference Data'!$A$5:$F$40,6,FALSE),0)</x:f>
        <x:v>235</x:v>
      </x:c>
      <x:c r="R673" s="84" t="n">
        <x:f>'Raw Sales'!J673</x:f>
        <x:v>1</x:v>
      </x:c>
      <x:c r="S673" s="87" t="n">
        <x:f>'Raw Sales'!K673</x:f>
        <x:v>0.15</x:v>
      </x:c>
      <x:c r="T673" s="93" t="n">
        <x:f>P673*R673</x:f>
        <x:v>399</x:v>
      </x:c>
      <x:c r="U673" s="93" t="n">
        <x:f>T673*S673</x:f>
        <x:v>59.849999999999994</x:v>
      </x:c>
      <x:c r="V673" s="93" t="str">
        <x:f>PROPER(TRIM('Raw Sales'!L673))</x:f>
        <x:v>Completed</x:v>
      </x:c>
      <x:c r="W673" s="93" t="n">
        <x:f>IF(V673="Returned",0,T673-U673)</x:f>
        <x:v>339.15</x:v>
      </x:c>
      <x:c r="X673" s="93" t="n">
        <x:f>IF(V673="Returned",Q673*R673*10%,Q673*R673)</x:f>
        <x:v>235</x:v>
      </x:c>
      <x:c r="Y673" s="93" t="n">
        <x:f>W673-X673</x:f>
        <x:v>104.14999999999998</x:v>
      </x:c>
      <x:c r="Z673" s="94" t="n">
        <x:f>IFERROR(Y673/W673,0)</x:f>
        <x:v>0.3070912575556538</x:v>
      </x:c>
      <x:c r="AA673" s="84" t="str">
        <x:f>PROPER(TRIM('Raw Sales'!M673))</x:f>
        <x:v>Paypal</x:v>
      </x:c>
      <x:c r="AB673" s="84" t="str">
        <x:f>PROPER(TRIM('Raw Sales'!N673))</x:f>
        <x:v>Zoe Turner</x:v>
      </x:c>
      <x:c r="AC673" s="85" t="n">
        <x:f>'Raw Sales'!O673</x:f>
        <x:v>45540</x:v>
      </x:c>
      <x:c r="AD673" s="84" t="n">
        <x:f>AC673-B673</x:f>
        <x:v>4</x:v>
      </x:c>
      <x:c r="AE673" s="84" t="str">
        <x:f>IF(COUNTIF($A$5:A673,A673)&gt;1,"Duplicate","Keep")</x:f>
        <x:v>Keep</x:v>
      </x:c>
      <x:c r="AF673" s="84" t="str">
        <x:f>IF(OR(R673&lt;=0,AC673&lt;B673,H673="Unknown",M673="Unknown Product"),"Review","Valid")</x:f>
        <x:v>Valid</x:v>
      </x:c>
      <x:c r="AG673" s="84" t="n">
        <x:f>IF(AND(AE673="Keep",AF673="Valid"),1,0)</x:f>
        <x:v>1</x:v>
      </x:c>
      <x:c r="AH673" s="84" t="n">
        <x:f>IF(AND(AG673=1,OR('Dashboard'!$B$4="All",I673='Dashboard'!$B$4),OR('Dashboard'!$E$4="All",N673='Dashboard'!$E$4),OR('Dashboard'!$H$4="All",K673='Dashboard'!$H$4),OR('Dashboard'!$K$4="All",C673='Dashboard'!$K$4)),1,0)</x:f>
        <x:v>1</x:v>
      </x:c>
      <x:c r="AI673" s="84" t="n">
        <x:f>IF(AND(AG673=1,OR('Dashboard'!$B$4="All",I673='Dashboard'!$B$4),OR('Dashboard'!$E$4="All",N673='Dashboard'!$E$4),OR('Dashboard'!$H$4="All",K673='Dashboard'!$H$4)),1,0)</x:f>
        <x:v>1</x:v>
      </x:c>
    </x:row>
    <x:row r="674">
      <x:c r="A674" s="84" t="str">
        <x:f>'Raw Sales'!A674</x:f>
        <x:v>ORD-2024-01945</x:v>
      </x:c>
      <x:c r="B674" s="85" t="n">
        <x:f>'Raw Sales'!B674</x:f>
        <x:v>45536</x:v>
      </x:c>
      <x:c r="C674" s="84" t="n">
        <x:f>YEAR(B674)</x:f>
        <x:v>2024</x:v>
      </x:c>
      <x:c r="D674" s="91" t="n">
        <x:f>DATE(YEAR(B674),MONTH(B674),1)</x:f>
        <x:v>45536</x:v>
      </x:c>
      <x:c r="E674" s="84" t="str">
        <x:f>TEXT(B674,"mmm")</x:f>
        <x:v>Sep</x:v>
      </x:c>
      <x:c r="F674" s="84" t="str">
        <x:f>'Raw Sales'!C674</x:f>
        <x:v>CUST-0457</x:v>
      </x:c>
      <x:c r="G674" s="84" t="str">
        <x:f>PROPER(TRIM('Raw Sales'!D674))</x:f>
        <x:v>Amelia Carter</x:v>
      </x:c>
      <x:c r="H674" s="84" t="str">
        <x:f>IF(TRIM('Raw Sales'!E674)="","Unknown",PROPER(TRIM('Raw Sales'!E674)))</x:f>
        <x:v>Small Business</x:v>
      </x:c>
      <x:c r="I674" s="84" t="str">
        <x:f>PROPER(TRIM('Raw Sales'!F674))</x:f>
        <x:v>Midwest</x:v>
      </x:c>
      <x:c r="J674" s="84" t="str">
        <x:f>PROPER(TRIM('Raw Sales'!G674))</x:f>
        <x:v>Columbus</x:v>
      </x:c>
      <x:c r="K674" s="84" t="str">
        <x:f>PROPER(TRIM('Raw Sales'!H674))</x:f>
        <x:v>Online</x:v>
      </x:c>
      <x:c r="L674" s="84" t="str">
        <x:f>'Raw Sales'!I674</x:f>
        <x:v>ELEC-005</x:v>
      </x:c>
      <x:c r="M674" s="84" t="str">
        <x:f>IFERROR(VLOOKUP(L674,'Reference Data'!$A$5:$F$40,2,FALSE),"Unknown Product")</x:f>
        <x:v>HD Webcam</x:v>
      </x:c>
      <x:c r="N674" s="84" t="str">
        <x:f>IFERROR(VLOOKUP(L674,'Reference Data'!$A$5:$F$40,3,FALSE),"Unknown")</x:f>
        <x:v>Electronics</x:v>
      </x:c>
      <x:c r="O674" s="84" t="str">
        <x:f>IFERROR(VLOOKUP(L674,'Reference Data'!$A$5:$F$40,4,FALSE),"Unknown")</x:f>
        <x:v>Computer Accessories</x:v>
      </x:c>
      <x:c r="P674" s="92" t="n">
        <x:f>IFERROR(VLOOKUP(L674,'Reference Data'!$A$5:$F$40,5,FALSE),0)</x:f>
        <x:v>79</x:v>
      </x:c>
      <x:c r="Q674" s="92" t="n">
        <x:f>IFERROR(VLOOKUP(L674,'Reference Data'!$A$5:$F$40,6,FALSE),0)</x:f>
        <x:v>37</x:v>
      </x:c>
      <x:c r="R674" s="84" t="n">
        <x:f>'Raw Sales'!J674</x:f>
        <x:v>1</x:v>
      </x:c>
      <x:c r="S674" s="87" t="n">
        <x:f>'Raw Sales'!K674</x:f>
        <x:v>0.05</x:v>
      </x:c>
      <x:c r="T674" s="93" t="n">
        <x:f>P674*R674</x:f>
        <x:v>79</x:v>
      </x:c>
      <x:c r="U674" s="93" t="n">
        <x:f>T674*S674</x:f>
        <x:v>3.95</x:v>
      </x:c>
      <x:c r="V674" s="93" t="str">
        <x:f>PROPER(TRIM('Raw Sales'!L674))</x:f>
        <x:v>Completed</x:v>
      </x:c>
      <x:c r="W674" s="93" t="n">
        <x:f>IF(V674="Returned",0,T674-U674)</x:f>
        <x:v>75.05</x:v>
      </x:c>
      <x:c r="X674" s="93" t="n">
        <x:f>IF(V674="Returned",Q674*R674*10%,Q674*R674)</x:f>
        <x:v>37</x:v>
      </x:c>
      <x:c r="Y674" s="93" t="n">
        <x:f>W674-X674</x:f>
        <x:v>38.05</x:v>
      </x:c>
      <x:c r="Z674" s="94" t="n">
        <x:f>IFERROR(Y674/W674,0)</x:f>
        <x:v>0.5069953364423717</x:v>
      </x:c>
      <x:c r="AA674" s="84" t="str">
        <x:f>PROPER(TRIM('Raw Sales'!M674))</x:f>
        <x:v>Debit Card</x:v>
      </x:c>
      <x:c r="AB674" s="84" t="str">
        <x:f>PROPER(TRIM('Raw Sales'!N674))</x:f>
        <x:v>Lucas Grant</x:v>
      </x:c>
      <x:c r="AC674" s="85" t="n">
        <x:f>'Raw Sales'!O674</x:f>
        <x:v>45540</x:v>
      </x:c>
      <x:c r="AD674" s="84" t="n">
        <x:f>AC674-B674</x:f>
        <x:v>4</x:v>
      </x:c>
      <x:c r="AE674" s="84" t="str">
        <x:f>IF(COUNTIF($A$5:A674,A674)&gt;1,"Duplicate","Keep")</x:f>
        <x:v>Keep</x:v>
      </x:c>
      <x:c r="AF674" s="84" t="str">
        <x:f>IF(OR(R674&lt;=0,AC674&lt;B674,H674="Unknown",M674="Unknown Product"),"Review","Valid")</x:f>
        <x:v>Valid</x:v>
      </x:c>
      <x:c r="AG674" s="84" t="n">
        <x:f>IF(AND(AE674="Keep",AF674="Valid"),1,0)</x:f>
        <x:v>1</x:v>
      </x:c>
      <x:c r="AH674" s="84" t="n">
        <x:f>IF(AND(AG674=1,OR('Dashboard'!$B$4="All",I674='Dashboard'!$B$4),OR('Dashboard'!$E$4="All",N674='Dashboard'!$E$4),OR('Dashboard'!$H$4="All",K674='Dashboard'!$H$4),OR('Dashboard'!$K$4="All",C674='Dashboard'!$K$4)),1,0)</x:f>
        <x:v>1</x:v>
      </x:c>
      <x:c r="AI674" s="84" t="n">
        <x:f>IF(AND(AG674=1,OR('Dashboard'!$B$4="All",I674='Dashboard'!$B$4),OR('Dashboard'!$E$4="All",N674='Dashboard'!$E$4),OR('Dashboard'!$H$4="All",K674='Dashboard'!$H$4)),1,0)</x:f>
        <x:v>1</x:v>
      </x:c>
    </x:row>
    <x:row r="675">
      <x:c r="A675" s="84" t="str">
        <x:f>'Raw Sales'!A675</x:f>
        <x:v>ORD-2024-02260</x:v>
      </x:c>
      <x:c r="B675" s="85" t="n">
        <x:f>'Raw Sales'!B675</x:f>
        <x:v>45536</x:v>
      </x:c>
      <x:c r="C675" s="84" t="n">
        <x:f>YEAR(B675)</x:f>
        <x:v>2024</x:v>
      </x:c>
      <x:c r="D675" s="91" t="n">
        <x:f>DATE(YEAR(B675),MONTH(B675),1)</x:f>
        <x:v>45536</x:v>
      </x:c>
      <x:c r="E675" s="84" t="str">
        <x:f>TEXT(B675,"mmm")</x:f>
        <x:v>Sep</x:v>
      </x:c>
      <x:c r="F675" s="84" t="str">
        <x:f>'Raw Sales'!C675</x:f>
        <x:v>CUST-0257</x:v>
      </x:c>
      <x:c r="G675" s="84" t="str">
        <x:f>PROPER(TRIM('Raw Sales'!D675))</x:f>
        <x:v>Elias Davis</x:v>
      </x:c>
      <x:c r="H675" s="84" t="str">
        <x:f>IF(TRIM('Raw Sales'!E675)="","Unknown",PROPER(TRIM('Raw Sales'!E675)))</x:f>
        <x:v>Corporate</x:v>
      </x:c>
      <x:c r="I675" s="84" t="str">
        <x:f>PROPER(TRIM('Raw Sales'!F675))</x:f>
        <x:v>Northeast</x:v>
      </x:c>
      <x:c r="J675" s="84" t="str">
        <x:f>PROPER(TRIM('Raw Sales'!G675))</x:f>
        <x:v>Boston</x:v>
      </x:c>
      <x:c r="K675" s="84" t="str">
        <x:f>PROPER(TRIM('Raw Sales'!H675))</x:f>
        <x:v>Retail Store</x:v>
      </x:c>
      <x:c r="L675" s="84" t="str">
        <x:f>'Raw Sales'!I675</x:f>
        <x:v>ACCS-003</x:v>
      </x:c>
      <x:c r="M675" s="84" t="str">
        <x:f>IFERROR(VLOOKUP(L675,'Reference Data'!$A$5:$F$40,2,FALSE),"Unknown Product")</x:f>
        <x:v>Polarized Sunglasses</x:v>
      </x:c>
      <x:c r="N675" s="84" t="str">
        <x:f>IFERROR(VLOOKUP(L675,'Reference Data'!$A$5:$F$40,3,FALSE),"Unknown")</x:f>
        <x:v>Accessories</x:v>
      </x:c>
      <x:c r="O675" s="84" t="str">
        <x:f>IFERROR(VLOOKUP(L675,'Reference Data'!$A$5:$F$40,4,FALSE),"Unknown")</x:f>
        <x:v>Eyewear</x:v>
      </x:c>
      <x:c r="P675" s="92" t="n">
        <x:f>IFERROR(VLOOKUP(L675,'Reference Data'!$A$5:$F$40,5,FALSE),0)</x:f>
        <x:v>59</x:v>
      </x:c>
      <x:c r="Q675" s="92" t="n">
        <x:f>IFERROR(VLOOKUP(L675,'Reference Data'!$A$5:$F$40,6,FALSE),0)</x:f>
        <x:v>17</x:v>
      </x:c>
      <x:c r="R675" s="84" t="n">
        <x:f>'Raw Sales'!J675</x:f>
        <x:v>5</x:v>
      </x:c>
      <x:c r="S675" s="87" t="n">
        <x:f>'Raw Sales'!K675</x:f>
        <x:v>0.05</x:v>
      </x:c>
      <x:c r="T675" s="93" t="n">
        <x:f>P675*R675</x:f>
        <x:v>295</x:v>
      </x:c>
      <x:c r="U675" s="93" t="n">
        <x:f>T675*S675</x:f>
        <x:v>14.75</x:v>
      </x:c>
      <x:c r="V675" s="93" t="str">
        <x:f>PROPER(TRIM('Raw Sales'!L675))</x:f>
        <x:v>Completed</x:v>
      </x:c>
      <x:c r="W675" s="93" t="n">
        <x:f>IF(V675="Returned",0,T675-U675)</x:f>
        <x:v>280.25</x:v>
      </x:c>
      <x:c r="X675" s="93" t="n">
        <x:f>IF(V675="Returned",Q675*R675*10%,Q675*R675)</x:f>
        <x:v>85</x:v>
      </x:c>
      <x:c r="Y675" s="93" t="n">
        <x:f>W675-X675</x:f>
        <x:v>195.25</x:v>
      </x:c>
      <x:c r="Z675" s="94" t="n">
        <x:f>IFERROR(Y675/W675,0)</x:f>
        <x:v>0.6966993755575379</x:v>
      </x:c>
      <x:c r="AA675" s="84" t="str">
        <x:f>PROPER(TRIM('Raw Sales'!M675))</x:f>
        <x:v>Credit Card</x:v>
      </x:c>
      <x:c r="AB675" s="84" t="str">
        <x:f>PROPER(TRIM('Raw Sales'!N675))</x:f>
        <x:v>Ethan Cole</x:v>
      </x:c>
      <x:c r="AC675" s="85" t="n">
        <x:f>'Raw Sales'!O675</x:f>
        <x:v>45536</x:v>
      </x:c>
      <x:c r="AD675" s="84" t="n">
        <x:f>AC675-B675</x:f>
        <x:v>0</x:v>
      </x:c>
      <x:c r="AE675" s="84" t="str">
        <x:f>IF(COUNTIF($A$5:A675,A675)&gt;1,"Duplicate","Keep")</x:f>
        <x:v>Keep</x:v>
      </x:c>
      <x:c r="AF675" s="84" t="str">
        <x:f>IF(OR(R675&lt;=0,AC675&lt;B675,H675="Unknown",M675="Unknown Product"),"Review","Valid")</x:f>
        <x:v>Valid</x:v>
      </x:c>
      <x:c r="AG675" s="84" t="n">
        <x:f>IF(AND(AE675="Keep",AF675="Valid"),1,0)</x:f>
        <x:v>1</x:v>
      </x:c>
      <x:c r="AH675" s="84" t="n">
        <x:f>IF(AND(AG675=1,OR('Dashboard'!$B$4="All",I675='Dashboard'!$B$4),OR('Dashboard'!$E$4="All",N675='Dashboard'!$E$4),OR('Dashboard'!$H$4="All",K675='Dashboard'!$H$4),OR('Dashboard'!$K$4="All",C675='Dashboard'!$K$4)),1,0)</x:f>
        <x:v>1</x:v>
      </x:c>
      <x:c r="AI675" s="84" t="n">
        <x:f>IF(AND(AG675=1,OR('Dashboard'!$B$4="All",I675='Dashboard'!$B$4),OR('Dashboard'!$E$4="All",N675='Dashboard'!$E$4),OR('Dashboard'!$H$4="All",K675='Dashboard'!$H$4)),1,0)</x:f>
        <x:v>1</x:v>
      </x:c>
    </x:row>
    <x:row r="676">
      <x:c r="A676" s="84" t="str">
        <x:f>'Raw Sales'!A676</x:f>
        <x:v>ORD-2024-00078</x:v>
      </x:c>
      <x:c r="B676" s="85" t="n">
        <x:f>'Raw Sales'!B676</x:f>
        <x:v>45537</x:v>
      </x:c>
      <x:c r="C676" s="84" t="n">
        <x:f>YEAR(B676)</x:f>
        <x:v>2024</x:v>
      </x:c>
      <x:c r="D676" s="91" t="n">
        <x:f>DATE(YEAR(B676),MONTH(B676),1)</x:f>
        <x:v>45536</x:v>
      </x:c>
      <x:c r="E676" s="84" t="str">
        <x:f>TEXT(B676,"mmm")</x:f>
        <x:v>Sep</x:v>
      </x:c>
      <x:c r="F676" s="84" t="str">
        <x:f>'Raw Sales'!C676</x:f>
        <x:v>CUST-0378</x:v>
      </x:c>
      <x:c r="G676" s="84" t="str">
        <x:f>PROPER(TRIM('Raw Sales'!D676))</x:f>
        <x:v>Victoria Nelson</x:v>
      </x:c>
      <x:c r="H676" s="84" t="str">
        <x:f>IF(TRIM('Raw Sales'!E676)="","Unknown",PROPER(TRIM('Raw Sales'!E676)))</x:f>
        <x:v>Consumer</x:v>
      </x:c>
      <x:c r="I676" s="84" t="str">
        <x:f>PROPER(TRIM('Raw Sales'!F676))</x:f>
        <x:v>Midwest</x:v>
      </x:c>
      <x:c r="J676" s="84" t="str">
        <x:f>PROPER(TRIM('Raw Sales'!G676))</x:f>
        <x:v>Chicago</x:v>
      </x:c>
      <x:c r="K676" s="84" t="str">
        <x:f>PROPER(TRIM('Raw Sales'!H676))</x:f>
        <x:v>Online</x:v>
      </x:c>
      <x:c r="L676" s="84" t="str">
        <x:f>'Raw Sales'!I676</x:f>
        <x:v>OFFC-003</x:v>
      </x:c>
      <x:c r="M676" s="84" t="str">
        <x:f>IFERROR(VLOOKUP(L676,'Reference Data'!$A$5:$F$40,2,FALSE),"Unknown Product")</x:f>
        <x:v>LED Desk Lamp</x:v>
      </x:c>
      <x:c r="N676" s="84" t="str">
        <x:f>IFERROR(VLOOKUP(L676,'Reference Data'!$A$5:$F$40,3,FALSE),"Unknown")</x:f>
        <x:v>Office</x:v>
      </x:c>
      <x:c r="O676" s="84" t="str">
        <x:f>IFERROR(VLOOKUP(L676,'Reference Data'!$A$5:$F$40,4,FALSE),"Unknown")</x:f>
        <x:v>Desk Accessories</x:v>
      </x:c>
      <x:c r="P676" s="92" t="n">
        <x:f>IFERROR(VLOOKUP(L676,'Reference Data'!$A$5:$F$40,5,FALSE),0)</x:f>
        <x:v>45</x:v>
      </x:c>
      <x:c r="Q676" s="92" t="n">
        <x:f>IFERROR(VLOOKUP(L676,'Reference Data'!$A$5:$F$40,6,FALSE),0)</x:f>
        <x:v>20</x:v>
      </x:c>
      <x:c r="R676" s="84" t="n">
        <x:f>'Raw Sales'!J676</x:f>
        <x:v>1</x:v>
      </x:c>
      <x:c r="S676" s="87" t="n">
        <x:f>'Raw Sales'!K676</x:f>
        <x:v>0.15</x:v>
      </x:c>
      <x:c r="T676" s="93" t="n">
        <x:f>P676*R676</x:f>
        <x:v>45</x:v>
      </x:c>
      <x:c r="U676" s="93" t="n">
        <x:f>T676*S676</x:f>
        <x:v>6.75</x:v>
      </x:c>
      <x:c r="V676" s="93" t="str">
        <x:f>PROPER(TRIM('Raw Sales'!L676))</x:f>
        <x:v>Completed</x:v>
      </x:c>
      <x:c r="W676" s="93" t="n">
        <x:f>IF(V676="Returned",0,T676-U676)</x:f>
        <x:v>38.25</x:v>
      </x:c>
      <x:c r="X676" s="93" t="n">
        <x:f>IF(V676="Returned",Q676*R676*10%,Q676*R676)</x:f>
        <x:v>20</x:v>
      </x:c>
      <x:c r="Y676" s="93" t="n">
        <x:f>W676-X676</x:f>
        <x:v>18.25</x:v>
      </x:c>
      <x:c r="Z676" s="94" t="n">
        <x:f>IFERROR(Y676/W676,0)</x:f>
        <x:v>0.477124183006536</x:v>
      </x:c>
      <x:c r="AA676" s="84" t="str">
        <x:f>PROPER(TRIM('Raw Sales'!M676))</x:f>
        <x:v>Credit Card</x:v>
      </x:c>
      <x:c r="AB676" s="84" t="str">
        <x:f>PROPER(TRIM('Raw Sales'!N676))</x:f>
        <x:v>Lucas Grant</x:v>
      </x:c>
      <x:c r="AC676" s="85" t="n">
        <x:f>'Raw Sales'!O676</x:f>
        <x:v>45540</x:v>
      </x:c>
      <x:c r="AD676" s="84" t="n">
        <x:f>AC676-B676</x:f>
        <x:v>3</x:v>
      </x:c>
      <x:c r="AE676" s="84" t="str">
        <x:f>IF(COUNTIF($A$5:A676,A676)&gt;1,"Duplicate","Keep")</x:f>
        <x:v>Keep</x:v>
      </x:c>
      <x:c r="AF676" s="84" t="str">
        <x:f>IF(OR(R676&lt;=0,AC676&lt;B676,H676="Unknown",M676="Unknown Product"),"Review","Valid")</x:f>
        <x:v>Valid</x:v>
      </x:c>
      <x:c r="AG676" s="84" t="n">
        <x:f>IF(AND(AE676="Keep",AF676="Valid"),1,0)</x:f>
        <x:v>1</x:v>
      </x:c>
      <x:c r="AH676" s="84" t="n">
        <x:f>IF(AND(AG676=1,OR('Dashboard'!$B$4="All",I676='Dashboard'!$B$4),OR('Dashboard'!$E$4="All",N676='Dashboard'!$E$4),OR('Dashboard'!$H$4="All",K676='Dashboard'!$H$4),OR('Dashboard'!$K$4="All",C676='Dashboard'!$K$4)),1,0)</x:f>
        <x:v>1</x:v>
      </x:c>
      <x:c r="AI676" s="84" t="n">
        <x:f>IF(AND(AG676=1,OR('Dashboard'!$B$4="All",I676='Dashboard'!$B$4),OR('Dashboard'!$E$4="All",N676='Dashboard'!$E$4),OR('Dashboard'!$H$4="All",K676='Dashboard'!$H$4)),1,0)</x:f>
        <x:v>1</x:v>
      </x:c>
    </x:row>
    <x:row r="677">
      <x:c r="A677" s="84" t="str">
        <x:f>'Raw Sales'!A677</x:f>
        <x:v>ORD-2024-00423</x:v>
      </x:c>
      <x:c r="B677" s="85" t="n">
        <x:f>'Raw Sales'!B677</x:f>
        <x:v>45537</x:v>
      </x:c>
      <x:c r="C677" s="84" t="n">
        <x:f>YEAR(B677)</x:f>
        <x:v>2024</x:v>
      </x:c>
      <x:c r="D677" s="91" t="n">
        <x:f>DATE(YEAR(B677),MONTH(B677),1)</x:f>
        <x:v>45536</x:v>
      </x:c>
      <x:c r="E677" s="84" t="str">
        <x:f>TEXT(B677,"mmm")</x:f>
        <x:v>Sep</x:v>
      </x:c>
      <x:c r="F677" s="84" t="str">
        <x:f>'Raw Sales'!C677</x:f>
        <x:v>CUST-0439</x:v>
      </x:c>
      <x:c r="G677" s="84" t="str">
        <x:f>PROPER(TRIM('Raw Sales'!D677))</x:f>
        <x:v>Aiden Irwin</x:v>
      </x:c>
      <x:c r="H677" s="84" t="str">
        <x:f>IF(TRIM('Raw Sales'!E677)="","Unknown",PROPER(TRIM('Raw Sales'!E677)))</x:f>
        <x:v>Consumer</x:v>
      </x:c>
      <x:c r="I677" s="84" t="str">
        <x:f>PROPER(TRIM('Raw Sales'!F677))</x:f>
        <x:v>West</x:v>
      </x:c>
      <x:c r="J677" s="84" t="str">
        <x:f>PROPER(TRIM('Raw Sales'!G677))</x:f>
        <x:v>Los Angeles</x:v>
      </x:c>
      <x:c r="K677" s="84" t="str">
        <x:f>PROPER(TRIM('Raw Sales'!H677))</x:f>
        <x:v>Online</x:v>
      </x:c>
      <x:c r="L677" s="84" t="str">
        <x:f>'Raw Sales'!I677</x:f>
        <x:v>CARE-004</x:v>
      </x:c>
      <x:c r="M677" s="84" t="str">
        <x:f>IFERROR(VLOOKUP(L677,'Reference Data'!$A$5:$F$40,2,FALSE),"Unknown Product")</x:f>
        <x:v>Electric Toothbrush</x:v>
      </x:c>
      <x:c r="N677" s="84" t="str">
        <x:f>IFERROR(VLOOKUP(L677,'Reference Data'!$A$5:$F$40,3,FALSE),"Unknown")</x:f>
        <x:v>Personal Care</x:v>
      </x:c>
      <x:c r="O677" s="84" t="str">
        <x:f>IFERROR(VLOOKUP(L677,'Reference Data'!$A$5:$F$40,4,FALSE),"Unknown")</x:f>
        <x:v>Oral Care</x:v>
      </x:c>
      <x:c r="P677" s="92" t="n">
        <x:f>IFERROR(VLOOKUP(L677,'Reference Data'!$A$5:$F$40,5,FALSE),0)</x:f>
        <x:v>69</x:v>
      </x:c>
      <x:c r="Q677" s="92" t="n">
        <x:f>IFERROR(VLOOKUP(L677,'Reference Data'!$A$5:$F$40,6,FALSE),0)</x:f>
        <x:v>31</x:v>
      </x:c>
      <x:c r="R677" s="84" t="n">
        <x:f>'Raw Sales'!J677</x:f>
        <x:v>2</x:v>
      </x:c>
      <x:c r="S677" s="87" t="n">
        <x:f>'Raw Sales'!K677</x:f>
        <x:v>0</x:v>
      </x:c>
      <x:c r="T677" s="93" t="n">
        <x:f>P677*R677</x:f>
        <x:v>138</x:v>
      </x:c>
      <x:c r="U677" s="93" t="n">
        <x:f>T677*S677</x:f>
        <x:v>0</x:v>
      </x:c>
      <x:c r="V677" s="93" t="str">
        <x:f>PROPER(TRIM('Raw Sales'!L677))</x:f>
        <x:v>Completed</x:v>
      </x:c>
      <x:c r="W677" s="93" t="n">
        <x:f>IF(V677="Returned",0,T677-U677)</x:f>
        <x:v>138</x:v>
      </x:c>
      <x:c r="X677" s="93" t="n">
        <x:f>IF(V677="Returned",Q677*R677*10%,Q677*R677)</x:f>
        <x:v>62</x:v>
      </x:c>
      <x:c r="Y677" s="93" t="n">
        <x:f>W677-X677</x:f>
        <x:v>76</x:v>
      </x:c>
      <x:c r="Z677" s="94" t="n">
        <x:f>IFERROR(Y677/W677,0)</x:f>
        <x:v>0.5507246376811594</x:v>
      </x:c>
      <x:c r="AA677" s="84" t="str">
        <x:f>PROPER(TRIM('Raw Sales'!M677))</x:f>
        <x:v>Credit Card</x:v>
      </x:c>
      <x:c r="AB677" s="84" t="str">
        <x:f>PROPER(TRIM('Raw Sales'!N677))</x:f>
        <x:v>Leo Martinez</x:v>
      </x:c>
      <x:c r="AC677" s="85" t="n">
        <x:f>'Raw Sales'!O677</x:f>
        <x:v>45542</x:v>
      </x:c>
      <x:c r="AD677" s="84" t="n">
        <x:f>AC677-B677</x:f>
        <x:v>5</x:v>
      </x:c>
      <x:c r="AE677" s="84" t="str">
        <x:f>IF(COUNTIF($A$5:A677,A677)&gt;1,"Duplicate","Keep")</x:f>
        <x:v>Keep</x:v>
      </x:c>
      <x:c r="AF677" s="84" t="str">
        <x:f>IF(OR(R677&lt;=0,AC677&lt;B677,H677="Unknown",M677="Unknown Product"),"Review","Valid")</x:f>
        <x:v>Valid</x:v>
      </x:c>
      <x:c r="AG677" s="84" t="n">
        <x:f>IF(AND(AE677="Keep",AF677="Valid"),1,0)</x:f>
        <x:v>1</x:v>
      </x:c>
      <x:c r="AH677" s="84" t="n">
        <x:f>IF(AND(AG677=1,OR('Dashboard'!$B$4="All",I677='Dashboard'!$B$4),OR('Dashboard'!$E$4="All",N677='Dashboard'!$E$4),OR('Dashboard'!$H$4="All",K677='Dashboard'!$H$4),OR('Dashboard'!$K$4="All",C677='Dashboard'!$K$4)),1,0)</x:f>
        <x:v>1</x:v>
      </x:c>
      <x:c r="AI677" s="84" t="n">
        <x:f>IF(AND(AG677=1,OR('Dashboard'!$B$4="All",I677='Dashboard'!$B$4),OR('Dashboard'!$E$4="All",N677='Dashboard'!$E$4),OR('Dashboard'!$H$4="All",K677='Dashboard'!$H$4)),1,0)</x:f>
        <x:v>1</x:v>
      </x:c>
    </x:row>
    <x:row r="678">
      <x:c r="A678" s="84" t="str">
        <x:f>'Raw Sales'!A678</x:f>
        <x:v>ORD-2024-00529</x:v>
      </x:c>
      <x:c r="B678" s="85" t="n">
        <x:f>'Raw Sales'!B678</x:f>
        <x:v>45537</x:v>
      </x:c>
      <x:c r="C678" s="84" t="n">
        <x:f>YEAR(B678)</x:f>
        <x:v>2024</x:v>
      </x:c>
      <x:c r="D678" s="91" t="n">
        <x:f>DATE(YEAR(B678),MONTH(B678),1)</x:f>
        <x:v>45536</x:v>
      </x:c>
      <x:c r="E678" s="84" t="str">
        <x:f>TEXT(B678,"mmm")</x:f>
        <x:v>Sep</x:v>
      </x:c>
      <x:c r="F678" s="84" t="str">
        <x:f>'Raw Sales'!C678</x:f>
        <x:v>CUST-0186</x:v>
      </x:c>
      <x:c r="G678" s="84" t="str">
        <x:f>PROPER(TRIM('Raw Sales'!D678))</x:f>
        <x:v>Elias Hall</x:v>
      </x:c>
      <x:c r="H678" s="84" t="str">
        <x:f>IF(TRIM('Raw Sales'!E678)="","Unknown",PROPER(TRIM('Raw Sales'!E678)))</x:f>
        <x:v>Consumer</x:v>
      </x:c>
      <x:c r="I678" s="84" t="str">
        <x:f>PROPER(TRIM('Raw Sales'!F678))</x:f>
        <x:v>West</x:v>
      </x:c>
      <x:c r="J678" s="84" t="str">
        <x:f>PROPER(TRIM('Raw Sales'!G678))</x:f>
        <x:v>Los Angeles</x:v>
      </x:c>
      <x:c r="K678" s="84" t="str">
        <x:f>PROPER(TRIM('Raw Sales'!H678))</x:f>
        <x:v>Retail Store</x:v>
      </x:c>
      <x:c r="L678" s="84" t="str">
        <x:f>'Raw Sales'!I678</x:f>
        <x:v>FITN-006</x:v>
      </x:c>
      <x:c r="M678" s="84" t="str">
        <x:f>IFERROR(VLOOKUP(L678,'Reference Data'!$A$5:$F$40,2,FALSE),"Unknown Product")</x:f>
        <x:v>Foam Roller</x:v>
      </x:c>
      <x:c r="N678" s="84" t="str">
        <x:f>IFERROR(VLOOKUP(L678,'Reference Data'!$A$5:$F$40,3,FALSE),"Unknown")</x:f>
        <x:v>Fitness</x:v>
      </x:c>
      <x:c r="O678" s="84" t="str">
        <x:f>IFERROR(VLOOKUP(L678,'Reference Data'!$A$5:$F$40,4,FALSE),"Unknown")</x:f>
        <x:v>Recovery</x:v>
      </x:c>
      <x:c r="P678" s="92" t="n">
        <x:f>IFERROR(VLOOKUP(L678,'Reference Data'!$A$5:$F$40,5,FALSE),0)</x:f>
        <x:v>31</x:v>
      </x:c>
      <x:c r="Q678" s="92" t="n">
        <x:f>IFERROR(VLOOKUP(L678,'Reference Data'!$A$5:$F$40,6,FALSE),0)</x:f>
        <x:v>12</x:v>
      </x:c>
      <x:c r="R678" s="84" t="n">
        <x:f>'Raw Sales'!J678</x:f>
        <x:v>1</x:v>
      </x:c>
      <x:c r="S678" s="87" t="n">
        <x:f>'Raw Sales'!K678</x:f>
        <x:v>0.15</x:v>
      </x:c>
      <x:c r="T678" s="93" t="n">
        <x:f>P678*R678</x:f>
        <x:v>31</x:v>
      </x:c>
      <x:c r="U678" s="93" t="n">
        <x:f>T678*S678</x:f>
        <x:v>4.6499999999999995</x:v>
      </x:c>
      <x:c r="V678" s="93" t="str">
        <x:f>PROPER(TRIM('Raw Sales'!L678))</x:f>
        <x:v>Completed</x:v>
      </x:c>
      <x:c r="W678" s="93" t="n">
        <x:f>IF(V678="Returned",0,T678-U678)</x:f>
        <x:v>26.35</x:v>
      </x:c>
      <x:c r="X678" s="93" t="n">
        <x:f>IF(V678="Returned",Q678*R678*10%,Q678*R678)</x:f>
        <x:v>12</x:v>
      </x:c>
      <x:c r="Y678" s="93" t="n">
        <x:f>W678-X678</x:f>
        <x:v>14.350000000000001</x:v>
      </x:c>
      <x:c r="Z678" s="94" t="n">
        <x:f>IFERROR(Y678/W678,0)</x:f>
        <x:v>0.5445920303605314</x:v>
      </x:c>
      <x:c r="AA678" s="84" t="str">
        <x:f>PROPER(TRIM('Raw Sales'!M678))</x:f>
        <x:v>Credit Card</x:v>
      </x:c>
      <x:c r="AB678" s="84" t="str">
        <x:f>PROPER(TRIM('Raw Sales'!N678))</x:f>
        <x:v>Nora Kim</x:v>
      </x:c>
      <x:c r="AC678" s="85" t="n">
        <x:f>'Raw Sales'!O678</x:f>
        <x:v>45538</x:v>
      </x:c>
      <x:c r="AD678" s="84" t="n">
        <x:f>AC678-B678</x:f>
        <x:v>1</x:v>
      </x:c>
      <x:c r="AE678" s="84" t="str">
        <x:f>IF(COUNTIF($A$5:A678,A678)&gt;1,"Duplicate","Keep")</x:f>
        <x:v>Keep</x:v>
      </x:c>
      <x:c r="AF678" s="84" t="str">
        <x:f>IF(OR(R678&lt;=0,AC678&lt;B678,H678="Unknown",M678="Unknown Product"),"Review","Valid")</x:f>
        <x:v>Valid</x:v>
      </x:c>
      <x:c r="AG678" s="84" t="n">
        <x:f>IF(AND(AE678="Keep",AF678="Valid"),1,0)</x:f>
        <x:v>1</x:v>
      </x:c>
      <x:c r="AH678" s="84" t="n">
        <x:f>IF(AND(AG678=1,OR('Dashboard'!$B$4="All",I678='Dashboard'!$B$4),OR('Dashboard'!$E$4="All",N678='Dashboard'!$E$4),OR('Dashboard'!$H$4="All",K678='Dashboard'!$H$4),OR('Dashboard'!$K$4="All",C678='Dashboard'!$K$4)),1,0)</x:f>
        <x:v>1</x:v>
      </x:c>
      <x:c r="AI678" s="84" t="n">
        <x:f>IF(AND(AG678=1,OR('Dashboard'!$B$4="All",I678='Dashboard'!$B$4),OR('Dashboard'!$E$4="All",N678='Dashboard'!$E$4),OR('Dashboard'!$H$4="All",K678='Dashboard'!$H$4)),1,0)</x:f>
        <x:v>1</x:v>
      </x:c>
    </x:row>
    <x:row r="679">
      <x:c r="A679" s="84" t="str">
        <x:f>'Raw Sales'!A679</x:f>
        <x:v>ORD-2024-00808</x:v>
      </x:c>
      <x:c r="B679" s="85" t="n">
        <x:f>'Raw Sales'!B679</x:f>
        <x:v>45537</x:v>
      </x:c>
      <x:c r="C679" s="84" t="n">
        <x:f>YEAR(B679)</x:f>
        <x:v>2024</x:v>
      </x:c>
      <x:c r="D679" s="91" t="n">
        <x:f>DATE(YEAR(B679),MONTH(B679),1)</x:f>
        <x:v>45536</x:v>
      </x:c>
      <x:c r="E679" s="84" t="str">
        <x:f>TEXT(B679,"mmm")</x:f>
        <x:v>Sep</x:v>
      </x:c>
      <x:c r="F679" s="84" t="str">
        <x:f>'Raw Sales'!C679</x:f>
        <x:v>CUST-0339</x:v>
      </x:c>
      <x:c r="G679" s="84" t="str">
        <x:f>PROPER(TRIM('Raw Sales'!D679))</x:f>
        <x:v>Marcus Walker</x:v>
      </x:c>
      <x:c r="H679" s="84" t="str">
        <x:f>IF(TRIM('Raw Sales'!E679)="","Unknown",PROPER(TRIM('Raw Sales'!E679)))</x:f>
        <x:v>Consumer</x:v>
      </x:c>
      <x:c r="I679" s="84" t="str">
        <x:f>PROPER(TRIM('Raw Sales'!F679))</x:f>
        <x:v>Midwest</x:v>
      </x:c>
      <x:c r="J679" s="84" t="str">
        <x:f>PROPER(TRIM('Raw Sales'!G679))</x:f>
        <x:v>Columbus</x:v>
      </x:c>
      <x:c r="K679" s="84" t="str">
        <x:f>PROPER(TRIM('Raw Sales'!H679))</x:f>
        <x:v>Retail Store</x:v>
      </x:c>
      <x:c r="L679" s="84" t="str">
        <x:f>'Raw Sales'!I679</x:f>
        <x:v>OFFC-004</x:v>
      </x:c>
      <x:c r="M679" s="84" t="str">
        <x:f>IFERROR(VLOOKUP(L679,'Reference Data'!$A$5:$F$40,2,FALSE),"Unknown Product")</x:f>
        <x:v>Premium Notebook Pack</x:v>
      </x:c>
      <x:c r="N679" s="84" t="str">
        <x:f>IFERROR(VLOOKUP(L679,'Reference Data'!$A$5:$F$40,3,FALSE),"Unknown")</x:f>
        <x:v>Office</x:v>
      </x:c>
      <x:c r="O679" s="84" t="str">
        <x:f>IFERROR(VLOOKUP(L679,'Reference Data'!$A$5:$F$40,4,FALSE),"Unknown")</x:f>
        <x:v>Stationery</x:v>
      </x:c>
      <x:c r="P679" s="92" t="n">
        <x:f>IFERROR(VLOOKUP(L679,'Reference Data'!$A$5:$F$40,5,FALSE),0)</x:f>
        <x:v>18</x:v>
      </x:c>
      <x:c r="Q679" s="92" t="n">
        <x:f>IFERROR(VLOOKUP(L679,'Reference Data'!$A$5:$F$40,6,FALSE),0)</x:f>
        <x:v>6.5</x:v>
      </x:c>
      <x:c r="R679" s="84" t="n">
        <x:f>'Raw Sales'!J679</x:f>
        <x:v>1</x:v>
      </x:c>
      <x:c r="S679" s="87" t="n">
        <x:f>'Raw Sales'!K679</x:f>
        <x:v>0.1</x:v>
      </x:c>
      <x:c r="T679" s="93" t="n">
        <x:f>P679*R679</x:f>
        <x:v>18</x:v>
      </x:c>
      <x:c r="U679" s="93" t="n">
        <x:f>T679*S679</x:f>
        <x:v>1.8</x:v>
      </x:c>
      <x:c r="V679" s="93" t="str">
        <x:f>PROPER(TRIM('Raw Sales'!L679))</x:f>
        <x:v>Completed</x:v>
      </x:c>
      <x:c r="W679" s="93" t="n">
        <x:f>IF(V679="Returned",0,T679-U679)</x:f>
        <x:v>16.2</x:v>
      </x:c>
      <x:c r="X679" s="93" t="n">
        <x:f>IF(V679="Returned",Q679*R679*10%,Q679*R679)</x:f>
        <x:v>6.5</x:v>
      </x:c>
      <x:c r="Y679" s="93" t="n">
        <x:f>W679-X679</x:f>
        <x:v>9.7</x:v>
      </x:c>
      <x:c r="Z679" s="94" t="n">
        <x:f>IFERROR(Y679/W679,0)</x:f>
        <x:v>0.5987654320987654</x:v>
      </x:c>
      <x:c r="AA679" s="84" t="str">
        <x:f>PROPER(TRIM('Raw Sales'!M679))</x:f>
        <x:v>Credit Card</x:v>
      </x:c>
      <x:c r="AB679" s="84" t="str">
        <x:f>PROPER(TRIM('Raw Sales'!N679))</x:f>
        <x:v>Zoe Turner</x:v>
      </x:c>
      <x:c r="AC679" s="85" t="n">
        <x:f>'Raw Sales'!O679</x:f>
        <x:v>45537</x:v>
      </x:c>
      <x:c r="AD679" s="84" t="n">
        <x:f>AC679-B679</x:f>
        <x:v>0</x:v>
      </x:c>
      <x:c r="AE679" s="84" t="str">
        <x:f>IF(COUNTIF($A$5:A679,A679)&gt;1,"Duplicate","Keep")</x:f>
        <x:v>Keep</x:v>
      </x:c>
      <x:c r="AF679" s="84" t="str">
        <x:f>IF(OR(R679&lt;=0,AC679&lt;B679,H679="Unknown",M679="Unknown Product"),"Review","Valid")</x:f>
        <x:v>Valid</x:v>
      </x:c>
      <x:c r="AG679" s="84" t="n">
        <x:f>IF(AND(AE679="Keep",AF679="Valid"),1,0)</x:f>
        <x:v>1</x:v>
      </x:c>
      <x:c r="AH679" s="84" t="n">
        <x:f>IF(AND(AG679=1,OR('Dashboard'!$B$4="All",I679='Dashboard'!$B$4),OR('Dashboard'!$E$4="All",N679='Dashboard'!$E$4),OR('Dashboard'!$H$4="All",K679='Dashboard'!$H$4),OR('Dashboard'!$K$4="All",C679='Dashboard'!$K$4)),1,0)</x:f>
        <x:v>1</x:v>
      </x:c>
      <x:c r="AI679" s="84" t="n">
        <x:f>IF(AND(AG679=1,OR('Dashboard'!$B$4="All",I679='Dashboard'!$B$4),OR('Dashboard'!$E$4="All",N679='Dashboard'!$E$4),OR('Dashboard'!$H$4="All",K679='Dashboard'!$H$4)),1,0)</x:f>
        <x:v>1</x:v>
      </x:c>
    </x:row>
    <x:row r="680">
      <x:c r="A680" s="84" t="str">
        <x:f>'Raw Sales'!A680</x:f>
        <x:v>ORD-2024-01015</x:v>
      </x:c>
      <x:c r="B680" s="85" t="n">
        <x:f>'Raw Sales'!B680</x:f>
        <x:v>45537</x:v>
      </x:c>
      <x:c r="C680" s="84" t="n">
        <x:f>YEAR(B680)</x:f>
        <x:v>2024</x:v>
      </x:c>
      <x:c r="D680" s="91" t="n">
        <x:f>DATE(YEAR(B680),MONTH(B680),1)</x:f>
        <x:v>45536</x:v>
      </x:c>
      <x:c r="E680" s="84" t="str">
        <x:f>TEXT(B680,"mmm")</x:f>
        <x:v>Sep</x:v>
      </x:c>
      <x:c r="F680" s="84" t="str">
        <x:f>'Raw Sales'!C680</x:f>
        <x:v>CUST-0007</x:v>
      </x:c>
      <x:c r="G680" s="84" t="str">
        <x:f>PROPER(TRIM('Raw Sales'!D680))</x:f>
        <x:v>Owen Roberts</x:v>
      </x:c>
      <x:c r="H680" s="84" t="str">
        <x:f>IF(TRIM('Raw Sales'!E680)="","Unknown",PROPER(TRIM('Raw Sales'!E680)))</x:f>
        <x:v>Consumer</x:v>
      </x:c>
      <x:c r="I680" s="84" t="str">
        <x:f>PROPER(TRIM('Raw Sales'!F680))</x:f>
        <x:v>Northeast</x:v>
      </x:c>
      <x:c r="J680" s="84" t="str">
        <x:f>PROPER(TRIM('Raw Sales'!G680))</x:f>
        <x:v>Newark</x:v>
      </x:c>
      <x:c r="K680" s="84" t="str">
        <x:f>PROPER(TRIM('Raw Sales'!H680))</x:f>
        <x:v>Marketplace</x:v>
      </x:c>
      <x:c r="L680" s="84" t="str">
        <x:f>'Raw Sales'!I680</x:f>
        <x:v>CARE-005</x:v>
      </x:c>
      <x:c r="M680" s="84" t="str">
        <x:f>IFERROR(VLOOKUP(L680,'Reference Data'!$A$5:$F$40,2,FALSE),"Unknown Product")</x:f>
        <x:v>Skin Care Starter Kit</x:v>
      </x:c>
      <x:c r="N680" s="84" t="str">
        <x:f>IFERROR(VLOOKUP(L680,'Reference Data'!$A$5:$F$40,3,FALSE),"Unknown")</x:f>
        <x:v>Personal Care</x:v>
      </x:c>
      <x:c r="O680" s="84" t="str">
        <x:f>IFERROR(VLOOKUP(L680,'Reference Data'!$A$5:$F$40,4,FALSE),"Unknown")</x:f>
        <x:v>Skin Care</x:v>
      </x:c>
      <x:c r="P680" s="92" t="n">
        <x:f>IFERROR(VLOOKUP(L680,'Reference Data'!$A$5:$F$40,5,FALSE),0)</x:f>
        <x:v>58</x:v>
      </x:c>
      <x:c r="Q680" s="92" t="n">
        <x:f>IFERROR(VLOOKUP(L680,'Reference Data'!$A$5:$F$40,6,FALSE),0)</x:f>
        <x:v>24</x:v>
      </x:c>
      <x:c r="R680" s="84" t="n">
        <x:f>'Raw Sales'!J680</x:f>
        <x:v>4</x:v>
      </x:c>
      <x:c r="S680" s="87" t="n">
        <x:f>'Raw Sales'!K680</x:f>
        <x:v>0.1</x:v>
      </x:c>
      <x:c r="T680" s="93" t="n">
        <x:f>P680*R680</x:f>
        <x:v>232</x:v>
      </x:c>
      <x:c r="U680" s="93" t="n">
        <x:f>T680*S680</x:f>
        <x:v>23.200000000000003</x:v>
      </x:c>
      <x:c r="V680" s="93" t="str">
        <x:f>PROPER(TRIM('Raw Sales'!L680))</x:f>
        <x:v>Completed</x:v>
      </x:c>
      <x:c r="W680" s="93" t="n">
        <x:f>IF(V680="Returned",0,T680-U680)</x:f>
        <x:v>208.8</x:v>
      </x:c>
      <x:c r="X680" s="93" t="n">
        <x:f>IF(V680="Returned",Q680*R680*10%,Q680*R680)</x:f>
        <x:v>96</x:v>
      </x:c>
      <x:c r="Y680" s="93" t="n">
        <x:f>W680-X680</x:f>
        <x:v>112.80000000000001</x:v>
      </x:c>
      <x:c r="Z680" s="94" t="n">
        <x:f>IFERROR(Y680/W680,0)</x:f>
        <x:v>0.5402298850574713</x:v>
      </x:c>
      <x:c r="AA680" s="84" t="str">
        <x:f>PROPER(TRIM('Raw Sales'!M680))</x:f>
        <x:v>Mobile Wallet</x:v>
      </x:c>
      <x:c r="AB680" s="84" t="str">
        <x:f>PROPER(TRIM('Raw Sales'!N680))</x:f>
        <x:v>Sofia Bennett</x:v>
      </x:c>
      <x:c r="AC680" s="85" t="n">
        <x:f>'Raw Sales'!O680</x:f>
        <x:v>45543</x:v>
      </x:c>
      <x:c r="AD680" s="84" t="n">
        <x:f>AC680-B680</x:f>
        <x:v>6</x:v>
      </x:c>
      <x:c r="AE680" s="84" t="str">
        <x:f>IF(COUNTIF($A$5:A680,A680)&gt;1,"Duplicate","Keep")</x:f>
        <x:v>Keep</x:v>
      </x:c>
      <x:c r="AF680" s="84" t="str">
        <x:f>IF(OR(R680&lt;=0,AC680&lt;B680,H680="Unknown",M680="Unknown Product"),"Review","Valid")</x:f>
        <x:v>Valid</x:v>
      </x:c>
      <x:c r="AG680" s="84" t="n">
        <x:f>IF(AND(AE680="Keep",AF680="Valid"),1,0)</x:f>
        <x:v>1</x:v>
      </x:c>
      <x:c r="AH680" s="84" t="n">
        <x:f>IF(AND(AG680=1,OR('Dashboard'!$B$4="All",I680='Dashboard'!$B$4),OR('Dashboard'!$E$4="All",N680='Dashboard'!$E$4),OR('Dashboard'!$H$4="All",K680='Dashboard'!$H$4),OR('Dashboard'!$K$4="All",C680='Dashboard'!$K$4)),1,0)</x:f>
        <x:v>1</x:v>
      </x:c>
      <x:c r="AI680" s="84" t="n">
        <x:f>IF(AND(AG680=1,OR('Dashboard'!$B$4="All",I680='Dashboard'!$B$4),OR('Dashboard'!$E$4="All",N680='Dashboard'!$E$4),OR('Dashboard'!$H$4="All",K680='Dashboard'!$H$4)),1,0)</x:f>
        <x:v>1</x:v>
      </x:c>
    </x:row>
    <x:row r="681">
      <x:c r="A681" s="84" t="str">
        <x:f>'Raw Sales'!A681</x:f>
        <x:v>ORD-2024-02333</x:v>
      </x:c>
      <x:c r="B681" s="85" t="n">
        <x:f>'Raw Sales'!B681</x:f>
        <x:v>45537</x:v>
      </x:c>
      <x:c r="C681" s="84" t="n">
        <x:f>YEAR(B681)</x:f>
        <x:v>2024</x:v>
      </x:c>
      <x:c r="D681" s="91" t="n">
        <x:f>DATE(YEAR(B681),MONTH(B681),1)</x:f>
        <x:v>45536</x:v>
      </x:c>
      <x:c r="E681" s="84" t="str">
        <x:f>TEXT(B681,"mmm")</x:f>
        <x:v>Sep</x:v>
      </x:c>
      <x:c r="F681" s="84" t="str">
        <x:f>'Raw Sales'!C681</x:f>
        <x:v>CUST-0415</x:v>
      </x:c>
      <x:c r="G681" s="84" t="str">
        <x:f>PROPER(TRIM('Raw Sales'!D681))</x:f>
        <x:v>Zara Foster</x:v>
      </x:c>
      <x:c r="H681" s="84" t="str">
        <x:f>IF(TRIM('Raw Sales'!E681)="","Unknown",PROPER(TRIM('Raw Sales'!E681)))</x:f>
        <x:v>Corporate</x:v>
      </x:c>
      <x:c r="I681" s="84" t="str">
        <x:f>PROPER(TRIM('Raw Sales'!F681))</x:f>
        <x:v>Southeast</x:v>
      </x:c>
      <x:c r="J681" s="84" t="str">
        <x:f>PROPER(TRIM('Raw Sales'!G681))</x:f>
        <x:v>Charlotte</x:v>
      </x:c>
      <x:c r="K681" s="84" t="str">
        <x:f>PROPER(TRIM('Raw Sales'!H681))</x:f>
        <x:v>Online</x:v>
      </x:c>
      <x:c r="L681" s="84" t="str">
        <x:f>'Raw Sales'!I681</x:f>
        <x:v>OFFC-005</x:v>
      </x:c>
      <x:c r="M681" s="84" t="str">
        <x:f>IFERROR(VLOOKUP(L681,'Reference Data'!$A$5:$F$40,2,FALSE),"Unknown Product")</x:f>
        <x:v>Wireless Keyboard</x:v>
      </x:c>
      <x:c r="N681" s="84" t="str">
        <x:f>IFERROR(VLOOKUP(L681,'Reference Data'!$A$5:$F$40,3,FALSE),"Unknown")</x:f>
        <x:v>Office</x:v>
      </x:c>
      <x:c r="O681" s="84" t="str">
        <x:f>IFERROR(VLOOKUP(L681,'Reference Data'!$A$5:$F$40,4,FALSE),"Unknown")</x:f>
        <x:v>Computer Accessories</x:v>
      </x:c>
      <x:c r="P681" s="92" t="n">
        <x:f>IFERROR(VLOOKUP(L681,'Reference Data'!$A$5:$F$40,5,FALSE),0)</x:f>
        <x:v>59</x:v>
      </x:c>
      <x:c r="Q681" s="92" t="n">
        <x:f>IFERROR(VLOOKUP(L681,'Reference Data'!$A$5:$F$40,6,FALSE),0)</x:f>
        <x:v>28</x:v>
      </x:c>
      <x:c r="R681" s="84" t="n">
        <x:f>'Raw Sales'!J681</x:f>
        <x:v>2</x:v>
      </x:c>
      <x:c r="S681" s="87" t="n">
        <x:f>'Raw Sales'!K681</x:f>
        <x:v>0</x:v>
      </x:c>
      <x:c r="T681" s="93" t="n">
        <x:f>P681*R681</x:f>
        <x:v>118</x:v>
      </x:c>
      <x:c r="U681" s="93" t="n">
        <x:f>T681*S681</x:f>
        <x:v>0</x:v>
      </x:c>
      <x:c r="V681" s="93" t="str">
        <x:f>PROPER(TRIM('Raw Sales'!L681))</x:f>
        <x:v>Returned</x:v>
      </x:c>
      <x:c r="W681" s="93" t="n">
        <x:f>IF(V681="Returned",0,T681-U681)</x:f>
        <x:v>0</x:v>
      </x:c>
      <x:c r="X681" s="93" t="n">
        <x:f>IF(V681="Returned",Q681*R681*10%,Q681*R681)</x:f>
        <x:v>5.6000000000000005</x:v>
      </x:c>
      <x:c r="Y681" s="93" t="n">
        <x:f>W681-X681</x:f>
        <x:v>-5.6000000000000005</x:v>
      </x:c>
      <x:c r="Z681" s="94" t="n">
        <x:f>IFERROR(Y681/W681,0)</x:f>
        <x:v>0</x:v>
      </x:c>
      <x:c r="AA681" s="84" t="str">
        <x:f>PROPER(TRIM('Raw Sales'!M681))</x:f>
        <x:v>Mobile Wallet</x:v>
      </x:c>
      <x:c r="AB681" s="84" t="str">
        <x:f>PROPER(TRIM('Raw Sales'!N681))</x:f>
        <x:v>Noah Reed</x:v>
      </x:c>
      <x:c r="AC681" s="85" t="n">
        <x:f>'Raw Sales'!O681</x:f>
        <x:v>45540</x:v>
      </x:c>
      <x:c r="AD681" s="84" t="n">
        <x:f>AC681-B681</x:f>
        <x:v>3</x:v>
      </x:c>
      <x:c r="AE681" s="84" t="str">
        <x:f>IF(COUNTIF($A$5:A681,A681)&gt;1,"Duplicate","Keep")</x:f>
        <x:v>Keep</x:v>
      </x:c>
      <x:c r="AF681" s="84" t="str">
        <x:f>IF(OR(R681&lt;=0,AC681&lt;B681,H681="Unknown",M681="Unknown Product"),"Review","Valid")</x:f>
        <x:v>Valid</x:v>
      </x:c>
      <x:c r="AG681" s="84" t="n">
        <x:f>IF(AND(AE681="Keep",AF681="Valid"),1,0)</x:f>
        <x:v>1</x:v>
      </x:c>
      <x:c r="AH681" s="84" t="n">
        <x:f>IF(AND(AG681=1,OR('Dashboard'!$B$4="All",I681='Dashboard'!$B$4),OR('Dashboard'!$E$4="All",N681='Dashboard'!$E$4),OR('Dashboard'!$H$4="All",K681='Dashboard'!$H$4),OR('Dashboard'!$K$4="All",C681='Dashboard'!$K$4)),1,0)</x:f>
        <x:v>1</x:v>
      </x:c>
      <x:c r="AI681" s="84" t="n">
        <x:f>IF(AND(AG681=1,OR('Dashboard'!$B$4="All",I681='Dashboard'!$B$4),OR('Dashboard'!$E$4="All",N681='Dashboard'!$E$4),OR('Dashboard'!$H$4="All",K681='Dashboard'!$H$4)),1,0)</x:f>
        <x:v>1</x:v>
      </x:c>
    </x:row>
    <x:row r="682">
      <x:c r="A682" s="84" t="str">
        <x:f>'Raw Sales'!A682</x:f>
        <x:v>ORD-2024-00958</x:v>
      </x:c>
      <x:c r="B682" s="85" t="n">
        <x:f>'Raw Sales'!B682</x:f>
        <x:v>45538</x:v>
      </x:c>
      <x:c r="C682" s="84" t="n">
        <x:f>YEAR(B682)</x:f>
        <x:v>2024</x:v>
      </x:c>
      <x:c r="D682" s="91" t="n">
        <x:f>DATE(YEAR(B682),MONTH(B682),1)</x:f>
        <x:v>45536</x:v>
      </x:c>
      <x:c r="E682" s="84" t="str">
        <x:f>TEXT(B682,"mmm")</x:f>
        <x:v>Sep</x:v>
      </x:c>
      <x:c r="F682" s="84" t="str">
        <x:f>'Raw Sales'!C682</x:f>
        <x:v>CUST-0298</x:v>
      </x:c>
      <x:c r="G682" s="84" t="str">
        <x:f>PROPER(TRIM('Raw Sales'!D682))</x:f>
        <x:v>Jasmine Roberts</x:v>
      </x:c>
      <x:c r="H682" s="84" t="str">
        <x:f>IF(TRIM('Raw Sales'!E682)="","Unknown",PROPER(TRIM('Raw Sales'!E682)))</x:f>
        <x:v>Consumer</x:v>
      </x:c>
      <x:c r="I682" s="84" t="str">
        <x:f>PROPER(TRIM('Raw Sales'!F682))</x:f>
        <x:v>West</x:v>
      </x:c>
      <x:c r="J682" s="84" t="str">
        <x:f>PROPER(TRIM('Raw Sales'!G682))</x:f>
        <x:v>Los Angeles</x:v>
      </x:c>
      <x:c r="K682" s="84" t="str">
        <x:f>PROPER(TRIM('Raw Sales'!H682))</x:f>
        <x:v>Retail Store</x:v>
      </x:c>
      <x:c r="L682" s="84" t="str">
        <x:f>'Raw Sales'!I682</x:f>
        <x:v>ELEC-003</x:v>
      </x:c>
      <x:c r="M682" s="84" t="str">
        <x:f>IFERROR(VLOOKUP(L682,'Reference Data'!$A$5:$F$40,2,FALSE),"Unknown Product")</x:f>
        <x:v>Bluetooth Speaker</x:v>
      </x:c>
      <x:c r="N682" s="84" t="str">
        <x:f>IFERROR(VLOOKUP(L682,'Reference Data'!$A$5:$F$40,3,FALSE),"Unknown")</x:f>
        <x:v>Electronics</x:v>
      </x:c>
      <x:c r="O682" s="84" t="str">
        <x:f>IFERROR(VLOOKUP(L682,'Reference Data'!$A$5:$F$40,4,FALSE),"Unknown")</x:f>
        <x:v>Audio</x:v>
      </x:c>
      <x:c r="P682" s="92" t="n">
        <x:f>IFERROR(VLOOKUP(L682,'Reference Data'!$A$5:$F$40,5,FALSE),0)</x:f>
        <x:v>89</x:v>
      </x:c>
      <x:c r="Q682" s="92" t="n">
        <x:f>IFERROR(VLOOKUP(L682,'Reference Data'!$A$5:$F$40,6,FALSE),0)</x:f>
        <x:v>44</x:v>
      </x:c>
      <x:c r="R682" s="84" t="n">
        <x:f>'Raw Sales'!J682</x:f>
        <x:v>1</x:v>
      </x:c>
      <x:c r="S682" s="87" t="n">
        <x:f>'Raw Sales'!K682</x:f>
        <x:v>0.2</x:v>
      </x:c>
      <x:c r="T682" s="93" t="n">
        <x:f>P682*R682</x:f>
        <x:v>89</x:v>
      </x:c>
      <x:c r="U682" s="93" t="n">
        <x:f>T682*S682</x:f>
        <x:v>17.8</x:v>
      </x:c>
      <x:c r="V682" s="93" t="str">
        <x:f>PROPER(TRIM('Raw Sales'!L682))</x:f>
        <x:v>Completed</x:v>
      </x:c>
      <x:c r="W682" s="93" t="n">
        <x:f>IF(V682="Returned",0,T682-U682)</x:f>
        <x:v>71.2</x:v>
      </x:c>
      <x:c r="X682" s="93" t="n">
        <x:f>IF(V682="Returned",Q682*R682*10%,Q682*R682)</x:f>
        <x:v>44</x:v>
      </x:c>
      <x:c r="Y682" s="93" t="n">
        <x:f>W682-X682</x:f>
        <x:v>27.200000000000003</x:v>
      </x:c>
      <x:c r="Z682" s="94" t="n">
        <x:f>IFERROR(Y682/W682,0)</x:f>
        <x:v>0.3820224719101124</x:v>
      </x:c>
      <x:c r="AA682" s="84" t="str">
        <x:f>PROPER(TRIM('Raw Sales'!M682))</x:f>
        <x:v>Credit Card</x:v>
      </x:c>
      <x:c r="AB682" s="84" t="str">
        <x:f>PROPER(TRIM('Raw Sales'!N682))</x:f>
        <x:v>Nora Kim</x:v>
      </x:c>
      <x:c r="AC682" s="85" t="n">
        <x:f>'Raw Sales'!O682</x:f>
        <x:v>45538</x:v>
      </x:c>
      <x:c r="AD682" s="84" t="n">
        <x:f>AC682-B682</x:f>
        <x:v>0</x:v>
      </x:c>
      <x:c r="AE682" s="84" t="str">
        <x:f>IF(COUNTIF($A$5:A682,A682)&gt;1,"Duplicate","Keep")</x:f>
        <x:v>Keep</x:v>
      </x:c>
      <x:c r="AF682" s="84" t="str">
        <x:f>IF(OR(R682&lt;=0,AC682&lt;B682,H682="Unknown",M682="Unknown Product"),"Review","Valid")</x:f>
        <x:v>Valid</x:v>
      </x:c>
      <x:c r="AG682" s="84" t="n">
        <x:f>IF(AND(AE682="Keep",AF682="Valid"),1,0)</x:f>
        <x:v>1</x:v>
      </x:c>
      <x:c r="AH682" s="84" t="n">
        <x:f>IF(AND(AG682=1,OR('Dashboard'!$B$4="All",I682='Dashboard'!$B$4),OR('Dashboard'!$E$4="All",N682='Dashboard'!$E$4),OR('Dashboard'!$H$4="All",K682='Dashboard'!$H$4),OR('Dashboard'!$K$4="All",C682='Dashboard'!$K$4)),1,0)</x:f>
        <x:v>1</x:v>
      </x:c>
      <x:c r="AI682" s="84" t="n">
        <x:f>IF(AND(AG682=1,OR('Dashboard'!$B$4="All",I682='Dashboard'!$B$4),OR('Dashboard'!$E$4="All",N682='Dashboard'!$E$4),OR('Dashboard'!$H$4="All",K682='Dashboard'!$H$4)),1,0)</x:f>
        <x:v>1</x:v>
      </x:c>
    </x:row>
    <x:row r="683">
      <x:c r="A683" s="84" t="str">
        <x:f>'Raw Sales'!A683</x:f>
        <x:v>ORD-2024-01933</x:v>
      </x:c>
      <x:c r="B683" s="85" t="n">
        <x:f>'Raw Sales'!B683</x:f>
        <x:v>45538</x:v>
      </x:c>
      <x:c r="C683" s="84" t="n">
        <x:f>YEAR(B683)</x:f>
        <x:v>2024</x:v>
      </x:c>
      <x:c r="D683" s="91" t="n">
        <x:f>DATE(YEAR(B683),MONTH(B683),1)</x:f>
        <x:v>45536</x:v>
      </x:c>
      <x:c r="E683" s="84" t="str">
        <x:f>TEXT(B683,"mmm")</x:f>
        <x:v>Sep</x:v>
      </x:c>
      <x:c r="F683" s="84" t="str">
        <x:f>'Raw Sales'!C683</x:f>
        <x:v>CUST-0359</x:v>
      </x:c>
      <x:c r="G683" s="84" t="str">
        <x:f>PROPER(TRIM('Raw Sales'!D683))</x:f>
        <x:v>Daniel Hall</x:v>
      </x:c>
      <x:c r="H683" s="84" t="str">
        <x:f>IF(TRIM('Raw Sales'!E683)="","Unknown",PROPER(TRIM('Raw Sales'!E683)))</x:f>
        <x:v>Small Business</x:v>
      </x:c>
      <x:c r="I683" s="84" t="str">
        <x:f>PROPER(TRIM('Raw Sales'!F683))</x:f>
        <x:v>West</x:v>
      </x:c>
      <x:c r="J683" s="84" t="str">
        <x:f>PROPER(TRIM('Raw Sales'!G683))</x:f>
        <x:v>Seattle</x:v>
      </x:c>
      <x:c r="K683" s="84" t="str">
        <x:f>PROPER(TRIM('Raw Sales'!H683))</x:f>
        <x:v>Online</x:v>
      </x:c>
      <x:c r="L683" s="84" t="str">
        <x:f>'Raw Sales'!I683</x:f>
        <x:v>CARE-002</x:v>
      </x:c>
      <x:c r="M683" s="84" t="str">
        <x:f>IFERROR(VLOOKUP(L683,'Reference Data'!$A$5:$F$40,2,FALSE),"Unknown Product")</x:f>
        <x:v>Rechargeable Trimmer</x:v>
      </x:c>
      <x:c r="N683" s="84" t="str">
        <x:f>IFERROR(VLOOKUP(L683,'Reference Data'!$A$5:$F$40,3,FALSE),"Unknown")</x:f>
        <x:v>Personal Care</x:v>
      </x:c>
      <x:c r="O683" s="84" t="str">
        <x:f>IFERROR(VLOOKUP(L683,'Reference Data'!$A$5:$F$40,4,FALSE),"Unknown")</x:f>
        <x:v>Grooming</x:v>
      </x:c>
      <x:c r="P683" s="92" t="n">
        <x:f>IFERROR(VLOOKUP(L683,'Reference Data'!$A$5:$F$40,5,FALSE),0)</x:f>
        <x:v>45</x:v>
      </x:c>
      <x:c r="Q683" s="92" t="n">
        <x:f>IFERROR(VLOOKUP(L683,'Reference Data'!$A$5:$F$40,6,FALSE),0)</x:f>
        <x:v>19</x:v>
      </x:c>
      <x:c r="R683" s="84" t="n">
        <x:f>'Raw Sales'!J683</x:f>
        <x:v>1</x:v>
      </x:c>
      <x:c r="S683" s="87" t="n">
        <x:f>'Raw Sales'!K683</x:f>
        <x:v>0.05</x:v>
      </x:c>
      <x:c r="T683" s="93" t="n">
        <x:f>P683*R683</x:f>
        <x:v>45</x:v>
      </x:c>
      <x:c r="U683" s="93" t="n">
        <x:f>T683*S683</x:f>
        <x:v>2.25</x:v>
      </x:c>
      <x:c r="V683" s="93" t="str">
        <x:f>PROPER(TRIM('Raw Sales'!L683))</x:f>
        <x:v>Completed</x:v>
      </x:c>
      <x:c r="W683" s="93" t="n">
        <x:f>IF(V683="Returned",0,T683-U683)</x:f>
        <x:v>42.75</x:v>
      </x:c>
      <x:c r="X683" s="93" t="n">
        <x:f>IF(V683="Returned",Q683*R683*10%,Q683*R683)</x:f>
        <x:v>19</x:v>
      </x:c>
      <x:c r="Y683" s="93" t="n">
        <x:f>W683-X683</x:f>
        <x:v>23.75</x:v>
      </x:c>
      <x:c r="Z683" s="94" t="n">
        <x:f>IFERROR(Y683/W683,0)</x:f>
        <x:v>0.5555555555555556</x:v>
      </x:c>
      <x:c r="AA683" s="84" t="str">
        <x:f>PROPER(TRIM('Raw Sales'!M683))</x:f>
        <x:v>Debit Card</x:v>
      </x:c>
      <x:c r="AB683" s="84" t="str">
        <x:f>PROPER(TRIM('Raw Sales'!N683))</x:f>
        <x:v>Nora Kim</x:v>
      </x:c>
      <x:c r="AC683" s="85" t="n">
        <x:f>'Raw Sales'!O683</x:f>
        <x:v>45542</x:v>
      </x:c>
      <x:c r="AD683" s="84" t="n">
        <x:f>AC683-B683</x:f>
        <x:v>4</x:v>
      </x:c>
      <x:c r="AE683" s="84" t="str">
        <x:f>IF(COUNTIF($A$5:A683,A683)&gt;1,"Duplicate","Keep")</x:f>
        <x:v>Keep</x:v>
      </x:c>
      <x:c r="AF683" s="84" t="str">
        <x:f>IF(OR(R683&lt;=0,AC683&lt;B683,H683="Unknown",M683="Unknown Product"),"Review","Valid")</x:f>
        <x:v>Valid</x:v>
      </x:c>
      <x:c r="AG683" s="84" t="n">
        <x:f>IF(AND(AE683="Keep",AF683="Valid"),1,0)</x:f>
        <x:v>1</x:v>
      </x:c>
      <x:c r="AH683" s="84" t="n">
        <x:f>IF(AND(AG683=1,OR('Dashboard'!$B$4="All",I683='Dashboard'!$B$4),OR('Dashboard'!$E$4="All",N683='Dashboard'!$E$4),OR('Dashboard'!$H$4="All",K683='Dashboard'!$H$4),OR('Dashboard'!$K$4="All",C683='Dashboard'!$K$4)),1,0)</x:f>
        <x:v>1</x:v>
      </x:c>
      <x:c r="AI683" s="84" t="n">
        <x:f>IF(AND(AG683=1,OR('Dashboard'!$B$4="All",I683='Dashboard'!$B$4),OR('Dashboard'!$E$4="All",N683='Dashboard'!$E$4),OR('Dashboard'!$H$4="All",K683='Dashboard'!$H$4)),1,0)</x:f>
        <x:v>1</x:v>
      </x:c>
    </x:row>
    <x:row r="684">
      <x:c r="A684" s="84" t="str">
        <x:f>'Raw Sales'!A684</x:f>
        <x:v>ORD-2024-00170</x:v>
      </x:c>
      <x:c r="B684" s="85" t="n">
        <x:f>'Raw Sales'!B684</x:f>
        <x:v>45540</x:v>
      </x:c>
      <x:c r="C684" s="84" t="n">
        <x:f>YEAR(B684)</x:f>
        <x:v>2024</x:v>
      </x:c>
      <x:c r="D684" s="91" t="n">
        <x:f>DATE(YEAR(B684),MONTH(B684),1)</x:f>
        <x:v>45536</x:v>
      </x:c>
      <x:c r="E684" s="84" t="str">
        <x:f>TEXT(B684,"mmm")</x:f>
        <x:v>Sep</x:v>
      </x:c>
      <x:c r="F684" s="84" t="str">
        <x:f>'Raw Sales'!C684</x:f>
        <x:v>CUST-0085</x:v>
      </x:c>
      <x:c r="G684" s="84" t="str">
        <x:f>PROPER(TRIM('Raw Sales'!D684))</x:f>
        <x:v>Amelia Adams</x:v>
      </x:c>
      <x:c r="H684" s="84" t="str">
        <x:f>IF(TRIM('Raw Sales'!E684)="","Unknown",PROPER(TRIM('Raw Sales'!E684)))</x:f>
        <x:v>Small Business</x:v>
      </x:c>
      <x:c r="I684" s="84" t="str">
        <x:f>PROPER(TRIM('Raw Sales'!F684))</x:f>
        <x:v>West</x:v>
      </x:c>
      <x:c r="J684" s="84" t="str">
        <x:f>PROPER(TRIM('Raw Sales'!G684))</x:f>
        <x:v>Phoenix</x:v>
      </x:c>
      <x:c r="K684" s="84" t="str">
        <x:f>PROPER(TRIM('Raw Sales'!H684))</x:f>
        <x:v>Online</x:v>
      </x:c>
      <x:c r="L684" s="84" t="str">
        <x:f>'Raw Sales'!I684</x:f>
        <x:v>HOME-003</x:v>
      </x:c>
      <x:c r="M684" s="84" t="str">
        <x:f>IFERROR(VLOOKUP(L684,'Reference Data'!$A$5:$F$40,2,FALSE),"Unknown Product")</x:f>
        <x:v>Countertop Blender</x:v>
      </x:c>
      <x:c r="N684" s="84" t="str">
        <x:f>IFERROR(VLOOKUP(L684,'Reference Data'!$A$5:$F$40,3,FALSE),"Unknown")</x:f>
        <x:v>Home &amp; Kitchen</x:v>
      </x:c>
      <x:c r="O684" s="84" t="str">
        <x:f>IFERROR(VLOOKUP(L684,'Reference Data'!$A$5:$F$40,4,FALSE),"Unknown")</x:f>
        <x:v>Small Appliances</x:v>
      </x:c>
      <x:c r="P684" s="92" t="n">
        <x:f>IFERROR(VLOOKUP(L684,'Reference Data'!$A$5:$F$40,5,FALSE),0)</x:f>
        <x:v>89</x:v>
      </x:c>
      <x:c r="Q684" s="92" t="n">
        <x:f>IFERROR(VLOOKUP(L684,'Reference Data'!$A$5:$F$40,6,FALSE),0)</x:f>
        <x:v>46</x:v>
      </x:c>
      <x:c r="R684" s="84" t="n">
        <x:f>'Raw Sales'!J684</x:f>
        <x:v>1</x:v>
      </x:c>
      <x:c r="S684" s="87" t="n">
        <x:f>'Raw Sales'!K684</x:f>
        <x:v>0.1</x:v>
      </x:c>
      <x:c r="T684" s="93" t="n">
        <x:f>P684*R684</x:f>
        <x:v>89</x:v>
      </x:c>
      <x:c r="U684" s="93" t="n">
        <x:f>T684*S684</x:f>
        <x:v>8.9</x:v>
      </x:c>
      <x:c r="V684" s="93" t="str">
        <x:f>PROPER(TRIM('Raw Sales'!L684))</x:f>
        <x:v>Completed</x:v>
      </x:c>
      <x:c r="W684" s="93" t="n">
        <x:f>IF(V684="Returned",0,T684-U684)</x:f>
        <x:v>80.1</x:v>
      </x:c>
      <x:c r="X684" s="93" t="n">
        <x:f>IF(V684="Returned",Q684*R684*10%,Q684*R684)</x:f>
        <x:v>46</x:v>
      </x:c>
      <x:c r="Y684" s="93" t="n">
        <x:f>W684-X684</x:f>
        <x:v>34.099999999999994</x:v>
      </x:c>
      <x:c r="Z684" s="94" t="n">
        <x:f>IFERROR(Y684/W684,0)</x:f>
        <x:v>0.4257178526841448</x:v>
      </x:c>
      <x:c r="AA684" s="84" t="str">
        <x:f>PROPER(TRIM('Raw Sales'!M684))</x:f>
        <x:v>Paypal</x:v>
      </x:c>
      <x:c r="AB684" s="84" t="str">
        <x:f>PROPER(TRIM('Raw Sales'!N684))</x:f>
        <x:v>Mia Chen</x:v>
      </x:c>
      <x:c r="AC684" s="85" t="n">
        <x:f>'Raw Sales'!O684</x:f>
        <x:v>45546</x:v>
      </x:c>
      <x:c r="AD684" s="84" t="n">
        <x:f>AC684-B684</x:f>
        <x:v>6</x:v>
      </x:c>
      <x:c r="AE684" s="84" t="str">
        <x:f>IF(COUNTIF($A$5:A684,A684)&gt;1,"Duplicate","Keep")</x:f>
        <x:v>Keep</x:v>
      </x:c>
      <x:c r="AF684" s="84" t="str">
        <x:f>IF(OR(R684&lt;=0,AC684&lt;B684,H684="Unknown",M684="Unknown Product"),"Review","Valid")</x:f>
        <x:v>Valid</x:v>
      </x:c>
      <x:c r="AG684" s="84" t="n">
        <x:f>IF(AND(AE684="Keep",AF684="Valid"),1,0)</x:f>
        <x:v>1</x:v>
      </x:c>
      <x:c r="AH684" s="84" t="n">
        <x:f>IF(AND(AG684=1,OR('Dashboard'!$B$4="All",I684='Dashboard'!$B$4),OR('Dashboard'!$E$4="All",N684='Dashboard'!$E$4),OR('Dashboard'!$H$4="All",K684='Dashboard'!$H$4),OR('Dashboard'!$K$4="All",C684='Dashboard'!$K$4)),1,0)</x:f>
        <x:v>1</x:v>
      </x:c>
      <x:c r="AI684" s="84" t="n">
        <x:f>IF(AND(AG684=1,OR('Dashboard'!$B$4="All",I684='Dashboard'!$B$4),OR('Dashboard'!$E$4="All",N684='Dashboard'!$E$4),OR('Dashboard'!$H$4="All",K684='Dashboard'!$H$4)),1,0)</x:f>
        <x:v>1</x:v>
      </x:c>
    </x:row>
    <x:row r="685">
      <x:c r="A685" s="84" t="str">
        <x:f>'Raw Sales'!A685</x:f>
        <x:v>ORD-2024-00354</x:v>
      </x:c>
      <x:c r="B685" s="85" t="n">
        <x:f>'Raw Sales'!B685</x:f>
        <x:v>45540</x:v>
      </x:c>
      <x:c r="C685" s="84" t="n">
        <x:f>YEAR(B685)</x:f>
        <x:v>2024</x:v>
      </x:c>
      <x:c r="D685" s="91" t="n">
        <x:f>DATE(YEAR(B685),MONTH(B685),1)</x:f>
        <x:v>45536</x:v>
      </x:c>
      <x:c r="E685" s="84" t="str">
        <x:f>TEXT(B685,"mmm")</x:f>
        <x:v>Sep</x:v>
      </x:c>
      <x:c r="F685" s="84" t="str">
        <x:f>'Raw Sales'!C685</x:f>
        <x:v>CUST-0465</x:v>
      </x:c>
      <x:c r="G685" s="84" t="str">
        <x:f>PROPER(TRIM('Raw Sales'!D685))</x:f>
        <x:v>Owen Irwin</x:v>
      </x:c>
      <x:c r="H685" s="84" t="str">
        <x:f>IF(TRIM('Raw Sales'!E685)="","Unknown",PROPER(TRIM('Raw Sales'!E685)))</x:f>
        <x:v>Consumer</x:v>
      </x:c>
      <x:c r="I685" s="84" t="str">
        <x:f>PROPER(TRIM('Raw Sales'!F685))</x:f>
        <x:v>Midwest</x:v>
      </x:c>
      <x:c r="J685" s="84" t="str">
        <x:f>PROPER(TRIM('Raw Sales'!G685))</x:f>
        <x:v>Columbus</x:v>
      </x:c>
      <x:c r="K685" s="84" t="str">
        <x:f>PROPER(TRIM('Raw Sales'!H685))</x:f>
        <x:v>Retail Store</x:v>
      </x:c>
      <x:c r="L685" s="84" t="str">
        <x:f>'Raw Sales'!I685</x:f>
        <x:v>OFFC-002</x:v>
      </x:c>
      <x:c r="M685" s="84" t="str">
        <x:f>IFERROR(VLOOKUP(L685,'Reference Data'!$A$5:$F$40,2,FALSE),"Unknown Product")</x:f>
        <x:v>Standing Desk</x:v>
      </x:c>
      <x:c r="N685" s="84" t="str">
        <x:f>IFERROR(VLOOKUP(L685,'Reference Data'!$A$5:$F$40,3,FALSE),"Unknown")</x:f>
        <x:v>Office</x:v>
      </x:c>
      <x:c r="O685" s="84" t="str">
        <x:f>IFERROR(VLOOKUP(L685,'Reference Data'!$A$5:$F$40,4,FALSE),"Unknown")</x:f>
        <x:v>Furniture</x:v>
      </x:c>
      <x:c r="P685" s="92" t="n">
        <x:f>IFERROR(VLOOKUP(L685,'Reference Data'!$A$5:$F$40,5,FALSE),0)</x:f>
        <x:v>399</x:v>
      </x:c>
      <x:c r="Q685" s="92" t="n">
        <x:f>IFERROR(VLOOKUP(L685,'Reference Data'!$A$5:$F$40,6,FALSE),0)</x:f>
        <x:v>235</x:v>
      </x:c>
      <x:c r="R685" s="84" t="n">
        <x:f>'Raw Sales'!J685</x:f>
        <x:v>2</x:v>
      </x:c>
      <x:c r="S685" s="87" t="n">
        <x:f>'Raw Sales'!K685</x:f>
        <x:v>0.05</x:v>
      </x:c>
      <x:c r="T685" s="93" t="n">
        <x:f>P685*R685</x:f>
        <x:v>798</x:v>
      </x:c>
      <x:c r="U685" s="93" t="n">
        <x:f>T685*S685</x:f>
        <x:v>39.900000000000006</x:v>
      </x:c>
      <x:c r="V685" s="93" t="str">
        <x:f>PROPER(TRIM('Raw Sales'!L685))</x:f>
        <x:v>Completed</x:v>
      </x:c>
      <x:c r="W685" s="93" t="n">
        <x:f>IF(V685="Returned",0,T685-U685)</x:f>
        <x:v>758.1</x:v>
      </x:c>
      <x:c r="X685" s="93" t="n">
        <x:f>IF(V685="Returned",Q685*R685*10%,Q685*R685)</x:f>
        <x:v>470</x:v>
      </x:c>
      <x:c r="Y685" s="93" t="n">
        <x:f>W685-X685</x:f>
        <x:v>288.1</x:v>
      </x:c>
      <x:c r="Z685" s="94" t="n">
        <x:f>IFERROR(Y685/W685,0)</x:f>
        <x:v>0.38002901991821664</x:v>
      </x:c>
      <x:c r="AA685" s="84" t="str">
        <x:f>PROPER(TRIM('Raw Sales'!M685))</x:f>
        <x:v>Debit Card</x:v>
      </x:c>
      <x:c r="AB685" s="84" t="str">
        <x:f>PROPER(TRIM('Raw Sales'!N685))</x:f>
        <x:v>Emma Hayes</x:v>
      </x:c>
      <x:c r="AC685" s="85" t="n">
        <x:f>'Raw Sales'!O685</x:f>
        <x:v>45540</x:v>
      </x:c>
      <x:c r="AD685" s="84" t="n">
        <x:f>AC685-B685</x:f>
        <x:v>0</x:v>
      </x:c>
      <x:c r="AE685" s="84" t="str">
        <x:f>IF(COUNTIF($A$5:A685,A685)&gt;1,"Duplicate","Keep")</x:f>
        <x:v>Keep</x:v>
      </x:c>
      <x:c r="AF685" s="84" t="str">
        <x:f>IF(OR(R685&lt;=0,AC685&lt;B685,H685="Unknown",M685="Unknown Product"),"Review","Valid")</x:f>
        <x:v>Valid</x:v>
      </x:c>
      <x:c r="AG685" s="84" t="n">
        <x:f>IF(AND(AE685="Keep",AF685="Valid"),1,0)</x:f>
        <x:v>1</x:v>
      </x:c>
      <x:c r="AH685" s="84" t="n">
        <x:f>IF(AND(AG685=1,OR('Dashboard'!$B$4="All",I685='Dashboard'!$B$4),OR('Dashboard'!$E$4="All",N685='Dashboard'!$E$4),OR('Dashboard'!$H$4="All",K685='Dashboard'!$H$4),OR('Dashboard'!$K$4="All",C685='Dashboard'!$K$4)),1,0)</x:f>
        <x:v>1</x:v>
      </x:c>
      <x:c r="AI685" s="84" t="n">
        <x:f>IF(AND(AG685=1,OR('Dashboard'!$B$4="All",I685='Dashboard'!$B$4),OR('Dashboard'!$E$4="All",N685='Dashboard'!$E$4),OR('Dashboard'!$H$4="All",K685='Dashboard'!$H$4)),1,0)</x:f>
        <x:v>1</x:v>
      </x:c>
    </x:row>
    <x:row r="686">
      <x:c r="A686" s="84" t="str">
        <x:f>'Raw Sales'!A686</x:f>
        <x:v>ORD-2024-00481</x:v>
      </x:c>
      <x:c r="B686" s="85" t="n">
        <x:f>'Raw Sales'!B686</x:f>
        <x:v>45540</x:v>
      </x:c>
      <x:c r="C686" s="84" t="n">
        <x:f>YEAR(B686)</x:f>
        <x:v>2024</x:v>
      </x:c>
      <x:c r="D686" s="91" t="n">
        <x:f>DATE(YEAR(B686),MONTH(B686),1)</x:f>
        <x:v>45536</x:v>
      </x:c>
      <x:c r="E686" s="84" t="str">
        <x:f>TEXT(B686,"mmm")</x:f>
        <x:v>Sep</x:v>
      </x:c>
      <x:c r="F686" s="84" t="str">
        <x:f>'Raw Sales'!C686</x:f>
        <x:v>CUST-0613</x:v>
      </x:c>
      <x:c r="G686" s="84" t="str">
        <x:f>PROPER(TRIM('Raw Sales'!D686))</x:f>
        <x:v>Owen Hall</x:v>
      </x:c>
      <x:c r="H686" s="84" t="str">
        <x:f>IF(TRIM('Raw Sales'!E686)="","Unknown",PROPER(TRIM('Raw Sales'!E686)))</x:f>
        <x:v>Consumer</x:v>
      </x:c>
      <x:c r="I686" s="84" t="str">
        <x:f>PROPER(TRIM('Raw Sales'!F686))</x:f>
        <x:v>Southeast</x:v>
      </x:c>
      <x:c r="J686" s="84" t="str">
        <x:f>PROPER(TRIM('Raw Sales'!G686))</x:f>
        <x:v>Nashville</x:v>
      </x:c>
      <x:c r="K686" s="84" t="str">
        <x:f>PROPER(TRIM('Raw Sales'!H686))</x:f>
        <x:v>Retail Store</x:v>
      </x:c>
      <x:c r="L686" s="84" t="str">
        <x:f>'Raw Sales'!I686</x:f>
        <x:v>CARE-002</x:v>
      </x:c>
      <x:c r="M686" s="84" t="str">
        <x:f>IFERROR(VLOOKUP(L686,'Reference Data'!$A$5:$F$40,2,FALSE),"Unknown Product")</x:f>
        <x:v>Rechargeable Trimmer</x:v>
      </x:c>
      <x:c r="N686" s="84" t="str">
        <x:f>IFERROR(VLOOKUP(L686,'Reference Data'!$A$5:$F$40,3,FALSE),"Unknown")</x:f>
        <x:v>Personal Care</x:v>
      </x:c>
      <x:c r="O686" s="84" t="str">
        <x:f>IFERROR(VLOOKUP(L686,'Reference Data'!$A$5:$F$40,4,FALSE),"Unknown")</x:f>
        <x:v>Grooming</x:v>
      </x:c>
      <x:c r="P686" s="92" t="n">
        <x:f>IFERROR(VLOOKUP(L686,'Reference Data'!$A$5:$F$40,5,FALSE),0)</x:f>
        <x:v>45</x:v>
      </x:c>
      <x:c r="Q686" s="92" t="n">
        <x:f>IFERROR(VLOOKUP(L686,'Reference Data'!$A$5:$F$40,6,FALSE),0)</x:f>
        <x:v>19</x:v>
      </x:c>
      <x:c r="R686" s="84" t="n">
        <x:f>'Raw Sales'!J686</x:f>
        <x:v>2</x:v>
      </x:c>
      <x:c r="S686" s="87" t="n">
        <x:f>'Raw Sales'!K686</x:f>
        <x:v>0</x:v>
      </x:c>
      <x:c r="T686" s="93" t="n">
        <x:f>P686*R686</x:f>
        <x:v>90</x:v>
      </x:c>
      <x:c r="U686" s="93" t="n">
        <x:f>T686*S686</x:f>
        <x:v>0</x:v>
      </x:c>
      <x:c r="V686" s="93" t="str">
        <x:f>PROPER(TRIM('Raw Sales'!L686))</x:f>
        <x:v>Completed</x:v>
      </x:c>
      <x:c r="W686" s="93" t="n">
        <x:f>IF(V686="Returned",0,T686-U686)</x:f>
        <x:v>90</x:v>
      </x:c>
      <x:c r="X686" s="93" t="n">
        <x:f>IF(V686="Returned",Q686*R686*10%,Q686*R686)</x:f>
        <x:v>38</x:v>
      </x:c>
      <x:c r="Y686" s="93" t="n">
        <x:f>W686-X686</x:f>
        <x:v>52</x:v>
      </x:c>
      <x:c r="Z686" s="94" t="n">
        <x:f>IFERROR(Y686/W686,0)</x:f>
        <x:v>0.5777777777777777</x:v>
      </x:c>
      <x:c r="AA686" s="84" t="str">
        <x:f>PROPER(TRIM('Raw Sales'!M686))</x:f>
        <x:v>Mobile Wallet</x:v>
      </x:c>
      <x:c r="AB686" s="84" t="str">
        <x:f>PROPER(TRIM('Raw Sales'!N686))</x:f>
        <x:v>Ava Mitchell</x:v>
      </x:c>
      <x:c r="AC686" s="85" t="n">
        <x:f>'Raw Sales'!O686</x:f>
        <x:v>45540</x:v>
      </x:c>
      <x:c r="AD686" s="84" t="n">
        <x:f>AC686-B686</x:f>
        <x:v>0</x:v>
      </x:c>
      <x:c r="AE686" s="84" t="str">
        <x:f>IF(COUNTIF($A$5:A686,A686)&gt;1,"Duplicate","Keep")</x:f>
        <x:v>Keep</x:v>
      </x:c>
      <x:c r="AF686" s="84" t="str">
        <x:f>IF(OR(R686&lt;=0,AC686&lt;B686,H686="Unknown",M686="Unknown Product"),"Review","Valid")</x:f>
        <x:v>Valid</x:v>
      </x:c>
      <x:c r="AG686" s="84" t="n">
        <x:f>IF(AND(AE686="Keep",AF686="Valid"),1,0)</x:f>
        <x:v>1</x:v>
      </x:c>
      <x:c r="AH686" s="84" t="n">
        <x:f>IF(AND(AG686=1,OR('Dashboard'!$B$4="All",I686='Dashboard'!$B$4),OR('Dashboard'!$E$4="All",N686='Dashboard'!$E$4),OR('Dashboard'!$H$4="All",K686='Dashboard'!$H$4),OR('Dashboard'!$K$4="All",C686='Dashboard'!$K$4)),1,0)</x:f>
        <x:v>1</x:v>
      </x:c>
      <x:c r="AI686" s="84" t="n">
        <x:f>IF(AND(AG686=1,OR('Dashboard'!$B$4="All",I686='Dashboard'!$B$4),OR('Dashboard'!$E$4="All",N686='Dashboard'!$E$4),OR('Dashboard'!$H$4="All",K686='Dashboard'!$H$4)),1,0)</x:f>
        <x:v>1</x:v>
      </x:c>
    </x:row>
    <x:row r="687">
      <x:c r="A687" s="84" t="str">
        <x:f>'Raw Sales'!A687</x:f>
        <x:v>ORD-2024-01173</x:v>
      </x:c>
      <x:c r="B687" s="85" t="n">
        <x:f>'Raw Sales'!B687</x:f>
        <x:v>45540</x:v>
      </x:c>
      <x:c r="C687" s="84" t="n">
        <x:f>YEAR(B687)</x:f>
        <x:v>2024</x:v>
      </x:c>
      <x:c r="D687" s="91" t="n">
        <x:f>DATE(YEAR(B687),MONTH(B687),1)</x:f>
        <x:v>45536</x:v>
      </x:c>
      <x:c r="E687" s="84" t="str">
        <x:f>TEXT(B687,"mmm")</x:f>
        <x:v>Sep</x:v>
      </x:c>
      <x:c r="F687" s="84" t="str">
        <x:f>'Raw Sales'!C687</x:f>
        <x:v>CUST-0625</x:v>
      </x:c>
      <x:c r="G687" s="84" t="str">
        <x:f>PROPER(TRIM('Raw Sales'!D687))</x:f>
        <x:v>Daniel Patel</x:v>
      </x:c>
      <x:c r="H687" s="84" t="str">
        <x:f>IF(TRIM('Raw Sales'!E687)="","Unknown",PROPER(TRIM('Raw Sales'!E687)))</x:f>
        <x:v>Small Business</x:v>
      </x:c>
      <x:c r="I687" s="84" t="str">
        <x:f>PROPER(TRIM('Raw Sales'!F687))</x:f>
        <x:v>West</x:v>
      </x:c>
      <x:c r="J687" s="84" t="str">
        <x:f>PROPER(TRIM('Raw Sales'!G687))</x:f>
        <x:v>Phoenix</x:v>
      </x:c>
      <x:c r="K687" s="84" t="str">
        <x:f>PROPER(TRIM('Raw Sales'!H687))</x:f>
        <x:v>Retail Store</x:v>
      </x:c>
      <x:c r="L687" s="84" t="str">
        <x:f>'Raw Sales'!I687</x:f>
        <x:v>ACCS-002</x:v>
      </x:c>
      <x:c r="M687" s="84" t="str">
        <x:f>IFERROR(VLOOKUP(L687,'Reference Data'!$A$5:$F$40,2,FALSE),"Unknown Product")</x:f>
        <x:v>Travel Backpack</x:v>
      </x:c>
      <x:c r="N687" s="84" t="str">
        <x:f>IFERROR(VLOOKUP(L687,'Reference Data'!$A$5:$F$40,3,FALSE),"Unknown")</x:f>
        <x:v>Accessories</x:v>
      </x:c>
      <x:c r="O687" s="84" t="str">
        <x:f>IFERROR(VLOOKUP(L687,'Reference Data'!$A$5:$F$40,4,FALSE),"Unknown")</x:f>
        <x:v>Bags</x:v>
      </x:c>
      <x:c r="P687" s="92" t="n">
        <x:f>IFERROR(VLOOKUP(L687,'Reference Data'!$A$5:$F$40,5,FALSE),0)</x:f>
        <x:v>89</x:v>
      </x:c>
      <x:c r="Q687" s="92" t="n">
        <x:f>IFERROR(VLOOKUP(L687,'Reference Data'!$A$5:$F$40,6,FALSE),0)</x:f>
        <x:v>36</x:v>
      </x:c>
      <x:c r="R687" s="84" t="n">
        <x:f>'Raw Sales'!J687</x:f>
        <x:v>1</x:v>
      </x:c>
      <x:c r="S687" s="87" t="n">
        <x:f>'Raw Sales'!K687</x:f>
        <x:v>0.1</x:v>
      </x:c>
      <x:c r="T687" s="93" t="n">
        <x:f>P687*R687</x:f>
        <x:v>89</x:v>
      </x:c>
      <x:c r="U687" s="93" t="n">
        <x:f>T687*S687</x:f>
        <x:v>8.9</x:v>
      </x:c>
      <x:c r="V687" s="93" t="str">
        <x:f>PROPER(TRIM('Raw Sales'!L687))</x:f>
        <x:v>Completed</x:v>
      </x:c>
      <x:c r="W687" s="93" t="n">
        <x:f>IF(V687="Returned",0,T687-U687)</x:f>
        <x:v>80.1</x:v>
      </x:c>
      <x:c r="X687" s="93" t="n">
        <x:f>IF(V687="Returned",Q687*R687*10%,Q687*R687)</x:f>
        <x:v>36</x:v>
      </x:c>
      <x:c r="Y687" s="93" t="n">
        <x:f>W687-X687</x:f>
        <x:v>44.099999999999994</x:v>
      </x:c>
      <x:c r="Z687" s="94" t="n">
        <x:f>IFERROR(Y687/W687,0)</x:f>
        <x:v>0.550561797752809</x:v>
      </x:c>
      <x:c r="AA687" s="84" t="str">
        <x:f>PROPER(TRIM('Raw Sales'!M687))</x:f>
        <x:v>Debit Card</x:v>
      </x:c>
      <x:c r="AB687" s="84" t="str">
        <x:f>PROPER(TRIM('Raw Sales'!N687))</x:f>
        <x:v>Leo Martinez</x:v>
      </x:c>
      <x:c r="AC687" s="85" t="n">
        <x:f>'Raw Sales'!O687</x:f>
        <x:v>45540</x:v>
      </x:c>
      <x:c r="AD687" s="84" t="n">
        <x:f>AC687-B687</x:f>
        <x:v>0</x:v>
      </x:c>
      <x:c r="AE687" s="84" t="str">
        <x:f>IF(COUNTIF($A$5:A687,A687)&gt;1,"Duplicate","Keep")</x:f>
        <x:v>Keep</x:v>
      </x:c>
      <x:c r="AF687" s="84" t="str">
        <x:f>IF(OR(R687&lt;=0,AC687&lt;B687,H687="Unknown",M687="Unknown Product"),"Review","Valid")</x:f>
        <x:v>Valid</x:v>
      </x:c>
      <x:c r="AG687" s="84" t="n">
        <x:f>IF(AND(AE687="Keep",AF687="Valid"),1,0)</x:f>
        <x:v>1</x:v>
      </x:c>
      <x:c r="AH687" s="84" t="n">
        <x:f>IF(AND(AG687=1,OR('Dashboard'!$B$4="All",I687='Dashboard'!$B$4),OR('Dashboard'!$E$4="All",N687='Dashboard'!$E$4),OR('Dashboard'!$H$4="All",K687='Dashboard'!$H$4),OR('Dashboard'!$K$4="All",C687='Dashboard'!$K$4)),1,0)</x:f>
        <x:v>1</x:v>
      </x:c>
      <x:c r="AI687" s="84" t="n">
        <x:f>IF(AND(AG687=1,OR('Dashboard'!$B$4="All",I687='Dashboard'!$B$4),OR('Dashboard'!$E$4="All",N687='Dashboard'!$E$4),OR('Dashboard'!$H$4="All",K687='Dashboard'!$H$4)),1,0)</x:f>
        <x:v>1</x:v>
      </x:c>
    </x:row>
    <x:row r="688">
      <x:c r="A688" s="84" t="str">
        <x:f>'Raw Sales'!A688</x:f>
        <x:v>ORD-2024-01728</x:v>
      </x:c>
      <x:c r="B688" s="85" t="n">
        <x:f>'Raw Sales'!B688</x:f>
        <x:v>45540</x:v>
      </x:c>
      <x:c r="C688" s="84" t="n">
        <x:f>YEAR(B688)</x:f>
        <x:v>2024</x:v>
      </x:c>
      <x:c r="D688" s="91" t="n">
        <x:f>DATE(YEAR(B688),MONTH(B688),1)</x:f>
        <x:v>45536</x:v>
      </x:c>
      <x:c r="E688" s="84" t="str">
        <x:f>TEXT(B688,"mmm")</x:f>
        <x:v>Sep</x:v>
      </x:c>
      <x:c r="F688" s="84" t="str">
        <x:f>'Raw Sales'!C688</x:f>
        <x:v>CUST-0074</x:v>
      </x:c>
      <x:c r="G688" s="84" t="str">
        <x:f>PROPER(TRIM('Raw Sales'!D688))</x:f>
        <x:v>Grace Taylor</x:v>
      </x:c>
      <x:c r="H688" s="84" t="str">
        <x:f>IF(TRIM('Raw Sales'!E688)="","Unknown",PROPER(TRIM('Raw Sales'!E688)))</x:f>
        <x:v>Consumer</x:v>
      </x:c>
      <x:c r="I688" s="84" t="str">
        <x:f>PROPER(TRIM('Raw Sales'!F688))</x:f>
        <x:v>West</x:v>
      </x:c>
      <x:c r="J688" s="84" t="str">
        <x:f>PROPER(TRIM('Raw Sales'!G688))</x:f>
        <x:v>Seattle</x:v>
      </x:c>
      <x:c r="K688" s="84" t="str">
        <x:f>PROPER(TRIM('Raw Sales'!H688))</x:f>
        <x:v>Retail Store</x:v>
      </x:c>
      <x:c r="L688" s="84" t="str">
        <x:f>'Raw Sales'!I688</x:f>
        <x:v>OFFC-005</x:v>
      </x:c>
      <x:c r="M688" s="84" t="str">
        <x:f>IFERROR(VLOOKUP(L688,'Reference Data'!$A$5:$F$40,2,FALSE),"Unknown Product")</x:f>
        <x:v>Wireless Keyboard</x:v>
      </x:c>
      <x:c r="N688" s="84" t="str">
        <x:f>IFERROR(VLOOKUP(L688,'Reference Data'!$A$5:$F$40,3,FALSE),"Unknown")</x:f>
        <x:v>Office</x:v>
      </x:c>
      <x:c r="O688" s="84" t="str">
        <x:f>IFERROR(VLOOKUP(L688,'Reference Data'!$A$5:$F$40,4,FALSE),"Unknown")</x:f>
        <x:v>Computer Accessories</x:v>
      </x:c>
      <x:c r="P688" s="92" t="n">
        <x:f>IFERROR(VLOOKUP(L688,'Reference Data'!$A$5:$F$40,5,FALSE),0)</x:f>
        <x:v>59</x:v>
      </x:c>
      <x:c r="Q688" s="92" t="n">
        <x:f>IFERROR(VLOOKUP(L688,'Reference Data'!$A$5:$F$40,6,FALSE),0)</x:f>
        <x:v>28</x:v>
      </x:c>
      <x:c r="R688" s="84" t="n">
        <x:f>'Raw Sales'!J688</x:f>
        <x:v>1</x:v>
      </x:c>
      <x:c r="S688" s="87" t="n">
        <x:f>'Raw Sales'!K688</x:f>
        <x:v>0.1</x:v>
      </x:c>
      <x:c r="T688" s="93" t="n">
        <x:f>P688*R688</x:f>
        <x:v>59</x:v>
      </x:c>
      <x:c r="U688" s="93" t="n">
        <x:f>T688*S688</x:f>
        <x:v>5.9</x:v>
      </x:c>
      <x:c r="V688" s="93" t="str">
        <x:f>PROPER(TRIM('Raw Sales'!L688))</x:f>
        <x:v>Completed</x:v>
      </x:c>
      <x:c r="W688" s="93" t="n">
        <x:f>IF(V688="Returned",0,T688-U688)</x:f>
        <x:v>53.1</x:v>
      </x:c>
      <x:c r="X688" s="93" t="n">
        <x:f>IF(V688="Returned",Q688*R688*10%,Q688*R688)</x:f>
        <x:v>28</x:v>
      </x:c>
      <x:c r="Y688" s="93" t="n">
        <x:f>W688-X688</x:f>
        <x:v>25.1</x:v>
      </x:c>
      <x:c r="Z688" s="94" t="n">
        <x:f>IFERROR(Y688/W688,0)</x:f>
        <x:v>0.4726930320150659</x:v>
      </x:c>
      <x:c r="AA688" s="84" t="str">
        <x:f>PROPER(TRIM('Raw Sales'!M688))</x:f>
        <x:v>Mobile Wallet</x:v>
      </x:c>
      <x:c r="AB688" s="84" t="str">
        <x:f>PROPER(TRIM('Raw Sales'!N688))</x:f>
        <x:v>Nora Kim</x:v>
      </x:c>
      <x:c r="AC688" s="85" t="n">
        <x:f>'Raw Sales'!O688</x:f>
        <x:v>45540</x:v>
      </x:c>
      <x:c r="AD688" s="84" t="n">
        <x:f>AC688-B688</x:f>
        <x:v>0</x:v>
      </x:c>
      <x:c r="AE688" s="84" t="str">
        <x:f>IF(COUNTIF($A$5:A688,A688)&gt;1,"Duplicate","Keep")</x:f>
        <x:v>Keep</x:v>
      </x:c>
      <x:c r="AF688" s="84" t="str">
        <x:f>IF(OR(R688&lt;=0,AC688&lt;B688,H688="Unknown",M688="Unknown Product"),"Review","Valid")</x:f>
        <x:v>Valid</x:v>
      </x:c>
      <x:c r="AG688" s="84" t="n">
        <x:f>IF(AND(AE688="Keep",AF688="Valid"),1,0)</x:f>
        <x:v>1</x:v>
      </x:c>
      <x:c r="AH688" s="84" t="n">
        <x:f>IF(AND(AG688=1,OR('Dashboard'!$B$4="All",I688='Dashboard'!$B$4),OR('Dashboard'!$E$4="All",N688='Dashboard'!$E$4),OR('Dashboard'!$H$4="All",K688='Dashboard'!$H$4),OR('Dashboard'!$K$4="All",C688='Dashboard'!$K$4)),1,0)</x:f>
        <x:v>1</x:v>
      </x:c>
      <x:c r="AI688" s="84" t="n">
        <x:f>IF(AND(AG688=1,OR('Dashboard'!$B$4="All",I688='Dashboard'!$B$4),OR('Dashboard'!$E$4="All",N688='Dashboard'!$E$4),OR('Dashboard'!$H$4="All",K688='Dashboard'!$H$4)),1,0)</x:f>
        <x:v>1</x:v>
      </x:c>
    </x:row>
    <x:row r="689">
      <x:c r="A689" s="84" t="str">
        <x:f>'Raw Sales'!A689</x:f>
        <x:v>ORD-2024-01929</x:v>
      </x:c>
      <x:c r="B689" s="85" t="n">
        <x:f>'Raw Sales'!B689</x:f>
        <x:v>45540</x:v>
      </x:c>
      <x:c r="C689" s="84" t="n">
        <x:f>YEAR(B689)</x:f>
        <x:v>2024</x:v>
      </x:c>
      <x:c r="D689" s="91" t="n">
        <x:f>DATE(YEAR(B689),MONTH(B689),1)</x:f>
        <x:v>45536</x:v>
      </x:c>
      <x:c r="E689" s="84" t="str">
        <x:f>TEXT(B689,"mmm")</x:f>
        <x:v>Sep</x:v>
      </x:c>
      <x:c r="F689" s="84" t="str">
        <x:f>'Raw Sales'!C689</x:f>
        <x:v>CUST-0449</x:v>
      </x:c>
      <x:c r="G689" s="84" t="str">
        <x:f>PROPER(TRIM('Raw Sales'!D689))</x:f>
        <x:v>Chloe Taylor</x:v>
      </x:c>
      <x:c r="H689" s="84" t="str">
        <x:f>IF(TRIM('Raw Sales'!E689)="","Unknown",PROPER(TRIM('Raw Sales'!E689)))</x:f>
        <x:v>Corporate</x:v>
      </x:c>
      <x:c r="I689" s="84" t="str">
        <x:f>PROPER(TRIM('Raw Sales'!F689))</x:f>
        <x:v>West</x:v>
      </x:c>
      <x:c r="J689" s="84" t="str">
        <x:f>PROPER(TRIM('Raw Sales'!G689))</x:f>
        <x:v>Seattle</x:v>
      </x:c>
      <x:c r="K689" s="84" t="str">
        <x:f>PROPER(TRIM('Raw Sales'!H689))</x:f>
        <x:v>Online</x:v>
      </x:c>
      <x:c r="L689" s="84" t="str">
        <x:f>'Raw Sales'!I689</x:f>
        <x:v>OFFC-003</x:v>
      </x:c>
      <x:c r="M689" s="84" t="str">
        <x:f>IFERROR(VLOOKUP(L689,'Reference Data'!$A$5:$F$40,2,FALSE),"Unknown Product")</x:f>
        <x:v>LED Desk Lamp</x:v>
      </x:c>
      <x:c r="N689" s="84" t="str">
        <x:f>IFERROR(VLOOKUP(L689,'Reference Data'!$A$5:$F$40,3,FALSE),"Unknown")</x:f>
        <x:v>Office</x:v>
      </x:c>
      <x:c r="O689" s="84" t="str">
        <x:f>IFERROR(VLOOKUP(L689,'Reference Data'!$A$5:$F$40,4,FALSE),"Unknown")</x:f>
        <x:v>Desk Accessories</x:v>
      </x:c>
      <x:c r="P689" s="92" t="n">
        <x:f>IFERROR(VLOOKUP(L689,'Reference Data'!$A$5:$F$40,5,FALSE),0)</x:f>
        <x:v>45</x:v>
      </x:c>
      <x:c r="Q689" s="92" t="n">
        <x:f>IFERROR(VLOOKUP(L689,'Reference Data'!$A$5:$F$40,6,FALSE),0)</x:f>
        <x:v>20</x:v>
      </x:c>
      <x:c r="R689" s="84" t="n">
        <x:f>'Raw Sales'!J689</x:f>
        <x:v>3</x:v>
      </x:c>
      <x:c r="S689" s="87" t="n">
        <x:f>'Raw Sales'!K689</x:f>
        <x:v>0</x:v>
      </x:c>
      <x:c r="T689" s="93" t="n">
        <x:f>P689*R689</x:f>
        <x:v>135</x:v>
      </x:c>
      <x:c r="U689" s="93" t="n">
        <x:f>T689*S689</x:f>
        <x:v>0</x:v>
      </x:c>
      <x:c r="V689" s="93" t="str">
        <x:f>PROPER(TRIM('Raw Sales'!L689))</x:f>
        <x:v>Completed</x:v>
      </x:c>
      <x:c r="W689" s="93" t="n">
        <x:f>IF(V689="Returned",0,T689-U689)</x:f>
        <x:v>135</x:v>
      </x:c>
      <x:c r="X689" s="93" t="n">
        <x:f>IF(V689="Returned",Q689*R689*10%,Q689*R689)</x:f>
        <x:v>60</x:v>
      </x:c>
      <x:c r="Y689" s="93" t="n">
        <x:f>W689-X689</x:f>
        <x:v>75</x:v>
      </x:c>
      <x:c r="Z689" s="94" t="n">
        <x:f>IFERROR(Y689/W689,0)</x:f>
        <x:v>0.5555555555555556</x:v>
      </x:c>
      <x:c r="AA689" s="84" t="str">
        <x:f>PROPER(TRIM('Raw Sales'!M689))</x:f>
        <x:v>Paypal</x:v>
      </x:c>
      <x:c r="AB689" s="84" t="str">
        <x:f>PROPER(TRIM('Raw Sales'!N689))</x:f>
        <x:v>Nora Kim</x:v>
      </x:c>
      <x:c r="AC689" s="85" t="n">
        <x:f>'Raw Sales'!O689</x:f>
        <x:v>45542</x:v>
      </x:c>
      <x:c r="AD689" s="84" t="n">
        <x:f>AC689-B689</x:f>
        <x:v>2</x:v>
      </x:c>
      <x:c r="AE689" s="84" t="str">
        <x:f>IF(COUNTIF($A$5:A689,A689)&gt;1,"Duplicate","Keep")</x:f>
        <x:v>Keep</x:v>
      </x:c>
      <x:c r="AF689" s="84" t="str">
        <x:f>IF(OR(R689&lt;=0,AC689&lt;B689,H689="Unknown",M689="Unknown Product"),"Review","Valid")</x:f>
        <x:v>Valid</x:v>
      </x:c>
      <x:c r="AG689" s="84" t="n">
        <x:f>IF(AND(AE689="Keep",AF689="Valid"),1,0)</x:f>
        <x:v>1</x:v>
      </x:c>
      <x:c r="AH689" s="84" t="n">
        <x:f>IF(AND(AG689=1,OR('Dashboard'!$B$4="All",I689='Dashboard'!$B$4),OR('Dashboard'!$E$4="All",N689='Dashboard'!$E$4),OR('Dashboard'!$H$4="All",K689='Dashboard'!$H$4),OR('Dashboard'!$K$4="All",C689='Dashboard'!$K$4)),1,0)</x:f>
        <x:v>1</x:v>
      </x:c>
      <x:c r="AI689" s="84" t="n">
        <x:f>IF(AND(AG689=1,OR('Dashboard'!$B$4="All",I689='Dashboard'!$B$4),OR('Dashboard'!$E$4="All",N689='Dashboard'!$E$4),OR('Dashboard'!$H$4="All",K689='Dashboard'!$H$4)),1,0)</x:f>
        <x:v>1</x:v>
      </x:c>
    </x:row>
    <x:row r="690">
      <x:c r="A690" s="84" t="str">
        <x:f>'Raw Sales'!A690</x:f>
        <x:v>ORD-2024-02287</x:v>
      </x:c>
      <x:c r="B690" s="85" t="n">
        <x:f>'Raw Sales'!B690</x:f>
        <x:v>45540</x:v>
      </x:c>
      <x:c r="C690" s="84" t="n">
        <x:f>YEAR(B690)</x:f>
        <x:v>2024</x:v>
      </x:c>
      <x:c r="D690" s="91" t="n">
        <x:f>DATE(YEAR(B690),MONTH(B690),1)</x:f>
        <x:v>45536</x:v>
      </x:c>
      <x:c r="E690" s="84" t="str">
        <x:f>TEXT(B690,"mmm")</x:f>
        <x:v>Sep</x:v>
      </x:c>
      <x:c r="F690" s="84" t="str">
        <x:f>'Raw Sales'!C690</x:f>
        <x:v>CUST-0618</x:v>
      </x:c>
      <x:c r="G690" s="84" t="str">
        <x:f>PROPER(TRIM('Raw Sales'!D690))</x:f>
        <x:v>Layla Nelson</x:v>
      </x:c>
      <x:c r="H690" s="84" t="str">
        <x:f>IF(TRIM('Raw Sales'!E690)="","Unknown",PROPER(TRIM('Raw Sales'!E690)))</x:f>
        <x:v>Consumer</x:v>
      </x:c>
      <x:c r="I690" s="84" t="str">
        <x:f>PROPER(TRIM('Raw Sales'!F690))</x:f>
        <x:v>Northeast</x:v>
      </x:c>
      <x:c r="J690" s="84" t="str">
        <x:f>PROPER(TRIM('Raw Sales'!G690))</x:f>
        <x:v>Philadelphia</x:v>
      </x:c>
      <x:c r="K690" s="84" t="str">
        <x:f>PROPER(TRIM('Raw Sales'!H690))</x:f>
        <x:v>Online</x:v>
      </x:c>
      <x:c r="L690" s="84" t="str">
        <x:f>'Raw Sales'!I690</x:f>
        <x:v>ELEC-006</x:v>
      </x:c>
      <x:c r="M690" s="84" t="str">
        <x:f>IFERROR(VLOOKUP(L690,'Reference Data'!$A$5:$F$40,2,FALSE),"Unknown Product")</x:f>
        <x:v>Portable SSD</x:v>
      </x:c>
      <x:c r="N690" s="84" t="str">
        <x:f>IFERROR(VLOOKUP(L690,'Reference Data'!$A$5:$F$40,3,FALSE),"Unknown")</x:f>
        <x:v>Electronics</x:v>
      </x:c>
      <x:c r="O690" s="84" t="str">
        <x:f>IFERROR(VLOOKUP(L690,'Reference Data'!$A$5:$F$40,4,FALSE),"Unknown")</x:f>
        <x:v>Storage</x:v>
      </x:c>
      <x:c r="P690" s="92" t="n">
        <x:f>IFERROR(VLOOKUP(L690,'Reference Data'!$A$5:$F$40,5,FALSE),0)</x:f>
        <x:v>129</x:v>
      </x:c>
      <x:c r="Q690" s="92" t="n">
        <x:f>IFERROR(VLOOKUP(L690,'Reference Data'!$A$5:$F$40,6,FALSE),0)</x:f>
        <x:v>75</x:v>
      </x:c>
      <x:c r="R690" s="84" t="n">
        <x:f>'Raw Sales'!J690</x:f>
        <x:v>1</x:v>
      </x:c>
      <x:c r="S690" s="87" t="n">
        <x:f>'Raw Sales'!K690</x:f>
        <x:v>0.05</x:v>
      </x:c>
      <x:c r="T690" s="93" t="n">
        <x:f>P690*R690</x:f>
        <x:v>129</x:v>
      </x:c>
      <x:c r="U690" s="93" t="n">
        <x:f>T690*S690</x:f>
        <x:v>6.45</x:v>
      </x:c>
      <x:c r="V690" s="93" t="str">
        <x:f>PROPER(TRIM('Raw Sales'!L690))</x:f>
        <x:v>Completed</x:v>
      </x:c>
      <x:c r="W690" s="93" t="n">
        <x:f>IF(V690="Returned",0,T690-U690)</x:f>
        <x:v>122.55</x:v>
      </x:c>
      <x:c r="X690" s="93" t="n">
        <x:f>IF(V690="Returned",Q690*R690*10%,Q690*R690)</x:f>
        <x:v>75</x:v>
      </x:c>
      <x:c r="Y690" s="93" t="n">
        <x:f>W690-X690</x:f>
        <x:v>47.55</x:v>
      </x:c>
      <x:c r="Z690" s="94" t="n">
        <x:f>IFERROR(Y690/W690,0)</x:f>
        <x:v>0.3880048959608323</x:v>
      </x:c>
      <x:c r="AA690" s="84" t="str">
        <x:f>PROPER(TRIM('Raw Sales'!M690))</x:f>
        <x:v>Credit Card</x:v>
      </x:c>
      <x:c r="AB690" s="84" t="str">
        <x:f>PROPER(TRIM('Raw Sales'!N690))</x:f>
        <x:v>Ethan Cole</x:v>
      </x:c>
      <x:c r="AC690" s="85" t="n">
        <x:f>'Raw Sales'!O690</x:f>
        <x:v>45542</x:v>
      </x:c>
      <x:c r="AD690" s="84" t="n">
        <x:f>AC690-B690</x:f>
        <x:v>2</x:v>
      </x:c>
      <x:c r="AE690" s="84" t="str">
        <x:f>IF(COUNTIF($A$5:A690,A690)&gt;1,"Duplicate","Keep")</x:f>
        <x:v>Keep</x:v>
      </x:c>
      <x:c r="AF690" s="84" t="str">
        <x:f>IF(OR(R690&lt;=0,AC690&lt;B690,H690="Unknown",M690="Unknown Product"),"Review","Valid")</x:f>
        <x:v>Valid</x:v>
      </x:c>
      <x:c r="AG690" s="84" t="n">
        <x:f>IF(AND(AE690="Keep",AF690="Valid"),1,0)</x:f>
        <x:v>1</x:v>
      </x:c>
      <x:c r="AH690" s="84" t="n">
        <x:f>IF(AND(AG690=1,OR('Dashboard'!$B$4="All",I690='Dashboard'!$B$4),OR('Dashboard'!$E$4="All",N690='Dashboard'!$E$4),OR('Dashboard'!$H$4="All",K690='Dashboard'!$H$4),OR('Dashboard'!$K$4="All",C690='Dashboard'!$K$4)),1,0)</x:f>
        <x:v>1</x:v>
      </x:c>
      <x:c r="AI690" s="84" t="n">
        <x:f>IF(AND(AG690=1,OR('Dashboard'!$B$4="All",I690='Dashboard'!$B$4),OR('Dashboard'!$E$4="All",N690='Dashboard'!$E$4),OR('Dashboard'!$H$4="All",K690='Dashboard'!$H$4)),1,0)</x:f>
        <x:v>1</x:v>
      </x:c>
    </x:row>
    <x:row r="691">
      <x:c r="A691" s="84" t="str">
        <x:f>'Raw Sales'!A691</x:f>
        <x:v>ORD-2024-01949</x:v>
      </x:c>
      <x:c r="B691" s="85" t="n">
        <x:f>'Raw Sales'!B691</x:f>
        <x:v>45541</x:v>
      </x:c>
      <x:c r="C691" s="84" t="n">
        <x:f>YEAR(B691)</x:f>
        <x:v>2024</x:v>
      </x:c>
      <x:c r="D691" s="91" t="n">
        <x:f>DATE(YEAR(B691),MONTH(B691),1)</x:f>
        <x:v>45536</x:v>
      </x:c>
      <x:c r="E691" s="84" t="str">
        <x:f>TEXT(B691,"mmm")</x:f>
        <x:v>Sep</x:v>
      </x:c>
      <x:c r="F691" s="84" t="str">
        <x:f>'Raw Sales'!C691</x:f>
        <x:v>CUST-0514</x:v>
      </x:c>
      <x:c r="G691" s="84" t="str">
        <x:f>PROPER(TRIM('Raw Sales'!D691))</x:f>
        <x:v>Caleb Young</x:v>
      </x:c>
      <x:c r="H691" s="84" t="str">
        <x:f>IF(TRIM('Raw Sales'!E691)="","Unknown",PROPER(TRIM('Raw Sales'!E691)))</x:f>
        <x:v>Consumer</x:v>
      </x:c>
      <x:c r="I691" s="84" t="str">
        <x:f>PROPER(TRIM('Raw Sales'!F691))</x:f>
        <x:v>Northeast</x:v>
      </x:c>
      <x:c r="J691" s="84" t="str">
        <x:f>PROPER(TRIM('Raw Sales'!G691))</x:f>
        <x:v>Boston</x:v>
      </x:c>
      <x:c r="K691" s="84" t="str">
        <x:f>PROPER(TRIM('Raw Sales'!H691))</x:f>
        <x:v>Retail Store</x:v>
      </x:c>
      <x:c r="L691" s="84" t="str">
        <x:f>'Raw Sales'!I691</x:f>
        <x:v>ELEC-002</x:v>
      </x:c>
      <x:c r="M691" s="84" t="str">
        <x:f>IFERROR(VLOOKUP(L691,'Reference Data'!$A$5:$F$40,2,FALSE),"Unknown Product")</x:f>
        <x:v>Smartwatch</x:v>
      </x:c>
      <x:c r="N691" s="84" t="str">
        <x:f>IFERROR(VLOOKUP(L691,'Reference Data'!$A$5:$F$40,3,FALSE),"Unknown")</x:f>
        <x:v>Electronics</x:v>
      </x:c>
      <x:c r="O691" s="84" t="str">
        <x:f>IFERROR(VLOOKUP(L691,'Reference Data'!$A$5:$F$40,4,FALSE),"Unknown")</x:f>
        <x:v>Wearables</x:v>
      </x:c>
      <x:c r="P691" s="92" t="n">
        <x:f>IFERROR(VLOOKUP(L691,'Reference Data'!$A$5:$F$40,5,FALSE),0)</x:f>
        <x:v>159</x:v>
      </x:c>
      <x:c r="Q691" s="92" t="n">
        <x:f>IFERROR(VLOOKUP(L691,'Reference Data'!$A$5:$F$40,6,FALSE),0)</x:f>
        <x:v>92</x:v>
      </x:c>
      <x:c r="R691" s="84" t="n">
        <x:f>'Raw Sales'!J691</x:f>
        <x:v>1</x:v>
      </x:c>
      <x:c r="S691" s="87" t="n">
        <x:f>'Raw Sales'!K691</x:f>
        <x:v>0</x:v>
      </x:c>
      <x:c r="T691" s="93" t="n">
        <x:f>P691*R691</x:f>
        <x:v>159</x:v>
      </x:c>
      <x:c r="U691" s="93" t="n">
        <x:f>T691*S691</x:f>
        <x:v>0</x:v>
      </x:c>
      <x:c r="V691" s="93" t="str">
        <x:f>PROPER(TRIM('Raw Sales'!L691))</x:f>
        <x:v>Completed</x:v>
      </x:c>
      <x:c r="W691" s="93" t="n">
        <x:f>IF(V691="Returned",0,T691-U691)</x:f>
        <x:v>159</x:v>
      </x:c>
      <x:c r="X691" s="93" t="n">
        <x:f>IF(V691="Returned",Q691*R691*10%,Q691*R691)</x:f>
        <x:v>92</x:v>
      </x:c>
      <x:c r="Y691" s="93" t="n">
        <x:f>W691-X691</x:f>
        <x:v>67</x:v>
      </x:c>
      <x:c r="Z691" s="94" t="n">
        <x:f>IFERROR(Y691/W691,0)</x:f>
        <x:v>0.42138364779874216</x:v>
      </x:c>
      <x:c r="AA691" s="84" t="str">
        <x:f>PROPER(TRIM('Raw Sales'!M691))</x:f>
        <x:v>Credit Card</x:v>
      </x:c>
      <x:c r="AB691" s="84" t="str">
        <x:f>PROPER(TRIM('Raw Sales'!N691))</x:f>
        <x:v>Ethan Cole</x:v>
      </x:c>
      <x:c r="AC691" s="85" t="n">
        <x:f>'Raw Sales'!O691</x:f>
        <x:v>45541</x:v>
      </x:c>
      <x:c r="AD691" s="84" t="n">
        <x:f>AC691-B691</x:f>
        <x:v>0</x:v>
      </x:c>
      <x:c r="AE691" s="84" t="str">
        <x:f>IF(COUNTIF($A$5:A691,A691)&gt;1,"Duplicate","Keep")</x:f>
        <x:v>Keep</x:v>
      </x:c>
      <x:c r="AF691" s="84" t="str">
        <x:f>IF(OR(R691&lt;=0,AC691&lt;B691,H691="Unknown",M691="Unknown Product"),"Review","Valid")</x:f>
        <x:v>Valid</x:v>
      </x:c>
      <x:c r="AG691" s="84" t="n">
        <x:f>IF(AND(AE691="Keep",AF691="Valid"),1,0)</x:f>
        <x:v>1</x:v>
      </x:c>
      <x:c r="AH691" s="84" t="n">
        <x:f>IF(AND(AG691=1,OR('Dashboard'!$B$4="All",I691='Dashboard'!$B$4),OR('Dashboard'!$E$4="All",N691='Dashboard'!$E$4),OR('Dashboard'!$H$4="All",K691='Dashboard'!$H$4),OR('Dashboard'!$K$4="All",C691='Dashboard'!$K$4)),1,0)</x:f>
        <x:v>1</x:v>
      </x:c>
      <x:c r="AI691" s="84" t="n">
        <x:f>IF(AND(AG691=1,OR('Dashboard'!$B$4="All",I691='Dashboard'!$B$4),OR('Dashboard'!$E$4="All",N691='Dashboard'!$E$4),OR('Dashboard'!$H$4="All",K691='Dashboard'!$H$4)),1,0)</x:f>
        <x:v>1</x:v>
      </x:c>
    </x:row>
    <x:row r="692">
      <x:c r="A692" s="84" t="str">
        <x:f>'Raw Sales'!A692</x:f>
        <x:v>ORD-2024-00131</x:v>
      </x:c>
      <x:c r="B692" s="85" t="n">
        <x:f>'Raw Sales'!B692</x:f>
        <x:v>45542</x:v>
      </x:c>
      <x:c r="C692" s="84" t="n">
        <x:f>YEAR(B692)</x:f>
        <x:v>2024</x:v>
      </x:c>
      <x:c r="D692" s="91" t="n">
        <x:f>DATE(YEAR(B692),MONTH(B692),1)</x:f>
        <x:v>45536</x:v>
      </x:c>
      <x:c r="E692" s="84" t="str">
        <x:f>TEXT(B692,"mmm")</x:f>
        <x:v>Sep</x:v>
      </x:c>
      <x:c r="F692" s="84" t="str">
        <x:f>'Raw Sales'!C692</x:f>
        <x:v>CUST-0260</x:v>
      </x:c>
      <x:c r="G692" s="84" t="str">
        <x:f>PROPER(TRIM('Raw Sales'!D692))</x:f>
        <x:v>Caleb Ortiz</x:v>
      </x:c>
      <x:c r="H692" s="84" t="str">
        <x:f>IF(TRIM('Raw Sales'!E692)="","Unknown",PROPER(TRIM('Raw Sales'!E692)))</x:f>
        <x:v>Corporate</x:v>
      </x:c>
      <x:c r="I692" s="84" t="str">
        <x:f>PROPER(TRIM('Raw Sales'!F692))</x:f>
        <x:v>West</x:v>
      </x:c>
      <x:c r="J692" s="84" t="str">
        <x:f>PROPER(TRIM('Raw Sales'!G692))</x:f>
        <x:v>Los Angeles</x:v>
      </x:c>
      <x:c r="K692" s="84" t="str">
        <x:f>PROPER(TRIM('Raw Sales'!H692))</x:f>
        <x:v>Online</x:v>
      </x:c>
      <x:c r="L692" s="84" t="str">
        <x:f>'Raw Sales'!I692</x:f>
        <x:v>ACCS-001</x:v>
      </x:c>
      <x:c r="M692" s="84" t="str">
        <x:f>IFERROR(VLOOKUP(L692,'Reference Data'!$A$5:$F$40,2,FALSE),"Unknown Product")</x:f>
        <x:v>Canvas Tote Bag</x:v>
      </x:c>
      <x:c r="N692" s="84" t="str">
        <x:f>IFERROR(VLOOKUP(L692,'Reference Data'!$A$5:$F$40,3,FALSE),"Unknown")</x:f>
        <x:v>Accessories</x:v>
      </x:c>
      <x:c r="O692" s="84" t="str">
        <x:f>IFERROR(VLOOKUP(L692,'Reference Data'!$A$5:$F$40,4,FALSE),"Unknown")</x:f>
        <x:v>Bags</x:v>
      </x:c>
      <x:c r="P692" s="92" t="n">
        <x:f>IFERROR(VLOOKUP(L692,'Reference Data'!$A$5:$F$40,5,FALSE),0)</x:f>
        <x:v>39</x:v>
      </x:c>
      <x:c r="Q692" s="92" t="n">
        <x:f>IFERROR(VLOOKUP(L692,'Reference Data'!$A$5:$F$40,6,FALSE),0)</x:f>
        <x:v>14</x:v>
      </x:c>
      <x:c r="R692" s="84" t="n">
        <x:f>'Raw Sales'!J692</x:f>
        <x:v>4</x:v>
      </x:c>
      <x:c r="S692" s="87" t="n">
        <x:f>'Raw Sales'!K692</x:f>
        <x:v>0.05</x:v>
      </x:c>
      <x:c r="T692" s="93" t="n">
        <x:f>P692*R692</x:f>
        <x:v>156</x:v>
      </x:c>
      <x:c r="U692" s="93" t="n">
        <x:f>T692*S692</x:f>
        <x:v>7.800000000000001</x:v>
      </x:c>
      <x:c r="V692" s="93" t="str">
        <x:f>PROPER(TRIM('Raw Sales'!L692))</x:f>
        <x:v>Completed</x:v>
      </x:c>
      <x:c r="W692" s="93" t="n">
        <x:f>IF(V692="Returned",0,T692-U692)</x:f>
        <x:v>148.2</x:v>
      </x:c>
      <x:c r="X692" s="93" t="n">
        <x:f>IF(V692="Returned",Q692*R692*10%,Q692*R692)</x:f>
        <x:v>56</x:v>
      </x:c>
      <x:c r="Y692" s="93" t="n">
        <x:f>W692-X692</x:f>
        <x:v>92.19999999999999</x:v>
      </x:c>
      <x:c r="Z692" s="94" t="n">
        <x:f>IFERROR(Y692/W692,0)</x:f>
        <x:v>0.6221322537112011</x:v>
      </x:c>
      <x:c r="AA692" s="84" t="str">
        <x:f>PROPER(TRIM('Raw Sales'!M692))</x:f>
        <x:v>Paypal</x:v>
      </x:c>
      <x:c r="AB692" s="84" t="str">
        <x:f>PROPER(TRIM('Raw Sales'!N692))</x:f>
        <x:v>Leo Martinez</x:v>
      </x:c>
      <x:c r="AC692" s="85" t="n">
        <x:f>'Raw Sales'!O692</x:f>
        <x:v>45546</x:v>
      </x:c>
      <x:c r="AD692" s="84" t="n">
        <x:f>AC692-B692</x:f>
        <x:v>4</x:v>
      </x:c>
      <x:c r="AE692" s="84" t="str">
        <x:f>IF(COUNTIF($A$5:A692,A692)&gt;1,"Duplicate","Keep")</x:f>
        <x:v>Keep</x:v>
      </x:c>
      <x:c r="AF692" s="84" t="str">
        <x:f>IF(OR(R692&lt;=0,AC692&lt;B692,H692="Unknown",M692="Unknown Product"),"Review","Valid")</x:f>
        <x:v>Valid</x:v>
      </x:c>
      <x:c r="AG692" s="84" t="n">
        <x:f>IF(AND(AE692="Keep",AF692="Valid"),1,0)</x:f>
        <x:v>1</x:v>
      </x:c>
      <x:c r="AH692" s="84" t="n">
        <x:f>IF(AND(AG692=1,OR('Dashboard'!$B$4="All",I692='Dashboard'!$B$4),OR('Dashboard'!$E$4="All",N692='Dashboard'!$E$4),OR('Dashboard'!$H$4="All",K692='Dashboard'!$H$4),OR('Dashboard'!$K$4="All",C692='Dashboard'!$K$4)),1,0)</x:f>
        <x:v>1</x:v>
      </x:c>
      <x:c r="AI692" s="84" t="n">
        <x:f>IF(AND(AG692=1,OR('Dashboard'!$B$4="All",I692='Dashboard'!$B$4),OR('Dashboard'!$E$4="All",N692='Dashboard'!$E$4),OR('Dashboard'!$H$4="All",K692='Dashboard'!$H$4)),1,0)</x:f>
        <x:v>1</x:v>
      </x:c>
    </x:row>
    <x:row r="693">
      <x:c r="A693" s="84" t="str">
        <x:f>'Raw Sales'!A693</x:f>
        <x:v>ORD-2024-00376</x:v>
      </x:c>
      <x:c r="B693" s="85" t="n">
        <x:f>'Raw Sales'!B693</x:f>
        <x:v>45542</x:v>
      </x:c>
      <x:c r="C693" s="84" t="n">
        <x:f>YEAR(B693)</x:f>
        <x:v>2024</x:v>
      </x:c>
      <x:c r="D693" s="91" t="n">
        <x:f>DATE(YEAR(B693),MONTH(B693),1)</x:f>
        <x:v>45536</x:v>
      </x:c>
      <x:c r="E693" s="84" t="str">
        <x:f>TEXT(B693,"mmm")</x:f>
        <x:v>Sep</x:v>
      </x:c>
      <x:c r="F693" s="84" t="str">
        <x:f>'Raw Sales'!C693</x:f>
        <x:v>CUST-0603</x:v>
      </x:c>
      <x:c r="G693" s="84" t="str">
        <x:f>PROPER(TRIM('Raw Sales'!D693))</x:f>
        <x:v>Elias Roberts</x:v>
      </x:c>
      <x:c r="H693" s="84" t="str">
        <x:f>IF(TRIM('Raw Sales'!E693)="","Unknown",PROPER(TRIM('Raw Sales'!E693)))</x:f>
        <x:v>Consumer</x:v>
      </x:c>
      <x:c r="I693" s="84" t="str">
        <x:f>PROPER(TRIM('Raw Sales'!F693))</x:f>
        <x:v>Northeast</x:v>
      </x:c>
      <x:c r="J693" s="84" t="str">
        <x:f>PROPER(TRIM('Raw Sales'!G693))</x:f>
        <x:v>Newark</x:v>
      </x:c>
      <x:c r="K693" s="84" t="str">
        <x:f>PROPER(TRIM('Raw Sales'!H693))</x:f>
        <x:v>Marketplace</x:v>
      </x:c>
      <x:c r="L693" s="84" t="str">
        <x:f>'Raw Sales'!I693</x:f>
        <x:v>FITN-006</x:v>
      </x:c>
      <x:c r="M693" s="84" t="str">
        <x:f>IFERROR(VLOOKUP(L693,'Reference Data'!$A$5:$F$40,2,FALSE),"Unknown Product")</x:f>
        <x:v>Foam Roller</x:v>
      </x:c>
      <x:c r="N693" s="84" t="str">
        <x:f>IFERROR(VLOOKUP(L693,'Reference Data'!$A$5:$F$40,3,FALSE),"Unknown")</x:f>
        <x:v>Fitness</x:v>
      </x:c>
      <x:c r="O693" s="84" t="str">
        <x:f>IFERROR(VLOOKUP(L693,'Reference Data'!$A$5:$F$40,4,FALSE),"Unknown")</x:f>
        <x:v>Recovery</x:v>
      </x:c>
      <x:c r="P693" s="92" t="n">
        <x:f>IFERROR(VLOOKUP(L693,'Reference Data'!$A$5:$F$40,5,FALSE),0)</x:f>
        <x:v>31</x:v>
      </x:c>
      <x:c r="Q693" s="92" t="n">
        <x:f>IFERROR(VLOOKUP(L693,'Reference Data'!$A$5:$F$40,6,FALSE),0)</x:f>
        <x:v>12</x:v>
      </x:c>
      <x:c r="R693" s="84" t="n">
        <x:f>'Raw Sales'!J693</x:f>
        <x:v>2</x:v>
      </x:c>
      <x:c r="S693" s="87" t="n">
        <x:f>'Raw Sales'!K693</x:f>
        <x:v>0.15</x:v>
      </x:c>
      <x:c r="T693" s="93" t="n">
        <x:f>P693*R693</x:f>
        <x:v>62</x:v>
      </x:c>
      <x:c r="U693" s="93" t="n">
        <x:f>T693*S693</x:f>
        <x:v>9.299999999999999</x:v>
      </x:c>
      <x:c r="V693" s="93" t="str">
        <x:f>PROPER(TRIM('Raw Sales'!L693))</x:f>
        <x:v>Completed</x:v>
      </x:c>
      <x:c r="W693" s="93" t="n">
        <x:f>IF(V693="Returned",0,T693-U693)</x:f>
        <x:v>52.7</x:v>
      </x:c>
      <x:c r="X693" s="93" t="n">
        <x:f>IF(V693="Returned",Q693*R693*10%,Q693*R693)</x:f>
        <x:v>24</x:v>
      </x:c>
      <x:c r="Y693" s="93" t="n">
        <x:f>W693-X693</x:f>
        <x:v>28.700000000000003</x:v>
      </x:c>
      <x:c r="Z693" s="94" t="n">
        <x:f>IFERROR(Y693/W693,0)</x:f>
        <x:v>0.5445920303605314</x:v>
      </x:c>
      <x:c r="AA693" s="84" t="str">
        <x:f>PROPER(TRIM('Raw Sales'!M693))</x:f>
        <x:v>Credit Card</x:v>
      </x:c>
      <x:c r="AB693" s="84" t="str">
        <x:f>PROPER(TRIM('Raw Sales'!N693))</x:f>
        <x:v>Ethan Cole</x:v>
      </x:c>
      <x:c r="AC693" s="85" t="n">
        <x:f>'Raw Sales'!O693</x:f>
        <x:v>45545</x:v>
      </x:c>
      <x:c r="AD693" s="84" t="n">
        <x:f>AC693-B693</x:f>
        <x:v>3</x:v>
      </x:c>
      <x:c r="AE693" s="84" t="str">
        <x:f>IF(COUNTIF($A$5:A693,A693)&gt;1,"Duplicate","Keep")</x:f>
        <x:v>Keep</x:v>
      </x:c>
      <x:c r="AF693" s="84" t="str">
        <x:f>IF(OR(R693&lt;=0,AC693&lt;B693,H693="Unknown",M693="Unknown Product"),"Review","Valid")</x:f>
        <x:v>Valid</x:v>
      </x:c>
      <x:c r="AG693" s="84" t="n">
        <x:f>IF(AND(AE693="Keep",AF693="Valid"),1,0)</x:f>
        <x:v>1</x:v>
      </x:c>
      <x:c r="AH693" s="84" t="n">
        <x:f>IF(AND(AG693=1,OR('Dashboard'!$B$4="All",I693='Dashboard'!$B$4),OR('Dashboard'!$E$4="All",N693='Dashboard'!$E$4),OR('Dashboard'!$H$4="All",K693='Dashboard'!$H$4),OR('Dashboard'!$K$4="All",C693='Dashboard'!$K$4)),1,0)</x:f>
        <x:v>1</x:v>
      </x:c>
      <x:c r="AI693" s="84" t="n">
        <x:f>IF(AND(AG693=1,OR('Dashboard'!$B$4="All",I693='Dashboard'!$B$4),OR('Dashboard'!$E$4="All",N693='Dashboard'!$E$4),OR('Dashboard'!$H$4="All",K693='Dashboard'!$H$4)),1,0)</x:f>
        <x:v>1</x:v>
      </x:c>
    </x:row>
    <x:row r="694">
      <x:c r="A694" s="84" t="str">
        <x:f>'Raw Sales'!A694</x:f>
        <x:v>ORD-2024-01102</x:v>
      </x:c>
      <x:c r="B694" s="85" t="n">
        <x:f>'Raw Sales'!B694</x:f>
        <x:v>45543</x:v>
      </x:c>
      <x:c r="C694" s="84" t="n">
        <x:f>YEAR(B694)</x:f>
        <x:v>2024</x:v>
      </x:c>
      <x:c r="D694" s="91" t="n">
        <x:f>DATE(YEAR(B694),MONTH(B694),1)</x:f>
        <x:v>45536</x:v>
      </x:c>
      <x:c r="E694" s="84" t="str">
        <x:f>TEXT(B694,"mmm")</x:f>
        <x:v>Sep</x:v>
      </x:c>
      <x:c r="F694" s="84" t="str">
        <x:f>'Raw Sales'!C694</x:f>
        <x:v>CUST-0117</x:v>
      </x:c>
      <x:c r="G694" s="84" t="str">
        <x:f>PROPER(TRIM('Raw Sales'!D694))</x:f>
        <x:v>Caleb Evans</x:v>
      </x:c>
      <x:c r="H694" s="84" t="str">
        <x:f>IF(TRIM('Raw Sales'!E694)="","Unknown",PROPER(TRIM('Raw Sales'!E694)))</x:f>
        <x:v>Consumer</x:v>
      </x:c>
      <x:c r="I694" s="84" t="str">
        <x:f>PROPER(TRIM('Raw Sales'!F694))</x:f>
        <x:v>Northeast</x:v>
      </x:c>
      <x:c r="J694" s="84" t="str">
        <x:f>PROPER(TRIM('Raw Sales'!G694))</x:f>
        <x:v>Newark</x:v>
      </x:c>
      <x:c r="K694" s="84" t="str">
        <x:f>PROPER(TRIM('Raw Sales'!H694))</x:f>
        <x:v>Online</x:v>
      </x:c>
      <x:c r="L694" s="84" t="str">
        <x:f>'Raw Sales'!I694</x:f>
        <x:v>ELEC-006</x:v>
      </x:c>
      <x:c r="M694" s="84" t="str">
        <x:f>IFERROR(VLOOKUP(L694,'Reference Data'!$A$5:$F$40,2,FALSE),"Unknown Product")</x:f>
        <x:v>Portable SSD</x:v>
      </x:c>
      <x:c r="N694" s="84" t="str">
        <x:f>IFERROR(VLOOKUP(L694,'Reference Data'!$A$5:$F$40,3,FALSE),"Unknown")</x:f>
        <x:v>Electronics</x:v>
      </x:c>
      <x:c r="O694" s="84" t="str">
        <x:f>IFERROR(VLOOKUP(L694,'Reference Data'!$A$5:$F$40,4,FALSE),"Unknown")</x:f>
        <x:v>Storage</x:v>
      </x:c>
      <x:c r="P694" s="92" t="n">
        <x:f>IFERROR(VLOOKUP(L694,'Reference Data'!$A$5:$F$40,5,FALSE),0)</x:f>
        <x:v>129</x:v>
      </x:c>
      <x:c r="Q694" s="92" t="n">
        <x:f>IFERROR(VLOOKUP(L694,'Reference Data'!$A$5:$F$40,6,FALSE),0)</x:f>
        <x:v>75</x:v>
      </x:c>
      <x:c r="R694" s="84" t="n">
        <x:f>'Raw Sales'!J694</x:f>
        <x:v>3</x:v>
      </x:c>
      <x:c r="S694" s="87" t="n">
        <x:f>'Raw Sales'!K694</x:f>
        <x:v>0</x:v>
      </x:c>
      <x:c r="T694" s="93" t="n">
        <x:f>P694*R694</x:f>
        <x:v>387</x:v>
      </x:c>
      <x:c r="U694" s="93" t="n">
        <x:f>T694*S694</x:f>
        <x:v>0</x:v>
      </x:c>
      <x:c r="V694" s="93" t="str">
        <x:f>PROPER(TRIM('Raw Sales'!L694))</x:f>
        <x:v>Completed</x:v>
      </x:c>
      <x:c r="W694" s="93" t="n">
        <x:f>IF(V694="Returned",0,T694-U694)</x:f>
        <x:v>387</x:v>
      </x:c>
      <x:c r="X694" s="93" t="n">
        <x:f>IF(V694="Returned",Q694*R694*10%,Q694*R694)</x:f>
        <x:v>225</x:v>
      </x:c>
      <x:c r="Y694" s="93" t="n">
        <x:f>W694-X694</x:f>
        <x:v>162</x:v>
      </x:c>
      <x:c r="Z694" s="94" t="n">
        <x:f>IFERROR(Y694/W694,0)</x:f>
        <x:v>0.4186046511627907</x:v>
      </x:c>
      <x:c r="AA694" s="84" t="str">
        <x:f>PROPER(TRIM('Raw Sales'!M694))</x:f>
        <x:v>Paypal</x:v>
      </x:c>
      <x:c r="AB694" s="84" t="str">
        <x:f>PROPER(TRIM('Raw Sales'!N694))</x:f>
        <x:v>Maya Brooks</x:v>
      </x:c>
      <x:c r="AC694" s="85" t="n">
        <x:f>'Raw Sales'!O694</x:f>
        <x:v>45547</x:v>
      </x:c>
      <x:c r="AD694" s="84" t="n">
        <x:f>AC694-B694</x:f>
        <x:v>4</x:v>
      </x:c>
      <x:c r="AE694" s="84" t="str">
        <x:f>IF(COUNTIF($A$5:A694,A694)&gt;1,"Duplicate","Keep")</x:f>
        <x:v>Keep</x:v>
      </x:c>
      <x:c r="AF694" s="84" t="str">
        <x:f>IF(OR(R694&lt;=0,AC694&lt;B694,H694="Unknown",M694="Unknown Product"),"Review","Valid")</x:f>
        <x:v>Valid</x:v>
      </x:c>
      <x:c r="AG694" s="84" t="n">
        <x:f>IF(AND(AE694="Keep",AF694="Valid"),1,0)</x:f>
        <x:v>1</x:v>
      </x:c>
      <x:c r="AH694" s="84" t="n">
        <x:f>IF(AND(AG694=1,OR('Dashboard'!$B$4="All",I694='Dashboard'!$B$4),OR('Dashboard'!$E$4="All",N694='Dashboard'!$E$4),OR('Dashboard'!$H$4="All",K694='Dashboard'!$H$4),OR('Dashboard'!$K$4="All",C694='Dashboard'!$K$4)),1,0)</x:f>
        <x:v>1</x:v>
      </x:c>
      <x:c r="AI694" s="84" t="n">
        <x:f>IF(AND(AG694=1,OR('Dashboard'!$B$4="All",I694='Dashboard'!$B$4),OR('Dashboard'!$E$4="All",N694='Dashboard'!$E$4),OR('Dashboard'!$H$4="All",K694='Dashboard'!$H$4)),1,0)</x:f>
        <x:v>1</x:v>
      </x:c>
    </x:row>
    <x:row r="695">
      <x:c r="A695" s="84" t="str">
        <x:f>'Raw Sales'!A695</x:f>
        <x:v>ORD-2024-01512</x:v>
      </x:c>
      <x:c r="B695" s="85" t="n">
        <x:f>'Raw Sales'!B695</x:f>
        <x:v>45543</x:v>
      </x:c>
      <x:c r="C695" s="84" t="n">
        <x:f>YEAR(B695)</x:f>
        <x:v>2024</x:v>
      </x:c>
      <x:c r="D695" s="91" t="n">
        <x:f>DATE(YEAR(B695),MONTH(B695),1)</x:f>
        <x:v>45536</x:v>
      </x:c>
      <x:c r="E695" s="84" t="str">
        <x:f>TEXT(B695,"mmm")</x:f>
        <x:v>Sep</x:v>
      </x:c>
      <x:c r="F695" s="84" t="str">
        <x:f>'Raw Sales'!C695</x:f>
        <x:v>CUST-0393</x:v>
      </x:c>
      <x:c r="G695" s="84" t="str">
        <x:f>PROPER(TRIM('Raw Sales'!D695))</x:f>
        <x:v>Owen Carter</x:v>
      </x:c>
      <x:c r="H695" s="84" t="str">
        <x:f>IF(TRIM('Raw Sales'!E695)="","Unknown",PROPER(TRIM('Raw Sales'!E695)))</x:f>
        <x:v>Consumer</x:v>
      </x:c>
      <x:c r="I695" s="84" t="str">
        <x:f>PROPER(TRIM('Raw Sales'!F695))</x:f>
        <x:v>Midwest</x:v>
      </x:c>
      <x:c r="J695" s="84" t="str">
        <x:f>PROPER(TRIM('Raw Sales'!G695))</x:f>
        <x:v>Columbus</x:v>
      </x:c>
      <x:c r="K695" s="84" t="str">
        <x:f>PROPER(TRIM('Raw Sales'!H695))</x:f>
        <x:v>Retail Store</x:v>
      </x:c>
      <x:c r="L695" s="84" t="str">
        <x:f>'Raw Sales'!I695</x:f>
        <x:v>FITN-002</x:v>
      </x:c>
      <x:c r="M695" s="84" t="str">
        <x:f>IFERROR(VLOOKUP(L695,'Reference Data'!$A$5:$F$40,2,FALSE),"Unknown Product")</x:f>
        <x:v>Adjustable Dumbbell Set</x:v>
      </x:c>
      <x:c r="N695" s="84" t="str">
        <x:f>IFERROR(VLOOKUP(L695,'Reference Data'!$A$5:$F$40,3,FALSE),"Unknown")</x:f>
        <x:v>Fitness</x:v>
      </x:c>
      <x:c r="O695" s="84" t="str">
        <x:f>IFERROR(VLOOKUP(L695,'Reference Data'!$A$5:$F$40,4,FALSE),"Unknown")</x:f>
        <x:v>Strength</x:v>
      </x:c>
      <x:c r="P695" s="92" t="n">
        <x:f>IFERROR(VLOOKUP(L695,'Reference Data'!$A$5:$F$40,5,FALSE),0)</x:f>
        <x:v>99</x:v>
      </x:c>
      <x:c r="Q695" s="92" t="n">
        <x:f>IFERROR(VLOOKUP(L695,'Reference Data'!$A$5:$F$40,6,FALSE),0)</x:f>
        <x:v>57</x:v>
      </x:c>
      <x:c r="R695" s="84" t="n">
        <x:f>'Raw Sales'!J695</x:f>
        <x:v>1</x:v>
      </x:c>
      <x:c r="S695" s="87" t="n">
        <x:f>'Raw Sales'!K695</x:f>
        <x:v>0.15</x:v>
      </x:c>
      <x:c r="T695" s="93" t="n">
        <x:f>P695*R695</x:f>
        <x:v>99</x:v>
      </x:c>
      <x:c r="U695" s="93" t="n">
        <x:f>T695*S695</x:f>
        <x:v>14.85</x:v>
      </x:c>
      <x:c r="V695" s="93" t="str">
        <x:f>PROPER(TRIM('Raw Sales'!L695))</x:f>
        <x:v>Completed</x:v>
      </x:c>
      <x:c r="W695" s="93" t="n">
        <x:f>IF(V695="Returned",0,T695-U695)</x:f>
        <x:v>84.15</x:v>
      </x:c>
      <x:c r="X695" s="93" t="n">
        <x:f>IF(V695="Returned",Q695*R695*10%,Q695*R695)</x:f>
        <x:v>57</x:v>
      </x:c>
      <x:c r="Y695" s="93" t="n">
        <x:f>W695-X695</x:f>
        <x:v>27.150000000000006</x:v>
      </x:c>
      <x:c r="Z695" s="94" t="n">
        <x:f>IFERROR(Y695/W695,0)</x:f>
        <x:v>0.322638146167558</x:v>
      </x:c>
      <x:c r="AA695" s="84" t="str">
        <x:f>PROPER(TRIM('Raw Sales'!M695))</x:f>
        <x:v>Cash</x:v>
      </x:c>
      <x:c r="AB695" s="84" t="str">
        <x:f>PROPER(TRIM('Raw Sales'!N695))</x:f>
        <x:v>Emma Hayes</x:v>
      </x:c>
      <x:c r="AC695" s="85" t="n">
        <x:f>'Raw Sales'!O695</x:f>
        <x:v>45543</x:v>
      </x:c>
      <x:c r="AD695" s="84" t="n">
        <x:f>AC695-B695</x:f>
        <x:v>0</x:v>
      </x:c>
      <x:c r="AE695" s="84" t="str">
        <x:f>IF(COUNTIF($A$5:A695,A695)&gt;1,"Duplicate","Keep")</x:f>
        <x:v>Keep</x:v>
      </x:c>
      <x:c r="AF695" s="84" t="str">
        <x:f>IF(OR(R695&lt;=0,AC695&lt;B695,H695="Unknown",M695="Unknown Product"),"Review","Valid")</x:f>
        <x:v>Valid</x:v>
      </x:c>
      <x:c r="AG695" s="84" t="n">
        <x:f>IF(AND(AE695="Keep",AF695="Valid"),1,0)</x:f>
        <x:v>1</x:v>
      </x:c>
      <x:c r="AH695" s="84" t="n">
        <x:f>IF(AND(AG695=1,OR('Dashboard'!$B$4="All",I695='Dashboard'!$B$4),OR('Dashboard'!$E$4="All",N695='Dashboard'!$E$4),OR('Dashboard'!$H$4="All",K695='Dashboard'!$H$4),OR('Dashboard'!$K$4="All",C695='Dashboard'!$K$4)),1,0)</x:f>
        <x:v>1</x:v>
      </x:c>
      <x:c r="AI695" s="84" t="n">
        <x:f>IF(AND(AG695=1,OR('Dashboard'!$B$4="All",I695='Dashboard'!$B$4),OR('Dashboard'!$E$4="All",N695='Dashboard'!$E$4),OR('Dashboard'!$H$4="All",K695='Dashboard'!$H$4)),1,0)</x:f>
        <x:v>1</x:v>
      </x:c>
    </x:row>
    <x:row r="696">
      <x:c r="A696" s="84" t="str">
        <x:f>'Raw Sales'!A696</x:f>
        <x:v>ORD-2024-01526</x:v>
      </x:c>
      <x:c r="B696" s="85" t="n">
        <x:f>'Raw Sales'!B696</x:f>
        <x:v>45543</x:v>
      </x:c>
      <x:c r="C696" s="84" t="n">
        <x:f>YEAR(B696)</x:f>
        <x:v>2024</x:v>
      </x:c>
      <x:c r="D696" s="91" t="n">
        <x:f>DATE(YEAR(B696),MONTH(B696),1)</x:f>
        <x:v>45536</x:v>
      </x:c>
      <x:c r="E696" s="84" t="str">
        <x:f>TEXT(B696,"mmm")</x:f>
        <x:v>Sep</x:v>
      </x:c>
      <x:c r="F696" s="84" t="str">
        <x:f>'Raw Sales'!C696</x:f>
        <x:v>CUST-0234</x:v>
      </x:c>
      <x:c r="G696" s="84" t="str">
        <x:f>PROPER(TRIM('Raw Sales'!D696))</x:f>
        <x:v>William Quinn</x:v>
      </x:c>
      <x:c r="H696" s="84" t="str">
        <x:f>IF(TRIM('Raw Sales'!E696)="","Unknown",PROPER(TRIM('Raw Sales'!E696)))</x:f>
        <x:v>Consumer</x:v>
      </x:c>
      <x:c r="I696" s="84" t="str">
        <x:f>PROPER(TRIM('Raw Sales'!F696))</x:f>
        <x:v>West</x:v>
      </x:c>
      <x:c r="J696" s="84" t="str">
        <x:f>PROPER(TRIM('Raw Sales'!G696))</x:f>
        <x:v>Seattle</x:v>
      </x:c>
      <x:c r="K696" s="84" t="str">
        <x:f>PROPER(TRIM('Raw Sales'!H696))</x:f>
        <x:v>Retail Store</x:v>
      </x:c>
      <x:c r="L696" s="84" t="str">
        <x:f>'Raw Sales'!I696</x:f>
        <x:v>HOME-001</x:v>
      </x:c>
      <x:c r="M696" s="84" t="str">
        <x:f>IFERROR(VLOOKUP(L696,'Reference Data'!$A$5:$F$40,2,FALSE),"Unknown Product")</x:f>
        <x:v>Air Fryer</x:v>
      </x:c>
      <x:c r="N696" s="84" t="str">
        <x:f>IFERROR(VLOOKUP(L696,'Reference Data'!$A$5:$F$40,3,FALSE),"Unknown")</x:f>
        <x:v>Home &amp; Kitchen</x:v>
      </x:c>
      <x:c r="O696" s="84" t="str">
        <x:f>IFERROR(VLOOKUP(L696,'Reference Data'!$A$5:$F$40,4,FALSE),"Unknown")</x:f>
        <x:v>Small Appliances</x:v>
      </x:c>
      <x:c r="P696" s="92" t="n">
        <x:f>IFERROR(VLOOKUP(L696,'Reference Data'!$A$5:$F$40,5,FALSE),0)</x:f>
        <x:v>119</x:v>
      </x:c>
      <x:c r="Q696" s="92" t="n">
        <x:f>IFERROR(VLOOKUP(L696,'Reference Data'!$A$5:$F$40,6,FALSE),0)</x:f>
        <x:v>68</x:v>
      </x:c>
      <x:c r="R696" s="84" t="n">
        <x:f>'Raw Sales'!J696</x:f>
        <x:v>1</x:v>
      </x:c>
      <x:c r="S696" s="87" t="n">
        <x:f>'Raw Sales'!K696</x:f>
        <x:v>0.15</x:v>
      </x:c>
      <x:c r="T696" s="93" t="n">
        <x:f>P696*R696</x:f>
        <x:v>119</x:v>
      </x:c>
      <x:c r="U696" s="93" t="n">
        <x:f>T696*S696</x:f>
        <x:v>17.849999999999998</x:v>
      </x:c>
      <x:c r="V696" s="93" t="str">
        <x:f>PROPER(TRIM('Raw Sales'!L696))</x:f>
        <x:v>Completed</x:v>
      </x:c>
      <x:c r="W696" s="93" t="n">
        <x:f>IF(V696="Returned",0,T696-U696)</x:f>
        <x:v>101.15</x:v>
      </x:c>
      <x:c r="X696" s="93" t="n">
        <x:f>IF(V696="Returned",Q696*R696*10%,Q696*R696)</x:f>
        <x:v>68</x:v>
      </x:c>
      <x:c r="Y696" s="93" t="n">
        <x:f>W696-X696</x:f>
        <x:v>33.150000000000006</x:v>
      </x:c>
      <x:c r="Z696" s="94" t="n">
        <x:f>IFERROR(Y696/W696,0)</x:f>
        <x:v>0.32773109243697485</x:v>
      </x:c>
      <x:c r="AA696" s="84" t="str">
        <x:f>PROPER(TRIM('Raw Sales'!M696))</x:f>
        <x:v>Credit Card</x:v>
      </x:c>
      <x:c r="AB696" s="84" t="str">
        <x:f>PROPER(TRIM('Raw Sales'!N696))</x:f>
        <x:v>Nora Kim</x:v>
      </x:c>
      <x:c r="AC696" s="85" t="n">
        <x:f>'Raw Sales'!O696</x:f>
        <x:v>45543</x:v>
      </x:c>
      <x:c r="AD696" s="84" t="n">
        <x:f>AC696-B696</x:f>
        <x:v>0</x:v>
      </x:c>
      <x:c r="AE696" s="84" t="str">
        <x:f>IF(COUNTIF($A$5:A696,A696)&gt;1,"Duplicate","Keep")</x:f>
        <x:v>Keep</x:v>
      </x:c>
      <x:c r="AF696" s="84" t="str">
        <x:f>IF(OR(R696&lt;=0,AC696&lt;B696,H696="Unknown",M696="Unknown Product"),"Review","Valid")</x:f>
        <x:v>Valid</x:v>
      </x:c>
      <x:c r="AG696" s="84" t="n">
        <x:f>IF(AND(AE696="Keep",AF696="Valid"),1,0)</x:f>
        <x:v>1</x:v>
      </x:c>
      <x:c r="AH696" s="84" t="n">
        <x:f>IF(AND(AG696=1,OR('Dashboard'!$B$4="All",I696='Dashboard'!$B$4),OR('Dashboard'!$E$4="All",N696='Dashboard'!$E$4),OR('Dashboard'!$H$4="All",K696='Dashboard'!$H$4),OR('Dashboard'!$K$4="All",C696='Dashboard'!$K$4)),1,0)</x:f>
        <x:v>1</x:v>
      </x:c>
      <x:c r="AI696" s="84" t="n">
        <x:f>IF(AND(AG696=1,OR('Dashboard'!$B$4="All",I696='Dashboard'!$B$4),OR('Dashboard'!$E$4="All",N696='Dashboard'!$E$4),OR('Dashboard'!$H$4="All",K696='Dashboard'!$H$4)),1,0)</x:f>
        <x:v>1</x:v>
      </x:c>
    </x:row>
    <x:row r="697">
      <x:c r="A697" s="84" t="str">
        <x:f>'Raw Sales'!A697</x:f>
        <x:v>ORD-2024-01447</x:v>
      </x:c>
      <x:c r="B697" s="85" t="n">
        <x:f>'Raw Sales'!B697</x:f>
        <x:v>45544</x:v>
      </x:c>
      <x:c r="C697" s="84" t="n">
        <x:f>YEAR(B697)</x:f>
        <x:v>2024</x:v>
      </x:c>
      <x:c r="D697" s="91" t="n">
        <x:f>DATE(YEAR(B697),MONTH(B697),1)</x:f>
        <x:v>45536</x:v>
      </x:c>
      <x:c r="E697" s="84" t="str">
        <x:f>TEXT(B697,"mmm")</x:f>
        <x:v>Sep</x:v>
      </x:c>
      <x:c r="F697" s="84" t="str">
        <x:f>'Raw Sales'!C697</x:f>
        <x:v>CUST-0411</x:v>
      </x:c>
      <x:c r="G697" s="84" t="str">
        <x:f>PROPER(TRIM('Raw Sales'!D697))</x:f>
        <x:v>Daniel Young</x:v>
      </x:c>
      <x:c r="H697" s="84" t="str">
        <x:f>IF(TRIM('Raw Sales'!E697)="","Unknown",PROPER(TRIM('Raw Sales'!E697)))</x:f>
        <x:v>Corporate</x:v>
      </x:c>
      <x:c r="I697" s="84" t="str">
        <x:f>PROPER(TRIM('Raw Sales'!F697))</x:f>
        <x:v>West</x:v>
      </x:c>
      <x:c r="J697" s="84" t="str">
        <x:f>PROPER(TRIM('Raw Sales'!G697))</x:f>
        <x:v>Denver</x:v>
      </x:c>
      <x:c r="K697" s="84" t="str">
        <x:f>PROPER(TRIM('Raw Sales'!H697))</x:f>
        <x:v>Retail Store</x:v>
      </x:c>
      <x:c r="L697" s="84" t="str">
        <x:f>'Raw Sales'!I697</x:f>
        <x:v>OFFC-005</x:v>
      </x:c>
      <x:c r="M697" s="84" t="str">
        <x:f>IFERROR(VLOOKUP(L697,'Reference Data'!$A$5:$F$40,2,FALSE),"Unknown Product")</x:f>
        <x:v>Wireless Keyboard</x:v>
      </x:c>
      <x:c r="N697" s="84" t="str">
        <x:f>IFERROR(VLOOKUP(L697,'Reference Data'!$A$5:$F$40,3,FALSE),"Unknown")</x:f>
        <x:v>Office</x:v>
      </x:c>
      <x:c r="O697" s="84" t="str">
        <x:f>IFERROR(VLOOKUP(L697,'Reference Data'!$A$5:$F$40,4,FALSE),"Unknown")</x:f>
        <x:v>Computer Accessories</x:v>
      </x:c>
      <x:c r="P697" s="92" t="n">
        <x:f>IFERROR(VLOOKUP(L697,'Reference Data'!$A$5:$F$40,5,FALSE),0)</x:f>
        <x:v>59</x:v>
      </x:c>
      <x:c r="Q697" s="92" t="n">
        <x:f>IFERROR(VLOOKUP(L697,'Reference Data'!$A$5:$F$40,6,FALSE),0)</x:f>
        <x:v>28</x:v>
      </x:c>
      <x:c r="R697" s="84" t="n">
        <x:f>'Raw Sales'!J697</x:f>
        <x:v>-1</x:v>
      </x:c>
      <x:c r="S697" s="87" t="n">
        <x:f>'Raw Sales'!K697</x:f>
        <x:v>0.15</x:v>
      </x:c>
      <x:c r="T697" s="93" t="n">
        <x:f>P697*R697</x:f>
        <x:v>-59</x:v>
      </x:c>
      <x:c r="U697" s="93" t="n">
        <x:f>T697*S697</x:f>
        <x:v>-8.85</x:v>
      </x:c>
      <x:c r="V697" s="93" t="str">
        <x:f>PROPER(TRIM('Raw Sales'!L697))</x:f>
        <x:v>Returned</x:v>
      </x:c>
      <x:c r="W697" s="93" t="n">
        <x:f>IF(V697="Returned",0,T697-U697)</x:f>
        <x:v>0</x:v>
      </x:c>
      <x:c r="X697" s="93" t="n">
        <x:f>IF(V697="Returned",Q697*R697*10%,Q697*R697)</x:f>
        <x:v>-2.8000000000000003</x:v>
      </x:c>
      <x:c r="Y697" s="93" t="n">
        <x:f>W697-X697</x:f>
        <x:v>2.8000000000000003</x:v>
      </x:c>
      <x:c r="Z697" s="94" t="n">
        <x:f>IFERROR(Y697/W697,0)</x:f>
        <x:v>0</x:v>
      </x:c>
      <x:c r="AA697" s="84" t="str">
        <x:f>PROPER(TRIM('Raw Sales'!M697))</x:f>
        <x:v>Mobile Wallet</x:v>
      </x:c>
      <x:c r="AB697" s="84" t="str">
        <x:f>PROPER(TRIM('Raw Sales'!N697))</x:f>
        <x:v>Nora Kim</x:v>
      </x:c>
      <x:c r="AC697" s="85" t="n">
        <x:f>'Raw Sales'!O697</x:f>
        <x:v>45544</x:v>
      </x:c>
      <x:c r="AD697" s="84" t="n">
        <x:f>AC697-B697</x:f>
        <x:v>0</x:v>
      </x:c>
      <x:c r="AE697" s="84" t="str">
        <x:f>IF(COUNTIF($A$5:A697,A697)&gt;1,"Duplicate","Keep")</x:f>
        <x:v>Keep</x:v>
      </x:c>
      <x:c r="AF697" s="84" t="str">
        <x:f>IF(OR(R697&lt;=0,AC697&lt;B697,H697="Unknown",M697="Unknown Product"),"Review","Valid")</x:f>
        <x:v>Review</x:v>
      </x:c>
      <x:c r="AG697" s="84" t="n">
        <x:f>IF(AND(AE697="Keep",AF697="Valid"),1,0)</x:f>
        <x:v>0</x:v>
      </x:c>
      <x:c r="AH697" s="84" t="n">
        <x:f>IF(AND(AG697=1,OR('Dashboard'!$B$4="All",I697='Dashboard'!$B$4),OR('Dashboard'!$E$4="All",N697='Dashboard'!$E$4),OR('Dashboard'!$H$4="All",K697='Dashboard'!$H$4),OR('Dashboard'!$K$4="All",C697='Dashboard'!$K$4)),1,0)</x:f>
        <x:v>0</x:v>
      </x:c>
      <x:c r="AI697" s="84" t="n">
        <x:f>IF(AND(AG697=1,OR('Dashboard'!$B$4="All",I697='Dashboard'!$B$4),OR('Dashboard'!$E$4="All",N697='Dashboard'!$E$4),OR('Dashboard'!$H$4="All",K697='Dashboard'!$H$4)),1,0)</x:f>
        <x:v>0</x:v>
      </x:c>
    </x:row>
    <x:row r="698">
      <x:c r="A698" s="84" t="str">
        <x:f>'Raw Sales'!A698</x:f>
        <x:v>ORD-2024-01837</x:v>
      </x:c>
      <x:c r="B698" s="85" t="n">
        <x:f>'Raw Sales'!B698</x:f>
        <x:v>45544</x:v>
      </x:c>
      <x:c r="C698" s="84" t="n">
        <x:f>YEAR(B698)</x:f>
        <x:v>2024</x:v>
      </x:c>
      <x:c r="D698" s="91" t="n">
        <x:f>DATE(YEAR(B698),MONTH(B698),1)</x:f>
        <x:v>45536</x:v>
      </x:c>
      <x:c r="E698" s="84" t="str">
        <x:f>TEXT(B698,"mmm")</x:f>
        <x:v>Sep</x:v>
      </x:c>
      <x:c r="F698" s="84" t="str">
        <x:f>'Raw Sales'!C698</x:f>
        <x:v>CUST-0044</x:v>
      </x:c>
      <x:c r="G698" s="84" t="str">
        <x:f>PROPER(TRIM('Raw Sales'!D698))</x:f>
        <x:v>Grace Nelson</x:v>
      </x:c>
      <x:c r="H698" s="84" t="str">
        <x:f>IF(TRIM('Raw Sales'!E698)="","Unknown",PROPER(TRIM('Raw Sales'!E698)))</x:f>
        <x:v>Small Business</x:v>
      </x:c>
      <x:c r="I698" s="84" t="str">
        <x:f>PROPER(TRIM('Raw Sales'!F698))</x:f>
        <x:v>Northeast</x:v>
      </x:c>
      <x:c r="J698" s="84" t="str">
        <x:f>PROPER(TRIM('Raw Sales'!G698))</x:f>
        <x:v>New York</x:v>
      </x:c>
      <x:c r="K698" s="84" t="str">
        <x:f>PROPER(TRIM('Raw Sales'!H698))</x:f>
        <x:v>Retail Store</x:v>
      </x:c>
      <x:c r="L698" s="84" t="str">
        <x:f>'Raw Sales'!I698</x:f>
        <x:v>HOME-001</x:v>
      </x:c>
      <x:c r="M698" s="84" t="str">
        <x:f>IFERROR(VLOOKUP(L698,'Reference Data'!$A$5:$F$40,2,FALSE),"Unknown Product")</x:f>
        <x:v>Air Fryer</x:v>
      </x:c>
      <x:c r="N698" s="84" t="str">
        <x:f>IFERROR(VLOOKUP(L698,'Reference Data'!$A$5:$F$40,3,FALSE),"Unknown")</x:f>
        <x:v>Home &amp; Kitchen</x:v>
      </x:c>
      <x:c r="O698" s="84" t="str">
        <x:f>IFERROR(VLOOKUP(L698,'Reference Data'!$A$5:$F$40,4,FALSE),"Unknown")</x:f>
        <x:v>Small Appliances</x:v>
      </x:c>
      <x:c r="P698" s="92" t="n">
        <x:f>IFERROR(VLOOKUP(L698,'Reference Data'!$A$5:$F$40,5,FALSE),0)</x:f>
        <x:v>119</x:v>
      </x:c>
      <x:c r="Q698" s="92" t="n">
        <x:f>IFERROR(VLOOKUP(L698,'Reference Data'!$A$5:$F$40,6,FALSE),0)</x:f>
        <x:v>68</x:v>
      </x:c>
      <x:c r="R698" s="84" t="n">
        <x:f>'Raw Sales'!J698</x:f>
        <x:v>2</x:v>
      </x:c>
      <x:c r="S698" s="87" t="n">
        <x:f>'Raw Sales'!K698</x:f>
        <x:v>0.15</x:v>
      </x:c>
      <x:c r="T698" s="93" t="n">
        <x:f>P698*R698</x:f>
        <x:v>238</x:v>
      </x:c>
      <x:c r="U698" s="93" t="n">
        <x:f>T698*S698</x:f>
        <x:v>35.699999999999996</x:v>
      </x:c>
      <x:c r="V698" s="93" t="str">
        <x:f>PROPER(TRIM('Raw Sales'!L698))</x:f>
        <x:v>Completed</x:v>
      </x:c>
      <x:c r="W698" s="93" t="n">
        <x:f>IF(V698="Returned",0,T698-U698)</x:f>
        <x:v>202.3</x:v>
      </x:c>
      <x:c r="X698" s="93" t="n">
        <x:f>IF(V698="Returned",Q698*R698*10%,Q698*R698)</x:f>
        <x:v>136</x:v>
      </x:c>
      <x:c r="Y698" s="93" t="n">
        <x:f>W698-X698</x:f>
        <x:v>66.30000000000001</x:v>
      </x:c>
      <x:c r="Z698" s="94" t="n">
        <x:f>IFERROR(Y698/W698,0)</x:f>
        <x:v>0.32773109243697485</x:v>
      </x:c>
      <x:c r="AA698" s="84" t="str">
        <x:f>PROPER(TRIM('Raw Sales'!M698))</x:f>
        <x:v>Credit Card</x:v>
      </x:c>
      <x:c r="AB698" s="84" t="str">
        <x:f>PROPER(TRIM('Raw Sales'!N698))</x:f>
        <x:v>Maya Brooks</x:v>
      </x:c>
      <x:c r="AC698" s="85" t="n">
        <x:f>'Raw Sales'!O698</x:f>
        <x:v>45544</x:v>
      </x:c>
      <x:c r="AD698" s="84" t="n">
        <x:f>AC698-B698</x:f>
        <x:v>0</x:v>
      </x:c>
      <x:c r="AE698" s="84" t="str">
        <x:f>IF(COUNTIF($A$5:A698,A698)&gt;1,"Duplicate","Keep")</x:f>
        <x:v>Keep</x:v>
      </x:c>
      <x:c r="AF698" s="84" t="str">
        <x:f>IF(OR(R698&lt;=0,AC698&lt;B698,H698="Unknown",M698="Unknown Product"),"Review","Valid")</x:f>
        <x:v>Valid</x:v>
      </x:c>
      <x:c r="AG698" s="84" t="n">
        <x:f>IF(AND(AE698="Keep",AF698="Valid"),1,0)</x:f>
        <x:v>1</x:v>
      </x:c>
      <x:c r="AH698" s="84" t="n">
        <x:f>IF(AND(AG698=1,OR('Dashboard'!$B$4="All",I698='Dashboard'!$B$4),OR('Dashboard'!$E$4="All",N698='Dashboard'!$E$4),OR('Dashboard'!$H$4="All",K698='Dashboard'!$H$4),OR('Dashboard'!$K$4="All",C698='Dashboard'!$K$4)),1,0)</x:f>
        <x:v>1</x:v>
      </x:c>
      <x:c r="AI698" s="84" t="n">
        <x:f>IF(AND(AG698=1,OR('Dashboard'!$B$4="All",I698='Dashboard'!$B$4),OR('Dashboard'!$E$4="All",N698='Dashboard'!$E$4),OR('Dashboard'!$H$4="All",K698='Dashboard'!$H$4)),1,0)</x:f>
        <x:v>1</x:v>
      </x:c>
    </x:row>
    <x:row r="699">
      <x:c r="A699" s="84" t="str">
        <x:f>'Raw Sales'!A699</x:f>
        <x:v>ORD-2024-00946</x:v>
      </x:c>
      <x:c r="B699" s="85" t="n">
        <x:f>'Raw Sales'!B699</x:f>
        <x:v>45545</x:v>
      </x:c>
      <x:c r="C699" s="84" t="n">
        <x:f>YEAR(B699)</x:f>
        <x:v>2024</x:v>
      </x:c>
      <x:c r="D699" s="91" t="n">
        <x:f>DATE(YEAR(B699),MONTH(B699),1)</x:f>
        <x:v>45536</x:v>
      </x:c>
      <x:c r="E699" s="84" t="str">
        <x:f>TEXT(B699,"mmm")</x:f>
        <x:v>Sep</x:v>
      </x:c>
      <x:c r="F699" s="84" t="str">
        <x:f>'Raw Sales'!C699</x:f>
        <x:v>CUST-0271</x:v>
      </x:c>
      <x:c r="G699" s="84" t="str">
        <x:f>PROPER(TRIM('Raw Sales'!D699))</x:f>
        <x:v>Jonah Nelson</x:v>
      </x:c>
      <x:c r="H699" s="84" t="str">
        <x:f>IF(TRIM('Raw Sales'!E699)="","Unknown",PROPER(TRIM('Raw Sales'!E699)))</x:f>
        <x:v>Consumer</x:v>
      </x:c>
      <x:c r="I699" s="84" t="str">
        <x:f>PROPER(TRIM('Raw Sales'!F699))</x:f>
        <x:v>Midwest</x:v>
      </x:c>
      <x:c r="J699" s="84" t="str">
        <x:f>PROPER(TRIM('Raw Sales'!G699))</x:f>
        <x:v>Detroit</x:v>
      </x:c>
      <x:c r="K699" s="84" t="str">
        <x:f>PROPER(TRIM('Raw Sales'!H699))</x:f>
        <x:v>Retail Store</x:v>
      </x:c>
      <x:c r="L699" s="84" t="str">
        <x:f>'Raw Sales'!I699</x:f>
        <x:v>OFFC-002</x:v>
      </x:c>
      <x:c r="M699" s="84" t="str">
        <x:f>IFERROR(VLOOKUP(L699,'Reference Data'!$A$5:$F$40,2,FALSE),"Unknown Product")</x:f>
        <x:v>Standing Desk</x:v>
      </x:c>
      <x:c r="N699" s="84" t="str">
        <x:f>IFERROR(VLOOKUP(L699,'Reference Data'!$A$5:$F$40,3,FALSE),"Unknown")</x:f>
        <x:v>Office</x:v>
      </x:c>
      <x:c r="O699" s="84" t="str">
        <x:f>IFERROR(VLOOKUP(L699,'Reference Data'!$A$5:$F$40,4,FALSE),"Unknown")</x:f>
        <x:v>Furniture</x:v>
      </x:c>
      <x:c r="P699" s="92" t="n">
        <x:f>IFERROR(VLOOKUP(L699,'Reference Data'!$A$5:$F$40,5,FALSE),0)</x:f>
        <x:v>399</x:v>
      </x:c>
      <x:c r="Q699" s="92" t="n">
        <x:f>IFERROR(VLOOKUP(L699,'Reference Data'!$A$5:$F$40,6,FALSE),0)</x:f>
        <x:v>235</x:v>
      </x:c>
      <x:c r="R699" s="84" t="n">
        <x:f>'Raw Sales'!J699</x:f>
        <x:v>1</x:v>
      </x:c>
      <x:c r="S699" s="87" t="n">
        <x:f>'Raw Sales'!K699</x:f>
        <x:v>0.1</x:v>
      </x:c>
      <x:c r="T699" s="93" t="n">
        <x:f>P699*R699</x:f>
        <x:v>399</x:v>
      </x:c>
      <x:c r="U699" s="93" t="n">
        <x:f>T699*S699</x:f>
        <x:v>39.900000000000006</x:v>
      </x:c>
      <x:c r="V699" s="93" t="str">
        <x:f>PROPER(TRIM('Raw Sales'!L699))</x:f>
        <x:v>Completed</x:v>
      </x:c>
      <x:c r="W699" s="93" t="n">
        <x:f>IF(V699="Returned",0,T699-U699)</x:f>
        <x:v>359.1</x:v>
      </x:c>
      <x:c r="X699" s="93" t="n">
        <x:f>IF(V699="Returned",Q699*R699*10%,Q699*R699)</x:f>
        <x:v>235</x:v>
      </x:c>
      <x:c r="Y699" s="93" t="n">
        <x:f>W699-X699</x:f>
        <x:v>124.10000000000002</x:v>
      </x:c>
      <x:c r="Z699" s="94" t="n">
        <x:f>IFERROR(Y699/W699,0)</x:f>
        <x:v>0.3455861876914509</x:v>
      </x:c>
      <x:c r="AA699" s="84" t="str">
        <x:f>PROPER(TRIM('Raw Sales'!M699))</x:f>
        <x:v>Debit Card</x:v>
      </x:c>
      <x:c r="AB699" s="84" t="str">
        <x:f>PROPER(TRIM('Raw Sales'!N699))</x:f>
        <x:v>Lucas Grant</x:v>
      </x:c>
      <x:c r="AC699" s="85" t="n">
        <x:f>'Raw Sales'!O699</x:f>
        <x:v>45545</x:v>
      </x:c>
      <x:c r="AD699" s="84" t="n">
        <x:f>AC699-B699</x:f>
        <x:v>0</x:v>
      </x:c>
      <x:c r="AE699" s="84" t="str">
        <x:f>IF(COUNTIF($A$5:A699,A699)&gt;1,"Duplicate","Keep")</x:f>
        <x:v>Keep</x:v>
      </x:c>
      <x:c r="AF699" s="84" t="str">
        <x:f>IF(OR(R699&lt;=0,AC699&lt;B699,H699="Unknown",M699="Unknown Product"),"Review","Valid")</x:f>
        <x:v>Valid</x:v>
      </x:c>
      <x:c r="AG699" s="84" t="n">
        <x:f>IF(AND(AE699="Keep",AF699="Valid"),1,0)</x:f>
        <x:v>1</x:v>
      </x:c>
      <x:c r="AH699" s="84" t="n">
        <x:f>IF(AND(AG699=1,OR('Dashboard'!$B$4="All",I699='Dashboard'!$B$4),OR('Dashboard'!$E$4="All",N699='Dashboard'!$E$4),OR('Dashboard'!$H$4="All",K699='Dashboard'!$H$4),OR('Dashboard'!$K$4="All",C699='Dashboard'!$K$4)),1,0)</x:f>
        <x:v>1</x:v>
      </x:c>
      <x:c r="AI699" s="84" t="n">
        <x:f>IF(AND(AG699=1,OR('Dashboard'!$B$4="All",I699='Dashboard'!$B$4),OR('Dashboard'!$E$4="All",N699='Dashboard'!$E$4),OR('Dashboard'!$H$4="All",K699='Dashboard'!$H$4)),1,0)</x:f>
        <x:v>1</x:v>
      </x:c>
    </x:row>
    <x:row r="700">
      <x:c r="A700" s="84" t="str">
        <x:f>'Raw Sales'!A700</x:f>
        <x:v>ORD-2024-01444</x:v>
      </x:c>
      <x:c r="B700" s="85" t="n">
        <x:f>'Raw Sales'!B700</x:f>
        <x:v>45545</x:v>
      </x:c>
      <x:c r="C700" s="84" t="n">
        <x:f>YEAR(B700)</x:f>
        <x:v>2024</x:v>
      </x:c>
      <x:c r="D700" s="91" t="n">
        <x:f>DATE(YEAR(B700),MONTH(B700),1)</x:f>
        <x:v>45536</x:v>
      </x:c>
      <x:c r="E700" s="84" t="str">
        <x:f>TEXT(B700,"mmm")</x:f>
        <x:v>Sep</x:v>
      </x:c>
      <x:c r="F700" s="84" t="str">
        <x:f>'Raw Sales'!C700</x:f>
        <x:v>CUST-0360</x:v>
      </x:c>
      <x:c r="G700" s="84" t="str">
        <x:f>PROPER(TRIM('Raw Sales'!D700))</x:f>
        <x:v>Elena Taylor</x:v>
      </x:c>
      <x:c r="H700" s="84" t="str">
        <x:f>IF(TRIM('Raw Sales'!E700)="","Unknown",PROPER(TRIM('Raw Sales'!E700)))</x:f>
        <x:v>Corporate</x:v>
      </x:c>
      <x:c r="I700" s="84" t="str">
        <x:f>PROPER(TRIM('Raw Sales'!F700))</x:f>
        <x:v>Northeast</x:v>
      </x:c>
      <x:c r="J700" s="84" t="str">
        <x:f>PROPER(TRIM('Raw Sales'!G700))</x:f>
        <x:v>New York</x:v>
      </x:c>
      <x:c r="K700" s="84" t="str">
        <x:f>PROPER(TRIM('Raw Sales'!H700))</x:f>
        <x:v>Online</x:v>
      </x:c>
      <x:c r="L700" s="84" t="str">
        <x:f>'Raw Sales'!I700</x:f>
        <x:v>FITN-005</x:v>
      </x:c>
      <x:c r="M700" s="84" t="str">
        <x:f>IFERROR(VLOOKUP(L700,'Reference Data'!$A$5:$F$40,2,FALSE),"Unknown Product")</x:f>
        <x:v>Sports Water Bottle</x:v>
      </x:c>
      <x:c r="N700" s="84" t="str">
        <x:f>IFERROR(VLOOKUP(L700,'Reference Data'!$A$5:$F$40,3,FALSE),"Unknown")</x:f>
        <x:v>Fitness</x:v>
      </x:c>
      <x:c r="O700" s="84" t="str">
        <x:f>IFERROR(VLOOKUP(L700,'Reference Data'!$A$5:$F$40,4,FALSE),"Unknown")</x:f>
        <x:v>Accessories</x:v>
      </x:c>
      <x:c r="P700" s="92" t="n">
        <x:f>IFERROR(VLOOKUP(L700,'Reference Data'!$A$5:$F$40,5,FALSE),0)</x:f>
        <x:v>22</x:v>
      </x:c>
      <x:c r="Q700" s="92" t="n">
        <x:f>IFERROR(VLOOKUP(L700,'Reference Data'!$A$5:$F$40,6,FALSE),0)</x:f>
        <x:v>7</x:v>
      </x:c>
      <x:c r="R700" s="84" t="n">
        <x:f>'Raw Sales'!J700</x:f>
        <x:v>1</x:v>
      </x:c>
      <x:c r="S700" s="87" t="n">
        <x:f>'Raw Sales'!K700</x:f>
        <x:v>0.1</x:v>
      </x:c>
      <x:c r="T700" s="93" t="n">
        <x:f>P700*R700</x:f>
        <x:v>22</x:v>
      </x:c>
      <x:c r="U700" s="93" t="n">
        <x:f>T700*S700</x:f>
        <x:v>2.2</x:v>
      </x:c>
      <x:c r="V700" s="93" t="str">
        <x:f>PROPER(TRIM('Raw Sales'!L700))</x:f>
        <x:v>Completed</x:v>
      </x:c>
      <x:c r="W700" s="93" t="n">
        <x:f>IF(V700="Returned",0,T700-U700)</x:f>
        <x:v>19.8</x:v>
      </x:c>
      <x:c r="X700" s="93" t="n">
        <x:f>IF(V700="Returned",Q700*R700*10%,Q700*R700)</x:f>
        <x:v>7</x:v>
      </x:c>
      <x:c r="Y700" s="93" t="n">
        <x:f>W700-X700</x:f>
        <x:v>12.8</x:v>
      </x:c>
      <x:c r="Z700" s="94" t="n">
        <x:f>IFERROR(Y700/W700,0)</x:f>
        <x:v>0.6464646464646465</x:v>
      </x:c>
      <x:c r="AA700" s="84" t="str">
        <x:f>PROPER(TRIM('Raw Sales'!M700))</x:f>
        <x:v>Paypal</x:v>
      </x:c>
      <x:c r="AB700" s="84" t="str">
        <x:f>PROPER(TRIM('Raw Sales'!N700))</x:f>
        <x:v>Maya Brooks</x:v>
      </x:c>
      <x:c r="AC700" s="85" t="n">
        <x:f>'Raw Sales'!O700</x:f>
        <x:v>45547</x:v>
      </x:c>
      <x:c r="AD700" s="84" t="n">
        <x:f>AC700-B700</x:f>
        <x:v>2</x:v>
      </x:c>
      <x:c r="AE700" s="84" t="str">
        <x:f>IF(COUNTIF($A$5:A700,A700)&gt;1,"Duplicate","Keep")</x:f>
        <x:v>Keep</x:v>
      </x:c>
      <x:c r="AF700" s="84" t="str">
        <x:f>IF(OR(R700&lt;=0,AC700&lt;B700,H700="Unknown",M700="Unknown Product"),"Review","Valid")</x:f>
        <x:v>Valid</x:v>
      </x:c>
      <x:c r="AG700" s="84" t="n">
        <x:f>IF(AND(AE700="Keep",AF700="Valid"),1,0)</x:f>
        <x:v>1</x:v>
      </x:c>
      <x:c r="AH700" s="84" t="n">
        <x:f>IF(AND(AG700=1,OR('Dashboard'!$B$4="All",I700='Dashboard'!$B$4),OR('Dashboard'!$E$4="All",N700='Dashboard'!$E$4),OR('Dashboard'!$H$4="All",K700='Dashboard'!$H$4),OR('Dashboard'!$K$4="All",C700='Dashboard'!$K$4)),1,0)</x:f>
        <x:v>1</x:v>
      </x:c>
      <x:c r="AI700" s="84" t="n">
        <x:f>IF(AND(AG700=1,OR('Dashboard'!$B$4="All",I700='Dashboard'!$B$4),OR('Dashboard'!$E$4="All",N700='Dashboard'!$E$4),OR('Dashboard'!$H$4="All",K700='Dashboard'!$H$4)),1,0)</x:f>
        <x:v>1</x:v>
      </x:c>
    </x:row>
    <x:row r="701">
      <x:c r="A701" s="84" t="str">
        <x:f>'Raw Sales'!A701</x:f>
        <x:v>ORD-2024-00031</x:v>
      </x:c>
      <x:c r="B701" s="85" t="n">
        <x:f>'Raw Sales'!B701</x:f>
        <x:v>45547</x:v>
      </x:c>
      <x:c r="C701" s="84" t="n">
        <x:f>YEAR(B701)</x:f>
        <x:v>2024</x:v>
      </x:c>
      <x:c r="D701" s="91" t="n">
        <x:f>DATE(YEAR(B701),MONTH(B701),1)</x:f>
        <x:v>45536</x:v>
      </x:c>
      <x:c r="E701" s="84" t="str">
        <x:f>TEXT(B701,"mmm")</x:f>
        <x:v>Sep</x:v>
      </x:c>
      <x:c r="F701" s="84" t="str">
        <x:f>'Raw Sales'!C701</x:f>
        <x:v>CUST-0124</x:v>
      </x:c>
      <x:c r="G701" s="84" t="str">
        <x:f>PROPER(TRIM('Raw Sales'!D701))</x:f>
        <x:v>Priya Lewis</x:v>
      </x:c>
      <x:c r="H701" s="84" t="str">
        <x:f>IF(TRIM('Raw Sales'!E701)="","Unknown",PROPER(TRIM('Raw Sales'!E701)))</x:f>
        <x:v>Consumer</x:v>
      </x:c>
      <x:c r="I701" s="84" t="str">
        <x:f>PROPER(TRIM('Raw Sales'!F701))</x:f>
        <x:v>Midwest</x:v>
      </x:c>
      <x:c r="J701" s="84" t="str">
        <x:f>PROPER(TRIM('Raw Sales'!G701))</x:f>
        <x:v>Chicago</x:v>
      </x:c>
      <x:c r="K701" s="84" t="str">
        <x:f>PROPER(TRIM('Raw Sales'!H701))</x:f>
        <x:v>Retail Store</x:v>
      </x:c>
      <x:c r="L701" s="84" t="str">
        <x:f>'Raw Sales'!I701</x:f>
        <x:v>HOME-005</x:v>
      </x:c>
      <x:c r="M701" s="84" t="str">
        <x:f>IFERROR(VLOOKUP(L701,'Reference Data'!$A$5:$F$40,2,FALSE),"Unknown Product")</x:f>
        <x:v>Cordless Vacuum</x:v>
      </x:c>
      <x:c r="N701" s="84" t="str">
        <x:f>IFERROR(VLOOKUP(L701,'Reference Data'!$A$5:$F$40,3,FALSE),"Unknown")</x:f>
        <x:v>Home &amp; Kitchen</x:v>
      </x:c>
      <x:c r="O701" s="84" t="str">
        <x:f>IFERROR(VLOOKUP(L701,'Reference Data'!$A$5:$F$40,4,FALSE),"Unknown")</x:f>
        <x:v>Cleaning</x:v>
      </x:c>
      <x:c r="P701" s="92" t="n">
        <x:f>IFERROR(VLOOKUP(L701,'Reference Data'!$A$5:$F$40,5,FALSE),0)</x:f>
        <x:v>179</x:v>
      </x:c>
      <x:c r="Q701" s="92" t="n">
        <x:f>IFERROR(VLOOKUP(L701,'Reference Data'!$A$5:$F$40,6,FALSE),0)</x:f>
        <x:v>102</x:v>
      </x:c>
      <x:c r="R701" s="84" t="n">
        <x:f>'Raw Sales'!J701</x:f>
        <x:v>1</x:v>
      </x:c>
      <x:c r="S701" s="87" t="n">
        <x:f>'Raw Sales'!K701</x:f>
        <x:v>0</x:v>
      </x:c>
      <x:c r="T701" s="93" t="n">
        <x:f>P701*R701</x:f>
        <x:v>179</x:v>
      </x:c>
      <x:c r="U701" s="93" t="n">
        <x:f>T701*S701</x:f>
        <x:v>0</x:v>
      </x:c>
      <x:c r="V701" s="93" t="str">
        <x:f>PROPER(TRIM('Raw Sales'!L701))</x:f>
        <x:v>Completed</x:v>
      </x:c>
      <x:c r="W701" s="93" t="n">
        <x:f>IF(V701="Returned",0,T701-U701)</x:f>
        <x:v>179</x:v>
      </x:c>
      <x:c r="X701" s="93" t="n">
        <x:f>IF(V701="Returned",Q701*R701*10%,Q701*R701)</x:f>
        <x:v>102</x:v>
      </x:c>
      <x:c r="Y701" s="93" t="n">
        <x:f>W701-X701</x:f>
        <x:v>77</x:v>
      </x:c>
      <x:c r="Z701" s="94" t="n">
        <x:f>IFERROR(Y701/W701,0)</x:f>
        <x:v>0.4301675977653631</x:v>
      </x:c>
      <x:c r="AA701" s="84" t="str">
        <x:f>PROPER(TRIM('Raw Sales'!M701))</x:f>
        <x:v>Mobile Wallet</x:v>
      </x:c>
      <x:c r="AB701" s="84" t="str">
        <x:f>PROPER(TRIM('Raw Sales'!N701))</x:f>
        <x:v>Lucas Grant</x:v>
      </x:c>
      <x:c r="AC701" s="85" t="n">
        <x:f>'Raw Sales'!O701</x:f>
        <x:v>45547</x:v>
      </x:c>
      <x:c r="AD701" s="84" t="n">
        <x:f>AC701-B701</x:f>
        <x:v>0</x:v>
      </x:c>
      <x:c r="AE701" s="84" t="str">
        <x:f>IF(COUNTIF($A$5:A701,A701)&gt;1,"Duplicate","Keep")</x:f>
        <x:v>Keep</x:v>
      </x:c>
      <x:c r="AF701" s="84" t="str">
        <x:f>IF(OR(R701&lt;=0,AC701&lt;B701,H701="Unknown",M701="Unknown Product"),"Review","Valid")</x:f>
        <x:v>Valid</x:v>
      </x:c>
      <x:c r="AG701" s="84" t="n">
        <x:f>IF(AND(AE701="Keep",AF701="Valid"),1,0)</x:f>
        <x:v>1</x:v>
      </x:c>
      <x:c r="AH701" s="84" t="n">
        <x:f>IF(AND(AG701=1,OR('Dashboard'!$B$4="All",I701='Dashboard'!$B$4),OR('Dashboard'!$E$4="All",N701='Dashboard'!$E$4),OR('Dashboard'!$H$4="All",K701='Dashboard'!$H$4),OR('Dashboard'!$K$4="All",C701='Dashboard'!$K$4)),1,0)</x:f>
        <x:v>1</x:v>
      </x:c>
      <x:c r="AI701" s="84" t="n">
        <x:f>IF(AND(AG701=1,OR('Dashboard'!$B$4="All",I701='Dashboard'!$B$4),OR('Dashboard'!$E$4="All",N701='Dashboard'!$E$4),OR('Dashboard'!$H$4="All",K701='Dashboard'!$H$4)),1,0)</x:f>
        <x:v>1</x:v>
      </x:c>
    </x:row>
    <x:row r="702">
      <x:c r="A702" s="84" t="str">
        <x:f>'Raw Sales'!A702</x:f>
        <x:v>ORD-2024-00223</x:v>
      </x:c>
      <x:c r="B702" s="85" t="n">
        <x:f>'Raw Sales'!B702</x:f>
        <x:v>45547</x:v>
      </x:c>
      <x:c r="C702" s="84" t="n">
        <x:f>YEAR(B702)</x:f>
        <x:v>2024</x:v>
      </x:c>
      <x:c r="D702" s="91" t="n">
        <x:f>DATE(YEAR(B702),MONTH(B702),1)</x:f>
        <x:v>45536</x:v>
      </x:c>
      <x:c r="E702" s="84" t="str">
        <x:f>TEXT(B702,"mmm")</x:f>
        <x:v>Sep</x:v>
      </x:c>
      <x:c r="F702" s="84" t="str">
        <x:f>'Raw Sales'!C702</x:f>
        <x:v>CUST-0555</x:v>
      </x:c>
      <x:c r="G702" s="84" t="str">
        <x:f>PROPER(TRIM('Raw Sales'!D702))</x:f>
        <x:v>Marcus Nelson</x:v>
      </x:c>
      <x:c r="H702" s="84" t="str">
        <x:f>IF(TRIM('Raw Sales'!E702)="","Unknown",PROPER(TRIM('Raw Sales'!E702)))</x:f>
        <x:v>Corporate</x:v>
      </x:c>
      <x:c r="I702" s="84" t="str">
        <x:f>PROPER(TRIM('Raw Sales'!F702))</x:f>
        <x:v>West</x:v>
      </x:c>
      <x:c r="J702" s="84" t="str">
        <x:f>PROPER(TRIM('Raw Sales'!G702))</x:f>
        <x:v>Seattle</x:v>
      </x:c>
      <x:c r="K702" s="84" t="str">
        <x:f>PROPER(TRIM('Raw Sales'!H702))</x:f>
        <x:v>Marketplace</x:v>
      </x:c>
      <x:c r="L702" s="84" t="str">
        <x:f>'Raw Sales'!I702</x:f>
        <x:v>OFFC-006</x:v>
      </x:c>
      <x:c r="M702" s="84" t="str">
        <x:f>IFERROR(VLOOKUP(L702,'Reference Data'!$A$5:$F$40,2,FALSE),"Unknown Product")</x:f>
        <x:v>Monitor Stand</x:v>
      </x:c>
      <x:c r="N702" s="84" t="str">
        <x:f>IFERROR(VLOOKUP(L702,'Reference Data'!$A$5:$F$40,3,FALSE),"Unknown")</x:f>
        <x:v>Office</x:v>
      </x:c>
      <x:c r="O702" s="84" t="str">
        <x:f>IFERROR(VLOOKUP(L702,'Reference Data'!$A$5:$F$40,4,FALSE),"Unknown")</x:f>
        <x:v>Desk Accessories</x:v>
      </x:c>
      <x:c r="P702" s="92" t="n">
        <x:f>IFERROR(VLOOKUP(L702,'Reference Data'!$A$5:$F$40,5,FALSE),0)</x:f>
        <x:v>49</x:v>
      </x:c>
      <x:c r="Q702" s="92" t="n">
        <x:f>IFERROR(VLOOKUP(L702,'Reference Data'!$A$5:$F$40,6,FALSE),0)</x:f>
        <x:v>21</x:v>
      </x:c>
      <x:c r="R702" s="84" t="n">
        <x:f>'Raw Sales'!J702</x:f>
        <x:v>6</x:v>
      </x:c>
      <x:c r="S702" s="87" t="n">
        <x:f>'Raw Sales'!K702</x:f>
        <x:v>0.1</x:v>
      </x:c>
      <x:c r="T702" s="93" t="n">
        <x:f>P702*R702</x:f>
        <x:v>294</x:v>
      </x:c>
      <x:c r="U702" s="93" t="n">
        <x:f>T702*S702</x:f>
        <x:v>29.400000000000002</x:v>
      </x:c>
      <x:c r="V702" s="93" t="str">
        <x:f>PROPER(TRIM('Raw Sales'!L702))</x:f>
        <x:v>Completed</x:v>
      </x:c>
      <x:c r="W702" s="93" t="n">
        <x:f>IF(V702="Returned",0,T702-U702)</x:f>
        <x:v>264.6</x:v>
      </x:c>
      <x:c r="X702" s="93" t="n">
        <x:f>IF(V702="Returned",Q702*R702*10%,Q702*R702)</x:f>
        <x:v>126</x:v>
      </x:c>
      <x:c r="Y702" s="93" t="n">
        <x:f>W702-X702</x:f>
        <x:v>138.60000000000002</x:v>
      </x:c>
      <x:c r="Z702" s="94" t="n">
        <x:f>IFERROR(Y702/W702,0)</x:f>
        <x:v>0.5238095238095238</x:v>
      </x:c>
      <x:c r="AA702" s="84" t="str">
        <x:f>PROPER(TRIM('Raw Sales'!M702))</x:f>
        <x:v>Mobile Wallet</x:v>
      </x:c>
      <x:c r="AB702" s="84" t="str">
        <x:f>PROPER(TRIM('Raw Sales'!N702))</x:f>
        <x:v>Nora Kim</x:v>
      </x:c>
      <x:c r="AC702" s="85" t="n">
        <x:f>'Raw Sales'!O702</x:f>
        <x:v>45552</x:v>
      </x:c>
      <x:c r="AD702" s="84" t="n">
        <x:f>AC702-B702</x:f>
        <x:v>5</x:v>
      </x:c>
      <x:c r="AE702" s="84" t="str">
        <x:f>IF(COUNTIF($A$5:A702,A702)&gt;1,"Duplicate","Keep")</x:f>
        <x:v>Keep</x:v>
      </x:c>
      <x:c r="AF702" s="84" t="str">
        <x:f>IF(OR(R702&lt;=0,AC702&lt;B702,H702="Unknown",M702="Unknown Product"),"Review","Valid")</x:f>
        <x:v>Valid</x:v>
      </x:c>
      <x:c r="AG702" s="84" t="n">
        <x:f>IF(AND(AE702="Keep",AF702="Valid"),1,0)</x:f>
        <x:v>1</x:v>
      </x:c>
      <x:c r="AH702" s="84" t="n">
        <x:f>IF(AND(AG702=1,OR('Dashboard'!$B$4="All",I702='Dashboard'!$B$4),OR('Dashboard'!$E$4="All",N702='Dashboard'!$E$4),OR('Dashboard'!$H$4="All",K702='Dashboard'!$H$4),OR('Dashboard'!$K$4="All",C702='Dashboard'!$K$4)),1,0)</x:f>
        <x:v>1</x:v>
      </x:c>
      <x:c r="AI702" s="84" t="n">
        <x:f>IF(AND(AG702=1,OR('Dashboard'!$B$4="All",I702='Dashboard'!$B$4),OR('Dashboard'!$E$4="All",N702='Dashboard'!$E$4),OR('Dashboard'!$H$4="All",K702='Dashboard'!$H$4)),1,0)</x:f>
        <x:v>1</x:v>
      </x:c>
    </x:row>
    <x:row r="703">
      <x:c r="A703" s="84" t="str">
        <x:f>'Raw Sales'!A703</x:f>
        <x:v>ORD-2024-00959</x:v>
      </x:c>
      <x:c r="B703" s="85" t="n">
        <x:f>'Raw Sales'!B703</x:f>
        <x:v>45547</x:v>
      </x:c>
      <x:c r="C703" s="84" t="n">
        <x:f>YEAR(B703)</x:f>
        <x:v>2024</x:v>
      </x:c>
      <x:c r="D703" s="91" t="n">
        <x:f>DATE(YEAR(B703),MONTH(B703),1)</x:f>
        <x:v>45536</x:v>
      </x:c>
      <x:c r="E703" s="84" t="str">
        <x:f>TEXT(B703,"mmm")</x:f>
        <x:v>Sep</x:v>
      </x:c>
      <x:c r="F703" s="84" t="str">
        <x:f>'Raw Sales'!C703</x:f>
        <x:v>CUST-0282</x:v>
      </x:c>
      <x:c r="G703" s="84" t="str">
        <x:f>PROPER(TRIM('Raw Sales'!D703))</x:f>
        <x:v>Caleb Carter</x:v>
      </x:c>
      <x:c r="H703" s="84" t="str">
        <x:f>IF(TRIM('Raw Sales'!E703)="","Unknown",PROPER(TRIM('Raw Sales'!E703)))</x:f>
        <x:v>Consumer</x:v>
      </x:c>
      <x:c r="I703" s="84" t="str">
        <x:f>PROPER(TRIM('Raw Sales'!F703))</x:f>
        <x:v>Northeast</x:v>
      </x:c>
      <x:c r="J703" s="84" t="str">
        <x:f>PROPER(TRIM('Raw Sales'!G703))</x:f>
        <x:v>Boston</x:v>
      </x:c>
      <x:c r="K703" s="84" t="str">
        <x:f>PROPER(TRIM('Raw Sales'!H703))</x:f>
        <x:v>Marketplace</x:v>
      </x:c>
      <x:c r="L703" s="84" t="str">
        <x:f>'Raw Sales'!I703</x:f>
        <x:v>HOME-001</x:v>
      </x:c>
      <x:c r="M703" s="84" t="str">
        <x:f>IFERROR(VLOOKUP(L703,'Reference Data'!$A$5:$F$40,2,FALSE),"Unknown Product")</x:f>
        <x:v>Air Fryer</x:v>
      </x:c>
      <x:c r="N703" s="84" t="str">
        <x:f>IFERROR(VLOOKUP(L703,'Reference Data'!$A$5:$F$40,3,FALSE),"Unknown")</x:f>
        <x:v>Home &amp; Kitchen</x:v>
      </x:c>
      <x:c r="O703" s="84" t="str">
        <x:f>IFERROR(VLOOKUP(L703,'Reference Data'!$A$5:$F$40,4,FALSE),"Unknown")</x:f>
        <x:v>Small Appliances</x:v>
      </x:c>
      <x:c r="P703" s="92" t="n">
        <x:f>IFERROR(VLOOKUP(L703,'Reference Data'!$A$5:$F$40,5,FALSE),0)</x:f>
        <x:v>119</x:v>
      </x:c>
      <x:c r="Q703" s="92" t="n">
        <x:f>IFERROR(VLOOKUP(L703,'Reference Data'!$A$5:$F$40,6,FALSE),0)</x:f>
        <x:v>68</x:v>
      </x:c>
      <x:c r="R703" s="84" t="n">
        <x:f>'Raw Sales'!J703</x:f>
        <x:v>3</x:v>
      </x:c>
      <x:c r="S703" s="87" t="n">
        <x:f>'Raw Sales'!K703</x:f>
        <x:v>0.15</x:v>
      </x:c>
      <x:c r="T703" s="93" t="n">
        <x:f>P703*R703</x:f>
        <x:v>357</x:v>
      </x:c>
      <x:c r="U703" s="93" t="n">
        <x:f>T703*S703</x:f>
        <x:v>53.55</x:v>
      </x:c>
      <x:c r="V703" s="93" t="str">
        <x:f>PROPER(TRIM('Raw Sales'!L703))</x:f>
        <x:v>Completed</x:v>
      </x:c>
      <x:c r="W703" s="93" t="n">
        <x:f>IF(V703="Returned",0,T703-U703)</x:f>
        <x:v>303.45</x:v>
      </x:c>
      <x:c r="X703" s="93" t="n">
        <x:f>IF(V703="Returned",Q703*R703*10%,Q703*R703)</x:f>
        <x:v>204</x:v>
      </x:c>
      <x:c r="Y703" s="93" t="n">
        <x:f>W703-X703</x:f>
        <x:v>99.44999999999999</x:v>
      </x:c>
      <x:c r="Z703" s="94" t="n">
        <x:f>IFERROR(Y703/W703,0)</x:f>
        <x:v>0.3277310924369748</x:v>
      </x:c>
      <x:c r="AA703" s="84" t="str">
        <x:f>PROPER(TRIM('Raw Sales'!M703))</x:f>
        <x:v>Credit Card</x:v>
      </x:c>
      <x:c r="AB703" s="84" t="str">
        <x:f>PROPER(TRIM('Raw Sales'!N703))</x:f>
        <x:v>Ethan Cole</x:v>
      </x:c>
      <x:c r="AC703" s="85" t="n">
        <x:f>'Raw Sales'!O703</x:f>
        <x:v>45552</x:v>
      </x:c>
      <x:c r="AD703" s="84" t="n">
        <x:f>AC703-B703</x:f>
        <x:v>5</x:v>
      </x:c>
      <x:c r="AE703" s="84" t="str">
        <x:f>IF(COUNTIF($A$5:A703,A703)&gt;1,"Duplicate","Keep")</x:f>
        <x:v>Keep</x:v>
      </x:c>
      <x:c r="AF703" s="84" t="str">
        <x:f>IF(OR(R703&lt;=0,AC703&lt;B703,H703="Unknown",M703="Unknown Product"),"Review","Valid")</x:f>
        <x:v>Valid</x:v>
      </x:c>
      <x:c r="AG703" s="84" t="n">
        <x:f>IF(AND(AE703="Keep",AF703="Valid"),1,0)</x:f>
        <x:v>1</x:v>
      </x:c>
      <x:c r="AH703" s="84" t="n">
        <x:f>IF(AND(AG703=1,OR('Dashboard'!$B$4="All",I703='Dashboard'!$B$4),OR('Dashboard'!$E$4="All",N703='Dashboard'!$E$4),OR('Dashboard'!$H$4="All",K703='Dashboard'!$H$4),OR('Dashboard'!$K$4="All",C703='Dashboard'!$K$4)),1,0)</x:f>
        <x:v>1</x:v>
      </x:c>
      <x:c r="AI703" s="84" t="n">
        <x:f>IF(AND(AG703=1,OR('Dashboard'!$B$4="All",I703='Dashboard'!$B$4),OR('Dashboard'!$E$4="All",N703='Dashboard'!$E$4),OR('Dashboard'!$H$4="All",K703='Dashboard'!$H$4)),1,0)</x:f>
        <x:v>1</x:v>
      </x:c>
    </x:row>
    <x:row r="704">
      <x:c r="A704" s="84" t="str">
        <x:f>'Raw Sales'!A704</x:f>
        <x:v>ORD-2024-01240</x:v>
      </x:c>
      <x:c r="B704" s="85" t="n">
        <x:f>'Raw Sales'!B704</x:f>
        <x:v>45547</x:v>
      </x:c>
      <x:c r="C704" s="84" t="n">
        <x:f>YEAR(B704)</x:f>
        <x:v>2024</x:v>
      </x:c>
      <x:c r="D704" s="91" t="n">
        <x:f>DATE(YEAR(B704),MONTH(B704),1)</x:f>
        <x:v>45536</x:v>
      </x:c>
      <x:c r="E704" s="84" t="str">
        <x:f>TEXT(B704,"mmm")</x:f>
        <x:v>Sep</x:v>
      </x:c>
      <x:c r="F704" s="84" t="str">
        <x:f>'Raw Sales'!C704</x:f>
        <x:v>CUST-0041</x:v>
      </x:c>
      <x:c r="G704" s="84" t="str">
        <x:f>PROPER(TRIM('Raw Sales'!D704))</x:f>
        <x:v>Isaac Evans</x:v>
      </x:c>
      <x:c r="H704" s="84" t="str">
        <x:f>IF(TRIM('Raw Sales'!E704)="","Unknown",PROPER(TRIM('Raw Sales'!E704)))</x:f>
        <x:v>Consumer</x:v>
      </x:c>
      <x:c r="I704" s="84" t="str">
        <x:f>PROPER(TRIM('Raw Sales'!F704))</x:f>
        <x:v>Midwest</x:v>
      </x:c>
      <x:c r="J704" s="84" t="str">
        <x:f>PROPER(TRIM('Raw Sales'!G704))</x:f>
        <x:v>Detroit</x:v>
      </x:c>
      <x:c r="K704" s="84" t="str">
        <x:f>PROPER(TRIM('Raw Sales'!H704))</x:f>
        <x:v>Online</x:v>
      </x:c>
      <x:c r="L704" s="84" t="str">
        <x:f>'Raw Sales'!I704</x:f>
        <x:v>CARE-005</x:v>
      </x:c>
      <x:c r="M704" s="84" t="str">
        <x:f>IFERROR(VLOOKUP(L704,'Reference Data'!$A$5:$F$40,2,FALSE),"Unknown Product")</x:f>
        <x:v>Skin Care Starter Kit</x:v>
      </x:c>
      <x:c r="N704" s="84" t="str">
        <x:f>IFERROR(VLOOKUP(L704,'Reference Data'!$A$5:$F$40,3,FALSE),"Unknown")</x:f>
        <x:v>Personal Care</x:v>
      </x:c>
      <x:c r="O704" s="84" t="str">
        <x:f>IFERROR(VLOOKUP(L704,'Reference Data'!$A$5:$F$40,4,FALSE),"Unknown")</x:f>
        <x:v>Skin Care</x:v>
      </x:c>
      <x:c r="P704" s="92" t="n">
        <x:f>IFERROR(VLOOKUP(L704,'Reference Data'!$A$5:$F$40,5,FALSE),0)</x:f>
        <x:v>58</x:v>
      </x:c>
      <x:c r="Q704" s="92" t="n">
        <x:f>IFERROR(VLOOKUP(L704,'Reference Data'!$A$5:$F$40,6,FALSE),0)</x:f>
        <x:v>24</x:v>
      </x:c>
      <x:c r="R704" s="84" t="n">
        <x:f>'Raw Sales'!J704</x:f>
        <x:v>1</x:v>
      </x:c>
      <x:c r="S704" s="87" t="n">
        <x:f>'Raw Sales'!K704</x:f>
        <x:v>0</x:v>
      </x:c>
      <x:c r="T704" s="93" t="n">
        <x:f>P704*R704</x:f>
        <x:v>58</x:v>
      </x:c>
      <x:c r="U704" s="93" t="n">
        <x:f>T704*S704</x:f>
        <x:v>0</x:v>
      </x:c>
      <x:c r="V704" s="93" t="str">
        <x:f>PROPER(TRIM('Raw Sales'!L704))</x:f>
        <x:v>Returned</x:v>
      </x:c>
      <x:c r="W704" s="93" t="n">
        <x:f>IF(V704="Returned",0,T704-U704)</x:f>
        <x:v>0</x:v>
      </x:c>
      <x:c r="X704" s="93" t="n">
        <x:f>IF(V704="Returned",Q704*R704*10%,Q704*R704)</x:f>
        <x:v>2.4000000000000004</x:v>
      </x:c>
      <x:c r="Y704" s="93" t="n">
        <x:f>W704-X704</x:f>
        <x:v>-2.4000000000000004</x:v>
      </x:c>
      <x:c r="Z704" s="94" t="n">
        <x:f>IFERROR(Y704/W704,0)</x:f>
        <x:v>0</x:v>
      </x:c>
      <x:c r="AA704" s="84" t="str">
        <x:f>PROPER(TRIM('Raw Sales'!M704))</x:f>
        <x:v>Credit Card</x:v>
      </x:c>
      <x:c r="AB704" s="84" t="str">
        <x:f>PROPER(TRIM('Raw Sales'!N704))</x:f>
        <x:v>Zoe Turner</x:v>
      </x:c>
      <x:c r="AC704" s="85" t="n">
        <x:f>'Raw Sales'!O704</x:f>
        <x:v>45553</x:v>
      </x:c>
      <x:c r="AD704" s="84" t="n">
        <x:f>AC704-B704</x:f>
        <x:v>6</x:v>
      </x:c>
      <x:c r="AE704" s="84" t="str">
        <x:f>IF(COUNTIF($A$5:A704,A704)&gt;1,"Duplicate","Keep")</x:f>
        <x:v>Keep</x:v>
      </x:c>
      <x:c r="AF704" s="84" t="str">
        <x:f>IF(OR(R704&lt;=0,AC704&lt;B704,H704="Unknown",M704="Unknown Product"),"Review","Valid")</x:f>
        <x:v>Valid</x:v>
      </x:c>
      <x:c r="AG704" s="84" t="n">
        <x:f>IF(AND(AE704="Keep",AF704="Valid"),1,0)</x:f>
        <x:v>1</x:v>
      </x:c>
      <x:c r="AH704" s="84" t="n">
        <x:f>IF(AND(AG704=1,OR('Dashboard'!$B$4="All",I704='Dashboard'!$B$4),OR('Dashboard'!$E$4="All",N704='Dashboard'!$E$4),OR('Dashboard'!$H$4="All",K704='Dashboard'!$H$4),OR('Dashboard'!$K$4="All",C704='Dashboard'!$K$4)),1,0)</x:f>
        <x:v>1</x:v>
      </x:c>
      <x:c r="AI704" s="84" t="n">
        <x:f>IF(AND(AG704=1,OR('Dashboard'!$B$4="All",I704='Dashboard'!$B$4),OR('Dashboard'!$E$4="All",N704='Dashboard'!$E$4),OR('Dashboard'!$H$4="All",K704='Dashboard'!$H$4)),1,0)</x:f>
        <x:v>1</x:v>
      </x:c>
    </x:row>
    <x:row r="705">
      <x:c r="A705" s="84" t="str">
        <x:f>'Raw Sales'!A705</x:f>
        <x:v>ORD-2024-01306</x:v>
      </x:c>
      <x:c r="B705" s="85" t="n">
        <x:f>'Raw Sales'!B705</x:f>
        <x:v>45547</x:v>
      </x:c>
      <x:c r="C705" s="84" t="n">
        <x:f>YEAR(B705)</x:f>
        <x:v>2024</x:v>
      </x:c>
      <x:c r="D705" s="91" t="n">
        <x:f>DATE(YEAR(B705),MONTH(B705),1)</x:f>
        <x:v>45536</x:v>
      </x:c>
      <x:c r="E705" s="84" t="str">
        <x:f>TEXT(B705,"mmm")</x:f>
        <x:v>Sep</x:v>
      </x:c>
      <x:c r="F705" s="84" t="str">
        <x:f>'Raw Sales'!C705</x:f>
        <x:v>CUST-0205</x:v>
      </x:c>
      <x:c r="G705" s="84" t="str">
        <x:f>PROPER(TRIM('Raw Sales'!D705))</x:f>
        <x:v>Elena Young</x:v>
      </x:c>
      <x:c r="H705" s="84" t="str">
        <x:f>IF(TRIM('Raw Sales'!E705)="","Unknown",PROPER(TRIM('Raw Sales'!E705)))</x:f>
        <x:v>Corporate</x:v>
      </x:c>
      <x:c r="I705" s="84" t="str">
        <x:f>PROPER(TRIM('Raw Sales'!F705))</x:f>
        <x:v>West</x:v>
      </x:c>
      <x:c r="J705" s="84" t="str">
        <x:f>PROPER(TRIM('Raw Sales'!G705))</x:f>
        <x:v>Denver</x:v>
      </x:c>
      <x:c r="K705" s="84" t="str">
        <x:f>PROPER(TRIM('Raw Sales'!H705))</x:f>
        <x:v>Online</x:v>
      </x:c>
      <x:c r="L705" s="84" t="str">
        <x:f>'Raw Sales'!I705</x:f>
        <x:v>ACCS-001</x:v>
      </x:c>
      <x:c r="M705" s="84" t="str">
        <x:f>IFERROR(VLOOKUP(L705,'Reference Data'!$A$5:$F$40,2,FALSE),"Unknown Product")</x:f>
        <x:v>Canvas Tote Bag</x:v>
      </x:c>
      <x:c r="N705" s="84" t="str">
        <x:f>IFERROR(VLOOKUP(L705,'Reference Data'!$A$5:$F$40,3,FALSE),"Unknown")</x:f>
        <x:v>Accessories</x:v>
      </x:c>
      <x:c r="O705" s="84" t="str">
        <x:f>IFERROR(VLOOKUP(L705,'Reference Data'!$A$5:$F$40,4,FALSE),"Unknown")</x:f>
        <x:v>Bags</x:v>
      </x:c>
      <x:c r="P705" s="92" t="n">
        <x:f>IFERROR(VLOOKUP(L705,'Reference Data'!$A$5:$F$40,5,FALSE),0)</x:f>
        <x:v>39</x:v>
      </x:c>
      <x:c r="Q705" s="92" t="n">
        <x:f>IFERROR(VLOOKUP(L705,'Reference Data'!$A$5:$F$40,6,FALSE),0)</x:f>
        <x:v>14</x:v>
      </x:c>
      <x:c r="R705" s="84" t="n">
        <x:f>'Raw Sales'!J705</x:f>
        <x:v>8</x:v>
      </x:c>
      <x:c r="S705" s="87" t="n">
        <x:f>'Raw Sales'!K705</x:f>
        <x:v>0.15</x:v>
      </x:c>
      <x:c r="T705" s="93" t="n">
        <x:f>P705*R705</x:f>
        <x:v>312</x:v>
      </x:c>
      <x:c r="U705" s="93" t="n">
        <x:f>T705*S705</x:f>
        <x:v>46.8</x:v>
      </x:c>
      <x:c r="V705" s="93" t="str">
        <x:f>PROPER(TRIM('Raw Sales'!L705))</x:f>
        <x:v>Completed</x:v>
      </x:c>
      <x:c r="W705" s="93" t="n">
        <x:f>IF(V705="Returned",0,T705-U705)</x:f>
        <x:v>265.2</x:v>
      </x:c>
      <x:c r="X705" s="93" t="n">
        <x:f>IF(V705="Returned",Q705*R705*10%,Q705*R705)</x:f>
        <x:v>112</x:v>
      </x:c>
      <x:c r="Y705" s="93" t="n">
        <x:f>W705-X705</x:f>
        <x:v>153.2</x:v>
      </x:c>
      <x:c r="Z705" s="94" t="n">
        <x:f>IFERROR(Y705/W705,0)</x:f>
        <x:v>0.5776772247360482</x:v>
      </x:c>
      <x:c r="AA705" s="84" t="str">
        <x:f>PROPER(TRIM('Raw Sales'!M705))</x:f>
        <x:v>Credit Card</x:v>
      </x:c>
      <x:c r="AB705" s="84" t="str">
        <x:f>PROPER(TRIM('Raw Sales'!N705))</x:f>
        <x:v>Mia Chen</x:v>
      </x:c>
      <x:c r="AC705" s="85" t="n">
        <x:f>'Raw Sales'!O705</x:f>
        <x:v>45553</x:v>
      </x:c>
      <x:c r="AD705" s="84" t="n">
        <x:f>AC705-B705</x:f>
        <x:v>6</x:v>
      </x:c>
      <x:c r="AE705" s="84" t="str">
        <x:f>IF(COUNTIF($A$5:A705,A705)&gt;1,"Duplicate","Keep")</x:f>
        <x:v>Keep</x:v>
      </x:c>
      <x:c r="AF705" s="84" t="str">
        <x:f>IF(OR(R705&lt;=0,AC705&lt;B705,H705="Unknown",M705="Unknown Product"),"Review","Valid")</x:f>
        <x:v>Valid</x:v>
      </x:c>
      <x:c r="AG705" s="84" t="n">
        <x:f>IF(AND(AE705="Keep",AF705="Valid"),1,0)</x:f>
        <x:v>1</x:v>
      </x:c>
      <x:c r="AH705" s="84" t="n">
        <x:f>IF(AND(AG705=1,OR('Dashboard'!$B$4="All",I705='Dashboard'!$B$4),OR('Dashboard'!$E$4="All",N705='Dashboard'!$E$4),OR('Dashboard'!$H$4="All",K705='Dashboard'!$H$4),OR('Dashboard'!$K$4="All",C705='Dashboard'!$K$4)),1,0)</x:f>
        <x:v>1</x:v>
      </x:c>
      <x:c r="AI705" s="84" t="n">
        <x:f>IF(AND(AG705=1,OR('Dashboard'!$B$4="All",I705='Dashboard'!$B$4),OR('Dashboard'!$E$4="All",N705='Dashboard'!$E$4),OR('Dashboard'!$H$4="All",K705='Dashboard'!$H$4)),1,0)</x:f>
        <x:v>1</x:v>
      </x:c>
    </x:row>
    <x:row r="706">
      <x:c r="A706" s="84" t="str">
        <x:f>'Raw Sales'!A706</x:f>
        <x:v>ORD-2024-01715</x:v>
      </x:c>
      <x:c r="B706" s="85" t="n">
        <x:f>'Raw Sales'!B706</x:f>
        <x:v>45547</x:v>
      </x:c>
      <x:c r="C706" s="84" t="n">
        <x:f>YEAR(B706)</x:f>
        <x:v>2024</x:v>
      </x:c>
      <x:c r="D706" s="91" t="n">
        <x:f>DATE(YEAR(B706),MONTH(B706),1)</x:f>
        <x:v>45536</x:v>
      </x:c>
      <x:c r="E706" s="84" t="str">
        <x:f>TEXT(B706,"mmm")</x:f>
        <x:v>Sep</x:v>
      </x:c>
      <x:c r="F706" s="84" t="str">
        <x:f>'Raw Sales'!C706</x:f>
        <x:v>CUST-0318</x:v>
      </x:c>
      <x:c r="G706" s="84" t="str">
        <x:f>PROPER(TRIM('Raw Sales'!D706))</x:f>
        <x:v>Theo Baker</x:v>
      </x:c>
      <x:c r="H706" s="84" t="str">
        <x:f>IF(TRIM('Raw Sales'!E706)="","Unknown",PROPER(TRIM('Raw Sales'!E706)))</x:f>
        <x:v>Consumer</x:v>
      </x:c>
      <x:c r="I706" s="84" t="str">
        <x:f>PROPER(TRIM('Raw Sales'!F706))</x:f>
        <x:v>Midwest</x:v>
      </x:c>
      <x:c r="J706" s="84" t="str">
        <x:f>PROPER(TRIM('Raw Sales'!G706))</x:f>
        <x:v>Detroit</x:v>
      </x:c>
      <x:c r="K706" s="84" t="str">
        <x:f>PROPER(TRIM('Raw Sales'!H706))</x:f>
        <x:v>Online</x:v>
      </x:c>
      <x:c r="L706" s="84" t="str">
        <x:f>'Raw Sales'!I706</x:f>
        <x:v>OFFC-002</x:v>
      </x:c>
      <x:c r="M706" s="84" t="str">
        <x:f>IFERROR(VLOOKUP(L706,'Reference Data'!$A$5:$F$40,2,FALSE),"Unknown Product")</x:f>
        <x:v>Standing Desk</x:v>
      </x:c>
      <x:c r="N706" s="84" t="str">
        <x:f>IFERROR(VLOOKUP(L706,'Reference Data'!$A$5:$F$40,3,FALSE),"Unknown")</x:f>
        <x:v>Office</x:v>
      </x:c>
      <x:c r="O706" s="84" t="str">
        <x:f>IFERROR(VLOOKUP(L706,'Reference Data'!$A$5:$F$40,4,FALSE),"Unknown")</x:f>
        <x:v>Furniture</x:v>
      </x:c>
      <x:c r="P706" s="92" t="n">
        <x:f>IFERROR(VLOOKUP(L706,'Reference Data'!$A$5:$F$40,5,FALSE),0)</x:f>
        <x:v>399</x:v>
      </x:c>
      <x:c r="Q706" s="92" t="n">
        <x:f>IFERROR(VLOOKUP(L706,'Reference Data'!$A$5:$F$40,6,FALSE),0)</x:f>
        <x:v>235</x:v>
      </x:c>
      <x:c r="R706" s="84" t="n">
        <x:f>'Raw Sales'!J706</x:f>
        <x:v>1</x:v>
      </x:c>
      <x:c r="S706" s="87" t="n">
        <x:f>'Raw Sales'!K706</x:f>
        <x:v>0</x:v>
      </x:c>
      <x:c r="T706" s="93" t="n">
        <x:f>P706*R706</x:f>
        <x:v>399</x:v>
      </x:c>
      <x:c r="U706" s="93" t="n">
        <x:f>T706*S706</x:f>
        <x:v>0</x:v>
      </x:c>
      <x:c r="V706" s="93" t="str">
        <x:f>PROPER(TRIM('Raw Sales'!L706))</x:f>
        <x:v>Completed</x:v>
      </x:c>
      <x:c r="W706" s="93" t="n">
        <x:f>IF(V706="Returned",0,T706-U706)</x:f>
        <x:v>399</x:v>
      </x:c>
      <x:c r="X706" s="93" t="n">
        <x:f>IF(V706="Returned",Q706*R706*10%,Q706*R706)</x:f>
        <x:v>235</x:v>
      </x:c>
      <x:c r="Y706" s="93" t="n">
        <x:f>W706-X706</x:f>
        <x:v>164</x:v>
      </x:c>
      <x:c r="Z706" s="94" t="n">
        <x:f>IFERROR(Y706/W706,0)</x:f>
        <x:v>0.41102756892230574</x:v>
      </x:c>
      <x:c r="AA706" s="84" t="str">
        <x:f>PROPER(TRIM('Raw Sales'!M706))</x:f>
        <x:v>Credit Card</x:v>
      </x:c>
      <x:c r="AB706" s="84" t="str">
        <x:f>PROPER(TRIM('Raw Sales'!N706))</x:f>
        <x:v>Lucas Grant</x:v>
      </x:c>
      <x:c r="AC706" s="85" t="n">
        <x:f>'Raw Sales'!O706</x:f>
        <x:v>45551</x:v>
      </x:c>
      <x:c r="AD706" s="84" t="n">
        <x:f>AC706-B706</x:f>
        <x:v>4</x:v>
      </x:c>
      <x:c r="AE706" s="84" t="str">
        <x:f>IF(COUNTIF($A$5:A706,A706)&gt;1,"Duplicate","Keep")</x:f>
        <x:v>Keep</x:v>
      </x:c>
      <x:c r="AF706" s="84" t="str">
        <x:f>IF(OR(R706&lt;=0,AC706&lt;B706,H706="Unknown",M706="Unknown Product"),"Review","Valid")</x:f>
        <x:v>Valid</x:v>
      </x:c>
      <x:c r="AG706" s="84" t="n">
        <x:f>IF(AND(AE706="Keep",AF706="Valid"),1,0)</x:f>
        <x:v>1</x:v>
      </x:c>
      <x:c r="AH706" s="84" t="n">
        <x:f>IF(AND(AG706=1,OR('Dashboard'!$B$4="All",I706='Dashboard'!$B$4),OR('Dashboard'!$E$4="All",N706='Dashboard'!$E$4),OR('Dashboard'!$H$4="All",K706='Dashboard'!$H$4),OR('Dashboard'!$K$4="All",C706='Dashboard'!$K$4)),1,0)</x:f>
        <x:v>1</x:v>
      </x:c>
      <x:c r="AI706" s="84" t="n">
        <x:f>IF(AND(AG706=1,OR('Dashboard'!$B$4="All",I706='Dashboard'!$B$4),OR('Dashboard'!$E$4="All",N706='Dashboard'!$E$4),OR('Dashboard'!$H$4="All",K706='Dashboard'!$H$4)),1,0)</x:f>
        <x:v>1</x:v>
      </x:c>
    </x:row>
    <x:row r="707">
      <x:c r="A707" s="84" t="str">
        <x:f>'Raw Sales'!A707</x:f>
        <x:v>ORD-2024-00240</x:v>
      </x:c>
      <x:c r="B707" s="85" t="n">
        <x:f>'Raw Sales'!B707</x:f>
        <x:v>45548</x:v>
      </x:c>
      <x:c r="C707" s="84" t="n">
        <x:f>YEAR(B707)</x:f>
        <x:v>2024</x:v>
      </x:c>
      <x:c r="D707" s="91" t="n">
        <x:f>DATE(YEAR(B707),MONTH(B707),1)</x:f>
        <x:v>45536</x:v>
      </x:c>
      <x:c r="E707" s="84" t="str">
        <x:f>TEXT(B707,"mmm")</x:f>
        <x:v>Sep</x:v>
      </x:c>
      <x:c r="F707" s="84" t="str">
        <x:f>'Raw Sales'!C707</x:f>
        <x:v>CUST-0500</x:v>
      </x:c>
      <x:c r="G707" s="84" t="str">
        <x:f>PROPER(TRIM('Raw Sales'!D707))</x:f>
        <x:v>Sara Baker</x:v>
      </x:c>
      <x:c r="H707" s="84" t="str">
        <x:f>IF(TRIM('Raw Sales'!E707)="","Unknown",PROPER(TRIM('Raw Sales'!E707)))</x:f>
        <x:v>Consumer</x:v>
      </x:c>
      <x:c r="I707" s="84" t="str">
        <x:f>PROPER(TRIM('Raw Sales'!F707))</x:f>
        <x:v>Midwest</x:v>
      </x:c>
      <x:c r="J707" s="84" t="str">
        <x:f>PROPER(TRIM('Raw Sales'!G707))</x:f>
        <x:v>Minneapolis</x:v>
      </x:c>
      <x:c r="K707" s="84" t="str">
        <x:f>PROPER(TRIM('Raw Sales'!H707))</x:f>
        <x:v>Online</x:v>
      </x:c>
      <x:c r="L707" s="84" t="str">
        <x:f>'Raw Sales'!I707</x:f>
        <x:v>FITN-001</x:v>
      </x:c>
      <x:c r="M707" s="84" t="str">
        <x:f>IFERROR(VLOOKUP(L707,'Reference Data'!$A$5:$F$40,2,FALSE),"Unknown Product")</x:f>
        <x:v>Yoga Mat</x:v>
      </x:c>
      <x:c r="N707" s="84" t="str">
        <x:f>IFERROR(VLOOKUP(L707,'Reference Data'!$A$5:$F$40,3,FALSE),"Unknown")</x:f>
        <x:v>Fitness</x:v>
      </x:c>
      <x:c r="O707" s="84" t="str">
        <x:f>IFERROR(VLOOKUP(L707,'Reference Data'!$A$5:$F$40,4,FALSE),"Unknown")</x:f>
        <x:v>Yoga</x:v>
      </x:c>
      <x:c r="P707" s="92" t="n">
        <x:f>IFERROR(VLOOKUP(L707,'Reference Data'!$A$5:$F$40,5,FALSE),0)</x:f>
        <x:v>35</x:v>
      </x:c>
      <x:c r="Q707" s="92" t="n">
        <x:f>IFERROR(VLOOKUP(L707,'Reference Data'!$A$5:$F$40,6,FALSE),0)</x:f>
        <x:v>13</x:v>
      </x:c>
      <x:c r="R707" s="84" t="n">
        <x:f>'Raw Sales'!J707</x:f>
        <x:v>1</x:v>
      </x:c>
      <x:c r="S707" s="87" t="n">
        <x:f>'Raw Sales'!K707</x:f>
        <x:v>0.15</x:v>
      </x:c>
      <x:c r="T707" s="93" t="n">
        <x:f>P707*R707</x:f>
        <x:v>35</x:v>
      </x:c>
      <x:c r="U707" s="93" t="n">
        <x:f>T707*S707</x:f>
        <x:v>5.25</x:v>
      </x:c>
      <x:c r="V707" s="93" t="str">
        <x:f>PROPER(TRIM('Raw Sales'!L707))</x:f>
        <x:v>Completed</x:v>
      </x:c>
      <x:c r="W707" s="93" t="n">
        <x:f>IF(V707="Returned",0,T707-U707)</x:f>
        <x:v>29.75</x:v>
      </x:c>
      <x:c r="X707" s="93" t="n">
        <x:f>IF(V707="Returned",Q707*R707*10%,Q707*R707)</x:f>
        <x:v>13</x:v>
      </x:c>
      <x:c r="Y707" s="93" t="n">
        <x:f>W707-X707</x:f>
        <x:v>16.75</x:v>
      </x:c>
      <x:c r="Z707" s="94" t="n">
        <x:f>IFERROR(Y707/W707,0)</x:f>
        <x:v>0.5630252100840336</x:v>
      </x:c>
      <x:c r="AA707" s="84" t="str">
        <x:f>PROPER(TRIM('Raw Sales'!M707))</x:f>
        <x:v>Credit Card</x:v>
      </x:c>
      <x:c r="AB707" s="84" t="str">
        <x:f>PROPER(TRIM('Raw Sales'!N707))</x:f>
        <x:v>Emma Hayes</x:v>
      </x:c>
      <x:c r="AC707" s="85" t="n">
        <x:f>'Raw Sales'!O707</x:f>
        <x:v>45553</x:v>
      </x:c>
      <x:c r="AD707" s="84" t="n">
        <x:f>AC707-B707</x:f>
        <x:v>5</x:v>
      </x:c>
      <x:c r="AE707" s="84" t="str">
        <x:f>IF(COUNTIF($A$5:A707,A707)&gt;1,"Duplicate","Keep")</x:f>
        <x:v>Keep</x:v>
      </x:c>
      <x:c r="AF707" s="84" t="str">
        <x:f>IF(OR(R707&lt;=0,AC707&lt;B707,H707="Unknown",M707="Unknown Product"),"Review","Valid")</x:f>
        <x:v>Valid</x:v>
      </x:c>
      <x:c r="AG707" s="84" t="n">
        <x:f>IF(AND(AE707="Keep",AF707="Valid"),1,0)</x:f>
        <x:v>1</x:v>
      </x:c>
      <x:c r="AH707" s="84" t="n">
        <x:f>IF(AND(AG707=1,OR('Dashboard'!$B$4="All",I707='Dashboard'!$B$4),OR('Dashboard'!$E$4="All",N707='Dashboard'!$E$4),OR('Dashboard'!$H$4="All",K707='Dashboard'!$H$4),OR('Dashboard'!$K$4="All",C707='Dashboard'!$K$4)),1,0)</x:f>
        <x:v>1</x:v>
      </x:c>
      <x:c r="AI707" s="84" t="n">
        <x:f>IF(AND(AG707=1,OR('Dashboard'!$B$4="All",I707='Dashboard'!$B$4),OR('Dashboard'!$E$4="All",N707='Dashboard'!$E$4),OR('Dashboard'!$H$4="All",K707='Dashboard'!$H$4)),1,0)</x:f>
        <x:v>1</x:v>
      </x:c>
    </x:row>
    <x:row r="708">
      <x:c r="A708" s="84" t="str">
        <x:f>'Raw Sales'!A708</x:f>
        <x:v>ORD-2024-00720</x:v>
      </x:c>
      <x:c r="B708" s="85" t="n">
        <x:f>'Raw Sales'!B708</x:f>
        <x:v>45548</x:v>
      </x:c>
      <x:c r="C708" s="84" t="n">
        <x:f>YEAR(B708)</x:f>
        <x:v>2024</x:v>
      </x:c>
      <x:c r="D708" s="91" t="n">
        <x:f>DATE(YEAR(B708),MONTH(B708),1)</x:f>
        <x:v>45536</x:v>
      </x:c>
      <x:c r="E708" s="84" t="str">
        <x:f>TEXT(B708,"mmm")</x:f>
        <x:v>Sep</x:v>
      </x:c>
      <x:c r="F708" s="84" t="str">
        <x:f>'Raw Sales'!C708</x:f>
        <x:v>CUST-0109</x:v>
      </x:c>
      <x:c r="G708" s="84" t="str">
        <x:f>PROPER(TRIM('Raw Sales'!D708))</x:f>
        <x:v>Maya Evans</x:v>
      </x:c>
      <x:c r="H708" s="84" t="str">
        <x:f>IF(TRIM('Raw Sales'!E708)="","Unknown",PROPER(TRIM('Raw Sales'!E708)))</x:f>
        <x:v>Consumer</x:v>
      </x:c>
      <x:c r="I708" s="84" t="str">
        <x:f>PROPER(TRIM('Raw Sales'!F708))</x:f>
        <x:v>West</x:v>
      </x:c>
      <x:c r="J708" s="84" t="str">
        <x:f>PROPER(TRIM('Raw Sales'!G708))</x:f>
        <x:v>Seattle</x:v>
      </x:c>
      <x:c r="K708" s="84" t="str">
        <x:f>PROPER(TRIM('Raw Sales'!H708))</x:f>
        <x:v>Online</x:v>
      </x:c>
      <x:c r="L708" s="84" t="str">
        <x:f>'Raw Sales'!I708</x:f>
        <x:v>FITN-003</x:v>
      </x:c>
      <x:c r="M708" s="84" t="str">
        <x:f>IFERROR(VLOOKUP(L708,'Reference Data'!$A$5:$F$40,2,FALSE),"Unknown Product")</x:f>
        <x:v>Resistance Band Set</x:v>
      </x:c>
      <x:c r="N708" s="84" t="str">
        <x:f>IFERROR(VLOOKUP(L708,'Reference Data'!$A$5:$F$40,3,FALSE),"Unknown")</x:f>
        <x:v>Fitness</x:v>
      </x:c>
      <x:c r="O708" s="84" t="str">
        <x:f>IFERROR(VLOOKUP(L708,'Reference Data'!$A$5:$F$40,4,FALSE),"Unknown")</x:f>
        <x:v>Strength</x:v>
      </x:c>
      <x:c r="P708" s="92" t="n">
        <x:f>IFERROR(VLOOKUP(L708,'Reference Data'!$A$5:$F$40,5,FALSE),0)</x:f>
        <x:v>24</x:v>
      </x:c>
      <x:c r="Q708" s="92" t="n">
        <x:f>IFERROR(VLOOKUP(L708,'Reference Data'!$A$5:$F$40,6,FALSE),0)</x:f>
        <x:v>8</x:v>
      </x:c>
      <x:c r="R708" s="84" t="n">
        <x:f>'Raw Sales'!J708</x:f>
        <x:v>1</x:v>
      </x:c>
      <x:c r="S708" s="87" t="n">
        <x:f>'Raw Sales'!K708</x:f>
        <x:v>0.1</x:v>
      </x:c>
      <x:c r="T708" s="93" t="n">
        <x:f>P708*R708</x:f>
        <x:v>24</x:v>
      </x:c>
      <x:c r="U708" s="93" t="n">
        <x:f>T708*S708</x:f>
        <x:v>2.4000000000000004</x:v>
      </x:c>
      <x:c r="V708" s="93" t="str">
        <x:f>PROPER(TRIM('Raw Sales'!L708))</x:f>
        <x:v>Completed</x:v>
      </x:c>
      <x:c r="W708" s="93" t="n">
        <x:f>IF(V708="Returned",0,T708-U708)</x:f>
        <x:v>21.6</x:v>
      </x:c>
      <x:c r="X708" s="93" t="n">
        <x:f>IF(V708="Returned",Q708*R708*10%,Q708*R708)</x:f>
        <x:v>8</x:v>
      </x:c>
      <x:c r="Y708" s="93" t="n">
        <x:f>W708-X708</x:f>
        <x:v>13.600000000000001</x:v>
      </x:c>
      <x:c r="Z708" s="94" t="n">
        <x:f>IFERROR(Y708/W708,0)</x:f>
        <x:v>0.6296296296296297</x:v>
      </x:c>
      <x:c r="AA708" s="84" t="str">
        <x:f>PROPER(TRIM('Raw Sales'!M708))</x:f>
        <x:v>Credit Card</x:v>
      </x:c>
      <x:c r="AB708" s="84" t="str">
        <x:f>PROPER(TRIM('Raw Sales'!N708))</x:f>
        <x:v>Nora Kim</x:v>
      </x:c>
      <x:c r="AC708" s="85" t="n">
        <x:f>'Raw Sales'!O708</x:f>
        <x:v>45551</x:v>
      </x:c>
      <x:c r="AD708" s="84" t="n">
        <x:f>AC708-B708</x:f>
        <x:v>3</x:v>
      </x:c>
      <x:c r="AE708" s="84" t="str">
        <x:f>IF(COUNTIF($A$5:A708,A708)&gt;1,"Duplicate","Keep")</x:f>
        <x:v>Keep</x:v>
      </x:c>
      <x:c r="AF708" s="84" t="str">
        <x:f>IF(OR(R708&lt;=0,AC708&lt;B708,H708="Unknown",M708="Unknown Product"),"Review","Valid")</x:f>
        <x:v>Valid</x:v>
      </x:c>
      <x:c r="AG708" s="84" t="n">
        <x:f>IF(AND(AE708="Keep",AF708="Valid"),1,0)</x:f>
        <x:v>1</x:v>
      </x:c>
      <x:c r="AH708" s="84" t="n">
        <x:f>IF(AND(AG708=1,OR('Dashboard'!$B$4="All",I708='Dashboard'!$B$4),OR('Dashboard'!$E$4="All",N708='Dashboard'!$E$4),OR('Dashboard'!$H$4="All",K708='Dashboard'!$H$4),OR('Dashboard'!$K$4="All",C708='Dashboard'!$K$4)),1,0)</x:f>
        <x:v>1</x:v>
      </x:c>
      <x:c r="AI708" s="84" t="n">
        <x:f>IF(AND(AG708=1,OR('Dashboard'!$B$4="All",I708='Dashboard'!$B$4),OR('Dashboard'!$E$4="All",N708='Dashboard'!$E$4),OR('Dashboard'!$H$4="All",K708='Dashboard'!$H$4)),1,0)</x:f>
        <x:v>1</x:v>
      </x:c>
    </x:row>
    <x:row r="709">
      <x:c r="A709" s="84" t="str">
        <x:f>'Raw Sales'!A709</x:f>
        <x:v>ORD-2024-01119</x:v>
      </x:c>
      <x:c r="B709" s="85" t="n">
        <x:f>'Raw Sales'!B709</x:f>
        <x:v>45548</x:v>
      </x:c>
      <x:c r="C709" s="84" t="n">
        <x:f>YEAR(B709)</x:f>
        <x:v>2024</x:v>
      </x:c>
      <x:c r="D709" s="91" t="n">
        <x:f>DATE(YEAR(B709),MONTH(B709),1)</x:f>
        <x:v>45536</x:v>
      </x:c>
      <x:c r="E709" s="84" t="str">
        <x:f>TEXT(B709,"mmm")</x:f>
        <x:v>Sep</x:v>
      </x:c>
      <x:c r="F709" s="84" t="str">
        <x:f>'Raw Sales'!C709</x:f>
        <x:v>CUST-0387</x:v>
      </x:c>
      <x:c r="G709" s="84" t="str">
        <x:f>PROPER(TRIM('Raw Sales'!D709))</x:f>
        <x:v>Samuel Evans</x:v>
      </x:c>
      <x:c r="H709" s="84" t="str">
        <x:f>IF(TRIM('Raw Sales'!E709)="","Unknown",PROPER(TRIM('Raw Sales'!E709)))</x:f>
        <x:v>Small Business</x:v>
      </x:c>
      <x:c r="I709" s="84" t="str">
        <x:f>PROPER(TRIM('Raw Sales'!F709))</x:f>
        <x:v>West</x:v>
      </x:c>
      <x:c r="J709" s="84" t="str">
        <x:f>PROPER(TRIM('Raw Sales'!G709))</x:f>
        <x:v>Denver</x:v>
      </x:c>
      <x:c r="K709" s="84" t="str">
        <x:f>PROPER(TRIM('Raw Sales'!H709))</x:f>
        <x:v>Online</x:v>
      </x:c>
      <x:c r="L709" s="84" t="str">
        <x:f>'Raw Sales'!I709</x:f>
        <x:v>OFFC-002</x:v>
      </x:c>
      <x:c r="M709" s="84" t="str">
        <x:f>IFERROR(VLOOKUP(L709,'Reference Data'!$A$5:$F$40,2,FALSE),"Unknown Product")</x:f>
        <x:v>Standing Desk</x:v>
      </x:c>
      <x:c r="N709" s="84" t="str">
        <x:f>IFERROR(VLOOKUP(L709,'Reference Data'!$A$5:$F$40,3,FALSE),"Unknown")</x:f>
        <x:v>Office</x:v>
      </x:c>
      <x:c r="O709" s="84" t="str">
        <x:f>IFERROR(VLOOKUP(L709,'Reference Data'!$A$5:$F$40,4,FALSE),"Unknown")</x:f>
        <x:v>Furniture</x:v>
      </x:c>
      <x:c r="P709" s="92" t="n">
        <x:f>IFERROR(VLOOKUP(L709,'Reference Data'!$A$5:$F$40,5,FALSE),0)</x:f>
        <x:v>399</x:v>
      </x:c>
      <x:c r="Q709" s="92" t="n">
        <x:f>IFERROR(VLOOKUP(L709,'Reference Data'!$A$5:$F$40,6,FALSE),0)</x:f>
        <x:v>235</x:v>
      </x:c>
      <x:c r="R709" s="84" t="n">
        <x:f>'Raw Sales'!J709</x:f>
        <x:v>1</x:v>
      </x:c>
      <x:c r="S709" s="87" t="n">
        <x:f>'Raw Sales'!K709</x:f>
        <x:v>0</x:v>
      </x:c>
      <x:c r="T709" s="93" t="n">
        <x:f>P709*R709</x:f>
        <x:v>399</x:v>
      </x:c>
      <x:c r="U709" s="93" t="n">
        <x:f>T709*S709</x:f>
        <x:v>0</x:v>
      </x:c>
      <x:c r="V709" s="93" t="str">
        <x:f>PROPER(TRIM('Raw Sales'!L709))</x:f>
        <x:v>Completed</x:v>
      </x:c>
      <x:c r="W709" s="93" t="n">
        <x:f>IF(V709="Returned",0,T709-U709)</x:f>
        <x:v>399</x:v>
      </x:c>
      <x:c r="X709" s="93" t="n">
        <x:f>IF(V709="Returned",Q709*R709*10%,Q709*R709)</x:f>
        <x:v>235</x:v>
      </x:c>
      <x:c r="Y709" s="93" t="n">
        <x:f>W709-X709</x:f>
        <x:v>164</x:v>
      </x:c>
      <x:c r="Z709" s="94" t="n">
        <x:f>IFERROR(Y709/W709,0)</x:f>
        <x:v>0.41102756892230574</x:v>
      </x:c>
      <x:c r="AA709" s="84" t="str">
        <x:f>PROPER(TRIM('Raw Sales'!M709))</x:f>
        <x:v>Mobile Wallet</x:v>
      </x:c>
      <x:c r="AB709" s="84" t="str">
        <x:f>PROPER(TRIM('Raw Sales'!N709))</x:f>
        <x:v>Leo Martinez</x:v>
      </x:c>
      <x:c r="AC709" s="85" t="n">
        <x:f>'Raw Sales'!O709</x:f>
        <x:v>45551</x:v>
      </x:c>
      <x:c r="AD709" s="84" t="n">
        <x:f>AC709-B709</x:f>
        <x:v>3</x:v>
      </x:c>
      <x:c r="AE709" s="84" t="str">
        <x:f>IF(COUNTIF($A$5:A709,A709)&gt;1,"Duplicate","Keep")</x:f>
        <x:v>Keep</x:v>
      </x:c>
      <x:c r="AF709" s="84" t="str">
        <x:f>IF(OR(R709&lt;=0,AC709&lt;B709,H709="Unknown",M709="Unknown Product"),"Review","Valid")</x:f>
        <x:v>Valid</x:v>
      </x:c>
      <x:c r="AG709" s="84" t="n">
        <x:f>IF(AND(AE709="Keep",AF709="Valid"),1,0)</x:f>
        <x:v>1</x:v>
      </x:c>
      <x:c r="AH709" s="84" t="n">
        <x:f>IF(AND(AG709=1,OR('Dashboard'!$B$4="All",I709='Dashboard'!$B$4),OR('Dashboard'!$E$4="All",N709='Dashboard'!$E$4),OR('Dashboard'!$H$4="All",K709='Dashboard'!$H$4),OR('Dashboard'!$K$4="All",C709='Dashboard'!$K$4)),1,0)</x:f>
        <x:v>1</x:v>
      </x:c>
      <x:c r="AI709" s="84" t="n">
        <x:f>IF(AND(AG709=1,OR('Dashboard'!$B$4="All",I709='Dashboard'!$B$4),OR('Dashboard'!$E$4="All",N709='Dashboard'!$E$4),OR('Dashboard'!$H$4="All",K709='Dashboard'!$H$4)),1,0)</x:f>
        <x:v>1</x:v>
      </x:c>
    </x:row>
    <x:row r="710">
      <x:c r="A710" s="84" t="str">
        <x:f>'Raw Sales'!A710</x:f>
        <x:v>ORD-2024-01410</x:v>
      </x:c>
      <x:c r="B710" s="85" t="n">
        <x:f>'Raw Sales'!B710</x:f>
        <x:v>45548</x:v>
      </x:c>
      <x:c r="C710" s="84" t="n">
        <x:f>YEAR(B710)</x:f>
        <x:v>2024</x:v>
      </x:c>
      <x:c r="D710" s="91" t="n">
        <x:f>DATE(YEAR(B710),MONTH(B710),1)</x:f>
        <x:v>45536</x:v>
      </x:c>
      <x:c r="E710" s="84" t="str">
        <x:f>TEXT(B710,"mmm")</x:f>
        <x:v>Sep</x:v>
      </x:c>
      <x:c r="F710" s="84" t="str">
        <x:f>'Raw Sales'!C710</x:f>
        <x:v>CUST-0534</x:v>
      </x:c>
      <x:c r="G710" s="84" t="str">
        <x:f>PROPER(TRIM('Raw Sales'!D710))</x:f>
        <x:v>Chloe Evans</x:v>
      </x:c>
      <x:c r="H710" s="84" t="str">
        <x:f>IF(TRIM('Raw Sales'!E710)="","Unknown",PROPER(TRIM('Raw Sales'!E710)))</x:f>
        <x:v>Corporate</x:v>
      </x:c>
      <x:c r="I710" s="84" t="str">
        <x:f>PROPER(TRIM('Raw Sales'!F710))</x:f>
        <x:v>West</x:v>
      </x:c>
      <x:c r="J710" s="84" t="str">
        <x:f>PROPER(TRIM('Raw Sales'!G710))</x:f>
        <x:v>Phoenix</x:v>
      </x:c>
      <x:c r="K710" s="84" t="str">
        <x:f>PROPER(TRIM('Raw Sales'!H710))</x:f>
        <x:v>Retail Store</x:v>
      </x:c>
      <x:c r="L710" s="84" t="str">
        <x:f>'Raw Sales'!I710</x:f>
        <x:v>CARE-004</x:v>
      </x:c>
      <x:c r="M710" s="84" t="str">
        <x:f>IFERROR(VLOOKUP(L710,'Reference Data'!$A$5:$F$40,2,FALSE),"Unknown Product")</x:f>
        <x:v>Electric Toothbrush</x:v>
      </x:c>
      <x:c r="N710" s="84" t="str">
        <x:f>IFERROR(VLOOKUP(L710,'Reference Data'!$A$5:$F$40,3,FALSE),"Unknown")</x:f>
        <x:v>Personal Care</x:v>
      </x:c>
      <x:c r="O710" s="84" t="str">
        <x:f>IFERROR(VLOOKUP(L710,'Reference Data'!$A$5:$F$40,4,FALSE),"Unknown")</x:f>
        <x:v>Oral Care</x:v>
      </x:c>
      <x:c r="P710" s="92" t="n">
        <x:f>IFERROR(VLOOKUP(L710,'Reference Data'!$A$5:$F$40,5,FALSE),0)</x:f>
        <x:v>69</x:v>
      </x:c>
      <x:c r="Q710" s="92" t="n">
        <x:f>IFERROR(VLOOKUP(L710,'Reference Data'!$A$5:$F$40,6,FALSE),0)</x:f>
        <x:v>31</x:v>
      </x:c>
      <x:c r="R710" s="84" t="n">
        <x:f>'Raw Sales'!J710</x:f>
        <x:v>4</x:v>
      </x:c>
      <x:c r="S710" s="87" t="n">
        <x:f>'Raw Sales'!K710</x:f>
        <x:v>0.15</x:v>
      </x:c>
      <x:c r="T710" s="93" t="n">
        <x:f>P710*R710</x:f>
        <x:v>276</x:v>
      </x:c>
      <x:c r="U710" s="93" t="n">
        <x:f>T710*S710</x:f>
        <x:v>41.4</x:v>
      </x:c>
      <x:c r="V710" s="93" t="str">
        <x:f>PROPER(TRIM('Raw Sales'!L710))</x:f>
        <x:v>Completed</x:v>
      </x:c>
      <x:c r="W710" s="93" t="n">
        <x:f>IF(V710="Returned",0,T710-U710)</x:f>
        <x:v>234.6</x:v>
      </x:c>
      <x:c r="X710" s="93" t="n">
        <x:f>IF(V710="Returned",Q710*R710*10%,Q710*R710)</x:f>
        <x:v>124</x:v>
      </x:c>
      <x:c r="Y710" s="93" t="n">
        <x:f>W710-X710</x:f>
        <x:v>110.6</x:v>
      </x:c>
      <x:c r="Z710" s="94" t="n">
        <x:f>IFERROR(Y710/W710,0)</x:f>
        <x:v>0.4714407502131287</x:v>
      </x:c>
      <x:c r="AA710" s="84" t="str">
        <x:f>PROPER(TRIM('Raw Sales'!M710))</x:f>
        <x:v>Credit Card</x:v>
      </x:c>
      <x:c r="AB710" s="84" t="str">
        <x:f>PROPER(TRIM('Raw Sales'!N710))</x:f>
        <x:v>Leo Martinez</x:v>
      </x:c>
      <x:c r="AC710" s="85" t="n">
        <x:f>'Raw Sales'!O710</x:f>
        <x:v>45548</x:v>
      </x:c>
      <x:c r="AD710" s="84" t="n">
        <x:f>AC710-B710</x:f>
        <x:v>0</x:v>
      </x:c>
      <x:c r="AE710" s="84" t="str">
        <x:f>IF(COUNTIF($A$5:A710,A710)&gt;1,"Duplicate","Keep")</x:f>
        <x:v>Keep</x:v>
      </x:c>
      <x:c r="AF710" s="84" t="str">
        <x:f>IF(OR(R710&lt;=0,AC710&lt;B710,H710="Unknown",M710="Unknown Product"),"Review","Valid")</x:f>
        <x:v>Valid</x:v>
      </x:c>
      <x:c r="AG710" s="84" t="n">
        <x:f>IF(AND(AE710="Keep",AF710="Valid"),1,0)</x:f>
        <x:v>1</x:v>
      </x:c>
      <x:c r="AH710" s="84" t="n">
        <x:f>IF(AND(AG710=1,OR('Dashboard'!$B$4="All",I710='Dashboard'!$B$4),OR('Dashboard'!$E$4="All",N710='Dashboard'!$E$4),OR('Dashboard'!$H$4="All",K710='Dashboard'!$H$4),OR('Dashboard'!$K$4="All",C710='Dashboard'!$K$4)),1,0)</x:f>
        <x:v>1</x:v>
      </x:c>
      <x:c r="AI710" s="84" t="n">
        <x:f>IF(AND(AG710=1,OR('Dashboard'!$B$4="All",I710='Dashboard'!$B$4),OR('Dashboard'!$E$4="All",N710='Dashboard'!$E$4),OR('Dashboard'!$H$4="All",K710='Dashboard'!$H$4)),1,0)</x:f>
        <x:v>1</x:v>
      </x:c>
    </x:row>
    <x:row r="711">
      <x:c r="A711" s="84" t="str">
        <x:f>'Raw Sales'!A711</x:f>
        <x:v>ORD-2024-02181</x:v>
      </x:c>
      <x:c r="B711" s="85" t="n">
        <x:f>'Raw Sales'!B711</x:f>
        <x:v>45548</x:v>
      </x:c>
      <x:c r="C711" s="84" t="n">
        <x:f>YEAR(B711)</x:f>
        <x:v>2024</x:v>
      </x:c>
      <x:c r="D711" s="91" t="n">
        <x:f>DATE(YEAR(B711),MONTH(B711),1)</x:f>
        <x:v>45536</x:v>
      </x:c>
      <x:c r="E711" s="84" t="str">
        <x:f>TEXT(B711,"mmm")</x:f>
        <x:v>Sep</x:v>
      </x:c>
      <x:c r="F711" s="84" t="str">
        <x:f>'Raw Sales'!C711</x:f>
        <x:v>CUST-0060</x:v>
      </x:c>
      <x:c r="G711" s="84" t="str">
        <x:f>PROPER(TRIM('Raw Sales'!D711))</x:f>
        <x:v>Amelia Roberts</x:v>
      </x:c>
      <x:c r="H711" s="84" t="str">
        <x:f>IF(TRIM('Raw Sales'!E711)="","Unknown",PROPER(TRIM('Raw Sales'!E711)))</x:f>
        <x:v>Corporate</x:v>
      </x:c>
      <x:c r="I711" s="84" t="str">
        <x:f>PROPER(TRIM('Raw Sales'!F711))</x:f>
        <x:v>Midwest</x:v>
      </x:c>
      <x:c r="J711" s="84" t="str">
        <x:f>PROPER(TRIM('Raw Sales'!G711))</x:f>
        <x:v>Chicago</x:v>
      </x:c>
      <x:c r="K711" s="84" t="str">
        <x:f>PROPER(TRIM('Raw Sales'!H711))</x:f>
        <x:v>Retail Store</x:v>
      </x:c>
      <x:c r="L711" s="84" t="str">
        <x:f>'Raw Sales'!I711</x:f>
        <x:v>OFFC-003</x:v>
      </x:c>
      <x:c r="M711" s="84" t="str">
        <x:f>IFERROR(VLOOKUP(L711,'Reference Data'!$A$5:$F$40,2,FALSE),"Unknown Product")</x:f>
        <x:v>LED Desk Lamp</x:v>
      </x:c>
      <x:c r="N711" s="84" t="str">
        <x:f>IFERROR(VLOOKUP(L711,'Reference Data'!$A$5:$F$40,3,FALSE),"Unknown")</x:f>
        <x:v>Office</x:v>
      </x:c>
      <x:c r="O711" s="84" t="str">
        <x:f>IFERROR(VLOOKUP(L711,'Reference Data'!$A$5:$F$40,4,FALSE),"Unknown")</x:f>
        <x:v>Desk Accessories</x:v>
      </x:c>
      <x:c r="P711" s="92" t="n">
        <x:f>IFERROR(VLOOKUP(L711,'Reference Data'!$A$5:$F$40,5,FALSE),0)</x:f>
        <x:v>45</x:v>
      </x:c>
      <x:c r="Q711" s="92" t="n">
        <x:f>IFERROR(VLOOKUP(L711,'Reference Data'!$A$5:$F$40,6,FALSE),0)</x:f>
        <x:v>20</x:v>
      </x:c>
      <x:c r="R711" s="84" t="n">
        <x:f>'Raw Sales'!J711</x:f>
        <x:v>2</x:v>
      </x:c>
      <x:c r="S711" s="87" t="n">
        <x:f>'Raw Sales'!K711</x:f>
        <x:v>0</x:v>
      </x:c>
      <x:c r="T711" s="93" t="n">
        <x:f>P711*R711</x:f>
        <x:v>90</x:v>
      </x:c>
      <x:c r="U711" s="93" t="n">
        <x:f>T711*S711</x:f>
        <x:v>0</x:v>
      </x:c>
      <x:c r="V711" s="93" t="str">
        <x:f>PROPER(TRIM('Raw Sales'!L711))</x:f>
        <x:v>Completed</x:v>
      </x:c>
      <x:c r="W711" s="93" t="n">
        <x:f>IF(V711="Returned",0,T711-U711)</x:f>
        <x:v>90</x:v>
      </x:c>
      <x:c r="X711" s="93" t="n">
        <x:f>IF(V711="Returned",Q711*R711*10%,Q711*R711)</x:f>
        <x:v>40</x:v>
      </x:c>
      <x:c r="Y711" s="93" t="n">
        <x:f>W711-X711</x:f>
        <x:v>50</x:v>
      </x:c>
      <x:c r="Z711" s="94" t="n">
        <x:f>IFERROR(Y711/W711,0)</x:f>
        <x:v>0.5555555555555556</x:v>
      </x:c>
      <x:c r="AA711" s="84" t="str">
        <x:f>PROPER(TRIM('Raw Sales'!M711))</x:f>
        <x:v>Credit Card</x:v>
      </x:c>
      <x:c r="AB711" s="84" t="str">
        <x:f>PROPER(TRIM('Raw Sales'!N711))</x:f>
        <x:v>Emma Hayes</x:v>
      </x:c>
      <x:c r="AC711" s="85" t="n">
        <x:f>'Raw Sales'!O711</x:f>
        <x:v>45549</x:v>
      </x:c>
      <x:c r="AD711" s="84" t="n">
        <x:f>AC711-B711</x:f>
        <x:v>1</x:v>
      </x:c>
      <x:c r="AE711" s="84" t="str">
        <x:f>IF(COUNTIF($A$5:A711,A711)&gt;1,"Duplicate","Keep")</x:f>
        <x:v>Keep</x:v>
      </x:c>
      <x:c r="AF711" s="84" t="str">
        <x:f>IF(OR(R711&lt;=0,AC711&lt;B711,H711="Unknown",M711="Unknown Product"),"Review","Valid")</x:f>
        <x:v>Valid</x:v>
      </x:c>
      <x:c r="AG711" s="84" t="n">
        <x:f>IF(AND(AE711="Keep",AF711="Valid"),1,0)</x:f>
        <x:v>1</x:v>
      </x:c>
      <x:c r="AH711" s="84" t="n">
        <x:f>IF(AND(AG711=1,OR('Dashboard'!$B$4="All",I711='Dashboard'!$B$4),OR('Dashboard'!$E$4="All",N711='Dashboard'!$E$4),OR('Dashboard'!$H$4="All",K711='Dashboard'!$H$4),OR('Dashboard'!$K$4="All",C711='Dashboard'!$K$4)),1,0)</x:f>
        <x:v>1</x:v>
      </x:c>
      <x:c r="AI711" s="84" t="n">
        <x:f>IF(AND(AG711=1,OR('Dashboard'!$B$4="All",I711='Dashboard'!$B$4),OR('Dashboard'!$E$4="All",N711='Dashboard'!$E$4),OR('Dashboard'!$H$4="All",K711='Dashboard'!$H$4)),1,0)</x:f>
        <x:v>1</x:v>
      </x:c>
    </x:row>
    <x:row r="712">
      <x:c r="A712" s="84" t="str">
        <x:f>'Raw Sales'!A712</x:f>
        <x:v>ORD-2024-00578</x:v>
      </x:c>
      <x:c r="B712" s="85" t="n">
        <x:f>'Raw Sales'!B712</x:f>
        <x:v>45549</x:v>
      </x:c>
      <x:c r="C712" s="84" t="n">
        <x:f>YEAR(B712)</x:f>
        <x:v>2024</x:v>
      </x:c>
      <x:c r="D712" s="91" t="n">
        <x:f>DATE(YEAR(B712),MONTH(B712),1)</x:f>
        <x:v>45536</x:v>
      </x:c>
      <x:c r="E712" s="84" t="str">
        <x:f>TEXT(B712,"mmm")</x:f>
        <x:v>Sep</x:v>
      </x:c>
      <x:c r="F712" s="84" t="str">
        <x:f>'Raw Sales'!C712</x:f>
        <x:v>CUST-0397</x:v>
      </x:c>
      <x:c r="G712" s="84" t="str">
        <x:f>PROPER(TRIM('Raw Sales'!D712))</x:f>
        <x:v>Amelia Baker</x:v>
      </x:c>
      <x:c r="H712" s="84" t="str">
        <x:f>IF(TRIM('Raw Sales'!E712)="","Unknown",PROPER(TRIM('Raw Sales'!E712)))</x:f>
        <x:v>Corporate</x:v>
      </x:c>
      <x:c r="I712" s="84" t="str">
        <x:f>PROPER(TRIM('Raw Sales'!F712))</x:f>
        <x:v>Northeast</x:v>
      </x:c>
      <x:c r="J712" s="84" t="str">
        <x:f>PROPER(TRIM('Raw Sales'!G712))</x:f>
        <x:v>Newark</x:v>
      </x:c>
      <x:c r="K712" s="84" t="str">
        <x:f>PROPER(TRIM('Raw Sales'!H712))</x:f>
        <x:v>Retail Store</x:v>
      </x:c>
      <x:c r="L712" s="84" t="str">
        <x:f>'Raw Sales'!I712</x:f>
        <x:v>CARE-003</x:v>
      </x:c>
      <x:c r="M712" s="84" t="str">
        <x:f>IFERROR(VLOOKUP(L712,'Reference Data'!$A$5:$F$40,2,FALSE),"Unknown Product")</x:f>
        <x:v>Facial Cleanser</x:v>
      </x:c>
      <x:c r="N712" s="84" t="str">
        <x:f>IFERROR(VLOOKUP(L712,'Reference Data'!$A$5:$F$40,3,FALSE),"Unknown")</x:f>
        <x:v>Personal Care</x:v>
      </x:c>
      <x:c r="O712" s="84" t="str">
        <x:f>IFERROR(VLOOKUP(L712,'Reference Data'!$A$5:$F$40,4,FALSE),"Unknown")</x:f>
        <x:v>Skin Care</x:v>
      </x:c>
      <x:c r="P712" s="92" t="n">
        <x:f>IFERROR(VLOOKUP(L712,'Reference Data'!$A$5:$F$40,5,FALSE),0)</x:f>
        <x:v>18</x:v>
      </x:c>
      <x:c r="Q712" s="92" t="n">
        <x:f>IFERROR(VLOOKUP(L712,'Reference Data'!$A$5:$F$40,6,FALSE),0)</x:f>
        <x:v>6</x:v>
      </x:c>
      <x:c r="R712" s="84" t="n">
        <x:f>'Raw Sales'!J712</x:f>
        <x:v>2</x:v>
      </x:c>
      <x:c r="S712" s="87" t="n">
        <x:f>'Raw Sales'!K712</x:f>
        <x:v>0</x:v>
      </x:c>
      <x:c r="T712" s="93" t="n">
        <x:f>P712*R712</x:f>
        <x:v>36</x:v>
      </x:c>
      <x:c r="U712" s="93" t="n">
        <x:f>T712*S712</x:f>
        <x:v>0</x:v>
      </x:c>
      <x:c r="V712" s="93" t="str">
        <x:f>PROPER(TRIM('Raw Sales'!L712))</x:f>
        <x:v>Completed</x:v>
      </x:c>
      <x:c r="W712" s="93" t="n">
        <x:f>IF(V712="Returned",0,T712-U712)</x:f>
        <x:v>36</x:v>
      </x:c>
      <x:c r="X712" s="93" t="n">
        <x:f>IF(V712="Returned",Q712*R712*10%,Q712*R712)</x:f>
        <x:v>12</x:v>
      </x:c>
      <x:c r="Y712" s="93" t="n">
        <x:f>W712-X712</x:f>
        <x:v>24</x:v>
      </x:c>
      <x:c r="Z712" s="94" t="n">
        <x:f>IFERROR(Y712/W712,0)</x:f>
        <x:v>0.6666666666666666</x:v>
      </x:c>
      <x:c r="AA712" s="84" t="str">
        <x:f>PROPER(TRIM('Raw Sales'!M712))</x:f>
        <x:v>Cash</x:v>
      </x:c>
      <x:c r="AB712" s="84" t="str">
        <x:f>PROPER(TRIM('Raw Sales'!N712))</x:f>
        <x:v>Maya Brooks</x:v>
      </x:c>
      <x:c r="AC712" s="85" t="n">
        <x:f>'Raw Sales'!O712</x:f>
        <x:v>45549</x:v>
      </x:c>
      <x:c r="AD712" s="84" t="n">
        <x:f>AC712-B712</x:f>
        <x:v>0</x:v>
      </x:c>
      <x:c r="AE712" s="84" t="str">
        <x:f>IF(COUNTIF($A$5:A712,A712)&gt;1,"Duplicate","Keep")</x:f>
        <x:v>Keep</x:v>
      </x:c>
      <x:c r="AF712" s="84" t="str">
        <x:f>IF(OR(R712&lt;=0,AC712&lt;B712,H712="Unknown",M712="Unknown Product"),"Review","Valid")</x:f>
        <x:v>Valid</x:v>
      </x:c>
      <x:c r="AG712" s="84" t="n">
        <x:f>IF(AND(AE712="Keep",AF712="Valid"),1,0)</x:f>
        <x:v>1</x:v>
      </x:c>
      <x:c r="AH712" s="84" t="n">
        <x:f>IF(AND(AG712=1,OR('Dashboard'!$B$4="All",I712='Dashboard'!$B$4),OR('Dashboard'!$E$4="All",N712='Dashboard'!$E$4),OR('Dashboard'!$H$4="All",K712='Dashboard'!$H$4),OR('Dashboard'!$K$4="All",C712='Dashboard'!$K$4)),1,0)</x:f>
        <x:v>1</x:v>
      </x:c>
      <x:c r="AI712" s="84" t="n">
        <x:f>IF(AND(AG712=1,OR('Dashboard'!$B$4="All",I712='Dashboard'!$B$4),OR('Dashboard'!$E$4="All",N712='Dashboard'!$E$4),OR('Dashboard'!$H$4="All",K712='Dashboard'!$H$4)),1,0)</x:f>
        <x:v>1</x:v>
      </x:c>
    </x:row>
    <x:row r="713">
      <x:c r="A713" s="84" t="str">
        <x:f>'Raw Sales'!A713</x:f>
        <x:v>ORD-2024-01232</x:v>
      </x:c>
      <x:c r="B713" s="85" t="n">
        <x:f>'Raw Sales'!B713</x:f>
        <x:v>45549</x:v>
      </x:c>
      <x:c r="C713" s="84" t="n">
        <x:f>YEAR(B713)</x:f>
        <x:v>2024</x:v>
      </x:c>
      <x:c r="D713" s="91" t="n">
        <x:f>DATE(YEAR(B713),MONTH(B713),1)</x:f>
        <x:v>45536</x:v>
      </x:c>
      <x:c r="E713" s="84" t="str">
        <x:f>TEXT(B713,"mmm")</x:f>
        <x:v>Sep</x:v>
      </x:c>
      <x:c r="F713" s="84" t="str">
        <x:f>'Raw Sales'!C713</x:f>
        <x:v>CUST-0201</x:v>
      </x:c>
      <x:c r="G713" s="84" t="str">
        <x:f>PROPER(TRIM('Raw Sales'!D713))</x:f>
        <x:v>Chloe Evans</x:v>
      </x:c>
      <x:c r="H713" s="84" t="str">
        <x:f>IF(TRIM('Raw Sales'!E713)="","Unknown",PROPER(TRIM('Raw Sales'!E713)))</x:f>
        <x:v>Corporate</x:v>
      </x:c>
      <x:c r="I713" s="84" t="str">
        <x:f>PROPER(TRIM('Raw Sales'!F713))</x:f>
        <x:v>Southeast</x:v>
      </x:c>
      <x:c r="J713" s="84" t="str">
        <x:f>PROPER(TRIM('Raw Sales'!G713))</x:f>
        <x:v>Atlanta</x:v>
      </x:c>
      <x:c r="K713" s="84" t="str">
        <x:f>PROPER(TRIM('Raw Sales'!H713))</x:f>
        <x:v>Retail Store</x:v>
      </x:c>
      <x:c r="L713" s="84" t="str">
        <x:f>'Raw Sales'!I713</x:f>
        <x:v>ELEC-003</x:v>
      </x:c>
      <x:c r="M713" s="84" t="str">
        <x:f>IFERROR(VLOOKUP(L713,'Reference Data'!$A$5:$F$40,2,FALSE),"Unknown Product")</x:f>
        <x:v>Bluetooth Speaker</x:v>
      </x:c>
      <x:c r="N713" s="84" t="str">
        <x:f>IFERROR(VLOOKUP(L713,'Reference Data'!$A$5:$F$40,3,FALSE),"Unknown")</x:f>
        <x:v>Electronics</x:v>
      </x:c>
      <x:c r="O713" s="84" t="str">
        <x:f>IFERROR(VLOOKUP(L713,'Reference Data'!$A$5:$F$40,4,FALSE),"Unknown")</x:f>
        <x:v>Audio</x:v>
      </x:c>
      <x:c r="P713" s="92" t="n">
        <x:f>IFERROR(VLOOKUP(L713,'Reference Data'!$A$5:$F$40,5,FALSE),0)</x:f>
        <x:v>89</x:v>
      </x:c>
      <x:c r="Q713" s="92" t="n">
        <x:f>IFERROR(VLOOKUP(L713,'Reference Data'!$A$5:$F$40,6,FALSE),0)</x:f>
        <x:v>44</x:v>
      </x:c>
      <x:c r="R713" s="84" t="n">
        <x:f>'Raw Sales'!J713</x:f>
        <x:v>2</x:v>
      </x:c>
      <x:c r="S713" s="87" t="n">
        <x:f>'Raw Sales'!K713</x:f>
        <x:v>0.15</x:v>
      </x:c>
      <x:c r="T713" s="93" t="n">
        <x:f>P713*R713</x:f>
        <x:v>178</x:v>
      </x:c>
      <x:c r="U713" s="93" t="n">
        <x:f>T713*S713</x:f>
        <x:v>26.7</x:v>
      </x:c>
      <x:c r="V713" s="93" t="str">
        <x:f>PROPER(TRIM('Raw Sales'!L713))</x:f>
        <x:v>Completed</x:v>
      </x:c>
      <x:c r="W713" s="93" t="n">
        <x:f>IF(V713="Returned",0,T713-U713)</x:f>
        <x:v>151.3</x:v>
      </x:c>
      <x:c r="X713" s="93" t="n">
        <x:f>IF(V713="Returned",Q713*R713*10%,Q713*R713)</x:f>
        <x:v>88</x:v>
      </x:c>
      <x:c r="Y713" s="93" t="n">
        <x:f>W713-X713</x:f>
        <x:v>63.30000000000001</x:v>
      </x:c>
      <x:c r="Z713" s="94" t="n">
        <x:f>IFERROR(Y713/W713,0)</x:f>
        <x:v>0.4183740912095176</x:v>
      </x:c>
      <x:c r="AA713" s="84" t="str">
        <x:f>PROPER(TRIM('Raw Sales'!M713))</x:f>
        <x:v>Credit Card</x:v>
      </x:c>
      <x:c r="AB713" s="84" t="str">
        <x:f>PROPER(TRIM('Raw Sales'!N713))</x:f>
        <x:v>Ava Mitchell</x:v>
      </x:c>
      <x:c r="AC713" s="85" t="n">
        <x:f>'Raw Sales'!O713</x:f>
        <x:v>45550</x:v>
      </x:c>
      <x:c r="AD713" s="84" t="n">
        <x:f>AC713-B713</x:f>
        <x:v>1</x:v>
      </x:c>
      <x:c r="AE713" s="84" t="str">
        <x:f>IF(COUNTIF($A$5:A713,A713)&gt;1,"Duplicate","Keep")</x:f>
        <x:v>Keep</x:v>
      </x:c>
      <x:c r="AF713" s="84" t="str">
        <x:f>IF(OR(R713&lt;=0,AC713&lt;B713,H713="Unknown",M713="Unknown Product"),"Review","Valid")</x:f>
        <x:v>Valid</x:v>
      </x:c>
      <x:c r="AG713" s="84" t="n">
        <x:f>IF(AND(AE713="Keep",AF713="Valid"),1,0)</x:f>
        <x:v>1</x:v>
      </x:c>
      <x:c r="AH713" s="84" t="n">
        <x:f>IF(AND(AG713=1,OR('Dashboard'!$B$4="All",I713='Dashboard'!$B$4),OR('Dashboard'!$E$4="All",N713='Dashboard'!$E$4),OR('Dashboard'!$H$4="All",K713='Dashboard'!$H$4),OR('Dashboard'!$K$4="All",C713='Dashboard'!$K$4)),1,0)</x:f>
        <x:v>1</x:v>
      </x:c>
      <x:c r="AI713" s="84" t="n">
        <x:f>IF(AND(AG713=1,OR('Dashboard'!$B$4="All",I713='Dashboard'!$B$4),OR('Dashboard'!$E$4="All",N713='Dashboard'!$E$4),OR('Dashboard'!$H$4="All",K713='Dashboard'!$H$4)),1,0)</x:f>
        <x:v>1</x:v>
      </x:c>
    </x:row>
    <x:row r="714">
      <x:c r="A714" s="84" t="str">
        <x:f>'Raw Sales'!A714</x:f>
        <x:v>ORD-2024-01513</x:v>
      </x:c>
      <x:c r="B714" s="85" t="n">
        <x:f>'Raw Sales'!B714</x:f>
        <x:v>45549</x:v>
      </x:c>
      <x:c r="C714" s="84" t="n">
        <x:f>YEAR(B714)</x:f>
        <x:v>2024</x:v>
      </x:c>
      <x:c r="D714" s="91" t="n">
        <x:f>DATE(YEAR(B714),MONTH(B714),1)</x:f>
        <x:v>45536</x:v>
      </x:c>
      <x:c r="E714" s="84" t="str">
        <x:f>TEXT(B714,"mmm")</x:f>
        <x:v>Sep</x:v>
      </x:c>
      <x:c r="F714" s="84" t="str">
        <x:f>'Raw Sales'!C714</x:f>
        <x:v>CUST-0409</x:v>
      </x:c>
      <x:c r="G714" s="84" t="str">
        <x:f>PROPER(TRIM('Raw Sales'!D714))</x:f>
        <x:v>Owen Ortiz</x:v>
      </x:c>
      <x:c r="H714" s="84" t="str">
        <x:f>IF(TRIM('Raw Sales'!E714)="","Unknown",PROPER(TRIM('Raw Sales'!E714)))</x:f>
        <x:v>Consumer</x:v>
      </x:c>
      <x:c r="I714" s="84" t="str">
        <x:f>PROPER(TRIM('Raw Sales'!F714))</x:f>
        <x:v>West</x:v>
      </x:c>
      <x:c r="J714" s="84" t="str">
        <x:f>PROPER(TRIM('Raw Sales'!G714))</x:f>
        <x:v>Los Angeles</x:v>
      </x:c>
      <x:c r="K714" s="84" t="str">
        <x:f>PROPER(TRIM('Raw Sales'!H714))</x:f>
        <x:v>Marketplace</x:v>
      </x:c>
      <x:c r="L714" s="84" t="str">
        <x:f>'Raw Sales'!I714</x:f>
        <x:v>CARE-005</x:v>
      </x:c>
      <x:c r="M714" s="84" t="str">
        <x:f>IFERROR(VLOOKUP(L714,'Reference Data'!$A$5:$F$40,2,FALSE),"Unknown Product")</x:f>
        <x:v>Skin Care Starter Kit</x:v>
      </x:c>
      <x:c r="N714" s="84" t="str">
        <x:f>IFERROR(VLOOKUP(L714,'Reference Data'!$A$5:$F$40,3,FALSE),"Unknown")</x:f>
        <x:v>Personal Care</x:v>
      </x:c>
      <x:c r="O714" s="84" t="str">
        <x:f>IFERROR(VLOOKUP(L714,'Reference Data'!$A$5:$F$40,4,FALSE),"Unknown")</x:f>
        <x:v>Skin Care</x:v>
      </x:c>
      <x:c r="P714" s="92" t="n">
        <x:f>IFERROR(VLOOKUP(L714,'Reference Data'!$A$5:$F$40,5,FALSE),0)</x:f>
        <x:v>58</x:v>
      </x:c>
      <x:c r="Q714" s="92" t="n">
        <x:f>IFERROR(VLOOKUP(L714,'Reference Data'!$A$5:$F$40,6,FALSE),0)</x:f>
        <x:v>24</x:v>
      </x:c>
      <x:c r="R714" s="84" t="n">
        <x:f>'Raw Sales'!J714</x:f>
        <x:v>1</x:v>
      </x:c>
      <x:c r="S714" s="87" t="n">
        <x:f>'Raw Sales'!K714</x:f>
        <x:v>0.1</x:v>
      </x:c>
      <x:c r="T714" s="93" t="n">
        <x:f>P714*R714</x:f>
        <x:v>58</x:v>
      </x:c>
      <x:c r="U714" s="93" t="n">
        <x:f>T714*S714</x:f>
        <x:v>5.800000000000001</x:v>
      </x:c>
      <x:c r="V714" s="93" t="str">
        <x:f>PROPER(TRIM('Raw Sales'!L714))</x:f>
        <x:v>Completed</x:v>
      </x:c>
      <x:c r="W714" s="93" t="n">
        <x:f>IF(V714="Returned",0,T714-U714)</x:f>
        <x:v>52.2</x:v>
      </x:c>
      <x:c r="X714" s="93" t="n">
        <x:f>IF(V714="Returned",Q714*R714*10%,Q714*R714)</x:f>
        <x:v>24</x:v>
      </x:c>
      <x:c r="Y714" s="93" t="n">
        <x:f>W714-X714</x:f>
        <x:v>28.200000000000003</x:v>
      </x:c>
      <x:c r="Z714" s="94" t="n">
        <x:f>IFERROR(Y714/W714,0)</x:f>
        <x:v>0.5402298850574713</x:v>
      </x:c>
      <x:c r="AA714" s="84" t="str">
        <x:f>PROPER(TRIM('Raw Sales'!M714))</x:f>
        <x:v>Debit Card</x:v>
      </x:c>
      <x:c r="AB714" s="84" t="str">
        <x:f>PROPER(TRIM('Raw Sales'!N714))</x:f>
        <x:v>Mia Chen</x:v>
      </x:c>
      <x:c r="AC714" s="85" t="n">
        <x:f>'Raw Sales'!O714</x:f>
        <x:v>45554</x:v>
      </x:c>
      <x:c r="AD714" s="84" t="n">
        <x:f>AC714-B714</x:f>
        <x:v>5</x:v>
      </x:c>
      <x:c r="AE714" s="84" t="str">
        <x:f>IF(COUNTIF($A$5:A714,A714)&gt;1,"Duplicate","Keep")</x:f>
        <x:v>Keep</x:v>
      </x:c>
      <x:c r="AF714" s="84" t="str">
        <x:f>IF(OR(R714&lt;=0,AC714&lt;B714,H714="Unknown",M714="Unknown Product"),"Review","Valid")</x:f>
        <x:v>Valid</x:v>
      </x:c>
      <x:c r="AG714" s="84" t="n">
        <x:f>IF(AND(AE714="Keep",AF714="Valid"),1,0)</x:f>
        <x:v>1</x:v>
      </x:c>
      <x:c r="AH714" s="84" t="n">
        <x:f>IF(AND(AG714=1,OR('Dashboard'!$B$4="All",I714='Dashboard'!$B$4),OR('Dashboard'!$E$4="All",N714='Dashboard'!$E$4),OR('Dashboard'!$H$4="All",K714='Dashboard'!$H$4),OR('Dashboard'!$K$4="All",C714='Dashboard'!$K$4)),1,0)</x:f>
        <x:v>1</x:v>
      </x:c>
      <x:c r="AI714" s="84" t="n">
        <x:f>IF(AND(AG714=1,OR('Dashboard'!$B$4="All",I714='Dashboard'!$B$4),OR('Dashboard'!$E$4="All",N714='Dashboard'!$E$4),OR('Dashboard'!$H$4="All",K714='Dashboard'!$H$4)),1,0)</x:f>
        <x:v>1</x:v>
      </x:c>
    </x:row>
    <x:row r="715">
      <x:c r="A715" s="84" t="str">
        <x:f>'Raw Sales'!A715</x:f>
        <x:v>ORD-2024-01700</x:v>
      </x:c>
      <x:c r="B715" s="85" t="n">
        <x:f>'Raw Sales'!B715</x:f>
        <x:v>45550</x:v>
      </x:c>
      <x:c r="C715" s="84" t="n">
        <x:f>YEAR(B715)</x:f>
        <x:v>2024</x:v>
      </x:c>
      <x:c r="D715" s="91" t="n">
        <x:f>DATE(YEAR(B715),MONTH(B715),1)</x:f>
        <x:v>45536</x:v>
      </x:c>
      <x:c r="E715" s="84" t="str">
        <x:f>TEXT(B715,"mmm")</x:f>
        <x:v>Sep</x:v>
      </x:c>
      <x:c r="F715" s="84" t="str">
        <x:f>'Raw Sales'!C715</x:f>
        <x:v>CUST-0599</x:v>
      </x:c>
      <x:c r="G715" s="84" t="str">
        <x:f>PROPER(TRIM('Raw Sales'!D715))</x:f>
        <x:v>Caleb Adams</x:v>
      </x:c>
      <x:c r="H715" s="84" t="str">
        <x:f>IF(TRIM('Raw Sales'!E715)="","Unknown",PROPER(TRIM('Raw Sales'!E715)))</x:f>
        <x:v>Consumer</x:v>
      </x:c>
      <x:c r="I715" s="84" t="str">
        <x:f>PROPER(TRIM('Raw Sales'!F715))</x:f>
        <x:v>West</x:v>
      </x:c>
      <x:c r="J715" s="84" t="str">
        <x:f>PROPER(TRIM('Raw Sales'!G715))</x:f>
        <x:v>Phoenix</x:v>
      </x:c>
      <x:c r="K715" s="84" t="str">
        <x:f>PROPER(TRIM('Raw Sales'!H715))</x:f>
        <x:v>Marketplace</x:v>
      </x:c>
      <x:c r="L715" s="84" t="str">
        <x:f>'Raw Sales'!I715</x:f>
        <x:v>ELEC-003</x:v>
      </x:c>
      <x:c r="M715" s="84" t="str">
        <x:f>IFERROR(VLOOKUP(L715,'Reference Data'!$A$5:$F$40,2,FALSE),"Unknown Product")</x:f>
        <x:v>Bluetooth Speaker</x:v>
      </x:c>
      <x:c r="N715" s="84" t="str">
        <x:f>IFERROR(VLOOKUP(L715,'Reference Data'!$A$5:$F$40,3,FALSE),"Unknown")</x:f>
        <x:v>Electronics</x:v>
      </x:c>
      <x:c r="O715" s="84" t="str">
        <x:f>IFERROR(VLOOKUP(L715,'Reference Data'!$A$5:$F$40,4,FALSE),"Unknown")</x:f>
        <x:v>Audio</x:v>
      </x:c>
      <x:c r="P715" s="92" t="n">
        <x:f>IFERROR(VLOOKUP(L715,'Reference Data'!$A$5:$F$40,5,FALSE),0)</x:f>
        <x:v>89</x:v>
      </x:c>
      <x:c r="Q715" s="92" t="n">
        <x:f>IFERROR(VLOOKUP(L715,'Reference Data'!$A$5:$F$40,6,FALSE),0)</x:f>
        <x:v>44</x:v>
      </x:c>
      <x:c r="R715" s="84" t="n">
        <x:f>'Raw Sales'!J715</x:f>
        <x:v>1</x:v>
      </x:c>
      <x:c r="S715" s="87" t="n">
        <x:f>'Raw Sales'!K715</x:f>
        <x:v>0.1</x:v>
      </x:c>
      <x:c r="T715" s="93" t="n">
        <x:f>P715*R715</x:f>
        <x:v>89</x:v>
      </x:c>
      <x:c r="U715" s="93" t="n">
        <x:f>T715*S715</x:f>
        <x:v>8.9</x:v>
      </x:c>
      <x:c r="V715" s="93" t="str">
        <x:f>PROPER(TRIM('Raw Sales'!L715))</x:f>
        <x:v>Completed</x:v>
      </x:c>
      <x:c r="W715" s="93" t="n">
        <x:f>IF(V715="Returned",0,T715-U715)</x:f>
        <x:v>80.1</x:v>
      </x:c>
      <x:c r="X715" s="93" t="n">
        <x:f>IF(V715="Returned",Q715*R715*10%,Q715*R715)</x:f>
        <x:v>44</x:v>
      </x:c>
      <x:c r="Y715" s="93" t="n">
        <x:f>W715-X715</x:f>
        <x:v>36.099999999999994</x:v>
      </x:c>
      <x:c r="Z715" s="94" t="n">
        <x:f>IFERROR(Y715/W715,0)</x:f>
        <x:v>0.4506866416978776</x:v>
      </x:c>
      <x:c r="AA715" s="84" t="str">
        <x:f>PROPER(TRIM('Raw Sales'!M715))</x:f>
        <x:v>Mobile Wallet</x:v>
      </x:c>
      <x:c r="AB715" s="84" t="str">
        <x:f>PROPER(TRIM('Raw Sales'!N715))</x:f>
        <x:v>Nora Kim</x:v>
      </x:c>
      <x:c r="AC715" s="85" t="n">
        <x:f>'Raw Sales'!O715</x:f>
        <x:v>45555</x:v>
      </x:c>
      <x:c r="AD715" s="84" t="n">
        <x:f>AC715-B715</x:f>
        <x:v>5</x:v>
      </x:c>
      <x:c r="AE715" s="84" t="str">
        <x:f>IF(COUNTIF($A$5:A715,A715)&gt;1,"Duplicate","Keep")</x:f>
        <x:v>Keep</x:v>
      </x:c>
      <x:c r="AF715" s="84" t="str">
        <x:f>IF(OR(R715&lt;=0,AC715&lt;B715,H715="Unknown",M715="Unknown Product"),"Review","Valid")</x:f>
        <x:v>Valid</x:v>
      </x:c>
      <x:c r="AG715" s="84" t="n">
        <x:f>IF(AND(AE715="Keep",AF715="Valid"),1,0)</x:f>
        <x:v>1</x:v>
      </x:c>
      <x:c r="AH715" s="84" t="n">
        <x:f>IF(AND(AG715=1,OR('Dashboard'!$B$4="All",I715='Dashboard'!$B$4),OR('Dashboard'!$E$4="All",N715='Dashboard'!$E$4),OR('Dashboard'!$H$4="All",K715='Dashboard'!$H$4),OR('Dashboard'!$K$4="All",C715='Dashboard'!$K$4)),1,0)</x:f>
        <x:v>1</x:v>
      </x:c>
      <x:c r="AI715" s="84" t="n">
        <x:f>IF(AND(AG715=1,OR('Dashboard'!$B$4="All",I715='Dashboard'!$B$4),OR('Dashboard'!$E$4="All",N715='Dashboard'!$E$4),OR('Dashboard'!$H$4="All",K715='Dashboard'!$H$4)),1,0)</x:f>
        <x:v>1</x:v>
      </x:c>
    </x:row>
    <x:row r="716">
      <x:c r="A716" s="84" t="str">
        <x:f>'Raw Sales'!A716</x:f>
        <x:v>ORD-2024-00003</x:v>
      </x:c>
      <x:c r="B716" s="85" t="n">
        <x:f>'Raw Sales'!B716</x:f>
        <x:v>45551</x:v>
      </x:c>
      <x:c r="C716" s="84" t="n">
        <x:f>YEAR(B716)</x:f>
        <x:v>2024</x:v>
      </x:c>
      <x:c r="D716" s="91" t="n">
        <x:f>DATE(YEAR(B716),MONTH(B716),1)</x:f>
        <x:v>45536</x:v>
      </x:c>
      <x:c r="E716" s="84" t="str">
        <x:f>TEXT(B716,"mmm")</x:f>
        <x:v>Sep</x:v>
      </x:c>
      <x:c r="F716" s="84" t="str">
        <x:f>'Raw Sales'!C716</x:f>
        <x:v>CUST-0161</x:v>
      </x:c>
      <x:c r="G716" s="84" t="str">
        <x:f>PROPER(TRIM('Raw Sales'!D716))</x:f>
        <x:v>Sara Patel</x:v>
      </x:c>
      <x:c r="H716" s="84" t="str">
        <x:f>IF(TRIM('Raw Sales'!E716)="","Unknown",PROPER(TRIM('Raw Sales'!E716)))</x:f>
        <x:v>Consumer</x:v>
      </x:c>
      <x:c r="I716" s="84" t="str">
        <x:f>PROPER(TRIM('Raw Sales'!F716))</x:f>
        <x:v>Southeast</x:v>
      </x:c>
      <x:c r="J716" s="84" t="str">
        <x:f>PROPER(TRIM('Raw Sales'!G716))</x:f>
        <x:v>Atlanta</x:v>
      </x:c>
      <x:c r="K716" s="84" t="str">
        <x:f>PROPER(TRIM('Raw Sales'!H716))</x:f>
        <x:v>Marketplace</x:v>
      </x:c>
      <x:c r="L716" s="84" t="str">
        <x:f>'Raw Sales'!I716</x:f>
        <x:v>HOME-006</x:v>
      </x:c>
      <x:c r="M716" s="84" t="str">
        <x:f>IFERROR(VLOOKUP(L716,'Reference Data'!$A$5:$F$40,2,FALSE),"Unknown Product")</x:f>
        <x:v>Food Storage Set</x:v>
      </x:c>
      <x:c r="N716" s="84" t="str">
        <x:f>IFERROR(VLOOKUP(L716,'Reference Data'!$A$5:$F$40,3,FALSE),"Unknown")</x:f>
        <x:v>Home &amp; Kitchen</x:v>
      </x:c>
      <x:c r="O716" s="84" t="str">
        <x:f>IFERROR(VLOOKUP(L716,'Reference Data'!$A$5:$F$40,4,FALSE),"Unknown")</x:f>
        <x:v>Kitchenware</x:v>
      </x:c>
      <x:c r="P716" s="92" t="n">
        <x:f>IFERROR(VLOOKUP(L716,'Reference Data'!$A$5:$F$40,5,FALSE),0)</x:f>
        <x:v>34</x:v>
      </x:c>
      <x:c r="Q716" s="92" t="n">
        <x:f>IFERROR(VLOOKUP(L716,'Reference Data'!$A$5:$F$40,6,FALSE),0)</x:f>
        <x:v>15</x:v>
      </x:c>
      <x:c r="R716" s="84" t="n">
        <x:f>'Raw Sales'!J716</x:f>
        <x:v>1</x:v>
      </x:c>
      <x:c r="S716" s="87" t="n">
        <x:f>'Raw Sales'!K716</x:f>
        <x:v>0.15</x:v>
      </x:c>
      <x:c r="T716" s="93" t="n">
        <x:f>P716*R716</x:f>
        <x:v>34</x:v>
      </x:c>
      <x:c r="U716" s="93" t="n">
        <x:f>T716*S716</x:f>
        <x:v>5.1</x:v>
      </x:c>
      <x:c r="V716" s="93" t="str">
        <x:f>PROPER(TRIM('Raw Sales'!L716))</x:f>
        <x:v>Completed</x:v>
      </x:c>
      <x:c r="W716" s="93" t="n">
        <x:f>IF(V716="Returned",0,T716-U716)</x:f>
        <x:v>28.9</x:v>
      </x:c>
      <x:c r="X716" s="93" t="n">
        <x:f>IF(V716="Returned",Q716*R716*10%,Q716*R716)</x:f>
        <x:v>15</x:v>
      </x:c>
      <x:c r="Y716" s="93" t="n">
        <x:f>W716-X716</x:f>
        <x:v>13.899999999999999</x:v>
      </x:c>
      <x:c r="Z716" s="94" t="n">
        <x:f>IFERROR(Y716/W716,0)</x:f>
        <x:v>0.4809688581314879</x:v>
      </x:c>
      <x:c r="AA716" s="84" t="str">
        <x:f>PROPER(TRIM('Raw Sales'!M716))</x:f>
        <x:v>Debit Card</x:v>
      </x:c>
      <x:c r="AB716" s="84" t="str">
        <x:f>PROPER(TRIM('Raw Sales'!N716))</x:f>
        <x:v>Ava Mitchell</x:v>
      </x:c>
      <x:c r="AC716" s="85" t="n">
        <x:f>'Raw Sales'!O716</x:f>
        <x:v>45557</x:v>
      </x:c>
      <x:c r="AD716" s="84" t="n">
        <x:f>AC716-B716</x:f>
        <x:v>6</x:v>
      </x:c>
      <x:c r="AE716" s="84" t="str">
        <x:f>IF(COUNTIF($A$5:A716,A716)&gt;1,"Duplicate","Keep")</x:f>
        <x:v>Keep</x:v>
      </x:c>
      <x:c r="AF716" s="84" t="str">
        <x:f>IF(OR(R716&lt;=0,AC716&lt;B716,H716="Unknown",M716="Unknown Product"),"Review","Valid")</x:f>
        <x:v>Valid</x:v>
      </x:c>
      <x:c r="AG716" s="84" t="n">
        <x:f>IF(AND(AE716="Keep",AF716="Valid"),1,0)</x:f>
        <x:v>1</x:v>
      </x:c>
      <x:c r="AH716" s="84" t="n">
        <x:f>IF(AND(AG716=1,OR('Dashboard'!$B$4="All",I716='Dashboard'!$B$4),OR('Dashboard'!$E$4="All",N716='Dashboard'!$E$4),OR('Dashboard'!$H$4="All",K716='Dashboard'!$H$4),OR('Dashboard'!$K$4="All",C716='Dashboard'!$K$4)),1,0)</x:f>
        <x:v>1</x:v>
      </x:c>
      <x:c r="AI716" s="84" t="n">
        <x:f>IF(AND(AG716=1,OR('Dashboard'!$B$4="All",I716='Dashboard'!$B$4),OR('Dashboard'!$E$4="All",N716='Dashboard'!$E$4),OR('Dashboard'!$H$4="All",K716='Dashboard'!$H$4)),1,0)</x:f>
        <x:v>1</x:v>
      </x:c>
    </x:row>
    <x:row r="717">
      <x:c r="A717" s="84" t="str">
        <x:f>'Raw Sales'!A717</x:f>
        <x:v>ORD-2024-00702</x:v>
      </x:c>
      <x:c r="B717" s="85" t="n">
        <x:f>'Raw Sales'!B717</x:f>
        <x:v>45551</x:v>
      </x:c>
      <x:c r="C717" s="84" t="n">
        <x:f>YEAR(B717)</x:f>
        <x:v>2024</x:v>
      </x:c>
      <x:c r="D717" s="91" t="n">
        <x:f>DATE(YEAR(B717),MONTH(B717),1)</x:f>
        <x:v>45536</x:v>
      </x:c>
      <x:c r="E717" s="84" t="str">
        <x:f>TEXT(B717,"mmm")</x:f>
        <x:v>Sep</x:v>
      </x:c>
      <x:c r="F717" s="84" t="str">
        <x:f>'Raw Sales'!C717</x:f>
        <x:v>CUST-0449</x:v>
      </x:c>
      <x:c r="G717" s="84" t="str">
        <x:f>PROPER(TRIM('Raw Sales'!D717))</x:f>
        <x:v>Chloe Taylor</x:v>
      </x:c>
      <x:c r="H717" s="84" t="str">
        <x:f>IF(TRIM('Raw Sales'!E717)="","Unknown",PROPER(TRIM('Raw Sales'!E717)))</x:f>
        <x:v>Corporate</x:v>
      </x:c>
      <x:c r="I717" s="84" t="str">
        <x:f>PROPER(TRIM('Raw Sales'!F717))</x:f>
        <x:v>West</x:v>
      </x:c>
      <x:c r="J717" s="84" t="str">
        <x:f>PROPER(TRIM('Raw Sales'!G717))</x:f>
        <x:v>Seattle</x:v>
      </x:c>
      <x:c r="K717" s="84" t="str">
        <x:f>PROPER(TRIM('Raw Sales'!H717))</x:f>
        <x:v>Marketplace</x:v>
      </x:c>
      <x:c r="L717" s="84" t="str">
        <x:f>'Raw Sales'!I717</x:f>
        <x:v>CARE-002</x:v>
      </x:c>
      <x:c r="M717" s="84" t="str">
        <x:f>IFERROR(VLOOKUP(L717,'Reference Data'!$A$5:$F$40,2,FALSE),"Unknown Product")</x:f>
        <x:v>Rechargeable Trimmer</x:v>
      </x:c>
      <x:c r="N717" s="84" t="str">
        <x:f>IFERROR(VLOOKUP(L717,'Reference Data'!$A$5:$F$40,3,FALSE),"Unknown")</x:f>
        <x:v>Personal Care</x:v>
      </x:c>
      <x:c r="O717" s="84" t="str">
        <x:f>IFERROR(VLOOKUP(L717,'Reference Data'!$A$5:$F$40,4,FALSE),"Unknown")</x:f>
        <x:v>Grooming</x:v>
      </x:c>
      <x:c r="P717" s="92" t="n">
        <x:f>IFERROR(VLOOKUP(L717,'Reference Data'!$A$5:$F$40,5,FALSE),0)</x:f>
        <x:v>45</x:v>
      </x:c>
      <x:c r="Q717" s="92" t="n">
        <x:f>IFERROR(VLOOKUP(L717,'Reference Data'!$A$5:$F$40,6,FALSE),0)</x:f>
        <x:v>19</x:v>
      </x:c>
      <x:c r="R717" s="84" t="n">
        <x:f>'Raw Sales'!J717</x:f>
        <x:v>5</x:v>
      </x:c>
      <x:c r="S717" s="87" t="n">
        <x:f>'Raw Sales'!K717</x:f>
        <x:v>0.1</x:v>
      </x:c>
      <x:c r="T717" s="93" t="n">
        <x:f>P717*R717</x:f>
        <x:v>225</x:v>
      </x:c>
      <x:c r="U717" s="93" t="n">
        <x:f>T717*S717</x:f>
        <x:v>22.5</x:v>
      </x:c>
      <x:c r="V717" s="93" t="str">
        <x:f>PROPER(TRIM('Raw Sales'!L717))</x:f>
        <x:v>Completed</x:v>
      </x:c>
      <x:c r="W717" s="93" t="n">
        <x:f>IF(V717="Returned",0,T717-U717)</x:f>
        <x:v>202.5</x:v>
      </x:c>
      <x:c r="X717" s="93" t="n">
        <x:f>IF(V717="Returned",Q717*R717*10%,Q717*R717)</x:f>
        <x:v>95</x:v>
      </x:c>
      <x:c r="Y717" s="93" t="n">
        <x:f>W717-X717</x:f>
        <x:v>107.5</x:v>
      </x:c>
      <x:c r="Z717" s="94" t="n">
        <x:f>IFERROR(Y717/W717,0)</x:f>
        <x:v>0.5308641975308642</x:v>
      </x:c>
      <x:c r="AA717" s="84" t="str">
        <x:f>PROPER(TRIM('Raw Sales'!M717))</x:f>
        <x:v>Debit Card</x:v>
      </x:c>
      <x:c r="AB717" s="84" t="str">
        <x:f>PROPER(TRIM('Raw Sales'!N717))</x:f>
        <x:v>Nora Kim</x:v>
      </x:c>
      <x:c r="AC717" s="85" t="n">
        <x:f>'Raw Sales'!O717</x:f>
        <x:v>45556</x:v>
      </x:c>
      <x:c r="AD717" s="84" t="n">
        <x:f>AC717-B717</x:f>
        <x:v>5</x:v>
      </x:c>
      <x:c r="AE717" s="84" t="str">
        <x:f>IF(COUNTIF($A$5:A717,A717)&gt;1,"Duplicate","Keep")</x:f>
        <x:v>Keep</x:v>
      </x:c>
      <x:c r="AF717" s="84" t="str">
        <x:f>IF(OR(R717&lt;=0,AC717&lt;B717,H717="Unknown",M717="Unknown Product"),"Review","Valid")</x:f>
        <x:v>Valid</x:v>
      </x:c>
      <x:c r="AG717" s="84" t="n">
        <x:f>IF(AND(AE717="Keep",AF717="Valid"),1,0)</x:f>
        <x:v>1</x:v>
      </x:c>
      <x:c r="AH717" s="84" t="n">
        <x:f>IF(AND(AG717=1,OR('Dashboard'!$B$4="All",I717='Dashboard'!$B$4),OR('Dashboard'!$E$4="All",N717='Dashboard'!$E$4),OR('Dashboard'!$H$4="All",K717='Dashboard'!$H$4),OR('Dashboard'!$K$4="All",C717='Dashboard'!$K$4)),1,0)</x:f>
        <x:v>1</x:v>
      </x:c>
      <x:c r="AI717" s="84" t="n">
        <x:f>IF(AND(AG717=1,OR('Dashboard'!$B$4="All",I717='Dashboard'!$B$4),OR('Dashboard'!$E$4="All",N717='Dashboard'!$E$4),OR('Dashboard'!$H$4="All",K717='Dashboard'!$H$4)),1,0)</x:f>
        <x:v>1</x:v>
      </x:c>
    </x:row>
    <x:row r="718">
      <x:c r="A718" s="84" t="str">
        <x:f>'Raw Sales'!A718</x:f>
        <x:v>ORD-2024-01383</x:v>
      </x:c>
      <x:c r="B718" s="85" t="n">
        <x:f>'Raw Sales'!B718</x:f>
        <x:v>45551</x:v>
      </x:c>
      <x:c r="C718" s="84" t="n">
        <x:f>YEAR(B718)</x:f>
        <x:v>2024</x:v>
      </x:c>
      <x:c r="D718" s="91" t="n">
        <x:f>DATE(YEAR(B718),MONTH(B718),1)</x:f>
        <x:v>45536</x:v>
      </x:c>
      <x:c r="E718" s="84" t="str">
        <x:f>TEXT(B718,"mmm")</x:f>
        <x:v>Sep</x:v>
      </x:c>
      <x:c r="F718" s="84" t="str">
        <x:f>'Raw Sales'!C718</x:f>
        <x:v>CUST-0502</x:v>
      </x:c>
      <x:c r="G718" s="84" t="str">
        <x:f>PROPER(TRIM('Raw Sales'!D718))</x:f>
        <x:v>Owen Lewis</x:v>
      </x:c>
      <x:c r="H718" s="84" t="str">
        <x:f>IF(TRIM('Raw Sales'!E718)="","Unknown",PROPER(TRIM('Raw Sales'!E718)))</x:f>
        <x:v>Consumer</x:v>
      </x:c>
      <x:c r="I718" s="84" t="str">
        <x:f>PROPER(TRIM('Raw Sales'!F718))</x:f>
        <x:v>Midwest</x:v>
      </x:c>
      <x:c r="J718" s="84" t="str">
        <x:f>PROPER(TRIM('Raw Sales'!G718))</x:f>
        <x:v>Detroit</x:v>
      </x:c>
      <x:c r="K718" s="84" t="str">
        <x:f>PROPER(TRIM('Raw Sales'!H718))</x:f>
        <x:v>Retail Store</x:v>
      </x:c>
      <x:c r="L718" s="84" t="str">
        <x:f>'Raw Sales'!I718</x:f>
        <x:v>HOME-002</x:v>
      </x:c>
      <x:c r="M718" s="84" t="str">
        <x:f>IFERROR(VLOOKUP(L718,'Reference Data'!$A$5:$F$40,2,FALSE),"Unknown Product")</x:f>
        <x:v>Electric Kettle</x:v>
      </x:c>
      <x:c r="N718" s="84" t="str">
        <x:f>IFERROR(VLOOKUP(L718,'Reference Data'!$A$5:$F$40,3,FALSE),"Unknown")</x:f>
        <x:v>Home &amp; Kitchen</x:v>
      </x:c>
      <x:c r="O718" s="84" t="str">
        <x:f>IFERROR(VLOOKUP(L718,'Reference Data'!$A$5:$F$40,4,FALSE),"Unknown")</x:f>
        <x:v>Small Appliances</x:v>
      </x:c>
      <x:c r="P718" s="92" t="n">
        <x:f>IFERROR(VLOOKUP(L718,'Reference Data'!$A$5:$F$40,5,FALSE),0)</x:f>
        <x:v>49</x:v>
      </x:c>
      <x:c r="Q718" s="92" t="n">
        <x:f>IFERROR(VLOOKUP(L718,'Reference Data'!$A$5:$F$40,6,FALSE),0)</x:f>
        <x:v>23</x:v>
      </x:c>
      <x:c r="R718" s="84" t="n">
        <x:f>'Raw Sales'!J718</x:f>
        <x:v>1</x:v>
      </x:c>
      <x:c r="S718" s="87" t="n">
        <x:f>'Raw Sales'!K718</x:f>
        <x:v>0.15</x:v>
      </x:c>
      <x:c r="T718" s="93" t="n">
        <x:f>P718*R718</x:f>
        <x:v>49</x:v>
      </x:c>
      <x:c r="U718" s="93" t="n">
        <x:f>T718*S718</x:f>
        <x:v>7.35</x:v>
      </x:c>
      <x:c r="V718" s="93" t="str">
        <x:f>PROPER(TRIM('Raw Sales'!L718))</x:f>
        <x:v>Completed</x:v>
      </x:c>
      <x:c r="W718" s="93" t="n">
        <x:f>IF(V718="Returned",0,T718-U718)</x:f>
        <x:v>41.65</x:v>
      </x:c>
      <x:c r="X718" s="93" t="n">
        <x:f>IF(V718="Returned",Q718*R718*10%,Q718*R718)</x:f>
        <x:v>23</x:v>
      </x:c>
      <x:c r="Y718" s="93" t="n">
        <x:f>W718-X718</x:f>
        <x:v>18.65</x:v>
      </x:c>
      <x:c r="Z718" s="94" t="n">
        <x:f>IFERROR(Y718/W718,0)</x:f>
        <x:v>0.44777911164465783</x:v>
      </x:c>
      <x:c r="AA718" s="84" t="str">
        <x:f>PROPER(TRIM('Raw Sales'!M718))</x:f>
        <x:v>Mobile Wallet</x:v>
      </x:c>
      <x:c r="AB718" s="84" t="str">
        <x:f>PROPER(TRIM('Raw Sales'!N718))</x:f>
        <x:v>Lucas Grant</x:v>
      </x:c>
      <x:c r="AC718" s="85" t="n">
        <x:f>'Raw Sales'!O718</x:f>
        <x:v>45551</x:v>
      </x:c>
      <x:c r="AD718" s="84" t="n">
        <x:f>AC718-B718</x:f>
        <x:v>0</x:v>
      </x:c>
      <x:c r="AE718" s="84" t="str">
        <x:f>IF(COUNTIF($A$5:A718,A718)&gt;1,"Duplicate","Keep")</x:f>
        <x:v>Keep</x:v>
      </x:c>
      <x:c r="AF718" s="84" t="str">
        <x:f>IF(OR(R718&lt;=0,AC718&lt;B718,H718="Unknown",M718="Unknown Product"),"Review","Valid")</x:f>
        <x:v>Valid</x:v>
      </x:c>
      <x:c r="AG718" s="84" t="n">
        <x:f>IF(AND(AE718="Keep",AF718="Valid"),1,0)</x:f>
        <x:v>1</x:v>
      </x:c>
      <x:c r="AH718" s="84" t="n">
        <x:f>IF(AND(AG718=1,OR('Dashboard'!$B$4="All",I718='Dashboard'!$B$4),OR('Dashboard'!$E$4="All",N718='Dashboard'!$E$4),OR('Dashboard'!$H$4="All",K718='Dashboard'!$H$4),OR('Dashboard'!$K$4="All",C718='Dashboard'!$K$4)),1,0)</x:f>
        <x:v>1</x:v>
      </x:c>
      <x:c r="AI718" s="84" t="n">
        <x:f>IF(AND(AG718=1,OR('Dashboard'!$B$4="All",I718='Dashboard'!$B$4),OR('Dashboard'!$E$4="All",N718='Dashboard'!$E$4),OR('Dashboard'!$H$4="All",K718='Dashboard'!$H$4)),1,0)</x:f>
        <x:v>1</x:v>
      </x:c>
    </x:row>
    <x:row r="719">
      <x:c r="A719" s="84" t="str">
        <x:f>'Raw Sales'!A719</x:f>
        <x:v>ORD-2024-02191</x:v>
      </x:c>
      <x:c r="B719" s="85" t="n">
        <x:f>'Raw Sales'!B719</x:f>
        <x:v>45551</x:v>
      </x:c>
      <x:c r="C719" s="84" t="n">
        <x:f>YEAR(B719)</x:f>
        <x:v>2024</x:v>
      </x:c>
      <x:c r="D719" s="91" t="n">
        <x:f>DATE(YEAR(B719),MONTH(B719),1)</x:f>
        <x:v>45536</x:v>
      </x:c>
      <x:c r="E719" s="84" t="str">
        <x:f>TEXT(B719,"mmm")</x:f>
        <x:v>Sep</x:v>
      </x:c>
      <x:c r="F719" s="84" t="str">
        <x:f>'Raw Sales'!C719</x:f>
        <x:v>CUST-0591</x:v>
      </x:c>
      <x:c r="G719" s="84" t="str">
        <x:f>PROPER(TRIM('Raw Sales'!D719))</x:f>
        <x:v>Grace Quinn</x:v>
      </x:c>
      <x:c r="H719" s="84" t="str">
        <x:f>IF(TRIM('Raw Sales'!E719)="","Unknown",PROPER(TRIM('Raw Sales'!E719)))</x:f>
        <x:v>Consumer</x:v>
      </x:c>
      <x:c r="I719" s="84" t="str">
        <x:f>PROPER(TRIM('Raw Sales'!F719))</x:f>
        <x:v>Northeast</x:v>
      </x:c>
      <x:c r="J719" s="84" t="str">
        <x:f>PROPER(TRIM('Raw Sales'!G719))</x:f>
        <x:v>Philadelphia</x:v>
      </x:c>
      <x:c r="K719" s="84" t="str">
        <x:f>PROPER(TRIM('Raw Sales'!H719))</x:f>
        <x:v>Retail Store</x:v>
      </x:c>
      <x:c r="L719" s="84" t="str">
        <x:f>'Raw Sales'!I719</x:f>
        <x:v>ELEC-002</x:v>
      </x:c>
      <x:c r="M719" s="84" t="str">
        <x:f>IFERROR(VLOOKUP(L719,'Reference Data'!$A$5:$F$40,2,FALSE),"Unknown Product")</x:f>
        <x:v>Smartwatch</x:v>
      </x:c>
      <x:c r="N719" s="84" t="str">
        <x:f>IFERROR(VLOOKUP(L719,'Reference Data'!$A$5:$F$40,3,FALSE),"Unknown")</x:f>
        <x:v>Electronics</x:v>
      </x:c>
      <x:c r="O719" s="84" t="str">
        <x:f>IFERROR(VLOOKUP(L719,'Reference Data'!$A$5:$F$40,4,FALSE),"Unknown")</x:f>
        <x:v>Wearables</x:v>
      </x:c>
      <x:c r="P719" s="92" t="n">
        <x:f>IFERROR(VLOOKUP(L719,'Reference Data'!$A$5:$F$40,5,FALSE),0)</x:f>
        <x:v>159</x:v>
      </x:c>
      <x:c r="Q719" s="92" t="n">
        <x:f>IFERROR(VLOOKUP(L719,'Reference Data'!$A$5:$F$40,6,FALSE),0)</x:f>
        <x:v>92</x:v>
      </x:c>
      <x:c r="R719" s="84" t="n">
        <x:f>'Raw Sales'!J719</x:f>
        <x:v>1</x:v>
      </x:c>
      <x:c r="S719" s="87" t="n">
        <x:f>'Raw Sales'!K719</x:f>
        <x:v>0</x:v>
      </x:c>
      <x:c r="T719" s="93" t="n">
        <x:f>P719*R719</x:f>
        <x:v>159</x:v>
      </x:c>
      <x:c r="U719" s="93" t="n">
        <x:f>T719*S719</x:f>
        <x:v>0</x:v>
      </x:c>
      <x:c r="V719" s="93" t="str">
        <x:f>PROPER(TRIM('Raw Sales'!L719))</x:f>
        <x:v>Completed</x:v>
      </x:c>
      <x:c r="W719" s="93" t="n">
        <x:f>IF(V719="Returned",0,T719-U719)</x:f>
        <x:v>159</x:v>
      </x:c>
      <x:c r="X719" s="93" t="n">
        <x:f>IF(V719="Returned",Q719*R719*10%,Q719*R719)</x:f>
        <x:v>92</x:v>
      </x:c>
      <x:c r="Y719" s="93" t="n">
        <x:f>W719-X719</x:f>
        <x:v>67</x:v>
      </x:c>
      <x:c r="Z719" s="94" t="n">
        <x:f>IFERROR(Y719/W719,0)</x:f>
        <x:v>0.42138364779874216</x:v>
      </x:c>
      <x:c r="AA719" s="84" t="str">
        <x:f>PROPER(TRIM('Raw Sales'!M719))</x:f>
        <x:v>Debit Card</x:v>
      </x:c>
      <x:c r="AB719" s="84" t="str">
        <x:f>PROPER(TRIM('Raw Sales'!N719))</x:f>
        <x:v>Ethan Cole</x:v>
      </x:c>
      <x:c r="AC719" s="85" t="n">
        <x:f>'Raw Sales'!O719</x:f>
        <x:v>45552</x:v>
      </x:c>
      <x:c r="AD719" s="84" t="n">
        <x:f>AC719-B719</x:f>
        <x:v>1</x:v>
      </x:c>
      <x:c r="AE719" s="84" t="str">
        <x:f>IF(COUNTIF($A$5:A719,A719)&gt;1,"Duplicate","Keep")</x:f>
        <x:v>Keep</x:v>
      </x:c>
      <x:c r="AF719" s="84" t="str">
        <x:f>IF(OR(R719&lt;=0,AC719&lt;B719,H719="Unknown",M719="Unknown Product"),"Review","Valid")</x:f>
        <x:v>Valid</x:v>
      </x:c>
      <x:c r="AG719" s="84" t="n">
        <x:f>IF(AND(AE719="Keep",AF719="Valid"),1,0)</x:f>
        <x:v>1</x:v>
      </x:c>
      <x:c r="AH719" s="84" t="n">
        <x:f>IF(AND(AG719=1,OR('Dashboard'!$B$4="All",I719='Dashboard'!$B$4),OR('Dashboard'!$E$4="All",N719='Dashboard'!$E$4),OR('Dashboard'!$H$4="All",K719='Dashboard'!$H$4),OR('Dashboard'!$K$4="All",C719='Dashboard'!$K$4)),1,0)</x:f>
        <x:v>1</x:v>
      </x:c>
      <x:c r="AI719" s="84" t="n">
        <x:f>IF(AND(AG719=1,OR('Dashboard'!$B$4="All",I719='Dashboard'!$B$4),OR('Dashboard'!$E$4="All",N719='Dashboard'!$E$4),OR('Dashboard'!$H$4="All",K719='Dashboard'!$H$4)),1,0)</x:f>
        <x:v>1</x:v>
      </x:c>
    </x:row>
    <x:row r="720">
      <x:c r="A720" s="84" t="str">
        <x:f>'Raw Sales'!A720</x:f>
        <x:v>ORD-2024-02283</x:v>
      </x:c>
      <x:c r="B720" s="85" t="n">
        <x:f>'Raw Sales'!B720</x:f>
        <x:v>45552</x:v>
      </x:c>
      <x:c r="C720" s="84" t="n">
        <x:f>YEAR(B720)</x:f>
        <x:v>2024</x:v>
      </x:c>
      <x:c r="D720" s="91" t="n">
        <x:f>DATE(YEAR(B720),MONTH(B720),1)</x:f>
        <x:v>45536</x:v>
      </x:c>
      <x:c r="E720" s="84" t="str">
        <x:f>TEXT(B720,"mmm")</x:f>
        <x:v>Sep</x:v>
      </x:c>
      <x:c r="F720" s="84" t="str">
        <x:f>'Raw Sales'!C720</x:f>
        <x:v>CUST-0374</x:v>
      </x:c>
      <x:c r="G720" s="84" t="str">
        <x:f>PROPER(TRIM('Raw Sales'!D720))</x:f>
        <x:v>Priya Lewis</x:v>
      </x:c>
      <x:c r="H720" s="84" t="str">
        <x:f>IF(TRIM('Raw Sales'!E720)="","Unknown",PROPER(TRIM('Raw Sales'!E720)))</x:f>
        <x:v>Corporate</x:v>
      </x:c>
      <x:c r="I720" s="84" t="str">
        <x:f>PROPER(TRIM('Raw Sales'!F720))</x:f>
        <x:v>Southeast</x:v>
      </x:c>
      <x:c r="J720" s="84" t="str">
        <x:f>PROPER(TRIM('Raw Sales'!G720))</x:f>
        <x:v>Miami</x:v>
      </x:c>
      <x:c r="K720" s="84" t="str">
        <x:f>PROPER(TRIM('Raw Sales'!H720))</x:f>
        <x:v>Retail Store</x:v>
      </x:c>
      <x:c r="L720" s="84" t="str">
        <x:f>'Raw Sales'!I720</x:f>
        <x:v>OFFC-005</x:v>
      </x:c>
      <x:c r="M720" s="84" t="str">
        <x:f>IFERROR(VLOOKUP(L720,'Reference Data'!$A$5:$F$40,2,FALSE),"Unknown Product")</x:f>
        <x:v>Wireless Keyboard</x:v>
      </x:c>
      <x:c r="N720" s="84" t="str">
        <x:f>IFERROR(VLOOKUP(L720,'Reference Data'!$A$5:$F$40,3,FALSE),"Unknown")</x:f>
        <x:v>Office</x:v>
      </x:c>
      <x:c r="O720" s="84" t="str">
        <x:f>IFERROR(VLOOKUP(L720,'Reference Data'!$A$5:$F$40,4,FALSE),"Unknown")</x:f>
        <x:v>Computer Accessories</x:v>
      </x:c>
      <x:c r="P720" s="92" t="n">
        <x:f>IFERROR(VLOOKUP(L720,'Reference Data'!$A$5:$F$40,5,FALSE),0)</x:f>
        <x:v>59</x:v>
      </x:c>
      <x:c r="Q720" s="92" t="n">
        <x:f>IFERROR(VLOOKUP(L720,'Reference Data'!$A$5:$F$40,6,FALSE),0)</x:f>
        <x:v>28</x:v>
      </x:c>
      <x:c r="R720" s="84" t="n">
        <x:f>'Raw Sales'!J720</x:f>
        <x:v>5</x:v>
      </x:c>
      <x:c r="S720" s="87" t="n">
        <x:f>'Raw Sales'!K720</x:f>
        <x:v>0</x:v>
      </x:c>
      <x:c r="T720" s="93" t="n">
        <x:f>P720*R720</x:f>
        <x:v>295</x:v>
      </x:c>
      <x:c r="U720" s="93" t="n">
        <x:f>T720*S720</x:f>
        <x:v>0</x:v>
      </x:c>
      <x:c r="V720" s="93" t="str">
        <x:f>PROPER(TRIM('Raw Sales'!L720))</x:f>
        <x:v>Completed</x:v>
      </x:c>
      <x:c r="W720" s="93" t="n">
        <x:f>IF(V720="Returned",0,T720-U720)</x:f>
        <x:v>295</x:v>
      </x:c>
      <x:c r="X720" s="93" t="n">
        <x:f>IF(V720="Returned",Q720*R720*10%,Q720*R720)</x:f>
        <x:v>140</x:v>
      </x:c>
      <x:c r="Y720" s="93" t="n">
        <x:f>W720-X720</x:f>
        <x:v>155</x:v>
      </x:c>
      <x:c r="Z720" s="94" t="n">
        <x:f>IFERROR(Y720/W720,0)</x:f>
        <x:v>0.5254237288135594</x:v>
      </x:c>
      <x:c r="AA720" s="84" t="str">
        <x:f>PROPER(TRIM('Raw Sales'!M720))</x:f>
        <x:v>Mobile Wallet</x:v>
      </x:c>
      <x:c r="AB720" s="84" t="str">
        <x:f>PROPER(TRIM('Raw Sales'!N720))</x:f>
        <x:v>Noah Reed</x:v>
      </x:c>
      <x:c r="AC720" s="85" t="n">
        <x:f>'Raw Sales'!O720</x:f>
        <x:v>45552</x:v>
      </x:c>
      <x:c r="AD720" s="84" t="n">
        <x:f>AC720-B720</x:f>
        <x:v>0</x:v>
      </x:c>
      <x:c r="AE720" s="84" t="str">
        <x:f>IF(COUNTIF($A$5:A720,A720)&gt;1,"Duplicate","Keep")</x:f>
        <x:v>Keep</x:v>
      </x:c>
      <x:c r="AF720" s="84" t="str">
        <x:f>IF(OR(R720&lt;=0,AC720&lt;B720,H720="Unknown",M720="Unknown Product"),"Review","Valid")</x:f>
        <x:v>Valid</x:v>
      </x:c>
      <x:c r="AG720" s="84" t="n">
        <x:f>IF(AND(AE720="Keep",AF720="Valid"),1,0)</x:f>
        <x:v>1</x:v>
      </x:c>
      <x:c r="AH720" s="84" t="n">
        <x:f>IF(AND(AG720=1,OR('Dashboard'!$B$4="All",I720='Dashboard'!$B$4),OR('Dashboard'!$E$4="All",N720='Dashboard'!$E$4),OR('Dashboard'!$H$4="All",K720='Dashboard'!$H$4),OR('Dashboard'!$K$4="All",C720='Dashboard'!$K$4)),1,0)</x:f>
        <x:v>1</x:v>
      </x:c>
      <x:c r="AI720" s="84" t="n">
        <x:f>IF(AND(AG720=1,OR('Dashboard'!$B$4="All",I720='Dashboard'!$B$4),OR('Dashboard'!$E$4="All",N720='Dashboard'!$E$4),OR('Dashboard'!$H$4="All",K720='Dashboard'!$H$4)),1,0)</x:f>
        <x:v>1</x:v>
      </x:c>
    </x:row>
    <x:row r="721">
      <x:c r="A721" s="84" t="str">
        <x:f>'Raw Sales'!A721</x:f>
        <x:v>ORD-2024-01122</x:v>
      </x:c>
      <x:c r="B721" s="85" t="n">
        <x:f>'Raw Sales'!B721</x:f>
        <x:v>45553</x:v>
      </x:c>
      <x:c r="C721" s="84" t="n">
        <x:f>YEAR(B721)</x:f>
        <x:v>2024</x:v>
      </x:c>
      <x:c r="D721" s="91" t="n">
        <x:f>DATE(YEAR(B721),MONTH(B721),1)</x:f>
        <x:v>45536</x:v>
      </x:c>
      <x:c r="E721" s="84" t="str">
        <x:f>TEXT(B721,"mmm")</x:f>
        <x:v>Sep</x:v>
      </x:c>
      <x:c r="F721" s="84" t="str">
        <x:f>'Raw Sales'!C721</x:f>
        <x:v>CUST-0325</x:v>
      </x:c>
      <x:c r="G721" s="84" t="str">
        <x:f>PROPER(TRIM('Raw Sales'!D721))</x:f>
        <x:v>Caleb Baker</x:v>
      </x:c>
      <x:c r="H721" s="84" t="str">
        <x:f>IF(TRIM('Raw Sales'!E721)="","Unknown",PROPER(TRIM('Raw Sales'!E721)))</x:f>
        <x:v>Small Business</x:v>
      </x:c>
      <x:c r="I721" s="84" t="str">
        <x:f>PROPER(TRIM('Raw Sales'!F721))</x:f>
        <x:v>West</x:v>
      </x:c>
      <x:c r="J721" s="84" t="str">
        <x:f>PROPER(TRIM('Raw Sales'!G721))</x:f>
        <x:v>Phoenix</x:v>
      </x:c>
      <x:c r="K721" s="84" t="str">
        <x:f>PROPER(TRIM('Raw Sales'!H721))</x:f>
        <x:v>Retail Store</x:v>
      </x:c>
      <x:c r="L721" s="84" t="str">
        <x:f>'Raw Sales'!I721</x:f>
        <x:v>ELEC-006</x:v>
      </x:c>
      <x:c r="M721" s="84" t="str">
        <x:f>IFERROR(VLOOKUP(L721,'Reference Data'!$A$5:$F$40,2,FALSE),"Unknown Product")</x:f>
        <x:v>Portable SSD</x:v>
      </x:c>
      <x:c r="N721" s="84" t="str">
        <x:f>IFERROR(VLOOKUP(L721,'Reference Data'!$A$5:$F$40,3,FALSE),"Unknown")</x:f>
        <x:v>Electronics</x:v>
      </x:c>
      <x:c r="O721" s="84" t="str">
        <x:f>IFERROR(VLOOKUP(L721,'Reference Data'!$A$5:$F$40,4,FALSE),"Unknown")</x:f>
        <x:v>Storage</x:v>
      </x:c>
      <x:c r="P721" s="92" t="n">
        <x:f>IFERROR(VLOOKUP(L721,'Reference Data'!$A$5:$F$40,5,FALSE),0)</x:f>
        <x:v>129</x:v>
      </x:c>
      <x:c r="Q721" s="92" t="n">
        <x:f>IFERROR(VLOOKUP(L721,'Reference Data'!$A$5:$F$40,6,FALSE),0)</x:f>
        <x:v>75</x:v>
      </x:c>
      <x:c r="R721" s="84" t="n">
        <x:f>'Raw Sales'!J721</x:f>
        <x:v>1</x:v>
      </x:c>
      <x:c r="S721" s="87" t="n">
        <x:f>'Raw Sales'!K721</x:f>
        <x:v>0</x:v>
      </x:c>
      <x:c r="T721" s="93" t="n">
        <x:f>P721*R721</x:f>
        <x:v>129</x:v>
      </x:c>
      <x:c r="U721" s="93" t="n">
        <x:f>T721*S721</x:f>
        <x:v>0</x:v>
      </x:c>
      <x:c r="V721" s="93" t="str">
        <x:f>PROPER(TRIM('Raw Sales'!L721))</x:f>
        <x:v>Completed</x:v>
      </x:c>
      <x:c r="W721" s="93" t="n">
        <x:f>IF(V721="Returned",0,T721-U721)</x:f>
        <x:v>129</x:v>
      </x:c>
      <x:c r="X721" s="93" t="n">
        <x:f>IF(V721="Returned",Q721*R721*10%,Q721*R721)</x:f>
        <x:v>75</x:v>
      </x:c>
      <x:c r="Y721" s="93" t="n">
        <x:f>W721-X721</x:f>
        <x:v>54</x:v>
      </x:c>
      <x:c r="Z721" s="94" t="n">
        <x:f>IFERROR(Y721/W721,0)</x:f>
        <x:v>0.4186046511627907</x:v>
      </x:c>
      <x:c r="AA721" s="84" t="str">
        <x:f>PROPER(TRIM('Raw Sales'!M721))</x:f>
        <x:v>Mobile Wallet</x:v>
      </x:c>
      <x:c r="AB721" s="84" t="str">
        <x:f>PROPER(TRIM('Raw Sales'!N721))</x:f>
        <x:v>Leo Martinez</x:v>
      </x:c>
      <x:c r="AC721" s="85" t="n">
        <x:f>'Raw Sales'!O721</x:f>
        <x:v>45554</x:v>
      </x:c>
      <x:c r="AD721" s="84" t="n">
        <x:f>AC721-B721</x:f>
        <x:v>1</x:v>
      </x:c>
      <x:c r="AE721" s="84" t="str">
        <x:f>IF(COUNTIF($A$5:A721,A721)&gt;1,"Duplicate","Keep")</x:f>
        <x:v>Keep</x:v>
      </x:c>
      <x:c r="AF721" s="84" t="str">
        <x:f>IF(OR(R721&lt;=0,AC721&lt;B721,H721="Unknown",M721="Unknown Product"),"Review","Valid")</x:f>
        <x:v>Valid</x:v>
      </x:c>
      <x:c r="AG721" s="84" t="n">
        <x:f>IF(AND(AE721="Keep",AF721="Valid"),1,0)</x:f>
        <x:v>1</x:v>
      </x:c>
      <x:c r="AH721" s="84" t="n">
        <x:f>IF(AND(AG721=1,OR('Dashboard'!$B$4="All",I721='Dashboard'!$B$4),OR('Dashboard'!$E$4="All",N721='Dashboard'!$E$4),OR('Dashboard'!$H$4="All",K721='Dashboard'!$H$4),OR('Dashboard'!$K$4="All",C721='Dashboard'!$K$4)),1,0)</x:f>
        <x:v>1</x:v>
      </x:c>
      <x:c r="AI721" s="84" t="n">
        <x:f>IF(AND(AG721=1,OR('Dashboard'!$B$4="All",I721='Dashboard'!$B$4),OR('Dashboard'!$E$4="All",N721='Dashboard'!$E$4),OR('Dashboard'!$H$4="All",K721='Dashboard'!$H$4)),1,0)</x:f>
        <x:v>1</x:v>
      </x:c>
    </x:row>
    <x:row r="722">
      <x:c r="A722" s="84" t="str">
        <x:f>'Raw Sales'!A722</x:f>
        <x:v>ORD-2024-01393</x:v>
      </x:c>
      <x:c r="B722" s="85" t="n">
        <x:f>'Raw Sales'!B722</x:f>
        <x:v>45553</x:v>
      </x:c>
      <x:c r="C722" s="84" t="n">
        <x:f>YEAR(B722)</x:f>
        <x:v>2024</x:v>
      </x:c>
      <x:c r="D722" s="91" t="n">
        <x:f>DATE(YEAR(B722),MONTH(B722),1)</x:f>
        <x:v>45536</x:v>
      </x:c>
      <x:c r="E722" s="84" t="str">
        <x:f>TEXT(B722,"mmm")</x:f>
        <x:v>Sep</x:v>
      </x:c>
      <x:c r="F722" s="84" t="str">
        <x:f>'Raw Sales'!C722</x:f>
        <x:v>CUST-0619</x:v>
      </x:c>
      <x:c r="G722" s="84" t="str">
        <x:f>PROPER(TRIM('Raw Sales'!D722))</x:f>
        <x:v>Elias Smith</x:v>
      </x:c>
      <x:c r="H722" s="84" t="str">
        <x:f>IF(TRIM('Raw Sales'!E722)="","Unknown",PROPER(TRIM('Raw Sales'!E722)))</x:f>
        <x:v>Consumer</x:v>
      </x:c>
      <x:c r="I722" s="84" t="str">
        <x:f>PROPER(TRIM('Raw Sales'!F722))</x:f>
        <x:v>Midwest</x:v>
      </x:c>
      <x:c r="J722" s="84" t="str">
        <x:f>PROPER(TRIM('Raw Sales'!G722))</x:f>
        <x:v>Columbus</x:v>
      </x:c>
      <x:c r="K722" s="84" t="str">
        <x:f>PROPER(TRIM('Raw Sales'!H722))</x:f>
        <x:v>Online</x:v>
      </x:c>
      <x:c r="L722" s="84" t="str">
        <x:f>'Raw Sales'!I722</x:f>
        <x:v>OFFC-002</x:v>
      </x:c>
      <x:c r="M722" s="84" t="str">
        <x:f>IFERROR(VLOOKUP(L722,'Reference Data'!$A$5:$F$40,2,FALSE),"Unknown Product")</x:f>
        <x:v>Standing Desk</x:v>
      </x:c>
      <x:c r="N722" s="84" t="str">
        <x:f>IFERROR(VLOOKUP(L722,'Reference Data'!$A$5:$F$40,3,FALSE),"Unknown")</x:f>
        <x:v>Office</x:v>
      </x:c>
      <x:c r="O722" s="84" t="str">
        <x:f>IFERROR(VLOOKUP(L722,'Reference Data'!$A$5:$F$40,4,FALSE),"Unknown")</x:f>
        <x:v>Furniture</x:v>
      </x:c>
      <x:c r="P722" s="92" t="n">
        <x:f>IFERROR(VLOOKUP(L722,'Reference Data'!$A$5:$F$40,5,FALSE),0)</x:f>
        <x:v>399</x:v>
      </x:c>
      <x:c r="Q722" s="92" t="n">
        <x:f>IFERROR(VLOOKUP(L722,'Reference Data'!$A$5:$F$40,6,FALSE),0)</x:f>
        <x:v>235</x:v>
      </x:c>
      <x:c r="R722" s="84" t="n">
        <x:f>'Raw Sales'!J722</x:f>
        <x:v>1</x:v>
      </x:c>
      <x:c r="S722" s="87" t="n">
        <x:f>'Raw Sales'!K722</x:f>
        <x:v>0.05</x:v>
      </x:c>
      <x:c r="T722" s="93" t="n">
        <x:f>P722*R722</x:f>
        <x:v>399</x:v>
      </x:c>
      <x:c r="U722" s="93" t="n">
        <x:f>T722*S722</x:f>
        <x:v>19.950000000000003</x:v>
      </x:c>
      <x:c r="V722" s="93" t="str">
        <x:f>PROPER(TRIM('Raw Sales'!L722))</x:f>
        <x:v>Completed</x:v>
      </x:c>
      <x:c r="W722" s="93" t="n">
        <x:f>IF(V722="Returned",0,T722-U722)</x:f>
        <x:v>379.05</x:v>
      </x:c>
      <x:c r="X722" s="93" t="n">
        <x:f>IF(V722="Returned",Q722*R722*10%,Q722*R722)</x:f>
        <x:v>235</x:v>
      </x:c>
      <x:c r="Y722" s="93" t="n">
        <x:f>W722-X722</x:f>
        <x:v>144.05</x:v>
      </x:c>
      <x:c r="Z722" s="94" t="n">
        <x:f>IFERROR(Y722/W722,0)</x:f>
        <x:v>0.38002901991821664</x:v>
      </x:c>
      <x:c r="AA722" s="84" t="str">
        <x:f>PROPER(TRIM('Raw Sales'!M722))</x:f>
        <x:v>Credit Card</x:v>
      </x:c>
      <x:c r="AB722" s="84" t="str">
        <x:f>PROPER(TRIM('Raw Sales'!N722))</x:f>
        <x:v>Zoe Turner</x:v>
      </x:c>
      <x:c r="AC722" s="85" t="n">
        <x:f>'Raw Sales'!O722</x:f>
        <x:v>45556</x:v>
      </x:c>
      <x:c r="AD722" s="84" t="n">
        <x:f>AC722-B722</x:f>
        <x:v>3</x:v>
      </x:c>
      <x:c r="AE722" s="84" t="str">
        <x:f>IF(COUNTIF($A$5:A722,A722)&gt;1,"Duplicate","Keep")</x:f>
        <x:v>Keep</x:v>
      </x:c>
      <x:c r="AF722" s="84" t="str">
        <x:f>IF(OR(R722&lt;=0,AC722&lt;B722,H722="Unknown",M722="Unknown Product"),"Review","Valid")</x:f>
        <x:v>Valid</x:v>
      </x:c>
      <x:c r="AG722" s="84" t="n">
        <x:f>IF(AND(AE722="Keep",AF722="Valid"),1,0)</x:f>
        <x:v>1</x:v>
      </x:c>
      <x:c r="AH722" s="84" t="n">
        <x:f>IF(AND(AG722=1,OR('Dashboard'!$B$4="All",I722='Dashboard'!$B$4),OR('Dashboard'!$E$4="All",N722='Dashboard'!$E$4),OR('Dashboard'!$H$4="All",K722='Dashboard'!$H$4),OR('Dashboard'!$K$4="All",C722='Dashboard'!$K$4)),1,0)</x:f>
        <x:v>1</x:v>
      </x:c>
      <x:c r="AI722" s="84" t="n">
        <x:f>IF(AND(AG722=1,OR('Dashboard'!$B$4="All",I722='Dashboard'!$B$4),OR('Dashboard'!$E$4="All",N722='Dashboard'!$E$4),OR('Dashboard'!$H$4="All",K722='Dashboard'!$H$4)),1,0)</x:f>
        <x:v>1</x:v>
      </x:c>
    </x:row>
    <x:row r="723">
      <x:c r="A723" s="84" t="str">
        <x:f>'Raw Sales'!A723</x:f>
        <x:v>ORD-2024-00203</x:v>
      </x:c>
      <x:c r="B723" s="85" t="n">
        <x:f>'Raw Sales'!B723</x:f>
        <x:v>45554</x:v>
      </x:c>
      <x:c r="C723" s="84" t="n">
        <x:f>YEAR(B723)</x:f>
        <x:v>2024</x:v>
      </x:c>
      <x:c r="D723" s="91" t="n">
        <x:f>DATE(YEAR(B723),MONTH(B723),1)</x:f>
        <x:v>45536</x:v>
      </x:c>
      <x:c r="E723" s="84" t="str">
        <x:f>TEXT(B723,"mmm")</x:f>
        <x:v>Sep</x:v>
      </x:c>
      <x:c r="F723" s="84" t="str">
        <x:f>'Raw Sales'!C723</x:f>
        <x:v>CUST-0619</x:v>
      </x:c>
      <x:c r="G723" s="84" t="str">
        <x:f>PROPER(TRIM('Raw Sales'!D723))</x:f>
        <x:v>Elias Smith</x:v>
      </x:c>
      <x:c r="H723" s="84" t="str">
        <x:f>IF(TRIM('Raw Sales'!E723)="","Unknown",PROPER(TRIM('Raw Sales'!E723)))</x:f>
        <x:v>Consumer</x:v>
      </x:c>
      <x:c r="I723" s="84" t="str">
        <x:f>PROPER(TRIM('Raw Sales'!F723))</x:f>
        <x:v>Midwest</x:v>
      </x:c>
      <x:c r="J723" s="84" t="str">
        <x:f>PROPER(TRIM('Raw Sales'!G723))</x:f>
        <x:v>Columbus</x:v>
      </x:c>
      <x:c r="K723" s="84" t="str">
        <x:f>PROPER(TRIM('Raw Sales'!H723))</x:f>
        <x:v>Marketplace</x:v>
      </x:c>
      <x:c r="L723" s="84" t="str">
        <x:f>'Raw Sales'!I723</x:f>
        <x:v>HOME-003</x:v>
      </x:c>
      <x:c r="M723" s="84" t="str">
        <x:f>IFERROR(VLOOKUP(L723,'Reference Data'!$A$5:$F$40,2,FALSE),"Unknown Product")</x:f>
        <x:v>Countertop Blender</x:v>
      </x:c>
      <x:c r="N723" s="84" t="str">
        <x:f>IFERROR(VLOOKUP(L723,'Reference Data'!$A$5:$F$40,3,FALSE),"Unknown")</x:f>
        <x:v>Home &amp; Kitchen</x:v>
      </x:c>
      <x:c r="O723" s="84" t="str">
        <x:f>IFERROR(VLOOKUP(L723,'Reference Data'!$A$5:$F$40,4,FALSE),"Unknown")</x:f>
        <x:v>Small Appliances</x:v>
      </x:c>
      <x:c r="P723" s="92" t="n">
        <x:f>IFERROR(VLOOKUP(L723,'Reference Data'!$A$5:$F$40,5,FALSE),0)</x:f>
        <x:v>89</x:v>
      </x:c>
      <x:c r="Q723" s="92" t="n">
        <x:f>IFERROR(VLOOKUP(L723,'Reference Data'!$A$5:$F$40,6,FALSE),0)</x:f>
        <x:v>46</x:v>
      </x:c>
      <x:c r="R723" s="84" t="n">
        <x:f>'Raw Sales'!J723</x:f>
        <x:v>2</x:v>
      </x:c>
      <x:c r="S723" s="87" t="n">
        <x:f>'Raw Sales'!K723</x:f>
        <x:v>0.1</x:v>
      </x:c>
      <x:c r="T723" s="93" t="n">
        <x:f>P723*R723</x:f>
        <x:v>178</x:v>
      </x:c>
      <x:c r="U723" s="93" t="n">
        <x:f>T723*S723</x:f>
        <x:v>17.8</x:v>
      </x:c>
      <x:c r="V723" s="93" t="str">
        <x:f>PROPER(TRIM('Raw Sales'!L723))</x:f>
        <x:v>Completed</x:v>
      </x:c>
      <x:c r="W723" s="93" t="n">
        <x:f>IF(V723="Returned",0,T723-U723)</x:f>
        <x:v>160.2</x:v>
      </x:c>
      <x:c r="X723" s="93" t="n">
        <x:f>IF(V723="Returned",Q723*R723*10%,Q723*R723)</x:f>
        <x:v>92</x:v>
      </x:c>
      <x:c r="Y723" s="93" t="n">
        <x:f>W723-X723</x:f>
        <x:v>68.19999999999999</x:v>
      </x:c>
      <x:c r="Z723" s="94" t="n">
        <x:f>IFERROR(Y723/W723,0)</x:f>
        <x:v>0.4257178526841448</x:v>
      </x:c>
      <x:c r="AA723" s="84" t="str">
        <x:f>PROPER(TRIM('Raw Sales'!M723))</x:f>
        <x:v>Mobile Wallet</x:v>
      </x:c>
      <x:c r="AB723" s="84" t="str">
        <x:f>PROPER(TRIM('Raw Sales'!N723))</x:f>
        <x:v>Zoe Turner</x:v>
      </x:c>
      <x:c r="AC723" s="85" t="n">
        <x:f>'Raw Sales'!O723</x:f>
        <x:v>45560</x:v>
      </x:c>
      <x:c r="AD723" s="84" t="n">
        <x:f>AC723-B723</x:f>
        <x:v>6</x:v>
      </x:c>
      <x:c r="AE723" s="84" t="str">
        <x:f>IF(COUNTIF($A$5:A723,A723)&gt;1,"Duplicate","Keep")</x:f>
        <x:v>Keep</x:v>
      </x:c>
      <x:c r="AF723" s="84" t="str">
        <x:f>IF(OR(R723&lt;=0,AC723&lt;B723,H723="Unknown",M723="Unknown Product"),"Review","Valid")</x:f>
        <x:v>Valid</x:v>
      </x:c>
      <x:c r="AG723" s="84" t="n">
        <x:f>IF(AND(AE723="Keep",AF723="Valid"),1,0)</x:f>
        <x:v>1</x:v>
      </x:c>
      <x:c r="AH723" s="84" t="n">
        <x:f>IF(AND(AG723=1,OR('Dashboard'!$B$4="All",I723='Dashboard'!$B$4),OR('Dashboard'!$E$4="All",N723='Dashboard'!$E$4),OR('Dashboard'!$H$4="All",K723='Dashboard'!$H$4),OR('Dashboard'!$K$4="All",C723='Dashboard'!$K$4)),1,0)</x:f>
        <x:v>1</x:v>
      </x:c>
      <x:c r="AI723" s="84" t="n">
        <x:f>IF(AND(AG723=1,OR('Dashboard'!$B$4="All",I723='Dashboard'!$B$4),OR('Dashboard'!$E$4="All",N723='Dashboard'!$E$4),OR('Dashboard'!$H$4="All",K723='Dashboard'!$H$4)),1,0)</x:f>
        <x:v>1</x:v>
      </x:c>
    </x:row>
    <x:row r="724">
      <x:c r="A724" s="84" t="str">
        <x:f>'Raw Sales'!A724</x:f>
        <x:v>ORD-2024-00337</x:v>
      </x:c>
      <x:c r="B724" s="85" t="n">
        <x:f>'Raw Sales'!B724</x:f>
        <x:v>45554</x:v>
      </x:c>
      <x:c r="C724" s="84" t="n">
        <x:f>YEAR(B724)</x:f>
        <x:v>2024</x:v>
      </x:c>
      <x:c r="D724" s="91" t="n">
        <x:f>DATE(YEAR(B724),MONTH(B724),1)</x:f>
        <x:v>45536</x:v>
      </x:c>
      <x:c r="E724" s="84" t="str">
        <x:f>TEXT(B724,"mmm")</x:f>
        <x:v>Sep</x:v>
      </x:c>
      <x:c r="F724" s="84" t="str">
        <x:f>'Raw Sales'!C724</x:f>
        <x:v>CUST-0529</x:v>
      </x:c>
      <x:c r="G724" s="84" t="str">
        <x:f>PROPER(TRIM('Raw Sales'!D724))</x:f>
        <x:v>Grace Hall</x:v>
      </x:c>
      <x:c r="H724" s="84" t="str">
        <x:f>IF(TRIM('Raw Sales'!E724)="","Unknown",PROPER(TRIM('Raw Sales'!E724)))</x:f>
        <x:v>Consumer</x:v>
      </x:c>
      <x:c r="I724" s="84" t="str">
        <x:f>PROPER(TRIM('Raw Sales'!F724))</x:f>
        <x:v>Northeast</x:v>
      </x:c>
      <x:c r="J724" s="84" t="str">
        <x:f>PROPER(TRIM('Raw Sales'!G724))</x:f>
        <x:v>Newark</x:v>
      </x:c>
      <x:c r="K724" s="84" t="str">
        <x:f>PROPER(TRIM('Raw Sales'!H724))</x:f>
        <x:v>Online</x:v>
      </x:c>
      <x:c r="L724" s="84" t="str">
        <x:f>'Raw Sales'!I724</x:f>
        <x:v>ACCS-002</x:v>
      </x:c>
      <x:c r="M724" s="84" t="str">
        <x:f>IFERROR(VLOOKUP(L724,'Reference Data'!$A$5:$F$40,2,FALSE),"Unknown Product")</x:f>
        <x:v>Travel Backpack</x:v>
      </x:c>
      <x:c r="N724" s="84" t="str">
        <x:f>IFERROR(VLOOKUP(L724,'Reference Data'!$A$5:$F$40,3,FALSE),"Unknown")</x:f>
        <x:v>Accessories</x:v>
      </x:c>
      <x:c r="O724" s="84" t="str">
        <x:f>IFERROR(VLOOKUP(L724,'Reference Data'!$A$5:$F$40,4,FALSE),"Unknown")</x:f>
        <x:v>Bags</x:v>
      </x:c>
      <x:c r="P724" s="92" t="n">
        <x:f>IFERROR(VLOOKUP(L724,'Reference Data'!$A$5:$F$40,5,FALSE),0)</x:f>
        <x:v>89</x:v>
      </x:c>
      <x:c r="Q724" s="92" t="n">
        <x:f>IFERROR(VLOOKUP(L724,'Reference Data'!$A$5:$F$40,6,FALSE),0)</x:f>
        <x:v>36</x:v>
      </x:c>
      <x:c r="R724" s="84" t="n">
        <x:f>'Raw Sales'!J724</x:f>
        <x:v>1</x:v>
      </x:c>
      <x:c r="S724" s="87" t="n">
        <x:f>'Raw Sales'!K724</x:f>
        <x:v>0.1</x:v>
      </x:c>
      <x:c r="T724" s="93" t="n">
        <x:f>P724*R724</x:f>
        <x:v>89</x:v>
      </x:c>
      <x:c r="U724" s="93" t="n">
        <x:f>T724*S724</x:f>
        <x:v>8.9</x:v>
      </x:c>
      <x:c r="V724" s="93" t="str">
        <x:f>PROPER(TRIM('Raw Sales'!L724))</x:f>
        <x:v>Completed</x:v>
      </x:c>
      <x:c r="W724" s="93" t="n">
        <x:f>IF(V724="Returned",0,T724-U724)</x:f>
        <x:v>80.1</x:v>
      </x:c>
      <x:c r="X724" s="93" t="n">
        <x:f>IF(V724="Returned",Q724*R724*10%,Q724*R724)</x:f>
        <x:v>36</x:v>
      </x:c>
      <x:c r="Y724" s="93" t="n">
        <x:f>W724-X724</x:f>
        <x:v>44.099999999999994</x:v>
      </x:c>
      <x:c r="Z724" s="94" t="n">
        <x:f>IFERROR(Y724/W724,0)</x:f>
        <x:v>0.550561797752809</x:v>
      </x:c>
      <x:c r="AA724" s="84" t="str">
        <x:f>PROPER(TRIM('Raw Sales'!M724))</x:f>
        <x:v>Credit Card</x:v>
      </x:c>
      <x:c r="AB724" s="84" t="str">
        <x:f>PROPER(TRIM('Raw Sales'!N724))</x:f>
        <x:v>Sofia Bennett</x:v>
      </x:c>
      <x:c r="AC724" s="85" t="n">
        <x:f>'Raw Sales'!O724</x:f>
        <x:v>45560</x:v>
      </x:c>
      <x:c r="AD724" s="84" t="n">
        <x:f>AC724-B724</x:f>
        <x:v>6</x:v>
      </x:c>
      <x:c r="AE724" s="84" t="str">
        <x:f>IF(COUNTIF($A$5:A724,A724)&gt;1,"Duplicate","Keep")</x:f>
        <x:v>Keep</x:v>
      </x:c>
      <x:c r="AF724" s="84" t="str">
        <x:f>IF(OR(R724&lt;=0,AC724&lt;B724,H724="Unknown",M724="Unknown Product"),"Review","Valid")</x:f>
        <x:v>Valid</x:v>
      </x:c>
      <x:c r="AG724" s="84" t="n">
        <x:f>IF(AND(AE724="Keep",AF724="Valid"),1,0)</x:f>
        <x:v>1</x:v>
      </x:c>
      <x:c r="AH724" s="84" t="n">
        <x:f>IF(AND(AG724=1,OR('Dashboard'!$B$4="All",I724='Dashboard'!$B$4),OR('Dashboard'!$E$4="All",N724='Dashboard'!$E$4),OR('Dashboard'!$H$4="All",K724='Dashboard'!$H$4),OR('Dashboard'!$K$4="All",C724='Dashboard'!$K$4)),1,0)</x:f>
        <x:v>1</x:v>
      </x:c>
      <x:c r="AI724" s="84" t="n">
        <x:f>IF(AND(AG724=1,OR('Dashboard'!$B$4="All",I724='Dashboard'!$B$4),OR('Dashboard'!$E$4="All",N724='Dashboard'!$E$4),OR('Dashboard'!$H$4="All",K724='Dashboard'!$H$4)),1,0)</x:f>
        <x:v>1</x:v>
      </x:c>
    </x:row>
    <x:row r="725">
      <x:c r="A725" s="84" t="str">
        <x:f>'Raw Sales'!A725</x:f>
        <x:v>ORD-2024-02389</x:v>
      </x:c>
      <x:c r="B725" s="85" t="n">
        <x:f>'Raw Sales'!B725</x:f>
        <x:v>45554</x:v>
      </x:c>
      <x:c r="C725" s="84" t="n">
        <x:f>YEAR(B725)</x:f>
        <x:v>2024</x:v>
      </x:c>
      <x:c r="D725" s="91" t="n">
        <x:f>DATE(YEAR(B725),MONTH(B725),1)</x:f>
        <x:v>45536</x:v>
      </x:c>
      <x:c r="E725" s="84" t="str">
        <x:f>TEXT(B725,"mmm")</x:f>
        <x:v>Sep</x:v>
      </x:c>
      <x:c r="F725" s="84" t="str">
        <x:f>'Raw Sales'!C725</x:f>
        <x:v>CUST-0409</x:v>
      </x:c>
      <x:c r="G725" s="84" t="str">
        <x:f>PROPER(TRIM('Raw Sales'!D725))</x:f>
        <x:v>Owen Ortiz</x:v>
      </x:c>
      <x:c r="H725" s="84" t="str">
        <x:f>IF(TRIM('Raw Sales'!E725)="","Unknown",PROPER(TRIM('Raw Sales'!E725)))</x:f>
        <x:v>Consumer</x:v>
      </x:c>
      <x:c r="I725" s="84" t="str">
        <x:f>PROPER(TRIM('Raw Sales'!F725))</x:f>
        <x:v>West</x:v>
      </x:c>
      <x:c r="J725" s="84" t="str">
        <x:f>PROPER(TRIM('Raw Sales'!G725))</x:f>
        <x:v>Los Angeles</x:v>
      </x:c>
      <x:c r="K725" s="84" t="str">
        <x:f>PROPER(TRIM('Raw Sales'!H725))</x:f>
        <x:v>Online</x:v>
      </x:c>
      <x:c r="L725" s="84" t="str">
        <x:f>'Raw Sales'!I725</x:f>
        <x:v>CARE-003</x:v>
      </x:c>
      <x:c r="M725" s="84" t="str">
        <x:f>IFERROR(VLOOKUP(L725,'Reference Data'!$A$5:$F$40,2,FALSE),"Unknown Product")</x:f>
        <x:v>Facial Cleanser</x:v>
      </x:c>
      <x:c r="N725" s="84" t="str">
        <x:f>IFERROR(VLOOKUP(L725,'Reference Data'!$A$5:$F$40,3,FALSE),"Unknown")</x:f>
        <x:v>Personal Care</x:v>
      </x:c>
      <x:c r="O725" s="84" t="str">
        <x:f>IFERROR(VLOOKUP(L725,'Reference Data'!$A$5:$F$40,4,FALSE),"Unknown")</x:f>
        <x:v>Skin Care</x:v>
      </x:c>
      <x:c r="P725" s="92" t="n">
        <x:f>IFERROR(VLOOKUP(L725,'Reference Data'!$A$5:$F$40,5,FALSE),0)</x:f>
        <x:v>18</x:v>
      </x:c>
      <x:c r="Q725" s="92" t="n">
        <x:f>IFERROR(VLOOKUP(L725,'Reference Data'!$A$5:$F$40,6,FALSE),0)</x:f>
        <x:v>6</x:v>
      </x:c>
      <x:c r="R725" s="84" t="n">
        <x:f>'Raw Sales'!J725</x:f>
        <x:v>1</x:v>
      </x:c>
      <x:c r="S725" s="87" t="n">
        <x:f>'Raw Sales'!K725</x:f>
        <x:v>0.2</x:v>
      </x:c>
      <x:c r="T725" s="93" t="n">
        <x:f>P725*R725</x:f>
        <x:v>18</x:v>
      </x:c>
      <x:c r="U725" s="93" t="n">
        <x:f>T725*S725</x:f>
        <x:v>3.6</x:v>
      </x:c>
      <x:c r="V725" s="93" t="str">
        <x:f>PROPER(TRIM('Raw Sales'!L725))</x:f>
        <x:v>Completed</x:v>
      </x:c>
      <x:c r="W725" s="93" t="n">
        <x:f>IF(V725="Returned",0,T725-U725)</x:f>
        <x:v>14.4</x:v>
      </x:c>
      <x:c r="X725" s="93" t="n">
        <x:f>IF(V725="Returned",Q725*R725*10%,Q725*R725)</x:f>
        <x:v>6</x:v>
      </x:c>
      <x:c r="Y725" s="93" t="n">
        <x:f>W725-X725</x:f>
        <x:v>8.4</x:v>
      </x:c>
      <x:c r="Z725" s="94" t="n">
        <x:f>IFERROR(Y725/W725,0)</x:f>
        <x:v>0.5833333333333334</x:v>
      </x:c>
      <x:c r="AA725" s="84" t="str">
        <x:f>PROPER(TRIM('Raw Sales'!M725))</x:f>
        <x:v>Mobile Wallet</x:v>
      </x:c>
      <x:c r="AB725" s="84" t="str">
        <x:f>PROPER(TRIM('Raw Sales'!N725))</x:f>
        <x:v>Mia Chen</x:v>
      </x:c>
      <x:c r="AC725" s="85" t="n">
        <x:f>'Raw Sales'!O725</x:f>
        <x:v>45559</x:v>
      </x:c>
      <x:c r="AD725" s="84" t="n">
        <x:f>AC725-B725</x:f>
        <x:v>5</x:v>
      </x:c>
      <x:c r="AE725" s="84" t="str">
        <x:f>IF(COUNTIF($A$5:A725,A725)&gt;1,"Duplicate","Keep")</x:f>
        <x:v>Keep</x:v>
      </x:c>
      <x:c r="AF725" s="84" t="str">
        <x:f>IF(OR(R725&lt;=0,AC725&lt;B725,H725="Unknown",M725="Unknown Product"),"Review","Valid")</x:f>
        <x:v>Valid</x:v>
      </x:c>
      <x:c r="AG725" s="84" t="n">
        <x:f>IF(AND(AE725="Keep",AF725="Valid"),1,0)</x:f>
        <x:v>1</x:v>
      </x:c>
      <x:c r="AH725" s="84" t="n">
        <x:f>IF(AND(AG725=1,OR('Dashboard'!$B$4="All",I725='Dashboard'!$B$4),OR('Dashboard'!$E$4="All",N725='Dashboard'!$E$4),OR('Dashboard'!$H$4="All",K725='Dashboard'!$H$4),OR('Dashboard'!$K$4="All",C725='Dashboard'!$K$4)),1,0)</x:f>
        <x:v>1</x:v>
      </x:c>
      <x:c r="AI725" s="84" t="n">
        <x:f>IF(AND(AG725=1,OR('Dashboard'!$B$4="All",I725='Dashboard'!$B$4),OR('Dashboard'!$E$4="All",N725='Dashboard'!$E$4),OR('Dashboard'!$H$4="All",K725='Dashboard'!$H$4)),1,0)</x:f>
        <x:v>1</x:v>
      </x:c>
    </x:row>
    <x:row r="726">
      <x:c r="A726" s="84" t="str">
        <x:f>'Raw Sales'!A726</x:f>
        <x:v>ORD-2024-00892</x:v>
      </x:c>
      <x:c r="B726" s="85" t="n">
        <x:f>'Raw Sales'!B726</x:f>
        <x:v>45555</x:v>
      </x:c>
      <x:c r="C726" s="84" t="n">
        <x:f>YEAR(B726)</x:f>
        <x:v>2024</x:v>
      </x:c>
      <x:c r="D726" s="91" t="n">
        <x:f>DATE(YEAR(B726),MONTH(B726),1)</x:f>
        <x:v>45536</x:v>
      </x:c>
      <x:c r="E726" s="84" t="str">
        <x:f>TEXT(B726,"mmm")</x:f>
        <x:v>Sep</x:v>
      </x:c>
      <x:c r="F726" s="84" t="str">
        <x:f>'Raw Sales'!C726</x:f>
        <x:v>CUST-0294</x:v>
      </x:c>
      <x:c r="G726" s="84" t="str">
        <x:f>PROPER(TRIM('Raw Sales'!D726))</x:f>
        <x:v>Aiden Evans</x:v>
      </x:c>
      <x:c r="H726" s="84" t="str">
        <x:f>IF(TRIM('Raw Sales'!E726)="","Unknown",PROPER(TRIM('Raw Sales'!E726)))</x:f>
        <x:v>Consumer</x:v>
      </x:c>
      <x:c r="I726" s="84" t="str">
        <x:f>PROPER(TRIM('Raw Sales'!F726))</x:f>
        <x:v>Northeast</x:v>
      </x:c>
      <x:c r="J726" s="84" t="str">
        <x:f>PROPER(TRIM('Raw Sales'!G726))</x:f>
        <x:v>Newark</x:v>
      </x:c>
      <x:c r="K726" s="84" t="str">
        <x:f>PROPER(TRIM('Raw Sales'!H726))</x:f>
        <x:v>Online</x:v>
      </x:c>
      <x:c r="L726" s="84" t="str">
        <x:f>'Raw Sales'!I726</x:f>
        <x:v>ELEC-004</x:v>
      </x:c>
      <x:c r="M726" s="84" t="str">
        <x:f>IFERROR(VLOOKUP(L726,'Reference Data'!$A$5:$F$40,2,FALSE),"Unknown Product")</x:f>
        <x:v>Power Bank</x:v>
      </x:c>
      <x:c r="N726" s="84" t="str">
        <x:f>IFERROR(VLOOKUP(L726,'Reference Data'!$A$5:$F$40,3,FALSE),"Unknown")</x:f>
        <x:v>Electronics</x:v>
      </x:c>
      <x:c r="O726" s="84" t="str">
        <x:f>IFERROR(VLOOKUP(L726,'Reference Data'!$A$5:$F$40,4,FALSE),"Unknown")</x:f>
        <x:v>Mobile Accessories</x:v>
      </x:c>
      <x:c r="P726" s="92" t="n">
        <x:f>IFERROR(VLOOKUP(L726,'Reference Data'!$A$5:$F$40,5,FALSE),0)</x:f>
        <x:v>39</x:v>
      </x:c>
      <x:c r="Q726" s="92" t="n">
        <x:f>IFERROR(VLOOKUP(L726,'Reference Data'!$A$5:$F$40,6,FALSE),0)</x:f>
        <x:v>18</x:v>
      </x:c>
      <x:c r="R726" s="84" t="n">
        <x:f>'Raw Sales'!J726</x:f>
        <x:v>3</x:v>
      </x:c>
      <x:c r="S726" s="87" t="n">
        <x:f>'Raw Sales'!K726</x:f>
        <x:v>0</x:v>
      </x:c>
      <x:c r="T726" s="93" t="n">
        <x:f>P726*R726</x:f>
        <x:v>117</x:v>
      </x:c>
      <x:c r="U726" s="93" t="n">
        <x:f>T726*S726</x:f>
        <x:v>0</x:v>
      </x:c>
      <x:c r="V726" s="93" t="str">
        <x:f>PROPER(TRIM('Raw Sales'!L726))</x:f>
        <x:v>Returned</x:v>
      </x:c>
      <x:c r="W726" s="93" t="n">
        <x:f>IF(V726="Returned",0,T726-U726)</x:f>
        <x:v>0</x:v>
      </x:c>
      <x:c r="X726" s="93" t="n">
        <x:f>IF(V726="Returned",Q726*R726*10%,Q726*R726)</x:f>
        <x:v>5.4</x:v>
      </x:c>
      <x:c r="Y726" s="93" t="n">
        <x:f>W726-X726</x:f>
        <x:v>-5.4</x:v>
      </x:c>
      <x:c r="Z726" s="94" t="n">
        <x:f>IFERROR(Y726/W726,0)</x:f>
        <x:v>0</x:v>
      </x:c>
      <x:c r="AA726" s="84" t="str">
        <x:f>PROPER(TRIM('Raw Sales'!M726))</x:f>
        <x:v>Credit Card</x:v>
      </x:c>
      <x:c r="AB726" s="84" t="str">
        <x:f>PROPER(TRIM('Raw Sales'!N726))</x:f>
        <x:v>Sofia Bennett</x:v>
      </x:c>
      <x:c r="AC726" s="85" t="n">
        <x:f>'Raw Sales'!O726</x:f>
        <x:v>45557</x:v>
      </x:c>
      <x:c r="AD726" s="84" t="n">
        <x:f>AC726-B726</x:f>
        <x:v>2</x:v>
      </x:c>
      <x:c r="AE726" s="84" t="str">
        <x:f>IF(COUNTIF($A$5:A726,A726)&gt;1,"Duplicate","Keep")</x:f>
        <x:v>Keep</x:v>
      </x:c>
      <x:c r="AF726" s="84" t="str">
        <x:f>IF(OR(R726&lt;=0,AC726&lt;B726,H726="Unknown",M726="Unknown Product"),"Review","Valid")</x:f>
        <x:v>Valid</x:v>
      </x:c>
      <x:c r="AG726" s="84" t="n">
        <x:f>IF(AND(AE726="Keep",AF726="Valid"),1,0)</x:f>
        <x:v>1</x:v>
      </x:c>
      <x:c r="AH726" s="84" t="n">
        <x:f>IF(AND(AG726=1,OR('Dashboard'!$B$4="All",I726='Dashboard'!$B$4),OR('Dashboard'!$E$4="All",N726='Dashboard'!$E$4),OR('Dashboard'!$H$4="All",K726='Dashboard'!$H$4),OR('Dashboard'!$K$4="All",C726='Dashboard'!$K$4)),1,0)</x:f>
        <x:v>1</x:v>
      </x:c>
      <x:c r="AI726" s="84" t="n">
        <x:f>IF(AND(AG726=1,OR('Dashboard'!$B$4="All",I726='Dashboard'!$B$4),OR('Dashboard'!$E$4="All",N726='Dashboard'!$E$4),OR('Dashboard'!$H$4="All",K726='Dashboard'!$H$4)),1,0)</x:f>
        <x:v>1</x:v>
      </x:c>
    </x:row>
    <x:row r="727">
      <x:c r="A727" s="84" t="str">
        <x:f>'Raw Sales'!A727</x:f>
        <x:v>ORD-2024-01328</x:v>
      </x:c>
      <x:c r="B727" s="85" t="n">
        <x:f>'Raw Sales'!B727</x:f>
        <x:v>45555</x:v>
      </x:c>
      <x:c r="C727" s="84" t="n">
        <x:f>YEAR(B727)</x:f>
        <x:v>2024</x:v>
      </x:c>
      <x:c r="D727" s="91" t="n">
        <x:f>DATE(YEAR(B727),MONTH(B727),1)</x:f>
        <x:v>45536</x:v>
      </x:c>
      <x:c r="E727" s="84" t="str">
        <x:f>TEXT(B727,"mmm")</x:f>
        <x:v>Sep</x:v>
      </x:c>
      <x:c r="F727" s="84" t="str">
        <x:f>'Raw Sales'!C727</x:f>
        <x:v>CUST-0634</x:v>
      </x:c>
      <x:c r="G727" s="84" t="str">
        <x:f>PROPER(TRIM('Raw Sales'!D727))</x:f>
        <x:v>Daniel Nelson</x:v>
      </x:c>
      <x:c r="H727" s="84" t="str">
        <x:f>IF(TRIM('Raw Sales'!E727)="","Unknown",PROPER(TRIM('Raw Sales'!E727)))</x:f>
        <x:v>Consumer</x:v>
      </x:c>
      <x:c r="I727" s="84" t="str">
        <x:f>PROPER(TRIM('Raw Sales'!F727))</x:f>
        <x:v>Southeast</x:v>
      </x:c>
      <x:c r="J727" s="84" t="str">
        <x:f>PROPER(TRIM('Raw Sales'!G727))</x:f>
        <x:v>Atlanta</x:v>
      </x:c>
      <x:c r="K727" s="84" t="str">
        <x:f>PROPER(TRIM('Raw Sales'!H727))</x:f>
        <x:v>Retail Store</x:v>
      </x:c>
      <x:c r="L727" s="84" t="str">
        <x:f>'Raw Sales'!I727</x:f>
        <x:v>ELEC-006</x:v>
      </x:c>
      <x:c r="M727" s="84" t="str">
        <x:f>IFERROR(VLOOKUP(L727,'Reference Data'!$A$5:$F$40,2,FALSE),"Unknown Product")</x:f>
        <x:v>Portable SSD</x:v>
      </x:c>
      <x:c r="N727" s="84" t="str">
        <x:f>IFERROR(VLOOKUP(L727,'Reference Data'!$A$5:$F$40,3,FALSE),"Unknown")</x:f>
        <x:v>Electronics</x:v>
      </x:c>
      <x:c r="O727" s="84" t="str">
        <x:f>IFERROR(VLOOKUP(L727,'Reference Data'!$A$5:$F$40,4,FALSE),"Unknown")</x:f>
        <x:v>Storage</x:v>
      </x:c>
      <x:c r="P727" s="92" t="n">
        <x:f>IFERROR(VLOOKUP(L727,'Reference Data'!$A$5:$F$40,5,FALSE),0)</x:f>
        <x:v>129</x:v>
      </x:c>
      <x:c r="Q727" s="92" t="n">
        <x:f>IFERROR(VLOOKUP(L727,'Reference Data'!$A$5:$F$40,6,FALSE),0)</x:f>
        <x:v>75</x:v>
      </x:c>
      <x:c r="R727" s="84" t="n">
        <x:f>'Raw Sales'!J727</x:f>
        <x:v>1</x:v>
      </x:c>
      <x:c r="S727" s="87" t="n">
        <x:f>'Raw Sales'!K727</x:f>
        <x:v>0</x:v>
      </x:c>
      <x:c r="T727" s="93" t="n">
        <x:f>P727*R727</x:f>
        <x:v>129</x:v>
      </x:c>
      <x:c r="U727" s="93" t="n">
        <x:f>T727*S727</x:f>
        <x:v>0</x:v>
      </x:c>
      <x:c r="V727" s="93" t="str">
        <x:f>PROPER(TRIM('Raw Sales'!L727))</x:f>
        <x:v>Completed</x:v>
      </x:c>
      <x:c r="W727" s="93" t="n">
        <x:f>IF(V727="Returned",0,T727-U727)</x:f>
        <x:v>129</x:v>
      </x:c>
      <x:c r="X727" s="93" t="n">
        <x:f>IF(V727="Returned",Q727*R727*10%,Q727*R727)</x:f>
        <x:v>75</x:v>
      </x:c>
      <x:c r="Y727" s="93" t="n">
        <x:f>W727-X727</x:f>
        <x:v>54</x:v>
      </x:c>
      <x:c r="Z727" s="94" t="n">
        <x:f>IFERROR(Y727/W727,0)</x:f>
        <x:v>0.4186046511627907</x:v>
      </x:c>
      <x:c r="AA727" s="84" t="str">
        <x:f>PROPER(TRIM('Raw Sales'!M727))</x:f>
        <x:v>Credit Card</x:v>
      </x:c>
      <x:c r="AB727" s="84" t="str">
        <x:f>PROPER(TRIM('Raw Sales'!N727))</x:f>
        <x:v>Noah Reed</x:v>
      </x:c>
      <x:c r="AC727" s="85" t="n">
        <x:f>'Raw Sales'!O727</x:f>
        <x:v>45556</x:v>
      </x:c>
      <x:c r="AD727" s="84" t="n">
        <x:f>AC727-B727</x:f>
        <x:v>1</x:v>
      </x:c>
      <x:c r="AE727" s="84" t="str">
        <x:f>IF(COUNTIF($A$5:A727,A727)&gt;1,"Duplicate","Keep")</x:f>
        <x:v>Keep</x:v>
      </x:c>
      <x:c r="AF727" s="84" t="str">
        <x:f>IF(OR(R727&lt;=0,AC727&lt;B727,H727="Unknown",M727="Unknown Product"),"Review","Valid")</x:f>
        <x:v>Valid</x:v>
      </x:c>
      <x:c r="AG727" s="84" t="n">
        <x:f>IF(AND(AE727="Keep",AF727="Valid"),1,0)</x:f>
        <x:v>1</x:v>
      </x:c>
      <x:c r="AH727" s="84" t="n">
        <x:f>IF(AND(AG727=1,OR('Dashboard'!$B$4="All",I727='Dashboard'!$B$4),OR('Dashboard'!$E$4="All",N727='Dashboard'!$E$4),OR('Dashboard'!$H$4="All",K727='Dashboard'!$H$4),OR('Dashboard'!$K$4="All",C727='Dashboard'!$K$4)),1,0)</x:f>
        <x:v>1</x:v>
      </x:c>
      <x:c r="AI727" s="84" t="n">
        <x:f>IF(AND(AG727=1,OR('Dashboard'!$B$4="All",I727='Dashboard'!$B$4),OR('Dashboard'!$E$4="All",N727='Dashboard'!$E$4),OR('Dashboard'!$H$4="All",K727='Dashboard'!$H$4)),1,0)</x:f>
        <x:v>1</x:v>
      </x:c>
    </x:row>
    <x:row r="728">
      <x:c r="A728" s="84" t="str">
        <x:f>'Raw Sales'!A728</x:f>
        <x:v>ORD-2024-01788</x:v>
      </x:c>
      <x:c r="B728" s="85" t="n">
        <x:f>'Raw Sales'!B728</x:f>
        <x:v>45555</x:v>
      </x:c>
      <x:c r="C728" s="84" t="n">
        <x:f>YEAR(B728)</x:f>
        <x:v>2024</x:v>
      </x:c>
      <x:c r="D728" s="91" t="n">
        <x:f>DATE(YEAR(B728),MONTH(B728),1)</x:f>
        <x:v>45536</x:v>
      </x:c>
      <x:c r="E728" s="84" t="str">
        <x:f>TEXT(B728,"mmm")</x:f>
        <x:v>Sep</x:v>
      </x:c>
      <x:c r="F728" s="84" t="str">
        <x:f>'Raw Sales'!C728</x:f>
        <x:v>CUST-0390</x:v>
      </x:c>
      <x:c r="G728" s="84" t="str">
        <x:f>PROPER(TRIM('Raw Sales'!D728))</x:f>
        <x:v>Daniel Adams</x:v>
      </x:c>
      <x:c r="H728" s="84" t="str">
        <x:f>IF(TRIM('Raw Sales'!E728)="","Unknown",PROPER(TRIM('Raw Sales'!E728)))</x:f>
        <x:v>Consumer</x:v>
      </x:c>
      <x:c r="I728" s="84" t="str">
        <x:f>PROPER(TRIM('Raw Sales'!F728))</x:f>
        <x:v>West</x:v>
      </x:c>
      <x:c r="J728" s="84" t="str">
        <x:f>PROPER(TRIM('Raw Sales'!G728))</x:f>
        <x:v>Los Angeles</x:v>
      </x:c>
      <x:c r="K728" s="84" t="str">
        <x:f>PROPER(TRIM('Raw Sales'!H728))</x:f>
        <x:v>Retail Store</x:v>
      </x:c>
      <x:c r="L728" s="84" t="str">
        <x:f>'Raw Sales'!I728</x:f>
        <x:v>ELEC-006</x:v>
      </x:c>
      <x:c r="M728" s="84" t="str">
        <x:f>IFERROR(VLOOKUP(L728,'Reference Data'!$A$5:$F$40,2,FALSE),"Unknown Product")</x:f>
        <x:v>Portable SSD</x:v>
      </x:c>
      <x:c r="N728" s="84" t="str">
        <x:f>IFERROR(VLOOKUP(L728,'Reference Data'!$A$5:$F$40,3,FALSE),"Unknown")</x:f>
        <x:v>Electronics</x:v>
      </x:c>
      <x:c r="O728" s="84" t="str">
        <x:f>IFERROR(VLOOKUP(L728,'Reference Data'!$A$5:$F$40,4,FALSE),"Unknown")</x:f>
        <x:v>Storage</x:v>
      </x:c>
      <x:c r="P728" s="92" t="n">
        <x:f>IFERROR(VLOOKUP(L728,'Reference Data'!$A$5:$F$40,5,FALSE),0)</x:f>
        <x:v>129</x:v>
      </x:c>
      <x:c r="Q728" s="92" t="n">
        <x:f>IFERROR(VLOOKUP(L728,'Reference Data'!$A$5:$F$40,6,FALSE),0)</x:f>
        <x:v>75</x:v>
      </x:c>
      <x:c r="R728" s="84" t="n">
        <x:f>'Raw Sales'!J728</x:f>
        <x:v>1</x:v>
      </x:c>
      <x:c r="S728" s="87" t="n">
        <x:f>'Raw Sales'!K728</x:f>
        <x:v>0.05</x:v>
      </x:c>
      <x:c r="T728" s="93" t="n">
        <x:f>P728*R728</x:f>
        <x:v>129</x:v>
      </x:c>
      <x:c r="U728" s="93" t="n">
        <x:f>T728*S728</x:f>
        <x:v>6.45</x:v>
      </x:c>
      <x:c r="V728" s="93" t="str">
        <x:f>PROPER(TRIM('Raw Sales'!L728))</x:f>
        <x:v>Completed</x:v>
      </x:c>
      <x:c r="W728" s="93" t="n">
        <x:f>IF(V728="Returned",0,T728-U728)</x:f>
        <x:v>122.55</x:v>
      </x:c>
      <x:c r="X728" s="93" t="n">
        <x:f>IF(V728="Returned",Q728*R728*10%,Q728*R728)</x:f>
        <x:v>75</x:v>
      </x:c>
      <x:c r="Y728" s="93" t="n">
        <x:f>W728-X728</x:f>
        <x:v>47.55</x:v>
      </x:c>
      <x:c r="Z728" s="94" t="n">
        <x:f>IFERROR(Y728/W728,0)</x:f>
        <x:v>0.3880048959608323</x:v>
      </x:c>
      <x:c r="AA728" s="84" t="str">
        <x:f>PROPER(TRIM('Raw Sales'!M728))</x:f>
        <x:v>Debit Card</x:v>
      </x:c>
      <x:c r="AB728" s="84" t="str">
        <x:f>PROPER(TRIM('Raw Sales'!N728))</x:f>
        <x:v>Nora Kim</x:v>
      </x:c>
      <x:c r="AC728" s="85" t="n">
        <x:f>'Raw Sales'!O728</x:f>
        <x:v>45555</x:v>
      </x:c>
      <x:c r="AD728" s="84" t="n">
        <x:f>AC728-B728</x:f>
        <x:v>0</x:v>
      </x:c>
      <x:c r="AE728" s="84" t="str">
        <x:f>IF(COUNTIF($A$5:A728,A728)&gt;1,"Duplicate","Keep")</x:f>
        <x:v>Keep</x:v>
      </x:c>
      <x:c r="AF728" s="84" t="str">
        <x:f>IF(OR(R728&lt;=0,AC728&lt;B728,H728="Unknown",M728="Unknown Product"),"Review","Valid")</x:f>
        <x:v>Valid</x:v>
      </x:c>
      <x:c r="AG728" s="84" t="n">
        <x:f>IF(AND(AE728="Keep",AF728="Valid"),1,0)</x:f>
        <x:v>1</x:v>
      </x:c>
      <x:c r="AH728" s="84" t="n">
        <x:f>IF(AND(AG728=1,OR('Dashboard'!$B$4="All",I728='Dashboard'!$B$4),OR('Dashboard'!$E$4="All",N728='Dashboard'!$E$4),OR('Dashboard'!$H$4="All",K728='Dashboard'!$H$4),OR('Dashboard'!$K$4="All",C728='Dashboard'!$K$4)),1,0)</x:f>
        <x:v>1</x:v>
      </x:c>
      <x:c r="AI728" s="84" t="n">
        <x:f>IF(AND(AG728=1,OR('Dashboard'!$B$4="All",I728='Dashboard'!$B$4),OR('Dashboard'!$E$4="All",N728='Dashboard'!$E$4),OR('Dashboard'!$H$4="All",K728='Dashboard'!$H$4)),1,0)</x:f>
        <x:v>1</x:v>
      </x:c>
    </x:row>
    <x:row r="729">
      <x:c r="A729" s="84" t="str">
        <x:f>'Raw Sales'!A729</x:f>
        <x:v>ORD-2024-01889</x:v>
      </x:c>
      <x:c r="B729" s="85" t="n">
        <x:f>'Raw Sales'!B729</x:f>
        <x:v>45555</x:v>
      </x:c>
      <x:c r="C729" s="84" t="n">
        <x:f>YEAR(B729)</x:f>
        <x:v>2024</x:v>
      </x:c>
      <x:c r="D729" s="91" t="n">
        <x:f>DATE(YEAR(B729),MONTH(B729),1)</x:f>
        <x:v>45536</x:v>
      </x:c>
      <x:c r="E729" s="84" t="str">
        <x:f>TEXT(B729,"mmm")</x:f>
        <x:v>Sep</x:v>
      </x:c>
      <x:c r="F729" s="84" t="str">
        <x:f>'Raw Sales'!C729</x:f>
        <x:v>CUST-0247</x:v>
      </x:c>
      <x:c r="G729" s="84" t="str">
        <x:f>PROPER(TRIM('Raw Sales'!D729))</x:f>
        <x:v>Maya Young</x:v>
      </x:c>
      <x:c r="H729" s="84" t="str">
        <x:f>IF(TRIM('Raw Sales'!E729)="","Unknown",PROPER(TRIM('Raw Sales'!E729)))</x:f>
        <x:v>Consumer</x:v>
      </x:c>
      <x:c r="I729" s="84" t="str">
        <x:f>PROPER(TRIM('Raw Sales'!F729))</x:f>
        <x:v>Southeast</x:v>
      </x:c>
      <x:c r="J729" s="84" t="str">
        <x:f>PROPER(TRIM('Raw Sales'!G729))</x:f>
        <x:v>Nashville</x:v>
      </x:c>
      <x:c r="K729" s="84" t="str">
        <x:f>PROPER(TRIM('Raw Sales'!H729))</x:f>
        <x:v>Online</x:v>
      </x:c>
      <x:c r="L729" s="84" t="str">
        <x:f>'Raw Sales'!I729</x:f>
        <x:v>ACCS-004</x:v>
      </x:c>
      <x:c r="M729" s="84" t="str">
        <x:f>IFERROR(VLOOKUP(L729,'Reference Data'!$A$5:$F$40,2,FALSE),"Unknown Product")</x:f>
        <x:v>Leather Wallet</x:v>
      </x:c>
      <x:c r="N729" s="84" t="str">
        <x:f>IFERROR(VLOOKUP(L729,'Reference Data'!$A$5:$F$40,3,FALSE),"Unknown")</x:f>
        <x:v>Accessories</x:v>
      </x:c>
      <x:c r="O729" s="84" t="str">
        <x:f>IFERROR(VLOOKUP(L729,'Reference Data'!$A$5:$F$40,4,FALSE),"Unknown")</x:f>
        <x:v>Wallets</x:v>
      </x:c>
      <x:c r="P729" s="92" t="n">
        <x:f>IFERROR(VLOOKUP(L729,'Reference Data'!$A$5:$F$40,5,FALSE),0)</x:f>
        <x:v>49</x:v>
      </x:c>
      <x:c r="Q729" s="92" t="n">
        <x:f>IFERROR(VLOOKUP(L729,'Reference Data'!$A$5:$F$40,6,FALSE),0)</x:f>
        <x:v>18</x:v>
      </x:c>
      <x:c r="R729" s="84" t="n">
        <x:f>'Raw Sales'!J729</x:f>
        <x:v>-1</x:v>
      </x:c>
      <x:c r="S729" s="87" t="n">
        <x:f>'Raw Sales'!K729</x:f>
        <x:v>0</x:v>
      </x:c>
      <x:c r="T729" s="93" t="n">
        <x:f>P729*R729</x:f>
        <x:v>-49</x:v>
      </x:c>
      <x:c r="U729" s="93" t="n">
        <x:f>T729*S729</x:f>
        <x:v>0</x:v>
      </x:c>
      <x:c r="V729" s="93" t="str">
        <x:f>PROPER(TRIM('Raw Sales'!L729))</x:f>
        <x:v>Completed</x:v>
      </x:c>
      <x:c r="W729" s="93" t="n">
        <x:f>IF(V729="Returned",0,T729-U729)</x:f>
        <x:v>-49</x:v>
      </x:c>
      <x:c r="X729" s="93" t="n">
        <x:f>IF(V729="Returned",Q729*R729*10%,Q729*R729)</x:f>
        <x:v>-18</x:v>
      </x:c>
      <x:c r="Y729" s="93" t="n">
        <x:f>W729-X729</x:f>
        <x:v>-31</x:v>
      </x:c>
      <x:c r="Z729" s="94" t="n">
        <x:f>IFERROR(Y729/W729,0)</x:f>
        <x:v>0.6326530612244898</x:v>
      </x:c>
      <x:c r="AA729" s="84" t="str">
        <x:f>PROPER(TRIM('Raw Sales'!M729))</x:f>
        <x:v>Mobile Wallet</x:v>
      </x:c>
      <x:c r="AB729" s="84" t="str">
        <x:f>PROPER(TRIM('Raw Sales'!N729))</x:f>
        <x:v>Liam Parker</x:v>
      </x:c>
      <x:c r="AC729" s="85" t="n">
        <x:f>'Raw Sales'!O729</x:f>
        <x:v>45560</x:v>
      </x:c>
      <x:c r="AD729" s="84" t="n">
        <x:f>AC729-B729</x:f>
        <x:v>5</x:v>
      </x:c>
      <x:c r="AE729" s="84" t="str">
        <x:f>IF(COUNTIF($A$5:A729,A729)&gt;1,"Duplicate","Keep")</x:f>
        <x:v>Keep</x:v>
      </x:c>
      <x:c r="AF729" s="84" t="str">
        <x:f>IF(OR(R729&lt;=0,AC729&lt;B729,H729="Unknown",M729="Unknown Product"),"Review","Valid")</x:f>
        <x:v>Review</x:v>
      </x:c>
      <x:c r="AG729" s="84" t="n">
        <x:f>IF(AND(AE729="Keep",AF729="Valid"),1,0)</x:f>
        <x:v>0</x:v>
      </x:c>
      <x:c r="AH729" s="84" t="n">
        <x:f>IF(AND(AG729=1,OR('Dashboard'!$B$4="All",I729='Dashboard'!$B$4),OR('Dashboard'!$E$4="All",N729='Dashboard'!$E$4),OR('Dashboard'!$H$4="All",K729='Dashboard'!$H$4),OR('Dashboard'!$K$4="All",C729='Dashboard'!$K$4)),1,0)</x:f>
        <x:v>0</x:v>
      </x:c>
      <x:c r="AI729" s="84" t="n">
        <x:f>IF(AND(AG729=1,OR('Dashboard'!$B$4="All",I729='Dashboard'!$B$4),OR('Dashboard'!$E$4="All",N729='Dashboard'!$E$4),OR('Dashboard'!$H$4="All",K729='Dashboard'!$H$4)),1,0)</x:f>
        <x:v>0</x:v>
      </x:c>
    </x:row>
    <x:row r="730">
      <x:c r="A730" s="84" t="str">
        <x:f>'Raw Sales'!A730</x:f>
        <x:v>ORD-2024-01308</x:v>
      </x:c>
      <x:c r="B730" s="85" t="n">
        <x:f>'Raw Sales'!B730</x:f>
        <x:v>45556</x:v>
      </x:c>
      <x:c r="C730" s="84" t="n">
        <x:f>YEAR(B730)</x:f>
        <x:v>2024</x:v>
      </x:c>
      <x:c r="D730" s="91" t="n">
        <x:f>DATE(YEAR(B730),MONTH(B730),1)</x:f>
        <x:v>45536</x:v>
      </x:c>
      <x:c r="E730" s="84" t="str">
        <x:f>TEXT(B730,"mmm")</x:f>
        <x:v>Sep</x:v>
      </x:c>
      <x:c r="F730" s="84" t="str">
        <x:f>'Raw Sales'!C730</x:f>
        <x:v>CUST-0080</x:v>
      </x:c>
      <x:c r="G730" s="84" t="str">
        <x:f>PROPER(TRIM('Raw Sales'!D730))</x:f>
        <x:v>Maya Patel</x:v>
      </x:c>
      <x:c r="H730" s="84" t="str">
        <x:f>IF(TRIM('Raw Sales'!E730)="","Unknown",PROPER(TRIM('Raw Sales'!E730)))</x:f>
        <x:v>Corporate</x:v>
      </x:c>
      <x:c r="I730" s="84" t="str">
        <x:f>PROPER(TRIM('Raw Sales'!F730))</x:f>
        <x:v>Midwest</x:v>
      </x:c>
      <x:c r="J730" s="84" t="str">
        <x:f>PROPER(TRIM('Raw Sales'!G730))</x:f>
        <x:v>Columbus</x:v>
      </x:c>
      <x:c r="K730" s="84" t="str">
        <x:f>PROPER(TRIM('Raw Sales'!H730))</x:f>
        <x:v>Online</x:v>
      </x:c>
      <x:c r="L730" s="84" t="str">
        <x:f>'Raw Sales'!I730</x:f>
        <x:v>ACCS-005</x:v>
      </x:c>
      <x:c r="M730" s="84" t="str">
        <x:f>IFERROR(VLOOKUP(L730,'Reference Data'!$A$5:$F$40,2,FALSE),"Unknown Product")</x:f>
        <x:v>Protective Phone Case</x:v>
      </x:c>
      <x:c r="N730" s="84" t="str">
        <x:f>IFERROR(VLOOKUP(L730,'Reference Data'!$A$5:$F$40,3,FALSE),"Unknown")</x:f>
        <x:v>Accessories</x:v>
      </x:c>
      <x:c r="O730" s="84" t="str">
        <x:f>IFERROR(VLOOKUP(L730,'Reference Data'!$A$5:$F$40,4,FALSE),"Unknown")</x:f>
        <x:v>Mobile Accessories</x:v>
      </x:c>
      <x:c r="P730" s="92" t="n">
        <x:f>IFERROR(VLOOKUP(L730,'Reference Data'!$A$5:$F$40,5,FALSE),0)</x:f>
        <x:v>24</x:v>
      </x:c>
      <x:c r="Q730" s="92" t="n">
        <x:f>IFERROR(VLOOKUP(L730,'Reference Data'!$A$5:$F$40,6,FALSE),0)</x:f>
        <x:v>5</x:v>
      </x:c>
      <x:c r="R730" s="84" t="n">
        <x:f>'Raw Sales'!J730</x:f>
        <x:v>4</x:v>
      </x:c>
      <x:c r="S730" s="87" t="n">
        <x:f>'Raw Sales'!K730</x:f>
        <x:v>0.15</x:v>
      </x:c>
      <x:c r="T730" s="93" t="n">
        <x:f>P730*R730</x:f>
        <x:v>96</x:v>
      </x:c>
      <x:c r="U730" s="93" t="n">
        <x:f>T730*S730</x:f>
        <x:v>14.399999999999999</x:v>
      </x:c>
      <x:c r="V730" s="93" t="str">
        <x:f>PROPER(TRIM('Raw Sales'!L730))</x:f>
        <x:v>Completed</x:v>
      </x:c>
      <x:c r="W730" s="93" t="n">
        <x:f>IF(V730="Returned",0,T730-U730)</x:f>
        <x:v>81.6</x:v>
      </x:c>
      <x:c r="X730" s="93" t="n">
        <x:f>IF(V730="Returned",Q730*R730*10%,Q730*R730)</x:f>
        <x:v>20</x:v>
      </x:c>
      <x:c r="Y730" s="93" t="n">
        <x:f>W730-X730</x:f>
        <x:v>61.599999999999994</x:v>
      </x:c>
      <x:c r="Z730" s="94" t="n">
        <x:f>IFERROR(Y730/W730,0)</x:f>
        <x:v>0.7549019607843137</x:v>
      </x:c>
      <x:c r="AA730" s="84" t="str">
        <x:f>PROPER(TRIM('Raw Sales'!M730))</x:f>
        <x:v>Paypal</x:v>
      </x:c>
      <x:c r="AB730" s="84" t="str">
        <x:f>PROPER(TRIM('Raw Sales'!N730))</x:f>
        <x:v>Zoe Turner</x:v>
      </x:c>
      <x:c r="AC730" s="85" t="n">
        <x:f>'Raw Sales'!O730</x:f>
        <x:v>45562</x:v>
      </x:c>
      <x:c r="AD730" s="84" t="n">
        <x:f>AC730-B730</x:f>
        <x:v>6</x:v>
      </x:c>
      <x:c r="AE730" s="84" t="str">
        <x:f>IF(COUNTIF($A$5:A730,A730)&gt;1,"Duplicate","Keep")</x:f>
        <x:v>Keep</x:v>
      </x:c>
      <x:c r="AF730" s="84" t="str">
        <x:f>IF(OR(R730&lt;=0,AC730&lt;B730,H730="Unknown",M730="Unknown Product"),"Review","Valid")</x:f>
        <x:v>Valid</x:v>
      </x:c>
      <x:c r="AG730" s="84" t="n">
        <x:f>IF(AND(AE730="Keep",AF730="Valid"),1,0)</x:f>
        <x:v>1</x:v>
      </x:c>
      <x:c r="AH730" s="84" t="n">
        <x:f>IF(AND(AG730=1,OR('Dashboard'!$B$4="All",I730='Dashboard'!$B$4),OR('Dashboard'!$E$4="All",N730='Dashboard'!$E$4),OR('Dashboard'!$H$4="All",K730='Dashboard'!$H$4),OR('Dashboard'!$K$4="All",C730='Dashboard'!$K$4)),1,0)</x:f>
        <x:v>1</x:v>
      </x:c>
      <x:c r="AI730" s="84" t="n">
        <x:f>IF(AND(AG730=1,OR('Dashboard'!$B$4="All",I730='Dashboard'!$B$4),OR('Dashboard'!$E$4="All",N730='Dashboard'!$E$4),OR('Dashboard'!$H$4="All",K730='Dashboard'!$H$4)),1,0)</x:f>
        <x:v>1</x:v>
      </x:c>
    </x:row>
    <x:row r="731">
      <x:c r="A731" s="84" t="str">
        <x:f>'Raw Sales'!A731</x:f>
        <x:v>ORD-2024-02388</x:v>
      </x:c>
      <x:c r="B731" s="85" t="n">
        <x:f>'Raw Sales'!B731</x:f>
        <x:v>45556</x:v>
      </x:c>
      <x:c r="C731" s="84" t="n">
        <x:f>YEAR(B731)</x:f>
        <x:v>2024</x:v>
      </x:c>
      <x:c r="D731" s="91" t="n">
        <x:f>DATE(YEAR(B731),MONTH(B731),1)</x:f>
        <x:v>45536</x:v>
      </x:c>
      <x:c r="E731" s="84" t="str">
        <x:f>TEXT(B731,"mmm")</x:f>
        <x:v>Sep</x:v>
      </x:c>
      <x:c r="F731" s="84" t="str">
        <x:f>'Raw Sales'!C731</x:f>
        <x:v>CUST-0390</x:v>
      </x:c>
      <x:c r="G731" s="84" t="str">
        <x:f>PROPER(TRIM('Raw Sales'!D731))</x:f>
        <x:v>Daniel Adams</x:v>
      </x:c>
      <x:c r="H731" s="84" t="str">
        <x:f>IF(TRIM('Raw Sales'!E731)="","Unknown",PROPER(TRIM('Raw Sales'!E731)))</x:f>
        <x:v>Consumer</x:v>
      </x:c>
      <x:c r="I731" s="84" t="str">
        <x:f>PROPER(TRIM('Raw Sales'!F731))</x:f>
        <x:v>West</x:v>
      </x:c>
      <x:c r="J731" s="84" t="str">
        <x:f>PROPER(TRIM('Raw Sales'!G731))</x:f>
        <x:v>Los Angeles</x:v>
      </x:c>
      <x:c r="K731" s="84" t="str">
        <x:f>PROPER(TRIM('Raw Sales'!H731))</x:f>
        <x:v>Retail Store</x:v>
      </x:c>
      <x:c r="L731" s="84" t="str">
        <x:f>'Raw Sales'!I731</x:f>
        <x:v>FITN-004</x:v>
      </x:c>
      <x:c r="M731" s="84" t="str">
        <x:f>IFERROR(VLOOKUP(L731,'Reference Data'!$A$5:$F$40,2,FALSE),"Unknown Product")</x:f>
        <x:v>Fitness Tracker</x:v>
      </x:c>
      <x:c r="N731" s="84" t="str">
        <x:f>IFERROR(VLOOKUP(L731,'Reference Data'!$A$5:$F$40,3,FALSE),"Unknown")</x:f>
        <x:v>Fitness</x:v>
      </x:c>
      <x:c r="O731" s="84" t="str">
        <x:f>IFERROR(VLOOKUP(L731,'Reference Data'!$A$5:$F$40,4,FALSE),"Unknown")</x:f>
        <x:v>Wearables</x:v>
      </x:c>
      <x:c r="P731" s="92" t="n">
        <x:f>IFERROR(VLOOKUP(L731,'Reference Data'!$A$5:$F$40,5,FALSE),0)</x:f>
        <x:v>89</x:v>
      </x:c>
      <x:c r="Q731" s="92" t="n">
        <x:f>IFERROR(VLOOKUP(L731,'Reference Data'!$A$5:$F$40,6,FALSE),0)</x:f>
        <x:v>44</x:v>
      </x:c>
      <x:c r="R731" s="84" t="n">
        <x:f>'Raw Sales'!J731</x:f>
        <x:v>2</x:v>
      </x:c>
      <x:c r="S731" s="87" t="n">
        <x:f>'Raw Sales'!K731</x:f>
        <x:v>0</x:v>
      </x:c>
      <x:c r="T731" s="93" t="n">
        <x:f>P731*R731</x:f>
        <x:v>178</x:v>
      </x:c>
      <x:c r="U731" s="93" t="n">
        <x:f>T731*S731</x:f>
        <x:v>0</x:v>
      </x:c>
      <x:c r="V731" s="93" t="str">
        <x:f>PROPER(TRIM('Raw Sales'!L731))</x:f>
        <x:v>Completed</x:v>
      </x:c>
      <x:c r="W731" s="93" t="n">
        <x:f>IF(V731="Returned",0,T731-U731)</x:f>
        <x:v>178</x:v>
      </x:c>
      <x:c r="X731" s="93" t="n">
        <x:f>IF(V731="Returned",Q731*R731*10%,Q731*R731)</x:f>
        <x:v>88</x:v>
      </x:c>
      <x:c r="Y731" s="93" t="n">
        <x:f>W731-X731</x:f>
        <x:v>90</x:v>
      </x:c>
      <x:c r="Z731" s="94" t="n">
        <x:f>IFERROR(Y731/W731,0)</x:f>
        <x:v>0.5056179775280899</x:v>
      </x:c>
      <x:c r="AA731" s="84" t="str">
        <x:f>PROPER(TRIM('Raw Sales'!M731))</x:f>
        <x:v>Credit Card</x:v>
      </x:c>
      <x:c r="AB731" s="84" t="str">
        <x:f>PROPER(TRIM('Raw Sales'!N731))</x:f>
        <x:v>Nora Kim</x:v>
      </x:c>
      <x:c r="AC731" s="85" t="n">
        <x:f>'Raw Sales'!O731</x:f>
        <x:v>45556</x:v>
      </x:c>
      <x:c r="AD731" s="84" t="n">
        <x:f>AC731-B731</x:f>
        <x:v>0</x:v>
      </x:c>
      <x:c r="AE731" s="84" t="str">
        <x:f>IF(COUNTIF($A$5:A731,A731)&gt;1,"Duplicate","Keep")</x:f>
        <x:v>Keep</x:v>
      </x:c>
      <x:c r="AF731" s="84" t="str">
        <x:f>IF(OR(R731&lt;=0,AC731&lt;B731,H731="Unknown",M731="Unknown Product"),"Review","Valid")</x:f>
        <x:v>Valid</x:v>
      </x:c>
      <x:c r="AG731" s="84" t="n">
        <x:f>IF(AND(AE731="Keep",AF731="Valid"),1,0)</x:f>
        <x:v>1</x:v>
      </x:c>
      <x:c r="AH731" s="84" t="n">
        <x:f>IF(AND(AG731=1,OR('Dashboard'!$B$4="All",I731='Dashboard'!$B$4),OR('Dashboard'!$E$4="All",N731='Dashboard'!$E$4),OR('Dashboard'!$H$4="All",K731='Dashboard'!$H$4),OR('Dashboard'!$K$4="All",C731='Dashboard'!$K$4)),1,0)</x:f>
        <x:v>1</x:v>
      </x:c>
      <x:c r="AI731" s="84" t="n">
        <x:f>IF(AND(AG731=1,OR('Dashboard'!$B$4="All",I731='Dashboard'!$B$4),OR('Dashboard'!$E$4="All",N731='Dashboard'!$E$4),OR('Dashboard'!$H$4="All",K731='Dashboard'!$H$4)),1,0)</x:f>
        <x:v>1</x:v>
      </x:c>
    </x:row>
    <x:row r="732">
      <x:c r="A732" s="84" t="str">
        <x:f>'Raw Sales'!A732</x:f>
        <x:v>ORD-2024-00360</x:v>
      </x:c>
      <x:c r="B732" s="85" t="n">
        <x:f>'Raw Sales'!B732</x:f>
        <x:v>45557</x:v>
      </x:c>
      <x:c r="C732" s="84" t="n">
        <x:f>YEAR(B732)</x:f>
        <x:v>2024</x:v>
      </x:c>
      <x:c r="D732" s="91" t="n">
        <x:f>DATE(YEAR(B732),MONTH(B732),1)</x:f>
        <x:v>45536</x:v>
      </x:c>
      <x:c r="E732" s="84" t="str">
        <x:f>TEXT(B732,"mmm")</x:f>
        <x:v>Sep</x:v>
      </x:c>
      <x:c r="F732" s="84" t="str">
        <x:f>'Raw Sales'!C732</x:f>
        <x:v>CUST-0151</x:v>
      </x:c>
      <x:c r="G732" s="84" t="str">
        <x:f>PROPER(TRIM('Raw Sales'!D732))</x:f>
        <x:v>Theo Davis</x:v>
      </x:c>
      <x:c r="H732" s="84" t="str">
        <x:f>IF(TRIM('Raw Sales'!E732)="","Unknown",PROPER(TRIM('Raw Sales'!E732)))</x:f>
        <x:v>Small Business</x:v>
      </x:c>
      <x:c r="I732" s="84" t="str">
        <x:f>PROPER(TRIM('Raw Sales'!F732))</x:f>
        <x:v>Southeast</x:v>
      </x:c>
      <x:c r="J732" s="84" t="str">
        <x:f>PROPER(TRIM('Raw Sales'!G732))</x:f>
        <x:v>Nashville</x:v>
      </x:c>
      <x:c r="K732" s="84" t="str">
        <x:f>PROPER(TRIM('Raw Sales'!H732))</x:f>
        <x:v>Retail Store</x:v>
      </x:c>
      <x:c r="L732" s="84" t="str">
        <x:f>'Raw Sales'!I732</x:f>
        <x:v>OFFC-006</x:v>
      </x:c>
      <x:c r="M732" s="84" t="str">
        <x:f>IFERROR(VLOOKUP(L732,'Reference Data'!$A$5:$F$40,2,FALSE),"Unknown Product")</x:f>
        <x:v>Monitor Stand</x:v>
      </x:c>
      <x:c r="N732" s="84" t="str">
        <x:f>IFERROR(VLOOKUP(L732,'Reference Data'!$A$5:$F$40,3,FALSE),"Unknown")</x:f>
        <x:v>Office</x:v>
      </x:c>
      <x:c r="O732" s="84" t="str">
        <x:f>IFERROR(VLOOKUP(L732,'Reference Data'!$A$5:$F$40,4,FALSE),"Unknown")</x:f>
        <x:v>Desk Accessories</x:v>
      </x:c>
      <x:c r="P732" s="92" t="n">
        <x:f>IFERROR(VLOOKUP(L732,'Reference Data'!$A$5:$F$40,5,FALSE),0)</x:f>
        <x:v>49</x:v>
      </x:c>
      <x:c r="Q732" s="92" t="n">
        <x:f>IFERROR(VLOOKUP(L732,'Reference Data'!$A$5:$F$40,6,FALSE),0)</x:f>
        <x:v>21</x:v>
      </x:c>
      <x:c r="R732" s="84" t="n">
        <x:f>'Raw Sales'!J732</x:f>
        <x:v>3</x:v>
      </x:c>
      <x:c r="S732" s="87" t="n">
        <x:f>'Raw Sales'!K732</x:f>
        <x:v>0</x:v>
      </x:c>
      <x:c r="T732" s="93" t="n">
        <x:f>P732*R732</x:f>
        <x:v>147</x:v>
      </x:c>
      <x:c r="U732" s="93" t="n">
        <x:f>T732*S732</x:f>
        <x:v>0</x:v>
      </x:c>
      <x:c r="V732" s="93" t="str">
        <x:f>PROPER(TRIM('Raw Sales'!L732))</x:f>
        <x:v>Returned</x:v>
      </x:c>
      <x:c r="W732" s="93" t="n">
        <x:f>IF(V732="Returned",0,T732-U732)</x:f>
        <x:v>0</x:v>
      </x:c>
      <x:c r="X732" s="93" t="n">
        <x:f>IF(V732="Returned",Q732*R732*10%,Q732*R732)</x:f>
        <x:v>6.300000000000001</x:v>
      </x:c>
      <x:c r="Y732" s="93" t="n">
        <x:f>W732-X732</x:f>
        <x:v>-6.300000000000001</x:v>
      </x:c>
      <x:c r="Z732" s="94" t="n">
        <x:f>IFERROR(Y732/W732,0)</x:f>
        <x:v>0</x:v>
      </x:c>
      <x:c r="AA732" s="84" t="str">
        <x:f>PROPER(TRIM('Raw Sales'!M732))</x:f>
        <x:v>Debit Card</x:v>
      </x:c>
      <x:c r="AB732" s="84" t="str">
        <x:f>PROPER(TRIM('Raw Sales'!N732))</x:f>
        <x:v>Ava Mitchell</x:v>
      </x:c>
      <x:c r="AC732" s="85" t="n">
        <x:f>'Raw Sales'!O732</x:f>
        <x:v>45557</x:v>
      </x:c>
      <x:c r="AD732" s="84" t="n">
        <x:f>AC732-B732</x:f>
        <x:v>0</x:v>
      </x:c>
      <x:c r="AE732" s="84" t="str">
        <x:f>IF(COUNTIF($A$5:A732,A732)&gt;1,"Duplicate","Keep")</x:f>
        <x:v>Keep</x:v>
      </x:c>
      <x:c r="AF732" s="84" t="str">
        <x:f>IF(OR(R732&lt;=0,AC732&lt;B732,H732="Unknown",M732="Unknown Product"),"Review","Valid")</x:f>
        <x:v>Valid</x:v>
      </x:c>
      <x:c r="AG732" s="84" t="n">
        <x:f>IF(AND(AE732="Keep",AF732="Valid"),1,0)</x:f>
        <x:v>1</x:v>
      </x:c>
      <x:c r="AH732" s="84" t="n">
        <x:f>IF(AND(AG732=1,OR('Dashboard'!$B$4="All",I732='Dashboard'!$B$4),OR('Dashboard'!$E$4="All",N732='Dashboard'!$E$4),OR('Dashboard'!$H$4="All",K732='Dashboard'!$H$4),OR('Dashboard'!$K$4="All",C732='Dashboard'!$K$4)),1,0)</x:f>
        <x:v>1</x:v>
      </x:c>
      <x:c r="AI732" s="84" t="n">
        <x:f>IF(AND(AG732=1,OR('Dashboard'!$B$4="All",I732='Dashboard'!$B$4),OR('Dashboard'!$E$4="All",N732='Dashboard'!$E$4),OR('Dashboard'!$H$4="All",K732='Dashboard'!$H$4)),1,0)</x:f>
        <x:v>1</x:v>
      </x:c>
    </x:row>
    <x:row r="733">
      <x:c r="A733" s="84" t="str">
        <x:f>'Raw Sales'!A733</x:f>
        <x:v>ORD-2024-01332</x:v>
      </x:c>
      <x:c r="B733" s="85" t="n">
        <x:f>'Raw Sales'!B733</x:f>
        <x:v>45557</x:v>
      </x:c>
      <x:c r="C733" s="84" t="n">
        <x:f>YEAR(B733)</x:f>
        <x:v>2024</x:v>
      </x:c>
      <x:c r="D733" s="91" t="n">
        <x:f>DATE(YEAR(B733),MONTH(B733),1)</x:f>
        <x:v>45536</x:v>
      </x:c>
      <x:c r="E733" s="84" t="str">
        <x:f>TEXT(B733,"mmm")</x:f>
        <x:v>Sep</x:v>
      </x:c>
      <x:c r="F733" s="84" t="str">
        <x:f>'Raw Sales'!C733</x:f>
        <x:v>CUST-0534</x:v>
      </x:c>
      <x:c r="G733" s="84" t="str">
        <x:f>PROPER(TRIM('Raw Sales'!D733))</x:f>
        <x:v>Chloe Evans</x:v>
      </x:c>
      <x:c r="H733" s="84" t="str">
        <x:f>IF(TRIM('Raw Sales'!E733)="","Unknown",PROPER(TRIM('Raw Sales'!E733)))</x:f>
        <x:v>Corporate</x:v>
      </x:c>
      <x:c r="I733" s="84" t="str">
        <x:f>PROPER(TRIM('Raw Sales'!F733))</x:f>
        <x:v>West</x:v>
      </x:c>
      <x:c r="J733" s="84" t="str">
        <x:f>PROPER(TRIM('Raw Sales'!G733))</x:f>
        <x:v>Phoenix</x:v>
      </x:c>
      <x:c r="K733" s="84" t="str">
        <x:f>PROPER(TRIM('Raw Sales'!H733))</x:f>
        <x:v>Marketplace</x:v>
      </x:c>
      <x:c r="L733" s="84" t="str">
        <x:f>'Raw Sales'!I733</x:f>
        <x:v>ELEC-006</x:v>
      </x:c>
      <x:c r="M733" s="84" t="str">
        <x:f>IFERROR(VLOOKUP(L733,'Reference Data'!$A$5:$F$40,2,FALSE),"Unknown Product")</x:f>
        <x:v>Portable SSD</x:v>
      </x:c>
      <x:c r="N733" s="84" t="str">
        <x:f>IFERROR(VLOOKUP(L733,'Reference Data'!$A$5:$F$40,3,FALSE),"Unknown")</x:f>
        <x:v>Electronics</x:v>
      </x:c>
      <x:c r="O733" s="84" t="str">
        <x:f>IFERROR(VLOOKUP(L733,'Reference Data'!$A$5:$F$40,4,FALSE),"Unknown")</x:f>
        <x:v>Storage</x:v>
      </x:c>
      <x:c r="P733" s="92" t="n">
        <x:f>IFERROR(VLOOKUP(L733,'Reference Data'!$A$5:$F$40,5,FALSE),0)</x:f>
        <x:v>129</x:v>
      </x:c>
      <x:c r="Q733" s="92" t="n">
        <x:f>IFERROR(VLOOKUP(L733,'Reference Data'!$A$5:$F$40,6,FALSE),0)</x:f>
        <x:v>75</x:v>
      </x:c>
      <x:c r="R733" s="84" t="n">
        <x:f>'Raw Sales'!J733</x:f>
        <x:v>1</x:v>
      </x:c>
      <x:c r="S733" s="87" t="n">
        <x:f>'Raw Sales'!K733</x:f>
        <x:v>0.15</x:v>
      </x:c>
      <x:c r="T733" s="93" t="n">
        <x:f>P733*R733</x:f>
        <x:v>129</x:v>
      </x:c>
      <x:c r="U733" s="93" t="n">
        <x:f>T733*S733</x:f>
        <x:v>19.349999999999998</x:v>
      </x:c>
      <x:c r="V733" s="93" t="str">
        <x:f>PROPER(TRIM('Raw Sales'!L733))</x:f>
        <x:v>Completed</x:v>
      </x:c>
      <x:c r="W733" s="93" t="n">
        <x:f>IF(V733="Returned",0,T733-U733)</x:f>
        <x:v>109.65</x:v>
      </x:c>
      <x:c r="X733" s="93" t="n">
        <x:f>IF(V733="Returned",Q733*R733*10%,Q733*R733)</x:f>
        <x:v>75</x:v>
      </x:c>
      <x:c r="Y733" s="93" t="n">
        <x:f>W733-X733</x:f>
        <x:v>34.650000000000006</x:v>
      </x:c>
      <x:c r="Z733" s="94" t="n">
        <x:f>IFERROR(Y733/W733,0)</x:f>
        <x:v>0.31600547195622436</x:v>
      </x:c>
      <x:c r="AA733" s="84" t="str">
        <x:f>PROPER(TRIM('Raw Sales'!M733))</x:f>
        <x:v>Debit Card</x:v>
      </x:c>
      <x:c r="AB733" s="84" t="str">
        <x:f>PROPER(TRIM('Raw Sales'!N733))</x:f>
        <x:v>Nora Kim</x:v>
      </x:c>
      <x:c r="AC733" s="85" t="n">
        <x:f>'Raw Sales'!O733</x:f>
        <x:v>45562</x:v>
      </x:c>
      <x:c r="AD733" s="84" t="n">
        <x:f>AC733-B733</x:f>
        <x:v>5</x:v>
      </x:c>
      <x:c r="AE733" s="84" t="str">
        <x:f>IF(COUNTIF($A$5:A733,A733)&gt;1,"Duplicate","Keep")</x:f>
        <x:v>Keep</x:v>
      </x:c>
      <x:c r="AF733" s="84" t="str">
        <x:f>IF(OR(R733&lt;=0,AC733&lt;B733,H733="Unknown",M733="Unknown Product"),"Review","Valid")</x:f>
        <x:v>Valid</x:v>
      </x:c>
      <x:c r="AG733" s="84" t="n">
        <x:f>IF(AND(AE733="Keep",AF733="Valid"),1,0)</x:f>
        <x:v>1</x:v>
      </x:c>
      <x:c r="AH733" s="84" t="n">
        <x:f>IF(AND(AG733=1,OR('Dashboard'!$B$4="All",I733='Dashboard'!$B$4),OR('Dashboard'!$E$4="All",N733='Dashboard'!$E$4),OR('Dashboard'!$H$4="All",K733='Dashboard'!$H$4),OR('Dashboard'!$K$4="All",C733='Dashboard'!$K$4)),1,0)</x:f>
        <x:v>1</x:v>
      </x:c>
      <x:c r="AI733" s="84" t="n">
        <x:f>IF(AND(AG733=1,OR('Dashboard'!$B$4="All",I733='Dashboard'!$B$4),OR('Dashboard'!$E$4="All",N733='Dashboard'!$E$4),OR('Dashboard'!$H$4="All",K733='Dashboard'!$H$4)),1,0)</x:f>
        <x:v>1</x:v>
      </x:c>
    </x:row>
    <x:row r="734">
      <x:c r="A734" s="84" t="str">
        <x:f>'Raw Sales'!A734</x:f>
        <x:v>ORD-2024-01679</x:v>
      </x:c>
      <x:c r="B734" s="85" t="n">
        <x:f>'Raw Sales'!B734</x:f>
        <x:v>45557</x:v>
      </x:c>
      <x:c r="C734" s="84" t="n">
        <x:f>YEAR(B734)</x:f>
        <x:v>2024</x:v>
      </x:c>
      <x:c r="D734" s="91" t="n">
        <x:f>DATE(YEAR(B734),MONTH(B734),1)</x:f>
        <x:v>45536</x:v>
      </x:c>
      <x:c r="E734" s="84" t="str">
        <x:f>TEXT(B734,"mmm")</x:f>
        <x:v>Sep</x:v>
      </x:c>
      <x:c r="F734" s="84" t="str">
        <x:f>'Raw Sales'!C734</x:f>
        <x:v>CUST-0259</x:v>
      </x:c>
      <x:c r="G734" s="84" t="str">
        <x:f>PROPER(TRIM('Raw Sales'!D734))</x:f>
        <x:v>Caleb Foster</x:v>
      </x:c>
      <x:c r="H734" s="84" t="str">
        <x:f>IF(TRIM('Raw Sales'!E734)="","Unknown",PROPER(TRIM('Raw Sales'!E734)))</x:f>
        <x:v>Consumer</x:v>
      </x:c>
      <x:c r="I734" s="84" t="str">
        <x:f>PROPER(TRIM('Raw Sales'!F734))</x:f>
        <x:v>Northeast</x:v>
      </x:c>
      <x:c r="J734" s="84" t="str">
        <x:f>PROPER(TRIM('Raw Sales'!G734))</x:f>
        <x:v>New York</x:v>
      </x:c>
      <x:c r="K734" s="84" t="str">
        <x:f>PROPER(TRIM('Raw Sales'!H734))</x:f>
        <x:v>Marketplace</x:v>
      </x:c>
      <x:c r="L734" s="84" t="str">
        <x:f>'Raw Sales'!I734</x:f>
        <x:v>FITN-004</x:v>
      </x:c>
      <x:c r="M734" s="84" t="str">
        <x:f>IFERROR(VLOOKUP(L734,'Reference Data'!$A$5:$F$40,2,FALSE),"Unknown Product")</x:f>
        <x:v>Fitness Tracker</x:v>
      </x:c>
      <x:c r="N734" s="84" t="str">
        <x:f>IFERROR(VLOOKUP(L734,'Reference Data'!$A$5:$F$40,3,FALSE),"Unknown")</x:f>
        <x:v>Fitness</x:v>
      </x:c>
      <x:c r="O734" s="84" t="str">
        <x:f>IFERROR(VLOOKUP(L734,'Reference Data'!$A$5:$F$40,4,FALSE),"Unknown")</x:f>
        <x:v>Wearables</x:v>
      </x:c>
      <x:c r="P734" s="92" t="n">
        <x:f>IFERROR(VLOOKUP(L734,'Reference Data'!$A$5:$F$40,5,FALSE),0)</x:f>
        <x:v>89</x:v>
      </x:c>
      <x:c r="Q734" s="92" t="n">
        <x:f>IFERROR(VLOOKUP(L734,'Reference Data'!$A$5:$F$40,6,FALSE),0)</x:f>
        <x:v>44</x:v>
      </x:c>
      <x:c r="R734" s="84" t="n">
        <x:f>'Raw Sales'!J734</x:f>
        <x:v>1</x:v>
      </x:c>
      <x:c r="S734" s="87" t="n">
        <x:f>'Raw Sales'!K734</x:f>
        <x:v>0</x:v>
      </x:c>
      <x:c r="T734" s="93" t="n">
        <x:f>P734*R734</x:f>
        <x:v>89</x:v>
      </x:c>
      <x:c r="U734" s="93" t="n">
        <x:f>T734*S734</x:f>
        <x:v>0</x:v>
      </x:c>
      <x:c r="V734" s="93" t="str">
        <x:f>PROPER(TRIM('Raw Sales'!L734))</x:f>
        <x:v>Completed</x:v>
      </x:c>
      <x:c r="W734" s="93" t="n">
        <x:f>IF(V734="Returned",0,T734-U734)</x:f>
        <x:v>89</x:v>
      </x:c>
      <x:c r="X734" s="93" t="n">
        <x:f>IF(V734="Returned",Q734*R734*10%,Q734*R734)</x:f>
        <x:v>44</x:v>
      </x:c>
      <x:c r="Y734" s="93" t="n">
        <x:f>W734-X734</x:f>
        <x:v>45</x:v>
      </x:c>
      <x:c r="Z734" s="94" t="n">
        <x:f>IFERROR(Y734/W734,0)</x:f>
        <x:v>0.5056179775280899</x:v>
      </x:c>
      <x:c r="AA734" s="84" t="str">
        <x:f>PROPER(TRIM('Raw Sales'!M734))</x:f>
        <x:v>Debit Card</x:v>
      </x:c>
      <x:c r="AB734" s="84" t="str">
        <x:f>PROPER(TRIM('Raw Sales'!N734))</x:f>
        <x:v>Sofia Bennett</x:v>
      </x:c>
      <x:c r="AC734" s="85" t="n">
        <x:f>'Raw Sales'!O734</x:f>
        <x:v>45564</x:v>
      </x:c>
      <x:c r="AD734" s="84" t="n">
        <x:f>AC734-B734</x:f>
        <x:v>7</x:v>
      </x:c>
      <x:c r="AE734" s="84" t="str">
        <x:f>IF(COUNTIF($A$5:A734,A734)&gt;1,"Duplicate","Keep")</x:f>
        <x:v>Keep</x:v>
      </x:c>
      <x:c r="AF734" s="84" t="str">
        <x:f>IF(OR(R734&lt;=0,AC734&lt;B734,H734="Unknown",M734="Unknown Product"),"Review","Valid")</x:f>
        <x:v>Valid</x:v>
      </x:c>
      <x:c r="AG734" s="84" t="n">
        <x:f>IF(AND(AE734="Keep",AF734="Valid"),1,0)</x:f>
        <x:v>1</x:v>
      </x:c>
      <x:c r="AH734" s="84" t="n">
        <x:f>IF(AND(AG734=1,OR('Dashboard'!$B$4="All",I734='Dashboard'!$B$4),OR('Dashboard'!$E$4="All",N734='Dashboard'!$E$4),OR('Dashboard'!$H$4="All",K734='Dashboard'!$H$4),OR('Dashboard'!$K$4="All",C734='Dashboard'!$K$4)),1,0)</x:f>
        <x:v>1</x:v>
      </x:c>
      <x:c r="AI734" s="84" t="n">
        <x:f>IF(AND(AG734=1,OR('Dashboard'!$B$4="All",I734='Dashboard'!$B$4),OR('Dashboard'!$E$4="All",N734='Dashboard'!$E$4),OR('Dashboard'!$H$4="All",K734='Dashboard'!$H$4)),1,0)</x:f>
        <x:v>1</x:v>
      </x:c>
    </x:row>
    <x:row r="735">
      <x:c r="A735" s="84" t="str">
        <x:f>'Raw Sales'!A735</x:f>
        <x:v>ORD-2024-01750</x:v>
      </x:c>
      <x:c r="B735" s="85" t="n">
        <x:f>'Raw Sales'!B735</x:f>
        <x:v>45557</x:v>
      </x:c>
      <x:c r="C735" s="84" t="n">
        <x:f>YEAR(B735)</x:f>
        <x:v>2024</x:v>
      </x:c>
      <x:c r="D735" s="91" t="n">
        <x:f>DATE(YEAR(B735),MONTH(B735),1)</x:f>
        <x:v>45536</x:v>
      </x:c>
      <x:c r="E735" s="84" t="str">
        <x:f>TEXT(B735,"mmm")</x:f>
        <x:v>Sep</x:v>
      </x:c>
      <x:c r="F735" s="84" t="str">
        <x:f>'Raw Sales'!C735</x:f>
        <x:v>CUST-0380</x:v>
      </x:c>
      <x:c r="G735" s="84" t="str">
        <x:f>PROPER(TRIM('Raw Sales'!D735))</x:f>
        <x:v>Caleb Patel</x:v>
      </x:c>
      <x:c r="H735" s="84" t="str">
        <x:f>IF(TRIM('Raw Sales'!E735)="","Unknown",PROPER(TRIM('Raw Sales'!E735)))</x:f>
        <x:v>Consumer</x:v>
      </x:c>
      <x:c r="I735" s="84" t="str">
        <x:f>PROPER(TRIM('Raw Sales'!F735))</x:f>
        <x:v>Southeast</x:v>
      </x:c>
      <x:c r="J735" s="84" t="str">
        <x:f>PROPER(TRIM('Raw Sales'!G735))</x:f>
        <x:v>Nashville</x:v>
      </x:c>
      <x:c r="K735" s="84" t="str">
        <x:f>PROPER(TRIM('Raw Sales'!H735))</x:f>
        <x:v>Marketplace</x:v>
      </x:c>
      <x:c r="L735" s="84" t="str">
        <x:f>'Raw Sales'!I735</x:f>
        <x:v>OFFC-004</x:v>
      </x:c>
      <x:c r="M735" s="84" t="str">
        <x:f>IFERROR(VLOOKUP(L735,'Reference Data'!$A$5:$F$40,2,FALSE),"Unknown Product")</x:f>
        <x:v>Premium Notebook Pack</x:v>
      </x:c>
      <x:c r="N735" s="84" t="str">
        <x:f>IFERROR(VLOOKUP(L735,'Reference Data'!$A$5:$F$40,3,FALSE),"Unknown")</x:f>
        <x:v>Office</x:v>
      </x:c>
      <x:c r="O735" s="84" t="str">
        <x:f>IFERROR(VLOOKUP(L735,'Reference Data'!$A$5:$F$40,4,FALSE),"Unknown")</x:f>
        <x:v>Stationery</x:v>
      </x:c>
      <x:c r="P735" s="92" t="n">
        <x:f>IFERROR(VLOOKUP(L735,'Reference Data'!$A$5:$F$40,5,FALSE),0)</x:f>
        <x:v>18</x:v>
      </x:c>
      <x:c r="Q735" s="92" t="n">
        <x:f>IFERROR(VLOOKUP(L735,'Reference Data'!$A$5:$F$40,6,FALSE),0)</x:f>
        <x:v>6.5</x:v>
      </x:c>
      <x:c r="R735" s="84" t="n">
        <x:f>'Raw Sales'!J735</x:f>
        <x:v>1</x:v>
      </x:c>
      <x:c r="S735" s="87" t="n">
        <x:f>'Raw Sales'!K735</x:f>
        <x:v>0.1</x:v>
      </x:c>
      <x:c r="T735" s="93" t="n">
        <x:f>P735*R735</x:f>
        <x:v>18</x:v>
      </x:c>
      <x:c r="U735" s="93" t="n">
        <x:f>T735*S735</x:f>
        <x:v>1.8</x:v>
      </x:c>
      <x:c r="V735" s="93" t="str">
        <x:f>PROPER(TRIM('Raw Sales'!L735))</x:f>
        <x:v>Completed</x:v>
      </x:c>
      <x:c r="W735" s="93" t="n">
        <x:f>IF(V735="Returned",0,T735-U735)</x:f>
        <x:v>16.2</x:v>
      </x:c>
      <x:c r="X735" s="93" t="n">
        <x:f>IF(V735="Returned",Q735*R735*10%,Q735*R735)</x:f>
        <x:v>6.5</x:v>
      </x:c>
      <x:c r="Y735" s="93" t="n">
        <x:f>W735-X735</x:f>
        <x:v>9.7</x:v>
      </x:c>
      <x:c r="Z735" s="94" t="n">
        <x:f>IFERROR(Y735/W735,0)</x:f>
        <x:v>0.5987654320987654</x:v>
      </x:c>
      <x:c r="AA735" s="84" t="str">
        <x:f>PROPER(TRIM('Raw Sales'!M735))</x:f>
        <x:v>Debit Card</x:v>
      </x:c>
      <x:c r="AB735" s="84" t="str">
        <x:f>PROPER(TRIM('Raw Sales'!N735))</x:f>
        <x:v>Noah Reed</x:v>
      </x:c>
      <x:c r="AC735" s="85" t="n">
        <x:f>'Raw Sales'!O735</x:f>
        <x:v>45564</x:v>
      </x:c>
      <x:c r="AD735" s="84" t="n">
        <x:f>AC735-B735</x:f>
        <x:v>7</x:v>
      </x:c>
      <x:c r="AE735" s="84" t="str">
        <x:f>IF(COUNTIF($A$5:A735,A735)&gt;1,"Duplicate","Keep")</x:f>
        <x:v>Keep</x:v>
      </x:c>
      <x:c r="AF735" s="84" t="str">
        <x:f>IF(OR(R735&lt;=0,AC735&lt;B735,H735="Unknown",M735="Unknown Product"),"Review","Valid")</x:f>
        <x:v>Valid</x:v>
      </x:c>
      <x:c r="AG735" s="84" t="n">
        <x:f>IF(AND(AE735="Keep",AF735="Valid"),1,0)</x:f>
        <x:v>1</x:v>
      </x:c>
      <x:c r="AH735" s="84" t="n">
        <x:f>IF(AND(AG735=1,OR('Dashboard'!$B$4="All",I735='Dashboard'!$B$4),OR('Dashboard'!$E$4="All",N735='Dashboard'!$E$4),OR('Dashboard'!$H$4="All",K735='Dashboard'!$H$4),OR('Dashboard'!$K$4="All",C735='Dashboard'!$K$4)),1,0)</x:f>
        <x:v>1</x:v>
      </x:c>
      <x:c r="AI735" s="84" t="n">
        <x:f>IF(AND(AG735=1,OR('Dashboard'!$B$4="All",I735='Dashboard'!$B$4),OR('Dashboard'!$E$4="All",N735='Dashboard'!$E$4),OR('Dashboard'!$H$4="All",K735='Dashboard'!$H$4)),1,0)</x:f>
        <x:v>1</x:v>
      </x:c>
    </x:row>
    <x:row r="736">
      <x:c r="A736" s="84" t="str">
        <x:f>'Raw Sales'!A736</x:f>
        <x:v>ORD-2024-01980</x:v>
      </x:c>
      <x:c r="B736" s="85" t="n">
        <x:f>'Raw Sales'!B736</x:f>
        <x:v>45557</x:v>
      </x:c>
      <x:c r="C736" s="84" t="n">
        <x:f>YEAR(B736)</x:f>
        <x:v>2024</x:v>
      </x:c>
      <x:c r="D736" s="91" t="n">
        <x:f>DATE(YEAR(B736),MONTH(B736),1)</x:f>
        <x:v>45536</x:v>
      </x:c>
      <x:c r="E736" s="84" t="str">
        <x:f>TEXT(B736,"mmm")</x:f>
        <x:v>Sep</x:v>
      </x:c>
      <x:c r="F736" s="84" t="str">
        <x:f>'Raw Sales'!C736</x:f>
        <x:v>CUST-0463</x:v>
      </x:c>
      <x:c r="G736" s="84" t="str">
        <x:f>PROPER(TRIM('Raw Sales'!D736))</x:f>
        <x:v>Aiden Lewis</x:v>
      </x:c>
      <x:c r="H736" s="84" t="str">
        <x:f>IF(TRIM('Raw Sales'!E736)="","Unknown",PROPER(TRIM('Raw Sales'!E736)))</x:f>
        <x:v>Consumer</x:v>
      </x:c>
      <x:c r="I736" s="84" t="str">
        <x:f>PROPER(TRIM('Raw Sales'!F736))</x:f>
        <x:v>Northeast</x:v>
      </x:c>
      <x:c r="J736" s="84" t="str">
        <x:f>PROPER(TRIM('Raw Sales'!G736))</x:f>
        <x:v>Newark</x:v>
      </x:c>
      <x:c r="K736" s="84" t="str">
        <x:f>PROPER(TRIM('Raw Sales'!H736))</x:f>
        <x:v>Retail Store</x:v>
      </x:c>
      <x:c r="L736" s="84" t="str">
        <x:f>'Raw Sales'!I736</x:f>
        <x:v>FITN-003</x:v>
      </x:c>
      <x:c r="M736" s="84" t="str">
        <x:f>IFERROR(VLOOKUP(L736,'Reference Data'!$A$5:$F$40,2,FALSE),"Unknown Product")</x:f>
        <x:v>Resistance Band Set</x:v>
      </x:c>
      <x:c r="N736" s="84" t="str">
        <x:f>IFERROR(VLOOKUP(L736,'Reference Data'!$A$5:$F$40,3,FALSE),"Unknown")</x:f>
        <x:v>Fitness</x:v>
      </x:c>
      <x:c r="O736" s="84" t="str">
        <x:f>IFERROR(VLOOKUP(L736,'Reference Data'!$A$5:$F$40,4,FALSE),"Unknown")</x:f>
        <x:v>Strength</x:v>
      </x:c>
      <x:c r="P736" s="92" t="n">
        <x:f>IFERROR(VLOOKUP(L736,'Reference Data'!$A$5:$F$40,5,FALSE),0)</x:f>
        <x:v>24</x:v>
      </x:c>
      <x:c r="Q736" s="92" t="n">
        <x:f>IFERROR(VLOOKUP(L736,'Reference Data'!$A$5:$F$40,6,FALSE),0)</x:f>
        <x:v>8</x:v>
      </x:c>
      <x:c r="R736" s="84" t="n">
        <x:f>'Raw Sales'!J736</x:f>
        <x:v>3</x:v>
      </x:c>
      <x:c r="S736" s="87" t="n">
        <x:f>'Raw Sales'!K736</x:f>
        <x:v>0</x:v>
      </x:c>
      <x:c r="T736" s="93" t="n">
        <x:f>P736*R736</x:f>
        <x:v>72</x:v>
      </x:c>
      <x:c r="U736" s="93" t="n">
        <x:f>T736*S736</x:f>
        <x:v>0</x:v>
      </x:c>
      <x:c r="V736" s="93" t="str">
        <x:f>PROPER(TRIM('Raw Sales'!L736))</x:f>
        <x:v>Completed</x:v>
      </x:c>
      <x:c r="W736" s="93" t="n">
        <x:f>IF(V736="Returned",0,T736-U736)</x:f>
        <x:v>72</x:v>
      </x:c>
      <x:c r="X736" s="93" t="n">
        <x:f>IF(V736="Returned",Q736*R736*10%,Q736*R736)</x:f>
        <x:v>24</x:v>
      </x:c>
      <x:c r="Y736" s="93" t="n">
        <x:f>W736-X736</x:f>
        <x:v>48</x:v>
      </x:c>
      <x:c r="Z736" s="94" t="n">
        <x:f>IFERROR(Y736/W736,0)</x:f>
        <x:v>0.6666666666666666</x:v>
      </x:c>
      <x:c r="AA736" s="84" t="str">
        <x:f>PROPER(TRIM('Raw Sales'!M736))</x:f>
        <x:v>Cash</x:v>
      </x:c>
      <x:c r="AB736" s="84" t="str">
        <x:f>PROPER(TRIM('Raw Sales'!N736))</x:f>
        <x:v>Ethan Cole</x:v>
      </x:c>
      <x:c r="AC736" s="85" t="n">
        <x:f>'Raw Sales'!O736</x:f>
        <x:v>45557</x:v>
      </x:c>
      <x:c r="AD736" s="84" t="n">
        <x:f>AC736-B736</x:f>
        <x:v>0</x:v>
      </x:c>
      <x:c r="AE736" s="84" t="str">
        <x:f>IF(COUNTIF($A$5:A736,A736)&gt;1,"Duplicate","Keep")</x:f>
        <x:v>Keep</x:v>
      </x:c>
      <x:c r="AF736" s="84" t="str">
        <x:f>IF(OR(R736&lt;=0,AC736&lt;B736,H736="Unknown",M736="Unknown Product"),"Review","Valid")</x:f>
        <x:v>Valid</x:v>
      </x:c>
      <x:c r="AG736" s="84" t="n">
        <x:f>IF(AND(AE736="Keep",AF736="Valid"),1,0)</x:f>
        <x:v>1</x:v>
      </x:c>
      <x:c r="AH736" s="84" t="n">
        <x:f>IF(AND(AG736=1,OR('Dashboard'!$B$4="All",I736='Dashboard'!$B$4),OR('Dashboard'!$E$4="All",N736='Dashboard'!$E$4),OR('Dashboard'!$H$4="All",K736='Dashboard'!$H$4),OR('Dashboard'!$K$4="All",C736='Dashboard'!$K$4)),1,0)</x:f>
        <x:v>1</x:v>
      </x:c>
      <x:c r="AI736" s="84" t="n">
        <x:f>IF(AND(AG736=1,OR('Dashboard'!$B$4="All",I736='Dashboard'!$B$4),OR('Dashboard'!$E$4="All",N736='Dashboard'!$E$4),OR('Dashboard'!$H$4="All",K736='Dashboard'!$H$4)),1,0)</x:f>
        <x:v>1</x:v>
      </x:c>
    </x:row>
    <x:row r="737">
      <x:c r="A737" s="84" t="str">
        <x:f>'Raw Sales'!A737</x:f>
        <x:v>ORD-2024-01853</x:v>
      </x:c>
      <x:c r="B737" s="85" t="n">
        <x:f>'Raw Sales'!B737</x:f>
        <x:v>45558</x:v>
      </x:c>
      <x:c r="C737" s="84" t="n">
        <x:f>YEAR(B737)</x:f>
        <x:v>2024</x:v>
      </x:c>
      <x:c r="D737" s="91" t="n">
        <x:f>DATE(YEAR(B737),MONTH(B737),1)</x:f>
        <x:v>45536</x:v>
      </x:c>
      <x:c r="E737" s="84" t="str">
        <x:f>TEXT(B737,"mmm")</x:f>
        <x:v>Sep</x:v>
      </x:c>
      <x:c r="F737" s="84" t="str">
        <x:f>'Raw Sales'!C737</x:f>
        <x:v>CUST-0477</x:v>
      </x:c>
      <x:c r="G737" s="84" t="str">
        <x:f>PROPER(TRIM('Raw Sales'!D737))</x:f>
        <x:v>William Adams</x:v>
      </x:c>
      <x:c r="H737" s="84" t="str">
        <x:f>IF(TRIM('Raw Sales'!E737)="","Unknown",PROPER(TRIM('Raw Sales'!E737)))</x:f>
        <x:v>Small Business</x:v>
      </x:c>
      <x:c r="I737" s="84" t="str">
        <x:f>PROPER(TRIM('Raw Sales'!F737))</x:f>
        <x:v>Southeast</x:v>
      </x:c>
      <x:c r="J737" s="84" t="str">
        <x:f>PROPER(TRIM('Raw Sales'!G737))</x:f>
        <x:v>Nashville</x:v>
      </x:c>
      <x:c r="K737" s="84" t="str">
        <x:f>PROPER(TRIM('Raw Sales'!H737))</x:f>
        <x:v>Online</x:v>
      </x:c>
      <x:c r="L737" s="84" t="str">
        <x:f>'Raw Sales'!I737</x:f>
        <x:v>CARE-003</x:v>
      </x:c>
      <x:c r="M737" s="84" t="str">
        <x:f>IFERROR(VLOOKUP(L737,'Reference Data'!$A$5:$F$40,2,FALSE),"Unknown Product")</x:f>
        <x:v>Facial Cleanser</x:v>
      </x:c>
      <x:c r="N737" s="84" t="str">
        <x:f>IFERROR(VLOOKUP(L737,'Reference Data'!$A$5:$F$40,3,FALSE),"Unknown")</x:f>
        <x:v>Personal Care</x:v>
      </x:c>
      <x:c r="O737" s="84" t="str">
        <x:f>IFERROR(VLOOKUP(L737,'Reference Data'!$A$5:$F$40,4,FALSE),"Unknown")</x:f>
        <x:v>Skin Care</x:v>
      </x:c>
      <x:c r="P737" s="92" t="n">
        <x:f>IFERROR(VLOOKUP(L737,'Reference Data'!$A$5:$F$40,5,FALSE),0)</x:f>
        <x:v>18</x:v>
      </x:c>
      <x:c r="Q737" s="92" t="n">
        <x:f>IFERROR(VLOOKUP(L737,'Reference Data'!$A$5:$F$40,6,FALSE),0)</x:f>
        <x:v>6</x:v>
      </x:c>
      <x:c r="R737" s="84" t="n">
        <x:f>'Raw Sales'!J737</x:f>
        <x:v>1</x:v>
      </x:c>
      <x:c r="S737" s="87" t="n">
        <x:f>'Raw Sales'!K737</x:f>
        <x:v>0.05</x:v>
      </x:c>
      <x:c r="T737" s="93" t="n">
        <x:f>P737*R737</x:f>
        <x:v>18</x:v>
      </x:c>
      <x:c r="U737" s="93" t="n">
        <x:f>T737*S737</x:f>
        <x:v>0.9</x:v>
      </x:c>
      <x:c r="V737" s="93" t="str">
        <x:f>PROPER(TRIM('Raw Sales'!L737))</x:f>
        <x:v>Completed</x:v>
      </x:c>
      <x:c r="W737" s="93" t="n">
        <x:f>IF(V737="Returned",0,T737-U737)</x:f>
        <x:v>17.1</x:v>
      </x:c>
      <x:c r="X737" s="93" t="n">
        <x:f>IF(V737="Returned",Q737*R737*10%,Q737*R737)</x:f>
        <x:v>6</x:v>
      </x:c>
      <x:c r="Y737" s="93" t="n">
        <x:f>W737-X737</x:f>
        <x:v>11.100000000000001</x:v>
      </x:c>
      <x:c r="Z737" s="94" t="n">
        <x:f>IFERROR(Y737/W737,0)</x:f>
        <x:v>0.6491228070175439</x:v>
      </x:c>
      <x:c r="AA737" s="84" t="str">
        <x:f>PROPER(TRIM('Raw Sales'!M737))</x:f>
        <x:v>Mobile Wallet</x:v>
      </x:c>
      <x:c r="AB737" s="84" t="str">
        <x:f>PROPER(TRIM('Raw Sales'!N737))</x:f>
        <x:v>Liam Parker</x:v>
      </x:c>
      <x:c r="AC737" s="85" t="n">
        <x:f>'Raw Sales'!O737</x:f>
        <x:v>45561</x:v>
      </x:c>
      <x:c r="AD737" s="84" t="n">
        <x:f>AC737-B737</x:f>
        <x:v>3</x:v>
      </x:c>
      <x:c r="AE737" s="84" t="str">
        <x:f>IF(COUNTIF($A$5:A737,A737)&gt;1,"Duplicate","Keep")</x:f>
        <x:v>Keep</x:v>
      </x:c>
      <x:c r="AF737" s="84" t="str">
        <x:f>IF(OR(R737&lt;=0,AC737&lt;B737,H737="Unknown",M737="Unknown Product"),"Review","Valid")</x:f>
        <x:v>Valid</x:v>
      </x:c>
      <x:c r="AG737" s="84" t="n">
        <x:f>IF(AND(AE737="Keep",AF737="Valid"),1,0)</x:f>
        <x:v>1</x:v>
      </x:c>
      <x:c r="AH737" s="84" t="n">
        <x:f>IF(AND(AG737=1,OR('Dashboard'!$B$4="All",I737='Dashboard'!$B$4),OR('Dashboard'!$E$4="All",N737='Dashboard'!$E$4),OR('Dashboard'!$H$4="All",K737='Dashboard'!$H$4),OR('Dashboard'!$K$4="All",C737='Dashboard'!$K$4)),1,0)</x:f>
        <x:v>1</x:v>
      </x:c>
      <x:c r="AI737" s="84" t="n">
        <x:f>IF(AND(AG737=1,OR('Dashboard'!$B$4="All",I737='Dashboard'!$B$4),OR('Dashboard'!$E$4="All",N737='Dashboard'!$E$4),OR('Dashboard'!$H$4="All",K737='Dashboard'!$H$4)),1,0)</x:f>
        <x:v>1</x:v>
      </x:c>
    </x:row>
    <x:row r="738">
      <x:c r="A738" s="84" t="str">
        <x:f>'Raw Sales'!A738</x:f>
        <x:v>ORD-2024-02293</x:v>
      </x:c>
      <x:c r="B738" s="85" t="n">
        <x:f>'Raw Sales'!B738</x:f>
        <x:v>45558</x:v>
      </x:c>
      <x:c r="C738" s="84" t="n">
        <x:f>YEAR(B738)</x:f>
        <x:v>2024</x:v>
      </x:c>
      <x:c r="D738" s="91" t="n">
        <x:f>DATE(YEAR(B738),MONTH(B738),1)</x:f>
        <x:v>45536</x:v>
      </x:c>
      <x:c r="E738" s="84" t="str">
        <x:f>TEXT(B738,"mmm")</x:f>
        <x:v>Sep</x:v>
      </x:c>
      <x:c r="F738" s="84" t="str">
        <x:f>'Raw Sales'!C738</x:f>
        <x:v>CUST-0312</x:v>
      </x:c>
      <x:c r="G738" s="84" t="str">
        <x:f>PROPER(TRIM('Raw Sales'!D738))</x:f>
        <x:v>Theo Carter</x:v>
      </x:c>
      <x:c r="H738" s="84" t="str">
        <x:f>IF(TRIM('Raw Sales'!E738)="","Unknown",PROPER(TRIM('Raw Sales'!E738)))</x:f>
        <x:v>Small Business</x:v>
      </x:c>
      <x:c r="I738" s="84" t="str">
        <x:f>PROPER(TRIM('Raw Sales'!F738))</x:f>
        <x:v>Southeast</x:v>
      </x:c>
      <x:c r="J738" s="84" t="str">
        <x:f>PROPER(TRIM('Raw Sales'!G738))</x:f>
        <x:v>Atlanta</x:v>
      </x:c>
      <x:c r="K738" s="84" t="str">
        <x:f>PROPER(TRIM('Raw Sales'!H738))</x:f>
        <x:v>Marketplace</x:v>
      </x:c>
      <x:c r="L738" s="84" t="str">
        <x:f>'Raw Sales'!I738</x:f>
        <x:v>CARE-006</x:v>
      </x:c>
      <x:c r="M738" s="84" t="str">
        <x:f>IFERROR(VLOOKUP(L738,'Reference Data'!$A$5:$F$40,2,FALSE),"Unknown Product")</x:f>
        <x:v>Percussion Massage Gun</x:v>
      </x:c>
      <x:c r="N738" s="84" t="str">
        <x:f>IFERROR(VLOOKUP(L738,'Reference Data'!$A$5:$F$40,3,FALSE),"Unknown")</x:f>
        <x:v>Personal Care</x:v>
      </x:c>
      <x:c r="O738" s="84" t="str">
        <x:f>IFERROR(VLOOKUP(L738,'Reference Data'!$A$5:$F$40,4,FALSE),"Unknown")</x:f>
        <x:v>Wellness</x:v>
      </x:c>
      <x:c r="P738" s="92" t="n">
        <x:f>IFERROR(VLOOKUP(L738,'Reference Data'!$A$5:$F$40,5,FALSE),0)</x:f>
        <x:v>129</x:v>
      </x:c>
      <x:c r="Q738" s="92" t="n">
        <x:f>IFERROR(VLOOKUP(L738,'Reference Data'!$A$5:$F$40,6,FALSE),0)</x:f>
        <x:v>70</x:v>
      </x:c>
      <x:c r="R738" s="84" t="n">
        <x:f>'Raw Sales'!J738</x:f>
        <x:v>2</x:v>
      </x:c>
      <x:c r="S738" s="87" t="n">
        <x:f>'Raw Sales'!K738</x:f>
        <x:v>0.15</x:v>
      </x:c>
      <x:c r="T738" s="93" t="n">
        <x:f>P738*R738</x:f>
        <x:v>258</x:v>
      </x:c>
      <x:c r="U738" s="93" t="n">
        <x:f>T738*S738</x:f>
        <x:v>38.699999999999996</x:v>
      </x:c>
      <x:c r="V738" s="93" t="str">
        <x:f>PROPER(TRIM('Raw Sales'!L738))</x:f>
        <x:v>Completed</x:v>
      </x:c>
      <x:c r="W738" s="93" t="n">
        <x:f>IF(V738="Returned",0,T738-U738)</x:f>
        <x:v>219.3</x:v>
      </x:c>
      <x:c r="X738" s="93" t="n">
        <x:f>IF(V738="Returned",Q738*R738*10%,Q738*R738)</x:f>
        <x:v>140</x:v>
      </x:c>
      <x:c r="Y738" s="93" t="n">
        <x:f>W738-X738</x:f>
        <x:v>79.30000000000001</x:v>
      </x:c>
      <x:c r="Z738" s="94" t="n">
        <x:f>IFERROR(Y738/W738,0)</x:f>
        <x:v>0.36160510715914274</x:v>
      </x:c>
      <x:c r="AA738" s="84" t="str">
        <x:f>PROPER(TRIM('Raw Sales'!M738))</x:f>
        <x:v>Mobile Wallet</x:v>
      </x:c>
      <x:c r="AB738" s="84" t="str">
        <x:f>PROPER(TRIM('Raw Sales'!N738))</x:f>
        <x:v>Noah Reed</x:v>
      </x:c>
      <x:c r="AC738" s="85" t="n">
        <x:f>'Raw Sales'!O738</x:f>
        <x:v>45564</x:v>
      </x:c>
      <x:c r="AD738" s="84" t="n">
        <x:f>AC738-B738</x:f>
        <x:v>6</x:v>
      </x:c>
      <x:c r="AE738" s="84" t="str">
        <x:f>IF(COUNTIF($A$5:A738,A738)&gt;1,"Duplicate","Keep")</x:f>
        <x:v>Keep</x:v>
      </x:c>
      <x:c r="AF738" s="84" t="str">
        <x:f>IF(OR(R738&lt;=0,AC738&lt;B738,H738="Unknown",M738="Unknown Product"),"Review","Valid")</x:f>
        <x:v>Valid</x:v>
      </x:c>
      <x:c r="AG738" s="84" t="n">
        <x:f>IF(AND(AE738="Keep",AF738="Valid"),1,0)</x:f>
        <x:v>1</x:v>
      </x:c>
      <x:c r="AH738" s="84" t="n">
        <x:f>IF(AND(AG738=1,OR('Dashboard'!$B$4="All",I738='Dashboard'!$B$4),OR('Dashboard'!$E$4="All",N738='Dashboard'!$E$4),OR('Dashboard'!$H$4="All",K738='Dashboard'!$H$4),OR('Dashboard'!$K$4="All",C738='Dashboard'!$K$4)),1,0)</x:f>
        <x:v>1</x:v>
      </x:c>
      <x:c r="AI738" s="84" t="n">
        <x:f>IF(AND(AG738=1,OR('Dashboard'!$B$4="All",I738='Dashboard'!$B$4),OR('Dashboard'!$E$4="All",N738='Dashboard'!$E$4),OR('Dashboard'!$H$4="All",K738='Dashboard'!$H$4)),1,0)</x:f>
        <x:v>1</x:v>
      </x:c>
    </x:row>
    <x:row r="739">
      <x:c r="A739" s="84" t="str">
        <x:f>'Raw Sales'!A739</x:f>
        <x:v>ORD-2024-00065</x:v>
      </x:c>
      <x:c r="B739" s="85" t="n">
        <x:f>'Raw Sales'!B739</x:f>
        <x:v>45559</x:v>
      </x:c>
      <x:c r="C739" s="84" t="n">
        <x:f>YEAR(B739)</x:f>
        <x:v>2024</x:v>
      </x:c>
      <x:c r="D739" s="91" t="n">
        <x:f>DATE(YEAR(B739),MONTH(B739),1)</x:f>
        <x:v>45536</x:v>
      </x:c>
      <x:c r="E739" s="84" t="str">
        <x:f>TEXT(B739,"mmm")</x:f>
        <x:v>Sep</x:v>
      </x:c>
      <x:c r="F739" s="84" t="str">
        <x:f>'Raw Sales'!C739</x:f>
        <x:v>CUST-0076</x:v>
      </x:c>
      <x:c r="G739" s="84" t="str">
        <x:f>PROPER(TRIM('Raw Sales'!D739))</x:f>
        <x:v>Jonah Patel</x:v>
      </x:c>
      <x:c r="H739" s="84" t="str">
        <x:f>IF(TRIM('Raw Sales'!E739)="","Unknown",PROPER(TRIM('Raw Sales'!E739)))</x:f>
        <x:v>Small Business</x:v>
      </x:c>
      <x:c r="I739" s="84" t="str">
        <x:f>PROPER(TRIM('Raw Sales'!F739))</x:f>
        <x:v>Southeast</x:v>
      </x:c>
      <x:c r="J739" s="84" t="str">
        <x:f>PROPER(TRIM('Raw Sales'!G739))</x:f>
        <x:v>Charlotte</x:v>
      </x:c>
      <x:c r="K739" s="84" t="str">
        <x:f>PROPER(TRIM('Raw Sales'!H739))</x:f>
        <x:v>Marketplace</x:v>
      </x:c>
      <x:c r="L739" s="84" t="str">
        <x:f>'Raw Sales'!I739</x:f>
        <x:v>ELEC-006</x:v>
      </x:c>
      <x:c r="M739" s="84" t="str">
        <x:f>IFERROR(VLOOKUP(L739,'Reference Data'!$A$5:$F$40,2,FALSE),"Unknown Product")</x:f>
        <x:v>Portable SSD</x:v>
      </x:c>
      <x:c r="N739" s="84" t="str">
        <x:f>IFERROR(VLOOKUP(L739,'Reference Data'!$A$5:$F$40,3,FALSE),"Unknown")</x:f>
        <x:v>Electronics</x:v>
      </x:c>
      <x:c r="O739" s="84" t="str">
        <x:f>IFERROR(VLOOKUP(L739,'Reference Data'!$A$5:$F$40,4,FALSE),"Unknown")</x:f>
        <x:v>Storage</x:v>
      </x:c>
      <x:c r="P739" s="92" t="n">
        <x:f>IFERROR(VLOOKUP(L739,'Reference Data'!$A$5:$F$40,5,FALSE),0)</x:f>
        <x:v>129</x:v>
      </x:c>
      <x:c r="Q739" s="92" t="n">
        <x:f>IFERROR(VLOOKUP(L739,'Reference Data'!$A$5:$F$40,6,FALSE),0)</x:f>
        <x:v>75</x:v>
      </x:c>
      <x:c r="R739" s="84" t="n">
        <x:f>'Raw Sales'!J739</x:f>
        <x:v>1</x:v>
      </x:c>
      <x:c r="S739" s="87" t="n">
        <x:f>'Raw Sales'!K739</x:f>
        <x:v>0.05</x:v>
      </x:c>
      <x:c r="T739" s="93" t="n">
        <x:f>P739*R739</x:f>
        <x:v>129</x:v>
      </x:c>
      <x:c r="U739" s="93" t="n">
        <x:f>T739*S739</x:f>
        <x:v>6.45</x:v>
      </x:c>
      <x:c r="V739" s="93" t="str">
        <x:f>PROPER(TRIM('Raw Sales'!L739))</x:f>
        <x:v>Completed</x:v>
      </x:c>
      <x:c r="W739" s="93" t="n">
        <x:f>IF(V739="Returned",0,T739-U739)</x:f>
        <x:v>122.55</x:v>
      </x:c>
      <x:c r="X739" s="93" t="n">
        <x:f>IF(V739="Returned",Q739*R739*10%,Q739*R739)</x:f>
        <x:v>75</x:v>
      </x:c>
      <x:c r="Y739" s="93" t="n">
        <x:f>W739-X739</x:f>
        <x:v>47.55</x:v>
      </x:c>
      <x:c r="Z739" s="94" t="n">
        <x:f>IFERROR(Y739/W739,0)</x:f>
        <x:v>0.3880048959608323</x:v>
      </x:c>
      <x:c r="AA739" s="84" t="str">
        <x:f>PROPER(TRIM('Raw Sales'!M739))</x:f>
        <x:v>Credit Card</x:v>
      </x:c>
      <x:c r="AB739" s="84" t="str">
        <x:f>PROPER(TRIM('Raw Sales'!N739))</x:f>
        <x:v>Ava Mitchell</x:v>
      </x:c>
      <x:c r="AC739" s="85" t="n">
        <x:f>'Raw Sales'!O739</x:f>
        <x:v>45567</x:v>
      </x:c>
      <x:c r="AD739" s="84" t="n">
        <x:f>AC739-B739</x:f>
        <x:v>8</x:v>
      </x:c>
      <x:c r="AE739" s="84" t="str">
        <x:f>IF(COUNTIF($A$5:A739,A739)&gt;1,"Duplicate","Keep")</x:f>
        <x:v>Keep</x:v>
      </x:c>
      <x:c r="AF739" s="84" t="str">
        <x:f>IF(OR(R739&lt;=0,AC739&lt;B739,H739="Unknown",M739="Unknown Product"),"Review","Valid")</x:f>
        <x:v>Valid</x:v>
      </x:c>
      <x:c r="AG739" s="84" t="n">
        <x:f>IF(AND(AE739="Keep",AF739="Valid"),1,0)</x:f>
        <x:v>1</x:v>
      </x:c>
      <x:c r="AH739" s="84" t="n">
        <x:f>IF(AND(AG739=1,OR('Dashboard'!$B$4="All",I739='Dashboard'!$B$4),OR('Dashboard'!$E$4="All",N739='Dashboard'!$E$4),OR('Dashboard'!$H$4="All",K739='Dashboard'!$H$4),OR('Dashboard'!$K$4="All",C739='Dashboard'!$K$4)),1,0)</x:f>
        <x:v>1</x:v>
      </x:c>
      <x:c r="AI739" s="84" t="n">
        <x:f>IF(AND(AG739=1,OR('Dashboard'!$B$4="All",I739='Dashboard'!$B$4),OR('Dashboard'!$E$4="All",N739='Dashboard'!$E$4),OR('Dashboard'!$H$4="All",K739='Dashboard'!$H$4)),1,0)</x:f>
        <x:v>1</x:v>
      </x:c>
    </x:row>
    <x:row r="740">
      <x:c r="A740" s="84" t="str">
        <x:f>'Raw Sales'!A740</x:f>
        <x:v>ORD-2024-00661</x:v>
      </x:c>
      <x:c r="B740" s="85" t="n">
        <x:f>'Raw Sales'!B740</x:f>
        <x:v>45559</x:v>
      </x:c>
      <x:c r="C740" s="84" t="n">
        <x:f>YEAR(B740)</x:f>
        <x:v>2024</x:v>
      </x:c>
      <x:c r="D740" s="91" t="n">
        <x:f>DATE(YEAR(B740),MONTH(B740),1)</x:f>
        <x:v>45536</x:v>
      </x:c>
      <x:c r="E740" s="84" t="str">
        <x:f>TEXT(B740,"mmm")</x:f>
        <x:v>Sep</x:v>
      </x:c>
      <x:c r="F740" s="84" t="str">
        <x:f>'Raw Sales'!C740</x:f>
        <x:v>CUST-0223</x:v>
      </x:c>
      <x:c r="G740" s="84" t="str">
        <x:f>PROPER(TRIM('Raw Sales'!D740))</x:f>
        <x:v>Victoria Irwin</x:v>
      </x:c>
      <x:c r="H740" s="84" t="str">
        <x:f>IF(TRIM('Raw Sales'!E740)="","Unknown",PROPER(TRIM('Raw Sales'!E740)))</x:f>
        <x:v>Consumer</x:v>
      </x:c>
      <x:c r="I740" s="84" t="str">
        <x:f>PROPER(TRIM('Raw Sales'!F740))</x:f>
        <x:v>Southeast</x:v>
      </x:c>
      <x:c r="J740" s="84" t="str">
        <x:f>PROPER(TRIM('Raw Sales'!G740))</x:f>
        <x:v>Charlotte</x:v>
      </x:c>
      <x:c r="K740" s="84" t="str">
        <x:f>PROPER(TRIM('Raw Sales'!H740))</x:f>
        <x:v>Online</x:v>
      </x:c>
      <x:c r="L740" s="84" t="str">
        <x:f>'Raw Sales'!I740</x:f>
        <x:v>HOME-001</x:v>
      </x:c>
      <x:c r="M740" s="84" t="str">
        <x:f>IFERROR(VLOOKUP(L740,'Reference Data'!$A$5:$F$40,2,FALSE),"Unknown Product")</x:f>
        <x:v>Air Fryer</x:v>
      </x:c>
      <x:c r="N740" s="84" t="str">
        <x:f>IFERROR(VLOOKUP(L740,'Reference Data'!$A$5:$F$40,3,FALSE),"Unknown")</x:f>
        <x:v>Home &amp; Kitchen</x:v>
      </x:c>
      <x:c r="O740" s="84" t="str">
        <x:f>IFERROR(VLOOKUP(L740,'Reference Data'!$A$5:$F$40,4,FALSE),"Unknown")</x:f>
        <x:v>Small Appliances</x:v>
      </x:c>
      <x:c r="P740" s="92" t="n">
        <x:f>IFERROR(VLOOKUP(L740,'Reference Data'!$A$5:$F$40,5,FALSE),0)</x:f>
        <x:v>119</x:v>
      </x:c>
      <x:c r="Q740" s="92" t="n">
        <x:f>IFERROR(VLOOKUP(L740,'Reference Data'!$A$5:$F$40,6,FALSE),0)</x:f>
        <x:v>68</x:v>
      </x:c>
      <x:c r="R740" s="84" t="n">
        <x:f>'Raw Sales'!J740</x:f>
        <x:v>1</x:v>
      </x:c>
      <x:c r="S740" s="87" t="n">
        <x:f>'Raw Sales'!K740</x:f>
        <x:v>0.05</x:v>
      </x:c>
      <x:c r="T740" s="93" t="n">
        <x:f>P740*R740</x:f>
        <x:v>119</x:v>
      </x:c>
      <x:c r="U740" s="93" t="n">
        <x:f>T740*S740</x:f>
        <x:v>5.95</x:v>
      </x:c>
      <x:c r="V740" s="93" t="str">
        <x:f>PROPER(TRIM('Raw Sales'!L740))</x:f>
        <x:v>Completed</x:v>
      </x:c>
      <x:c r="W740" s="93" t="n">
        <x:f>IF(V740="Returned",0,T740-U740)</x:f>
        <x:v>113.05</x:v>
      </x:c>
      <x:c r="X740" s="93" t="n">
        <x:f>IF(V740="Returned",Q740*R740*10%,Q740*R740)</x:f>
        <x:v>68</x:v>
      </x:c>
      <x:c r="Y740" s="93" t="n">
        <x:f>W740-X740</x:f>
        <x:v>45.05</x:v>
      </x:c>
      <x:c r="Z740" s="94" t="n">
        <x:f>IFERROR(Y740/W740,0)</x:f>
        <x:v>0.39849624060150374</x:v>
      </x:c>
      <x:c r="AA740" s="84" t="str">
        <x:f>PROPER(TRIM('Raw Sales'!M740))</x:f>
        <x:v>Credit Card</x:v>
      </x:c>
      <x:c r="AB740" s="84" t="str">
        <x:f>PROPER(TRIM('Raw Sales'!N740))</x:f>
        <x:v>Liam Parker</x:v>
      </x:c>
      <x:c r="AC740" s="85" t="n">
        <x:f>'Raw Sales'!O740</x:f>
        <x:v>45563</x:v>
      </x:c>
      <x:c r="AD740" s="84" t="n">
        <x:f>AC740-B740</x:f>
        <x:v>4</x:v>
      </x:c>
      <x:c r="AE740" s="84" t="str">
        <x:f>IF(COUNTIF($A$5:A740,A740)&gt;1,"Duplicate","Keep")</x:f>
        <x:v>Keep</x:v>
      </x:c>
      <x:c r="AF740" s="84" t="str">
        <x:f>IF(OR(R740&lt;=0,AC740&lt;B740,H740="Unknown",M740="Unknown Product"),"Review","Valid")</x:f>
        <x:v>Valid</x:v>
      </x:c>
      <x:c r="AG740" s="84" t="n">
        <x:f>IF(AND(AE740="Keep",AF740="Valid"),1,0)</x:f>
        <x:v>1</x:v>
      </x:c>
      <x:c r="AH740" s="84" t="n">
        <x:f>IF(AND(AG740=1,OR('Dashboard'!$B$4="All",I740='Dashboard'!$B$4),OR('Dashboard'!$E$4="All",N740='Dashboard'!$E$4),OR('Dashboard'!$H$4="All",K740='Dashboard'!$H$4),OR('Dashboard'!$K$4="All",C740='Dashboard'!$K$4)),1,0)</x:f>
        <x:v>1</x:v>
      </x:c>
      <x:c r="AI740" s="84" t="n">
        <x:f>IF(AND(AG740=1,OR('Dashboard'!$B$4="All",I740='Dashboard'!$B$4),OR('Dashboard'!$E$4="All",N740='Dashboard'!$E$4),OR('Dashboard'!$H$4="All",K740='Dashboard'!$H$4)),1,0)</x:f>
        <x:v>1</x:v>
      </x:c>
    </x:row>
    <x:row r="741">
      <x:c r="A741" s="84" t="str">
        <x:f>'Raw Sales'!A741</x:f>
        <x:v>ORD-2024-01045</x:v>
      </x:c>
      <x:c r="B741" s="85" t="n">
        <x:f>'Raw Sales'!B741</x:f>
        <x:v>45559</x:v>
      </x:c>
      <x:c r="C741" s="84" t="n">
        <x:f>YEAR(B741)</x:f>
        <x:v>2024</x:v>
      </x:c>
      <x:c r="D741" s="91" t="n">
        <x:f>DATE(YEAR(B741),MONTH(B741),1)</x:f>
        <x:v>45536</x:v>
      </x:c>
      <x:c r="E741" s="84" t="str">
        <x:f>TEXT(B741,"mmm")</x:f>
        <x:v>Sep</x:v>
      </x:c>
      <x:c r="F741" s="84" t="str">
        <x:f>'Raw Sales'!C741</x:f>
        <x:v>CUST-0020</x:v>
      </x:c>
      <x:c r="G741" s="84" t="str">
        <x:f>PROPER(TRIM('Raw Sales'!D741))</x:f>
        <x:v>Elias Ortiz</x:v>
      </x:c>
      <x:c r="H741" s="84" t="str">
        <x:f>IF(TRIM('Raw Sales'!E741)="","Unknown",PROPER(TRIM('Raw Sales'!E741)))</x:f>
        <x:v>Consumer</x:v>
      </x:c>
      <x:c r="I741" s="84" t="str">
        <x:f>PROPER(TRIM('Raw Sales'!F741))</x:f>
        <x:v>Southeast</x:v>
      </x:c>
      <x:c r="J741" s="84" t="str">
        <x:f>PROPER(TRIM('Raw Sales'!G741))</x:f>
        <x:v>Miami</x:v>
      </x:c>
      <x:c r="K741" s="84" t="str">
        <x:f>PROPER(TRIM('Raw Sales'!H741))</x:f>
        <x:v>Online</x:v>
      </x:c>
      <x:c r="L741" s="84" t="str">
        <x:f>'Raw Sales'!I741</x:f>
        <x:v>FITN-004</x:v>
      </x:c>
      <x:c r="M741" s="84" t="str">
        <x:f>IFERROR(VLOOKUP(L741,'Reference Data'!$A$5:$F$40,2,FALSE),"Unknown Product")</x:f>
        <x:v>Fitness Tracker</x:v>
      </x:c>
      <x:c r="N741" s="84" t="str">
        <x:f>IFERROR(VLOOKUP(L741,'Reference Data'!$A$5:$F$40,3,FALSE),"Unknown")</x:f>
        <x:v>Fitness</x:v>
      </x:c>
      <x:c r="O741" s="84" t="str">
        <x:f>IFERROR(VLOOKUP(L741,'Reference Data'!$A$5:$F$40,4,FALSE),"Unknown")</x:f>
        <x:v>Wearables</x:v>
      </x:c>
      <x:c r="P741" s="92" t="n">
        <x:f>IFERROR(VLOOKUP(L741,'Reference Data'!$A$5:$F$40,5,FALSE),0)</x:f>
        <x:v>89</x:v>
      </x:c>
      <x:c r="Q741" s="92" t="n">
        <x:f>IFERROR(VLOOKUP(L741,'Reference Data'!$A$5:$F$40,6,FALSE),0)</x:f>
        <x:v>44</x:v>
      </x:c>
      <x:c r="R741" s="84" t="n">
        <x:f>'Raw Sales'!J741</x:f>
        <x:v>2</x:v>
      </x:c>
      <x:c r="S741" s="87" t="n">
        <x:f>'Raw Sales'!K741</x:f>
        <x:v>0.05</x:v>
      </x:c>
      <x:c r="T741" s="93" t="n">
        <x:f>P741*R741</x:f>
        <x:v>178</x:v>
      </x:c>
      <x:c r="U741" s="93" t="n">
        <x:f>T741*S741</x:f>
        <x:v>8.9</x:v>
      </x:c>
      <x:c r="V741" s="93" t="str">
        <x:f>PROPER(TRIM('Raw Sales'!L741))</x:f>
        <x:v>Completed</x:v>
      </x:c>
      <x:c r="W741" s="93" t="n">
        <x:f>IF(V741="Returned",0,T741-U741)</x:f>
        <x:v>169.1</x:v>
      </x:c>
      <x:c r="X741" s="93" t="n">
        <x:f>IF(V741="Returned",Q741*R741*10%,Q741*R741)</x:f>
        <x:v>88</x:v>
      </x:c>
      <x:c r="Y741" s="93" t="n">
        <x:f>W741-X741</x:f>
        <x:v>81.1</x:v>
      </x:c>
      <x:c r="Z741" s="94" t="n">
        <x:f>IFERROR(Y741/W741,0)</x:f>
        <x:v>0.47959787108219987</x:v>
      </x:c>
      <x:c r="AA741" s="84" t="str">
        <x:f>PROPER(TRIM('Raw Sales'!M741))</x:f>
        <x:v>Credit Card</x:v>
      </x:c>
      <x:c r="AB741" s="84" t="str">
        <x:f>PROPER(TRIM('Raw Sales'!N741))</x:f>
        <x:v>Noah Reed</x:v>
      </x:c>
      <x:c r="AC741" s="85" t="n">
        <x:f>'Raw Sales'!O741</x:f>
        <x:v>45564</x:v>
      </x:c>
      <x:c r="AD741" s="84" t="n">
        <x:f>AC741-B741</x:f>
        <x:v>5</x:v>
      </x:c>
      <x:c r="AE741" s="84" t="str">
        <x:f>IF(COUNTIF($A$5:A741,A741)&gt;1,"Duplicate","Keep")</x:f>
        <x:v>Keep</x:v>
      </x:c>
      <x:c r="AF741" s="84" t="str">
        <x:f>IF(OR(R741&lt;=0,AC741&lt;B741,H741="Unknown",M741="Unknown Product"),"Review","Valid")</x:f>
        <x:v>Valid</x:v>
      </x:c>
      <x:c r="AG741" s="84" t="n">
        <x:f>IF(AND(AE741="Keep",AF741="Valid"),1,0)</x:f>
        <x:v>1</x:v>
      </x:c>
      <x:c r="AH741" s="84" t="n">
        <x:f>IF(AND(AG741=1,OR('Dashboard'!$B$4="All",I741='Dashboard'!$B$4),OR('Dashboard'!$E$4="All",N741='Dashboard'!$E$4),OR('Dashboard'!$H$4="All",K741='Dashboard'!$H$4),OR('Dashboard'!$K$4="All",C741='Dashboard'!$K$4)),1,0)</x:f>
        <x:v>1</x:v>
      </x:c>
      <x:c r="AI741" s="84" t="n">
        <x:f>IF(AND(AG741=1,OR('Dashboard'!$B$4="All",I741='Dashboard'!$B$4),OR('Dashboard'!$E$4="All",N741='Dashboard'!$E$4),OR('Dashboard'!$H$4="All",K741='Dashboard'!$H$4)),1,0)</x:f>
        <x:v>1</x:v>
      </x:c>
    </x:row>
    <x:row r="742">
      <x:c r="A742" s="84" t="str">
        <x:f>'Raw Sales'!A742</x:f>
        <x:v>ORD-2024-01461</x:v>
      </x:c>
      <x:c r="B742" s="85" t="n">
        <x:f>'Raw Sales'!B742</x:f>
        <x:v>45559</x:v>
      </x:c>
      <x:c r="C742" s="84" t="n">
        <x:f>YEAR(B742)</x:f>
        <x:v>2024</x:v>
      </x:c>
      <x:c r="D742" s="91" t="n">
        <x:f>DATE(YEAR(B742),MONTH(B742),1)</x:f>
        <x:v>45536</x:v>
      </x:c>
      <x:c r="E742" s="84" t="str">
        <x:f>TEXT(B742,"mmm")</x:f>
        <x:v>Sep</x:v>
      </x:c>
      <x:c r="F742" s="84" t="str">
        <x:f>'Raw Sales'!C742</x:f>
        <x:v>CUST-0312</x:v>
      </x:c>
      <x:c r="G742" s="84" t="str">
        <x:f>PROPER(TRIM('Raw Sales'!D742))</x:f>
        <x:v>Theo Carter</x:v>
      </x:c>
      <x:c r="H742" s="84" t="str">
        <x:f>IF(TRIM('Raw Sales'!E742)="","Unknown",PROPER(TRIM('Raw Sales'!E742)))</x:f>
        <x:v>Small Business</x:v>
      </x:c>
      <x:c r="I742" s="84" t="str">
        <x:f>PROPER(TRIM('Raw Sales'!F742))</x:f>
        <x:v>Southeast</x:v>
      </x:c>
      <x:c r="J742" s="84" t="str">
        <x:f>PROPER(TRIM('Raw Sales'!G742))</x:f>
        <x:v>Atlanta</x:v>
      </x:c>
      <x:c r="K742" s="84" t="str">
        <x:f>PROPER(TRIM('Raw Sales'!H742))</x:f>
        <x:v>Online</x:v>
      </x:c>
      <x:c r="L742" s="84" t="str">
        <x:f>'Raw Sales'!I742</x:f>
        <x:v>OFFC-002</x:v>
      </x:c>
      <x:c r="M742" s="84" t="str">
        <x:f>IFERROR(VLOOKUP(L742,'Reference Data'!$A$5:$F$40,2,FALSE),"Unknown Product")</x:f>
        <x:v>Standing Desk</x:v>
      </x:c>
      <x:c r="N742" s="84" t="str">
        <x:f>IFERROR(VLOOKUP(L742,'Reference Data'!$A$5:$F$40,3,FALSE),"Unknown")</x:f>
        <x:v>Office</x:v>
      </x:c>
      <x:c r="O742" s="84" t="str">
        <x:f>IFERROR(VLOOKUP(L742,'Reference Data'!$A$5:$F$40,4,FALSE),"Unknown")</x:f>
        <x:v>Furniture</x:v>
      </x:c>
      <x:c r="P742" s="92" t="n">
        <x:f>IFERROR(VLOOKUP(L742,'Reference Data'!$A$5:$F$40,5,FALSE),0)</x:f>
        <x:v>399</x:v>
      </x:c>
      <x:c r="Q742" s="92" t="n">
        <x:f>IFERROR(VLOOKUP(L742,'Reference Data'!$A$5:$F$40,6,FALSE),0)</x:f>
        <x:v>235</x:v>
      </x:c>
      <x:c r="R742" s="84" t="n">
        <x:f>'Raw Sales'!J742</x:f>
        <x:v>1</x:v>
      </x:c>
      <x:c r="S742" s="87" t="n">
        <x:f>'Raw Sales'!K742</x:f>
        <x:v>0</x:v>
      </x:c>
      <x:c r="T742" s="93" t="n">
        <x:f>P742*R742</x:f>
        <x:v>399</x:v>
      </x:c>
      <x:c r="U742" s="93" t="n">
        <x:f>T742*S742</x:f>
        <x:v>0</x:v>
      </x:c>
      <x:c r="V742" s="93" t="str">
        <x:f>PROPER(TRIM('Raw Sales'!L742))</x:f>
        <x:v>Completed</x:v>
      </x:c>
      <x:c r="W742" s="93" t="n">
        <x:f>IF(V742="Returned",0,T742-U742)</x:f>
        <x:v>399</x:v>
      </x:c>
      <x:c r="X742" s="93" t="n">
        <x:f>IF(V742="Returned",Q742*R742*10%,Q742*R742)</x:f>
        <x:v>235</x:v>
      </x:c>
      <x:c r="Y742" s="93" t="n">
        <x:f>W742-X742</x:f>
        <x:v>164</x:v>
      </x:c>
      <x:c r="Z742" s="94" t="n">
        <x:f>IFERROR(Y742/W742,0)</x:f>
        <x:v>0.41102756892230574</x:v>
      </x:c>
      <x:c r="AA742" s="84" t="str">
        <x:f>PROPER(TRIM('Raw Sales'!M742))</x:f>
        <x:v>Paypal</x:v>
      </x:c>
      <x:c r="AB742" s="84" t="str">
        <x:f>PROPER(TRIM('Raw Sales'!N742))</x:f>
        <x:v>Liam Parker</x:v>
      </x:c>
      <x:c r="AC742" s="85" t="n">
        <x:f>'Raw Sales'!O742</x:f>
        <x:v>45562</x:v>
      </x:c>
      <x:c r="AD742" s="84" t="n">
        <x:f>AC742-B742</x:f>
        <x:v>3</x:v>
      </x:c>
      <x:c r="AE742" s="84" t="str">
        <x:f>IF(COUNTIF($A$5:A742,A742)&gt;1,"Duplicate","Keep")</x:f>
        <x:v>Keep</x:v>
      </x:c>
      <x:c r="AF742" s="84" t="str">
        <x:f>IF(OR(R742&lt;=0,AC742&lt;B742,H742="Unknown",M742="Unknown Product"),"Review","Valid")</x:f>
        <x:v>Valid</x:v>
      </x:c>
      <x:c r="AG742" s="84" t="n">
        <x:f>IF(AND(AE742="Keep",AF742="Valid"),1,0)</x:f>
        <x:v>1</x:v>
      </x:c>
      <x:c r="AH742" s="84" t="n">
        <x:f>IF(AND(AG742=1,OR('Dashboard'!$B$4="All",I742='Dashboard'!$B$4),OR('Dashboard'!$E$4="All",N742='Dashboard'!$E$4),OR('Dashboard'!$H$4="All",K742='Dashboard'!$H$4),OR('Dashboard'!$K$4="All",C742='Dashboard'!$K$4)),1,0)</x:f>
        <x:v>1</x:v>
      </x:c>
      <x:c r="AI742" s="84" t="n">
        <x:f>IF(AND(AG742=1,OR('Dashboard'!$B$4="All",I742='Dashboard'!$B$4),OR('Dashboard'!$E$4="All",N742='Dashboard'!$E$4),OR('Dashboard'!$H$4="All",K742='Dashboard'!$H$4)),1,0)</x:f>
        <x:v>1</x:v>
      </x:c>
    </x:row>
    <x:row r="743">
      <x:c r="A743" s="84" t="str">
        <x:f>'Raw Sales'!A743</x:f>
        <x:v>ORD-2024-02093</x:v>
      </x:c>
      <x:c r="B743" s="85" t="n">
        <x:f>'Raw Sales'!B743</x:f>
        <x:v>45559</x:v>
      </x:c>
      <x:c r="C743" s="84" t="n">
        <x:f>YEAR(B743)</x:f>
        <x:v>2024</x:v>
      </x:c>
      <x:c r="D743" s="91" t="n">
        <x:f>DATE(YEAR(B743),MONTH(B743),1)</x:f>
        <x:v>45536</x:v>
      </x:c>
      <x:c r="E743" s="84" t="str">
        <x:f>TEXT(B743,"mmm")</x:f>
        <x:v>Sep</x:v>
      </x:c>
      <x:c r="F743" s="84" t="str">
        <x:f>'Raw Sales'!C743</x:f>
        <x:v>CUST-0431</x:v>
      </x:c>
      <x:c r="G743" s="84" t="str">
        <x:f>PROPER(TRIM('Raw Sales'!D743))</x:f>
        <x:v>Jonah Garcia</x:v>
      </x:c>
      <x:c r="H743" s="84" t="str">
        <x:f>IF(TRIM('Raw Sales'!E743)="","Unknown",PROPER(TRIM('Raw Sales'!E743)))</x:f>
        <x:v>Corporate</x:v>
      </x:c>
      <x:c r="I743" s="84" t="str">
        <x:f>PROPER(TRIM('Raw Sales'!F743))</x:f>
        <x:v>West</x:v>
      </x:c>
      <x:c r="J743" s="84" t="str">
        <x:f>PROPER(TRIM('Raw Sales'!G743))</x:f>
        <x:v>Denver</x:v>
      </x:c>
      <x:c r="K743" s="84" t="str">
        <x:f>PROPER(TRIM('Raw Sales'!H743))</x:f>
        <x:v>Marketplace</x:v>
      </x:c>
      <x:c r="L743" s="84" t="str">
        <x:f>'Raw Sales'!I743</x:f>
        <x:v>ELEC-001</x:v>
      </x:c>
      <x:c r="M743" s="84" t="str">
        <x:f>IFERROR(VLOOKUP(L743,'Reference Data'!$A$5:$F$40,2,FALSE),"Unknown Product")</x:f>
        <x:v>Wireless Earbuds</x:v>
      </x:c>
      <x:c r="N743" s="84" t="str">
        <x:f>IFERROR(VLOOKUP(L743,'Reference Data'!$A$5:$F$40,3,FALSE),"Unknown")</x:f>
        <x:v>Electronics</x:v>
      </x:c>
      <x:c r="O743" s="84" t="str">
        <x:f>IFERROR(VLOOKUP(L743,'Reference Data'!$A$5:$F$40,4,FALSE),"Unknown")</x:f>
        <x:v>Audio</x:v>
      </x:c>
      <x:c r="P743" s="92" t="n">
        <x:f>IFERROR(VLOOKUP(L743,'Reference Data'!$A$5:$F$40,5,FALSE),0)</x:f>
        <x:v>69</x:v>
      </x:c>
      <x:c r="Q743" s="92" t="n">
        <x:f>IFERROR(VLOOKUP(L743,'Reference Data'!$A$5:$F$40,6,FALSE),0)</x:f>
        <x:v>36</x:v>
      </x:c>
      <x:c r="R743" s="84" t="n">
        <x:f>'Raw Sales'!J743</x:f>
        <x:v>1</x:v>
      </x:c>
      <x:c r="S743" s="87" t="n">
        <x:f>'Raw Sales'!K743</x:f>
        <x:v>0.05</x:v>
      </x:c>
      <x:c r="T743" s="93" t="n">
        <x:f>P743*R743</x:f>
        <x:v>69</x:v>
      </x:c>
      <x:c r="U743" s="93" t="n">
        <x:f>T743*S743</x:f>
        <x:v>3.45</x:v>
      </x:c>
      <x:c r="V743" s="93" t="str">
        <x:f>PROPER(TRIM('Raw Sales'!L743))</x:f>
        <x:v>Completed</x:v>
      </x:c>
      <x:c r="W743" s="93" t="n">
        <x:f>IF(V743="Returned",0,T743-U743)</x:f>
        <x:v>65.55</x:v>
      </x:c>
      <x:c r="X743" s="93" t="n">
        <x:f>IF(V743="Returned",Q743*R743*10%,Q743*R743)</x:f>
        <x:v>36</x:v>
      </x:c>
      <x:c r="Y743" s="93" t="n">
        <x:f>W743-X743</x:f>
        <x:v>29.549999999999997</x:v>
      </x:c>
      <x:c r="Z743" s="94" t="n">
        <x:f>IFERROR(Y743/W743,0)</x:f>
        <x:v>0.45080091533180777</x:v>
      </x:c>
      <x:c r="AA743" s="84" t="str">
        <x:f>PROPER(TRIM('Raw Sales'!M743))</x:f>
        <x:v>Credit Card</x:v>
      </x:c>
      <x:c r="AB743" s="84" t="str">
        <x:f>PROPER(TRIM('Raw Sales'!N743))</x:f>
        <x:v>Mia Chen</x:v>
      </x:c>
      <x:c r="AC743" s="85" t="n">
        <x:f>'Raw Sales'!O743</x:f>
        <x:v>45565</x:v>
      </x:c>
      <x:c r="AD743" s="84" t="n">
        <x:f>AC743-B743</x:f>
        <x:v>6</x:v>
      </x:c>
      <x:c r="AE743" s="84" t="str">
        <x:f>IF(COUNTIF($A$5:A743,A743)&gt;1,"Duplicate","Keep")</x:f>
        <x:v>Keep</x:v>
      </x:c>
      <x:c r="AF743" s="84" t="str">
        <x:f>IF(OR(R743&lt;=0,AC743&lt;B743,H743="Unknown",M743="Unknown Product"),"Review","Valid")</x:f>
        <x:v>Valid</x:v>
      </x:c>
      <x:c r="AG743" s="84" t="n">
        <x:f>IF(AND(AE743="Keep",AF743="Valid"),1,0)</x:f>
        <x:v>1</x:v>
      </x:c>
      <x:c r="AH743" s="84" t="n">
        <x:f>IF(AND(AG743=1,OR('Dashboard'!$B$4="All",I743='Dashboard'!$B$4),OR('Dashboard'!$E$4="All",N743='Dashboard'!$E$4),OR('Dashboard'!$H$4="All",K743='Dashboard'!$H$4),OR('Dashboard'!$K$4="All",C743='Dashboard'!$K$4)),1,0)</x:f>
        <x:v>1</x:v>
      </x:c>
      <x:c r="AI743" s="84" t="n">
        <x:f>IF(AND(AG743=1,OR('Dashboard'!$B$4="All",I743='Dashboard'!$B$4),OR('Dashboard'!$E$4="All",N743='Dashboard'!$E$4),OR('Dashboard'!$H$4="All",K743='Dashboard'!$H$4)),1,0)</x:f>
        <x:v>1</x:v>
      </x:c>
    </x:row>
    <x:row r="744">
      <x:c r="A744" s="84" t="str">
        <x:f>'Raw Sales'!A744</x:f>
        <x:v>ORD-2024-02282</x:v>
      </x:c>
      <x:c r="B744" s="85" t="n">
        <x:f>'Raw Sales'!B744</x:f>
        <x:v>45559</x:v>
      </x:c>
      <x:c r="C744" s="84" t="n">
        <x:f>YEAR(B744)</x:f>
        <x:v>2024</x:v>
      </x:c>
      <x:c r="D744" s="91" t="n">
        <x:f>DATE(YEAR(B744),MONTH(B744),1)</x:f>
        <x:v>45536</x:v>
      </x:c>
      <x:c r="E744" s="84" t="str">
        <x:f>TEXT(B744,"mmm")</x:f>
        <x:v>Sep</x:v>
      </x:c>
      <x:c r="F744" s="84" t="str">
        <x:f>'Raw Sales'!C744</x:f>
        <x:v>CUST-0198</x:v>
      </x:c>
      <x:c r="G744" s="84" t="str">
        <x:f>PROPER(TRIM('Raw Sales'!D744))</x:f>
        <x:v>Jonah Baker</x:v>
      </x:c>
      <x:c r="H744" s="84" t="str">
        <x:f>IF(TRIM('Raw Sales'!E744)="","Unknown",PROPER(TRIM('Raw Sales'!E744)))</x:f>
        <x:v>Consumer</x:v>
      </x:c>
      <x:c r="I744" s="84" t="str">
        <x:f>PROPER(TRIM('Raw Sales'!F744))</x:f>
        <x:v>Southeast</x:v>
      </x:c>
      <x:c r="J744" s="84" t="str">
        <x:f>PROPER(TRIM('Raw Sales'!G744))</x:f>
        <x:v>Atlanta</x:v>
      </x:c>
      <x:c r="K744" s="84" t="str">
        <x:f>PROPER(TRIM('Raw Sales'!H744))</x:f>
        <x:v>Marketplace</x:v>
      </x:c>
      <x:c r="L744" s="84" t="str">
        <x:f>'Raw Sales'!I744</x:f>
        <x:v>ELEC-002</x:v>
      </x:c>
      <x:c r="M744" s="84" t="str">
        <x:f>IFERROR(VLOOKUP(L744,'Reference Data'!$A$5:$F$40,2,FALSE),"Unknown Product")</x:f>
        <x:v>Smartwatch</x:v>
      </x:c>
      <x:c r="N744" s="84" t="str">
        <x:f>IFERROR(VLOOKUP(L744,'Reference Data'!$A$5:$F$40,3,FALSE),"Unknown")</x:f>
        <x:v>Electronics</x:v>
      </x:c>
      <x:c r="O744" s="84" t="str">
        <x:f>IFERROR(VLOOKUP(L744,'Reference Data'!$A$5:$F$40,4,FALSE),"Unknown")</x:f>
        <x:v>Wearables</x:v>
      </x:c>
      <x:c r="P744" s="92" t="n">
        <x:f>IFERROR(VLOOKUP(L744,'Reference Data'!$A$5:$F$40,5,FALSE),0)</x:f>
        <x:v>159</x:v>
      </x:c>
      <x:c r="Q744" s="92" t="n">
        <x:f>IFERROR(VLOOKUP(L744,'Reference Data'!$A$5:$F$40,6,FALSE),0)</x:f>
        <x:v>92</x:v>
      </x:c>
      <x:c r="R744" s="84" t="n">
        <x:f>'Raw Sales'!J744</x:f>
        <x:v>2</x:v>
      </x:c>
      <x:c r="S744" s="87" t="n">
        <x:f>'Raw Sales'!K744</x:f>
        <x:v>0.15</x:v>
      </x:c>
      <x:c r="T744" s="93" t="n">
        <x:f>P744*R744</x:f>
        <x:v>318</x:v>
      </x:c>
      <x:c r="U744" s="93" t="n">
        <x:f>T744*S744</x:f>
        <x:v>47.699999999999996</x:v>
      </x:c>
      <x:c r="V744" s="93" t="str">
        <x:f>PROPER(TRIM('Raw Sales'!L744))</x:f>
        <x:v>Completed</x:v>
      </x:c>
      <x:c r="W744" s="93" t="n">
        <x:f>IF(V744="Returned",0,T744-U744)</x:f>
        <x:v>270.3</x:v>
      </x:c>
      <x:c r="X744" s="93" t="n">
        <x:f>IF(V744="Returned",Q744*R744*10%,Q744*R744)</x:f>
        <x:v>184</x:v>
      </x:c>
      <x:c r="Y744" s="93" t="n">
        <x:f>W744-X744</x:f>
        <x:v>86.30000000000001</x:v>
      </x:c>
      <x:c r="Z744" s="94" t="n">
        <x:f>IFERROR(Y744/W744,0)</x:f>
        <x:v>0.31927487976322605</x:v>
      </x:c>
      <x:c r="AA744" s="84" t="str">
        <x:f>PROPER(TRIM('Raw Sales'!M744))</x:f>
        <x:v>Paypal</x:v>
      </x:c>
      <x:c r="AB744" s="84" t="str">
        <x:f>PROPER(TRIM('Raw Sales'!N744))</x:f>
        <x:v>Ava Mitchell</x:v>
      </x:c>
      <x:c r="AC744" s="85" t="n">
        <x:f>'Raw Sales'!O744</x:f>
        <x:v>45563</x:v>
      </x:c>
      <x:c r="AD744" s="84" t="n">
        <x:f>AC744-B744</x:f>
        <x:v>4</x:v>
      </x:c>
      <x:c r="AE744" s="84" t="str">
        <x:f>IF(COUNTIF($A$5:A744,A744)&gt;1,"Duplicate","Keep")</x:f>
        <x:v>Keep</x:v>
      </x:c>
      <x:c r="AF744" s="84" t="str">
        <x:f>IF(OR(R744&lt;=0,AC744&lt;B744,H744="Unknown",M744="Unknown Product"),"Review","Valid")</x:f>
        <x:v>Valid</x:v>
      </x:c>
      <x:c r="AG744" s="84" t="n">
        <x:f>IF(AND(AE744="Keep",AF744="Valid"),1,0)</x:f>
        <x:v>1</x:v>
      </x:c>
      <x:c r="AH744" s="84" t="n">
        <x:f>IF(AND(AG744=1,OR('Dashboard'!$B$4="All",I744='Dashboard'!$B$4),OR('Dashboard'!$E$4="All",N744='Dashboard'!$E$4),OR('Dashboard'!$H$4="All",K744='Dashboard'!$H$4),OR('Dashboard'!$K$4="All",C744='Dashboard'!$K$4)),1,0)</x:f>
        <x:v>1</x:v>
      </x:c>
      <x:c r="AI744" s="84" t="n">
        <x:f>IF(AND(AG744=1,OR('Dashboard'!$B$4="All",I744='Dashboard'!$B$4),OR('Dashboard'!$E$4="All",N744='Dashboard'!$E$4),OR('Dashboard'!$H$4="All",K744='Dashboard'!$H$4)),1,0)</x:f>
        <x:v>1</x:v>
      </x:c>
    </x:row>
    <x:row r="745">
      <x:c r="A745" s="84" t="str">
        <x:f>'Raw Sales'!A745</x:f>
        <x:v>ORD-2024-00231</x:v>
      </x:c>
      <x:c r="B745" s="85" t="n">
        <x:f>'Raw Sales'!B745</x:f>
        <x:v>45560</x:v>
      </x:c>
      <x:c r="C745" s="84" t="n">
        <x:f>YEAR(B745)</x:f>
        <x:v>2024</x:v>
      </x:c>
      <x:c r="D745" s="91" t="n">
        <x:f>DATE(YEAR(B745),MONTH(B745),1)</x:f>
        <x:v>45536</x:v>
      </x:c>
      <x:c r="E745" s="84" t="str">
        <x:f>TEXT(B745,"mmm")</x:f>
        <x:v>Sep</x:v>
      </x:c>
      <x:c r="F745" s="84" t="str">
        <x:f>'Raw Sales'!C745</x:f>
        <x:v>CUST-0326</x:v>
      </x:c>
      <x:c r="G745" s="84" t="str">
        <x:f>PROPER(TRIM('Raw Sales'!D745))</x:f>
        <x:v>Marcus Quinn</x:v>
      </x:c>
      <x:c r="H745" s="84" t="str">
        <x:f>IF(TRIM('Raw Sales'!E745)="","Unknown",PROPER(TRIM('Raw Sales'!E745)))</x:f>
        <x:v>Corporate</x:v>
      </x:c>
      <x:c r="I745" s="84" t="str">
        <x:f>PROPER(TRIM('Raw Sales'!F745))</x:f>
        <x:v>Southeast</x:v>
      </x:c>
      <x:c r="J745" s="84" t="str">
        <x:f>PROPER(TRIM('Raw Sales'!G745))</x:f>
        <x:v>Nashville</x:v>
      </x:c>
      <x:c r="K745" s="84" t="str">
        <x:f>PROPER(TRIM('Raw Sales'!H745))</x:f>
        <x:v>Retail Store</x:v>
      </x:c>
      <x:c r="L745" s="84" t="str">
        <x:f>'Raw Sales'!I745</x:f>
        <x:v>OFFC-001</x:v>
      </x:c>
      <x:c r="M745" s="84" t="str">
        <x:f>IFERROR(VLOOKUP(L745,'Reference Data'!$A$5:$F$40,2,FALSE),"Unknown Product")</x:f>
        <x:v>Ergonomic Chair</x:v>
      </x:c>
      <x:c r="N745" s="84" t="str">
        <x:f>IFERROR(VLOOKUP(L745,'Reference Data'!$A$5:$F$40,3,FALSE),"Unknown")</x:f>
        <x:v>Office</x:v>
      </x:c>
      <x:c r="O745" s="84" t="str">
        <x:f>IFERROR(VLOOKUP(L745,'Reference Data'!$A$5:$F$40,4,FALSE),"Unknown")</x:f>
        <x:v>Furniture</x:v>
      </x:c>
      <x:c r="P745" s="92" t="n">
        <x:f>IFERROR(VLOOKUP(L745,'Reference Data'!$A$5:$F$40,5,FALSE),0)</x:f>
        <x:v>249</x:v>
      </x:c>
      <x:c r="Q745" s="92" t="n">
        <x:f>IFERROR(VLOOKUP(L745,'Reference Data'!$A$5:$F$40,6,FALSE),0)</x:f>
        <x:v>145</x:v>
      </x:c>
      <x:c r="R745" s="84" t="n">
        <x:f>'Raw Sales'!J745</x:f>
        <x:v>2</x:v>
      </x:c>
      <x:c r="S745" s="87" t="n">
        <x:f>'Raw Sales'!K745</x:f>
        <x:v>0</x:v>
      </x:c>
      <x:c r="T745" s="93" t="n">
        <x:f>P745*R745</x:f>
        <x:v>498</x:v>
      </x:c>
      <x:c r="U745" s="93" t="n">
        <x:f>T745*S745</x:f>
        <x:v>0</x:v>
      </x:c>
      <x:c r="V745" s="93" t="str">
        <x:f>PROPER(TRIM('Raw Sales'!L745))</x:f>
        <x:v>Completed</x:v>
      </x:c>
      <x:c r="W745" s="93" t="n">
        <x:f>IF(V745="Returned",0,T745-U745)</x:f>
        <x:v>498</x:v>
      </x:c>
      <x:c r="X745" s="93" t="n">
        <x:f>IF(V745="Returned",Q745*R745*10%,Q745*R745)</x:f>
        <x:v>290</x:v>
      </x:c>
      <x:c r="Y745" s="93" t="n">
        <x:f>W745-X745</x:f>
        <x:v>208</x:v>
      </x:c>
      <x:c r="Z745" s="94" t="n">
        <x:f>IFERROR(Y745/W745,0)</x:f>
        <x:v>0.41767068273092367</x:v>
      </x:c>
      <x:c r="AA745" s="84" t="str">
        <x:f>PROPER(TRIM('Raw Sales'!M745))</x:f>
        <x:v>Debit Card</x:v>
      </x:c>
      <x:c r="AB745" s="84" t="str">
        <x:f>PROPER(TRIM('Raw Sales'!N745))</x:f>
        <x:v>Ava Mitchell</x:v>
      </x:c>
      <x:c r="AC745" s="85" t="n">
        <x:f>'Raw Sales'!O745</x:f>
        <x:v>45560</x:v>
      </x:c>
      <x:c r="AD745" s="84" t="n">
        <x:f>AC745-B745</x:f>
        <x:v>0</x:v>
      </x:c>
      <x:c r="AE745" s="84" t="str">
        <x:f>IF(COUNTIF($A$5:A745,A745)&gt;1,"Duplicate","Keep")</x:f>
        <x:v>Keep</x:v>
      </x:c>
      <x:c r="AF745" s="84" t="str">
        <x:f>IF(OR(R745&lt;=0,AC745&lt;B745,H745="Unknown",M745="Unknown Product"),"Review","Valid")</x:f>
        <x:v>Valid</x:v>
      </x:c>
      <x:c r="AG745" s="84" t="n">
        <x:f>IF(AND(AE745="Keep",AF745="Valid"),1,0)</x:f>
        <x:v>1</x:v>
      </x:c>
      <x:c r="AH745" s="84" t="n">
        <x:f>IF(AND(AG745=1,OR('Dashboard'!$B$4="All",I745='Dashboard'!$B$4),OR('Dashboard'!$E$4="All",N745='Dashboard'!$E$4),OR('Dashboard'!$H$4="All",K745='Dashboard'!$H$4),OR('Dashboard'!$K$4="All",C745='Dashboard'!$K$4)),1,0)</x:f>
        <x:v>1</x:v>
      </x:c>
      <x:c r="AI745" s="84" t="n">
        <x:f>IF(AND(AG745=1,OR('Dashboard'!$B$4="All",I745='Dashboard'!$B$4),OR('Dashboard'!$E$4="All",N745='Dashboard'!$E$4),OR('Dashboard'!$H$4="All",K745='Dashboard'!$H$4)),1,0)</x:f>
        <x:v>1</x:v>
      </x:c>
    </x:row>
    <x:row r="746">
      <x:c r="A746" s="84" t="str">
        <x:f>'Raw Sales'!A746</x:f>
        <x:v>ORD-2024-00884</x:v>
      </x:c>
      <x:c r="B746" s="85" t="n">
        <x:f>'Raw Sales'!B746</x:f>
        <x:v>45560</x:v>
      </x:c>
      <x:c r="C746" s="84" t="n">
        <x:f>YEAR(B746)</x:f>
        <x:v>2024</x:v>
      </x:c>
      <x:c r="D746" s="91" t="n">
        <x:f>DATE(YEAR(B746),MONTH(B746),1)</x:f>
        <x:v>45536</x:v>
      </x:c>
      <x:c r="E746" s="84" t="str">
        <x:f>TEXT(B746,"mmm")</x:f>
        <x:v>Sep</x:v>
      </x:c>
      <x:c r="F746" s="84" t="str">
        <x:f>'Raw Sales'!C746</x:f>
        <x:v>CUST-0635</x:v>
      </x:c>
      <x:c r="G746" s="84" t="str">
        <x:f>PROPER(TRIM('Raw Sales'!D746))</x:f>
        <x:v>Owen Patel</x:v>
      </x:c>
      <x:c r="H746" s="84" t="str">
        <x:f>IF(TRIM('Raw Sales'!E746)="","Unknown",PROPER(TRIM('Raw Sales'!E746)))</x:f>
        <x:v>Consumer</x:v>
      </x:c>
      <x:c r="I746" s="84" t="str">
        <x:f>PROPER(TRIM('Raw Sales'!F746))</x:f>
        <x:v>Northeast</x:v>
      </x:c>
      <x:c r="J746" s="84" t="str">
        <x:f>PROPER(TRIM('Raw Sales'!G746))</x:f>
        <x:v>Philadelphia</x:v>
      </x:c>
      <x:c r="K746" s="84" t="str">
        <x:f>PROPER(TRIM('Raw Sales'!H746))</x:f>
        <x:v>Retail Store</x:v>
      </x:c>
      <x:c r="L746" s="84" t="str">
        <x:f>'Raw Sales'!I746</x:f>
        <x:v>OFFC-005</x:v>
      </x:c>
      <x:c r="M746" s="84" t="str">
        <x:f>IFERROR(VLOOKUP(L746,'Reference Data'!$A$5:$F$40,2,FALSE),"Unknown Product")</x:f>
        <x:v>Wireless Keyboard</x:v>
      </x:c>
      <x:c r="N746" s="84" t="str">
        <x:f>IFERROR(VLOOKUP(L746,'Reference Data'!$A$5:$F$40,3,FALSE),"Unknown")</x:f>
        <x:v>Office</x:v>
      </x:c>
      <x:c r="O746" s="84" t="str">
        <x:f>IFERROR(VLOOKUP(L746,'Reference Data'!$A$5:$F$40,4,FALSE),"Unknown")</x:f>
        <x:v>Computer Accessories</x:v>
      </x:c>
      <x:c r="P746" s="92" t="n">
        <x:f>IFERROR(VLOOKUP(L746,'Reference Data'!$A$5:$F$40,5,FALSE),0)</x:f>
        <x:v>59</x:v>
      </x:c>
      <x:c r="Q746" s="92" t="n">
        <x:f>IFERROR(VLOOKUP(L746,'Reference Data'!$A$5:$F$40,6,FALSE),0)</x:f>
        <x:v>28</x:v>
      </x:c>
      <x:c r="R746" s="84" t="n">
        <x:f>'Raw Sales'!J746</x:f>
        <x:v>1</x:v>
      </x:c>
      <x:c r="S746" s="87" t="n">
        <x:f>'Raw Sales'!K746</x:f>
        <x:v>0.05</x:v>
      </x:c>
      <x:c r="T746" s="93" t="n">
        <x:f>P746*R746</x:f>
        <x:v>59</x:v>
      </x:c>
      <x:c r="U746" s="93" t="n">
        <x:f>T746*S746</x:f>
        <x:v>2.95</x:v>
      </x:c>
      <x:c r="V746" s="93" t="str">
        <x:f>PROPER(TRIM('Raw Sales'!L746))</x:f>
        <x:v>Completed</x:v>
      </x:c>
      <x:c r="W746" s="93" t="n">
        <x:f>IF(V746="Returned",0,T746-U746)</x:f>
        <x:v>56.05</x:v>
      </x:c>
      <x:c r="X746" s="93" t="n">
        <x:f>IF(V746="Returned",Q746*R746*10%,Q746*R746)</x:f>
        <x:v>28</x:v>
      </x:c>
      <x:c r="Y746" s="93" t="n">
        <x:f>W746-X746</x:f>
        <x:v>28.049999999999997</x:v>
      </x:c>
      <x:c r="Z746" s="94" t="n">
        <x:f>IFERROR(Y746/W746,0)</x:f>
        <x:v>0.5004460303300624</x:v>
      </x:c>
      <x:c r="AA746" s="84" t="str">
        <x:f>PROPER(TRIM('Raw Sales'!M746))</x:f>
        <x:v>Cash</x:v>
      </x:c>
      <x:c r="AB746" s="84" t="str">
        <x:f>PROPER(TRIM('Raw Sales'!N746))</x:f>
        <x:v>Sofia Bennett</x:v>
      </x:c>
      <x:c r="AC746" s="85" t="n">
        <x:f>'Raw Sales'!O746</x:f>
        <x:v>45560</x:v>
      </x:c>
      <x:c r="AD746" s="84" t="n">
        <x:f>AC746-B746</x:f>
        <x:v>0</x:v>
      </x:c>
      <x:c r="AE746" s="84" t="str">
        <x:f>IF(COUNTIF($A$5:A746,A746)&gt;1,"Duplicate","Keep")</x:f>
        <x:v>Keep</x:v>
      </x:c>
      <x:c r="AF746" s="84" t="str">
        <x:f>IF(OR(R746&lt;=0,AC746&lt;B746,H746="Unknown",M746="Unknown Product"),"Review","Valid")</x:f>
        <x:v>Valid</x:v>
      </x:c>
      <x:c r="AG746" s="84" t="n">
        <x:f>IF(AND(AE746="Keep",AF746="Valid"),1,0)</x:f>
        <x:v>1</x:v>
      </x:c>
      <x:c r="AH746" s="84" t="n">
        <x:f>IF(AND(AG746=1,OR('Dashboard'!$B$4="All",I746='Dashboard'!$B$4),OR('Dashboard'!$E$4="All",N746='Dashboard'!$E$4),OR('Dashboard'!$H$4="All",K746='Dashboard'!$H$4),OR('Dashboard'!$K$4="All",C746='Dashboard'!$K$4)),1,0)</x:f>
        <x:v>1</x:v>
      </x:c>
      <x:c r="AI746" s="84" t="n">
        <x:f>IF(AND(AG746=1,OR('Dashboard'!$B$4="All",I746='Dashboard'!$B$4),OR('Dashboard'!$E$4="All",N746='Dashboard'!$E$4),OR('Dashboard'!$H$4="All",K746='Dashboard'!$H$4)),1,0)</x:f>
        <x:v>1</x:v>
      </x:c>
    </x:row>
    <x:row r="747">
      <x:c r="A747" s="84" t="str">
        <x:f>'Raw Sales'!A747</x:f>
        <x:v>ORD-2024-00969</x:v>
      </x:c>
      <x:c r="B747" s="85" t="n">
        <x:f>'Raw Sales'!B747</x:f>
        <x:v>45560</x:v>
      </x:c>
      <x:c r="C747" s="84" t="n">
        <x:f>YEAR(B747)</x:f>
        <x:v>2024</x:v>
      </x:c>
      <x:c r="D747" s="91" t="n">
        <x:f>DATE(YEAR(B747),MONTH(B747),1)</x:f>
        <x:v>45536</x:v>
      </x:c>
      <x:c r="E747" s="84" t="str">
        <x:f>TEXT(B747,"mmm")</x:f>
        <x:v>Sep</x:v>
      </x:c>
      <x:c r="F747" s="84" t="str">
        <x:f>'Raw Sales'!C747</x:f>
        <x:v>CUST-0406</x:v>
      </x:c>
      <x:c r="G747" s="84" t="str">
        <x:f>PROPER(TRIM('Raw Sales'!D747))</x:f>
        <x:v>Marcus Garcia</x:v>
      </x:c>
      <x:c r="H747" s="84" t="str">
        <x:f>IF(TRIM('Raw Sales'!E747)="","Unknown",PROPER(TRIM('Raw Sales'!E747)))</x:f>
        <x:v>Small Business</x:v>
      </x:c>
      <x:c r="I747" s="84" t="str">
        <x:f>PROPER(TRIM('Raw Sales'!F747))</x:f>
        <x:v>Northeast</x:v>
      </x:c>
      <x:c r="J747" s="84" t="str">
        <x:f>PROPER(TRIM('Raw Sales'!G747))</x:f>
        <x:v>Boston</x:v>
      </x:c>
      <x:c r="K747" s="84" t="str">
        <x:f>PROPER(TRIM('Raw Sales'!H747))</x:f>
        <x:v>Marketplace</x:v>
      </x:c>
      <x:c r="L747" s="84" t="str">
        <x:f>'Raw Sales'!I747</x:f>
        <x:v>OFFC-001</x:v>
      </x:c>
      <x:c r="M747" s="84" t="str">
        <x:f>IFERROR(VLOOKUP(L747,'Reference Data'!$A$5:$F$40,2,FALSE),"Unknown Product")</x:f>
        <x:v>Ergonomic Chair</x:v>
      </x:c>
      <x:c r="N747" s="84" t="str">
        <x:f>IFERROR(VLOOKUP(L747,'Reference Data'!$A$5:$F$40,3,FALSE),"Unknown")</x:f>
        <x:v>Office</x:v>
      </x:c>
      <x:c r="O747" s="84" t="str">
        <x:f>IFERROR(VLOOKUP(L747,'Reference Data'!$A$5:$F$40,4,FALSE),"Unknown")</x:f>
        <x:v>Furniture</x:v>
      </x:c>
      <x:c r="P747" s="92" t="n">
        <x:f>IFERROR(VLOOKUP(L747,'Reference Data'!$A$5:$F$40,5,FALSE),0)</x:f>
        <x:v>249</x:v>
      </x:c>
      <x:c r="Q747" s="92" t="n">
        <x:f>IFERROR(VLOOKUP(L747,'Reference Data'!$A$5:$F$40,6,FALSE),0)</x:f>
        <x:v>145</x:v>
      </x:c>
      <x:c r="R747" s="84" t="n">
        <x:f>'Raw Sales'!J747</x:f>
        <x:v>1</x:v>
      </x:c>
      <x:c r="S747" s="87" t="n">
        <x:f>'Raw Sales'!K747</x:f>
        <x:v>0</x:v>
      </x:c>
      <x:c r="T747" s="93" t="n">
        <x:f>P747*R747</x:f>
        <x:v>249</x:v>
      </x:c>
      <x:c r="U747" s="93" t="n">
        <x:f>T747*S747</x:f>
        <x:v>0</x:v>
      </x:c>
      <x:c r="V747" s="93" t="str">
        <x:f>PROPER(TRIM('Raw Sales'!L747))</x:f>
        <x:v>Completed</x:v>
      </x:c>
      <x:c r="W747" s="93" t="n">
        <x:f>IF(V747="Returned",0,T747-U747)</x:f>
        <x:v>249</x:v>
      </x:c>
      <x:c r="X747" s="93" t="n">
        <x:f>IF(V747="Returned",Q747*R747*10%,Q747*R747)</x:f>
        <x:v>145</x:v>
      </x:c>
      <x:c r="Y747" s="93" t="n">
        <x:f>W747-X747</x:f>
        <x:v>104</x:v>
      </x:c>
      <x:c r="Z747" s="94" t="n">
        <x:f>IFERROR(Y747/W747,0)</x:f>
        <x:v>0.41767068273092367</x:v>
      </x:c>
      <x:c r="AA747" s="84" t="str">
        <x:f>PROPER(TRIM('Raw Sales'!M747))</x:f>
        <x:v>Paypal</x:v>
      </x:c>
      <x:c r="AB747" s="84" t="str">
        <x:f>PROPER(TRIM('Raw Sales'!N747))</x:f>
        <x:v>Sofia Bennett</x:v>
      </x:c>
      <x:c r="AC747" s="85" t="n">
        <x:f>'Raw Sales'!O747</x:f>
        <x:v>45564</x:v>
      </x:c>
      <x:c r="AD747" s="84" t="n">
        <x:f>AC747-B747</x:f>
        <x:v>4</x:v>
      </x:c>
      <x:c r="AE747" s="84" t="str">
        <x:f>IF(COUNTIF($A$5:A747,A747)&gt;1,"Duplicate","Keep")</x:f>
        <x:v>Keep</x:v>
      </x:c>
      <x:c r="AF747" s="84" t="str">
        <x:f>IF(OR(R747&lt;=0,AC747&lt;B747,H747="Unknown",M747="Unknown Product"),"Review","Valid")</x:f>
        <x:v>Valid</x:v>
      </x:c>
      <x:c r="AG747" s="84" t="n">
        <x:f>IF(AND(AE747="Keep",AF747="Valid"),1,0)</x:f>
        <x:v>1</x:v>
      </x:c>
      <x:c r="AH747" s="84" t="n">
        <x:f>IF(AND(AG747=1,OR('Dashboard'!$B$4="All",I747='Dashboard'!$B$4),OR('Dashboard'!$E$4="All",N747='Dashboard'!$E$4),OR('Dashboard'!$H$4="All",K747='Dashboard'!$H$4),OR('Dashboard'!$K$4="All",C747='Dashboard'!$K$4)),1,0)</x:f>
        <x:v>1</x:v>
      </x:c>
      <x:c r="AI747" s="84" t="n">
        <x:f>IF(AND(AG747=1,OR('Dashboard'!$B$4="All",I747='Dashboard'!$B$4),OR('Dashboard'!$E$4="All",N747='Dashboard'!$E$4),OR('Dashboard'!$H$4="All",K747='Dashboard'!$H$4)),1,0)</x:f>
        <x:v>1</x:v>
      </x:c>
    </x:row>
    <x:row r="748">
      <x:c r="A748" s="84" t="str">
        <x:f>'Raw Sales'!A748</x:f>
        <x:v>ORD-2024-01200</x:v>
      </x:c>
      <x:c r="B748" s="85" t="n">
        <x:f>'Raw Sales'!B748</x:f>
        <x:v>45561</x:v>
      </x:c>
      <x:c r="C748" s="84" t="n">
        <x:f>YEAR(B748)</x:f>
        <x:v>2024</x:v>
      </x:c>
      <x:c r="D748" s="91" t="n">
        <x:f>DATE(YEAR(B748),MONTH(B748),1)</x:f>
        <x:v>45536</x:v>
      </x:c>
      <x:c r="E748" s="84" t="str">
        <x:f>TEXT(B748,"mmm")</x:f>
        <x:v>Sep</x:v>
      </x:c>
      <x:c r="F748" s="84" t="str">
        <x:f>'Raw Sales'!C748</x:f>
        <x:v>CUST-0432</x:v>
      </x:c>
      <x:c r="G748" s="84" t="str">
        <x:f>PROPER(TRIM('Raw Sales'!D748))</x:f>
        <x:v>Caleb Young</x:v>
      </x:c>
      <x:c r="H748" s="84" t="str">
        <x:f>IF(TRIM('Raw Sales'!E748)="","Unknown",PROPER(TRIM('Raw Sales'!E748)))</x:f>
        <x:v>Consumer</x:v>
      </x:c>
      <x:c r="I748" s="84" t="str">
        <x:f>PROPER(TRIM('Raw Sales'!F748))</x:f>
        <x:v>Northeast</x:v>
      </x:c>
      <x:c r="J748" s="84" t="str">
        <x:f>PROPER(TRIM('Raw Sales'!G748))</x:f>
        <x:v>New York</x:v>
      </x:c>
      <x:c r="K748" s="84" t="str">
        <x:f>PROPER(TRIM('Raw Sales'!H748))</x:f>
        <x:v>Marketplace</x:v>
      </x:c>
      <x:c r="L748" s="84" t="str">
        <x:f>'Raw Sales'!I748</x:f>
        <x:v>FITN-002</x:v>
      </x:c>
      <x:c r="M748" s="84" t="str">
        <x:f>IFERROR(VLOOKUP(L748,'Reference Data'!$A$5:$F$40,2,FALSE),"Unknown Product")</x:f>
        <x:v>Adjustable Dumbbell Set</x:v>
      </x:c>
      <x:c r="N748" s="84" t="str">
        <x:f>IFERROR(VLOOKUP(L748,'Reference Data'!$A$5:$F$40,3,FALSE),"Unknown")</x:f>
        <x:v>Fitness</x:v>
      </x:c>
      <x:c r="O748" s="84" t="str">
        <x:f>IFERROR(VLOOKUP(L748,'Reference Data'!$A$5:$F$40,4,FALSE),"Unknown")</x:f>
        <x:v>Strength</x:v>
      </x:c>
      <x:c r="P748" s="92" t="n">
        <x:f>IFERROR(VLOOKUP(L748,'Reference Data'!$A$5:$F$40,5,FALSE),0)</x:f>
        <x:v>99</x:v>
      </x:c>
      <x:c r="Q748" s="92" t="n">
        <x:f>IFERROR(VLOOKUP(L748,'Reference Data'!$A$5:$F$40,6,FALSE),0)</x:f>
        <x:v>57</x:v>
      </x:c>
      <x:c r="R748" s="84" t="n">
        <x:f>'Raw Sales'!J748</x:f>
        <x:v>1</x:v>
      </x:c>
      <x:c r="S748" s="87" t="n">
        <x:f>'Raw Sales'!K748</x:f>
        <x:v>0.2</x:v>
      </x:c>
      <x:c r="T748" s="93" t="n">
        <x:f>P748*R748</x:f>
        <x:v>99</x:v>
      </x:c>
      <x:c r="U748" s="93" t="n">
        <x:f>T748*S748</x:f>
        <x:v>19.8</x:v>
      </x:c>
      <x:c r="V748" s="93" t="str">
        <x:f>PROPER(TRIM('Raw Sales'!L748))</x:f>
        <x:v>Completed</x:v>
      </x:c>
      <x:c r="W748" s="93" t="n">
        <x:f>IF(V748="Returned",0,T748-U748)</x:f>
        <x:v>79.2</x:v>
      </x:c>
      <x:c r="X748" s="93" t="n">
        <x:f>IF(V748="Returned",Q748*R748*10%,Q748*R748)</x:f>
        <x:v>57</x:v>
      </x:c>
      <x:c r="Y748" s="93" t="n">
        <x:f>W748-X748</x:f>
        <x:v>22.200000000000003</x:v>
      </x:c>
      <x:c r="Z748" s="94" t="n">
        <x:f>IFERROR(Y748/W748,0)</x:f>
        <x:v>0.28030303030303033</x:v>
      </x:c>
      <x:c r="AA748" s="84" t="str">
        <x:f>PROPER(TRIM('Raw Sales'!M748))</x:f>
        <x:v>Mobile Wallet</x:v>
      </x:c>
      <x:c r="AB748" s="84" t="str">
        <x:f>PROPER(TRIM('Raw Sales'!N748))</x:f>
        <x:v>Sofia Bennett</x:v>
      </x:c>
      <x:c r="AC748" s="85" t="n">
        <x:f>'Raw Sales'!O748</x:f>
        <x:v>45566</x:v>
      </x:c>
      <x:c r="AD748" s="84" t="n">
        <x:f>AC748-B748</x:f>
        <x:v>5</x:v>
      </x:c>
      <x:c r="AE748" s="84" t="str">
        <x:f>IF(COUNTIF($A$5:A748,A748)&gt;1,"Duplicate","Keep")</x:f>
        <x:v>Keep</x:v>
      </x:c>
      <x:c r="AF748" s="84" t="str">
        <x:f>IF(OR(R748&lt;=0,AC748&lt;B748,H748="Unknown",M748="Unknown Product"),"Review","Valid")</x:f>
        <x:v>Valid</x:v>
      </x:c>
      <x:c r="AG748" s="84" t="n">
        <x:f>IF(AND(AE748="Keep",AF748="Valid"),1,0)</x:f>
        <x:v>1</x:v>
      </x:c>
      <x:c r="AH748" s="84" t="n">
        <x:f>IF(AND(AG748=1,OR('Dashboard'!$B$4="All",I748='Dashboard'!$B$4),OR('Dashboard'!$E$4="All",N748='Dashboard'!$E$4),OR('Dashboard'!$H$4="All",K748='Dashboard'!$H$4),OR('Dashboard'!$K$4="All",C748='Dashboard'!$K$4)),1,0)</x:f>
        <x:v>1</x:v>
      </x:c>
      <x:c r="AI748" s="84" t="n">
        <x:f>IF(AND(AG748=1,OR('Dashboard'!$B$4="All",I748='Dashboard'!$B$4),OR('Dashboard'!$E$4="All",N748='Dashboard'!$E$4),OR('Dashboard'!$H$4="All",K748='Dashboard'!$H$4)),1,0)</x:f>
        <x:v>1</x:v>
      </x:c>
    </x:row>
    <x:row r="749">
      <x:c r="A749" s="84" t="str">
        <x:f>'Raw Sales'!A749</x:f>
        <x:v>ORD-2024-00274</x:v>
      </x:c>
      <x:c r="B749" s="85" t="n">
        <x:f>'Raw Sales'!B749</x:f>
        <x:v>45562</x:v>
      </x:c>
      <x:c r="C749" s="84" t="n">
        <x:f>YEAR(B749)</x:f>
        <x:v>2024</x:v>
      </x:c>
      <x:c r="D749" s="91" t="n">
        <x:f>DATE(YEAR(B749),MONTH(B749),1)</x:f>
        <x:v>45536</x:v>
      </x:c>
      <x:c r="E749" s="84" t="str">
        <x:f>TEXT(B749,"mmm")</x:f>
        <x:v>Sep</x:v>
      </x:c>
      <x:c r="F749" s="84" t="str">
        <x:f>'Raw Sales'!C749</x:f>
        <x:v>CUST-0534</x:v>
      </x:c>
      <x:c r="G749" s="84" t="str">
        <x:f>PROPER(TRIM('Raw Sales'!D749))</x:f>
        <x:v>Chloe Evans</x:v>
      </x:c>
      <x:c r="H749" s="84" t="str">
        <x:f>IF(TRIM('Raw Sales'!E749)="","Unknown",PROPER(TRIM('Raw Sales'!E749)))</x:f>
        <x:v>Corporate</x:v>
      </x:c>
      <x:c r="I749" s="84" t="str">
        <x:f>PROPER(TRIM('Raw Sales'!F749))</x:f>
        <x:v>West</x:v>
      </x:c>
      <x:c r="J749" s="84" t="str">
        <x:f>PROPER(TRIM('Raw Sales'!G749))</x:f>
        <x:v>Phoenix</x:v>
      </x:c>
      <x:c r="K749" s="84" t="str">
        <x:f>PROPER(TRIM('Raw Sales'!H749))</x:f>
        <x:v>Retail Store</x:v>
      </x:c>
      <x:c r="L749" s="84" t="str">
        <x:f>'Raw Sales'!I749</x:f>
        <x:v>CARE-005</x:v>
      </x:c>
      <x:c r="M749" s="84" t="str">
        <x:f>IFERROR(VLOOKUP(L749,'Reference Data'!$A$5:$F$40,2,FALSE),"Unknown Product")</x:f>
        <x:v>Skin Care Starter Kit</x:v>
      </x:c>
      <x:c r="N749" s="84" t="str">
        <x:f>IFERROR(VLOOKUP(L749,'Reference Data'!$A$5:$F$40,3,FALSE),"Unknown")</x:f>
        <x:v>Personal Care</x:v>
      </x:c>
      <x:c r="O749" s="84" t="str">
        <x:f>IFERROR(VLOOKUP(L749,'Reference Data'!$A$5:$F$40,4,FALSE),"Unknown")</x:f>
        <x:v>Skin Care</x:v>
      </x:c>
      <x:c r="P749" s="92" t="n">
        <x:f>IFERROR(VLOOKUP(L749,'Reference Data'!$A$5:$F$40,5,FALSE),0)</x:f>
        <x:v>58</x:v>
      </x:c>
      <x:c r="Q749" s="92" t="n">
        <x:f>IFERROR(VLOOKUP(L749,'Reference Data'!$A$5:$F$40,6,FALSE),0)</x:f>
        <x:v>24</x:v>
      </x:c>
      <x:c r="R749" s="84" t="n">
        <x:f>'Raw Sales'!J749</x:f>
        <x:v>1</x:v>
      </x:c>
      <x:c r="S749" s="87" t="n">
        <x:f>'Raw Sales'!K749</x:f>
        <x:v>0.05</x:v>
      </x:c>
      <x:c r="T749" s="93" t="n">
        <x:f>P749*R749</x:f>
        <x:v>58</x:v>
      </x:c>
      <x:c r="U749" s="93" t="n">
        <x:f>T749*S749</x:f>
        <x:v>2.9000000000000004</x:v>
      </x:c>
      <x:c r="V749" s="93" t="str">
        <x:f>PROPER(TRIM('Raw Sales'!L749))</x:f>
        <x:v>Completed</x:v>
      </x:c>
      <x:c r="W749" s="93" t="n">
        <x:f>IF(V749="Returned",0,T749-U749)</x:f>
        <x:v>55.1</x:v>
      </x:c>
      <x:c r="X749" s="93" t="n">
        <x:f>IF(V749="Returned",Q749*R749*10%,Q749*R749)</x:f>
        <x:v>24</x:v>
      </x:c>
      <x:c r="Y749" s="93" t="n">
        <x:f>W749-X749</x:f>
        <x:v>31.1</x:v>
      </x:c>
      <x:c r="Z749" s="94" t="n">
        <x:f>IFERROR(Y749/W749,0)</x:f>
        <x:v>0.5644283121597097</x:v>
      </x:c>
      <x:c r="AA749" s="84" t="str">
        <x:f>PROPER(TRIM('Raw Sales'!M749))</x:f>
        <x:v>Mobile Wallet</x:v>
      </x:c>
      <x:c r="AB749" s="84" t="str">
        <x:f>PROPER(TRIM('Raw Sales'!N749))</x:f>
        <x:v>Leo Martinez</x:v>
      </x:c>
      <x:c r="AC749" s="85" t="n">
        <x:f>'Raw Sales'!O749</x:f>
        <x:v>45563</x:v>
      </x:c>
      <x:c r="AD749" s="84" t="n">
        <x:f>AC749-B749</x:f>
        <x:v>1</x:v>
      </x:c>
      <x:c r="AE749" s="84" t="str">
        <x:f>IF(COUNTIF($A$5:A749,A749)&gt;1,"Duplicate","Keep")</x:f>
        <x:v>Keep</x:v>
      </x:c>
      <x:c r="AF749" s="84" t="str">
        <x:f>IF(OR(R749&lt;=0,AC749&lt;B749,H749="Unknown",M749="Unknown Product"),"Review","Valid")</x:f>
        <x:v>Valid</x:v>
      </x:c>
      <x:c r="AG749" s="84" t="n">
        <x:f>IF(AND(AE749="Keep",AF749="Valid"),1,0)</x:f>
        <x:v>1</x:v>
      </x:c>
      <x:c r="AH749" s="84" t="n">
        <x:f>IF(AND(AG749=1,OR('Dashboard'!$B$4="All",I749='Dashboard'!$B$4),OR('Dashboard'!$E$4="All",N749='Dashboard'!$E$4),OR('Dashboard'!$H$4="All",K749='Dashboard'!$H$4),OR('Dashboard'!$K$4="All",C749='Dashboard'!$K$4)),1,0)</x:f>
        <x:v>1</x:v>
      </x:c>
      <x:c r="AI749" s="84" t="n">
        <x:f>IF(AND(AG749=1,OR('Dashboard'!$B$4="All",I749='Dashboard'!$B$4),OR('Dashboard'!$E$4="All",N749='Dashboard'!$E$4),OR('Dashboard'!$H$4="All",K749='Dashboard'!$H$4)),1,0)</x:f>
        <x:v>1</x:v>
      </x:c>
    </x:row>
    <x:row r="750">
      <x:c r="A750" s="84" t="str">
        <x:f>'Raw Sales'!A750</x:f>
        <x:v>ORD-2024-00327</x:v>
      </x:c>
      <x:c r="B750" s="85" t="n">
        <x:f>'Raw Sales'!B750</x:f>
        <x:v>45562</x:v>
      </x:c>
      <x:c r="C750" s="84" t="n">
        <x:f>YEAR(B750)</x:f>
        <x:v>2024</x:v>
      </x:c>
      <x:c r="D750" s="91" t="n">
        <x:f>DATE(YEAR(B750),MONTH(B750),1)</x:f>
        <x:v>45536</x:v>
      </x:c>
      <x:c r="E750" s="84" t="str">
        <x:f>TEXT(B750,"mmm")</x:f>
        <x:v>Sep</x:v>
      </x:c>
      <x:c r="F750" s="84" t="str">
        <x:f>'Raw Sales'!C750</x:f>
        <x:v>CUST-0477</x:v>
      </x:c>
      <x:c r="G750" s="84" t="str">
        <x:f>PROPER(TRIM('Raw Sales'!D750))</x:f>
        <x:v>William Adams</x:v>
      </x:c>
      <x:c r="H750" s="84" t="str">
        <x:f>IF(TRIM('Raw Sales'!E750)="","Unknown",PROPER(TRIM('Raw Sales'!E750)))</x:f>
        <x:v>Small Business</x:v>
      </x:c>
      <x:c r="I750" s="84" t="str">
        <x:f>PROPER(TRIM('Raw Sales'!F750))</x:f>
        <x:v>Southeast</x:v>
      </x:c>
      <x:c r="J750" s="84" t="str">
        <x:f>PROPER(TRIM('Raw Sales'!G750))</x:f>
        <x:v>Nashville</x:v>
      </x:c>
      <x:c r="K750" s="84" t="str">
        <x:f>PROPER(TRIM('Raw Sales'!H750))</x:f>
        <x:v>Retail Store</x:v>
      </x:c>
      <x:c r="L750" s="84" t="str">
        <x:f>'Raw Sales'!I750</x:f>
        <x:v>ELEC-006</x:v>
      </x:c>
      <x:c r="M750" s="84" t="str">
        <x:f>IFERROR(VLOOKUP(L750,'Reference Data'!$A$5:$F$40,2,FALSE),"Unknown Product")</x:f>
        <x:v>Portable SSD</x:v>
      </x:c>
      <x:c r="N750" s="84" t="str">
        <x:f>IFERROR(VLOOKUP(L750,'Reference Data'!$A$5:$F$40,3,FALSE),"Unknown")</x:f>
        <x:v>Electronics</x:v>
      </x:c>
      <x:c r="O750" s="84" t="str">
        <x:f>IFERROR(VLOOKUP(L750,'Reference Data'!$A$5:$F$40,4,FALSE),"Unknown")</x:f>
        <x:v>Storage</x:v>
      </x:c>
      <x:c r="P750" s="92" t="n">
        <x:f>IFERROR(VLOOKUP(L750,'Reference Data'!$A$5:$F$40,5,FALSE),0)</x:f>
        <x:v>129</x:v>
      </x:c>
      <x:c r="Q750" s="92" t="n">
        <x:f>IFERROR(VLOOKUP(L750,'Reference Data'!$A$5:$F$40,6,FALSE),0)</x:f>
        <x:v>75</x:v>
      </x:c>
      <x:c r="R750" s="84" t="n">
        <x:f>'Raw Sales'!J750</x:f>
        <x:v>1</x:v>
      </x:c>
      <x:c r="S750" s="87" t="n">
        <x:f>'Raw Sales'!K750</x:f>
        <x:v>0.05</x:v>
      </x:c>
      <x:c r="T750" s="93" t="n">
        <x:f>P750*R750</x:f>
        <x:v>129</x:v>
      </x:c>
      <x:c r="U750" s="93" t="n">
        <x:f>T750*S750</x:f>
        <x:v>6.45</x:v>
      </x:c>
      <x:c r="V750" s="93" t="str">
        <x:f>PROPER(TRIM('Raw Sales'!L750))</x:f>
        <x:v>Completed</x:v>
      </x:c>
      <x:c r="W750" s="93" t="n">
        <x:f>IF(V750="Returned",0,T750-U750)</x:f>
        <x:v>122.55</x:v>
      </x:c>
      <x:c r="X750" s="93" t="n">
        <x:f>IF(V750="Returned",Q750*R750*10%,Q750*R750)</x:f>
        <x:v>75</x:v>
      </x:c>
      <x:c r="Y750" s="93" t="n">
        <x:f>W750-X750</x:f>
        <x:v>47.55</x:v>
      </x:c>
      <x:c r="Z750" s="94" t="n">
        <x:f>IFERROR(Y750/W750,0)</x:f>
        <x:v>0.3880048959608323</x:v>
      </x:c>
      <x:c r="AA750" s="84" t="str">
        <x:f>PROPER(TRIM('Raw Sales'!M750))</x:f>
        <x:v>Cash</x:v>
      </x:c>
      <x:c r="AB750" s="84" t="str">
        <x:f>PROPER(TRIM('Raw Sales'!N750))</x:f>
        <x:v>Ava Mitchell</x:v>
      </x:c>
      <x:c r="AC750" s="85" t="n">
        <x:f>'Raw Sales'!O750</x:f>
        <x:v>45562</x:v>
      </x:c>
      <x:c r="AD750" s="84" t="n">
        <x:f>AC750-B750</x:f>
        <x:v>0</x:v>
      </x:c>
      <x:c r="AE750" s="84" t="str">
        <x:f>IF(COUNTIF($A$5:A750,A750)&gt;1,"Duplicate","Keep")</x:f>
        <x:v>Keep</x:v>
      </x:c>
      <x:c r="AF750" s="84" t="str">
        <x:f>IF(OR(R750&lt;=0,AC750&lt;B750,H750="Unknown",M750="Unknown Product"),"Review","Valid")</x:f>
        <x:v>Valid</x:v>
      </x:c>
      <x:c r="AG750" s="84" t="n">
        <x:f>IF(AND(AE750="Keep",AF750="Valid"),1,0)</x:f>
        <x:v>1</x:v>
      </x:c>
      <x:c r="AH750" s="84" t="n">
        <x:f>IF(AND(AG750=1,OR('Dashboard'!$B$4="All",I750='Dashboard'!$B$4),OR('Dashboard'!$E$4="All",N750='Dashboard'!$E$4),OR('Dashboard'!$H$4="All",K750='Dashboard'!$H$4),OR('Dashboard'!$K$4="All",C750='Dashboard'!$K$4)),1,0)</x:f>
        <x:v>1</x:v>
      </x:c>
      <x:c r="AI750" s="84" t="n">
        <x:f>IF(AND(AG750=1,OR('Dashboard'!$B$4="All",I750='Dashboard'!$B$4),OR('Dashboard'!$E$4="All",N750='Dashboard'!$E$4),OR('Dashboard'!$H$4="All",K750='Dashboard'!$H$4)),1,0)</x:f>
        <x:v>1</x:v>
      </x:c>
    </x:row>
    <x:row r="751">
      <x:c r="A751" s="84" t="str">
        <x:f>'Raw Sales'!A751</x:f>
        <x:v>ORD-2024-00565</x:v>
      </x:c>
      <x:c r="B751" s="85" t="n">
        <x:f>'Raw Sales'!B751</x:f>
        <x:v>45562</x:v>
      </x:c>
      <x:c r="C751" s="84" t="n">
        <x:f>YEAR(B751)</x:f>
        <x:v>2024</x:v>
      </x:c>
      <x:c r="D751" s="91" t="n">
        <x:f>DATE(YEAR(B751),MONTH(B751),1)</x:f>
        <x:v>45536</x:v>
      </x:c>
      <x:c r="E751" s="84" t="str">
        <x:f>TEXT(B751,"mmm")</x:f>
        <x:v>Sep</x:v>
      </x:c>
      <x:c r="F751" s="84" t="str">
        <x:f>'Raw Sales'!C751</x:f>
        <x:v>CUST-0338</x:v>
      </x:c>
      <x:c r="G751" s="84" t="str">
        <x:f>PROPER(TRIM('Raw Sales'!D751))</x:f>
        <x:v>Caleb Irwin</x:v>
      </x:c>
      <x:c r="H751" s="84" t="str">
        <x:f>IF(TRIM('Raw Sales'!E751)="","Unknown",PROPER(TRIM('Raw Sales'!E751)))</x:f>
        <x:v>Consumer</x:v>
      </x:c>
      <x:c r="I751" s="84" t="str">
        <x:f>PROPER(TRIM('Raw Sales'!F751))</x:f>
        <x:v>Southeast</x:v>
      </x:c>
      <x:c r="J751" s="84" t="str">
        <x:f>PROPER(TRIM('Raw Sales'!G751))</x:f>
        <x:v>Miami</x:v>
      </x:c>
      <x:c r="K751" s="84" t="str">
        <x:f>PROPER(TRIM('Raw Sales'!H751))</x:f>
        <x:v>Retail Store</x:v>
      </x:c>
      <x:c r="L751" s="84" t="str">
        <x:f>'Raw Sales'!I751</x:f>
        <x:v>HOME-004</x:v>
      </x:c>
      <x:c r="M751" s="84" t="str">
        <x:f>IFERROR(VLOOKUP(L751,'Reference Data'!$A$5:$F$40,2,FALSE),"Unknown Product")</x:f>
        <x:v>Coffee Maker</x:v>
      </x:c>
      <x:c r="N751" s="84" t="str">
        <x:f>IFERROR(VLOOKUP(L751,'Reference Data'!$A$5:$F$40,3,FALSE),"Unknown")</x:f>
        <x:v>Home &amp; Kitchen</x:v>
      </x:c>
      <x:c r="O751" s="84" t="str">
        <x:f>IFERROR(VLOOKUP(L751,'Reference Data'!$A$5:$F$40,4,FALSE),"Unknown")</x:f>
        <x:v>Small Appliances</x:v>
      </x:c>
      <x:c r="P751" s="92" t="n">
        <x:f>IFERROR(VLOOKUP(L751,'Reference Data'!$A$5:$F$40,5,FALSE),0)</x:f>
        <x:v>99</x:v>
      </x:c>
      <x:c r="Q751" s="92" t="n">
        <x:f>IFERROR(VLOOKUP(L751,'Reference Data'!$A$5:$F$40,6,FALSE),0)</x:f>
        <x:v>51</x:v>
      </x:c>
      <x:c r="R751" s="84" t="n">
        <x:f>'Raw Sales'!J751</x:f>
        <x:v>3</x:v>
      </x:c>
      <x:c r="S751" s="87" t="n">
        <x:f>'Raw Sales'!K751</x:f>
        <x:v>0.05</x:v>
      </x:c>
      <x:c r="T751" s="93" t="n">
        <x:f>P751*R751</x:f>
        <x:v>297</x:v>
      </x:c>
      <x:c r="U751" s="93" t="n">
        <x:f>T751*S751</x:f>
        <x:v>14.850000000000001</x:v>
      </x:c>
      <x:c r="V751" s="93" t="str">
        <x:f>PROPER(TRIM('Raw Sales'!L751))</x:f>
        <x:v>Completed</x:v>
      </x:c>
      <x:c r="W751" s="93" t="n">
        <x:f>IF(V751="Returned",0,T751-U751)</x:f>
        <x:v>282.15</x:v>
      </x:c>
      <x:c r="X751" s="93" t="n">
        <x:f>IF(V751="Returned",Q751*R751*10%,Q751*R751)</x:f>
        <x:v>153</x:v>
      </x:c>
      <x:c r="Y751" s="93" t="n">
        <x:f>W751-X751</x:f>
        <x:v>129.14999999999998</x:v>
      </x:c>
      <x:c r="Z751" s="94" t="n">
        <x:f>IFERROR(Y751/W751,0)</x:f>
        <x:v>0.4577352472089314</x:v>
      </x:c>
      <x:c r="AA751" s="84" t="str">
        <x:f>PROPER(TRIM('Raw Sales'!M751))</x:f>
        <x:v>Debit Card</x:v>
      </x:c>
      <x:c r="AB751" s="84" t="str">
        <x:f>PROPER(TRIM('Raw Sales'!N751))</x:f>
        <x:v>Liam Parker</x:v>
      </x:c>
      <x:c r="AC751" s="85" t="n">
        <x:f>'Raw Sales'!O751</x:f>
        <x:v>45562</x:v>
      </x:c>
      <x:c r="AD751" s="84" t="n">
        <x:f>AC751-B751</x:f>
        <x:v>0</x:v>
      </x:c>
      <x:c r="AE751" s="84" t="str">
        <x:f>IF(COUNTIF($A$5:A751,A751)&gt;1,"Duplicate","Keep")</x:f>
        <x:v>Keep</x:v>
      </x:c>
      <x:c r="AF751" s="84" t="str">
        <x:f>IF(OR(R751&lt;=0,AC751&lt;B751,H751="Unknown",M751="Unknown Product"),"Review","Valid")</x:f>
        <x:v>Valid</x:v>
      </x:c>
      <x:c r="AG751" s="84" t="n">
        <x:f>IF(AND(AE751="Keep",AF751="Valid"),1,0)</x:f>
        <x:v>1</x:v>
      </x:c>
      <x:c r="AH751" s="84" t="n">
        <x:f>IF(AND(AG751=1,OR('Dashboard'!$B$4="All",I751='Dashboard'!$B$4),OR('Dashboard'!$E$4="All",N751='Dashboard'!$E$4),OR('Dashboard'!$H$4="All",K751='Dashboard'!$H$4),OR('Dashboard'!$K$4="All",C751='Dashboard'!$K$4)),1,0)</x:f>
        <x:v>1</x:v>
      </x:c>
      <x:c r="AI751" s="84" t="n">
        <x:f>IF(AND(AG751=1,OR('Dashboard'!$B$4="All",I751='Dashboard'!$B$4),OR('Dashboard'!$E$4="All",N751='Dashboard'!$E$4),OR('Dashboard'!$H$4="All",K751='Dashboard'!$H$4)),1,0)</x:f>
        <x:v>1</x:v>
      </x:c>
    </x:row>
    <x:row r="752">
      <x:c r="A752" s="84" t="str">
        <x:f>'Raw Sales'!A752</x:f>
        <x:v>ORD-2024-00685</x:v>
      </x:c>
      <x:c r="B752" s="85" t="n">
        <x:f>'Raw Sales'!B752</x:f>
        <x:v>45562</x:v>
      </x:c>
      <x:c r="C752" s="84" t="n">
        <x:f>YEAR(B752)</x:f>
        <x:v>2024</x:v>
      </x:c>
      <x:c r="D752" s="91" t="n">
        <x:f>DATE(YEAR(B752),MONTH(B752),1)</x:f>
        <x:v>45536</x:v>
      </x:c>
      <x:c r="E752" s="84" t="str">
        <x:f>TEXT(B752,"mmm")</x:f>
        <x:v>Sep</x:v>
      </x:c>
      <x:c r="F752" s="84" t="str">
        <x:f>'Raw Sales'!C752</x:f>
        <x:v>CUST-0219</x:v>
      </x:c>
      <x:c r="G752" s="84" t="str">
        <x:f>PROPER(TRIM('Raw Sales'!D752))</x:f>
        <x:v>Caleb Quinn</x:v>
      </x:c>
      <x:c r="H752" s="84" t="str">
        <x:f>IF(TRIM('Raw Sales'!E752)="","Unknown",PROPER(TRIM('Raw Sales'!E752)))</x:f>
        <x:v>Small Business</x:v>
      </x:c>
      <x:c r="I752" s="84" t="str">
        <x:f>PROPER(TRIM('Raw Sales'!F752))</x:f>
        <x:v>West</x:v>
      </x:c>
      <x:c r="J752" s="84" t="str">
        <x:f>PROPER(TRIM('Raw Sales'!G752))</x:f>
        <x:v>Los Angeles</x:v>
      </x:c>
      <x:c r="K752" s="84" t="str">
        <x:f>PROPER(TRIM('Raw Sales'!H752))</x:f>
        <x:v>Marketplace</x:v>
      </x:c>
      <x:c r="L752" s="84" t="str">
        <x:f>'Raw Sales'!I752</x:f>
        <x:v>ACCS-003</x:v>
      </x:c>
      <x:c r="M752" s="84" t="str">
        <x:f>IFERROR(VLOOKUP(L752,'Reference Data'!$A$5:$F$40,2,FALSE),"Unknown Product")</x:f>
        <x:v>Polarized Sunglasses</x:v>
      </x:c>
      <x:c r="N752" s="84" t="str">
        <x:f>IFERROR(VLOOKUP(L752,'Reference Data'!$A$5:$F$40,3,FALSE),"Unknown")</x:f>
        <x:v>Accessories</x:v>
      </x:c>
      <x:c r="O752" s="84" t="str">
        <x:f>IFERROR(VLOOKUP(L752,'Reference Data'!$A$5:$F$40,4,FALSE),"Unknown")</x:f>
        <x:v>Eyewear</x:v>
      </x:c>
      <x:c r="P752" s="92" t="n">
        <x:f>IFERROR(VLOOKUP(L752,'Reference Data'!$A$5:$F$40,5,FALSE),0)</x:f>
        <x:v>59</x:v>
      </x:c>
      <x:c r="Q752" s="92" t="n">
        <x:f>IFERROR(VLOOKUP(L752,'Reference Data'!$A$5:$F$40,6,FALSE),0)</x:f>
        <x:v>17</x:v>
      </x:c>
      <x:c r="R752" s="84" t="n">
        <x:f>'Raw Sales'!J752</x:f>
        <x:v>1</x:v>
      </x:c>
      <x:c r="S752" s="87" t="n">
        <x:f>'Raw Sales'!K752</x:f>
        <x:v>0.1</x:v>
      </x:c>
      <x:c r="T752" s="93" t="n">
        <x:f>P752*R752</x:f>
        <x:v>59</x:v>
      </x:c>
      <x:c r="U752" s="93" t="n">
        <x:f>T752*S752</x:f>
        <x:v>5.9</x:v>
      </x:c>
      <x:c r="V752" s="93" t="str">
        <x:f>PROPER(TRIM('Raw Sales'!L752))</x:f>
        <x:v>Completed</x:v>
      </x:c>
      <x:c r="W752" s="93" t="n">
        <x:f>IF(V752="Returned",0,T752-U752)</x:f>
        <x:v>53.1</x:v>
      </x:c>
      <x:c r="X752" s="93" t="n">
        <x:f>IF(V752="Returned",Q752*R752*10%,Q752*R752)</x:f>
        <x:v>17</x:v>
      </x:c>
      <x:c r="Y752" s="93" t="n">
        <x:f>W752-X752</x:f>
        <x:v>36.1</x:v>
      </x:c>
      <x:c r="Z752" s="94" t="n">
        <x:f>IFERROR(Y752/W752,0)</x:f>
        <x:v>0.67984934086629</x:v>
      </x:c>
      <x:c r="AA752" s="84" t="str">
        <x:f>PROPER(TRIM('Raw Sales'!M752))</x:f>
        <x:v>Credit Card</x:v>
      </x:c>
      <x:c r="AB752" s="84" t="str">
        <x:f>PROPER(TRIM('Raw Sales'!N752))</x:f>
        <x:v>Leo Martinez</x:v>
      </x:c>
      <x:c r="AC752" s="85" t="n">
        <x:f>'Raw Sales'!O752</x:f>
        <x:v>45567</x:v>
      </x:c>
      <x:c r="AD752" s="84" t="n">
        <x:f>AC752-B752</x:f>
        <x:v>5</x:v>
      </x:c>
      <x:c r="AE752" s="84" t="str">
        <x:f>IF(COUNTIF($A$5:A752,A752)&gt;1,"Duplicate","Keep")</x:f>
        <x:v>Keep</x:v>
      </x:c>
      <x:c r="AF752" s="84" t="str">
        <x:f>IF(OR(R752&lt;=0,AC752&lt;B752,H752="Unknown",M752="Unknown Product"),"Review","Valid")</x:f>
        <x:v>Valid</x:v>
      </x:c>
      <x:c r="AG752" s="84" t="n">
        <x:f>IF(AND(AE752="Keep",AF752="Valid"),1,0)</x:f>
        <x:v>1</x:v>
      </x:c>
      <x:c r="AH752" s="84" t="n">
        <x:f>IF(AND(AG752=1,OR('Dashboard'!$B$4="All",I752='Dashboard'!$B$4),OR('Dashboard'!$E$4="All",N752='Dashboard'!$E$4),OR('Dashboard'!$H$4="All",K752='Dashboard'!$H$4),OR('Dashboard'!$K$4="All",C752='Dashboard'!$K$4)),1,0)</x:f>
        <x:v>1</x:v>
      </x:c>
      <x:c r="AI752" s="84" t="n">
        <x:f>IF(AND(AG752=1,OR('Dashboard'!$B$4="All",I752='Dashboard'!$B$4),OR('Dashboard'!$E$4="All",N752='Dashboard'!$E$4),OR('Dashboard'!$H$4="All",K752='Dashboard'!$H$4)),1,0)</x:f>
        <x:v>1</x:v>
      </x:c>
    </x:row>
    <x:row r="753">
      <x:c r="A753" s="84" t="str">
        <x:f>'Raw Sales'!A753</x:f>
        <x:v>ORD-2024-00696</x:v>
      </x:c>
      <x:c r="B753" s="85" t="n">
        <x:f>'Raw Sales'!B753</x:f>
        <x:v>45562</x:v>
      </x:c>
      <x:c r="C753" s="84" t="n">
        <x:f>YEAR(B753)</x:f>
        <x:v>2024</x:v>
      </x:c>
      <x:c r="D753" s="91" t="n">
        <x:f>DATE(YEAR(B753),MONTH(B753),1)</x:f>
        <x:v>45536</x:v>
      </x:c>
      <x:c r="E753" s="84" t="str">
        <x:f>TEXT(B753,"mmm")</x:f>
        <x:v>Sep</x:v>
      </x:c>
      <x:c r="F753" s="84" t="str">
        <x:f>'Raw Sales'!C753</x:f>
        <x:v>CUST-0339</x:v>
      </x:c>
      <x:c r="G753" s="84" t="str">
        <x:f>PROPER(TRIM('Raw Sales'!D753))</x:f>
        <x:v>Marcus Walker</x:v>
      </x:c>
      <x:c r="H753" s="84" t="str">
        <x:f>IF(TRIM('Raw Sales'!E753)="","Unknown",PROPER(TRIM('Raw Sales'!E753)))</x:f>
        <x:v>Consumer</x:v>
      </x:c>
      <x:c r="I753" s="84" t="str">
        <x:f>PROPER(TRIM('Raw Sales'!F753))</x:f>
        <x:v>Midwest</x:v>
      </x:c>
      <x:c r="J753" s="84" t="str">
        <x:f>PROPER(TRIM('Raw Sales'!G753))</x:f>
        <x:v>Columbus</x:v>
      </x:c>
      <x:c r="K753" s="84" t="str">
        <x:f>PROPER(TRIM('Raw Sales'!H753))</x:f>
        <x:v>Online</x:v>
      </x:c>
      <x:c r="L753" s="84" t="str">
        <x:f>'Raw Sales'!I753</x:f>
        <x:v>CARE-001</x:v>
      </x:c>
      <x:c r="M753" s="84" t="str">
        <x:f>IFERROR(VLOOKUP(L753,'Reference Data'!$A$5:$F$40,2,FALSE),"Unknown Product")</x:f>
        <x:v>Ionic Hair Dryer</x:v>
      </x:c>
      <x:c r="N753" s="84" t="str">
        <x:f>IFERROR(VLOOKUP(L753,'Reference Data'!$A$5:$F$40,3,FALSE),"Unknown")</x:f>
        <x:v>Personal Care</x:v>
      </x:c>
      <x:c r="O753" s="84" t="str">
        <x:f>IFERROR(VLOOKUP(L753,'Reference Data'!$A$5:$F$40,4,FALSE),"Unknown")</x:f>
        <x:v>Hair Care</x:v>
      </x:c>
      <x:c r="P753" s="92" t="n">
        <x:f>IFERROR(VLOOKUP(L753,'Reference Data'!$A$5:$F$40,5,FALSE),0)</x:f>
        <x:v>54</x:v>
      </x:c>
      <x:c r="Q753" s="92" t="n">
        <x:f>IFERROR(VLOOKUP(L753,'Reference Data'!$A$5:$F$40,6,FALSE),0)</x:f>
        <x:v>25</x:v>
      </x:c>
      <x:c r="R753" s="84" t="n">
        <x:f>'Raw Sales'!J753</x:f>
        <x:v>2</x:v>
      </x:c>
      <x:c r="S753" s="87" t="n">
        <x:f>'Raw Sales'!K753</x:f>
        <x:v>0.05</x:v>
      </x:c>
      <x:c r="T753" s="93" t="n">
        <x:f>P753*R753</x:f>
        <x:v>108</x:v>
      </x:c>
      <x:c r="U753" s="93" t="n">
        <x:f>T753*S753</x:f>
        <x:v>5.4</x:v>
      </x:c>
      <x:c r="V753" s="93" t="str">
        <x:f>PROPER(TRIM('Raw Sales'!L753))</x:f>
        <x:v>Completed</x:v>
      </x:c>
      <x:c r="W753" s="93" t="n">
        <x:f>IF(V753="Returned",0,T753-U753)</x:f>
        <x:v>102.6</x:v>
      </x:c>
      <x:c r="X753" s="93" t="n">
        <x:f>IF(V753="Returned",Q753*R753*10%,Q753*R753)</x:f>
        <x:v>50</x:v>
      </x:c>
      <x:c r="Y753" s="93" t="n">
        <x:f>W753-X753</x:f>
        <x:v>52.599999999999994</x:v>
      </x:c>
      <x:c r="Z753" s="94" t="n">
        <x:f>IFERROR(Y753/W753,0)</x:f>
        <x:v>0.5126705653021443</x:v>
      </x:c>
      <x:c r="AA753" s="84" t="str">
        <x:f>PROPER(TRIM('Raw Sales'!M753))</x:f>
        <x:v>Credit Card</x:v>
      </x:c>
      <x:c r="AB753" s="84" t="str">
        <x:f>PROPER(TRIM('Raw Sales'!N753))</x:f>
        <x:v>Emma Hayes</x:v>
      </x:c>
      <x:c r="AC753" s="85" t="n">
        <x:f>'Raw Sales'!O753</x:f>
        <x:v>45565</x:v>
      </x:c>
      <x:c r="AD753" s="84" t="n">
        <x:f>AC753-B753</x:f>
        <x:v>3</x:v>
      </x:c>
      <x:c r="AE753" s="84" t="str">
        <x:f>IF(COUNTIF($A$5:A753,A753)&gt;1,"Duplicate","Keep")</x:f>
        <x:v>Keep</x:v>
      </x:c>
      <x:c r="AF753" s="84" t="str">
        <x:f>IF(OR(R753&lt;=0,AC753&lt;B753,H753="Unknown",M753="Unknown Product"),"Review","Valid")</x:f>
        <x:v>Valid</x:v>
      </x:c>
      <x:c r="AG753" s="84" t="n">
        <x:f>IF(AND(AE753="Keep",AF753="Valid"),1,0)</x:f>
        <x:v>1</x:v>
      </x:c>
      <x:c r="AH753" s="84" t="n">
        <x:f>IF(AND(AG753=1,OR('Dashboard'!$B$4="All",I753='Dashboard'!$B$4),OR('Dashboard'!$E$4="All",N753='Dashboard'!$E$4),OR('Dashboard'!$H$4="All",K753='Dashboard'!$H$4),OR('Dashboard'!$K$4="All",C753='Dashboard'!$K$4)),1,0)</x:f>
        <x:v>1</x:v>
      </x:c>
      <x:c r="AI753" s="84" t="n">
        <x:f>IF(AND(AG753=1,OR('Dashboard'!$B$4="All",I753='Dashboard'!$B$4),OR('Dashboard'!$E$4="All",N753='Dashboard'!$E$4),OR('Dashboard'!$H$4="All",K753='Dashboard'!$H$4)),1,0)</x:f>
        <x:v>1</x:v>
      </x:c>
    </x:row>
    <x:row r="754">
      <x:c r="A754" s="84" t="str">
        <x:f>'Raw Sales'!A754</x:f>
        <x:v>ORD-2024-01433</x:v>
      </x:c>
      <x:c r="B754" s="85" t="n">
        <x:f>'Raw Sales'!B754</x:f>
        <x:v>45562</x:v>
      </x:c>
      <x:c r="C754" s="84" t="n">
        <x:f>YEAR(B754)</x:f>
        <x:v>2024</x:v>
      </x:c>
      <x:c r="D754" s="91" t="n">
        <x:f>DATE(YEAR(B754),MONTH(B754),1)</x:f>
        <x:v>45536</x:v>
      </x:c>
      <x:c r="E754" s="84" t="str">
        <x:f>TEXT(B754,"mmm")</x:f>
        <x:v>Sep</x:v>
      </x:c>
      <x:c r="F754" s="84" t="str">
        <x:f>'Raw Sales'!C754</x:f>
        <x:v>CUST-0628</x:v>
      </x:c>
      <x:c r="G754" s="84" t="str">
        <x:f>PROPER(TRIM('Raw Sales'!D754))</x:f>
        <x:v>Isaac Young</x:v>
      </x:c>
      <x:c r="H754" s="84" t="str">
        <x:f>IF(TRIM('Raw Sales'!E754)="","Unknown",PROPER(TRIM('Raw Sales'!E754)))</x:f>
        <x:v>Small Business</x:v>
      </x:c>
      <x:c r="I754" s="84" t="str">
        <x:f>PROPER(TRIM('Raw Sales'!F754))</x:f>
        <x:v>West</x:v>
      </x:c>
      <x:c r="J754" s="84" t="str">
        <x:f>PROPER(TRIM('Raw Sales'!G754))</x:f>
        <x:v>Denver</x:v>
      </x:c>
      <x:c r="K754" s="84" t="str">
        <x:f>PROPER(TRIM('Raw Sales'!H754))</x:f>
        <x:v>Online</x:v>
      </x:c>
      <x:c r="L754" s="84" t="str">
        <x:f>'Raw Sales'!I754</x:f>
        <x:v>ACCS-004</x:v>
      </x:c>
      <x:c r="M754" s="84" t="str">
        <x:f>IFERROR(VLOOKUP(L754,'Reference Data'!$A$5:$F$40,2,FALSE),"Unknown Product")</x:f>
        <x:v>Leather Wallet</x:v>
      </x:c>
      <x:c r="N754" s="84" t="str">
        <x:f>IFERROR(VLOOKUP(L754,'Reference Data'!$A$5:$F$40,3,FALSE),"Unknown")</x:f>
        <x:v>Accessories</x:v>
      </x:c>
      <x:c r="O754" s="84" t="str">
        <x:f>IFERROR(VLOOKUP(L754,'Reference Data'!$A$5:$F$40,4,FALSE),"Unknown")</x:f>
        <x:v>Wallets</x:v>
      </x:c>
      <x:c r="P754" s="92" t="n">
        <x:f>IFERROR(VLOOKUP(L754,'Reference Data'!$A$5:$F$40,5,FALSE),0)</x:f>
        <x:v>49</x:v>
      </x:c>
      <x:c r="Q754" s="92" t="n">
        <x:f>IFERROR(VLOOKUP(L754,'Reference Data'!$A$5:$F$40,6,FALSE),0)</x:f>
        <x:v>18</x:v>
      </x:c>
      <x:c r="R754" s="84" t="n">
        <x:f>'Raw Sales'!J754</x:f>
        <x:v>1</x:v>
      </x:c>
      <x:c r="S754" s="87" t="n">
        <x:f>'Raw Sales'!K754</x:f>
        <x:v>0.1</x:v>
      </x:c>
      <x:c r="T754" s="93" t="n">
        <x:f>P754*R754</x:f>
        <x:v>49</x:v>
      </x:c>
      <x:c r="U754" s="93" t="n">
        <x:f>T754*S754</x:f>
        <x:v>4.9</x:v>
      </x:c>
      <x:c r="V754" s="93" t="str">
        <x:f>PROPER(TRIM('Raw Sales'!L754))</x:f>
        <x:v>Completed</x:v>
      </x:c>
      <x:c r="W754" s="93" t="n">
        <x:f>IF(V754="Returned",0,T754-U754)</x:f>
        <x:v>44.1</x:v>
      </x:c>
      <x:c r="X754" s="93" t="n">
        <x:f>IF(V754="Returned",Q754*R754*10%,Q754*R754)</x:f>
        <x:v>18</x:v>
      </x:c>
      <x:c r="Y754" s="93" t="n">
        <x:f>W754-X754</x:f>
        <x:v>26.1</x:v>
      </x:c>
      <x:c r="Z754" s="94" t="n">
        <x:f>IFERROR(Y754/W754,0)</x:f>
        <x:v>0.5918367346938775</x:v>
      </x:c>
      <x:c r="AA754" s="84" t="str">
        <x:f>PROPER(TRIM('Raw Sales'!M754))</x:f>
        <x:v>Credit Card</x:v>
      </x:c>
      <x:c r="AB754" s="84" t="str">
        <x:f>PROPER(TRIM('Raw Sales'!N754))</x:f>
        <x:v>Leo Martinez</x:v>
      </x:c>
      <x:c r="AC754" s="85" t="n">
        <x:f>'Raw Sales'!O754</x:f>
        <x:v>45565</x:v>
      </x:c>
      <x:c r="AD754" s="84" t="n">
        <x:f>AC754-B754</x:f>
        <x:v>3</x:v>
      </x:c>
      <x:c r="AE754" s="84" t="str">
        <x:f>IF(COUNTIF($A$5:A754,A754)&gt;1,"Duplicate","Keep")</x:f>
        <x:v>Keep</x:v>
      </x:c>
      <x:c r="AF754" s="84" t="str">
        <x:f>IF(OR(R754&lt;=0,AC754&lt;B754,H754="Unknown",M754="Unknown Product"),"Review","Valid")</x:f>
        <x:v>Valid</x:v>
      </x:c>
      <x:c r="AG754" s="84" t="n">
        <x:f>IF(AND(AE754="Keep",AF754="Valid"),1,0)</x:f>
        <x:v>1</x:v>
      </x:c>
      <x:c r="AH754" s="84" t="n">
        <x:f>IF(AND(AG754=1,OR('Dashboard'!$B$4="All",I754='Dashboard'!$B$4),OR('Dashboard'!$E$4="All",N754='Dashboard'!$E$4),OR('Dashboard'!$H$4="All",K754='Dashboard'!$H$4),OR('Dashboard'!$K$4="All",C754='Dashboard'!$K$4)),1,0)</x:f>
        <x:v>1</x:v>
      </x:c>
      <x:c r="AI754" s="84" t="n">
        <x:f>IF(AND(AG754=1,OR('Dashboard'!$B$4="All",I754='Dashboard'!$B$4),OR('Dashboard'!$E$4="All",N754='Dashboard'!$E$4),OR('Dashboard'!$H$4="All",K754='Dashboard'!$H$4)),1,0)</x:f>
        <x:v>1</x:v>
      </x:c>
    </x:row>
    <x:row r="755">
      <x:c r="A755" s="84" t="str">
        <x:f>'Raw Sales'!A755</x:f>
        <x:v>ORD-2024-01582</x:v>
      </x:c>
      <x:c r="B755" s="85" t="n">
        <x:f>'Raw Sales'!B755</x:f>
        <x:v>45562</x:v>
      </x:c>
      <x:c r="C755" s="84" t="n">
        <x:f>YEAR(B755)</x:f>
        <x:v>2024</x:v>
      </x:c>
      <x:c r="D755" s="91" t="n">
        <x:f>DATE(YEAR(B755),MONTH(B755),1)</x:f>
        <x:v>45536</x:v>
      </x:c>
      <x:c r="E755" s="84" t="str">
        <x:f>TEXT(B755,"mmm")</x:f>
        <x:v>Sep</x:v>
      </x:c>
      <x:c r="F755" s="84" t="str">
        <x:f>'Raw Sales'!C755</x:f>
        <x:v>CUST-0116</x:v>
      </x:c>
      <x:c r="G755" s="84" t="str">
        <x:f>PROPER(TRIM('Raw Sales'!D755))</x:f>
        <x:v>Amelia Khan</x:v>
      </x:c>
      <x:c r="H755" s="84" t="str">
        <x:f>IF(TRIM('Raw Sales'!E755)="","Unknown",PROPER(TRIM('Raw Sales'!E755)))</x:f>
        <x:v>Consumer</x:v>
      </x:c>
      <x:c r="I755" s="84" t="str">
        <x:f>PROPER(TRIM('Raw Sales'!F755))</x:f>
        <x:v>Midwest</x:v>
      </x:c>
      <x:c r="J755" s="84" t="str">
        <x:f>PROPER(TRIM('Raw Sales'!G755))</x:f>
        <x:v>Minneapolis</x:v>
      </x:c>
      <x:c r="K755" s="84" t="str">
        <x:f>PROPER(TRIM('Raw Sales'!H755))</x:f>
        <x:v>Online</x:v>
      </x:c>
      <x:c r="L755" s="84" t="str">
        <x:f>'Raw Sales'!I755</x:f>
        <x:v>FITN-005</x:v>
      </x:c>
      <x:c r="M755" s="84" t="str">
        <x:f>IFERROR(VLOOKUP(L755,'Reference Data'!$A$5:$F$40,2,FALSE),"Unknown Product")</x:f>
        <x:v>Sports Water Bottle</x:v>
      </x:c>
      <x:c r="N755" s="84" t="str">
        <x:f>IFERROR(VLOOKUP(L755,'Reference Data'!$A$5:$F$40,3,FALSE),"Unknown")</x:f>
        <x:v>Fitness</x:v>
      </x:c>
      <x:c r="O755" s="84" t="str">
        <x:f>IFERROR(VLOOKUP(L755,'Reference Data'!$A$5:$F$40,4,FALSE),"Unknown")</x:f>
        <x:v>Accessories</x:v>
      </x:c>
      <x:c r="P755" s="92" t="n">
        <x:f>IFERROR(VLOOKUP(L755,'Reference Data'!$A$5:$F$40,5,FALSE),0)</x:f>
        <x:v>22</x:v>
      </x:c>
      <x:c r="Q755" s="92" t="n">
        <x:f>IFERROR(VLOOKUP(L755,'Reference Data'!$A$5:$F$40,6,FALSE),0)</x:f>
        <x:v>7</x:v>
      </x:c>
      <x:c r="R755" s="84" t="n">
        <x:f>'Raw Sales'!J755</x:f>
        <x:v>1</x:v>
      </x:c>
      <x:c r="S755" s="87" t="n">
        <x:f>'Raw Sales'!K755</x:f>
        <x:v>0.1</x:v>
      </x:c>
      <x:c r="T755" s="93" t="n">
        <x:f>P755*R755</x:f>
        <x:v>22</x:v>
      </x:c>
      <x:c r="U755" s="93" t="n">
        <x:f>T755*S755</x:f>
        <x:v>2.2</x:v>
      </x:c>
      <x:c r="V755" s="93" t="str">
        <x:f>PROPER(TRIM('Raw Sales'!L755))</x:f>
        <x:v>Completed</x:v>
      </x:c>
      <x:c r="W755" s="93" t="n">
        <x:f>IF(V755="Returned",0,T755-U755)</x:f>
        <x:v>19.8</x:v>
      </x:c>
      <x:c r="X755" s="93" t="n">
        <x:f>IF(V755="Returned",Q755*R755*10%,Q755*R755)</x:f>
        <x:v>7</x:v>
      </x:c>
      <x:c r="Y755" s="93" t="n">
        <x:f>W755-X755</x:f>
        <x:v>12.8</x:v>
      </x:c>
      <x:c r="Z755" s="94" t="n">
        <x:f>IFERROR(Y755/W755,0)</x:f>
        <x:v>0.6464646464646465</x:v>
      </x:c>
      <x:c r="AA755" s="84" t="str">
        <x:f>PROPER(TRIM('Raw Sales'!M755))</x:f>
        <x:v>Credit Card</x:v>
      </x:c>
      <x:c r="AB755" s="84" t="str">
        <x:f>PROPER(TRIM('Raw Sales'!N755))</x:f>
        <x:v>Lucas Grant</x:v>
      </x:c>
      <x:c r="AC755" s="85" t="n">
        <x:f>'Raw Sales'!O755</x:f>
        <x:v>45567</x:v>
      </x:c>
      <x:c r="AD755" s="84" t="n">
        <x:f>AC755-B755</x:f>
        <x:v>5</x:v>
      </x:c>
      <x:c r="AE755" s="84" t="str">
        <x:f>IF(COUNTIF($A$5:A755,A755)&gt;1,"Duplicate","Keep")</x:f>
        <x:v>Keep</x:v>
      </x:c>
      <x:c r="AF755" s="84" t="str">
        <x:f>IF(OR(R755&lt;=0,AC755&lt;B755,H755="Unknown",M755="Unknown Product"),"Review","Valid")</x:f>
        <x:v>Valid</x:v>
      </x:c>
      <x:c r="AG755" s="84" t="n">
        <x:f>IF(AND(AE755="Keep",AF755="Valid"),1,0)</x:f>
        <x:v>1</x:v>
      </x:c>
      <x:c r="AH755" s="84" t="n">
        <x:f>IF(AND(AG755=1,OR('Dashboard'!$B$4="All",I755='Dashboard'!$B$4),OR('Dashboard'!$E$4="All",N755='Dashboard'!$E$4),OR('Dashboard'!$H$4="All",K755='Dashboard'!$H$4),OR('Dashboard'!$K$4="All",C755='Dashboard'!$K$4)),1,0)</x:f>
        <x:v>1</x:v>
      </x:c>
      <x:c r="AI755" s="84" t="n">
        <x:f>IF(AND(AG755=1,OR('Dashboard'!$B$4="All",I755='Dashboard'!$B$4),OR('Dashboard'!$E$4="All",N755='Dashboard'!$E$4),OR('Dashboard'!$H$4="All",K755='Dashboard'!$H$4)),1,0)</x:f>
        <x:v>1</x:v>
      </x:c>
    </x:row>
    <x:row r="756">
      <x:c r="A756" s="84" t="str">
        <x:f>'Raw Sales'!A756</x:f>
        <x:v>ORD-2024-00083</x:v>
      </x:c>
      <x:c r="B756" s="85" t="n">
        <x:f>'Raw Sales'!B756</x:f>
        <x:v>45563</x:v>
      </x:c>
      <x:c r="C756" s="84" t="n">
        <x:f>YEAR(B756)</x:f>
        <x:v>2024</x:v>
      </x:c>
      <x:c r="D756" s="91" t="n">
        <x:f>DATE(YEAR(B756),MONTH(B756),1)</x:f>
        <x:v>45536</x:v>
      </x:c>
      <x:c r="E756" s="84" t="str">
        <x:f>TEXT(B756,"mmm")</x:f>
        <x:v>Sep</x:v>
      </x:c>
      <x:c r="F756" s="84" t="str">
        <x:f>'Raw Sales'!C756</x:f>
        <x:v>CUST-0235</x:v>
      </x:c>
      <x:c r="G756" s="84" t="str">
        <x:f>PROPER(TRIM('Raw Sales'!D756))</x:f>
        <x:v>Samuel Quinn</x:v>
      </x:c>
      <x:c r="H756" s="84" t="str">
        <x:f>IF(TRIM('Raw Sales'!E756)="","Unknown",PROPER(TRIM('Raw Sales'!E756)))</x:f>
        <x:v>Consumer</x:v>
      </x:c>
      <x:c r="I756" s="84" t="str">
        <x:f>PROPER(TRIM('Raw Sales'!F756))</x:f>
        <x:v>West</x:v>
      </x:c>
      <x:c r="J756" s="84" t="str">
        <x:f>PROPER(TRIM('Raw Sales'!G756))</x:f>
        <x:v>Phoenix</x:v>
      </x:c>
      <x:c r="K756" s="84" t="str">
        <x:f>PROPER(TRIM('Raw Sales'!H756))</x:f>
        <x:v>Online</x:v>
      </x:c>
      <x:c r="L756" s="84" t="str">
        <x:f>'Raw Sales'!I756</x:f>
        <x:v>HOME-002</x:v>
      </x:c>
      <x:c r="M756" s="84" t="str">
        <x:f>IFERROR(VLOOKUP(L756,'Reference Data'!$A$5:$F$40,2,FALSE),"Unknown Product")</x:f>
        <x:v>Electric Kettle</x:v>
      </x:c>
      <x:c r="N756" s="84" t="str">
        <x:f>IFERROR(VLOOKUP(L756,'Reference Data'!$A$5:$F$40,3,FALSE),"Unknown")</x:f>
        <x:v>Home &amp; Kitchen</x:v>
      </x:c>
      <x:c r="O756" s="84" t="str">
        <x:f>IFERROR(VLOOKUP(L756,'Reference Data'!$A$5:$F$40,4,FALSE),"Unknown")</x:f>
        <x:v>Small Appliances</x:v>
      </x:c>
      <x:c r="P756" s="92" t="n">
        <x:f>IFERROR(VLOOKUP(L756,'Reference Data'!$A$5:$F$40,5,FALSE),0)</x:f>
        <x:v>49</x:v>
      </x:c>
      <x:c r="Q756" s="92" t="n">
        <x:f>IFERROR(VLOOKUP(L756,'Reference Data'!$A$5:$F$40,6,FALSE),0)</x:f>
        <x:v>23</x:v>
      </x:c>
      <x:c r="R756" s="84" t="n">
        <x:f>'Raw Sales'!J756</x:f>
        <x:v>1</x:v>
      </x:c>
      <x:c r="S756" s="87" t="n">
        <x:f>'Raw Sales'!K756</x:f>
        <x:v>0.1</x:v>
      </x:c>
      <x:c r="T756" s="93" t="n">
        <x:f>P756*R756</x:f>
        <x:v>49</x:v>
      </x:c>
      <x:c r="U756" s="93" t="n">
        <x:f>T756*S756</x:f>
        <x:v>4.9</x:v>
      </x:c>
      <x:c r="V756" s="93" t="str">
        <x:f>PROPER(TRIM('Raw Sales'!L756))</x:f>
        <x:v>Completed</x:v>
      </x:c>
      <x:c r="W756" s="93" t="n">
        <x:f>IF(V756="Returned",0,T756-U756)</x:f>
        <x:v>44.1</x:v>
      </x:c>
      <x:c r="X756" s="93" t="n">
        <x:f>IF(V756="Returned",Q756*R756*10%,Q756*R756)</x:f>
        <x:v>23</x:v>
      </x:c>
      <x:c r="Y756" s="93" t="n">
        <x:f>W756-X756</x:f>
        <x:v>21.1</x:v>
      </x:c>
      <x:c r="Z756" s="94" t="n">
        <x:f>IFERROR(Y756/W756,0)</x:f>
        <x:v>0.47845804988662133</x:v>
      </x:c>
      <x:c r="AA756" s="84" t="str">
        <x:f>PROPER(TRIM('Raw Sales'!M756))</x:f>
        <x:v>Debit Card</x:v>
      </x:c>
      <x:c r="AB756" s="84" t="str">
        <x:f>PROPER(TRIM('Raw Sales'!N756))</x:f>
        <x:v>Nora Kim</x:v>
      </x:c>
      <x:c r="AC756" s="85" t="n">
        <x:f>'Raw Sales'!O756</x:f>
        <x:v>45566</x:v>
      </x:c>
      <x:c r="AD756" s="84" t="n">
        <x:f>AC756-B756</x:f>
        <x:v>3</x:v>
      </x:c>
      <x:c r="AE756" s="84" t="str">
        <x:f>IF(COUNTIF($A$5:A756,A756)&gt;1,"Duplicate","Keep")</x:f>
        <x:v>Keep</x:v>
      </x:c>
      <x:c r="AF756" s="84" t="str">
        <x:f>IF(OR(R756&lt;=0,AC756&lt;B756,H756="Unknown",M756="Unknown Product"),"Review","Valid")</x:f>
        <x:v>Valid</x:v>
      </x:c>
      <x:c r="AG756" s="84" t="n">
        <x:f>IF(AND(AE756="Keep",AF756="Valid"),1,0)</x:f>
        <x:v>1</x:v>
      </x:c>
      <x:c r="AH756" s="84" t="n">
        <x:f>IF(AND(AG756=1,OR('Dashboard'!$B$4="All",I756='Dashboard'!$B$4),OR('Dashboard'!$E$4="All",N756='Dashboard'!$E$4),OR('Dashboard'!$H$4="All",K756='Dashboard'!$H$4),OR('Dashboard'!$K$4="All",C756='Dashboard'!$K$4)),1,0)</x:f>
        <x:v>1</x:v>
      </x:c>
      <x:c r="AI756" s="84" t="n">
        <x:f>IF(AND(AG756=1,OR('Dashboard'!$B$4="All",I756='Dashboard'!$B$4),OR('Dashboard'!$E$4="All",N756='Dashboard'!$E$4),OR('Dashboard'!$H$4="All",K756='Dashboard'!$H$4)),1,0)</x:f>
        <x:v>1</x:v>
      </x:c>
    </x:row>
    <x:row r="757">
      <x:c r="A757" s="84" t="str">
        <x:f>'Raw Sales'!A757</x:f>
        <x:v>ORD-2024-01577</x:v>
      </x:c>
      <x:c r="B757" s="85" t="n">
        <x:f>'Raw Sales'!B757</x:f>
        <x:v>45563</x:v>
      </x:c>
      <x:c r="C757" s="84" t="n">
        <x:f>YEAR(B757)</x:f>
        <x:v>2024</x:v>
      </x:c>
      <x:c r="D757" s="91" t="n">
        <x:f>DATE(YEAR(B757),MONTH(B757),1)</x:f>
        <x:v>45536</x:v>
      </x:c>
      <x:c r="E757" s="84" t="str">
        <x:f>TEXT(B757,"mmm")</x:f>
        <x:v>Sep</x:v>
      </x:c>
      <x:c r="F757" s="84" t="str">
        <x:f>'Raw Sales'!C757</x:f>
        <x:v>CUST-0038</x:v>
      </x:c>
      <x:c r="G757" s="84" t="str">
        <x:f>PROPER(TRIM('Raw Sales'!D757))</x:f>
        <x:v>William Ortiz</x:v>
      </x:c>
      <x:c r="H757" s="84" t="str">
        <x:f>IF(TRIM('Raw Sales'!E757)="","Unknown",PROPER(TRIM('Raw Sales'!E757)))</x:f>
        <x:v>Consumer</x:v>
      </x:c>
      <x:c r="I757" s="84" t="str">
        <x:f>PROPER(TRIM('Raw Sales'!F757))</x:f>
        <x:v>West</x:v>
      </x:c>
      <x:c r="J757" s="84" t="str">
        <x:f>PROPER(TRIM('Raw Sales'!G757))</x:f>
        <x:v>Phoenix</x:v>
      </x:c>
      <x:c r="K757" s="84" t="str">
        <x:f>PROPER(TRIM('Raw Sales'!H757))</x:f>
        <x:v>Online</x:v>
      </x:c>
      <x:c r="L757" s="84" t="str">
        <x:f>'Raw Sales'!I757</x:f>
        <x:v>FITN-003</x:v>
      </x:c>
      <x:c r="M757" s="84" t="str">
        <x:f>IFERROR(VLOOKUP(L757,'Reference Data'!$A$5:$F$40,2,FALSE),"Unknown Product")</x:f>
        <x:v>Resistance Band Set</x:v>
      </x:c>
      <x:c r="N757" s="84" t="str">
        <x:f>IFERROR(VLOOKUP(L757,'Reference Data'!$A$5:$F$40,3,FALSE),"Unknown")</x:f>
        <x:v>Fitness</x:v>
      </x:c>
      <x:c r="O757" s="84" t="str">
        <x:f>IFERROR(VLOOKUP(L757,'Reference Data'!$A$5:$F$40,4,FALSE),"Unknown")</x:f>
        <x:v>Strength</x:v>
      </x:c>
      <x:c r="P757" s="92" t="n">
        <x:f>IFERROR(VLOOKUP(L757,'Reference Data'!$A$5:$F$40,5,FALSE),0)</x:f>
        <x:v>24</x:v>
      </x:c>
      <x:c r="Q757" s="92" t="n">
        <x:f>IFERROR(VLOOKUP(L757,'Reference Data'!$A$5:$F$40,6,FALSE),0)</x:f>
        <x:v>8</x:v>
      </x:c>
      <x:c r="R757" s="84" t="n">
        <x:f>'Raw Sales'!J757</x:f>
        <x:v>3</x:v>
      </x:c>
      <x:c r="S757" s="87" t="n">
        <x:f>'Raw Sales'!K757</x:f>
        <x:v>0.05</x:v>
      </x:c>
      <x:c r="T757" s="93" t="n">
        <x:f>P757*R757</x:f>
        <x:v>72</x:v>
      </x:c>
      <x:c r="U757" s="93" t="n">
        <x:f>T757*S757</x:f>
        <x:v>3.6</x:v>
      </x:c>
      <x:c r="V757" s="93" t="str">
        <x:f>PROPER(TRIM('Raw Sales'!L757))</x:f>
        <x:v>Completed</x:v>
      </x:c>
      <x:c r="W757" s="93" t="n">
        <x:f>IF(V757="Returned",0,T757-U757)</x:f>
        <x:v>68.4</x:v>
      </x:c>
      <x:c r="X757" s="93" t="n">
        <x:f>IF(V757="Returned",Q757*R757*10%,Q757*R757)</x:f>
        <x:v>24</x:v>
      </x:c>
      <x:c r="Y757" s="93" t="n">
        <x:f>W757-X757</x:f>
        <x:v>44.400000000000006</x:v>
      </x:c>
      <x:c r="Z757" s="94" t="n">
        <x:f>IFERROR(Y757/W757,0)</x:f>
        <x:v>0.6491228070175439</x:v>
      </x:c>
      <x:c r="AA757" s="84" t="str">
        <x:f>PROPER(TRIM('Raw Sales'!M757))</x:f>
        <x:v>Mobile Wallet</x:v>
      </x:c>
      <x:c r="AB757" s="84" t="str">
        <x:f>PROPER(TRIM('Raw Sales'!N757))</x:f>
        <x:v>Leo Martinez</x:v>
      </x:c>
      <x:c r="AC757" s="85" t="n">
        <x:f>'Raw Sales'!O757</x:f>
        <x:v>45567</x:v>
      </x:c>
      <x:c r="AD757" s="84" t="n">
        <x:f>AC757-B757</x:f>
        <x:v>4</x:v>
      </x:c>
      <x:c r="AE757" s="84" t="str">
        <x:f>IF(COUNTIF($A$5:A757,A757)&gt;1,"Duplicate","Keep")</x:f>
        <x:v>Keep</x:v>
      </x:c>
      <x:c r="AF757" s="84" t="str">
        <x:f>IF(OR(R757&lt;=0,AC757&lt;B757,H757="Unknown",M757="Unknown Product"),"Review","Valid")</x:f>
        <x:v>Valid</x:v>
      </x:c>
      <x:c r="AG757" s="84" t="n">
        <x:f>IF(AND(AE757="Keep",AF757="Valid"),1,0)</x:f>
        <x:v>1</x:v>
      </x:c>
      <x:c r="AH757" s="84" t="n">
        <x:f>IF(AND(AG757=1,OR('Dashboard'!$B$4="All",I757='Dashboard'!$B$4),OR('Dashboard'!$E$4="All",N757='Dashboard'!$E$4),OR('Dashboard'!$H$4="All",K757='Dashboard'!$H$4),OR('Dashboard'!$K$4="All",C757='Dashboard'!$K$4)),1,0)</x:f>
        <x:v>1</x:v>
      </x:c>
      <x:c r="AI757" s="84" t="n">
        <x:f>IF(AND(AG757=1,OR('Dashboard'!$B$4="All",I757='Dashboard'!$B$4),OR('Dashboard'!$E$4="All",N757='Dashboard'!$E$4),OR('Dashboard'!$H$4="All",K757='Dashboard'!$H$4)),1,0)</x:f>
        <x:v>1</x:v>
      </x:c>
    </x:row>
    <x:row r="758">
      <x:c r="A758" s="84" t="str">
        <x:f>'Raw Sales'!A758</x:f>
        <x:v>ORD-2024-00421</x:v>
      </x:c>
      <x:c r="B758" s="85" t="n">
        <x:f>'Raw Sales'!B758</x:f>
        <x:v>45564</x:v>
      </x:c>
      <x:c r="C758" s="84" t="n">
        <x:f>YEAR(B758)</x:f>
        <x:v>2024</x:v>
      </x:c>
      <x:c r="D758" s="91" t="n">
        <x:f>DATE(YEAR(B758),MONTH(B758),1)</x:f>
        <x:v>45536</x:v>
      </x:c>
      <x:c r="E758" s="84" t="str">
        <x:f>TEXT(B758,"mmm")</x:f>
        <x:v>Sep</x:v>
      </x:c>
      <x:c r="F758" s="84" t="str">
        <x:f>'Raw Sales'!C758</x:f>
        <x:v>CUST-0632</x:v>
      </x:c>
      <x:c r="G758" s="84" t="str">
        <x:f>PROPER(TRIM('Raw Sales'!D758))</x:f>
        <x:v>Caleb Adams</x:v>
      </x:c>
      <x:c r="H758" s="84" t="str">
        <x:f>IF(TRIM('Raw Sales'!E758)="","Unknown",PROPER(TRIM('Raw Sales'!E758)))</x:f>
        <x:v>Consumer</x:v>
      </x:c>
      <x:c r="I758" s="84" t="str">
        <x:f>PROPER(TRIM('Raw Sales'!F758))</x:f>
        <x:v>West</x:v>
      </x:c>
      <x:c r="J758" s="84" t="str">
        <x:f>PROPER(TRIM('Raw Sales'!G758))</x:f>
        <x:v>Phoenix</x:v>
      </x:c>
      <x:c r="K758" s="84" t="str">
        <x:f>PROPER(TRIM('Raw Sales'!H758))</x:f>
        <x:v>Online</x:v>
      </x:c>
      <x:c r="L758" s="84" t="str">
        <x:f>'Raw Sales'!I758</x:f>
        <x:v>HOME-005</x:v>
      </x:c>
      <x:c r="M758" s="84" t="str">
        <x:f>IFERROR(VLOOKUP(L758,'Reference Data'!$A$5:$F$40,2,FALSE),"Unknown Product")</x:f>
        <x:v>Cordless Vacuum</x:v>
      </x:c>
      <x:c r="N758" s="84" t="str">
        <x:f>IFERROR(VLOOKUP(L758,'Reference Data'!$A$5:$F$40,3,FALSE),"Unknown")</x:f>
        <x:v>Home &amp; Kitchen</x:v>
      </x:c>
      <x:c r="O758" s="84" t="str">
        <x:f>IFERROR(VLOOKUP(L758,'Reference Data'!$A$5:$F$40,4,FALSE),"Unknown")</x:f>
        <x:v>Cleaning</x:v>
      </x:c>
      <x:c r="P758" s="92" t="n">
        <x:f>IFERROR(VLOOKUP(L758,'Reference Data'!$A$5:$F$40,5,FALSE),0)</x:f>
        <x:v>179</x:v>
      </x:c>
      <x:c r="Q758" s="92" t="n">
        <x:f>IFERROR(VLOOKUP(L758,'Reference Data'!$A$5:$F$40,6,FALSE),0)</x:f>
        <x:v>102</x:v>
      </x:c>
      <x:c r="R758" s="84" t="n">
        <x:f>'Raw Sales'!J758</x:f>
        <x:v>2</x:v>
      </x:c>
      <x:c r="S758" s="87" t="n">
        <x:f>'Raw Sales'!K758</x:f>
        <x:v>0.1</x:v>
      </x:c>
      <x:c r="T758" s="93" t="n">
        <x:f>P758*R758</x:f>
        <x:v>358</x:v>
      </x:c>
      <x:c r="U758" s="93" t="n">
        <x:f>T758*S758</x:f>
        <x:v>35.800000000000004</x:v>
      </x:c>
      <x:c r="V758" s="93" t="str">
        <x:f>PROPER(TRIM('Raw Sales'!L758))</x:f>
        <x:v>Completed</x:v>
      </x:c>
      <x:c r="W758" s="93" t="n">
        <x:f>IF(V758="Returned",0,T758-U758)</x:f>
        <x:v>322.2</x:v>
      </x:c>
      <x:c r="X758" s="93" t="n">
        <x:f>IF(V758="Returned",Q758*R758*10%,Q758*R758)</x:f>
        <x:v>204</x:v>
      </x:c>
      <x:c r="Y758" s="93" t="n">
        <x:f>W758-X758</x:f>
        <x:v>118.19999999999999</x:v>
      </x:c>
      <x:c r="Z758" s="94" t="n">
        <x:f>IFERROR(Y758/W758,0)</x:f>
        <x:v>0.36685288640595903</x:v>
      </x:c>
      <x:c r="AA758" s="84" t="str">
        <x:f>PROPER(TRIM('Raw Sales'!M758))</x:f>
        <x:v>Credit Card</x:v>
      </x:c>
      <x:c r="AB758" s="84" t="str">
        <x:f>PROPER(TRIM('Raw Sales'!N758))</x:f>
        <x:v>Leo Martinez</x:v>
      </x:c>
      <x:c r="AC758" s="85" t="n">
        <x:f>'Raw Sales'!O758</x:f>
        <x:v>45568</x:v>
      </x:c>
      <x:c r="AD758" s="84" t="n">
        <x:f>AC758-B758</x:f>
        <x:v>4</x:v>
      </x:c>
      <x:c r="AE758" s="84" t="str">
        <x:f>IF(COUNTIF($A$5:A758,A758)&gt;1,"Duplicate","Keep")</x:f>
        <x:v>Keep</x:v>
      </x:c>
      <x:c r="AF758" s="84" t="str">
        <x:f>IF(OR(R758&lt;=0,AC758&lt;B758,H758="Unknown",M758="Unknown Product"),"Review","Valid")</x:f>
        <x:v>Valid</x:v>
      </x:c>
      <x:c r="AG758" s="84" t="n">
        <x:f>IF(AND(AE758="Keep",AF758="Valid"),1,0)</x:f>
        <x:v>1</x:v>
      </x:c>
      <x:c r="AH758" s="84" t="n">
        <x:f>IF(AND(AG758=1,OR('Dashboard'!$B$4="All",I758='Dashboard'!$B$4),OR('Dashboard'!$E$4="All",N758='Dashboard'!$E$4),OR('Dashboard'!$H$4="All",K758='Dashboard'!$H$4),OR('Dashboard'!$K$4="All",C758='Dashboard'!$K$4)),1,0)</x:f>
        <x:v>1</x:v>
      </x:c>
      <x:c r="AI758" s="84" t="n">
        <x:f>IF(AND(AG758=1,OR('Dashboard'!$B$4="All",I758='Dashboard'!$B$4),OR('Dashboard'!$E$4="All",N758='Dashboard'!$E$4),OR('Dashboard'!$H$4="All",K758='Dashboard'!$H$4)),1,0)</x:f>
        <x:v>1</x:v>
      </x:c>
    </x:row>
    <x:row r="759">
      <x:c r="A759" s="84" t="str">
        <x:f>'Raw Sales'!A759</x:f>
        <x:v>ORD-2024-00527</x:v>
      </x:c>
      <x:c r="B759" s="85" t="n">
        <x:f>'Raw Sales'!B759</x:f>
        <x:v>45564</x:v>
      </x:c>
      <x:c r="C759" s="84" t="n">
        <x:f>YEAR(B759)</x:f>
        <x:v>2024</x:v>
      </x:c>
      <x:c r="D759" s="91" t="n">
        <x:f>DATE(YEAR(B759),MONTH(B759),1)</x:f>
        <x:v>45536</x:v>
      </x:c>
      <x:c r="E759" s="84" t="str">
        <x:f>TEXT(B759,"mmm")</x:f>
        <x:v>Sep</x:v>
      </x:c>
      <x:c r="F759" s="84" t="str">
        <x:f>'Raw Sales'!C759</x:f>
        <x:v>CUST-0539</x:v>
      </x:c>
      <x:c r="G759" s="84" t="str">
        <x:f>PROPER(TRIM('Raw Sales'!D759))</x:f>
        <x:v>Chloe Johnson</x:v>
      </x:c>
      <x:c r="H759" s="84" t="str">
        <x:f>IF(TRIM('Raw Sales'!E759)="","Unknown",PROPER(TRIM('Raw Sales'!E759)))</x:f>
        <x:v>Small Business</x:v>
      </x:c>
      <x:c r="I759" s="84" t="str">
        <x:f>PROPER(TRIM('Raw Sales'!F759))</x:f>
        <x:v>West</x:v>
      </x:c>
      <x:c r="J759" s="84" t="str">
        <x:f>PROPER(TRIM('Raw Sales'!G759))</x:f>
        <x:v>Los Angeles</x:v>
      </x:c>
      <x:c r="K759" s="84" t="str">
        <x:f>PROPER(TRIM('Raw Sales'!H759))</x:f>
        <x:v>Retail Store</x:v>
      </x:c>
      <x:c r="L759" s="84" t="str">
        <x:f>'Raw Sales'!I759</x:f>
        <x:v>HOME-004</x:v>
      </x:c>
      <x:c r="M759" s="84" t="str">
        <x:f>IFERROR(VLOOKUP(L759,'Reference Data'!$A$5:$F$40,2,FALSE),"Unknown Product")</x:f>
        <x:v>Coffee Maker</x:v>
      </x:c>
      <x:c r="N759" s="84" t="str">
        <x:f>IFERROR(VLOOKUP(L759,'Reference Data'!$A$5:$F$40,3,FALSE),"Unknown")</x:f>
        <x:v>Home &amp; Kitchen</x:v>
      </x:c>
      <x:c r="O759" s="84" t="str">
        <x:f>IFERROR(VLOOKUP(L759,'Reference Data'!$A$5:$F$40,4,FALSE),"Unknown")</x:f>
        <x:v>Small Appliances</x:v>
      </x:c>
      <x:c r="P759" s="92" t="n">
        <x:f>IFERROR(VLOOKUP(L759,'Reference Data'!$A$5:$F$40,5,FALSE),0)</x:f>
        <x:v>99</x:v>
      </x:c>
      <x:c r="Q759" s="92" t="n">
        <x:f>IFERROR(VLOOKUP(L759,'Reference Data'!$A$5:$F$40,6,FALSE),0)</x:f>
        <x:v>51</x:v>
      </x:c>
      <x:c r="R759" s="84" t="n">
        <x:f>'Raw Sales'!J759</x:f>
        <x:v>1</x:v>
      </x:c>
      <x:c r="S759" s="87" t="n">
        <x:f>'Raw Sales'!K759</x:f>
        <x:v>0.1</x:v>
      </x:c>
      <x:c r="T759" s="93" t="n">
        <x:f>P759*R759</x:f>
        <x:v>99</x:v>
      </x:c>
      <x:c r="U759" s="93" t="n">
        <x:f>T759*S759</x:f>
        <x:v>9.9</x:v>
      </x:c>
      <x:c r="V759" s="93" t="str">
        <x:f>PROPER(TRIM('Raw Sales'!L759))</x:f>
        <x:v>Completed</x:v>
      </x:c>
      <x:c r="W759" s="93" t="n">
        <x:f>IF(V759="Returned",0,T759-U759)</x:f>
        <x:v>89.1</x:v>
      </x:c>
      <x:c r="X759" s="93" t="n">
        <x:f>IF(V759="Returned",Q759*R759*10%,Q759*R759)</x:f>
        <x:v>51</x:v>
      </x:c>
      <x:c r="Y759" s="93" t="n">
        <x:f>W759-X759</x:f>
        <x:v>38.099999999999994</x:v>
      </x:c>
      <x:c r="Z759" s="94" t="n">
        <x:f>IFERROR(Y759/W759,0)</x:f>
        <x:v>0.42760942760942755</x:v>
      </x:c>
      <x:c r="AA759" s="84" t="str">
        <x:f>PROPER(TRIM('Raw Sales'!M759))</x:f>
        <x:v>Debit Card</x:v>
      </x:c>
      <x:c r="AB759" s="84" t="str">
        <x:f>PROPER(TRIM('Raw Sales'!N759))</x:f>
        <x:v>Leo Martinez</x:v>
      </x:c>
      <x:c r="AC759" s="85" t="n">
        <x:f>'Raw Sales'!O759</x:f>
        <x:v>45564</x:v>
      </x:c>
      <x:c r="AD759" s="84" t="n">
        <x:f>AC759-B759</x:f>
        <x:v>0</x:v>
      </x:c>
      <x:c r="AE759" s="84" t="str">
        <x:f>IF(COUNTIF($A$5:A759,A759)&gt;1,"Duplicate","Keep")</x:f>
        <x:v>Keep</x:v>
      </x:c>
      <x:c r="AF759" s="84" t="str">
        <x:f>IF(OR(R759&lt;=0,AC759&lt;B759,H759="Unknown",M759="Unknown Product"),"Review","Valid")</x:f>
        <x:v>Valid</x:v>
      </x:c>
      <x:c r="AG759" s="84" t="n">
        <x:f>IF(AND(AE759="Keep",AF759="Valid"),1,0)</x:f>
        <x:v>1</x:v>
      </x:c>
      <x:c r="AH759" s="84" t="n">
        <x:f>IF(AND(AG759=1,OR('Dashboard'!$B$4="All",I759='Dashboard'!$B$4),OR('Dashboard'!$E$4="All",N759='Dashboard'!$E$4),OR('Dashboard'!$H$4="All",K759='Dashboard'!$H$4),OR('Dashboard'!$K$4="All",C759='Dashboard'!$K$4)),1,0)</x:f>
        <x:v>1</x:v>
      </x:c>
      <x:c r="AI759" s="84" t="n">
        <x:f>IF(AND(AG759=1,OR('Dashboard'!$B$4="All",I759='Dashboard'!$B$4),OR('Dashboard'!$E$4="All",N759='Dashboard'!$E$4),OR('Dashboard'!$H$4="All",K759='Dashboard'!$H$4)),1,0)</x:f>
        <x:v>1</x:v>
      </x:c>
    </x:row>
    <x:row r="760">
      <x:c r="A760" s="84" t="str">
        <x:f>'Raw Sales'!A760</x:f>
        <x:v>ORD-2024-00106</x:v>
      </x:c>
      <x:c r="B760" s="85" t="n">
        <x:f>'Raw Sales'!B760</x:f>
        <x:v>45565</x:v>
      </x:c>
      <x:c r="C760" s="84" t="n">
        <x:f>YEAR(B760)</x:f>
        <x:v>2024</x:v>
      </x:c>
      <x:c r="D760" s="91" t="n">
        <x:f>DATE(YEAR(B760),MONTH(B760),1)</x:f>
        <x:v>45536</x:v>
      </x:c>
      <x:c r="E760" s="84" t="str">
        <x:f>TEXT(B760,"mmm")</x:f>
        <x:v>Sep</x:v>
      </x:c>
      <x:c r="F760" s="84" t="str">
        <x:f>'Raw Sales'!C760</x:f>
        <x:v>CUST-0157</x:v>
      </x:c>
      <x:c r="G760" s="84" t="str">
        <x:f>PROPER(TRIM('Raw Sales'!D760))</x:f>
        <x:v>Isaac Smith</x:v>
      </x:c>
      <x:c r="H760" s="84" t="str">
        <x:f>IF(TRIM('Raw Sales'!E760)="","Unknown",PROPER(TRIM('Raw Sales'!E760)))</x:f>
        <x:v>Corporate</x:v>
      </x:c>
      <x:c r="I760" s="84" t="str">
        <x:f>PROPER(TRIM('Raw Sales'!F760))</x:f>
        <x:v>West</x:v>
      </x:c>
      <x:c r="J760" s="84" t="str">
        <x:f>PROPER(TRIM('Raw Sales'!G760))</x:f>
        <x:v>Los Angeles</x:v>
      </x:c>
      <x:c r="K760" s="84" t="str">
        <x:f>PROPER(TRIM('Raw Sales'!H760))</x:f>
        <x:v>Online</x:v>
      </x:c>
      <x:c r="L760" s="84" t="str">
        <x:f>'Raw Sales'!I760</x:f>
        <x:v>FITN-005</x:v>
      </x:c>
      <x:c r="M760" s="84" t="str">
        <x:f>IFERROR(VLOOKUP(L760,'Reference Data'!$A$5:$F$40,2,FALSE),"Unknown Product")</x:f>
        <x:v>Sports Water Bottle</x:v>
      </x:c>
      <x:c r="N760" s="84" t="str">
        <x:f>IFERROR(VLOOKUP(L760,'Reference Data'!$A$5:$F$40,3,FALSE),"Unknown")</x:f>
        <x:v>Fitness</x:v>
      </x:c>
      <x:c r="O760" s="84" t="str">
        <x:f>IFERROR(VLOOKUP(L760,'Reference Data'!$A$5:$F$40,4,FALSE),"Unknown")</x:f>
        <x:v>Accessories</x:v>
      </x:c>
      <x:c r="P760" s="92" t="n">
        <x:f>IFERROR(VLOOKUP(L760,'Reference Data'!$A$5:$F$40,5,FALSE),0)</x:f>
        <x:v>22</x:v>
      </x:c>
      <x:c r="Q760" s="92" t="n">
        <x:f>IFERROR(VLOOKUP(L760,'Reference Data'!$A$5:$F$40,6,FALSE),0)</x:f>
        <x:v>7</x:v>
      </x:c>
      <x:c r="R760" s="84" t="n">
        <x:f>'Raw Sales'!J760</x:f>
        <x:v>3</x:v>
      </x:c>
      <x:c r="S760" s="87" t="n">
        <x:f>'Raw Sales'!K760</x:f>
        <x:v>0</x:v>
      </x:c>
      <x:c r="T760" s="93" t="n">
        <x:f>P760*R760</x:f>
        <x:v>66</x:v>
      </x:c>
      <x:c r="U760" s="93" t="n">
        <x:f>T760*S760</x:f>
        <x:v>0</x:v>
      </x:c>
      <x:c r="V760" s="93" t="str">
        <x:f>PROPER(TRIM('Raw Sales'!L760))</x:f>
        <x:v>Completed</x:v>
      </x:c>
      <x:c r="W760" s="93" t="n">
        <x:f>IF(V760="Returned",0,T760-U760)</x:f>
        <x:v>66</x:v>
      </x:c>
      <x:c r="X760" s="93" t="n">
        <x:f>IF(V760="Returned",Q760*R760*10%,Q760*R760)</x:f>
        <x:v>21</x:v>
      </x:c>
      <x:c r="Y760" s="93" t="n">
        <x:f>W760-X760</x:f>
        <x:v>45</x:v>
      </x:c>
      <x:c r="Z760" s="94" t="n">
        <x:f>IFERROR(Y760/W760,0)</x:f>
        <x:v>0.6818181818181818</x:v>
      </x:c>
      <x:c r="AA760" s="84" t="str">
        <x:f>PROPER(TRIM('Raw Sales'!M760))</x:f>
        <x:v>Paypal</x:v>
      </x:c>
      <x:c r="AB760" s="84" t="str">
        <x:f>PROPER(TRIM('Raw Sales'!N760))</x:f>
        <x:v>Mia Chen</x:v>
      </x:c>
      <x:c r="AC760" s="85" t="n">
        <x:f>'Raw Sales'!O760</x:f>
        <x:v>45571</x:v>
      </x:c>
      <x:c r="AD760" s="84" t="n">
        <x:f>AC760-B760</x:f>
        <x:v>6</x:v>
      </x:c>
      <x:c r="AE760" s="84" t="str">
        <x:f>IF(COUNTIF($A$5:A760,A760)&gt;1,"Duplicate","Keep")</x:f>
        <x:v>Keep</x:v>
      </x:c>
      <x:c r="AF760" s="84" t="str">
        <x:f>IF(OR(R760&lt;=0,AC760&lt;B760,H760="Unknown",M760="Unknown Product"),"Review","Valid")</x:f>
        <x:v>Valid</x:v>
      </x:c>
      <x:c r="AG760" s="84" t="n">
        <x:f>IF(AND(AE760="Keep",AF760="Valid"),1,0)</x:f>
        <x:v>1</x:v>
      </x:c>
      <x:c r="AH760" s="84" t="n">
        <x:f>IF(AND(AG760=1,OR('Dashboard'!$B$4="All",I760='Dashboard'!$B$4),OR('Dashboard'!$E$4="All",N760='Dashboard'!$E$4),OR('Dashboard'!$H$4="All",K760='Dashboard'!$H$4),OR('Dashboard'!$K$4="All",C760='Dashboard'!$K$4)),1,0)</x:f>
        <x:v>1</x:v>
      </x:c>
      <x:c r="AI760" s="84" t="n">
        <x:f>IF(AND(AG760=1,OR('Dashboard'!$B$4="All",I760='Dashboard'!$B$4),OR('Dashboard'!$E$4="All",N760='Dashboard'!$E$4),OR('Dashboard'!$H$4="All",K760='Dashboard'!$H$4)),1,0)</x:f>
        <x:v>1</x:v>
      </x:c>
    </x:row>
    <x:row r="761">
      <x:c r="A761" s="84" t="str">
        <x:f>'Raw Sales'!A761</x:f>
        <x:v>ORD-2024-00704</x:v>
      </x:c>
      <x:c r="B761" s="85" t="n">
        <x:f>'Raw Sales'!B761</x:f>
        <x:v>45565</x:v>
      </x:c>
      <x:c r="C761" s="84" t="n">
        <x:f>YEAR(B761)</x:f>
        <x:v>2024</x:v>
      </x:c>
      <x:c r="D761" s="91" t="n">
        <x:f>DATE(YEAR(B761),MONTH(B761),1)</x:f>
        <x:v>45536</x:v>
      </x:c>
      <x:c r="E761" s="84" t="str">
        <x:f>TEXT(B761,"mmm")</x:f>
        <x:v>Sep</x:v>
      </x:c>
      <x:c r="F761" s="84" t="str">
        <x:f>'Raw Sales'!C761</x:f>
        <x:v>CUST-0573</x:v>
      </x:c>
      <x:c r="G761" s="84" t="str">
        <x:f>PROPER(TRIM('Raw Sales'!D761))</x:f>
        <x:v>Priya Johnson</x:v>
      </x:c>
      <x:c r="H761" s="84" t="str">
        <x:f>IF(TRIM('Raw Sales'!E761)="","Unknown",PROPER(TRIM('Raw Sales'!E761)))</x:f>
        <x:v>Corporate</x:v>
      </x:c>
      <x:c r="I761" s="84" t="str">
        <x:f>PROPER(TRIM('Raw Sales'!F761))</x:f>
        <x:v>West</x:v>
      </x:c>
      <x:c r="J761" s="84" t="str">
        <x:f>PROPER(TRIM('Raw Sales'!G761))</x:f>
        <x:v>Los Angeles</x:v>
      </x:c>
      <x:c r="K761" s="84" t="str">
        <x:f>PROPER(TRIM('Raw Sales'!H761))</x:f>
        <x:v>Marketplace</x:v>
      </x:c>
      <x:c r="L761" s="84" t="str">
        <x:f>'Raw Sales'!I761</x:f>
        <x:v>FITN-004</x:v>
      </x:c>
      <x:c r="M761" s="84" t="str">
        <x:f>IFERROR(VLOOKUP(L761,'Reference Data'!$A$5:$F$40,2,FALSE),"Unknown Product")</x:f>
        <x:v>Fitness Tracker</x:v>
      </x:c>
      <x:c r="N761" s="84" t="str">
        <x:f>IFERROR(VLOOKUP(L761,'Reference Data'!$A$5:$F$40,3,FALSE),"Unknown")</x:f>
        <x:v>Fitness</x:v>
      </x:c>
      <x:c r="O761" s="84" t="str">
        <x:f>IFERROR(VLOOKUP(L761,'Reference Data'!$A$5:$F$40,4,FALSE),"Unknown")</x:f>
        <x:v>Wearables</x:v>
      </x:c>
      <x:c r="P761" s="92" t="n">
        <x:f>IFERROR(VLOOKUP(L761,'Reference Data'!$A$5:$F$40,5,FALSE),0)</x:f>
        <x:v>89</x:v>
      </x:c>
      <x:c r="Q761" s="92" t="n">
        <x:f>IFERROR(VLOOKUP(L761,'Reference Data'!$A$5:$F$40,6,FALSE),0)</x:f>
        <x:v>44</x:v>
      </x:c>
      <x:c r="R761" s="84" t="n">
        <x:f>'Raw Sales'!J761</x:f>
        <x:v>2</x:v>
      </x:c>
      <x:c r="S761" s="87" t="n">
        <x:f>'Raw Sales'!K761</x:f>
        <x:v>0</x:v>
      </x:c>
      <x:c r="T761" s="93" t="n">
        <x:f>P761*R761</x:f>
        <x:v>178</x:v>
      </x:c>
      <x:c r="U761" s="93" t="n">
        <x:f>T761*S761</x:f>
        <x:v>0</x:v>
      </x:c>
      <x:c r="V761" s="93" t="str">
        <x:f>PROPER(TRIM('Raw Sales'!L761))</x:f>
        <x:v>Completed</x:v>
      </x:c>
      <x:c r="W761" s="93" t="n">
        <x:f>IF(V761="Returned",0,T761-U761)</x:f>
        <x:v>178</x:v>
      </x:c>
      <x:c r="X761" s="93" t="n">
        <x:f>IF(V761="Returned",Q761*R761*10%,Q761*R761)</x:f>
        <x:v>88</x:v>
      </x:c>
      <x:c r="Y761" s="93" t="n">
        <x:f>W761-X761</x:f>
        <x:v>90</x:v>
      </x:c>
      <x:c r="Z761" s="94" t="n">
        <x:f>IFERROR(Y761/W761,0)</x:f>
        <x:v>0.5056179775280899</x:v>
      </x:c>
      <x:c r="AA761" s="84" t="str">
        <x:f>PROPER(TRIM('Raw Sales'!M761))</x:f>
        <x:v>Credit Card</x:v>
      </x:c>
      <x:c r="AB761" s="84" t="str">
        <x:f>PROPER(TRIM('Raw Sales'!N761))</x:f>
        <x:v>Leo Martinez</x:v>
      </x:c>
      <x:c r="AC761" s="85" t="n">
        <x:f>'Raw Sales'!O761</x:f>
        <x:v>45571</x:v>
      </x:c>
      <x:c r="AD761" s="84" t="n">
        <x:f>AC761-B761</x:f>
        <x:v>6</x:v>
      </x:c>
      <x:c r="AE761" s="84" t="str">
        <x:f>IF(COUNTIF($A$5:A761,A761)&gt;1,"Duplicate","Keep")</x:f>
        <x:v>Keep</x:v>
      </x:c>
      <x:c r="AF761" s="84" t="str">
        <x:f>IF(OR(R761&lt;=0,AC761&lt;B761,H761="Unknown",M761="Unknown Product"),"Review","Valid")</x:f>
        <x:v>Valid</x:v>
      </x:c>
      <x:c r="AG761" s="84" t="n">
        <x:f>IF(AND(AE761="Keep",AF761="Valid"),1,0)</x:f>
        <x:v>1</x:v>
      </x:c>
      <x:c r="AH761" s="84" t="n">
        <x:f>IF(AND(AG761=1,OR('Dashboard'!$B$4="All",I761='Dashboard'!$B$4),OR('Dashboard'!$E$4="All",N761='Dashboard'!$E$4),OR('Dashboard'!$H$4="All",K761='Dashboard'!$H$4),OR('Dashboard'!$K$4="All",C761='Dashboard'!$K$4)),1,0)</x:f>
        <x:v>1</x:v>
      </x:c>
      <x:c r="AI761" s="84" t="n">
        <x:f>IF(AND(AG761=1,OR('Dashboard'!$B$4="All",I761='Dashboard'!$B$4),OR('Dashboard'!$E$4="All",N761='Dashboard'!$E$4),OR('Dashboard'!$H$4="All",K761='Dashboard'!$H$4)),1,0)</x:f>
        <x:v>1</x:v>
      </x:c>
    </x:row>
    <x:row r="762">
      <x:c r="A762" s="84" t="str">
        <x:f>'Raw Sales'!A762</x:f>
        <x:v>ORD-2024-01080</x:v>
      </x:c>
      <x:c r="B762" s="85" t="n">
        <x:f>'Raw Sales'!B762</x:f>
        <x:v>45565</x:v>
      </x:c>
      <x:c r="C762" s="84" t="n">
        <x:f>YEAR(B762)</x:f>
        <x:v>2024</x:v>
      </x:c>
      <x:c r="D762" s="91" t="n">
        <x:f>DATE(YEAR(B762),MONTH(B762),1)</x:f>
        <x:v>45536</x:v>
      </x:c>
      <x:c r="E762" s="84" t="str">
        <x:f>TEXT(B762,"mmm")</x:f>
        <x:v>Sep</x:v>
      </x:c>
      <x:c r="F762" s="84" t="str">
        <x:f>'Raw Sales'!C762</x:f>
        <x:v>CUST-0227</x:v>
      </x:c>
      <x:c r="G762" s="84" t="str">
        <x:f>PROPER(TRIM('Raw Sales'!D762))</x:f>
        <x:v>Maya Foster</x:v>
      </x:c>
      <x:c r="H762" s="84" t="str">
        <x:f>IF(TRIM('Raw Sales'!E762)="","Unknown",PROPER(TRIM('Raw Sales'!E762)))</x:f>
        <x:v>Consumer</x:v>
      </x:c>
      <x:c r="I762" s="84" t="str">
        <x:f>PROPER(TRIM('Raw Sales'!F762))</x:f>
        <x:v>West</x:v>
      </x:c>
      <x:c r="J762" s="84" t="str">
        <x:f>PROPER(TRIM('Raw Sales'!G762))</x:f>
        <x:v>Phoenix</x:v>
      </x:c>
      <x:c r="K762" s="84" t="str">
        <x:f>PROPER(TRIM('Raw Sales'!H762))</x:f>
        <x:v>Retail Store</x:v>
      </x:c>
      <x:c r="L762" s="84" t="str">
        <x:f>'Raw Sales'!I762</x:f>
        <x:v>CARE-002</x:v>
      </x:c>
      <x:c r="M762" s="84" t="str">
        <x:f>IFERROR(VLOOKUP(L762,'Reference Data'!$A$5:$F$40,2,FALSE),"Unknown Product")</x:f>
        <x:v>Rechargeable Trimmer</x:v>
      </x:c>
      <x:c r="N762" s="84" t="str">
        <x:f>IFERROR(VLOOKUP(L762,'Reference Data'!$A$5:$F$40,3,FALSE),"Unknown")</x:f>
        <x:v>Personal Care</x:v>
      </x:c>
      <x:c r="O762" s="84" t="str">
        <x:f>IFERROR(VLOOKUP(L762,'Reference Data'!$A$5:$F$40,4,FALSE),"Unknown")</x:f>
        <x:v>Grooming</x:v>
      </x:c>
      <x:c r="P762" s="92" t="n">
        <x:f>IFERROR(VLOOKUP(L762,'Reference Data'!$A$5:$F$40,5,FALSE),0)</x:f>
        <x:v>45</x:v>
      </x:c>
      <x:c r="Q762" s="92" t="n">
        <x:f>IFERROR(VLOOKUP(L762,'Reference Data'!$A$5:$F$40,6,FALSE),0)</x:f>
        <x:v>19</x:v>
      </x:c>
      <x:c r="R762" s="84" t="n">
        <x:f>'Raw Sales'!J762</x:f>
        <x:v>3</x:v>
      </x:c>
      <x:c r="S762" s="87" t="n">
        <x:f>'Raw Sales'!K762</x:f>
        <x:v>0.1</x:v>
      </x:c>
      <x:c r="T762" s="93" t="n">
        <x:f>P762*R762</x:f>
        <x:v>135</x:v>
      </x:c>
      <x:c r="U762" s="93" t="n">
        <x:f>T762*S762</x:f>
        <x:v>13.5</x:v>
      </x:c>
      <x:c r="V762" s="93" t="str">
        <x:f>PROPER(TRIM('Raw Sales'!L762))</x:f>
        <x:v>Completed</x:v>
      </x:c>
      <x:c r="W762" s="93" t="n">
        <x:f>IF(V762="Returned",0,T762-U762)</x:f>
        <x:v>121.5</x:v>
      </x:c>
      <x:c r="X762" s="93" t="n">
        <x:f>IF(V762="Returned",Q762*R762*10%,Q762*R762)</x:f>
        <x:v>57</x:v>
      </x:c>
      <x:c r="Y762" s="93" t="n">
        <x:f>W762-X762</x:f>
        <x:v>64.5</x:v>
      </x:c>
      <x:c r="Z762" s="94" t="n">
        <x:f>IFERROR(Y762/W762,0)</x:f>
        <x:v>0.5308641975308642</x:v>
      </x:c>
      <x:c r="AA762" s="84" t="str">
        <x:f>PROPER(TRIM('Raw Sales'!M762))</x:f>
        <x:v>Credit Card</x:v>
      </x:c>
      <x:c r="AB762" s="84" t="str">
        <x:f>PROPER(TRIM('Raw Sales'!N762))</x:f>
        <x:v>Mia Chen</x:v>
      </x:c>
      <x:c r="AC762" s="85" t="n">
        <x:f>'Raw Sales'!O762</x:f>
        <x:v>45565</x:v>
      </x:c>
      <x:c r="AD762" s="84" t="n">
        <x:f>AC762-B762</x:f>
        <x:v>0</x:v>
      </x:c>
      <x:c r="AE762" s="84" t="str">
        <x:f>IF(COUNTIF($A$5:A762,A762)&gt;1,"Duplicate","Keep")</x:f>
        <x:v>Keep</x:v>
      </x:c>
      <x:c r="AF762" s="84" t="str">
        <x:f>IF(OR(R762&lt;=0,AC762&lt;B762,H762="Unknown",M762="Unknown Product"),"Review","Valid")</x:f>
        <x:v>Valid</x:v>
      </x:c>
      <x:c r="AG762" s="84" t="n">
        <x:f>IF(AND(AE762="Keep",AF762="Valid"),1,0)</x:f>
        <x:v>1</x:v>
      </x:c>
      <x:c r="AH762" s="84" t="n">
        <x:f>IF(AND(AG762=1,OR('Dashboard'!$B$4="All",I762='Dashboard'!$B$4),OR('Dashboard'!$E$4="All",N762='Dashboard'!$E$4),OR('Dashboard'!$H$4="All",K762='Dashboard'!$H$4),OR('Dashboard'!$K$4="All",C762='Dashboard'!$K$4)),1,0)</x:f>
        <x:v>1</x:v>
      </x:c>
      <x:c r="AI762" s="84" t="n">
        <x:f>IF(AND(AG762=1,OR('Dashboard'!$B$4="All",I762='Dashboard'!$B$4),OR('Dashboard'!$E$4="All",N762='Dashboard'!$E$4),OR('Dashboard'!$H$4="All",K762='Dashboard'!$H$4)),1,0)</x:f>
        <x:v>1</x:v>
      </x:c>
    </x:row>
    <x:row r="763">
      <x:c r="A763" s="84" t="str">
        <x:f>'Raw Sales'!A763</x:f>
        <x:v>ORD-2024-01304</x:v>
      </x:c>
      <x:c r="B763" s="85" t="n">
        <x:f>'Raw Sales'!B763</x:f>
        <x:v>45565</x:v>
      </x:c>
      <x:c r="C763" s="84" t="n">
        <x:f>YEAR(B763)</x:f>
        <x:v>2024</x:v>
      </x:c>
      <x:c r="D763" s="91" t="n">
        <x:f>DATE(YEAR(B763),MONTH(B763),1)</x:f>
        <x:v>45536</x:v>
      </x:c>
      <x:c r="E763" s="84" t="str">
        <x:f>TEXT(B763,"mmm")</x:f>
        <x:v>Sep</x:v>
      </x:c>
      <x:c r="F763" s="84" t="str">
        <x:f>'Raw Sales'!C763</x:f>
        <x:v>CUST-0411</x:v>
      </x:c>
      <x:c r="G763" s="84" t="str">
        <x:f>PROPER(TRIM('Raw Sales'!D763))</x:f>
        <x:v>Daniel Young</x:v>
      </x:c>
      <x:c r="H763" s="84" t="str">
        <x:f>IF(TRIM('Raw Sales'!E763)="","Unknown",PROPER(TRIM('Raw Sales'!E763)))</x:f>
        <x:v>Corporate</x:v>
      </x:c>
      <x:c r="I763" s="84" t="str">
        <x:f>PROPER(TRIM('Raw Sales'!F763))</x:f>
        <x:v>West</x:v>
      </x:c>
      <x:c r="J763" s="84" t="str">
        <x:f>PROPER(TRIM('Raw Sales'!G763))</x:f>
        <x:v>Denver</x:v>
      </x:c>
      <x:c r="K763" s="84" t="str">
        <x:f>PROPER(TRIM('Raw Sales'!H763))</x:f>
        <x:v>Retail Store</x:v>
      </x:c>
      <x:c r="L763" s="84" t="str">
        <x:f>'Raw Sales'!I763</x:f>
        <x:v>ELEC-005</x:v>
      </x:c>
      <x:c r="M763" s="84" t="str">
        <x:f>IFERROR(VLOOKUP(L763,'Reference Data'!$A$5:$F$40,2,FALSE),"Unknown Product")</x:f>
        <x:v>HD Webcam</x:v>
      </x:c>
      <x:c r="N763" s="84" t="str">
        <x:f>IFERROR(VLOOKUP(L763,'Reference Data'!$A$5:$F$40,3,FALSE),"Unknown")</x:f>
        <x:v>Electronics</x:v>
      </x:c>
      <x:c r="O763" s="84" t="str">
        <x:f>IFERROR(VLOOKUP(L763,'Reference Data'!$A$5:$F$40,4,FALSE),"Unknown")</x:f>
        <x:v>Computer Accessories</x:v>
      </x:c>
      <x:c r="P763" s="92" t="n">
        <x:f>IFERROR(VLOOKUP(L763,'Reference Data'!$A$5:$F$40,5,FALSE),0)</x:f>
        <x:v>79</x:v>
      </x:c>
      <x:c r="Q763" s="92" t="n">
        <x:f>IFERROR(VLOOKUP(L763,'Reference Data'!$A$5:$F$40,6,FALSE),0)</x:f>
        <x:v>37</x:v>
      </x:c>
      <x:c r="R763" s="84" t="n">
        <x:f>'Raw Sales'!J763</x:f>
        <x:v>5</x:v>
      </x:c>
      <x:c r="S763" s="87" t="n">
        <x:f>'Raw Sales'!K763</x:f>
        <x:v>0.1</x:v>
      </x:c>
      <x:c r="T763" s="93" t="n">
        <x:f>P763*R763</x:f>
        <x:v>395</x:v>
      </x:c>
      <x:c r="U763" s="93" t="n">
        <x:f>T763*S763</x:f>
        <x:v>39.5</x:v>
      </x:c>
      <x:c r="V763" s="93" t="str">
        <x:f>PROPER(TRIM('Raw Sales'!L763))</x:f>
        <x:v>Completed</x:v>
      </x:c>
      <x:c r="W763" s="93" t="n">
        <x:f>IF(V763="Returned",0,T763-U763)</x:f>
        <x:v>355.5</x:v>
      </x:c>
      <x:c r="X763" s="93" t="n">
        <x:f>IF(V763="Returned",Q763*R763*10%,Q763*R763)</x:f>
        <x:v>185</x:v>
      </x:c>
      <x:c r="Y763" s="93" t="n">
        <x:f>W763-X763</x:f>
        <x:v>170.5</x:v>
      </x:c>
      <x:c r="Z763" s="94" t="n">
        <x:f>IFERROR(Y763/W763,0)</x:f>
        <x:v>0.47960618846694797</x:v>
      </x:c>
      <x:c r="AA763" s="84" t="str">
        <x:f>PROPER(TRIM('Raw Sales'!M763))</x:f>
        <x:v>Credit Card</x:v>
      </x:c>
      <x:c r="AB763" s="84" t="str">
        <x:f>PROPER(TRIM('Raw Sales'!N763))</x:f>
        <x:v>Mia Chen</x:v>
      </x:c>
      <x:c r="AC763" s="85" t="n">
        <x:f>'Raw Sales'!O763</x:f>
        <x:v>45565</x:v>
      </x:c>
      <x:c r="AD763" s="84" t="n">
        <x:f>AC763-B763</x:f>
        <x:v>0</x:v>
      </x:c>
      <x:c r="AE763" s="84" t="str">
        <x:f>IF(COUNTIF($A$5:A763,A763)&gt;1,"Duplicate","Keep")</x:f>
        <x:v>Keep</x:v>
      </x:c>
      <x:c r="AF763" s="84" t="str">
        <x:f>IF(OR(R763&lt;=0,AC763&lt;B763,H763="Unknown",M763="Unknown Product"),"Review","Valid")</x:f>
        <x:v>Valid</x:v>
      </x:c>
      <x:c r="AG763" s="84" t="n">
        <x:f>IF(AND(AE763="Keep",AF763="Valid"),1,0)</x:f>
        <x:v>1</x:v>
      </x:c>
      <x:c r="AH763" s="84" t="n">
        <x:f>IF(AND(AG763=1,OR('Dashboard'!$B$4="All",I763='Dashboard'!$B$4),OR('Dashboard'!$E$4="All",N763='Dashboard'!$E$4),OR('Dashboard'!$H$4="All",K763='Dashboard'!$H$4),OR('Dashboard'!$K$4="All",C763='Dashboard'!$K$4)),1,0)</x:f>
        <x:v>1</x:v>
      </x:c>
      <x:c r="AI763" s="84" t="n">
        <x:f>IF(AND(AG763=1,OR('Dashboard'!$B$4="All",I763='Dashboard'!$B$4),OR('Dashboard'!$E$4="All",N763='Dashboard'!$E$4),OR('Dashboard'!$H$4="All",K763='Dashboard'!$H$4)),1,0)</x:f>
        <x:v>1</x:v>
      </x:c>
    </x:row>
    <x:row r="764">
      <x:c r="A764" s="84" t="str">
        <x:f>'Raw Sales'!A764</x:f>
        <x:v>ORD-2024-00401</x:v>
      </x:c>
      <x:c r="B764" s="85" t="n">
        <x:f>'Raw Sales'!B764</x:f>
        <x:v>45566</x:v>
      </x:c>
      <x:c r="C764" s="84" t="n">
        <x:f>YEAR(B764)</x:f>
        <x:v>2024</x:v>
      </x:c>
      <x:c r="D764" s="91" t="n">
        <x:f>DATE(YEAR(B764),MONTH(B764),1)</x:f>
        <x:v>45566</x:v>
      </x:c>
      <x:c r="E764" s="84" t="str">
        <x:f>TEXT(B764,"mmm")</x:f>
        <x:v>Oct</x:v>
      </x:c>
      <x:c r="F764" s="84" t="str">
        <x:f>'Raw Sales'!C764</x:f>
        <x:v>CUST-0365</x:v>
      </x:c>
      <x:c r="G764" s="84" t="str">
        <x:f>PROPER(TRIM('Raw Sales'!D764))</x:f>
        <x:v>Grace Johnson</x:v>
      </x:c>
      <x:c r="H764" s="84" t="str">
        <x:f>IF(TRIM('Raw Sales'!E764)="","Unknown",PROPER(TRIM('Raw Sales'!E764)))</x:f>
        <x:v>Consumer</x:v>
      </x:c>
      <x:c r="I764" s="84" t="str">
        <x:f>PROPER(TRIM('Raw Sales'!F764))</x:f>
        <x:v>West</x:v>
      </x:c>
      <x:c r="J764" s="84" t="str">
        <x:f>PROPER(TRIM('Raw Sales'!G764))</x:f>
        <x:v>Los Angeles</x:v>
      </x:c>
      <x:c r="K764" s="84" t="str">
        <x:f>PROPER(TRIM('Raw Sales'!H764))</x:f>
        <x:v>Marketplace</x:v>
      </x:c>
      <x:c r="L764" s="84" t="str">
        <x:f>'Raw Sales'!I764</x:f>
        <x:v>ACCS-001</x:v>
      </x:c>
      <x:c r="M764" s="84" t="str">
        <x:f>IFERROR(VLOOKUP(L764,'Reference Data'!$A$5:$F$40,2,FALSE),"Unknown Product")</x:f>
        <x:v>Canvas Tote Bag</x:v>
      </x:c>
      <x:c r="N764" s="84" t="str">
        <x:f>IFERROR(VLOOKUP(L764,'Reference Data'!$A$5:$F$40,3,FALSE),"Unknown")</x:f>
        <x:v>Accessories</x:v>
      </x:c>
      <x:c r="O764" s="84" t="str">
        <x:f>IFERROR(VLOOKUP(L764,'Reference Data'!$A$5:$F$40,4,FALSE),"Unknown")</x:f>
        <x:v>Bags</x:v>
      </x:c>
      <x:c r="P764" s="92" t="n">
        <x:f>IFERROR(VLOOKUP(L764,'Reference Data'!$A$5:$F$40,5,FALSE),0)</x:f>
        <x:v>39</x:v>
      </x:c>
      <x:c r="Q764" s="92" t="n">
        <x:f>IFERROR(VLOOKUP(L764,'Reference Data'!$A$5:$F$40,6,FALSE),0)</x:f>
        <x:v>14</x:v>
      </x:c>
      <x:c r="R764" s="84" t="n">
        <x:f>'Raw Sales'!J764</x:f>
        <x:v>1</x:v>
      </x:c>
      <x:c r="S764" s="87" t="n">
        <x:f>'Raw Sales'!K764</x:f>
        <x:v>0</x:v>
      </x:c>
      <x:c r="T764" s="93" t="n">
        <x:f>P764*R764</x:f>
        <x:v>39</x:v>
      </x:c>
      <x:c r="U764" s="93" t="n">
        <x:f>T764*S764</x:f>
        <x:v>0</x:v>
      </x:c>
      <x:c r="V764" s="93" t="str">
        <x:f>PROPER(TRIM('Raw Sales'!L764))</x:f>
        <x:v>Completed</x:v>
      </x:c>
      <x:c r="W764" s="93" t="n">
        <x:f>IF(V764="Returned",0,T764-U764)</x:f>
        <x:v>39</x:v>
      </x:c>
      <x:c r="X764" s="93" t="n">
        <x:f>IF(V764="Returned",Q764*R764*10%,Q764*R764)</x:f>
        <x:v>14</x:v>
      </x:c>
      <x:c r="Y764" s="93" t="n">
        <x:f>W764-X764</x:f>
        <x:v>25</x:v>
      </x:c>
      <x:c r="Z764" s="94" t="n">
        <x:f>IFERROR(Y764/W764,0)</x:f>
        <x:v>0.6410256410256411</x:v>
      </x:c>
      <x:c r="AA764" s="84" t="str">
        <x:f>PROPER(TRIM('Raw Sales'!M764))</x:f>
        <x:v>Paypal</x:v>
      </x:c>
      <x:c r="AB764" s="84" t="str">
        <x:f>PROPER(TRIM('Raw Sales'!N764))</x:f>
        <x:v>Leo Martinez</x:v>
      </x:c>
      <x:c r="AC764" s="85" t="n">
        <x:f>'Raw Sales'!O764</x:f>
        <x:v>45571</x:v>
      </x:c>
      <x:c r="AD764" s="84" t="n">
        <x:f>AC764-B764</x:f>
        <x:v>5</x:v>
      </x:c>
      <x:c r="AE764" s="84" t="str">
        <x:f>IF(COUNTIF($A$5:A764,A764)&gt;1,"Duplicate","Keep")</x:f>
        <x:v>Keep</x:v>
      </x:c>
      <x:c r="AF764" s="84" t="str">
        <x:f>IF(OR(R764&lt;=0,AC764&lt;B764,H764="Unknown",M764="Unknown Product"),"Review","Valid")</x:f>
        <x:v>Valid</x:v>
      </x:c>
      <x:c r="AG764" s="84" t="n">
        <x:f>IF(AND(AE764="Keep",AF764="Valid"),1,0)</x:f>
        <x:v>1</x:v>
      </x:c>
      <x:c r="AH764" s="84" t="n">
        <x:f>IF(AND(AG764=1,OR('Dashboard'!$B$4="All",I764='Dashboard'!$B$4),OR('Dashboard'!$E$4="All",N764='Dashboard'!$E$4),OR('Dashboard'!$H$4="All",K764='Dashboard'!$H$4),OR('Dashboard'!$K$4="All",C764='Dashboard'!$K$4)),1,0)</x:f>
        <x:v>1</x:v>
      </x:c>
      <x:c r="AI764" s="84" t="n">
        <x:f>IF(AND(AG764=1,OR('Dashboard'!$B$4="All",I764='Dashboard'!$B$4),OR('Dashboard'!$E$4="All",N764='Dashboard'!$E$4),OR('Dashboard'!$H$4="All",K764='Dashboard'!$H$4)),1,0)</x:f>
        <x:v>1</x:v>
      </x:c>
    </x:row>
    <x:row r="765">
      <x:c r="A765" s="84" t="str">
        <x:f>'Raw Sales'!A765</x:f>
        <x:v>ORD-2024-01413</x:v>
      </x:c>
      <x:c r="B765" s="85" t="n">
        <x:f>'Raw Sales'!B765</x:f>
        <x:v>45566</x:v>
      </x:c>
      <x:c r="C765" s="84" t="n">
        <x:f>YEAR(B765)</x:f>
        <x:v>2024</x:v>
      </x:c>
      <x:c r="D765" s="91" t="n">
        <x:f>DATE(YEAR(B765),MONTH(B765),1)</x:f>
        <x:v>45566</x:v>
      </x:c>
      <x:c r="E765" s="84" t="str">
        <x:f>TEXT(B765,"mmm")</x:f>
        <x:v>Oct</x:v>
      </x:c>
      <x:c r="F765" s="84" t="str">
        <x:f>'Raw Sales'!C765</x:f>
        <x:v>CUST-0558</x:v>
      </x:c>
      <x:c r="G765" s="84" t="str">
        <x:f>PROPER(TRIM('Raw Sales'!D765))</x:f>
        <x:v>Elias Irwin</x:v>
      </x:c>
      <x:c r="H765" s="84" t="str">
        <x:f>IF(TRIM('Raw Sales'!E765)="","Unknown",PROPER(TRIM('Raw Sales'!E765)))</x:f>
        <x:v>Corporate</x:v>
      </x:c>
      <x:c r="I765" s="84" t="str">
        <x:f>PROPER(TRIM('Raw Sales'!F765))</x:f>
        <x:v>Northeast</x:v>
      </x:c>
      <x:c r="J765" s="84" t="str">
        <x:f>PROPER(TRIM('Raw Sales'!G765))</x:f>
        <x:v>Philadelphia</x:v>
      </x:c>
      <x:c r="K765" s="84" t="str">
        <x:f>PROPER(TRIM('Raw Sales'!H765))</x:f>
        <x:v>Retail Store</x:v>
      </x:c>
      <x:c r="L765" s="84" t="str">
        <x:f>'Raw Sales'!I765</x:f>
        <x:v>HOME-006</x:v>
      </x:c>
      <x:c r="M765" s="84" t="str">
        <x:f>IFERROR(VLOOKUP(L765,'Reference Data'!$A$5:$F$40,2,FALSE),"Unknown Product")</x:f>
        <x:v>Food Storage Set</x:v>
      </x:c>
      <x:c r="N765" s="84" t="str">
        <x:f>IFERROR(VLOOKUP(L765,'Reference Data'!$A$5:$F$40,3,FALSE),"Unknown")</x:f>
        <x:v>Home &amp; Kitchen</x:v>
      </x:c>
      <x:c r="O765" s="84" t="str">
        <x:f>IFERROR(VLOOKUP(L765,'Reference Data'!$A$5:$F$40,4,FALSE),"Unknown")</x:f>
        <x:v>Kitchenware</x:v>
      </x:c>
      <x:c r="P765" s="92" t="n">
        <x:f>IFERROR(VLOOKUP(L765,'Reference Data'!$A$5:$F$40,5,FALSE),0)</x:f>
        <x:v>34</x:v>
      </x:c>
      <x:c r="Q765" s="92" t="n">
        <x:f>IFERROR(VLOOKUP(L765,'Reference Data'!$A$5:$F$40,6,FALSE),0)</x:f>
        <x:v>15</x:v>
      </x:c>
      <x:c r="R765" s="84" t="n">
        <x:f>'Raw Sales'!J765</x:f>
        <x:v>4</x:v>
      </x:c>
      <x:c r="S765" s="87" t="n">
        <x:f>'Raw Sales'!K765</x:f>
        <x:v>0.05</x:v>
      </x:c>
      <x:c r="T765" s="93" t="n">
        <x:f>P765*R765</x:f>
        <x:v>136</x:v>
      </x:c>
      <x:c r="U765" s="93" t="n">
        <x:f>T765*S765</x:f>
        <x:v>6.800000000000001</x:v>
      </x:c>
      <x:c r="V765" s="93" t="str">
        <x:f>PROPER(TRIM('Raw Sales'!L765))</x:f>
        <x:v>Completed</x:v>
      </x:c>
      <x:c r="W765" s="93" t="n">
        <x:f>IF(V765="Returned",0,T765-U765)</x:f>
        <x:v>129.2</x:v>
      </x:c>
      <x:c r="X765" s="93" t="n">
        <x:f>IF(V765="Returned",Q765*R765*10%,Q765*R765)</x:f>
        <x:v>60</x:v>
      </x:c>
      <x:c r="Y765" s="93" t="n">
        <x:f>W765-X765</x:f>
        <x:v>69.19999999999999</x:v>
      </x:c>
      <x:c r="Z765" s="94" t="n">
        <x:f>IFERROR(Y765/W765,0)</x:f>
        <x:v>0.5356037151702786</x:v>
      </x:c>
      <x:c r="AA765" s="84" t="str">
        <x:f>PROPER(TRIM('Raw Sales'!M765))</x:f>
        <x:v>Mobile Wallet</x:v>
      </x:c>
      <x:c r="AB765" s="84" t="str">
        <x:f>PROPER(TRIM('Raw Sales'!N765))</x:f>
        <x:v>Sofia Bennett</x:v>
      </x:c>
      <x:c r="AC765" s="85" t="n">
        <x:f>'Raw Sales'!O765</x:f>
        <x:v>45566</x:v>
      </x:c>
      <x:c r="AD765" s="84" t="n">
        <x:f>AC765-B765</x:f>
        <x:v>0</x:v>
      </x:c>
      <x:c r="AE765" s="84" t="str">
        <x:f>IF(COUNTIF($A$5:A765,A765)&gt;1,"Duplicate","Keep")</x:f>
        <x:v>Keep</x:v>
      </x:c>
      <x:c r="AF765" s="84" t="str">
        <x:f>IF(OR(R765&lt;=0,AC765&lt;B765,H765="Unknown",M765="Unknown Product"),"Review","Valid")</x:f>
        <x:v>Valid</x:v>
      </x:c>
      <x:c r="AG765" s="84" t="n">
        <x:f>IF(AND(AE765="Keep",AF765="Valid"),1,0)</x:f>
        <x:v>1</x:v>
      </x:c>
      <x:c r="AH765" s="84" t="n">
        <x:f>IF(AND(AG765=1,OR('Dashboard'!$B$4="All",I765='Dashboard'!$B$4),OR('Dashboard'!$E$4="All",N765='Dashboard'!$E$4),OR('Dashboard'!$H$4="All",K765='Dashboard'!$H$4),OR('Dashboard'!$K$4="All",C765='Dashboard'!$K$4)),1,0)</x:f>
        <x:v>1</x:v>
      </x:c>
      <x:c r="AI765" s="84" t="n">
        <x:f>IF(AND(AG765=1,OR('Dashboard'!$B$4="All",I765='Dashboard'!$B$4),OR('Dashboard'!$E$4="All",N765='Dashboard'!$E$4),OR('Dashboard'!$H$4="All",K765='Dashboard'!$H$4)),1,0)</x:f>
        <x:v>1</x:v>
      </x:c>
    </x:row>
    <x:row r="766">
      <x:c r="A766" s="84" t="str">
        <x:f>'Raw Sales'!A766</x:f>
        <x:v>ORD-2024-01663</x:v>
      </x:c>
      <x:c r="B766" s="85" t="n">
        <x:f>'Raw Sales'!B766</x:f>
        <x:v>45566</x:v>
      </x:c>
      <x:c r="C766" s="84" t="n">
        <x:f>YEAR(B766)</x:f>
        <x:v>2024</x:v>
      </x:c>
      <x:c r="D766" s="91" t="n">
        <x:f>DATE(YEAR(B766),MONTH(B766),1)</x:f>
        <x:v>45566</x:v>
      </x:c>
      <x:c r="E766" s="84" t="str">
        <x:f>TEXT(B766,"mmm")</x:f>
        <x:v>Oct</x:v>
      </x:c>
      <x:c r="F766" s="84" t="str">
        <x:f>'Raw Sales'!C766</x:f>
        <x:v>CUST-0470</x:v>
      </x:c>
      <x:c r="G766" s="84" t="str">
        <x:f>PROPER(TRIM('Raw Sales'!D766))</x:f>
        <x:v>Jasmine Lewis</x:v>
      </x:c>
      <x:c r="H766" s="84" t="str">
        <x:f>IF(TRIM('Raw Sales'!E766)="","Unknown",PROPER(TRIM('Raw Sales'!E766)))</x:f>
        <x:v>Corporate</x:v>
      </x:c>
      <x:c r="I766" s="84" t="str">
        <x:f>PROPER(TRIM('Raw Sales'!F766))</x:f>
        <x:v>Southeast</x:v>
      </x:c>
      <x:c r="J766" s="84" t="str">
        <x:f>PROPER(TRIM('Raw Sales'!G766))</x:f>
        <x:v>Miami</x:v>
      </x:c>
      <x:c r="K766" s="84" t="str">
        <x:f>PROPER(TRIM('Raw Sales'!H766))</x:f>
        <x:v>Retail Store</x:v>
      </x:c>
      <x:c r="L766" s="84" t="str">
        <x:f>'Raw Sales'!I766</x:f>
        <x:v>ELEC-002</x:v>
      </x:c>
      <x:c r="M766" s="84" t="str">
        <x:f>IFERROR(VLOOKUP(L766,'Reference Data'!$A$5:$F$40,2,FALSE),"Unknown Product")</x:f>
        <x:v>Smartwatch</x:v>
      </x:c>
      <x:c r="N766" s="84" t="str">
        <x:f>IFERROR(VLOOKUP(L766,'Reference Data'!$A$5:$F$40,3,FALSE),"Unknown")</x:f>
        <x:v>Electronics</x:v>
      </x:c>
      <x:c r="O766" s="84" t="str">
        <x:f>IFERROR(VLOOKUP(L766,'Reference Data'!$A$5:$F$40,4,FALSE),"Unknown")</x:f>
        <x:v>Wearables</x:v>
      </x:c>
      <x:c r="P766" s="92" t="n">
        <x:f>IFERROR(VLOOKUP(L766,'Reference Data'!$A$5:$F$40,5,FALSE),0)</x:f>
        <x:v>159</x:v>
      </x:c>
      <x:c r="Q766" s="92" t="n">
        <x:f>IFERROR(VLOOKUP(L766,'Reference Data'!$A$5:$F$40,6,FALSE),0)</x:f>
        <x:v>92</x:v>
      </x:c>
      <x:c r="R766" s="84" t="n">
        <x:f>'Raw Sales'!J766</x:f>
        <x:v>5</x:v>
      </x:c>
      <x:c r="S766" s="87" t="n">
        <x:f>'Raw Sales'!K766</x:f>
        <x:v>0.1</x:v>
      </x:c>
      <x:c r="T766" s="93" t="n">
        <x:f>P766*R766</x:f>
        <x:v>795</x:v>
      </x:c>
      <x:c r="U766" s="93" t="n">
        <x:f>T766*S766</x:f>
        <x:v>79.5</x:v>
      </x:c>
      <x:c r="V766" s="93" t="str">
        <x:f>PROPER(TRIM('Raw Sales'!L766))</x:f>
        <x:v>Completed</x:v>
      </x:c>
      <x:c r="W766" s="93" t="n">
        <x:f>IF(V766="Returned",0,T766-U766)</x:f>
        <x:v>715.5</x:v>
      </x:c>
      <x:c r="X766" s="93" t="n">
        <x:f>IF(V766="Returned",Q766*R766*10%,Q766*R766)</x:f>
        <x:v>460</x:v>
      </x:c>
      <x:c r="Y766" s="93" t="n">
        <x:f>W766-X766</x:f>
        <x:v>255.5</x:v>
      </x:c>
      <x:c r="Z766" s="94" t="n">
        <x:f>IFERROR(Y766/W766,0)</x:f>
        <x:v>0.35709294199860236</x:v>
      </x:c>
      <x:c r="AA766" s="84" t="str">
        <x:f>PROPER(TRIM('Raw Sales'!M766))</x:f>
        <x:v>Debit Card</x:v>
      </x:c>
      <x:c r="AB766" s="84" t="str">
        <x:f>PROPER(TRIM('Raw Sales'!N766))</x:f>
        <x:v>Liam Parker</x:v>
      </x:c>
      <x:c r="AC766" s="85" t="n">
        <x:f>'Raw Sales'!O766</x:f>
        <x:v>45566</x:v>
      </x:c>
      <x:c r="AD766" s="84" t="n">
        <x:f>AC766-B766</x:f>
        <x:v>0</x:v>
      </x:c>
      <x:c r="AE766" s="84" t="str">
        <x:f>IF(COUNTIF($A$5:A766,A766)&gt;1,"Duplicate","Keep")</x:f>
        <x:v>Keep</x:v>
      </x:c>
      <x:c r="AF766" s="84" t="str">
        <x:f>IF(OR(R766&lt;=0,AC766&lt;B766,H766="Unknown",M766="Unknown Product"),"Review","Valid")</x:f>
        <x:v>Valid</x:v>
      </x:c>
      <x:c r="AG766" s="84" t="n">
        <x:f>IF(AND(AE766="Keep",AF766="Valid"),1,0)</x:f>
        <x:v>1</x:v>
      </x:c>
      <x:c r="AH766" s="84" t="n">
        <x:f>IF(AND(AG766=1,OR('Dashboard'!$B$4="All",I766='Dashboard'!$B$4),OR('Dashboard'!$E$4="All",N766='Dashboard'!$E$4),OR('Dashboard'!$H$4="All",K766='Dashboard'!$H$4),OR('Dashboard'!$K$4="All",C766='Dashboard'!$K$4)),1,0)</x:f>
        <x:v>1</x:v>
      </x:c>
      <x:c r="AI766" s="84" t="n">
        <x:f>IF(AND(AG766=1,OR('Dashboard'!$B$4="All",I766='Dashboard'!$B$4),OR('Dashboard'!$E$4="All",N766='Dashboard'!$E$4),OR('Dashboard'!$H$4="All",K766='Dashboard'!$H$4)),1,0)</x:f>
        <x:v>1</x:v>
      </x:c>
    </x:row>
    <x:row r="767">
      <x:c r="A767" s="84" t="str">
        <x:f>'Raw Sales'!A767</x:f>
        <x:v>ORD-2024-02321</x:v>
      </x:c>
      <x:c r="B767" s="85" t="n">
        <x:f>'Raw Sales'!B767</x:f>
        <x:v>45566</x:v>
      </x:c>
      <x:c r="C767" s="84" t="n">
        <x:f>YEAR(B767)</x:f>
        <x:v>2024</x:v>
      </x:c>
      <x:c r="D767" s="91" t="n">
        <x:f>DATE(YEAR(B767),MONTH(B767),1)</x:f>
        <x:v>45566</x:v>
      </x:c>
      <x:c r="E767" s="84" t="str">
        <x:f>TEXT(B767,"mmm")</x:f>
        <x:v>Oct</x:v>
      </x:c>
      <x:c r="F767" s="84" t="str">
        <x:f>'Raw Sales'!C767</x:f>
        <x:v>CUST-0092</x:v>
      </x:c>
      <x:c r="G767" s="84" t="str">
        <x:f>PROPER(TRIM('Raw Sales'!D767))</x:f>
        <x:v>Jasmine Smith</x:v>
      </x:c>
      <x:c r="H767" s="84" t="str">
        <x:f>IF(TRIM('Raw Sales'!E767)="","Unknown",PROPER(TRIM('Raw Sales'!E767)))</x:f>
        <x:v>Corporate</x:v>
      </x:c>
      <x:c r="I767" s="84" t="str">
        <x:f>PROPER(TRIM('Raw Sales'!F767))</x:f>
        <x:v>Midwest</x:v>
      </x:c>
      <x:c r="J767" s="84" t="str">
        <x:f>PROPER(TRIM('Raw Sales'!G767))</x:f>
        <x:v>Detroit</x:v>
      </x:c>
      <x:c r="K767" s="84" t="str">
        <x:f>PROPER(TRIM('Raw Sales'!H767))</x:f>
        <x:v>Online</x:v>
      </x:c>
      <x:c r="L767" s="84" t="str">
        <x:f>'Raw Sales'!I767</x:f>
        <x:v>ELEC-003</x:v>
      </x:c>
      <x:c r="M767" s="84" t="str">
        <x:f>IFERROR(VLOOKUP(L767,'Reference Data'!$A$5:$F$40,2,FALSE),"Unknown Product")</x:f>
        <x:v>Bluetooth Speaker</x:v>
      </x:c>
      <x:c r="N767" s="84" t="str">
        <x:f>IFERROR(VLOOKUP(L767,'Reference Data'!$A$5:$F$40,3,FALSE),"Unknown")</x:f>
        <x:v>Electronics</x:v>
      </x:c>
      <x:c r="O767" s="84" t="str">
        <x:f>IFERROR(VLOOKUP(L767,'Reference Data'!$A$5:$F$40,4,FALSE),"Unknown")</x:f>
        <x:v>Audio</x:v>
      </x:c>
      <x:c r="P767" s="92" t="n">
        <x:f>IFERROR(VLOOKUP(L767,'Reference Data'!$A$5:$F$40,5,FALSE),0)</x:f>
        <x:v>89</x:v>
      </x:c>
      <x:c r="Q767" s="92" t="n">
        <x:f>IFERROR(VLOOKUP(L767,'Reference Data'!$A$5:$F$40,6,FALSE),0)</x:f>
        <x:v>44</x:v>
      </x:c>
      <x:c r="R767" s="84" t="n">
        <x:f>'Raw Sales'!J767</x:f>
        <x:v>4</x:v>
      </x:c>
      <x:c r="S767" s="87" t="n">
        <x:f>'Raw Sales'!K767</x:f>
        <x:v>0</x:v>
      </x:c>
      <x:c r="T767" s="93" t="n">
        <x:f>P767*R767</x:f>
        <x:v>356</x:v>
      </x:c>
      <x:c r="U767" s="93" t="n">
        <x:f>T767*S767</x:f>
        <x:v>0</x:v>
      </x:c>
      <x:c r="V767" s="93" t="str">
        <x:f>PROPER(TRIM('Raw Sales'!L767))</x:f>
        <x:v>Completed</x:v>
      </x:c>
      <x:c r="W767" s="93" t="n">
        <x:f>IF(V767="Returned",0,T767-U767)</x:f>
        <x:v>356</x:v>
      </x:c>
      <x:c r="X767" s="93" t="n">
        <x:f>IF(V767="Returned",Q767*R767*10%,Q767*R767)</x:f>
        <x:v>176</x:v>
      </x:c>
      <x:c r="Y767" s="93" t="n">
        <x:f>W767-X767</x:f>
        <x:v>180</x:v>
      </x:c>
      <x:c r="Z767" s="94" t="n">
        <x:f>IFERROR(Y767/W767,0)</x:f>
        <x:v>0.5056179775280899</x:v>
      </x:c>
      <x:c r="AA767" s="84" t="str">
        <x:f>PROPER(TRIM('Raw Sales'!M767))</x:f>
        <x:v>Mobile Wallet</x:v>
      </x:c>
      <x:c r="AB767" s="84" t="str">
        <x:f>PROPER(TRIM('Raw Sales'!N767))</x:f>
        <x:v>Lucas Grant</x:v>
      </x:c>
      <x:c r="AC767" s="85" t="n">
        <x:f>'Raw Sales'!O767</x:f>
        <x:v>45564</x:v>
      </x:c>
      <x:c r="AD767" s="84" t="n">
        <x:f>AC767-B767</x:f>
        <x:v>-2</x:v>
      </x:c>
      <x:c r="AE767" s="84" t="str">
        <x:f>IF(COUNTIF($A$5:A767,A767)&gt;1,"Duplicate","Keep")</x:f>
        <x:v>Keep</x:v>
      </x:c>
      <x:c r="AF767" s="84" t="str">
        <x:f>IF(OR(R767&lt;=0,AC767&lt;B767,H767="Unknown",M767="Unknown Product"),"Review","Valid")</x:f>
        <x:v>Review</x:v>
      </x:c>
      <x:c r="AG767" s="84" t="n">
        <x:f>IF(AND(AE767="Keep",AF767="Valid"),1,0)</x:f>
        <x:v>0</x:v>
      </x:c>
      <x:c r="AH767" s="84" t="n">
        <x:f>IF(AND(AG767=1,OR('Dashboard'!$B$4="All",I767='Dashboard'!$B$4),OR('Dashboard'!$E$4="All",N767='Dashboard'!$E$4),OR('Dashboard'!$H$4="All",K767='Dashboard'!$H$4),OR('Dashboard'!$K$4="All",C767='Dashboard'!$K$4)),1,0)</x:f>
        <x:v>0</x:v>
      </x:c>
      <x:c r="AI767" s="84" t="n">
        <x:f>IF(AND(AG767=1,OR('Dashboard'!$B$4="All",I767='Dashboard'!$B$4),OR('Dashboard'!$E$4="All",N767='Dashboard'!$E$4),OR('Dashboard'!$H$4="All",K767='Dashboard'!$H$4)),1,0)</x:f>
        <x:v>0</x:v>
      </x:c>
    </x:row>
    <x:row r="768">
      <x:c r="A768" s="84" t="str">
        <x:f>'Raw Sales'!A768</x:f>
        <x:v>ORD-2024-00034</x:v>
      </x:c>
      <x:c r="B768" s="85" t="n">
        <x:f>'Raw Sales'!B768</x:f>
        <x:v>45568</x:v>
      </x:c>
      <x:c r="C768" s="84" t="n">
        <x:f>YEAR(B768)</x:f>
        <x:v>2024</x:v>
      </x:c>
      <x:c r="D768" s="91" t="n">
        <x:f>DATE(YEAR(B768),MONTH(B768),1)</x:f>
        <x:v>45566</x:v>
      </x:c>
      <x:c r="E768" s="84" t="str">
        <x:f>TEXT(B768,"mmm")</x:f>
        <x:v>Oct</x:v>
      </x:c>
      <x:c r="F768" s="84" t="str">
        <x:f>'Raw Sales'!C768</x:f>
        <x:v>CUST-0635</x:v>
      </x:c>
      <x:c r="G768" s="84" t="str">
        <x:f>PROPER(TRIM('Raw Sales'!D768))</x:f>
        <x:v>Owen Patel</x:v>
      </x:c>
      <x:c r="H768" s="84" t="str">
        <x:f>IF(TRIM('Raw Sales'!E768)="","Unknown",PROPER(TRIM('Raw Sales'!E768)))</x:f>
        <x:v>Consumer</x:v>
      </x:c>
      <x:c r="I768" s="84" t="str">
        <x:f>PROPER(TRIM('Raw Sales'!F768))</x:f>
        <x:v>Northeast</x:v>
      </x:c>
      <x:c r="J768" s="84" t="str">
        <x:f>PROPER(TRIM('Raw Sales'!G768))</x:f>
        <x:v>Philadelphia</x:v>
      </x:c>
      <x:c r="K768" s="84" t="str">
        <x:f>PROPER(TRIM('Raw Sales'!H768))</x:f>
        <x:v>Online</x:v>
      </x:c>
      <x:c r="L768" s="84" t="str">
        <x:f>'Raw Sales'!I768</x:f>
        <x:v>ELEC-006</x:v>
      </x:c>
      <x:c r="M768" s="84" t="str">
        <x:f>IFERROR(VLOOKUP(L768,'Reference Data'!$A$5:$F$40,2,FALSE),"Unknown Product")</x:f>
        <x:v>Portable SSD</x:v>
      </x:c>
      <x:c r="N768" s="84" t="str">
        <x:f>IFERROR(VLOOKUP(L768,'Reference Data'!$A$5:$F$40,3,FALSE),"Unknown")</x:f>
        <x:v>Electronics</x:v>
      </x:c>
      <x:c r="O768" s="84" t="str">
        <x:f>IFERROR(VLOOKUP(L768,'Reference Data'!$A$5:$F$40,4,FALSE),"Unknown")</x:f>
        <x:v>Storage</x:v>
      </x:c>
      <x:c r="P768" s="92" t="n">
        <x:f>IFERROR(VLOOKUP(L768,'Reference Data'!$A$5:$F$40,5,FALSE),0)</x:f>
        <x:v>129</x:v>
      </x:c>
      <x:c r="Q768" s="92" t="n">
        <x:f>IFERROR(VLOOKUP(L768,'Reference Data'!$A$5:$F$40,6,FALSE),0)</x:f>
        <x:v>75</x:v>
      </x:c>
      <x:c r="R768" s="84" t="n">
        <x:f>'Raw Sales'!J768</x:f>
        <x:v>1</x:v>
      </x:c>
      <x:c r="S768" s="87" t="n">
        <x:f>'Raw Sales'!K768</x:f>
        <x:v>0</x:v>
      </x:c>
      <x:c r="T768" s="93" t="n">
        <x:f>P768*R768</x:f>
        <x:v>129</x:v>
      </x:c>
      <x:c r="U768" s="93" t="n">
        <x:f>T768*S768</x:f>
        <x:v>0</x:v>
      </x:c>
      <x:c r="V768" s="93" t="str">
        <x:f>PROPER(TRIM('Raw Sales'!L768))</x:f>
        <x:v>Completed</x:v>
      </x:c>
      <x:c r="W768" s="93" t="n">
        <x:f>IF(V768="Returned",0,T768-U768)</x:f>
        <x:v>129</x:v>
      </x:c>
      <x:c r="X768" s="93" t="n">
        <x:f>IF(V768="Returned",Q768*R768*10%,Q768*R768)</x:f>
        <x:v>75</x:v>
      </x:c>
      <x:c r="Y768" s="93" t="n">
        <x:f>W768-X768</x:f>
        <x:v>54</x:v>
      </x:c>
      <x:c r="Z768" s="94" t="n">
        <x:f>IFERROR(Y768/W768,0)</x:f>
        <x:v>0.4186046511627907</x:v>
      </x:c>
      <x:c r="AA768" s="84" t="str">
        <x:f>PROPER(TRIM('Raw Sales'!M768))</x:f>
        <x:v>Mobile Wallet</x:v>
      </x:c>
      <x:c r="AB768" s="84" t="str">
        <x:f>PROPER(TRIM('Raw Sales'!N768))</x:f>
        <x:v>Maya Brooks</x:v>
      </x:c>
      <x:c r="AC768" s="85" t="n">
        <x:f>'Raw Sales'!O768</x:f>
        <x:v>45571</x:v>
      </x:c>
      <x:c r="AD768" s="84" t="n">
        <x:f>AC768-B768</x:f>
        <x:v>3</x:v>
      </x:c>
      <x:c r="AE768" s="84" t="str">
        <x:f>IF(COUNTIF($A$5:A768,A768)&gt;1,"Duplicate","Keep")</x:f>
        <x:v>Keep</x:v>
      </x:c>
      <x:c r="AF768" s="84" t="str">
        <x:f>IF(OR(R768&lt;=0,AC768&lt;B768,H768="Unknown",M768="Unknown Product"),"Review","Valid")</x:f>
        <x:v>Valid</x:v>
      </x:c>
      <x:c r="AG768" s="84" t="n">
        <x:f>IF(AND(AE768="Keep",AF768="Valid"),1,0)</x:f>
        <x:v>1</x:v>
      </x:c>
      <x:c r="AH768" s="84" t="n">
        <x:f>IF(AND(AG768=1,OR('Dashboard'!$B$4="All",I768='Dashboard'!$B$4),OR('Dashboard'!$E$4="All",N768='Dashboard'!$E$4),OR('Dashboard'!$H$4="All",K768='Dashboard'!$H$4),OR('Dashboard'!$K$4="All",C768='Dashboard'!$K$4)),1,0)</x:f>
        <x:v>1</x:v>
      </x:c>
      <x:c r="AI768" s="84" t="n">
        <x:f>IF(AND(AG768=1,OR('Dashboard'!$B$4="All",I768='Dashboard'!$B$4),OR('Dashboard'!$E$4="All",N768='Dashboard'!$E$4),OR('Dashboard'!$H$4="All",K768='Dashboard'!$H$4)),1,0)</x:f>
        <x:v>1</x:v>
      </x:c>
    </x:row>
    <x:row r="769">
      <x:c r="A769" s="84" t="str">
        <x:f>'Raw Sales'!A769</x:f>
        <x:v>ORD-2024-00913</x:v>
      </x:c>
      <x:c r="B769" s="85" t="n">
        <x:f>'Raw Sales'!B769</x:f>
        <x:v>45568</x:v>
      </x:c>
      <x:c r="C769" s="84" t="n">
        <x:f>YEAR(B769)</x:f>
        <x:v>2024</x:v>
      </x:c>
      <x:c r="D769" s="91" t="n">
        <x:f>DATE(YEAR(B769),MONTH(B769),1)</x:f>
        <x:v>45566</x:v>
      </x:c>
      <x:c r="E769" s="84" t="str">
        <x:f>TEXT(B769,"mmm")</x:f>
        <x:v>Oct</x:v>
      </x:c>
      <x:c r="F769" s="84" t="str">
        <x:f>'Raw Sales'!C769</x:f>
        <x:v>CUST-0439</x:v>
      </x:c>
      <x:c r="G769" s="84" t="str">
        <x:f>PROPER(TRIM('Raw Sales'!D769))</x:f>
        <x:v>Aiden Irwin</x:v>
      </x:c>
      <x:c r="H769" s="84" t="str">
        <x:f>IF(TRIM('Raw Sales'!E769)="","Unknown",PROPER(TRIM('Raw Sales'!E769)))</x:f>
        <x:v>Consumer</x:v>
      </x:c>
      <x:c r="I769" s="84" t="str">
        <x:f>PROPER(TRIM('Raw Sales'!F769))</x:f>
        <x:v>West</x:v>
      </x:c>
      <x:c r="J769" s="84" t="str">
        <x:f>PROPER(TRIM('Raw Sales'!G769))</x:f>
        <x:v>Los Angeles</x:v>
      </x:c>
      <x:c r="K769" s="84" t="str">
        <x:f>PROPER(TRIM('Raw Sales'!H769))</x:f>
        <x:v>Retail Store</x:v>
      </x:c>
      <x:c r="L769" s="84" t="str">
        <x:f>'Raw Sales'!I769</x:f>
        <x:v>ELEC-003</x:v>
      </x:c>
      <x:c r="M769" s="84" t="str">
        <x:f>IFERROR(VLOOKUP(L769,'Reference Data'!$A$5:$F$40,2,FALSE),"Unknown Product")</x:f>
        <x:v>Bluetooth Speaker</x:v>
      </x:c>
      <x:c r="N769" s="84" t="str">
        <x:f>IFERROR(VLOOKUP(L769,'Reference Data'!$A$5:$F$40,3,FALSE),"Unknown")</x:f>
        <x:v>Electronics</x:v>
      </x:c>
      <x:c r="O769" s="84" t="str">
        <x:f>IFERROR(VLOOKUP(L769,'Reference Data'!$A$5:$F$40,4,FALSE),"Unknown")</x:f>
        <x:v>Audio</x:v>
      </x:c>
      <x:c r="P769" s="92" t="n">
        <x:f>IFERROR(VLOOKUP(L769,'Reference Data'!$A$5:$F$40,5,FALSE),0)</x:f>
        <x:v>89</x:v>
      </x:c>
      <x:c r="Q769" s="92" t="n">
        <x:f>IFERROR(VLOOKUP(L769,'Reference Data'!$A$5:$F$40,6,FALSE),0)</x:f>
        <x:v>44</x:v>
      </x:c>
      <x:c r="R769" s="84" t="n">
        <x:f>'Raw Sales'!J769</x:f>
        <x:v>1</x:v>
      </x:c>
      <x:c r="S769" s="87" t="n">
        <x:f>'Raw Sales'!K769</x:f>
        <x:v>0.1</x:v>
      </x:c>
      <x:c r="T769" s="93" t="n">
        <x:f>P769*R769</x:f>
        <x:v>89</x:v>
      </x:c>
      <x:c r="U769" s="93" t="n">
        <x:f>T769*S769</x:f>
        <x:v>8.9</x:v>
      </x:c>
      <x:c r="V769" s="93" t="str">
        <x:f>PROPER(TRIM('Raw Sales'!L769))</x:f>
        <x:v>Completed</x:v>
      </x:c>
      <x:c r="W769" s="93" t="n">
        <x:f>IF(V769="Returned",0,T769-U769)</x:f>
        <x:v>80.1</x:v>
      </x:c>
      <x:c r="X769" s="93" t="n">
        <x:f>IF(V769="Returned",Q769*R769*10%,Q769*R769)</x:f>
        <x:v>44</x:v>
      </x:c>
      <x:c r="Y769" s="93" t="n">
        <x:f>W769-X769</x:f>
        <x:v>36.099999999999994</x:v>
      </x:c>
      <x:c r="Z769" s="94" t="n">
        <x:f>IFERROR(Y769/W769,0)</x:f>
        <x:v>0.4506866416978776</x:v>
      </x:c>
      <x:c r="AA769" s="84" t="str">
        <x:f>PROPER(TRIM('Raw Sales'!M769))</x:f>
        <x:v>Cash</x:v>
      </x:c>
      <x:c r="AB769" s="84" t="str">
        <x:f>PROPER(TRIM('Raw Sales'!N769))</x:f>
        <x:v>Leo Martinez</x:v>
      </x:c>
      <x:c r="AC769" s="85" t="n">
        <x:f>'Raw Sales'!O769</x:f>
        <x:v>45568</x:v>
      </x:c>
      <x:c r="AD769" s="84" t="n">
        <x:f>AC769-B769</x:f>
        <x:v>0</x:v>
      </x:c>
      <x:c r="AE769" s="84" t="str">
        <x:f>IF(COUNTIF($A$5:A769,A769)&gt;1,"Duplicate","Keep")</x:f>
        <x:v>Keep</x:v>
      </x:c>
      <x:c r="AF769" s="84" t="str">
        <x:f>IF(OR(R769&lt;=0,AC769&lt;B769,H769="Unknown",M769="Unknown Product"),"Review","Valid")</x:f>
        <x:v>Valid</x:v>
      </x:c>
      <x:c r="AG769" s="84" t="n">
        <x:f>IF(AND(AE769="Keep",AF769="Valid"),1,0)</x:f>
        <x:v>1</x:v>
      </x:c>
      <x:c r="AH769" s="84" t="n">
        <x:f>IF(AND(AG769=1,OR('Dashboard'!$B$4="All",I769='Dashboard'!$B$4),OR('Dashboard'!$E$4="All",N769='Dashboard'!$E$4),OR('Dashboard'!$H$4="All",K769='Dashboard'!$H$4),OR('Dashboard'!$K$4="All",C769='Dashboard'!$K$4)),1,0)</x:f>
        <x:v>1</x:v>
      </x:c>
      <x:c r="AI769" s="84" t="n">
        <x:f>IF(AND(AG769=1,OR('Dashboard'!$B$4="All",I769='Dashboard'!$B$4),OR('Dashboard'!$E$4="All",N769='Dashboard'!$E$4),OR('Dashboard'!$H$4="All",K769='Dashboard'!$H$4)),1,0)</x:f>
        <x:v>1</x:v>
      </x:c>
    </x:row>
    <x:row r="770">
      <x:c r="A770" s="84" t="str">
        <x:f>'Raw Sales'!A770</x:f>
        <x:v>ORD-2024-02302</x:v>
      </x:c>
      <x:c r="B770" s="85" t="n">
        <x:f>'Raw Sales'!B770</x:f>
        <x:v>45568</x:v>
      </x:c>
      <x:c r="C770" s="84" t="n">
        <x:f>YEAR(B770)</x:f>
        <x:v>2024</x:v>
      </x:c>
      <x:c r="D770" s="91" t="n">
        <x:f>DATE(YEAR(B770),MONTH(B770),1)</x:f>
        <x:v>45566</x:v>
      </x:c>
      <x:c r="E770" s="84" t="str">
        <x:f>TEXT(B770,"mmm")</x:f>
        <x:v>Oct</x:v>
      </x:c>
      <x:c r="F770" s="84" t="str">
        <x:f>'Raw Sales'!C770</x:f>
        <x:v>CUST-0256</x:v>
      </x:c>
      <x:c r="G770" s="84" t="str">
        <x:f>PROPER(TRIM('Raw Sales'!D770))</x:f>
        <x:v>Elena Foster</x:v>
      </x:c>
      <x:c r="H770" s="84" t="str">
        <x:f>IF(TRIM('Raw Sales'!E770)="","Unknown",PROPER(TRIM('Raw Sales'!E770)))</x:f>
        <x:v>Consumer</x:v>
      </x:c>
      <x:c r="I770" s="84" t="str">
        <x:f>PROPER(TRIM('Raw Sales'!F770))</x:f>
        <x:v>Midwest</x:v>
      </x:c>
      <x:c r="J770" s="84" t="str">
        <x:f>PROPER(TRIM('Raw Sales'!G770))</x:f>
        <x:v>Detroit</x:v>
      </x:c>
      <x:c r="K770" s="84" t="str">
        <x:f>PROPER(TRIM('Raw Sales'!H770))</x:f>
        <x:v>Retail Store</x:v>
      </x:c>
      <x:c r="L770" s="84" t="str">
        <x:f>'Raw Sales'!I770</x:f>
        <x:v>FITN-001</x:v>
      </x:c>
      <x:c r="M770" s="84" t="str">
        <x:f>IFERROR(VLOOKUP(L770,'Reference Data'!$A$5:$F$40,2,FALSE),"Unknown Product")</x:f>
        <x:v>Yoga Mat</x:v>
      </x:c>
      <x:c r="N770" s="84" t="str">
        <x:f>IFERROR(VLOOKUP(L770,'Reference Data'!$A$5:$F$40,3,FALSE),"Unknown")</x:f>
        <x:v>Fitness</x:v>
      </x:c>
      <x:c r="O770" s="84" t="str">
        <x:f>IFERROR(VLOOKUP(L770,'Reference Data'!$A$5:$F$40,4,FALSE),"Unknown")</x:f>
        <x:v>Yoga</x:v>
      </x:c>
      <x:c r="P770" s="92" t="n">
        <x:f>IFERROR(VLOOKUP(L770,'Reference Data'!$A$5:$F$40,5,FALSE),0)</x:f>
        <x:v>35</x:v>
      </x:c>
      <x:c r="Q770" s="92" t="n">
        <x:f>IFERROR(VLOOKUP(L770,'Reference Data'!$A$5:$F$40,6,FALSE),0)</x:f>
        <x:v>13</x:v>
      </x:c>
      <x:c r="R770" s="84" t="n">
        <x:f>'Raw Sales'!J770</x:f>
        <x:v>1</x:v>
      </x:c>
      <x:c r="S770" s="87" t="n">
        <x:f>'Raw Sales'!K770</x:f>
        <x:v>0.05</x:v>
      </x:c>
      <x:c r="T770" s="93" t="n">
        <x:f>P770*R770</x:f>
        <x:v>35</x:v>
      </x:c>
      <x:c r="U770" s="93" t="n">
        <x:f>T770*S770</x:f>
        <x:v>1.75</x:v>
      </x:c>
      <x:c r="V770" s="93" t="str">
        <x:f>PROPER(TRIM('Raw Sales'!L770))</x:f>
        <x:v>Completed</x:v>
      </x:c>
      <x:c r="W770" s="93" t="n">
        <x:f>IF(V770="Returned",0,T770-U770)</x:f>
        <x:v>33.25</x:v>
      </x:c>
      <x:c r="X770" s="93" t="n">
        <x:f>IF(V770="Returned",Q770*R770*10%,Q770*R770)</x:f>
        <x:v>13</x:v>
      </x:c>
      <x:c r="Y770" s="93" t="n">
        <x:f>W770-X770</x:f>
        <x:v>20.25</x:v>
      </x:c>
      <x:c r="Z770" s="94" t="n">
        <x:f>IFERROR(Y770/W770,0)</x:f>
        <x:v>0.6090225563909775</x:v>
      </x:c>
      <x:c r="AA770" s="84" t="str">
        <x:f>PROPER(TRIM('Raw Sales'!M770))</x:f>
        <x:v>Credit Card</x:v>
      </x:c>
      <x:c r="AB770" s="84" t="str">
        <x:f>PROPER(TRIM('Raw Sales'!N770))</x:f>
        <x:v>Emma Hayes</x:v>
      </x:c>
      <x:c r="AC770" s="85" t="n">
        <x:f>'Raw Sales'!O770</x:f>
        <x:v>45569</x:v>
      </x:c>
      <x:c r="AD770" s="84" t="n">
        <x:f>AC770-B770</x:f>
        <x:v>1</x:v>
      </x:c>
      <x:c r="AE770" s="84" t="str">
        <x:f>IF(COUNTIF($A$5:A770,A770)&gt;1,"Duplicate","Keep")</x:f>
        <x:v>Keep</x:v>
      </x:c>
      <x:c r="AF770" s="84" t="str">
        <x:f>IF(OR(R770&lt;=0,AC770&lt;B770,H770="Unknown",M770="Unknown Product"),"Review","Valid")</x:f>
        <x:v>Valid</x:v>
      </x:c>
      <x:c r="AG770" s="84" t="n">
        <x:f>IF(AND(AE770="Keep",AF770="Valid"),1,0)</x:f>
        <x:v>1</x:v>
      </x:c>
      <x:c r="AH770" s="84" t="n">
        <x:f>IF(AND(AG770=1,OR('Dashboard'!$B$4="All",I770='Dashboard'!$B$4),OR('Dashboard'!$E$4="All",N770='Dashboard'!$E$4),OR('Dashboard'!$H$4="All",K770='Dashboard'!$H$4),OR('Dashboard'!$K$4="All",C770='Dashboard'!$K$4)),1,0)</x:f>
        <x:v>1</x:v>
      </x:c>
      <x:c r="AI770" s="84" t="n">
        <x:f>IF(AND(AG770=1,OR('Dashboard'!$B$4="All",I770='Dashboard'!$B$4),OR('Dashboard'!$E$4="All",N770='Dashboard'!$E$4),OR('Dashboard'!$H$4="All",K770='Dashboard'!$H$4)),1,0)</x:f>
        <x:v>1</x:v>
      </x:c>
    </x:row>
    <x:row r="771">
      <x:c r="A771" s="84" t="str">
        <x:f>'Raw Sales'!A771</x:f>
        <x:v>ORD-2024-00699</x:v>
      </x:c>
      <x:c r="B771" s="85" t="n">
        <x:f>'Raw Sales'!B771</x:f>
        <x:v>45569</x:v>
      </x:c>
      <x:c r="C771" s="84" t="n">
        <x:f>YEAR(B771)</x:f>
        <x:v>2024</x:v>
      </x:c>
      <x:c r="D771" s="91" t="n">
        <x:f>DATE(YEAR(B771),MONTH(B771),1)</x:f>
        <x:v>45566</x:v>
      </x:c>
      <x:c r="E771" s="84" t="str">
        <x:f>TEXT(B771,"mmm")</x:f>
        <x:v>Oct</x:v>
      </x:c>
      <x:c r="F771" s="84" t="str">
        <x:f>'Raw Sales'!C771</x:f>
        <x:v>CUST-0113</x:v>
      </x:c>
      <x:c r="G771" s="84" t="str">
        <x:f>PROPER(TRIM('Raw Sales'!D771))</x:f>
        <x:v>Amelia Patel</x:v>
      </x:c>
      <x:c r="H771" s="84" t="str">
        <x:f>IF(TRIM('Raw Sales'!E771)="","Unknown",PROPER(TRIM('Raw Sales'!E771)))</x:f>
        <x:v>Consumer</x:v>
      </x:c>
      <x:c r="I771" s="84" t="str">
        <x:f>PROPER(TRIM('Raw Sales'!F771))</x:f>
        <x:v>Southeast</x:v>
      </x:c>
      <x:c r="J771" s="84" t="str">
        <x:f>PROPER(TRIM('Raw Sales'!G771))</x:f>
        <x:v>Atlanta</x:v>
      </x:c>
      <x:c r="K771" s="84" t="str">
        <x:f>PROPER(TRIM('Raw Sales'!H771))</x:f>
        <x:v>Marketplace</x:v>
      </x:c>
      <x:c r="L771" s="84" t="str">
        <x:f>'Raw Sales'!I771</x:f>
        <x:v>OFFC-002</x:v>
      </x:c>
      <x:c r="M771" s="84" t="str">
        <x:f>IFERROR(VLOOKUP(L771,'Reference Data'!$A$5:$F$40,2,FALSE),"Unknown Product")</x:f>
        <x:v>Standing Desk</x:v>
      </x:c>
      <x:c r="N771" s="84" t="str">
        <x:f>IFERROR(VLOOKUP(L771,'Reference Data'!$A$5:$F$40,3,FALSE),"Unknown")</x:f>
        <x:v>Office</x:v>
      </x:c>
      <x:c r="O771" s="84" t="str">
        <x:f>IFERROR(VLOOKUP(L771,'Reference Data'!$A$5:$F$40,4,FALSE),"Unknown")</x:f>
        <x:v>Furniture</x:v>
      </x:c>
      <x:c r="P771" s="92" t="n">
        <x:f>IFERROR(VLOOKUP(L771,'Reference Data'!$A$5:$F$40,5,FALSE),0)</x:f>
        <x:v>399</x:v>
      </x:c>
      <x:c r="Q771" s="92" t="n">
        <x:f>IFERROR(VLOOKUP(L771,'Reference Data'!$A$5:$F$40,6,FALSE),0)</x:f>
        <x:v>235</x:v>
      </x:c>
      <x:c r="R771" s="84" t="n">
        <x:f>'Raw Sales'!J771</x:f>
        <x:v>1</x:v>
      </x:c>
      <x:c r="S771" s="87" t="n">
        <x:f>'Raw Sales'!K771</x:f>
        <x:v>0.15</x:v>
      </x:c>
      <x:c r="T771" s="93" t="n">
        <x:f>P771*R771</x:f>
        <x:v>399</x:v>
      </x:c>
      <x:c r="U771" s="93" t="n">
        <x:f>T771*S771</x:f>
        <x:v>59.849999999999994</x:v>
      </x:c>
      <x:c r="V771" s="93" t="str">
        <x:f>PROPER(TRIM('Raw Sales'!L771))</x:f>
        <x:v>Completed</x:v>
      </x:c>
      <x:c r="W771" s="93" t="n">
        <x:f>IF(V771="Returned",0,T771-U771)</x:f>
        <x:v>339.15</x:v>
      </x:c>
      <x:c r="X771" s="93" t="n">
        <x:f>IF(V771="Returned",Q771*R771*10%,Q771*R771)</x:f>
        <x:v>235</x:v>
      </x:c>
      <x:c r="Y771" s="93" t="n">
        <x:f>W771-X771</x:f>
        <x:v>104.14999999999998</x:v>
      </x:c>
      <x:c r="Z771" s="94" t="n">
        <x:f>IFERROR(Y771/W771,0)</x:f>
        <x:v>0.3070912575556538</x:v>
      </x:c>
      <x:c r="AA771" s="84" t="str">
        <x:f>PROPER(TRIM('Raw Sales'!M771))</x:f>
        <x:v>Paypal</x:v>
      </x:c>
      <x:c r="AB771" s="84" t="str">
        <x:f>PROPER(TRIM('Raw Sales'!N771))</x:f>
        <x:v>Noah Reed</x:v>
      </x:c>
      <x:c r="AC771" s="85" t="n">
        <x:f>'Raw Sales'!O771</x:f>
        <x:v>45576</x:v>
      </x:c>
      <x:c r="AD771" s="84" t="n">
        <x:f>AC771-B771</x:f>
        <x:v>7</x:v>
      </x:c>
      <x:c r="AE771" s="84" t="str">
        <x:f>IF(COUNTIF($A$5:A771,A771)&gt;1,"Duplicate","Keep")</x:f>
        <x:v>Keep</x:v>
      </x:c>
      <x:c r="AF771" s="84" t="str">
        <x:f>IF(OR(R771&lt;=0,AC771&lt;B771,H771="Unknown",M771="Unknown Product"),"Review","Valid")</x:f>
        <x:v>Valid</x:v>
      </x:c>
      <x:c r="AG771" s="84" t="n">
        <x:f>IF(AND(AE771="Keep",AF771="Valid"),1,0)</x:f>
        <x:v>1</x:v>
      </x:c>
      <x:c r="AH771" s="84" t="n">
        <x:f>IF(AND(AG771=1,OR('Dashboard'!$B$4="All",I771='Dashboard'!$B$4),OR('Dashboard'!$E$4="All",N771='Dashboard'!$E$4),OR('Dashboard'!$H$4="All",K771='Dashboard'!$H$4),OR('Dashboard'!$K$4="All",C771='Dashboard'!$K$4)),1,0)</x:f>
        <x:v>1</x:v>
      </x:c>
      <x:c r="AI771" s="84" t="n">
        <x:f>IF(AND(AG771=1,OR('Dashboard'!$B$4="All",I771='Dashboard'!$B$4),OR('Dashboard'!$E$4="All",N771='Dashboard'!$E$4),OR('Dashboard'!$H$4="All",K771='Dashboard'!$H$4)),1,0)</x:f>
        <x:v>1</x:v>
      </x:c>
    </x:row>
    <x:row r="772">
      <x:c r="A772" s="84" t="str">
        <x:f>'Raw Sales'!A772</x:f>
        <x:v>ORD-2024-00844</x:v>
      </x:c>
      <x:c r="B772" s="85" t="n">
        <x:f>'Raw Sales'!B772</x:f>
        <x:v>45569</x:v>
      </x:c>
      <x:c r="C772" s="84" t="n">
        <x:f>YEAR(B772)</x:f>
        <x:v>2024</x:v>
      </x:c>
      <x:c r="D772" s="91" t="n">
        <x:f>DATE(YEAR(B772),MONTH(B772),1)</x:f>
        <x:v>45566</x:v>
      </x:c>
      <x:c r="E772" s="84" t="str">
        <x:f>TEXT(B772,"mmm")</x:f>
        <x:v>Oct</x:v>
      </x:c>
      <x:c r="F772" s="84" t="str">
        <x:f>'Raw Sales'!C772</x:f>
        <x:v>CUST-0574</x:v>
      </x:c>
      <x:c r="G772" s="84" t="str">
        <x:f>PROPER(TRIM('Raw Sales'!D772))</x:f>
        <x:v>Grace Quinn</x:v>
      </x:c>
      <x:c r="H772" s="84" t="str">
        <x:f>IF(TRIM('Raw Sales'!E772)="","Unknown",PROPER(TRIM('Raw Sales'!E772)))</x:f>
        <x:v>Corporate</x:v>
      </x:c>
      <x:c r="I772" s="84" t="str">
        <x:f>PROPER(TRIM('Raw Sales'!F772))</x:f>
        <x:v>Northeast</x:v>
      </x:c>
      <x:c r="J772" s="84" t="str">
        <x:f>PROPER(TRIM('Raw Sales'!G772))</x:f>
        <x:v>New York</x:v>
      </x:c>
      <x:c r="K772" s="84" t="str">
        <x:f>PROPER(TRIM('Raw Sales'!H772))</x:f>
        <x:v>Online</x:v>
      </x:c>
      <x:c r="L772" s="84" t="str">
        <x:f>'Raw Sales'!I772</x:f>
        <x:v>FITN-003</x:v>
      </x:c>
      <x:c r="M772" s="84" t="str">
        <x:f>IFERROR(VLOOKUP(L772,'Reference Data'!$A$5:$F$40,2,FALSE),"Unknown Product")</x:f>
        <x:v>Resistance Band Set</x:v>
      </x:c>
      <x:c r="N772" s="84" t="str">
        <x:f>IFERROR(VLOOKUP(L772,'Reference Data'!$A$5:$F$40,3,FALSE),"Unknown")</x:f>
        <x:v>Fitness</x:v>
      </x:c>
      <x:c r="O772" s="84" t="str">
        <x:f>IFERROR(VLOOKUP(L772,'Reference Data'!$A$5:$F$40,4,FALSE),"Unknown")</x:f>
        <x:v>Strength</x:v>
      </x:c>
      <x:c r="P772" s="92" t="n">
        <x:f>IFERROR(VLOOKUP(L772,'Reference Data'!$A$5:$F$40,5,FALSE),0)</x:f>
        <x:v>24</x:v>
      </x:c>
      <x:c r="Q772" s="92" t="n">
        <x:f>IFERROR(VLOOKUP(L772,'Reference Data'!$A$5:$F$40,6,FALSE),0)</x:f>
        <x:v>8</x:v>
      </x:c>
      <x:c r="R772" s="84" t="n">
        <x:f>'Raw Sales'!J772</x:f>
        <x:v>8</x:v>
      </x:c>
      <x:c r="S772" s="87" t="n">
        <x:f>'Raw Sales'!K772</x:f>
        <x:v>0.1</x:v>
      </x:c>
      <x:c r="T772" s="93" t="n">
        <x:f>P772*R772</x:f>
        <x:v>192</x:v>
      </x:c>
      <x:c r="U772" s="93" t="n">
        <x:f>T772*S772</x:f>
        <x:v>19.200000000000003</x:v>
      </x:c>
      <x:c r="V772" s="93" t="str">
        <x:f>PROPER(TRIM('Raw Sales'!L772))</x:f>
        <x:v>Completed</x:v>
      </x:c>
      <x:c r="W772" s="93" t="n">
        <x:f>IF(V772="Returned",0,T772-U772)</x:f>
        <x:v>172.8</x:v>
      </x:c>
      <x:c r="X772" s="93" t="n">
        <x:f>IF(V772="Returned",Q772*R772*10%,Q772*R772)</x:f>
        <x:v>64</x:v>
      </x:c>
      <x:c r="Y772" s="93" t="n">
        <x:f>W772-X772</x:f>
        <x:v>108.80000000000001</x:v>
      </x:c>
      <x:c r="Z772" s="94" t="n">
        <x:f>IFERROR(Y772/W772,0)</x:f>
        <x:v>0.6296296296296297</x:v>
      </x:c>
      <x:c r="AA772" s="84" t="str">
        <x:f>PROPER(TRIM('Raw Sales'!M772))</x:f>
        <x:v>Mobile Wallet</x:v>
      </x:c>
      <x:c r="AB772" s="84" t="str">
        <x:f>PROPER(TRIM('Raw Sales'!N772))</x:f>
        <x:v>Ethan Cole</x:v>
      </x:c>
      <x:c r="AC772" s="85" t="n">
        <x:f>'Raw Sales'!O772</x:f>
        <x:v>45573</x:v>
      </x:c>
      <x:c r="AD772" s="84" t="n">
        <x:f>AC772-B772</x:f>
        <x:v>4</x:v>
      </x:c>
      <x:c r="AE772" s="84" t="str">
        <x:f>IF(COUNTIF($A$5:A772,A772)&gt;1,"Duplicate","Keep")</x:f>
        <x:v>Keep</x:v>
      </x:c>
      <x:c r="AF772" s="84" t="str">
        <x:f>IF(OR(R772&lt;=0,AC772&lt;B772,H772="Unknown",M772="Unknown Product"),"Review","Valid")</x:f>
        <x:v>Valid</x:v>
      </x:c>
      <x:c r="AG772" s="84" t="n">
        <x:f>IF(AND(AE772="Keep",AF772="Valid"),1,0)</x:f>
        <x:v>1</x:v>
      </x:c>
      <x:c r="AH772" s="84" t="n">
        <x:f>IF(AND(AG772=1,OR('Dashboard'!$B$4="All",I772='Dashboard'!$B$4),OR('Dashboard'!$E$4="All",N772='Dashboard'!$E$4),OR('Dashboard'!$H$4="All",K772='Dashboard'!$H$4),OR('Dashboard'!$K$4="All",C772='Dashboard'!$K$4)),1,0)</x:f>
        <x:v>1</x:v>
      </x:c>
      <x:c r="AI772" s="84" t="n">
        <x:f>IF(AND(AG772=1,OR('Dashboard'!$B$4="All",I772='Dashboard'!$B$4),OR('Dashboard'!$E$4="All",N772='Dashboard'!$E$4),OR('Dashboard'!$H$4="All",K772='Dashboard'!$H$4)),1,0)</x:f>
        <x:v>1</x:v>
      </x:c>
    </x:row>
    <x:row r="773">
      <x:c r="A773" s="84" t="str">
        <x:f>'Raw Sales'!A773</x:f>
        <x:v>ORD-2024-01108</x:v>
      </x:c>
      <x:c r="B773" s="85" t="n">
        <x:f>'Raw Sales'!B773</x:f>
        <x:v>45569</x:v>
      </x:c>
      <x:c r="C773" s="84" t="n">
        <x:f>YEAR(B773)</x:f>
        <x:v>2024</x:v>
      </x:c>
      <x:c r="D773" s="91" t="n">
        <x:f>DATE(YEAR(B773),MONTH(B773),1)</x:f>
        <x:v>45566</x:v>
      </x:c>
      <x:c r="E773" s="84" t="str">
        <x:f>TEXT(B773,"mmm")</x:f>
        <x:v>Oct</x:v>
      </x:c>
      <x:c r="F773" s="84" t="str">
        <x:f>'Raw Sales'!C773</x:f>
        <x:v>CUST-0331</x:v>
      </x:c>
      <x:c r="G773" s="84" t="str">
        <x:f>PROPER(TRIM('Raw Sales'!D773))</x:f>
        <x:v>Elias Young</x:v>
      </x:c>
      <x:c r="H773" s="84" t="str">
        <x:f>IF(TRIM('Raw Sales'!E773)="","Unknown",PROPER(TRIM('Raw Sales'!E773)))</x:f>
        <x:v>Consumer</x:v>
      </x:c>
      <x:c r="I773" s="84" t="str">
        <x:f>PROPER(TRIM('Raw Sales'!F773))</x:f>
        <x:v>West</x:v>
      </x:c>
      <x:c r="J773" s="84" t="str">
        <x:f>PROPER(TRIM('Raw Sales'!G773))</x:f>
        <x:v>Seattle</x:v>
      </x:c>
      <x:c r="K773" s="84" t="str">
        <x:f>PROPER(TRIM('Raw Sales'!H773))</x:f>
        <x:v>Online</x:v>
      </x:c>
      <x:c r="L773" s="84" t="str">
        <x:f>'Raw Sales'!I773</x:f>
        <x:v>OFFC-005</x:v>
      </x:c>
      <x:c r="M773" s="84" t="str">
        <x:f>IFERROR(VLOOKUP(L773,'Reference Data'!$A$5:$F$40,2,FALSE),"Unknown Product")</x:f>
        <x:v>Wireless Keyboard</x:v>
      </x:c>
      <x:c r="N773" s="84" t="str">
        <x:f>IFERROR(VLOOKUP(L773,'Reference Data'!$A$5:$F$40,3,FALSE),"Unknown")</x:f>
        <x:v>Office</x:v>
      </x:c>
      <x:c r="O773" s="84" t="str">
        <x:f>IFERROR(VLOOKUP(L773,'Reference Data'!$A$5:$F$40,4,FALSE),"Unknown")</x:f>
        <x:v>Computer Accessories</x:v>
      </x:c>
      <x:c r="P773" s="92" t="n">
        <x:f>IFERROR(VLOOKUP(L773,'Reference Data'!$A$5:$F$40,5,FALSE),0)</x:f>
        <x:v>59</x:v>
      </x:c>
      <x:c r="Q773" s="92" t="n">
        <x:f>IFERROR(VLOOKUP(L773,'Reference Data'!$A$5:$F$40,6,FALSE),0)</x:f>
        <x:v>28</x:v>
      </x:c>
      <x:c r="R773" s="84" t="n">
        <x:f>'Raw Sales'!J773</x:f>
        <x:v>3</x:v>
      </x:c>
      <x:c r="S773" s="87" t="n">
        <x:f>'Raw Sales'!K773</x:f>
        <x:v>0</x:v>
      </x:c>
      <x:c r="T773" s="93" t="n">
        <x:f>P773*R773</x:f>
        <x:v>177</x:v>
      </x:c>
      <x:c r="U773" s="93" t="n">
        <x:f>T773*S773</x:f>
        <x:v>0</x:v>
      </x:c>
      <x:c r="V773" s="93" t="str">
        <x:f>PROPER(TRIM('Raw Sales'!L773))</x:f>
        <x:v>Completed</x:v>
      </x:c>
      <x:c r="W773" s="93" t="n">
        <x:f>IF(V773="Returned",0,T773-U773)</x:f>
        <x:v>177</x:v>
      </x:c>
      <x:c r="X773" s="93" t="n">
        <x:f>IF(V773="Returned",Q773*R773*10%,Q773*R773)</x:f>
        <x:v>84</x:v>
      </x:c>
      <x:c r="Y773" s="93" t="n">
        <x:f>W773-X773</x:f>
        <x:v>93</x:v>
      </x:c>
      <x:c r="Z773" s="94" t="n">
        <x:f>IFERROR(Y773/W773,0)</x:f>
        <x:v>0.5254237288135594</x:v>
      </x:c>
      <x:c r="AA773" s="84" t="str">
        <x:f>PROPER(TRIM('Raw Sales'!M773))</x:f>
        <x:v>Mobile Wallet</x:v>
      </x:c>
      <x:c r="AB773" s="84" t="str">
        <x:f>PROPER(TRIM('Raw Sales'!N773))</x:f>
        <x:v>Leo Martinez</x:v>
      </x:c>
      <x:c r="AC773" s="85" t="n">
        <x:f>'Raw Sales'!O773</x:f>
        <x:v>45572</x:v>
      </x:c>
      <x:c r="AD773" s="84" t="n">
        <x:f>AC773-B773</x:f>
        <x:v>3</x:v>
      </x:c>
      <x:c r="AE773" s="84" t="str">
        <x:f>IF(COUNTIF($A$5:A773,A773)&gt;1,"Duplicate","Keep")</x:f>
        <x:v>Keep</x:v>
      </x:c>
      <x:c r="AF773" s="84" t="str">
        <x:f>IF(OR(R773&lt;=0,AC773&lt;B773,H773="Unknown",M773="Unknown Product"),"Review","Valid")</x:f>
        <x:v>Valid</x:v>
      </x:c>
      <x:c r="AG773" s="84" t="n">
        <x:f>IF(AND(AE773="Keep",AF773="Valid"),1,0)</x:f>
        <x:v>1</x:v>
      </x:c>
      <x:c r="AH773" s="84" t="n">
        <x:f>IF(AND(AG773=1,OR('Dashboard'!$B$4="All",I773='Dashboard'!$B$4),OR('Dashboard'!$E$4="All",N773='Dashboard'!$E$4),OR('Dashboard'!$H$4="All",K773='Dashboard'!$H$4),OR('Dashboard'!$K$4="All",C773='Dashboard'!$K$4)),1,0)</x:f>
        <x:v>1</x:v>
      </x:c>
      <x:c r="AI773" s="84" t="n">
        <x:f>IF(AND(AG773=1,OR('Dashboard'!$B$4="All",I773='Dashboard'!$B$4),OR('Dashboard'!$E$4="All",N773='Dashboard'!$E$4),OR('Dashboard'!$H$4="All",K773='Dashboard'!$H$4)),1,0)</x:f>
        <x:v>1</x:v>
      </x:c>
    </x:row>
    <x:row r="774">
      <x:c r="A774" s="84" t="str">
        <x:f>'Raw Sales'!A774</x:f>
        <x:v>ORD-2024-01427</x:v>
      </x:c>
      <x:c r="B774" s="85" t="n">
        <x:f>'Raw Sales'!B774</x:f>
        <x:v>45569</x:v>
      </x:c>
      <x:c r="C774" s="84" t="n">
        <x:f>YEAR(B774)</x:f>
        <x:v>2024</x:v>
      </x:c>
      <x:c r="D774" s="91" t="n">
        <x:f>DATE(YEAR(B774),MONTH(B774),1)</x:f>
        <x:v>45566</x:v>
      </x:c>
      <x:c r="E774" s="84" t="str">
        <x:f>TEXT(B774,"mmm")</x:f>
        <x:v>Oct</x:v>
      </x:c>
      <x:c r="F774" s="84" t="str">
        <x:f>'Raw Sales'!C774</x:f>
        <x:v>CUST-0359</x:v>
      </x:c>
      <x:c r="G774" s="84" t="str">
        <x:f>PROPER(TRIM('Raw Sales'!D774))</x:f>
        <x:v>Daniel Hall</x:v>
      </x:c>
      <x:c r="H774" s="84" t="str">
        <x:f>IF(TRIM('Raw Sales'!E774)="","Unknown",PROPER(TRIM('Raw Sales'!E774)))</x:f>
        <x:v>Small Business</x:v>
      </x:c>
      <x:c r="I774" s="84" t="str">
        <x:f>PROPER(TRIM('Raw Sales'!F774))</x:f>
        <x:v>West</x:v>
      </x:c>
      <x:c r="J774" s="84" t="str">
        <x:f>PROPER(TRIM('Raw Sales'!G774))</x:f>
        <x:v>Seattle</x:v>
      </x:c>
      <x:c r="K774" s="84" t="str">
        <x:f>PROPER(TRIM('Raw Sales'!H774))</x:f>
        <x:v>Online</x:v>
      </x:c>
      <x:c r="L774" s="84" t="str">
        <x:f>'Raw Sales'!I774</x:f>
        <x:v>OFFC-001</x:v>
      </x:c>
      <x:c r="M774" s="84" t="str">
        <x:f>IFERROR(VLOOKUP(L774,'Reference Data'!$A$5:$F$40,2,FALSE),"Unknown Product")</x:f>
        <x:v>Ergonomic Chair</x:v>
      </x:c>
      <x:c r="N774" s="84" t="str">
        <x:f>IFERROR(VLOOKUP(L774,'Reference Data'!$A$5:$F$40,3,FALSE),"Unknown")</x:f>
        <x:v>Office</x:v>
      </x:c>
      <x:c r="O774" s="84" t="str">
        <x:f>IFERROR(VLOOKUP(L774,'Reference Data'!$A$5:$F$40,4,FALSE),"Unknown")</x:f>
        <x:v>Furniture</x:v>
      </x:c>
      <x:c r="P774" s="92" t="n">
        <x:f>IFERROR(VLOOKUP(L774,'Reference Data'!$A$5:$F$40,5,FALSE),0)</x:f>
        <x:v>249</x:v>
      </x:c>
      <x:c r="Q774" s="92" t="n">
        <x:f>IFERROR(VLOOKUP(L774,'Reference Data'!$A$5:$F$40,6,FALSE),0)</x:f>
        <x:v>145</x:v>
      </x:c>
      <x:c r="R774" s="84" t="n">
        <x:f>'Raw Sales'!J774</x:f>
        <x:v>1</x:v>
      </x:c>
      <x:c r="S774" s="87" t="n">
        <x:f>'Raw Sales'!K774</x:f>
        <x:v>0</x:v>
      </x:c>
      <x:c r="T774" s="93" t="n">
        <x:f>P774*R774</x:f>
        <x:v>249</x:v>
      </x:c>
      <x:c r="U774" s="93" t="n">
        <x:f>T774*S774</x:f>
        <x:v>0</x:v>
      </x:c>
      <x:c r="V774" s="93" t="str">
        <x:f>PROPER(TRIM('Raw Sales'!L774))</x:f>
        <x:v>Completed</x:v>
      </x:c>
      <x:c r="W774" s="93" t="n">
        <x:f>IF(V774="Returned",0,T774-U774)</x:f>
        <x:v>249</x:v>
      </x:c>
      <x:c r="X774" s="93" t="n">
        <x:f>IF(V774="Returned",Q774*R774*10%,Q774*R774)</x:f>
        <x:v>145</x:v>
      </x:c>
      <x:c r="Y774" s="93" t="n">
        <x:f>W774-X774</x:f>
        <x:v>104</x:v>
      </x:c>
      <x:c r="Z774" s="94" t="n">
        <x:f>IFERROR(Y774/W774,0)</x:f>
        <x:v>0.41767068273092367</x:v>
      </x:c>
      <x:c r="AA774" s="84" t="str">
        <x:f>PROPER(TRIM('Raw Sales'!M774))</x:f>
        <x:v>Debit Card</x:v>
      </x:c>
      <x:c r="AB774" s="84" t="str">
        <x:f>PROPER(TRIM('Raw Sales'!N774))</x:f>
        <x:v>Leo Martinez</x:v>
      </x:c>
      <x:c r="AC774" s="85" t="n">
        <x:f>'Raw Sales'!O774</x:f>
        <x:v>45574</x:v>
      </x:c>
      <x:c r="AD774" s="84" t="n">
        <x:f>AC774-B774</x:f>
        <x:v>5</x:v>
      </x:c>
      <x:c r="AE774" s="84" t="str">
        <x:f>IF(COUNTIF($A$5:A774,A774)&gt;1,"Duplicate","Keep")</x:f>
        <x:v>Keep</x:v>
      </x:c>
      <x:c r="AF774" s="84" t="str">
        <x:f>IF(OR(R774&lt;=0,AC774&lt;B774,H774="Unknown",M774="Unknown Product"),"Review","Valid")</x:f>
        <x:v>Valid</x:v>
      </x:c>
      <x:c r="AG774" s="84" t="n">
        <x:f>IF(AND(AE774="Keep",AF774="Valid"),1,0)</x:f>
        <x:v>1</x:v>
      </x:c>
      <x:c r="AH774" s="84" t="n">
        <x:f>IF(AND(AG774=1,OR('Dashboard'!$B$4="All",I774='Dashboard'!$B$4),OR('Dashboard'!$E$4="All",N774='Dashboard'!$E$4),OR('Dashboard'!$H$4="All",K774='Dashboard'!$H$4),OR('Dashboard'!$K$4="All",C774='Dashboard'!$K$4)),1,0)</x:f>
        <x:v>1</x:v>
      </x:c>
      <x:c r="AI774" s="84" t="n">
        <x:f>IF(AND(AG774=1,OR('Dashboard'!$B$4="All",I774='Dashboard'!$B$4),OR('Dashboard'!$E$4="All",N774='Dashboard'!$E$4),OR('Dashboard'!$H$4="All",K774='Dashboard'!$H$4)),1,0)</x:f>
        <x:v>1</x:v>
      </x:c>
    </x:row>
    <x:row r="775">
      <x:c r="A775" s="84" t="str">
        <x:f>'Raw Sales'!A775</x:f>
        <x:v>ORD-2024-01739</x:v>
      </x:c>
      <x:c r="B775" s="85" t="n">
        <x:f>'Raw Sales'!B775</x:f>
        <x:v>45569</x:v>
      </x:c>
      <x:c r="C775" s="84" t="n">
        <x:f>YEAR(B775)</x:f>
        <x:v>2024</x:v>
      </x:c>
      <x:c r="D775" s="91" t="n">
        <x:f>DATE(YEAR(B775),MONTH(B775),1)</x:f>
        <x:v>45566</x:v>
      </x:c>
      <x:c r="E775" s="84" t="str">
        <x:f>TEXT(B775,"mmm")</x:f>
        <x:v>Oct</x:v>
      </x:c>
      <x:c r="F775" s="84" t="str">
        <x:f>'Raw Sales'!C775</x:f>
        <x:v>CUST-0028</x:v>
      </x:c>
      <x:c r="G775" s="84" t="str">
        <x:f>PROPER(TRIM('Raw Sales'!D775))</x:f>
        <x:v>Theo Roberts</x:v>
      </x:c>
      <x:c r="H775" s="84" t="str">
        <x:f>IF(TRIM('Raw Sales'!E775)="","Unknown",PROPER(TRIM('Raw Sales'!E775)))</x:f>
        <x:v>Consumer</x:v>
      </x:c>
      <x:c r="I775" s="84" t="str">
        <x:f>PROPER(TRIM('Raw Sales'!F775))</x:f>
        <x:v>Northeast</x:v>
      </x:c>
      <x:c r="J775" s="84" t="str">
        <x:f>PROPER(TRIM('Raw Sales'!G775))</x:f>
        <x:v>Newark</x:v>
      </x:c>
      <x:c r="K775" s="84" t="str">
        <x:f>PROPER(TRIM('Raw Sales'!H775))</x:f>
        <x:v>Marketplace</x:v>
      </x:c>
      <x:c r="L775" s="84" t="str">
        <x:f>'Raw Sales'!I775</x:f>
        <x:v>ELEC-002</x:v>
      </x:c>
      <x:c r="M775" s="84" t="str">
        <x:f>IFERROR(VLOOKUP(L775,'Reference Data'!$A$5:$F$40,2,FALSE),"Unknown Product")</x:f>
        <x:v>Smartwatch</x:v>
      </x:c>
      <x:c r="N775" s="84" t="str">
        <x:f>IFERROR(VLOOKUP(L775,'Reference Data'!$A$5:$F$40,3,FALSE),"Unknown")</x:f>
        <x:v>Electronics</x:v>
      </x:c>
      <x:c r="O775" s="84" t="str">
        <x:f>IFERROR(VLOOKUP(L775,'Reference Data'!$A$5:$F$40,4,FALSE),"Unknown")</x:f>
        <x:v>Wearables</x:v>
      </x:c>
      <x:c r="P775" s="92" t="n">
        <x:f>IFERROR(VLOOKUP(L775,'Reference Data'!$A$5:$F$40,5,FALSE),0)</x:f>
        <x:v>159</x:v>
      </x:c>
      <x:c r="Q775" s="92" t="n">
        <x:f>IFERROR(VLOOKUP(L775,'Reference Data'!$A$5:$F$40,6,FALSE),0)</x:f>
        <x:v>92</x:v>
      </x:c>
      <x:c r="R775" s="84" t="n">
        <x:f>'Raw Sales'!J775</x:f>
        <x:v>1</x:v>
      </x:c>
      <x:c r="S775" s="87" t="n">
        <x:f>'Raw Sales'!K775</x:f>
        <x:v>0.15</x:v>
      </x:c>
      <x:c r="T775" s="93" t="n">
        <x:f>P775*R775</x:f>
        <x:v>159</x:v>
      </x:c>
      <x:c r="U775" s="93" t="n">
        <x:f>T775*S775</x:f>
        <x:v>23.849999999999998</x:v>
      </x:c>
      <x:c r="V775" s="93" t="str">
        <x:f>PROPER(TRIM('Raw Sales'!L775))</x:f>
        <x:v>Completed</x:v>
      </x:c>
      <x:c r="W775" s="93" t="n">
        <x:f>IF(V775="Returned",0,T775-U775)</x:f>
        <x:v>135.15</x:v>
      </x:c>
      <x:c r="X775" s="93" t="n">
        <x:f>IF(V775="Returned",Q775*R775*10%,Q775*R775)</x:f>
        <x:v>92</x:v>
      </x:c>
      <x:c r="Y775" s="93" t="n">
        <x:f>W775-X775</x:f>
        <x:v>43.150000000000006</x:v>
      </x:c>
      <x:c r="Z775" s="94" t="n">
        <x:f>IFERROR(Y775/W775,0)</x:f>
        <x:v>0.31927487976322605</x:v>
      </x:c>
      <x:c r="AA775" s="84" t="str">
        <x:f>PROPER(TRIM('Raw Sales'!M775))</x:f>
        <x:v>Mobile Wallet</x:v>
      </x:c>
      <x:c r="AB775" s="84" t="str">
        <x:f>PROPER(TRIM('Raw Sales'!N775))</x:f>
        <x:v>Ethan Cole</x:v>
      </x:c>
      <x:c r="AC775" s="85" t="n">
        <x:f>'Raw Sales'!O775</x:f>
        <x:v>45576</x:v>
      </x:c>
      <x:c r="AD775" s="84" t="n">
        <x:f>AC775-B775</x:f>
        <x:v>7</x:v>
      </x:c>
      <x:c r="AE775" s="84" t="str">
        <x:f>IF(COUNTIF($A$5:A775,A775)&gt;1,"Duplicate","Keep")</x:f>
        <x:v>Keep</x:v>
      </x:c>
      <x:c r="AF775" s="84" t="str">
        <x:f>IF(OR(R775&lt;=0,AC775&lt;B775,H775="Unknown",M775="Unknown Product"),"Review","Valid")</x:f>
        <x:v>Valid</x:v>
      </x:c>
      <x:c r="AG775" s="84" t="n">
        <x:f>IF(AND(AE775="Keep",AF775="Valid"),1,0)</x:f>
        <x:v>1</x:v>
      </x:c>
      <x:c r="AH775" s="84" t="n">
        <x:f>IF(AND(AG775=1,OR('Dashboard'!$B$4="All",I775='Dashboard'!$B$4),OR('Dashboard'!$E$4="All",N775='Dashboard'!$E$4),OR('Dashboard'!$H$4="All",K775='Dashboard'!$H$4),OR('Dashboard'!$K$4="All",C775='Dashboard'!$K$4)),1,0)</x:f>
        <x:v>1</x:v>
      </x:c>
      <x:c r="AI775" s="84" t="n">
        <x:f>IF(AND(AG775=1,OR('Dashboard'!$B$4="All",I775='Dashboard'!$B$4),OR('Dashboard'!$E$4="All",N775='Dashboard'!$E$4),OR('Dashboard'!$H$4="All",K775='Dashboard'!$H$4)),1,0)</x:f>
        <x:v>1</x:v>
      </x:c>
    </x:row>
    <x:row r="776">
      <x:c r="A776" s="84" t="str">
        <x:f>'Raw Sales'!A776</x:f>
        <x:v>ORD-2024-00282</x:v>
      </x:c>
      <x:c r="B776" s="85" t="n">
        <x:f>'Raw Sales'!B776</x:f>
        <x:v>45570</x:v>
      </x:c>
      <x:c r="C776" s="84" t="n">
        <x:f>YEAR(B776)</x:f>
        <x:v>2024</x:v>
      </x:c>
      <x:c r="D776" s="91" t="n">
        <x:f>DATE(YEAR(B776),MONTH(B776),1)</x:f>
        <x:v>45566</x:v>
      </x:c>
      <x:c r="E776" s="84" t="str">
        <x:f>TEXT(B776,"mmm")</x:f>
        <x:v>Oct</x:v>
      </x:c>
      <x:c r="F776" s="84" t="str">
        <x:f>'Raw Sales'!C776</x:f>
        <x:v>CUST-0128</x:v>
      </x:c>
      <x:c r="G776" s="84" t="str">
        <x:f>PROPER(TRIM('Raw Sales'!D776))</x:f>
        <x:v>Zara Patel</x:v>
      </x:c>
      <x:c r="H776" s="84" t="str">
        <x:f>IF(TRIM('Raw Sales'!E776)="","Unknown",PROPER(TRIM('Raw Sales'!E776)))</x:f>
        <x:v>Consumer</x:v>
      </x:c>
      <x:c r="I776" s="84" t="str">
        <x:f>PROPER(TRIM('Raw Sales'!F776))</x:f>
        <x:v>Midwest</x:v>
      </x:c>
      <x:c r="J776" s="84" t="str">
        <x:f>PROPER(TRIM('Raw Sales'!G776))</x:f>
        <x:v>Detroit</x:v>
      </x:c>
      <x:c r="K776" s="84" t="str">
        <x:f>PROPER(TRIM('Raw Sales'!H776))</x:f>
        <x:v>Retail Store</x:v>
      </x:c>
      <x:c r="L776" s="84" t="str">
        <x:f>'Raw Sales'!I776</x:f>
        <x:v>ACCS-001</x:v>
      </x:c>
      <x:c r="M776" s="84" t="str">
        <x:f>IFERROR(VLOOKUP(L776,'Reference Data'!$A$5:$F$40,2,FALSE),"Unknown Product")</x:f>
        <x:v>Canvas Tote Bag</x:v>
      </x:c>
      <x:c r="N776" s="84" t="str">
        <x:f>IFERROR(VLOOKUP(L776,'Reference Data'!$A$5:$F$40,3,FALSE),"Unknown")</x:f>
        <x:v>Accessories</x:v>
      </x:c>
      <x:c r="O776" s="84" t="str">
        <x:f>IFERROR(VLOOKUP(L776,'Reference Data'!$A$5:$F$40,4,FALSE),"Unknown")</x:f>
        <x:v>Bags</x:v>
      </x:c>
      <x:c r="P776" s="92" t="n">
        <x:f>IFERROR(VLOOKUP(L776,'Reference Data'!$A$5:$F$40,5,FALSE),0)</x:f>
        <x:v>39</x:v>
      </x:c>
      <x:c r="Q776" s="92" t="n">
        <x:f>IFERROR(VLOOKUP(L776,'Reference Data'!$A$5:$F$40,6,FALSE),0)</x:f>
        <x:v>14</x:v>
      </x:c>
      <x:c r="R776" s="84" t="n">
        <x:f>'Raw Sales'!J776</x:f>
        <x:v>4</x:v>
      </x:c>
      <x:c r="S776" s="87" t="n">
        <x:f>'Raw Sales'!K776</x:f>
        <x:v>0.15</x:v>
      </x:c>
      <x:c r="T776" s="93" t="n">
        <x:f>P776*R776</x:f>
        <x:v>156</x:v>
      </x:c>
      <x:c r="U776" s="93" t="n">
        <x:f>T776*S776</x:f>
        <x:v>23.4</x:v>
      </x:c>
      <x:c r="V776" s="93" t="str">
        <x:f>PROPER(TRIM('Raw Sales'!L776))</x:f>
        <x:v>Completed</x:v>
      </x:c>
      <x:c r="W776" s="93" t="n">
        <x:f>IF(V776="Returned",0,T776-U776)</x:f>
        <x:v>132.6</x:v>
      </x:c>
      <x:c r="X776" s="93" t="n">
        <x:f>IF(V776="Returned",Q776*R776*10%,Q776*R776)</x:f>
        <x:v>56</x:v>
      </x:c>
      <x:c r="Y776" s="93" t="n">
        <x:f>W776-X776</x:f>
        <x:v>76.6</x:v>
      </x:c>
      <x:c r="Z776" s="94" t="n">
        <x:f>IFERROR(Y776/W776,0)</x:f>
        <x:v>0.5776772247360482</x:v>
      </x:c>
      <x:c r="AA776" s="84" t="str">
        <x:f>PROPER(TRIM('Raw Sales'!M776))</x:f>
        <x:v>Credit Card</x:v>
      </x:c>
      <x:c r="AB776" s="84" t="str">
        <x:f>PROPER(TRIM('Raw Sales'!N776))</x:f>
        <x:v>Lucas Grant</x:v>
      </x:c>
      <x:c r="AC776" s="85" t="n">
        <x:f>'Raw Sales'!O776</x:f>
        <x:v>45570</x:v>
      </x:c>
      <x:c r="AD776" s="84" t="n">
        <x:f>AC776-B776</x:f>
        <x:v>0</x:v>
      </x:c>
      <x:c r="AE776" s="84" t="str">
        <x:f>IF(COUNTIF($A$5:A776,A776)&gt;1,"Duplicate","Keep")</x:f>
        <x:v>Keep</x:v>
      </x:c>
      <x:c r="AF776" s="84" t="str">
        <x:f>IF(OR(R776&lt;=0,AC776&lt;B776,H776="Unknown",M776="Unknown Product"),"Review","Valid")</x:f>
        <x:v>Valid</x:v>
      </x:c>
      <x:c r="AG776" s="84" t="n">
        <x:f>IF(AND(AE776="Keep",AF776="Valid"),1,0)</x:f>
        <x:v>1</x:v>
      </x:c>
      <x:c r="AH776" s="84" t="n">
        <x:f>IF(AND(AG776=1,OR('Dashboard'!$B$4="All",I776='Dashboard'!$B$4),OR('Dashboard'!$E$4="All",N776='Dashboard'!$E$4),OR('Dashboard'!$H$4="All",K776='Dashboard'!$H$4),OR('Dashboard'!$K$4="All",C776='Dashboard'!$K$4)),1,0)</x:f>
        <x:v>1</x:v>
      </x:c>
      <x:c r="AI776" s="84" t="n">
        <x:f>IF(AND(AG776=1,OR('Dashboard'!$B$4="All",I776='Dashboard'!$B$4),OR('Dashboard'!$E$4="All",N776='Dashboard'!$E$4),OR('Dashboard'!$H$4="All",K776='Dashboard'!$H$4)),1,0)</x:f>
        <x:v>1</x:v>
      </x:c>
    </x:row>
    <x:row r="777">
      <x:c r="A777" s="84" t="str">
        <x:f>'Raw Sales'!A777</x:f>
        <x:v>ORD-2024-00668</x:v>
      </x:c>
      <x:c r="B777" s="85" t="n">
        <x:f>'Raw Sales'!B777</x:f>
        <x:v>45570</x:v>
      </x:c>
      <x:c r="C777" s="84" t="n">
        <x:f>YEAR(B777)</x:f>
        <x:v>2024</x:v>
      </x:c>
      <x:c r="D777" s="91" t="n">
        <x:f>DATE(YEAR(B777),MONTH(B777),1)</x:f>
        <x:v>45566</x:v>
      </x:c>
      <x:c r="E777" s="84" t="str">
        <x:f>TEXT(B777,"mmm")</x:f>
        <x:v>Oct</x:v>
      </x:c>
      <x:c r="F777" s="84" t="str">
        <x:f>'Raw Sales'!C777</x:f>
        <x:v>CUST-0325</x:v>
      </x:c>
      <x:c r="G777" s="84" t="str">
        <x:f>PROPER(TRIM('Raw Sales'!D777))</x:f>
        <x:v>Caleb Baker</x:v>
      </x:c>
      <x:c r="H777" s="84" t="str">
        <x:f>IF(TRIM('Raw Sales'!E777)="","Unknown",PROPER(TRIM('Raw Sales'!E777)))</x:f>
        <x:v>Small Business</x:v>
      </x:c>
      <x:c r="I777" s="84" t="str">
        <x:f>PROPER(TRIM('Raw Sales'!F777))</x:f>
        <x:v>West</x:v>
      </x:c>
      <x:c r="J777" s="84" t="str">
        <x:f>PROPER(TRIM('Raw Sales'!G777))</x:f>
        <x:v>Phoenix</x:v>
      </x:c>
      <x:c r="K777" s="84" t="str">
        <x:f>PROPER(TRIM('Raw Sales'!H777))</x:f>
        <x:v>Marketplace</x:v>
      </x:c>
      <x:c r="L777" s="84" t="str">
        <x:f>'Raw Sales'!I777</x:f>
        <x:v>HOME-002</x:v>
      </x:c>
      <x:c r="M777" s="84" t="str">
        <x:f>IFERROR(VLOOKUP(L777,'Reference Data'!$A$5:$F$40,2,FALSE),"Unknown Product")</x:f>
        <x:v>Electric Kettle</x:v>
      </x:c>
      <x:c r="N777" s="84" t="str">
        <x:f>IFERROR(VLOOKUP(L777,'Reference Data'!$A$5:$F$40,3,FALSE),"Unknown")</x:f>
        <x:v>Home &amp; Kitchen</x:v>
      </x:c>
      <x:c r="O777" s="84" t="str">
        <x:f>IFERROR(VLOOKUP(L777,'Reference Data'!$A$5:$F$40,4,FALSE),"Unknown")</x:f>
        <x:v>Small Appliances</x:v>
      </x:c>
      <x:c r="P777" s="92" t="n">
        <x:f>IFERROR(VLOOKUP(L777,'Reference Data'!$A$5:$F$40,5,FALSE),0)</x:f>
        <x:v>49</x:v>
      </x:c>
      <x:c r="Q777" s="92" t="n">
        <x:f>IFERROR(VLOOKUP(L777,'Reference Data'!$A$5:$F$40,6,FALSE),0)</x:f>
        <x:v>23</x:v>
      </x:c>
      <x:c r="R777" s="84" t="n">
        <x:f>'Raw Sales'!J777</x:f>
        <x:v>1</x:v>
      </x:c>
      <x:c r="S777" s="87" t="n">
        <x:f>'Raw Sales'!K777</x:f>
        <x:v>0.1</x:v>
      </x:c>
      <x:c r="T777" s="93" t="n">
        <x:f>P777*R777</x:f>
        <x:v>49</x:v>
      </x:c>
      <x:c r="U777" s="93" t="n">
        <x:f>T777*S777</x:f>
        <x:v>4.9</x:v>
      </x:c>
      <x:c r="V777" s="93" t="str">
        <x:f>PROPER(TRIM('Raw Sales'!L777))</x:f>
        <x:v>Completed</x:v>
      </x:c>
      <x:c r="W777" s="93" t="n">
        <x:f>IF(V777="Returned",0,T777-U777)</x:f>
        <x:v>44.1</x:v>
      </x:c>
      <x:c r="X777" s="93" t="n">
        <x:f>IF(V777="Returned",Q777*R777*10%,Q777*R777)</x:f>
        <x:v>23</x:v>
      </x:c>
      <x:c r="Y777" s="93" t="n">
        <x:f>W777-X777</x:f>
        <x:v>21.1</x:v>
      </x:c>
      <x:c r="Z777" s="94" t="n">
        <x:f>IFERROR(Y777/W777,0)</x:f>
        <x:v>0.47845804988662133</x:v>
      </x:c>
      <x:c r="AA777" s="84" t="str">
        <x:f>PROPER(TRIM('Raw Sales'!M777))</x:f>
        <x:v>Debit Card</x:v>
      </x:c>
      <x:c r="AB777" s="84" t="str">
        <x:f>PROPER(TRIM('Raw Sales'!N777))</x:f>
        <x:v>Leo Martinez</x:v>
      </x:c>
      <x:c r="AC777" s="85" t="n">
        <x:f>'Raw Sales'!O777</x:f>
        <x:v>45578</x:v>
      </x:c>
      <x:c r="AD777" s="84" t="n">
        <x:f>AC777-B777</x:f>
        <x:v>8</x:v>
      </x:c>
      <x:c r="AE777" s="84" t="str">
        <x:f>IF(COUNTIF($A$5:A777,A777)&gt;1,"Duplicate","Keep")</x:f>
        <x:v>Keep</x:v>
      </x:c>
      <x:c r="AF777" s="84" t="str">
        <x:f>IF(OR(R777&lt;=0,AC777&lt;B777,H777="Unknown",M777="Unknown Product"),"Review","Valid")</x:f>
        <x:v>Valid</x:v>
      </x:c>
      <x:c r="AG777" s="84" t="n">
        <x:f>IF(AND(AE777="Keep",AF777="Valid"),1,0)</x:f>
        <x:v>1</x:v>
      </x:c>
      <x:c r="AH777" s="84" t="n">
        <x:f>IF(AND(AG777=1,OR('Dashboard'!$B$4="All",I777='Dashboard'!$B$4),OR('Dashboard'!$E$4="All",N777='Dashboard'!$E$4),OR('Dashboard'!$H$4="All",K777='Dashboard'!$H$4),OR('Dashboard'!$K$4="All",C777='Dashboard'!$K$4)),1,0)</x:f>
        <x:v>1</x:v>
      </x:c>
      <x:c r="AI777" s="84" t="n">
        <x:f>IF(AND(AG777=1,OR('Dashboard'!$B$4="All",I777='Dashboard'!$B$4),OR('Dashboard'!$E$4="All",N777='Dashboard'!$E$4),OR('Dashboard'!$H$4="All",K777='Dashboard'!$H$4)),1,0)</x:f>
        <x:v>1</x:v>
      </x:c>
    </x:row>
    <x:row r="778">
      <x:c r="A778" s="84" t="str">
        <x:f>'Raw Sales'!A778</x:f>
        <x:v>ORD-2024-00886</x:v>
      </x:c>
      <x:c r="B778" s="85" t="n">
        <x:f>'Raw Sales'!B778</x:f>
        <x:v>45570</x:v>
      </x:c>
      <x:c r="C778" s="84" t="n">
        <x:f>YEAR(B778)</x:f>
        <x:v>2024</x:v>
      </x:c>
      <x:c r="D778" s="91" t="n">
        <x:f>DATE(YEAR(B778),MONTH(B778),1)</x:f>
        <x:v>45566</x:v>
      </x:c>
      <x:c r="E778" s="84" t="str">
        <x:f>TEXT(B778,"mmm")</x:f>
        <x:v>Oct</x:v>
      </x:c>
      <x:c r="F778" s="84" t="str">
        <x:f>'Raw Sales'!C778</x:f>
        <x:v>CUST-0482</x:v>
      </x:c>
      <x:c r="G778" s="84" t="str">
        <x:f>PROPER(TRIM('Raw Sales'!D778))</x:f>
        <x:v>Nathan Young</x:v>
      </x:c>
      <x:c r="H778" s="84" t="str">
        <x:f>IF(TRIM('Raw Sales'!E778)="","Unknown",PROPER(TRIM('Raw Sales'!E778)))</x:f>
        <x:v>Small Business</x:v>
      </x:c>
      <x:c r="I778" s="84" t="str">
        <x:f>PROPER(TRIM('Raw Sales'!F778))</x:f>
        <x:v>Midwest</x:v>
      </x:c>
      <x:c r="J778" s="84" t="str">
        <x:f>PROPER(TRIM('Raw Sales'!G778))</x:f>
        <x:v>Chicago</x:v>
      </x:c>
      <x:c r="K778" s="84" t="str">
        <x:f>PROPER(TRIM('Raw Sales'!H778))</x:f>
        <x:v>Retail Store</x:v>
      </x:c>
      <x:c r="L778" s="84" t="str">
        <x:f>'Raw Sales'!I778</x:f>
        <x:v>OFFC-005</x:v>
      </x:c>
      <x:c r="M778" s="84" t="str">
        <x:f>IFERROR(VLOOKUP(L778,'Reference Data'!$A$5:$F$40,2,FALSE),"Unknown Product")</x:f>
        <x:v>Wireless Keyboard</x:v>
      </x:c>
      <x:c r="N778" s="84" t="str">
        <x:f>IFERROR(VLOOKUP(L778,'Reference Data'!$A$5:$F$40,3,FALSE),"Unknown")</x:f>
        <x:v>Office</x:v>
      </x:c>
      <x:c r="O778" s="84" t="str">
        <x:f>IFERROR(VLOOKUP(L778,'Reference Data'!$A$5:$F$40,4,FALSE),"Unknown")</x:f>
        <x:v>Computer Accessories</x:v>
      </x:c>
      <x:c r="P778" s="92" t="n">
        <x:f>IFERROR(VLOOKUP(L778,'Reference Data'!$A$5:$F$40,5,FALSE),0)</x:f>
        <x:v>59</x:v>
      </x:c>
      <x:c r="Q778" s="92" t="n">
        <x:f>IFERROR(VLOOKUP(L778,'Reference Data'!$A$5:$F$40,6,FALSE),0)</x:f>
        <x:v>28</x:v>
      </x:c>
      <x:c r="R778" s="84" t="n">
        <x:f>'Raw Sales'!J778</x:f>
        <x:v>1</x:v>
      </x:c>
      <x:c r="S778" s="87" t="n">
        <x:f>'Raw Sales'!K778</x:f>
        <x:v>0.05</x:v>
      </x:c>
      <x:c r="T778" s="93" t="n">
        <x:f>P778*R778</x:f>
        <x:v>59</x:v>
      </x:c>
      <x:c r="U778" s="93" t="n">
        <x:f>T778*S778</x:f>
        <x:v>2.95</x:v>
      </x:c>
      <x:c r="V778" s="93" t="str">
        <x:f>PROPER(TRIM('Raw Sales'!L778))</x:f>
        <x:v>Returned</x:v>
      </x:c>
      <x:c r="W778" s="93" t="n">
        <x:f>IF(V778="Returned",0,T778-U778)</x:f>
        <x:v>0</x:v>
      </x:c>
      <x:c r="X778" s="93" t="n">
        <x:f>IF(V778="Returned",Q778*R778*10%,Q778*R778)</x:f>
        <x:v>2.8000000000000003</x:v>
      </x:c>
      <x:c r="Y778" s="93" t="n">
        <x:f>W778-X778</x:f>
        <x:v>-2.8000000000000003</x:v>
      </x:c>
      <x:c r="Z778" s="94" t="n">
        <x:f>IFERROR(Y778/W778,0)</x:f>
        <x:v>0</x:v>
      </x:c>
      <x:c r="AA778" s="84" t="str">
        <x:f>PROPER(TRIM('Raw Sales'!M778))</x:f>
        <x:v>Debit Card</x:v>
      </x:c>
      <x:c r="AB778" s="84" t="str">
        <x:f>PROPER(TRIM('Raw Sales'!N778))</x:f>
        <x:v>Zoe Turner</x:v>
      </x:c>
      <x:c r="AC778" s="85" t="n">
        <x:f>'Raw Sales'!O778</x:f>
        <x:v>45570</x:v>
      </x:c>
      <x:c r="AD778" s="84" t="n">
        <x:f>AC778-B778</x:f>
        <x:v>0</x:v>
      </x:c>
      <x:c r="AE778" s="84" t="str">
        <x:f>IF(COUNTIF($A$5:A778,A778)&gt;1,"Duplicate","Keep")</x:f>
        <x:v>Keep</x:v>
      </x:c>
      <x:c r="AF778" s="84" t="str">
        <x:f>IF(OR(R778&lt;=0,AC778&lt;B778,H778="Unknown",M778="Unknown Product"),"Review","Valid")</x:f>
        <x:v>Valid</x:v>
      </x:c>
      <x:c r="AG778" s="84" t="n">
        <x:f>IF(AND(AE778="Keep",AF778="Valid"),1,0)</x:f>
        <x:v>1</x:v>
      </x:c>
      <x:c r="AH778" s="84" t="n">
        <x:f>IF(AND(AG778=1,OR('Dashboard'!$B$4="All",I778='Dashboard'!$B$4),OR('Dashboard'!$E$4="All",N778='Dashboard'!$E$4),OR('Dashboard'!$H$4="All",K778='Dashboard'!$H$4),OR('Dashboard'!$K$4="All",C778='Dashboard'!$K$4)),1,0)</x:f>
        <x:v>1</x:v>
      </x:c>
      <x:c r="AI778" s="84" t="n">
        <x:f>IF(AND(AG778=1,OR('Dashboard'!$B$4="All",I778='Dashboard'!$B$4),OR('Dashboard'!$E$4="All",N778='Dashboard'!$E$4),OR('Dashboard'!$H$4="All",K778='Dashboard'!$H$4)),1,0)</x:f>
        <x:v>1</x:v>
      </x:c>
    </x:row>
    <x:row r="779">
      <x:c r="A779" s="84" t="str">
        <x:f>'Raw Sales'!A779</x:f>
        <x:v>ORD-2024-01069</x:v>
      </x:c>
      <x:c r="B779" s="85" t="n">
        <x:f>'Raw Sales'!B779</x:f>
        <x:v>45570</x:v>
      </x:c>
      <x:c r="C779" s="84" t="n">
        <x:f>YEAR(B779)</x:f>
        <x:v>2024</x:v>
      </x:c>
      <x:c r="D779" s="91" t="n">
        <x:f>DATE(YEAR(B779),MONTH(B779),1)</x:f>
        <x:v>45566</x:v>
      </x:c>
      <x:c r="E779" s="84" t="str">
        <x:f>TEXT(B779,"mmm")</x:f>
        <x:v>Oct</x:v>
      </x:c>
      <x:c r="F779" s="84" t="str">
        <x:f>'Raw Sales'!C779</x:f>
        <x:v>CUST-0265</x:v>
      </x:c>
      <x:c r="G779" s="84" t="str">
        <x:f>PROPER(TRIM('Raw Sales'!D779))</x:f>
        <x:v>Sara Adams</x:v>
      </x:c>
      <x:c r="H779" s="84" t="str">
        <x:f>IF(TRIM('Raw Sales'!E779)="","Unknown",PROPER(TRIM('Raw Sales'!E779)))</x:f>
        <x:v>Consumer</x:v>
      </x:c>
      <x:c r="I779" s="84" t="str">
        <x:f>PROPER(TRIM('Raw Sales'!F779))</x:f>
        <x:v>Southeast</x:v>
      </x:c>
      <x:c r="J779" s="84" t="str">
        <x:f>PROPER(TRIM('Raw Sales'!G779))</x:f>
        <x:v>Nashville</x:v>
      </x:c>
      <x:c r="K779" s="84" t="str">
        <x:f>PROPER(TRIM('Raw Sales'!H779))</x:f>
        <x:v>Retail Store</x:v>
      </x:c>
      <x:c r="L779" s="84" t="str">
        <x:f>'Raw Sales'!I779</x:f>
        <x:v>ELEC-005</x:v>
      </x:c>
      <x:c r="M779" s="84" t="str">
        <x:f>IFERROR(VLOOKUP(L779,'Reference Data'!$A$5:$F$40,2,FALSE),"Unknown Product")</x:f>
        <x:v>HD Webcam</x:v>
      </x:c>
      <x:c r="N779" s="84" t="str">
        <x:f>IFERROR(VLOOKUP(L779,'Reference Data'!$A$5:$F$40,3,FALSE),"Unknown")</x:f>
        <x:v>Electronics</x:v>
      </x:c>
      <x:c r="O779" s="84" t="str">
        <x:f>IFERROR(VLOOKUP(L779,'Reference Data'!$A$5:$F$40,4,FALSE),"Unknown")</x:f>
        <x:v>Computer Accessories</x:v>
      </x:c>
      <x:c r="P779" s="92" t="n">
        <x:f>IFERROR(VLOOKUP(L779,'Reference Data'!$A$5:$F$40,5,FALSE),0)</x:f>
        <x:v>79</x:v>
      </x:c>
      <x:c r="Q779" s="92" t="n">
        <x:f>IFERROR(VLOOKUP(L779,'Reference Data'!$A$5:$F$40,6,FALSE),0)</x:f>
        <x:v>37</x:v>
      </x:c>
      <x:c r="R779" s="84" t="n">
        <x:f>'Raw Sales'!J779</x:f>
        <x:v>1</x:v>
      </x:c>
      <x:c r="S779" s="87" t="n">
        <x:f>'Raw Sales'!K779</x:f>
        <x:v>0.15</x:v>
      </x:c>
      <x:c r="T779" s="93" t="n">
        <x:f>P779*R779</x:f>
        <x:v>79</x:v>
      </x:c>
      <x:c r="U779" s="93" t="n">
        <x:f>T779*S779</x:f>
        <x:v>11.85</x:v>
      </x:c>
      <x:c r="V779" s="93" t="str">
        <x:f>PROPER(TRIM('Raw Sales'!L779))</x:f>
        <x:v>Completed</x:v>
      </x:c>
      <x:c r="W779" s="93" t="n">
        <x:f>IF(V779="Returned",0,T779-U779)</x:f>
        <x:v>67.15</x:v>
      </x:c>
      <x:c r="X779" s="93" t="n">
        <x:f>IF(V779="Returned",Q779*R779*10%,Q779*R779)</x:f>
        <x:v>37</x:v>
      </x:c>
      <x:c r="Y779" s="93" t="n">
        <x:f>W779-X779</x:f>
        <x:v>30.150000000000006</x:v>
      </x:c>
      <x:c r="Z779" s="94" t="n">
        <x:f>IFERROR(Y779/W779,0)</x:f>
        <x:v>0.4489947877885332</x:v>
      </x:c>
      <x:c r="AA779" s="84" t="str">
        <x:f>PROPER(TRIM('Raw Sales'!M779))</x:f>
        <x:v>Credit Card</x:v>
      </x:c>
      <x:c r="AB779" s="84" t="str">
        <x:f>PROPER(TRIM('Raw Sales'!N779))</x:f>
        <x:v>Liam Parker</x:v>
      </x:c>
      <x:c r="AC779" s="85" t="n">
        <x:f>'Raw Sales'!O779</x:f>
        <x:v>45570</x:v>
      </x:c>
      <x:c r="AD779" s="84" t="n">
        <x:f>AC779-B779</x:f>
        <x:v>0</x:v>
      </x:c>
      <x:c r="AE779" s="84" t="str">
        <x:f>IF(COUNTIF($A$5:A779,A779)&gt;1,"Duplicate","Keep")</x:f>
        <x:v>Keep</x:v>
      </x:c>
      <x:c r="AF779" s="84" t="str">
        <x:f>IF(OR(R779&lt;=0,AC779&lt;B779,H779="Unknown",M779="Unknown Product"),"Review","Valid")</x:f>
        <x:v>Valid</x:v>
      </x:c>
      <x:c r="AG779" s="84" t="n">
        <x:f>IF(AND(AE779="Keep",AF779="Valid"),1,0)</x:f>
        <x:v>1</x:v>
      </x:c>
      <x:c r="AH779" s="84" t="n">
        <x:f>IF(AND(AG779=1,OR('Dashboard'!$B$4="All",I779='Dashboard'!$B$4),OR('Dashboard'!$E$4="All",N779='Dashboard'!$E$4),OR('Dashboard'!$H$4="All",K779='Dashboard'!$H$4),OR('Dashboard'!$K$4="All",C779='Dashboard'!$K$4)),1,0)</x:f>
        <x:v>1</x:v>
      </x:c>
      <x:c r="AI779" s="84" t="n">
        <x:f>IF(AND(AG779=1,OR('Dashboard'!$B$4="All",I779='Dashboard'!$B$4),OR('Dashboard'!$E$4="All",N779='Dashboard'!$E$4),OR('Dashboard'!$H$4="All",K779='Dashboard'!$H$4)),1,0)</x:f>
        <x:v>1</x:v>
      </x:c>
    </x:row>
    <x:row r="780">
      <x:c r="A780" s="84" t="str">
        <x:f>'Raw Sales'!A780</x:f>
        <x:v>ORD-2024-01448</x:v>
      </x:c>
      <x:c r="B780" s="85" t="n">
        <x:f>'Raw Sales'!B780</x:f>
        <x:v>45570</x:v>
      </x:c>
      <x:c r="C780" s="84" t="n">
        <x:f>YEAR(B780)</x:f>
        <x:v>2024</x:v>
      </x:c>
      <x:c r="D780" s="91" t="n">
        <x:f>DATE(YEAR(B780),MONTH(B780),1)</x:f>
        <x:v>45566</x:v>
      </x:c>
      <x:c r="E780" s="84" t="str">
        <x:f>TEXT(B780,"mmm")</x:f>
        <x:v>Oct</x:v>
      </x:c>
      <x:c r="F780" s="84" t="str">
        <x:f>'Raw Sales'!C780</x:f>
        <x:v>CUST-0244</x:v>
      </x:c>
      <x:c r="G780" s="84" t="str">
        <x:f>PROPER(TRIM('Raw Sales'!D780))</x:f>
        <x:v>Caleb Nelson</x:v>
      </x:c>
      <x:c r="H780" s="84" t="str">
        <x:f>IF(TRIM('Raw Sales'!E780)="","Unknown",PROPER(TRIM('Raw Sales'!E780)))</x:f>
        <x:v>Small Business</x:v>
      </x:c>
      <x:c r="I780" s="84" t="str">
        <x:f>PROPER(TRIM('Raw Sales'!F780))</x:f>
        <x:v>Midwest</x:v>
      </x:c>
      <x:c r="J780" s="84" t="str">
        <x:f>PROPER(TRIM('Raw Sales'!G780))</x:f>
        <x:v>Detroit</x:v>
      </x:c>
      <x:c r="K780" s="84" t="str">
        <x:f>PROPER(TRIM('Raw Sales'!H780))</x:f>
        <x:v>Online</x:v>
      </x:c>
      <x:c r="L780" s="84" t="str">
        <x:f>'Raw Sales'!I780</x:f>
        <x:v>OFFC-006</x:v>
      </x:c>
      <x:c r="M780" s="84" t="str">
        <x:f>IFERROR(VLOOKUP(L780,'Reference Data'!$A$5:$F$40,2,FALSE),"Unknown Product")</x:f>
        <x:v>Monitor Stand</x:v>
      </x:c>
      <x:c r="N780" s="84" t="str">
        <x:f>IFERROR(VLOOKUP(L780,'Reference Data'!$A$5:$F$40,3,FALSE),"Unknown")</x:f>
        <x:v>Office</x:v>
      </x:c>
      <x:c r="O780" s="84" t="str">
        <x:f>IFERROR(VLOOKUP(L780,'Reference Data'!$A$5:$F$40,4,FALSE),"Unknown")</x:f>
        <x:v>Desk Accessories</x:v>
      </x:c>
      <x:c r="P780" s="92" t="n">
        <x:f>IFERROR(VLOOKUP(L780,'Reference Data'!$A$5:$F$40,5,FALSE),0)</x:f>
        <x:v>49</x:v>
      </x:c>
      <x:c r="Q780" s="92" t="n">
        <x:f>IFERROR(VLOOKUP(L780,'Reference Data'!$A$5:$F$40,6,FALSE),0)</x:f>
        <x:v>21</x:v>
      </x:c>
      <x:c r="R780" s="84" t="n">
        <x:f>'Raw Sales'!J780</x:f>
        <x:v>1</x:v>
      </x:c>
      <x:c r="S780" s="87" t="n">
        <x:f>'Raw Sales'!K780</x:f>
        <x:v>0</x:v>
      </x:c>
      <x:c r="T780" s="93" t="n">
        <x:f>P780*R780</x:f>
        <x:v>49</x:v>
      </x:c>
      <x:c r="U780" s="93" t="n">
        <x:f>T780*S780</x:f>
        <x:v>0</x:v>
      </x:c>
      <x:c r="V780" s="93" t="str">
        <x:f>PROPER(TRIM('Raw Sales'!L780))</x:f>
        <x:v>Completed</x:v>
      </x:c>
      <x:c r="W780" s="93" t="n">
        <x:f>IF(V780="Returned",0,T780-U780)</x:f>
        <x:v>49</x:v>
      </x:c>
      <x:c r="X780" s="93" t="n">
        <x:f>IF(V780="Returned",Q780*R780*10%,Q780*R780)</x:f>
        <x:v>21</x:v>
      </x:c>
      <x:c r="Y780" s="93" t="n">
        <x:f>W780-X780</x:f>
        <x:v>28</x:v>
      </x:c>
      <x:c r="Z780" s="94" t="n">
        <x:f>IFERROR(Y780/W780,0)</x:f>
        <x:v>0.5714285714285714</x:v>
      </x:c>
      <x:c r="AA780" s="84" t="str">
        <x:f>PROPER(TRIM('Raw Sales'!M780))</x:f>
        <x:v>Credit Card</x:v>
      </x:c>
      <x:c r="AB780" s="84" t="str">
        <x:f>PROPER(TRIM('Raw Sales'!N780))</x:f>
        <x:v>Zoe Turner</x:v>
      </x:c>
      <x:c r="AC780" s="85" t="n">
        <x:f>'Raw Sales'!O780</x:f>
        <x:v>45572</x:v>
      </x:c>
      <x:c r="AD780" s="84" t="n">
        <x:f>AC780-B780</x:f>
        <x:v>2</x:v>
      </x:c>
      <x:c r="AE780" s="84" t="str">
        <x:f>IF(COUNTIF($A$5:A780,A780)&gt;1,"Duplicate","Keep")</x:f>
        <x:v>Keep</x:v>
      </x:c>
      <x:c r="AF780" s="84" t="str">
        <x:f>IF(OR(R780&lt;=0,AC780&lt;B780,H780="Unknown",M780="Unknown Product"),"Review","Valid")</x:f>
        <x:v>Valid</x:v>
      </x:c>
      <x:c r="AG780" s="84" t="n">
        <x:f>IF(AND(AE780="Keep",AF780="Valid"),1,0)</x:f>
        <x:v>1</x:v>
      </x:c>
      <x:c r="AH780" s="84" t="n">
        <x:f>IF(AND(AG780=1,OR('Dashboard'!$B$4="All",I780='Dashboard'!$B$4),OR('Dashboard'!$E$4="All",N780='Dashboard'!$E$4),OR('Dashboard'!$H$4="All",K780='Dashboard'!$H$4),OR('Dashboard'!$K$4="All",C780='Dashboard'!$K$4)),1,0)</x:f>
        <x:v>1</x:v>
      </x:c>
      <x:c r="AI780" s="84" t="n">
        <x:f>IF(AND(AG780=1,OR('Dashboard'!$B$4="All",I780='Dashboard'!$B$4),OR('Dashboard'!$E$4="All",N780='Dashboard'!$E$4),OR('Dashboard'!$H$4="All",K780='Dashboard'!$H$4)),1,0)</x:f>
        <x:v>1</x:v>
      </x:c>
    </x:row>
    <x:row r="781">
      <x:c r="A781" s="84" t="str">
        <x:f>'Raw Sales'!A781</x:f>
        <x:v>ORD-2024-01542</x:v>
      </x:c>
      <x:c r="B781" s="85" t="n">
        <x:f>'Raw Sales'!B781</x:f>
        <x:v>45570</x:v>
      </x:c>
      <x:c r="C781" s="84" t="n">
        <x:f>YEAR(B781)</x:f>
        <x:v>2024</x:v>
      </x:c>
      <x:c r="D781" s="91" t="n">
        <x:f>DATE(YEAR(B781),MONTH(B781),1)</x:f>
        <x:v>45566</x:v>
      </x:c>
      <x:c r="E781" s="84" t="str">
        <x:f>TEXT(B781,"mmm")</x:f>
        <x:v>Oct</x:v>
      </x:c>
      <x:c r="F781" s="84" t="str">
        <x:f>'Raw Sales'!C781</x:f>
        <x:v>CUST-0588</x:v>
      </x:c>
      <x:c r="G781" s="84" t="str">
        <x:f>PROPER(TRIM('Raw Sales'!D781))</x:f>
        <x:v>Nathan Johnson</x:v>
      </x:c>
      <x:c r="H781" s="84" t="str">
        <x:f>IF(TRIM('Raw Sales'!E781)="","Unknown",PROPER(TRIM('Raw Sales'!E781)))</x:f>
        <x:v>Consumer</x:v>
      </x:c>
      <x:c r="I781" s="84" t="str">
        <x:f>PROPER(TRIM('Raw Sales'!F781))</x:f>
        <x:v>Midwest</x:v>
      </x:c>
      <x:c r="J781" s="84" t="str">
        <x:f>PROPER(TRIM('Raw Sales'!G781))</x:f>
        <x:v>Detroit</x:v>
      </x:c>
      <x:c r="K781" s="84" t="str">
        <x:f>PROPER(TRIM('Raw Sales'!H781))</x:f>
        <x:v>Online</x:v>
      </x:c>
      <x:c r="L781" s="84" t="str">
        <x:f>'Raw Sales'!I781</x:f>
        <x:v>CARE-002</x:v>
      </x:c>
      <x:c r="M781" s="84" t="str">
        <x:f>IFERROR(VLOOKUP(L781,'Reference Data'!$A$5:$F$40,2,FALSE),"Unknown Product")</x:f>
        <x:v>Rechargeable Trimmer</x:v>
      </x:c>
      <x:c r="N781" s="84" t="str">
        <x:f>IFERROR(VLOOKUP(L781,'Reference Data'!$A$5:$F$40,3,FALSE),"Unknown")</x:f>
        <x:v>Personal Care</x:v>
      </x:c>
      <x:c r="O781" s="84" t="str">
        <x:f>IFERROR(VLOOKUP(L781,'Reference Data'!$A$5:$F$40,4,FALSE),"Unknown")</x:f>
        <x:v>Grooming</x:v>
      </x:c>
      <x:c r="P781" s="92" t="n">
        <x:f>IFERROR(VLOOKUP(L781,'Reference Data'!$A$5:$F$40,5,FALSE),0)</x:f>
        <x:v>45</x:v>
      </x:c>
      <x:c r="Q781" s="92" t="n">
        <x:f>IFERROR(VLOOKUP(L781,'Reference Data'!$A$5:$F$40,6,FALSE),0)</x:f>
        <x:v>19</x:v>
      </x:c>
      <x:c r="R781" s="84" t="n">
        <x:f>'Raw Sales'!J781</x:f>
        <x:v>1</x:v>
      </x:c>
      <x:c r="S781" s="87" t="n">
        <x:f>'Raw Sales'!K781</x:f>
        <x:v>0</x:v>
      </x:c>
      <x:c r="T781" s="93" t="n">
        <x:f>P781*R781</x:f>
        <x:v>45</x:v>
      </x:c>
      <x:c r="U781" s="93" t="n">
        <x:f>T781*S781</x:f>
        <x:v>0</x:v>
      </x:c>
      <x:c r="V781" s="93" t="str">
        <x:f>PROPER(TRIM('Raw Sales'!L781))</x:f>
        <x:v>Completed</x:v>
      </x:c>
      <x:c r="W781" s="93" t="n">
        <x:f>IF(V781="Returned",0,T781-U781)</x:f>
        <x:v>45</x:v>
      </x:c>
      <x:c r="X781" s="93" t="n">
        <x:f>IF(V781="Returned",Q781*R781*10%,Q781*R781)</x:f>
        <x:v>19</x:v>
      </x:c>
      <x:c r="Y781" s="93" t="n">
        <x:f>W781-X781</x:f>
        <x:v>26</x:v>
      </x:c>
      <x:c r="Z781" s="94" t="n">
        <x:f>IFERROR(Y781/W781,0)</x:f>
        <x:v>0.5777777777777777</x:v>
      </x:c>
      <x:c r="AA781" s="84" t="str">
        <x:f>PROPER(TRIM('Raw Sales'!M781))</x:f>
        <x:v>Credit Card</x:v>
      </x:c>
      <x:c r="AB781" s="84" t="str">
        <x:f>PROPER(TRIM('Raw Sales'!N781))</x:f>
        <x:v>Zoe Turner</x:v>
      </x:c>
      <x:c r="AC781" s="85" t="n">
        <x:f>'Raw Sales'!O781</x:f>
        <x:v>45573</x:v>
      </x:c>
      <x:c r="AD781" s="84" t="n">
        <x:f>AC781-B781</x:f>
        <x:v>3</x:v>
      </x:c>
      <x:c r="AE781" s="84" t="str">
        <x:f>IF(COUNTIF($A$5:A781,A781)&gt;1,"Duplicate","Keep")</x:f>
        <x:v>Keep</x:v>
      </x:c>
      <x:c r="AF781" s="84" t="str">
        <x:f>IF(OR(R781&lt;=0,AC781&lt;B781,H781="Unknown",M781="Unknown Product"),"Review","Valid")</x:f>
        <x:v>Valid</x:v>
      </x:c>
      <x:c r="AG781" s="84" t="n">
        <x:f>IF(AND(AE781="Keep",AF781="Valid"),1,0)</x:f>
        <x:v>1</x:v>
      </x:c>
      <x:c r="AH781" s="84" t="n">
        <x:f>IF(AND(AG781=1,OR('Dashboard'!$B$4="All",I781='Dashboard'!$B$4),OR('Dashboard'!$E$4="All",N781='Dashboard'!$E$4),OR('Dashboard'!$H$4="All",K781='Dashboard'!$H$4),OR('Dashboard'!$K$4="All",C781='Dashboard'!$K$4)),1,0)</x:f>
        <x:v>1</x:v>
      </x:c>
      <x:c r="AI781" s="84" t="n">
        <x:f>IF(AND(AG781=1,OR('Dashboard'!$B$4="All",I781='Dashboard'!$B$4),OR('Dashboard'!$E$4="All",N781='Dashboard'!$E$4),OR('Dashboard'!$H$4="All",K781='Dashboard'!$H$4)),1,0)</x:f>
        <x:v>1</x:v>
      </x:c>
    </x:row>
    <x:row r="782">
      <x:c r="A782" s="84" t="str">
        <x:f>'Raw Sales'!A782</x:f>
        <x:v>ORD-2024-01689</x:v>
      </x:c>
      <x:c r="B782" s="85" t="n">
        <x:f>'Raw Sales'!B782</x:f>
        <x:v>45570</x:v>
      </x:c>
      <x:c r="C782" s="84" t="n">
        <x:f>YEAR(B782)</x:f>
        <x:v>2024</x:v>
      </x:c>
      <x:c r="D782" s="91" t="n">
        <x:f>DATE(YEAR(B782),MONTH(B782),1)</x:f>
        <x:v>45566</x:v>
      </x:c>
      <x:c r="E782" s="84" t="str">
        <x:f>TEXT(B782,"mmm")</x:f>
        <x:v>Oct</x:v>
      </x:c>
      <x:c r="F782" s="84" t="str">
        <x:f>'Raw Sales'!C782</x:f>
        <x:v>CUST-0369</x:v>
      </x:c>
      <x:c r="G782" s="84" t="str">
        <x:f>PROPER(TRIM('Raw Sales'!D782))</x:f>
        <x:v>Elena Johnson</x:v>
      </x:c>
      <x:c r="H782" s="84" t="str">
        <x:f>IF(TRIM('Raw Sales'!E782)="","Unknown",PROPER(TRIM('Raw Sales'!E782)))</x:f>
        <x:v>Consumer</x:v>
      </x:c>
      <x:c r="I782" s="84" t="str">
        <x:f>PROPER(TRIM('Raw Sales'!F782))</x:f>
        <x:v>West</x:v>
      </x:c>
      <x:c r="J782" s="84" t="str">
        <x:f>PROPER(TRIM('Raw Sales'!G782))</x:f>
        <x:v>Phoenix</x:v>
      </x:c>
      <x:c r="K782" s="84" t="str">
        <x:f>PROPER(TRIM('Raw Sales'!H782))</x:f>
        <x:v>Retail Store</x:v>
      </x:c>
      <x:c r="L782" s="84" t="str">
        <x:f>'Raw Sales'!I782</x:f>
        <x:v>OFFC-001</x:v>
      </x:c>
      <x:c r="M782" s="84" t="str">
        <x:f>IFERROR(VLOOKUP(L782,'Reference Data'!$A$5:$F$40,2,FALSE),"Unknown Product")</x:f>
        <x:v>Ergonomic Chair</x:v>
      </x:c>
      <x:c r="N782" s="84" t="str">
        <x:f>IFERROR(VLOOKUP(L782,'Reference Data'!$A$5:$F$40,3,FALSE),"Unknown")</x:f>
        <x:v>Office</x:v>
      </x:c>
      <x:c r="O782" s="84" t="str">
        <x:f>IFERROR(VLOOKUP(L782,'Reference Data'!$A$5:$F$40,4,FALSE),"Unknown")</x:f>
        <x:v>Furniture</x:v>
      </x:c>
      <x:c r="P782" s="92" t="n">
        <x:f>IFERROR(VLOOKUP(L782,'Reference Data'!$A$5:$F$40,5,FALSE),0)</x:f>
        <x:v>249</x:v>
      </x:c>
      <x:c r="Q782" s="92" t="n">
        <x:f>IFERROR(VLOOKUP(L782,'Reference Data'!$A$5:$F$40,6,FALSE),0)</x:f>
        <x:v>145</x:v>
      </x:c>
      <x:c r="R782" s="84" t="n">
        <x:f>'Raw Sales'!J782</x:f>
        <x:v>2</x:v>
      </x:c>
      <x:c r="S782" s="87" t="n">
        <x:f>'Raw Sales'!K782</x:f>
        <x:v>0.1</x:v>
      </x:c>
      <x:c r="T782" s="93" t="n">
        <x:f>P782*R782</x:f>
        <x:v>498</x:v>
      </x:c>
      <x:c r="U782" s="93" t="n">
        <x:f>T782*S782</x:f>
        <x:v>49.800000000000004</x:v>
      </x:c>
      <x:c r="V782" s="93" t="str">
        <x:f>PROPER(TRIM('Raw Sales'!L782))</x:f>
        <x:v>Completed</x:v>
      </x:c>
      <x:c r="W782" s="93" t="n">
        <x:f>IF(V782="Returned",0,T782-U782)</x:f>
        <x:v>448.2</x:v>
      </x:c>
      <x:c r="X782" s="93" t="n">
        <x:f>IF(V782="Returned",Q782*R782*10%,Q782*R782)</x:f>
        <x:v>290</x:v>
      </x:c>
      <x:c r="Y782" s="93" t="n">
        <x:f>W782-X782</x:f>
        <x:v>158.2</x:v>
      </x:c>
      <x:c r="Z782" s="94" t="n">
        <x:f>IFERROR(Y782/W782,0)</x:f>
        <x:v>0.35296742525658187</x:v>
      </x:c>
      <x:c r="AA782" s="84" t="str">
        <x:f>PROPER(TRIM('Raw Sales'!M782))</x:f>
        <x:v>Debit Card</x:v>
      </x:c>
      <x:c r="AB782" s="84" t="str">
        <x:f>PROPER(TRIM('Raw Sales'!N782))</x:f>
        <x:v>Leo Martinez</x:v>
      </x:c>
      <x:c r="AC782" s="85" t="n">
        <x:f>'Raw Sales'!O782</x:f>
        <x:v>45570</x:v>
      </x:c>
      <x:c r="AD782" s="84" t="n">
        <x:f>AC782-B782</x:f>
        <x:v>0</x:v>
      </x:c>
      <x:c r="AE782" s="84" t="str">
        <x:f>IF(COUNTIF($A$5:A782,A782)&gt;1,"Duplicate","Keep")</x:f>
        <x:v>Keep</x:v>
      </x:c>
      <x:c r="AF782" s="84" t="str">
        <x:f>IF(OR(R782&lt;=0,AC782&lt;B782,H782="Unknown",M782="Unknown Product"),"Review","Valid")</x:f>
        <x:v>Valid</x:v>
      </x:c>
      <x:c r="AG782" s="84" t="n">
        <x:f>IF(AND(AE782="Keep",AF782="Valid"),1,0)</x:f>
        <x:v>1</x:v>
      </x:c>
      <x:c r="AH782" s="84" t="n">
        <x:f>IF(AND(AG782=1,OR('Dashboard'!$B$4="All",I782='Dashboard'!$B$4),OR('Dashboard'!$E$4="All",N782='Dashboard'!$E$4),OR('Dashboard'!$H$4="All",K782='Dashboard'!$H$4),OR('Dashboard'!$K$4="All",C782='Dashboard'!$K$4)),1,0)</x:f>
        <x:v>1</x:v>
      </x:c>
      <x:c r="AI782" s="84" t="n">
        <x:f>IF(AND(AG782=1,OR('Dashboard'!$B$4="All",I782='Dashboard'!$B$4),OR('Dashboard'!$E$4="All",N782='Dashboard'!$E$4),OR('Dashboard'!$H$4="All",K782='Dashboard'!$H$4)),1,0)</x:f>
        <x:v>1</x:v>
      </x:c>
    </x:row>
    <x:row r="783">
      <x:c r="A783" s="84" t="str">
        <x:f>'Raw Sales'!A783</x:f>
        <x:v>ORD-2024-01996</x:v>
      </x:c>
      <x:c r="B783" s="85" t="n">
        <x:f>'Raw Sales'!B783</x:f>
        <x:v>45571</x:v>
      </x:c>
      <x:c r="C783" s="84" t="n">
        <x:f>YEAR(B783)</x:f>
        <x:v>2024</x:v>
      </x:c>
      <x:c r="D783" s="91" t="n">
        <x:f>DATE(YEAR(B783),MONTH(B783),1)</x:f>
        <x:v>45566</x:v>
      </x:c>
      <x:c r="E783" s="84" t="str">
        <x:f>TEXT(B783,"mmm")</x:f>
        <x:v>Oct</x:v>
      </x:c>
      <x:c r="F783" s="84" t="str">
        <x:f>'Raw Sales'!C783</x:f>
        <x:v>CUST-0256</x:v>
      </x:c>
      <x:c r="G783" s="84" t="str">
        <x:f>PROPER(TRIM('Raw Sales'!D783))</x:f>
        <x:v>Elena Foster</x:v>
      </x:c>
      <x:c r="H783" s="84" t="str">
        <x:f>IF(TRIM('Raw Sales'!E783)="","Unknown",PROPER(TRIM('Raw Sales'!E783)))</x:f>
        <x:v>Consumer</x:v>
      </x:c>
      <x:c r="I783" s="84" t="str">
        <x:f>PROPER(TRIM('Raw Sales'!F783))</x:f>
        <x:v>Midwest</x:v>
      </x:c>
      <x:c r="J783" s="84" t="str">
        <x:f>PROPER(TRIM('Raw Sales'!G783))</x:f>
        <x:v>Detroit</x:v>
      </x:c>
      <x:c r="K783" s="84" t="str">
        <x:f>PROPER(TRIM('Raw Sales'!H783))</x:f>
        <x:v>Online</x:v>
      </x:c>
      <x:c r="L783" s="84" t="str">
        <x:f>'Raw Sales'!I783</x:f>
        <x:v>ELEC-002</x:v>
      </x:c>
      <x:c r="M783" s="84" t="str">
        <x:f>IFERROR(VLOOKUP(L783,'Reference Data'!$A$5:$F$40,2,FALSE),"Unknown Product")</x:f>
        <x:v>Smartwatch</x:v>
      </x:c>
      <x:c r="N783" s="84" t="str">
        <x:f>IFERROR(VLOOKUP(L783,'Reference Data'!$A$5:$F$40,3,FALSE),"Unknown")</x:f>
        <x:v>Electronics</x:v>
      </x:c>
      <x:c r="O783" s="84" t="str">
        <x:f>IFERROR(VLOOKUP(L783,'Reference Data'!$A$5:$F$40,4,FALSE),"Unknown")</x:f>
        <x:v>Wearables</x:v>
      </x:c>
      <x:c r="P783" s="92" t="n">
        <x:f>IFERROR(VLOOKUP(L783,'Reference Data'!$A$5:$F$40,5,FALSE),0)</x:f>
        <x:v>159</x:v>
      </x:c>
      <x:c r="Q783" s="92" t="n">
        <x:f>IFERROR(VLOOKUP(L783,'Reference Data'!$A$5:$F$40,6,FALSE),0)</x:f>
        <x:v>92</x:v>
      </x:c>
      <x:c r="R783" s="84" t="n">
        <x:f>'Raw Sales'!J783</x:f>
        <x:v>1</x:v>
      </x:c>
      <x:c r="S783" s="87" t="n">
        <x:f>'Raw Sales'!K783</x:f>
        <x:v>0.05</x:v>
      </x:c>
      <x:c r="T783" s="93" t="n">
        <x:f>P783*R783</x:f>
        <x:v>159</x:v>
      </x:c>
      <x:c r="U783" s="93" t="n">
        <x:f>T783*S783</x:f>
        <x:v>7.95</x:v>
      </x:c>
      <x:c r="V783" s="93" t="str">
        <x:f>PROPER(TRIM('Raw Sales'!L783))</x:f>
        <x:v>Completed</x:v>
      </x:c>
      <x:c r="W783" s="93" t="n">
        <x:f>IF(V783="Returned",0,T783-U783)</x:f>
        <x:v>151.05</x:v>
      </x:c>
      <x:c r="X783" s="93" t="n">
        <x:f>IF(V783="Returned",Q783*R783*10%,Q783*R783)</x:f>
        <x:v>92</x:v>
      </x:c>
      <x:c r="Y783" s="93" t="n">
        <x:f>W783-X783</x:f>
        <x:v>59.05000000000001</x:v>
      </x:c>
      <x:c r="Z783" s="94" t="n">
        <x:f>IFERROR(Y783/W783,0)</x:f>
        <x:v>0.39093015557762334</x:v>
      </x:c>
      <x:c r="AA783" s="84" t="str">
        <x:f>PROPER(TRIM('Raw Sales'!M783))</x:f>
        <x:v>Credit Card</x:v>
      </x:c>
      <x:c r="AB783" s="84" t="str">
        <x:f>PROPER(TRIM('Raw Sales'!N783))</x:f>
        <x:v>Emma Hayes</x:v>
      </x:c>
      <x:c r="AC783" s="85" t="n">
        <x:f>'Raw Sales'!O783</x:f>
        <x:v>45576</x:v>
      </x:c>
      <x:c r="AD783" s="84" t="n">
        <x:f>AC783-B783</x:f>
        <x:v>5</x:v>
      </x:c>
      <x:c r="AE783" s="84" t="str">
        <x:f>IF(COUNTIF($A$5:A783,A783)&gt;1,"Duplicate","Keep")</x:f>
        <x:v>Keep</x:v>
      </x:c>
      <x:c r="AF783" s="84" t="str">
        <x:f>IF(OR(R783&lt;=0,AC783&lt;B783,H783="Unknown",M783="Unknown Product"),"Review","Valid")</x:f>
        <x:v>Valid</x:v>
      </x:c>
      <x:c r="AG783" s="84" t="n">
        <x:f>IF(AND(AE783="Keep",AF783="Valid"),1,0)</x:f>
        <x:v>1</x:v>
      </x:c>
      <x:c r="AH783" s="84" t="n">
        <x:f>IF(AND(AG783=1,OR('Dashboard'!$B$4="All",I783='Dashboard'!$B$4),OR('Dashboard'!$E$4="All",N783='Dashboard'!$E$4),OR('Dashboard'!$H$4="All",K783='Dashboard'!$H$4),OR('Dashboard'!$K$4="All",C783='Dashboard'!$K$4)),1,0)</x:f>
        <x:v>1</x:v>
      </x:c>
      <x:c r="AI783" s="84" t="n">
        <x:f>IF(AND(AG783=1,OR('Dashboard'!$B$4="All",I783='Dashboard'!$B$4),OR('Dashboard'!$E$4="All",N783='Dashboard'!$E$4),OR('Dashboard'!$H$4="All",K783='Dashboard'!$H$4)),1,0)</x:f>
        <x:v>1</x:v>
      </x:c>
    </x:row>
    <x:row r="784">
      <x:c r="A784" s="84" t="str">
        <x:f>'Raw Sales'!A784</x:f>
        <x:v>ORD-2024-00348</x:v>
      </x:c>
      <x:c r="B784" s="85" t="n">
        <x:f>'Raw Sales'!B784</x:f>
        <x:v>45572</x:v>
      </x:c>
      <x:c r="C784" s="84" t="n">
        <x:f>YEAR(B784)</x:f>
        <x:v>2024</x:v>
      </x:c>
      <x:c r="D784" s="91" t="n">
        <x:f>DATE(YEAR(B784),MONTH(B784),1)</x:f>
        <x:v>45566</x:v>
      </x:c>
      <x:c r="E784" s="84" t="str">
        <x:f>TEXT(B784,"mmm")</x:f>
        <x:v>Oct</x:v>
      </x:c>
      <x:c r="F784" s="84" t="str">
        <x:f>'Raw Sales'!C784</x:f>
        <x:v>CUST-0281</x:v>
      </x:c>
      <x:c r="G784" s="84" t="str">
        <x:f>PROPER(TRIM('Raw Sales'!D784))</x:f>
        <x:v>Jonah Foster</x:v>
      </x:c>
      <x:c r="H784" s="84" t="str">
        <x:f>IF(TRIM('Raw Sales'!E784)="","Unknown",PROPER(TRIM('Raw Sales'!E784)))</x:f>
        <x:v>Consumer</x:v>
      </x:c>
      <x:c r="I784" s="84" t="str">
        <x:f>PROPER(TRIM('Raw Sales'!F784))</x:f>
        <x:v>Midwest</x:v>
      </x:c>
      <x:c r="J784" s="84" t="str">
        <x:f>PROPER(TRIM('Raw Sales'!G784))</x:f>
        <x:v>Detroit</x:v>
      </x:c>
      <x:c r="K784" s="84" t="str">
        <x:f>PROPER(TRIM('Raw Sales'!H784))</x:f>
        <x:v>Online</x:v>
      </x:c>
      <x:c r="L784" s="84" t="str">
        <x:f>'Raw Sales'!I784</x:f>
        <x:v>OFFC-002</x:v>
      </x:c>
      <x:c r="M784" s="84" t="str">
        <x:f>IFERROR(VLOOKUP(L784,'Reference Data'!$A$5:$F$40,2,FALSE),"Unknown Product")</x:f>
        <x:v>Standing Desk</x:v>
      </x:c>
      <x:c r="N784" s="84" t="str">
        <x:f>IFERROR(VLOOKUP(L784,'Reference Data'!$A$5:$F$40,3,FALSE),"Unknown")</x:f>
        <x:v>Office</x:v>
      </x:c>
      <x:c r="O784" s="84" t="str">
        <x:f>IFERROR(VLOOKUP(L784,'Reference Data'!$A$5:$F$40,4,FALSE),"Unknown")</x:f>
        <x:v>Furniture</x:v>
      </x:c>
      <x:c r="P784" s="92" t="n">
        <x:f>IFERROR(VLOOKUP(L784,'Reference Data'!$A$5:$F$40,5,FALSE),0)</x:f>
        <x:v>399</x:v>
      </x:c>
      <x:c r="Q784" s="92" t="n">
        <x:f>IFERROR(VLOOKUP(L784,'Reference Data'!$A$5:$F$40,6,FALSE),0)</x:f>
        <x:v>235</x:v>
      </x:c>
      <x:c r="R784" s="84" t="n">
        <x:f>'Raw Sales'!J784</x:f>
        <x:v>1</x:v>
      </x:c>
      <x:c r="S784" s="87" t="n">
        <x:f>'Raw Sales'!K784</x:f>
        <x:v>0.15</x:v>
      </x:c>
      <x:c r="T784" s="93" t="n">
        <x:f>P784*R784</x:f>
        <x:v>399</x:v>
      </x:c>
      <x:c r="U784" s="93" t="n">
        <x:f>T784*S784</x:f>
        <x:v>59.849999999999994</x:v>
      </x:c>
      <x:c r="V784" s="93" t="str">
        <x:f>PROPER(TRIM('Raw Sales'!L784))</x:f>
        <x:v>Completed</x:v>
      </x:c>
      <x:c r="W784" s="93" t="n">
        <x:f>IF(V784="Returned",0,T784-U784)</x:f>
        <x:v>339.15</x:v>
      </x:c>
      <x:c r="X784" s="93" t="n">
        <x:f>IF(V784="Returned",Q784*R784*10%,Q784*R784)</x:f>
        <x:v>235</x:v>
      </x:c>
      <x:c r="Y784" s="93" t="n">
        <x:f>W784-X784</x:f>
        <x:v>104.14999999999998</x:v>
      </x:c>
      <x:c r="Z784" s="94" t="n">
        <x:f>IFERROR(Y784/W784,0)</x:f>
        <x:v>0.3070912575556538</x:v>
      </x:c>
      <x:c r="AA784" s="84" t="str">
        <x:f>PROPER(TRIM('Raw Sales'!M784))</x:f>
        <x:v>Debit Card</x:v>
      </x:c>
      <x:c r="AB784" s="84" t="str">
        <x:f>PROPER(TRIM('Raw Sales'!N784))</x:f>
        <x:v>Lucas Grant</x:v>
      </x:c>
      <x:c r="AC784" s="85" t="n">
        <x:f>'Raw Sales'!O784</x:f>
        <x:v>45576</x:v>
      </x:c>
      <x:c r="AD784" s="84" t="n">
        <x:f>AC784-B784</x:f>
        <x:v>4</x:v>
      </x:c>
      <x:c r="AE784" s="84" t="str">
        <x:f>IF(COUNTIF($A$5:A784,A784)&gt;1,"Duplicate","Keep")</x:f>
        <x:v>Keep</x:v>
      </x:c>
      <x:c r="AF784" s="84" t="str">
        <x:f>IF(OR(R784&lt;=0,AC784&lt;B784,H784="Unknown",M784="Unknown Product"),"Review","Valid")</x:f>
        <x:v>Valid</x:v>
      </x:c>
      <x:c r="AG784" s="84" t="n">
        <x:f>IF(AND(AE784="Keep",AF784="Valid"),1,0)</x:f>
        <x:v>1</x:v>
      </x:c>
      <x:c r="AH784" s="84" t="n">
        <x:f>IF(AND(AG784=1,OR('Dashboard'!$B$4="All",I784='Dashboard'!$B$4),OR('Dashboard'!$E$4="All",N784='Dashboard'!$E$4),OR('Dashboard'!$H$4="All",K784='Dashboard'!$H$4),OR('Dashboard'!$K$4="All",C784='Dashboard'!$K$4)),1,0)</x:f>
        <x:v>1</x:v>
      </x:c>
      <x:c r="AI784" s="84" t="n">
        <x:f>IF(AND(AG784=1,OR('Dashboard'!$B$4="All",I784='Dashboard'!$B$4),OR('Dashboard'!$E$4="All",N784='Dashboard'!$E$4),OR('Dashboard'!$H$4="All",K784='Dashboard'!$H$4)),1,0)</x:f>
        <x:v>1</x:v>
      </x:c>
    </x:row>
    <x:row r="785">
      <x:c r="A785" s="84" t="str">
        <x:f>'Raw Sales'!A785</x:f>
        <x:v>ORD-2024-00479</x:v>
      </x:c>
      <x:c r="B785" s="85" t="n">
        <x:f>'Raw Sales'!B785</x:f>
        <x:v>45572</x:v>
      </x:c>
      <x:c r="C785" s="84" t="n">
        <x:f>YEAR(B785)</x:f>
        <x:v>2024</x:v>
      </x:c>
      <x:c r="D785" s="91" t="n">
        <x:f>DATE(YEAR(B785),MONTH(B785),1)</x:f>
        <x:v>45566</x:v>
      </x:c>
      <x:c r="E785" s="84" t="str">
        <x:f>TEXT(B785,"mmm")</x:f>
        <x:v>Oct</x:v>
      </x:c>
      <x:c r="F785" s="84" t="str">
        <x:f>'Raw Sales'!C785</x:f>
        <x:v>CUST-0374</x:v>
      </x:c>
      <x:c r="G785" s="84" t="str">
        <x:f>PROPER(TRIM('Raw Sales'!D785))</x:f>
        <x:v>Priya Lewis</x:v>
      </x:c>
      <x:c r="H785" s="84" t="str">
        <x:f>IF(TRIM('Raw Sales'!E785)="","Unknown",PROPER(TRIM('Raw Sales'!E785)))</x:f>
        <x:v>Corporate</x:v>
      </x:c>
      <x:c r="I785" s="84" t="str">
        <x:f>PROPER(TRIM('Raw Sales'!F785))</x:f>
        <x:v>Southeast</x:v>
      </x:c>
      <x:c r="J785" s="84" t="str">
        <x:f>PROPER(TRIM('Raw Sales'!G785))</x:f>
        <x:v>Miami</x:v>
      </x:c>
      <x:c r="K785" s="84" t="str">
        <x:f>PROPER(TRIM('Raw Sales'!H785))</x:f>
        <x:v>Retail Store</x:v>
      </x:c>
      <x:c r="L785" s="84" t="str">
        <x:f>'Raw Sales'!I785</x:f>
        <x:v>OFFC-002</x:v>
      </x:c>
      <x:c r="M785" s="84" t="str">
        <x:f>IFERROR(VLOOKUP(L785,'Reference Data'!$A$5:$F$40,2,FALSE),"Unknown Product")</x:f>
        <x:v>Standing Desk</x:v>
      </x:c>
      <x:c r="N785" s="84" t="str">
        <x:f>IFERROR(VLOOKUP(L785,'Reference Data'!$A$5:$F$40,3,FALSE),"Unknown")</x:f>
        <x:v>Office</x:v>
      </x:c>
      <x:c r="O785" s="84" t="str">
        <x:f>IFERROR(VLOOKUP(L785,'Reference Data'!$A$5:$F$40,4,FALSE),"Unknown")</x:f>
        <x:v>Furniture</x:v>
      </x:c>
      <x:c r="P785" s="92" t="n">
        <x:f>IFERROR(VLOOKUP(L785,'Reference Data'!$A$5:$F$40,5,FALSE),0)</x:f>
        <x:v>399</x:v>
      </x:c>
      <x:c r="Q785" s="92" t="n">
        <x:f>IFERROR(VLOOKUP(L785,'Reference Data'!$A$5:$F$40,6,FALSE),0)</x:f>
        <x:v>235</x:v>
      </x:c>
      <x:c r="R785" s="84" t="n">
        <x:f>'Raw Sales'!J785</x:f>
        <x:v>2</x:v>
      </x:c>
      <x:c r="S785" s="87" t="n">
        <x:f>'Raw Sales'!K785</x:f>
        <x:v>0.15</x:v>
      </x:c>
      <x:c r="T785" s="93" t="n">
        <x:f>P785*R785</x:f>
        <x:v>798</x:v>
      </x:c>
      <x:c r="U785" s="93" t="n">
        <x:f>T785*S785</x:f>
        <x:v>119.69999999999999</x:v>
      </x:c>
      <x:c r="V785" s="93" t="str">
        <x:f>PROPER(TRIM('Raw Sales'!L785))</x:f>
        <x:v>Completed</x:v>
      </x:c>
      <x:c r="W785" s="93" t="n">
        <x:f>IF(V785="Returned",0,T785-U785)</x:f>
        <x:v>678.3</x:v>
      </x:c>
      <x:c r="X785" s="93" t="n">
        <x:f>IF(V785="Returned",Q785*R785*10%,Q785*R785)</x:f>
        <x:v>470</x:v>
      </x:c>
      <x:c r="Y785" s="93" t="n">
        <x:f>W785-X785</x:f>
        <x:v>208.29999999999995</x:v>
      </x:c>
      <x:c r="Z785" s="94" t="n">
        <x:f>IFERROR(Y785/W785,0)</x:f>
        <x:v>0.3070912575556538</x:v>
      </x:c>
      <x:c r="AA785" s="84" t="str">
        <x:f>PROPER(TRIM('Raw Sales'!M785))</x:f>
        <x:v>Credit Card</x:v>
      </x:c>
      <x:c r="AB785" s="84" t="str">
        <x:f>PROPER(TRIM('Raw Sales'!N785))</x:f>
        <x:v>Noah Reed</x:v>
      </x:c>
      <x:c r="AC785" s="85" t="n">
        <x:f>'Raw Sales'!O785</x:f>
        <x:v>45572</x:v>
      </x:c>
      <x:c r="AD785" s="84" t="n">
        <x:f>AC785-B785</x:f>
        <x:v>0</x:v>
      </x:c>
      <x:c r="AE785" s="84" t="str">
        <x:f>IF(COUNTIF($A$5:A785,A785)&gt;1,"Duplicate","Keep")</x:f>
        <x:v>Keep</x:v>
      </x:c>
      <x:c r="AF785" s="84" t="str">
        <x:f>IF(OR(R785&lt;=0,AC785&lt;B785,H785="Unknown",M785="Unknown Product"),"Review","Valid")</x:f>
        <x:v>Valid</x:v>
      </x:c>
      <x:c r="AG785" s="84" t="n">
        <x:f>IF(AND(AE785="Keep",AF785="Valid"),1,0)</x:f>
        <x:v>1</x:v>
      </x:c>
      <x:c r="AH785" s="84" t="n">
        <x:f>IF(AND(AG785=1,OR('Dashboard'!$B$4="All",I785='Dashboard'!$B$4),OR('Dashboard'!$E$4="All",N785='Dashboard'!$E$4),OR('Dashboard'!$H$4="All",K785='Dashboard'!$H$4),OR('Dashboard'!$K$4="All",C785='Dashboard'!$K$4)),1,0)</x:f>
        <x:v>1</x:v>
      </x:c>
      <x:c r="AI785" s="84" t="n">
        <x:f>IF(AND(AG785=1,OR('Dashboard'!$B$4="All",I785='Dashboard'!$B$4),OR('Dashboard'!$E$4="All",N785='Dashboard'!$E$4),OR('Dashboard'!$H$4="All",K785='Dashboard'!$H$4)),1,0)</x:f>
        <x:v>1</x:v>
      </x:c>
    </x:row>
    <x:row r="786">
      <x:c r="A786" s="84" t="str">
        <x:f>'Raw Sales'!A786</x:f>
        <x:v>ORD-2024-00390</x:v>
      </x:c>
      <x:c r="B786" s="85" t="n">
        <x:f>'Raw Sales'!B786</x:f>
        <x:v>45573</x:v>
      </x:c>
      <x:c r="C786" s="84" t="n">
        <x:f>YEAR(B786)</x:f>
        <x:v>2024</x:v>
      </x:c>
      <x:c r="D786" s="91" t="n">
        <x:f>DATE(YEAR(B786),MONTH(B786),1)</x:f>
        <x:v>45566</x:v>
      </x:c>
      <x:c r="E786" s="84" t="str">
        <x:f>TEXT(B786,"mmm")</x:f>
        <x:v>Oct</x:v>
      </x:c>
      <x:c r="F786" s="84" t="str">
        <x:f>'Raw Sales'!C786</x:f>
        <x:v>CUST-0424</x:v>
      </x:c>
      <x:c r="G786" s="84" t="str">
        <x:f>PROPER(TRIM('Raw Sales'!D786))</x:f>
        <x:v>Layla Quinn</x:v>
      </x:c>
      <x:c r="H786" s="84" t="str">
        <x:f>IF(TRIM('Raw Sales'!E786)="","Unknown",PROPER(TRIM('Raw Sales'!E786)))</x:f>
        <x:v>Consumer</x:v>
      </x:c>
      <x:c r="I786" s="84" t="str">
        <x:f>PROPER(TRIM('Raw Sales'!F786))</x:f>
        <x:v>Southeast</x:v>
      </x:c>
      <x:c r="J786" s="84" t="str">
        <x:f>PROPER(TRIM('Raw Sales'!G786))</x:f>
        <x:v>Miami</x:v>
      </x:c>
      <x:c r="K786" s="84" t="str">
        <x:f>PROPER(TRIM('Raw Sales'!H786))</x:f>
        <x:v>Retail Store</x:v>
      </x:c>
      <x:c r="L786" s="84" t="str">
        <x:f>'Raw Sales'!I786</x:f>
        <x:v>ELEC-004</x:v>
      </x:c>
      <x:c r="M786" s="84" t="str">
        <x:f>IFERROR(VLOOKUP(L786,'Reference Data'!$A$5:$F$40,2,FALSE),"Unknown Product")</x:f>
        <x:v>Power Bank</x:v>
      </x:c>
      <x:c r="N786" s="84" t="str">
        <x:f>IFERROR(VLOOKUP(L786,'Reference Data'!$A$5:$F$40,3,FALSE),"Unknown")</x:f>
        <x:v>Electronics</x:v>
      </x:c>
      <x:c r="O786" s="84" t="str">
        <x:f>IFERROR(VLOOKUP(L786,'Reference Data'!$A$5:$F$40,4,FALSE),"Unknown")</x:f>
        <x:v>Mobile Accessories</x:v>
      </x:c>
      <x:c r="P786" s="92" t="n">
        <x:f>IFERROR(VLOOKUP(L786,'Reference Data'!$A$5:$F$40,5,FALSE),0)</x:f>
        <x:v>39</x:v>
      </x:c>
      <x:c r="Q786" s="92" t="n">
        <x:f>IFERROR(VLOOKUP(L786,'Reference Data'!$A$5:$F$40,6,FALSE),0)</x:f>
        <x:v>18</x:v>
      </x:c>
      <x:c r="R786" s="84" t="n">
        <x:f>'Raw Sales'!J786</x:f>
        <x:v>2</x:v>
      </x:c>
      <x:c r="S786" s="87" t="n">
        <x:f>'Raw Sales'!K786</x:f>
        <x:v>0.1</x:v>
      </x:c>
      <x:c r="T786" s="93" t="n">
        <x:f>P786*R786</x:f>
        <x:v>78</x:v>
      </x:c>
      <x:c r="U786" s="93" t="n">
        <x:f>T786*S786</x:f>
        <x:v>7.800000000000001</x:v>
      </x:c>
      <x:c r="V786" s="93" t="str">
        <x:f>PROPER(TRIM('Raw Sales'!L786))</x:f>
        <x:v>Completed</x:v>
      </x:c>
      <x:c r="W786" s="93" t="n">
        <x:f>IF(V786="Returned",0,T786-U786)</x:f>
        <x:v>70.2</x:v>
      </x:c>
      <x:c r="X786" s="93" t="n">
        <x:f>IF(V786="Returned",Q786*R786*10%,Q786*R786)</x:f>
        <x:v>36</x:v>
      </x:c>
      <x:c r="Y786" s="93" t="n">
        <x:f>W786-X786</x:f>
        <x:v>34.2</x:v>
      </x:c>
      <x:c r="Z786" s="94" t="n">
        <x:f>IFERROR(Y786/W786,0)</x:f>
        <x:v>0.4871794871794872</x:v>
      </x:c>
      <x:c r="AA786" s="84" t="str">
        <x:f>PROPER(TRIM('Raw Sales'!M786))</x:f>
        <x:v>Cash</x:v>
      </x:c>
      <x:c r="AB786" s="84" t="str">
        <x:f>PROPER(TRIM('Raw Sales'!N786))</x:f>
        <x:v>Noah Reed</x:v>
      </x:c>
      <x:c r="AC786" s="85" t="n">
        <x:f>'Raw Sales'!O786</x:f>
        <x:v>45574</x:v>
      </x:c>
      <x:c r="AD786" s="84" t="n">
        <x:f>AC786-B786</x:f>
        <x:v>1</x:v>
      </x:c>
      <x:c r="AE786" s="84" t="str">
        <x:f>IF(COUNTIF($A$5:A786,A786)&gt;1,"Duplicate","Keep")</x:f>
        <x:v>Keep</x:v>
      </x:c>
      <x:c r="AF786" s="84" t="str">
        <x:f>IF(OR(R786&lt;=0,AC786&lt;B786,H786="Unknown",M786="Unknown Product"),"Review","Valid")</x:f>
        <x:v>Valid</x:v>
      </x:c>
      <x:c r="AG786" s="84" t="n">
        <x:f>IF(AND(AE786="Keep",AF786="Valid"),1,0)</x:f>
        <x:v>1</x:v>
      </x:c>
      <x:c r="AH786" s="84" t="n">
        <x:f>IF(AND(AG786=1,OR('Dashboard'!$B$4="All",I786='Dashboard'!$B$4),OR('Dashboard'!$E$4="All",N786='Dashboard'!$E$4),OR('Dashboard'!$H$4="All",K786='Dashboard'!$H$4),OR('Dashboard'!$K$4="All",C786='Dashboard'!$K$4)),1,0)</x:f>
        <x:v>1</x:v>
      </x:c>
      <x:c r="AI786" s="84" t="n">
        <x:f>IF(AND(AG786=1,OR('Dashboard'!$B$4="All",I786='Dashboard'!$B$4),OR('Dashboard'!$E$4="All",N786='Dashboard'!$E$4),OR('Dashboard'!$H$4="All",K786='Dashboard'!$H$4)),1,0)</x:f>
        <x:v>1</x:v>
      </x:c>
    </x:row>
    <x:row r="787">
      <x:c r="A787" s="84" t="str">
        <x:f>'Raw Sales'!A787</x:f>
        <x:v>ORD-2024-00435</x:v>
      </x:c>
      <x:c r="B787" s="85" t="n">
        <x:f>'Raw Sales'!B787</x:f>
        <x:v>45573</x:v>
      </x:c>
      <x:c r="C787" s="84" t="n">
        <x:f>YEAR(B787)</x:f>
        <x:v>2024</x:v>
      </x:c>
      <x:c r="D787" s="91" t="n">
        <x:f>DATE(YEAR(B787),MONTH(B787),1)</x:f>
        <x:v>45566</x:v>
      </x:c>
      <x:c r="E787" s="84" t="str">
        <x:f>TEXT(B787,"mmm")</x:f>
        <x:v>Oct</x:v>
      </x:c>
      <x:c r="F787" s="84" t="str">
        <x:f>'Raw Sales'!C787</x:f>
        <x:v>CUST-0561</x:v>
      </x:c>
      <x:c r="G787" s="84" t="str">
        <x:f>PROPER(TRIM('Raw Sales'!D787))</x:f>
        <x:v>Marcus Johnson</x:v>
      </x:c>
      <x:c r="H787" s="84" t="str">
        <x:f>IF(TRIM('Raw Sales'!E787)="","Unknown",PROPER(TRIM('Raw Sales'!E787)))</x:f>
        <x:v>Consumer</x:v>
      </x:c>
      <x:c r="I787" s="84" t="str">
        <x:f>PROPER(TRIM('Raw Sales'!F787))</x:f>
        <x:v>Southeast</x:v>
      </x:c>
      <x:c r="J787" s="84" t="str">
        <x:f>PROPER(TRIM('Raw Sales'!G787))</x:f>
        <x:v>Nashville</x:v>
      </x:c>
      <x:c r="K787" s="84" t="str">
        <x:f>PROPER(TRIM('Raw Sales'!H787))</x:f>
        <x:v>Marketplace</x:v>
      </x:c>
      <x:c r="L787" s="84" t="str">
        <x:f>'Raw Sales'!I787</x:f>
        <x:v>ELEC-003</x:v>
      </x:c>
      <x:c r="M787" s="84" t="str">
        <x:f>IFERROR(VLOOKUP(L787,'Reference Data'!$A$5:$F$40,2,FALSE),"Unknown Product")</x:f>
        <x:v>Bluetooth Speaker</x:v>
      </x:c>
      <x:c r="N787" s="84" t="str">
        <x:f>IFERROR(VLOOKUP(L787,'Reference Data'!$A$5:$F$40,3,FALSE),"Unknown")</x:f>
        <x:v>Electronics</x:v>
      </x:c>
      <x:c r="O787" s="84" t="str">
        <x:f>IFERROR(VLOOKUP(L787,'Reference Data'!$A$5:$F$40,4,FALSE),"Unknown")</x:f>
        <x:v>Audio</x:v>
      </x:c>
      <x:c r="P787" s="92" t="n">
        <x:f>IFERROR(VLOOKUP(L787,'Reference Data'!$A$5:$F$40,5,FALSE),0)</x:f>
        <x:v>89</x:v>
      </x:c>
      <x:c r="Q787" s="92" t="n">
        <x:f>IFERROR(VLOOKUP(L787,'Reference Data'!$A$5:$F$40,6,FALSE),0)</x:f>
        <x:v>44</x:v>
      </x:c>
      <x:c r="R787" s="84" t="n">
        <x:f>'Raw Sales'!J787</x:f>
        <x:v>3</x:v>
      </x:c>
      <x:c r="S787" s="87" t="n">
        <x:f>'Raw Sales'!K787</x:f>
        <x:v>0.1</x:v>
      </x:c>
      <x:c r="T787" s="93" t="n">
        <x:f>P787*R787</x:f>
        <x:v>267</x:v>
      </x:c>
      <x:c r="U787" s="93" t="n">
        <x:f>T787*S787</x:f>
        <x:v>26.700000000000003</x:v>
      </x:c>
      <x:c r="V787" s="93" t="str">
        <x:f>PROPER(TRIM('Raw Sales'!L787))</x:f>
        <x:v>Returned</x:v>
      </x:c>
      <x:c r="W787" s="93" t="n">
        <x:f>IF(V787="Returned",0,T787-U787)</x:f>
        <x:v>0</x:v>
      </x:c>
      <x:c r="X787" s="93" t="n">
        <x:f>IF(V787="Returned",Q787*R787*10%,Q787*R787)</x:f>
        <x:v>13.200000000000001</x:v>
      </x:c>
      <x:c r="Y787" s="93" t="n">
        <x:f>W787-X787</x:f>
        <x:v>-13.200000000000001</x:v>
      </x:c>
      <x:c r="Z787" s="94" t="n">
        <x:f>IFERROR(Y787/W787,0)</x:f>
        <x:v>0</x:v>
      </x:c>
      <x:c r="AA787" s="84" t="str">
        <x:f>PROPER(TRIM('Raw Sales'!M787))</x:f>
        <x:v>Credit Card</x:v>
      </x:c>
      <x:c r="AB787" s="84" t="str">
        <x:f>PROPER(TRIM('Raw Sales'!N787))</x:f>
        <x:v>Ava Mitchell</x:v>
      </x:c>
      <x:c r="AC787" s="85" t="n">
        <x:f>'Raw Sales'!O787</x:f>
        <x:v>45580</x:v>
      </x:c>
      <x:c r="AD787" s="84" t="n">
        <x:f>AC787-B787</x:f>
        <x:v>7</x:v>
      </x:c>
      <x:c r="AE787" s="84" t="str">
        <x:f>IF(COUNTIF($A$5:A787,A787)&gt;1,"Duplicate","Keep")</x:f>
        <x:v>Keep</x:v>
      </x:c>
      <x:c r="AF787" s="84" t="str">
        <x:f>IF(OR(R787&lt;=0,AC787&lt;B787,H787="Unknown",M787="Unknown Product"),"Review","Valid")</x:f>
        <x:v>Valid</x:v>
      </x:c>
      <x:c r="AG787" s="84" t="n">
        <x:f>IF(AND(AE787="Keep",AF787="Valid"),1,0)</x:f>
        <x:v>1</x:v>
      </x:c>
      <x:c r="AH787" s="84" t="n">
        <x:f>IF(AND(AG787=1,OR('Dashboard'!$B$4="All",I787='Dashboard'!$B$4),OR('Dashboard'!$E$4="All",N787='Dashboard'!$E$4),OR('Dashboard'!$H$4="All",K787='Dashboard'!$H$4),OR('Dashboard'!$K$4="All",C787='Dashboard'!$K$4)),1,0)</x:f>
        <x:v>1</x:v>
      </x:c>
      <x:c r="AI787" s="84" t="n">
        <x:f>IF(AND(AG787=1,OR('Dashboard'!$B$4="All",I787='Dashboard'!$B$4),OR('Dashboard'!$E$4="All",N787='Dashboard'!$E$4),OR('Dashboard'!$H$4="All",K787='Dashboard'!$H$4)),1,0)</x:f>
        <x:v>1</x:v>
      </x:c>
    </x:row>
    <x:row r="788">
      <x:c r="A788" s="84" t="str">
        <x:f>'Raw Sales'!A788</x:f>
        <x:v>ORD-2024-00834</x:v>
      </x:c>
      <x:c r="B788" s="85" t="n">
        <x:f>'Raw Sales'!B788</x:f>
        <x:v>45573</x:v>
      </x:c>
      <x:c r="C788" s="84" t="n">
        <x:f>YEAR(B788)</x:f>
        <x:v>2024</x:v>
      </x:c>
      <x:c r="D788" s="91" t="n">
        <x:f>DATE(YEAR(B788),MONTH(B788),1)</x:f>
        <x:v>45566</x:v>
      </x:c>
      <x:c r="E788" s="84" t="str">
        <x:f>TEXT(B788,"mmm")</x:f>
        <x:v>Oct</x:v>
      </x:c>
      <x:c r="F788" s="84" t="str">
        <x:f>'Raw Sales'!C788</x:f>
        <x:v>CUST-0489</x:v>
      </x:c>
      <x:c r="G788" s="84" t="str">
        <x:f>PROPER(TRIM('Raw Sales'!D788))</x:f>
        <x:v>William Quinn</x:v>
      </x:c>
      <x:c r="H788" s="84" t="str">
        <x:f>IF(TRIM('Raw Sales'!E788)="","Unknown",PROPER(TRIM('Raw Sales'!E788)))</x:f>
        <x:v>Consumer</x:v>
      </x:c>
      <x:c r="I788" s="84" t="str">
        <x:f>PROPER(TRIM('Raw Sales'!F788))</x:f>
        <x:v>West</x:v>
      </x:c>
      <x:c r="J788" s="84" t="str">
        <x:f>PROPER(TRIM('Raw Sales'!G788))</x:f>
        <x:v>Los Angeles</x:v>
      </x:c>
      <x:c r="K788" s="84" t="str">
        <x:f>PROPER(TRIM('Raw Sales'!H788))</x:f>
        <x:v>Retail Store</x:v>
      </x:c>
      <x:c r="L788" s="84" t="str">
        <x:f>'Raw Sales'!I788</x:f>
        <x:v>FITN-001</x:v>
      </x:c>
      <x:c r="M788" s="84" t="str">
        <x:f>IFERROR(VLOOKUP(L788,'Reference Data'!$A$5:$F$40,2,FALSE),"Unknown Product")</x:f>
        <x:v>Yoga Mat</x:v>
      </x:c>
      <x:c r="N788" s="84" t="str">
        <x:f>IFERROR(VLOOKUP(L788,'Reference Data'!$A$5:$F$40,3,FALSE),"Unknown")</x:f>
        <x:v>Fitness</x:v>
      </x:c>
      <x:c r="O788" s="84" t="str">
        <x:f>IFERROR(VLOOKUP(L788,'Reference Data'!$A$5:$F$40,4,FALSE),"Unknown")</x:f>
        <x:v>Yoga</x:v>
      </x:c>
      <x:c r="P788" s="92" t="n">
        <x:f>IFERROR(VLOOKUP(L788,'Reference Data'!$A$5:$F$40,5,FALSE),0)</x:f>
        <x:v>35</x:v>
      </x:c>
      <x:c r="Q788" s="92" t="n">
        <x:f>IFERROR(VLOOKUP(L788,'Reference Data'!$A$5:$F$40,6,FALSE),0)</x:f>
        <x:v>13</x:v>
      </x:c>
      <x:c r="R788" s="84" t="n">
        <x:f>'Raw Sales'!J788</x:f>
        <x:v>3</x:v>
      </x:c>
      <x:c r="S788" s="87" t="n">
        <x:f>'Raw Sales'!K788</x:f>
        <x:v>0.15</x:v>
      </x:c>
      <x:c r="T788" s="93" t="n">
        <x:f>P788*R788</x:f>
        <x:v>105</x:v>
      </x:c>
      <x:c r="U788" s="93" t="n">
        <x:f>T788*S788</x:f>
        <x:v>15.75</x:v>
      </x:c>
      <x:c r="V788" s="93" t="str">
        <x:f>PROPER(TRIM('Raw Sales'!L788))</x:f>
        <x:v>Completed</x:v>
      </x:c>
      <x:c r="W788" s="93" t="n">
        <x:f>IF(V788="Returned",0,T788-U788)</x:f>
        <x:v>89.25</x:v>
      </x:c>
      <x:c r="X788" s="93" t="n">
        <x:f>IF(V788="Returned",Q788*R788*10%,Q788*R788)</x:f>
        <x:v>39</x:v>
      </x:c>
      <x:c r="Y788" s="93" t="n">
        <x:f>W788-X788</x:f>
        <x:v>50.25</x:v>
      </x:c>
      <x:c r="Z788" s="94" t="n">
        <x:f>IFERROR(Y788/W788,0)</x:f>
        <x:v>0.5630252100840336</x:v>
      </x:c>
      <x:c r="AA788" s="84" t="str">
        <x:f>PROPER(TRIM('Raw Sales'!M788))</x:f>
        <x:v>Mobile Wallet</x:v>
      </x:c>
      <x:c r="AB788" s="84" t="str">
        <x:f>PROPER(TRIM('Raw Sales'!N788))</x:f>
        <x:v>Nora Kim</x:v>
      </x:c>
      <x:c r="AC788" s="85" t="n">
        <x:f>'Raw Sales'!O788</x:f>
        <x:v>45573</x:v>
      </x:c>
      <x:c r="AD788" s="84" t="n">
        <x:f>AC788-B788</x:f>
        <x:v>0</x:v>
      </x:c>
      <x:c r="AE788" s="84" t="str">
        <x:f>IF(COUNTIF($A$5:A788,A788)&gt;1,"Duplicate","Keep")</x:f>
        <x:v>Keep</x:v>
      </x:c>
      <x:c r="AF788" s="84" t="str">
        <x:f>IF(OR(R788&lt;=0,AC788&lt;B788,H788="Unknown",M788="Unknown Product"),"Review","Valid")</x:f>
        <x:v>Valid</x:v>
      </x:c>
      <x:c r="AG788" s="84" t="n">
        <x:f>IF(AND(AE788="Keep",AF788="Valid"),1,0)</x:f>
        <x:v>1</x:v>
      </x:c>
      <x:c r="AH788" s="84" t="n">
        <x:f>IF(AND(AG788=1,OR('Dashboard'!$B$4="All",I788='Dashboard'!$B$4),OR('Dashboard'!$E$4="All",N788='Dashboard'!$E$4),OR('Dashboard'!$H$4="All",K788='Dashboard'!$H$4),OR('Dashboard'!$K$4="All",C788='Dashboard'!$K$4)),1,0)</x:f>
        <x:v>1</x:v>
      </x:c>
      <x:c r="AI788" s="84" t="n">
        <x:f>IF(AND(AG788=1,OR('Dashboard'!$B$4="All",I788='Dashboard'!$B$4),OR('Dashboard'!$E$4="All",N788='Dashboard'!$E$4),OR('Dashboard'!$H$4="All",K788='Dashboard'!$H$4)),1,0)</x:f>
        <x:v>1</x:v>
      </x:c>
    </x:row>
    <x:row r="789">
      <x:c r="A789" s="84" t="str">
        <x:f>'Raw Sales'!A789</x:f>
        <x:v>ORD-2024-01233</x:v>
      </x:c>
      <x:c r="B789" s="85" t="n">
        <x:f>'Raw Sales'!B789</x:f>
        <x:v>45573</x:v>
      </x:c>
      <x:c r="C789" s="84" t="n">
        <x:f>YEAR(B789)</x:f>
        <x:v>2024</x:v>
      </x:c>
      <x:c r="D789" s="91" t="n">
        <x:f>DATE(YEAR(B789),MONTH(B789),1)</x:f>
        <x:v>45566</x:v>
      </x:c>
      <x:c r="E789" s="84" t="str">
        <x:f>TEXT(B789,"mmm")</x:f>
        <x:v>Oct</x:v>
      </x:c>
      <x:c r="F789" s="84" t="str">
        <x:f>'Raw Sales'!C789</x:f>
        <x:v>CUST-0478</x:v>
      </x:c>
      <x:c r="G789" s="84" t="str">
        <x:f>PROPER(TRIM('Raw Sales'!D789))</x:f>
        <x:v>Owen Smith</x:v>
      </x:c>
      <x:c r="H789" s="84" t="str">
        <x:f>IF(TRIM('Raw Sales'!E789)="","Unknown",PROPER(TRIM('Raw Sales'!E789)))</x:f>
        <x:v>Small Business</x:v>
      </x:c>
      <x:c r="I789" s="84" t="str">
        <x:f>PROPER(TRIM('Raw Sales'!F789))</x:f>
        <x:v>Northeast</x:v>
      </x:c>
      <x:c r="J789" s="84" t="str">
        <x:f>PROPER(TRIM('Raw Sales'!G789))</x:f>
        <x:v>New York</x:v>
      </x:c>
      <x:c r="K789" s="84" t="str">
        <x:f>PROPER(TRIM('Raw Sales'!H789))</x:f>
        <x:v>Online</x:v>
      </x:c>
      <x:c r="L789" s="84" t="str">
        <x:f>'Raw Sales'!I789</x:f>
        <x:v>FITN-001</x:v>
      </x:c>
      <x:c r="M789" s="84" t="str">
        <x:f>IFERROR(VLOOKUP(L789,'Reference Data'!$A$5:$F$40,2,FALSE),"Unknown Product")</x:f>
        <x:v>Yoga Mat</x:v>
      </x:c>
      <x:c r="N789" s="84" t="str">
        <x:f>IFERROR(VLOOKUP(L789,'Reference Data'!$A$5:$F$40,3,FALSE),"Unknown")</x:f>
        <x:v>Fitness</x:v>
      </x:c>
      <x:c r="O789" s="84" t="str">
        <x:f>IFERROR(VLOOKUP(L789,'Reference Data'!$A$5:$F$40,4,FALSE),"Unknown")</x:f>
        <x:v>Yoga</x:v>
      </x:c>
      <x:c r="P789" s="92" t="n">
        <x:f>IFERROR(VLOOKUP(L789,'Reference Data'!$A$5:$F$40,5,FALSE),0)</x:f>
        <x:v>35</x:v>
      </x:c>
      <x:c r="Q789" s="92" t="n">
        <x:f>IFERROR(VLOOKUP(L789,'Reference Data'!$A$5:$F$40,6,FALSE),0)</x:f>
        <x:v>13</x:v>
      </x:c>
      <x:c r="R789" s="84" t="n">
        <x:f>'Raw Sales'!J789</x:f>
        <x:v>4</x:v>
      </x:c>
      <x:c r="S789" s="87" t="n">
        <x:f>'Raw Sales'!K789</x:f>
        <x:v>0.05</x:v>
      </x:c>
      <x:c r="T789" s="93" t="n">
        <x:f>P789*R789</x:f>
        <x:v>140</x:v>
      </x:c>
      <x:c r="U789" s="93" t="n">
        <x:f>T789*S789</x:f>
        <x:v>7</x:v>
      </x:c>
      <x:c r="V789" s="93" t="str">
        <x:f>PROPER(TRIM('Raw Sales'!L789))</x:f>
        <x:v>Completed</x:v>
      </x:c>
      <x:c r="W789" s="93" t="n">
        <x:f>IF(V789="Returned",0,T789-U789)</x:f>
        <x:v>133</x:v>
      </x:c>
      <x:c r="X789" s="93" t="n">
        <x:f>IF(V789="Returned",Q789*R789*10%,Q789*R789)</x:f>
        <x:v>52</x:v>
      </x:c>
      <x:c r="Y789" s="93" t="n">
        <x:f>W789-X789</x:f>
        <x:v>81</x:v>
      </x:c>
      <x:c r="Z789" s="94" t="n">
        <x:f>IFERROR(Y789/W789,0)</x:f>
        <x:v>0.6090225563909775</x:v>
      </x:c>
      <x:c r="AA789" s="84" t="str">
        <x:f>PROPER(TRIM('Raw Sales'!M789))</x:f>
        <x:v>Debit Card</x:v>
      </x:c>
      <x:c r="AB789" s="84" t="str">
        <x:f>PROPER(TRIM('Raw Sales'!N789))</x:f>
        <x:v>Maya Brooks</x:v>
      </x:c>
      <x:c r="AC789" s="85" t="n">
        <x:f>'Raw Sales'!O789</x:f>
        <x:v>45579</x:v>
      </x:c>
      <x:c r="AD789" s="84" t="n">
        <x:f>AC789-B789</x:f>
        <x:v>6</x:v>
      </x:c>
      <x:c r="AE789" s="84" t="str">
        <x:f>IF(COUNTIF($A$5:A789,A789)&gt;1,"Duplicate","Keep")</x:f>
        <x:v>Keep</x:v>
      </x:c>
      <x:c r="AF789" s="84" t="str">
        <x:f>IF(OR(R789&lt;=0,AC789&lt;B789,H789="Unknown",M789="Unknown Product"),"Review","Valid")</x:f>
        <x:v>Valid</x:v>
      </x:c>
      <x:c r="AG789" s="84" t="n">
        <x:f>IF(AND(AE789="Keep",AF789="Valid"),1,0)</x:f>
        <x:v>1</x:v>
      </x:c>
      <x:c r="AH789" s="84" t="n">
        <x:f>IF(AND(AG789=1,OR('Dashboard'!$B$4="All",I789='Dashboard'!$B$4),OR('Dashboard'!$E$4="All",N789='Dashboard'!$E$4),OR('Dashboard'!$H$4="All",K789='Dashboard'!$H$4),OR('Dashboard'!$K$4="All",C789='Dashboard'!$K$4)),1,0)</x:f>
        <x:v>1</x:v>
      </x:c>
      <x:c r="AI789" s="84" t="n">
        <x:f>IF(AND(AG789=1,OR('Dashboard'!$B$4="All",I789='Dashboard'!$B$4),OR('Dashboard'!$E$4="All",N789='Dashboard'!$E$4),OR('Dashboard'!$H$4="All",K789='Dashboard'!$H$4)),1,0)</x:f>
        <x:v>1</x:v>
      </x:c>
    </x:row>
    <x:row r="790">
      <x:c r="A790" s="84" t="str">
        <x:f>'Raw Sales'!A790</x:f>
        <x:v>ORD-2024-00153</x:v>
      </x:c>
      <x:c r="B790" s="85" t="n">
        <x:f>'Raw Sales'!B790</x:f>
        <x:v>45574</x:v>
      </x:c>
      <x:c r="C790" s="84" t="n">
        <x:f>YEAR(B790)</x:f>
        <x:v>2024</x:v>
      </x:c>
      <x:c r="D790" s="91" t="n">
        <x:f>DATE(YEAR(B790),MONTH(B790),1)</x:f>
        <x:v>45566</x:v>
      </x:c>
      <x:c r="E790" s="84" t="str">
        <x:f>TEXT(B790,"mmm")</x:f>
        <x:v>Oct</x:v>
      </x:c>
      <x:c r="F790" s="84" t="str">
        <x:f>'Raw Sales'!C790</x:f>
        <x:v>CUST-0628</x:v>
      </x:c>
      <x:c r="G790" s="84" t="str">
        <x:f>PROPER(TRIM('Raw Sales'!D790))</x:f>
        <x:v>Isaac Young</x:v>
      </x:c>
      <x:c r="H790" s="84" t="str">
        <x:f>IF(TRIM('Raw Sales'!E790)="","Unknown",PROPER(TRIM('Raw Sales'!E790)))</x:f>
        <x:v>Small Business</x:v>
      </x:c>
      <x:c r="I790" s="84" t="str">
        <x:f>PROPER(TRIM('Raw Sales'!F790))</x:f>
        <x:v>West</x:v>
      </x:c>
      <x:c r="J790" s="84" t="str">
        <x:f>PROPER(TRIM('Raw Sales'!G790))</x:f>
        <x:v>Denver</x:v>
      </x:c>
      <x:c r="K790" s="84" t="str">
        <x:f>PROPER(TRIM('Raw Sales'!H790))</x:f>
        <x:v>Online</x:v>
      </x:c>
      <x:c r="L790" s="84" t="str">
        <x:f>'Raw Sales'!I790</x:f>
        <x:v>CARE-006</x:v>
      </x:c>
      <x:c r="M790" s="84" t="str">
        <x:f>IFERROR(VLOOKUP(L790,'Reference Data'!$A$5:$F$40,2,FALSE),"Unknown Product")</x:f>
        <x:v>Percussion Massage Gun</x:v>
      </x:c>
      <x:c r="N790" s="84" t="str">
        <x:f>IFERROR(VLOOKUP(L790,'Reference Data'!$A$5:$F$40,3,FALSE),"Unknown")</x:f>
        <x:v>Personal Care</x:v>
      </x:c>
      <x:c r="O790" s="84" t="str">
        <x:f>IFERROR(VLOOKUP(L790,'Reference Data'!$A$5:$F$40,4,FALSE),"Unknown")</x:f>
        <x:v>Wellness</x:v>
      </x:c>
      <x:c r="P790" s="92" t="n">
        <x:f>IFERROR(VLOOKUP(L790,'Reference Data'!$A$5:$F$40,5,FALSE),0)</x:f>
        <x:v>129</x:v>
      </x:c>
      <x:c r="Q790" s="92" t="n">
        <x:f>IFERROR(VLOOKUP(L790,'Reference Data'!$A$5:$F$40,6,FALSE),0)</x:f>
        <x:v>70</x:v>
      </x:c>
      <x:c r="R790" s="84" t="n">
        <x:f>'Raw Sales'!J790</x:f>
        <x:v>1</x:v>
      </x:c>
      <x:c r="S790" s="87" t="n">
        <x:f>'Raw Sales'!K790</x:f>
        <x:v>0</x:v>
      </x:c>
      <x:c r="T790" s="93" t="n">
        <x:f>P790*R790</x:f>
        <x:v>129</x:v>
      </x:c>
      <x:c r="U790" s="93" t="n">
        <x:f>T790*S790</x:f>
        <x:v>0</x:v>
      </x:c>
      <x:c r="V790" s="93" t="str">
        <x:f>PROPER(TRIM('Raw Sales'!L790))</x:f>
        <x:v>Completed</x:v>
      </x:c>
      <x:c r="W790" s="93" t="n">
        <x:f>IF(V790="Returned",0,T790-U790)</x:f>
        <x:v>129</x:v>
      </x:c>
      <x:c r="X790" s="93" t="n">
        <x:f>IF(V790="Returned",Q790*R790*10%,Q790*R790)</x:f>
        <x:v>70</x:v>
      </x:c>
      <x:c r="Y790" s="93" t="n">
        <x:f>W790-X790</x:f>
        <x:v>59</x:v>
      </x:c>
      <x:c r="Z790" s="94" t="n">
        <x:f>IFERROR(Y790/W790,0)</x:f>
        <x:v>0.4573643410852713</x:v>
      </x:c>
      <x:c r="AA790" s="84" t="str">
        <x:f>PROPER(TRIM('Raw Sales'!M790))</x:f>
        <x:v>Debit Card</x:v>
      </x:c>
      <x:c r="AB790" s="84" t="str">
        <x:f>PROPER(TRIM('Raw Sales'!N790))</x:f>
        <x:v>Nora Kim</x:v>
      </x:c>
      <x:c r="AC790" s="85" t="n">
        <x:f>'Raw Sales'!O790</x:f>
        <x:v>45578</x:v>
      </x:c>
      <x:c r="AD790" s="84" t="n">
        <x:f>AC790-B790</x:f>
        <x:v>4</x:v>
      </x:c>
      <x:c r="AE790" s="84" t="str">
        <x:f>IF(COUNTIF($A$5:A790,A790)&gt;1,"Duplicate","Keep")</x:f>
        <x:v>Keep</x:v>
      </x:c>
      <x:c r="AF790" s="84" t="str">
        <x:f>IF(OR(R790&lt;=0,AC790&lt;B790,H790="Unknown",M790="Unknown Product"),"Review","Valid")</x:f>
        <x:v>Valid</x:v>
      </x:c>
      <x:c r="AG790" s="84" t="n">
        <x:f>IF(AND(AE790="Keep",AF790="Valid"),1,0)</x:f>
        <x:v>1</x:v>
      </x:c>
      <x:c r="AH790" s="84" t="n">
        <x:f>IF(AND(AG790=1,OR('Dashboard'!$B$4="All",I790='Dashboard'!$B$4),OR('Dashboard'!$E$4="All",N790='Dashboard'!$E$4),OR('Dashboard'!$H$4="All",K790='Dashboard'!$H$4),OR('Dashboard'!$K$4="All",C790='Dashboard'!$K$4)),1,0)</x:f>
        <x:v>1</x:v>
      </x:c>
      <x:c r="AI790" s="84" t="n">
        <x:f>IF(AND(AG790=1,OR('Dashboard'!$B$4="All",I790='Dashboard'!$B$4),OR('Dashboard'!$E$4="All",N790='Dashboard'!$E$4),OR('Dashboard'!$H$4="All",K790='Dashboard'!$H$4)),1,0)</x:f>
        <x:v>1</x:v>
      </x:c>
    </x:row>
    <x:row r="791">
      <x:c r="A791" s="84" t="str">
        <x:f>'Raw Sales'!A791</x:f>
        <x:v>ORD-2024-00278</x:v>
      </x:c>
      <x:c r="B791" s="85" t="n">
        <x:f>'Raw Sales'!B791</x:f>
        <x:v>45574</x:v>
      </x:c>
      <x:c r="C791" s="84" t="n">
        <x:f>YEAR(B791)</x:f>
        <x:v>2024</x:v>
      </x:c>
      <x:c r="D791" s="91" t="n">
        <x:f>DATE(YEAR(B791),MONTH(B791),1)</x:f>
        <x:v>45566</x:v>
      </x:c>
      <x:c r="E791" s="84" t="str">
        <x:f>TEXT(B791,"mmm")</x:f>
        <x:v>Oct</x:v>
      </x:c>
      <x:c r="F791" s="84" t="str">
        <x:f>'Raw Sales'!C791</x:f>
        <x:v>CUST-0209</x:v>
      </x:c>
      <x:c r="G791" s="84" t="str">
        <x:f>PROPER(TRIM('Raw Sales'!D791))</x:f>
        <x:v>Sara Walker</x:v>
      </x:c>
      <x:c r="H791" s="84" t="str">
        <x:f>IF(TRIM('Raw Sales'!E791)="","Unknown",PROPER(TRIM('Raw Sales'!E791)))</x:f>
        <x:v>Consumer</x:v>
      </x:c>
      <x:c r="I791" s="84" t="str">
        <x:f>PROPER(TRIM('Raw Sales'!F791))</x:f>
        <x:v>Midwest</x:v>
      </x:c>
      <x:c r="J791" s="84" t="str">
        <x:f>PROPER(TRIM('Raw Sales'!G791))</x:f>
        <x:v>Chicago</x:v>
      </x:c>
      <x:c r="K791" s="84" t="str">
        <x:f>PROPER(TRIM('Raw Sales'!H791))</x:f>
        <x:v>Online</x:v>
      </x:c>
      <x:c r="L791" s="84" t="str">
        <x:f>'Raw Sales'!I791</x:f>
        <x:v>FITN-002</x:v>
      </x:c>
      <x:c r="M791" s="84" t="str">
        <x:f>IFERROR(VLOOKUP(L791,'Reference Data'!$A$5:$F$40,2,FALSE),"Unknown Product")</x:f>
        <x:v>Adjustable Dumbbell Set</x:v>
      </x:c>
      <x:c r="N791" s="84" t="str">
        <x:f>IFERROR(VLOOKUP(L791,'Reference Data'!$A$5:$F$40,3,FALSE),"Unknown")</x:f>
        <x:v>Fitness</x:v>
      </x:c>
      <x:c r="O791" s="84" t="str">
        <x:f>IFERROR(VLOOKUP(L791,'Reference Data'!$A$5:$F$40,4,FALSE),"Unknown")</x:f>
        <x:v>Strength</x:v>
      </x:c>
      <x:c r="P791" s="92" t="n">
        <x:f>IFERROR(VLOOKUP(L791,'Reference Data'!$A$5:$F$40,5,FALSE),0)</x:f>
        <x:v>99</x:v>
      </x:c>
      <x:c r="Q791" s="92" t="n">
        <x:f>IFERROR(VLOOKUP(L791,'Reference Data'!$A$5:$F$40,6,FALSE),0)</x:f>
        <x:v>57</x:v>
      </x:c>
      <x:c r="R791" s="84" t="n">
        <x:f>'Raw Sales'!J791</x:f>
        <x:v>1</x:v>
      </x:c>
      <x:c r="S791" s="87" t="n">
        <x:f>'Raw Sales'!K791</x:f>
        <x:v>0</x:v>
      </x:c>
      <x:c r="T791" s="93" t="n">
        <x:f>P791*R791</x:f>
        <x:v>99</x:v>
      </x:c>
      <x:c r="U791" s="93" t="n">
        <x:f>T791*S791</x:f>
        <x:v>0</x:v>
      </x:c>
      <x:c r="V791" s="93" t="str">
        <x:f>PROPER(TRIM('Raw Sales'!L791))</x:f>
        <x:v>Completed</x:v>
      </x:c>
      <x:c r="W791" s="93" t="n">
        <x:f>IF(V791="Returned",0,T791-U791)</x:f>
        <x:v>99</x:v>
      </x:c>
      <x:c r="X791" s="93" t="n">
        <x:f>IF(V791="Returned",Q791*R791*10%,Q791*R791)</x:f>
        <x:v>57</x:v>
      </x:c>
      <x:c r="Y791" s="93" t="n">
        <x:f>W791-X791</x:f>
        <x:v>42</x:v>
      </x:c>
      <x:c r="Z791" s="94" t="n">
        <x:f>IFERROR(Y791/W791,0)</x:f>
        <x:v>0.42424242424242425</x:v>
      </x:c>
      <x:c r="AA791" s="84" t="str">
        <x:f>PROPER(TRIM('Raw Sales'!M791))</x:f>
        <x:v>Mobile Wallet</x:v>
      </x:c>
      <x:c r="AB791" s="84" t="str">
        <x:f>PROPER(TRIM('Raw Sales'!N791))</x:f>
        <x:v>Emma Hayes</x:v>
      </x:c>
      <x:c r="AC791" s="85" t="n">
        <x:f>'Raw Sales'!O791</x:f>
        <x:v>45577</x:v>
      </x:c>
      <x:c r="AD791" s="84" t="n">
        <x:f>AC791-B791</x:f>
        <x:v>3</x:v>
      </x:c>
      <x:c r="AE791" s="84" t="str">
        <x:f>IF(COUNTIF($A$5:A791,A791)&gt;1,"Duplicate","Keep")</x:f>
        <x:v>Keep</x:v>
      </x:c>
      <x:c r="AF791" s="84" t="str">
        <x:f>IF(OR(R791&lt;=0,AC791&lt;B791,H791="Unknown",M791="Unknown Product"),"Review","Valid")</x:f>
        <x:v>Valid</x:v>
      </x:c>
      <x:c r="AG791" s="84" t="n">
        <x:f>IF(AND(AE791="Keep",AF791="Valid"),1,0)</x:f>
        <x:v>1</x:v>
      </x:c>
      <x:c r="AH791" s="84" t="n">
        <x:f>IF(AND(AG791=1,OR('Dashboard'!$B$4="All",I791='Dashboard'!$B$4),OR('Dashboard'!$E$4="All",N791='Dashboard'!$E$4),OR('Dashboard'!$H$4="All",K791='Dashboard'!$H$4),OR('Dashboard'!$K$4="All",C791='Dashboard'!$K$4)),1,0)</x:f>
        <x:v>1</x:v>
      </x:c>
      <x:c r="AI791" s="84" t="n">
        <x:f>IF(AND(AG791=1,OR('Dashboard'!$B$4="All",I791='Dashboard'!$B$4),OR('Dashboard'!$E$4="All",N791='Dashboard'!$E$4),OR('Dashboard'!$H$4="All",K791='Dashboard'!$H$4)),1,0)</x:f>
        <x:v>1</x:v>
      </x:c>
    </x:row>
    <x:row r="792">
      <x:c r="A792" s="84" t="str">
        <x:f>'Raw Sales'!A792</x:f>
        <x:v>ORD-2024-00430</x:v>
      </x:c>
      <x:c r="B792" s="85" t="n">
        <x:f>'Raw Sales'!B792</x:f>
        <x:v>45574</x:v>
      </x:c>
      <x:c r="C792" s="84" t="n">
        <x:f>YEAR(B792)</x:f>
        <x:v>2024</x:v>
      </x:c>
      <x:c r="D792" s="91" t="n">
        <x:f>DATE(YEAR(B792),MONTH(B792),1)</x:f>
        <x:v>45566</x:v>
      </x:c>
      <x:c r="E792" s="84" t="str">
        <x:f>TEXT(B792,"mmm")</x:f>
        <x:v>Oct</x:v>
      </x:c>
      <x:c r="F792" s="84" t="str">
        <x:f>'Raw Sales'!C792</x:f>
        <x:v>CUST-0139</x:v>
      </x:c>
      <x:c r="G792" s="84" t="str">
        <x:f>PROPER(TRIM('Raw Sales'!D792))</x:f>
        <x:v>William Evans</x:v>
      </x:c>
      <x:c r="H792" s="84" t="str">
        <x:f>IF(TRIM('Raw Sales'!E792)="","Unknown",PROPER(TRIM('Raw Sales'!E792)))</x:f>
        <x:v>Consumer</x:v>
      </x:c>
      <x:c r="I792" s="84" t="str">
        <x:f>PROPER(TRIM('Raw Sales'!F792))</x:f>
        <x:v>West</x:v>
      </x:c>
      <x:c r="J792" s="84" t="str">
        <x:f>PROPER(TRIM('Raw Sales'!G792))</x:f>
        <x:v>Seattle</x:v>
      </x:c>
      <x:c r="K792" s="84" t="str">
        <x:f>PROPER(TRIM('Raw Sales'!H792))</x:f>
        <x:v>Online</x:v>
      </x:c>
      <x:c r="L792" s="84" t="str">
        <x:f>'Raw Sales'!I792</x:f>
        <x:v>ELEC-004</x:v>
      </x:c>
      <x:c r="M792" s="84" t="str">
        <x:f>IFERROR(VLOOKUP(L792,'Reference Data'!$A$5:$F$40,2,FALSE),"Unknown Product")</x:f>
        <x:v>Power Bank</x:v>
      </x:c>
      <x:c r="N792" s="84" t="str">
        <x:f>IFERROR(VLOOKUP(L792,'Reference Data'!$A$5:$F$40,3,FALSE),"Unknown")</x:f>
        <x:v>Electronics</x:v>
      </x:c>
      <x:c r="O792" s="84" t="str">
        <x:f>IFERROR(VLOOKUP(L792,'Reference Data'!$A$5:$F$40,4,FALSE),"Unknown")</x:f>
        <x:v>Mobile Accessories</x:v>
      </x:c>
      <x:c r="P792" s="92" t="n">
        <x:f>IFERROR(VLOOKUP(L792,'Reference Data'!$A$5:$F$40,5,FALSE),0)</x:f>
        <x:v>39</x:v>
      </x:c>
      <x:c r="Q792" s="92" t="n">
        <x:f>IFERROR(VLOOKUP(L792,'Reference Data'!$A$5:$F$40,6,FALSE),0)</x:f>
        <x:v>18</x:v>
      </x:c>
      <x:c r="R792" s="84" t="n">
        <x:f>'Raw Sales'!J792</x:f>
        <x:v>1</x:v>
      </x:c>
      <x:c r="S792" s="87" t="n">
        <x:f>'Raw Sales'!K792</x:f>
        <x:v>0</x:v>
      </x:c>
      <x:c r="T792" s="93" t="n">
        <x:f>P792*R792</x:f>
        <x:v>39</x:v>
      </x:c>
      <x:c r="U792" s="93" t="n">
        <x:f>T792*S792</x:f>
        <x:v>0</x:v>
      </x:c>
      <x:c r="V792" s="93" t="str">
        <x:f>PROPER(TRIM('Raw Sales'!L792))</x:f>
        <x:v>Completed</x:v>
      </x:c>
      <x:c r="W792" s="93" t="n">
        <x:f>IF(V792="Returned",0,T792-U792)</x:f>
        <x:v>39</x:v>
      </x:c>
      <x:c r="X792" s="93" t="n">
        <x:f>IF(V792="Returned",Q792*R792*10%,Q792*R792)</x:f>
        <x:v>18</x:v>
      </x:c>
      <x:c r="Y792" s="93" t="n">
        <x:f>W792-X792</x:f>
        <x:v>21</x:v>
      </x:c>
      <x:c r="Z792" s="94" t="n">
        <x:f>IFERROR(Y792/W792,0)</x:f>
        <x:v>0.5384615384615384</x:v>
      </x:c>
      <x:c r="AA792" s="84" t="str">
        <x:f>PROPER(TRIM('Raw Sales'!M792))</x:f>
        <x:v>Mobile Wallet</x:v>
      </x:c>
      <x:c r="AB792" s="84" t="str">
        <x:f>PROPER(TRIM('Raw Sales'!N792))</x:f>
        <x:v>Nora Kim</x:v>
      </x:c>
      <x:c r="AC792" s="85" t="n">
        <x:f>'Raw Sales'!O792</x:f>
        <x:v>45576</x:v>
      </x:c>
      <x:c r="AD792" s="84" t="n">
        <x:f>AC792-B792</x:f>
        <x:v>2</x:v>
      </x:c>
      <x:c r="AE792" s="84" t="str">
        <x:f>IF(COUNTIF($A$5:A792,A792)&gt;1,"Duplicate","Keep")</x:f>
        <x:v>Keep</x:v>
      </x:c>
      <x:c r="AF792" s="84" t="str">
        <x:f>IF(OR(R792&lt;=0,AC792&lt;B792,H792="Unknown",M792="Unknown Product"),"Review","Valid")</x:f>
        <x:v>Valid</x:v>
      </x:c>
      <x:c r="AG792" s="84" t="n">
        <x:f>IF(AND(AE792="Keep",AF792="Valid"),1,0)</x:f>
        <x:v>1</x:v>
      </x:c>
      <x:c r="AH792" s="84" t="n">
        <x:f>IF(AND(AG792=1,OR('Dashboard'!$B$4="All",I792='Dashboard'!$B$4),OR('Dashboard'!$E$4="All",N792='Dashboard'!$E$4),OR('Dashboard'!$H$4="All",K792='Dashboard'!$H$4),OR('Dashboard'!$K$4="All",C792='Dashboard'!$K$4)),1,0)</x:f>
        <x:v>1</x:v>
      </x:c>
      <x:c r="AI792" s="84" t="n">
        <x:f>IF(AND(AG792=1,OR('Dashboard'!$B$4="All",I792='Dashboard'!$B$4),OR('Dashboard'!$E$4="All",N792='Dashboard'!$E$4),OR('Dashboard'!$H$4="All",K792='Dashboard'!$H$4)),1,0)</x:f>
        <x:v>1</x:v>
      </x:c>
    </x:row>
    <x:row r="793">
      <x:c r="A793" s="84" t="str">
        <x:f>'Raw Sales'!A793</x:f>
        <x:v>ORD-2024-01665</x:v>
      </x:c>
      <x:c r="B793" s="85" t="n">
        <x:f>'Raw Sales'!B793</x:f>
        <x:v>45574</x:v>
      </x:c>
      <x:c r="C793" s="84" t="n">
        <x:f>YEAR(B793)</x:f>
        <x:v>2024</x:v>
      </x:c>
      <x:c r="D793" s="91" t="n">
        <x:f>DATE(YEAR(B793),MONTH(B793),1)</x:f>
        <x:v>45566</x:v>
      </x:c>
      <x:c r="E793" s="84" t="str">
        <x:f>TEXT(B793,"mmm")</x:f>
        <x:v>Oct</x:v>
      </x:c>
      <x:c r="F793" s="84" t="str">
        <x:f>'Raw Sales'!C793</x:f>
        <x:v>CUST-0073</x:v>
      </x:c>
      <x:c r="G793" s="84" t="str">
        <x:f>PROPER(TRIM('Raw Sales'!D793))</x:f>
        <x:v>Jonah Smith</x:v>
      </x:c>
      <x:c r="H793" s="84" t="str">
        <x:f>IF(TRIM('Raw Sales'!E793)="","Unknown",PROPER(TRIM('Raw Sales'!E793)))</x:f>
        <x:v>Corporate</x:v>
      </x:c>
      <x:c r="I793" s="84" t="str">
        <x:f>PROPER(TRIM('Raw Sales'!F793))</x:f>
        <x:v>Southeast</x:v>
      </x:c>
      <x:c r="J793" s="84" t="str">
        <x:f>PROPER(TRIM('Raw Sales'!G793))</x:f>
        <x:v>Miami</x:v>
      </x:c>
      <x:c r="K793" s="84" t="str">
        <x:f>PROPER(TRIM('Raw Sales'!H793))</x:f>
        <x:v>Retail Store</x:v>
      </x:c>
      <x:c r="L793" s="84" t="str">
        <x:f>'Raw Sales'!I793</x:f>
        <x:v>ELEC-001</x:v>
      </x:c>
      <x:c r="M793" s="84" t="str">
        <x:f>IFERROR(VLOOKUP(L793,'Reference Data'!$A$5:$F$40,2,FALSE),"Unknown Product")</x:f>
        <x:v>Wireless Earbuds</x:v>
      </x:c>
      <x:c r="N793" s="84" t="str">
        <x:f>IFERROR(VLOOKUP(L793,'Reference Data'!$A$5:$F$40,3,FALSE),"Unknown")</x:f>
        <x:v>Electronics</x:v>
      </x:c>
      <x:c r="O793" s="84" t="str">
        <x:f>IFERROR(VLOOKUP(L793,'Reference Data'!$A$5:$F$40,4,FALSE),"Unknown")</x:f>
        <x:v>Audio</x:v>
      </x:c>
      <x:c r="P793" s="92" t="n">
        <x:f>IFERROR(VLOOKUP(L793,'Reference Data'!$A$5:$F$40,5,FALSE),0)</x:f>
        <x:v>69</x:v>
      </x:c>
      <x:c r="Q793" s="92" t="n">
        <x:f>IFERROR(VLOOKUP(L793,'Reference Data'!$A$5:$F$40,6,FALSE),0)</x:f>
        <x:v>36</x:v>
      </x:c>
      <x:c r="R793" s="84" t="n">
        <x:f>'Raw Sales'!J793</x:f>
        <x:v>6</x:v>
      </x:c>
      <x:c r="S793" s="87" t="n">
        <x:f>'Raw Sales'!K793</x:f>
        <x:v>0</x:v>
      </x:c>
      <x:c r="T793" s="93" t="n">
        <x:f>P793*R793</x:f>
        <x:v>414</x:v>
      </x:c>
      <x:c r="U793" s="93" t="n">
        <x:f>T793*S793</x:f>
        <x:v>0</x:v>
      </x:c>
      <x:c r="V793" s="93" t="str">
        <x:f>PROPER(TRIM('Raw Sales'!L793))</x:f>
        <x:v>Completed</x:v>
      </x:c>
      <x:c r="W793" s="93" t="n">
        <x:f>IF(V793="Returned",0,T793-U793)</x:f>
        <x:v>414</x:v>
      </x:c>
      <x:c r="X793" s="93" t="n">
        <x:f>IF(V793="Returned",Q793*R793*10%,Q793*R793)</x:f>
        <x:v>216</x:v>
      </x:c>
      <x:c r="Y793" s="93" t="n">
        <x:f>W793-X793</x:f>
        <x:v>198</x:v>
      </x:c>
      <x:c r="Z793" s="94" t="n">
        <x:f>IFERROR(Y793/W793,0)</x:f>
        <x:v>0.4782608695652174</x:v>
      </x:c>
      <x:c r="AA793" s="84" t="str">
        <x:f>PROPER(TRIM('Raw Sales'!M793))</x:f>
        <x:v>Mobile Wallet</x:v>
      </x:c>
      <x:c r="AB793" s="84" t="str">
        <x:f>PROPER(TRIM('Raw Sales'!N793))</x:f>
        <x:v>Noah Reed</x:v>
      </x:c>
      <x:c r="AC793" s="85" t="n">
        <x:f>'Raw Sales'!O793</x:f>
        <x:v>45574</x:v>
      </x:c>
      <x:c r="AD793" s="84" t="n">
        <x:f>AC793-B793</x:f>
        <x:v>0</x:v>
      </x:c>
      <x:c r="AE793" s="84" t="str">
        <x:f>IF(COUNTIF($A$5:A793,A793)&gt;1,"Duplicate","Keep")</x:f>
        <x:v>Keep</x:v>
      </x:c>
      <x:c r="AF793" s="84" t="str">
        <x:f>IF(OR(R793&lt;=0,AC793&lt;B793,H793="Unknown",M793="Unknown Product"),"Review","Valid")</x:f>
        <x:v>Valid</x:v>
      </x:c>
      <x:c r="AG793" s="84" t="n">
        <x:f>IF(AND(AE793="Keep",AF793="Valid"),1,0)</x:f>
        <x:v>1</x:v>
      </x:c>
      <x:c r="AH793" s="84" t="n">
        <x:f>IF(AND(AG793=1,OR('Dashboard'!$B$4="All",I793='Dashboard'!$B$4),OR('Dashboard'!$E$4="All",N793='Dashboard'!$E$4),OR('Dashboard'!$H$4="All",K793='Dashboard'!$H$4),OR('Dashboard'!$K$4="All",C793='Dashboard'!$K$4)),1,0)</x:f>
        <x:v>1</x:v>
      </x:c>
      <x:c r="AI793" s="84" t="n">
        <x:f>IF(AND(AG793=1,OR('Dashboard'!$B$4="All",I793='Dashboard'!$B$4),OR('Dashboard'!$E$4="All",N793='Dashboard'!$E$4),OR('Dashboard'!$H$4="All",K793='Dashboard'!$H$4)),1,0)</x:f>
        <x:v>1</x:v>
      </x:c>
    </x:row>
    <x:row r="794">
      <x:c r="A794" s="84" t="str">
        <x:f>'Raw Sales'!A794</x:f>
        <x:v>ORD-2024-00393</x:v>
      </x:c>
      <x:c r="B794" s="85" t="n">
        <x:f>'Raw Sales'!B794</x:f>
        <x:v>45575</x:v>
      </x:c>
      <x:c r="C794" s="84" t="n">
        <x:f>YEAR(B794)</x:f>
        <x:v>2024</x:v>
      </x:c>
      <x:c r="D794" s="91" t="n">
        <x:f>DATE(YEAR(B794),MONTH(B794),1)</x:f>
        <x:v>45566</x:v>
      </x:c>
      <x:c r="E794" s="84" t="str">
        <x:f>TEXT(B794,"mmm")</x:f>
        <x:v>Oct</x:v>
      </x:c>
      <x:c r="F794" s="84" t="str">
        <x:f>'Raw Sales'!C794</x:f>
        <x:v>CUST-0582</x:v>
      </x:c>
      <x:c r="G794" s="84" t="str">
        <x:f>PROPER(TRIM('Raw Sales'!D794))</x:f>
        <x:v>Maya Lewis</x:v>
      </x:c>
      <x:c r="H794" s="84" t="str">
        <x:f>IF(TRIM('Raw Sales'!E794)="","Unknown",PROPER(TRIM('Raw Sales'!E794)))</x:f>
        <x:v>Consumer</x:v>
      </x:c>
      <x:c r="I794" s="84" t="str">
        <x:f>PROPER(TRIM('Raw Sales'!F794))</x:f>
        <x:v>Midwest</x:v>
      </x:c>
      <x:c r="J794" s="84" t="str">
        <x:f>PROPER(TRIM('Raw Sales'!G794))</x:f>
        <x:v>Columbus</x:v>
      </x:c>
      <x:c r="K794" s="84" t="str">
        <x:f>PROPER(TRIM('Raw Sales'!H794))</x:f>
        <x:v>Online</x:v>
      </x:c>
      <x:c r="L794" s="84" t="str">
        <x:f>'Raw Sales'!I794</x:f>
        <x:v>HOME-003</x:v>
      </x:c>
      <x:c r="M794" s="84" t="str">
        <x:f>IFERROR(VLOOKUP(L794,'Reference Data'!$A$5:$F$40,2,FALSE),"Unknown Product")</x:f>
        <x:v>Countertop Blender</x:v>
      </x:c>
      <x:c r="N794" s="84" t="str">
        <x:f>IFERROR(VLOOKUP(L794,'Reference Data'!$A$5:$F$40,3,FALSE),"Unknown")</x:f>
        <x:v>Home &amp; Kitchen</x:v>
      </x:c>
      <x:c r="O794" s="84" t="str">
        <x:f>IFERROR(VLOOKUP(L794,'Reference Data'!$A$5:$F$40,4,FALSE),"Unknown")</x:f>
        <x:v>Small Appliances</x:v>
      </x:c>
      <x:c r="P794" s="92" t="n">
        <x:f>IFERROR(VLOOKUP(L794,'Reference Data'!$A$5:$F$40,5,FALSE),0)</x:f>
        <x:v>89</x:v>
      </x:c>
      <x:c r="Q794" s="92" t="n">
        <x:f>IFERROR(VLOOKUP(L794,'Reference Data'!$A$5:$F$40,6,FALSE),0)</x:f>
        <x:v>46</x:v>
      </x:c>
      <x:c r="R794" s="84" t="n">
        <x:f>'Raw Sales'!J794</x:f>
        <x:v>2</x:v>
      </x:c>
      <x:c r="S794" s="87" t="n">
        <x:f>'Raw Sales'!K794</x:f>
        <x:v>0</x:v>
      </x:c>
      <x:c r="T794" s="93" t="n">
        <x:f>P794*R794</x:f>
        <x:v>178</x:v>
      </x:c>
      <x:c r="U794" s="93" t="n">
        <x:f>T794*S794</x:f>
        <x:v>0</x:v>
      </x:c>
      <x:c r="V794" s="93" t="str">
        <x:f>PROPER(TRIM('Raw Sales'!L794))</x:f>
        <x:v>Completed</x:v>
      </x:c>
      <x:c r="W794" s="93" t="n">
        <x:f>IF(V794="Returned",0,T794-U794)</x:f>
        <x:v>178</x:v>
      </x:c>
      <x:c r="X794" s="93" t="n">
        <x:f>IF(V794="Returned",Q794*R794*10%,Q794*R794)</x:f>
        <x:v>92</x:v>
      </x:c>
      <x:c r="Y794" s="93" t="n">
        <x:f>W794-X794</x:f>
        <x:v>86</x:v>
      </x:c>
      <x:c r="Z794" s="94" t="n">
        <x:f>IFERROR(Y794/W794,0)</x:f>
        <x:v>0.48314606741573035</x:v>
      </x:c>
      <x:c r="AA794" s="84" t="str">
        <x:f>PROPER(TRIM('Raw Sales'!M794))</x:f>
        <x:v>Credit Card</x:v>
      </x:c>
      <x:c r="AB794" s="84" t="str">
        <x:f>PROPER(TRIM('Raw Sales'!N794))</x:f>
        <x:v>Lucas Grant</x:v>
      </x:c>
      <x:c r="AC794" s="85" t="n">
        <x:f>'Raw Sales'!O794</x:f>
        <x:v>45578</x:v>
      </x:c>
      <x:c r="AD794" s="84" t="n">
        <x:f>AC794-B794</x:f>
        <x:v>3</x:v>
      </x:c>
      <x:c r="AE794" s="84" t="str">
        <x:f>IF(COUNTIF($A$5:A794,A794)&gt;1,"Duplicate","Keep")</x:f>
        <x:v>Keep</x:v>
      </x:c>
      <x:c r="AF794" s="84" t="str">
        <x:f>IF(OR(R794&lt;=0,AC794&lt;B794,H794="Unknown",M794="Unknown Product"),"Review","Valid")</x:f>
        <x:v>Valid</x:v>
      </x:c>
      <x:c r="AG794" s="84" t="n">
        <x:f>IF(AND(AE794="Keep",AF794="Valid"),1,0)</x:f>
        <x:v>1</x:v>
      </x:c>
      <x:c r="AH794" s="84" t="n">
        <x:f>IF(AND(AG794=1,OR('Dashboard'!$B$4="All",I794='Dashboard'!$B$4),OR('Dashboard'!$E$4="All",N794='Dashboard'!$E$4),OR('Dashboard'!$H$4="All",K794='Dashboard'!$H$4),OR('Dashboard'!$K$4="All",C794='Dashboard'!$K$4)),1,0)</x:f>
        <x:v>1</x:v>
      </x:c>
      <x:c r="AI794" s="84" t="n">
        <x:f>IF(AND(AG794=1,OR('Dashboard'!$B$4="All",I794='Dashboard'!$B$4),OR('Dashboard'!$E$4="All",N794='Dashboard'!$E$4),OR('Dashboard'!$H$4="All",K794='Dashboard'!$H$4)),1,0)</x:f>
        <x:v>1</x:v>
      </x:c>
    </x:row>
    <x:row r="795">
      <x:c r="A795" s="84" t="str">
        <x:f>'Raw Sales'!A795</x:f>
        <x:v>ORD-2024-00819</x:v>
      </x:c>
      <x:c r="B795" s="85" t="n">
        <x:f>'Raw Sales'!B795</x:f>
        <x:v>45575</x:v>
      </x:c>
      <x:c r="C795" s="84" t="n">
        <x:f>YEAR(B795)</x:f>
        <x:v>2024</x:v>
      </x:c>
      <x:c r="D795" s="91" t="n">
        <x:f>DATE(YEAR(B795),MONTH(B795),1)</x:f>
        <x:v>45566</x:v>
      </x:c>
      <x:c r="E795" s="84" t="str">
        <x:f>TEXT(B795,"mmm")</x:f>
        <x:v>Oct</x:v>
      </x:c>
      <x:c r="F795" s="84" t="str">
        <x:f>'Raw Sales'!C795</x:f>
        <x:v>CUST-0244</x:v>
      </x:c>
      <x:c r="G795" s="84" t="str">
        <x:f>PROPER(TRIM('Raw Sales'!D795))</x:f>
        <x:v>Caleb Nelson</x:v>
      </x:c>
      <x:c r="H795" s="84" t="str">
        <x:f>IF(TRIM('Raw Sales'!E795)="","Unknown",PROPER(TRIM('Raw Sales'!E795)))</x:f>
        <x:v>Small Business</x:v>
      </x:c>
      <x:c r="I795" s="84" t="str">
        <x:f>PROPER(TRIM('Raw Sales'!F795))</x:f>
        <x:v>Midwest</x:v>
      </x:c>
      <x:c r="J795" s="84" t="str">
        <x:f>PROPER(TRIM('Raw Sales'!G795))</x:f>
        <x:v>Detroit</x:v>
      </x:c>
      <x:c r="K795" s="84" t="str">
        <x:f>PROPER(TRIM('Raw Sales'!H795))</x:f>
        <x:v>Marketplace</x:v>
      </x:c>
      <x:c r="L795" s="84" t="str">
        <x:f>'Raw Sales'!I795</x:f>
        <x:v>OFFC-004</x:v>
      </x:c>
      <x:c r="M795" s="84" t="str">
        <x:f>IFERROR(VLOOKUP(L795,'Reference Data'!$A$5:$F$40,2,FALSE),"Unknown Product")</x:f>
        <x:v>Premium Notebook Pack</x:v>
      </x:c>
      <x:c r="N795" s="84" t="str">
        <x:f>IFERROR(VLOOKUP(L795,'Reference Data'!$A$5:$F$40,3,FALSE),"Unknown")</x:f>
        <x:v>Office</x:v>
      </x:c>
      <x:c r="O795" s="84" t="str">
        <x:f>IFERROR(VLOOKUP(L795,'Reference Data'!$A$5:$F$40,4,FALSE),"Unknown")</x:f>
        <x:v>Stationery</x:v>
      </x:c>
      <x:c r="P795" s="92" t="n">
        <x:f>IFERROR(VLOOKUP(L795,'Reference Data'!$A$5:$F$40,5,FALSE),0)</x:f>
        <x:v>18</x:v>
      </x:c>
      <x:c r="Q795" s="92" t="n">
        <x:f>IFERROR(VLOOKUP(L795,'Reference Data'!$A$5:$F$40,6,FALSE),0)</x:f>
        <x:v>6.5</x:v>
      </x:c>
      <x:c r="R795" s="84" t="n">
        <x:f>'Raw Sales'!J795</x:f>
        <x:v>2</x:v>
      </x:c>
      <x:c r="S795" s="87" t="n">
        <x:f>'Raw Sales'!K795</x:f>
        <x:v>0.1</x:v>
      </x:c>
      <x:c r="T795" s="93" t="n">
        <x:f>P795*R795</x:f>
        <x:v>36</x:v>
      </x:c>
      <x:c r="U795" s="93" t="n">
        <x:f>T795*S795</x:f>
        <x:v>3.6</x:v>
      </x:c>
      <x:c r="V795" s="93" t="str">
        <x:f>PROPER(TRIM('Raw Sales'!L795))</x:f>
        <x:v>Completed</x:v>
      </x:c>
      <x:c r="W795" s="93" t="n">
        <x:f>IF(V795="Returned",0,T795-U795)</x:f>
        <x:v>32.4</x:v>
      </x:c>
      <x:c r="X795" s="93" t="n">
        <x:f>IF(V795="Returned",Q795*R795*10%,Q795*R795)</x:f>
        <x:v>13</x:v>
      </x:c>
      <x:c r="Y795" s="93" t="n">
        <x:f>W795-X795</x:f>
        <x:v>19.4</x:v>
      </x:c>
      <x:c r="Z795" s="94" t="n">
        <x:f>IFERROR(Y795/W795,0)</x:f>
        <x:v>0.5987654320987654</x:v>
      </x:c>
      <x:c r="AA795" s="84" t="str">
        <x:f>PROPER(TRIM('Raw Sales'!M795))</x:f>
        <x:v>Debit Card</x:v>
      </x:c>
      <x:c r="AB795" s="84" t="str">
        <x:f>PROPER(TRIM('Raw Sales'!N795))</x:f>
        <x:v>Zoe Turner</x:v>
      </x:c>
      <x:c r="AC795" s="85" t="n">
        <x:f>'Raw Sales'!O795</x:f>
        <x:v>45582</x:v>
      </x:c>
      <x:c r="AD795" s="84" t="n">
        <x:f>AC795-B795</x:f>
        <x:v>7</x:v>
      </x:c>
      <x:c r="AE795" s="84" t="str">
        <x:f>IF(COUNTIF($A$5:A795,A795)&gt;1,"Duplicate","Keep")</x:f>
        <x:v>Keep</x:v>
      </x:c>
      <x:c r="AF795" s="84" t="str">
        <x:f>IF(OR(R795&lt;=0,AC795&lt;B795,H795="Unknown",M795="Unknown Product"),"Review","Valid")</x:f>
        <x:v>Valid</x:v>
      </x:c>
      <x:c r="AG795" s="84" t="n">
        <x:f>IF(AND(AE795="Keep",AF795="Valid"),1,0)</x:f>
        <x:v>1</x:v>
      </x:c>
      <x:c r="AH795" s="84" t="n">
        <x:f>IF(AND(AG795=1,OR('Dashboard'!$B$4="All",I795='Dashboard'!$B$4),OR('Dashboard'!$E$4="All",N795='Dashboard'!$E$4),OR('Dashboard'!$H$4="All",K795='Dashboard'!$H$4),OR('Dashboard'!$K$4="All",C795='Dashboard'!$K$4)),1,0)</x:f>
        <x:v>1</x:v>
      </x:c>
      <x:c r="AI795" s="84" t="n">
        <x:f>IF(AND(AG795=1,OR('Dashboard'!$B$4="All",I795='Dashboard'!$B$4),OR('Dashboard'!$E$4="All",N795='Dashboard'!$E$4),OR('Dashboard'!$H$4="All",K795='Dashboard'!$H$4)),1,0)</x:f>
        <x:v>1</x:v>
      </x:c>
    </x:row>
    <x:row r="796">
      <x:c r="A796" s="84" t="str">
        <x:f>'Raw Sales'!A796</x:f>
        <x:v>ORD-2024-02155</x:v>
      </x:c>
      <x:c r="B796" s="85" t="n">
        <x:f>'Raw Sales'!B796</x:f>
        <x:v>45575</x:v>
      </x:c>
      <x:c r="C796" s="84" t="n">
        <x:f>YEAR(B796)</x:f>
        <x:v>2024</x:v>
      </x:c>
      <x:c r="D796" s="91" t="n">
        <x:f>DATE(YEAR(B796),MONTH(B796),1)</x:f>
        <x:v>45566</x:v>
      </x:c>
      <x:c r="E796" s="84" t="str">
        <x:f>TEXT(B796,"mmm")</x:f>
        <x:v>Oct</x:v>
      </x:c>
      <x:c r="F796" s="84" t="str">
        <x:f>'Raw Sales'!C796</x:f>
        <x:v>CUST-0332</x:v>
      </x:c>
      <x:c r="G796" s="84" t="str">
        <x:f>PROPER(TRIM('Raw Sales'!D796))</x:f>
        <x:v>Grace Smith</x:v>
      </x:c>
      <x:c r="H796" s="84" t="str">
        <x:f>IF(TRIM('Raw Sales'!E796)="","Unknown",PROPER(TRIM('Raw Sales'!E796)))</x:f>
        <x:v>Small Business</x:v>
      </x:c>
      <x:c r="I796" s="84" t="str">
        <x:f>PROPER(TRIM('Raw Sales'!F796))</x:f>
        <x:v>Midwest</x:v>
      </x:c>
      <x:c r="J796" s="84" t="str">
        <x:f>PROPER(TRIM('Raw Sales'!G796))</x:f>
        <x:v>Chicago</x:v>
      </x:c>
      <x:c r="K796" s="84" t="str">
        <x:f>PROPER(TRIM('Raw Sales'!H796))</x:f>
        <x:v>Retail Store</x:v>
      </x:c>
      <x:c r="L796" s="84" t="str">
        <x:f>'Raw Sales'!I796</x:f>
        <x:v>CARE-001</x:v>
      </x:c>
      <x:c r="M796" s="84" t="str">
        <x:f>IFERROR(VLOOKUP(L796,'Reference Data'!$A$5:$F$40,2,FALSE),"Unknown Product")</x:f>
        <x:v>Ionic Hair Dryer</x:v>
      </x:c>
      <x:c r="N796" s="84" t="str">
        <x:f>IFERROR(VLOOKUP(L796,'Reference Data'!$A$5:$F$40,3,FALSE),"Unknown")</x:f>
        <x:v>Personal Care</x:v>
      </x:c>
      <x:c r="O796" s="84" t="str">
        <x:f>IFERROR(VLOOKUP(L796,'Reference Data'!$A$5:$F$40,4,FALSE),"Unknown")</x:f>
        <x:v>Hair Care</x:v>
      </x:c>
      <x:c r="P796" s="92" t="n">
        <x:f>IFERROR(VLOOKUP(L796,'Reference Data'!$A$5:$F$40,5,FALSE),0)</x:f>
        <x:v>54</x:v>
      </x:c>
      <x:c r="Q796" s="92" t="n">
        <x:f>IFERROR(VLOOKUP(L796,'Reference Data'!$A$5:$F$40,6,FALSE),0)</x:f>
        <x:v>25</x:v>
      </x:c>
      <x:c r="R796" s="84" t="n">
        <x:f>'Raw Sales'!J796</x:f>
        <x:v>1</x:v>
      </x:c>
      <x:c r="S796" s="87" t="n">
        <x:f>'Raw Sales'!K796</x:f>
        <x:v>0.1</x:v>
      </x:c>
      <x:c r="T796" s="93" t="n">
        <x:f>P796*R796</x:f>
        <x:v>54</x:v>
      </x:c>
      <x:c r="U796" s="93" t="n">
        <x:f>T796*S796</x:f>
        <x:v>5.4</x:v>
      </x:c>
      <x:c r="V796" s="93" t="str">
        <x:f>PROPER(TRIM('Raw Sales'!L796))</x:f>
        <x:v>Completed</x:v>
      </x:c>
      <x:c r="W796" s="93" t="n">
        <x:f>IF(V796="Returned",0,T796-U796)</x:f>
        <x:v>48.6</x:v>
      </x:c>
      <x:c r="X796" s="93" t="n">
        <x:f>IF(V796="Returned",Q796*R796*10%,Q796*R796)</x:f>
        <x:v>25</x:v>
      </x:c>
      <x:c r="Y796" s="93" t="n">
        <x:f>W796-X796</x:f>
        <x:v>23.6</x:v>
      </x:c>
      <x:c r="Z796" s="94" t="n">
        <x:f>IFERROR(Y796/W796,0)</x:f>
        <x:v>0.48559670781893005</x:v>
      </x:c>
      <x:c r="AA796" s="84" t="str">
        <x:f>PROPER(TRIM('Raw Sales'!M796))</x:f>
        <x:v>Cash</x:v>
      </x:c>
      <x:c r="AB796" s="84" t="str">
        <x:f>PROPER(TRIM('Raw Sales'!N796))</x:f>
        <x:v>Zoe Turner</x:v>
      </x:c>
      <x:c r="AC796" s="85" t="n">
        <x:f>'Raw Sales'!O796</x:f>
        <x:v>45575</x:v>
      </x:c>
      <x:c r="AD796" s="84" t="n">
        <x:f>AC796-B796</x:f>
        <x:v>0</x:v>
      </x:c>
      <x:c r="AE796" s="84" t="str">
        <x:f>IF(COUNTIF($A$5:A796,A796)&gt;1,"Duplicate","Keep")</x:f>
        <x:v>Keep</x:v>
      </x:c>
      <x:c r="AF796" s="84" t="str">
        <x:f>IF(OR(R796&lt;=0,AC796&lt;B796,H796="Unknown",M796="Unknown Product"),"Review","Valid")</x:f>
        <x:v>Valid</x:v>
      </x:c>
      <x:c r="AG796" s="84" t="n">
        <x:f>IF(AND(AE796="Keep",AF796="Valid"),1,0)</x:f>
        <x:v>1</x:v>
      </x:c>
      <x:c r="AH796" s="84" t="n">
        <x:f>IF(AND(AG796=1,OR('Dashboard'!$B$4="All",I796='Dashboard'!$B$4),OR('Dashboard'!$E$4="All",N796='Dashboard'!$E$4),OR('Dashboard'!$H$4="All",K796='Dashboard'!$H$4),OR('Dashboard'!$K$4="All",C796='Dashboard'!$K$4)),1,0)</x:f>
        <x:v>1</x:v>
      </x:c>
      <x:c r="AI796" s="84" t="n">
        <x:f>IF(AND(AG796=1,OR('Dashboard'!$B$4="All",I796='Dashboard'!$B$4),OR('Dashboard'!$E$4="All",N796='Dashboard'!$E$4),OR('Dashboard'!$H$4="All",K796='Dashboard'!$H$4)),1,0)</x:f>
        <x:v>1</x:v>
      </x:c>
    </x:row>
    <x:row r="797">
      <x:c r="A797" s="84" t="str">
        <x:f>'Raw Sales'!A797</x:f>
        <x:v>ORD-2024-02232</x:v>
      </x:c>
      <x:c r="B797" s="85" t="n">
        <x:f>'Raw Sales'!B797</x:f>
        <x:v>45575</x:v>
      </x:c>
      <x:c r="C797" s="84" t="n">
        <x:f>YEAR(B797)</x:f>
        <x:v>2024</x:v>
      </x:c>
      <x:c r="D797" s="91" t="n">
        <x:f>DATE(YEAR(B797),MONTH(B797),1)</x:f>
        <x:v>45566</x:v>
      </x:c>
      <x:c r="E797" s="84" t="str">
        <x:f>TEXT(B797,"mmm")</x:f>
        <x:v>Oct</x:v>
      </x:c>
      <x:c r="F797" s="84" t="str">
        <x:f>'Raw Sales'!C797</x:f>
        <x:v>CUST-0170</x:v>
      </x:c>
      <x:c r="G797" s="84" t="str">
        <x:f>PROPER(TRIM('Raw Sales'!D797))</x:f>
        <x:v>Victoria Garcia</x:v>
      </x:c>
      <x:c r="H797" s="84" t="str">
        <x:f>IF(TRIM('Raw Sales'!E797)="","Unknown",PROPER(TRIM('Raw Sales'!E797)))</x:f>
        <x:v>Small Business</x:v>
      </x:c>
      <x:c r="I797" s="84" t="str">
        <x:f>PROPER(TRIM('Raw Sales'!F797))</x:f>
        <x:v>West</x:v>
      </x:c>
      <x:c r="J797" s="84" t="str">
        <x:f>PROPER(TRIM('Raw Sales'!G797))</x:f>
        <x:v>Seattle</x:v>
      </x:c>
      <x:c r="K797" s="84" t="str">
        <x:f>PROPER(TRIM('Raw Sales'!H797))</x:f>
        <x:v>Online</x:v>
      </x:c>
      <x:c r="L797" s="84" t="str">
        <x:f>'Raw Sales'!I797</x:f>
        <x:v>FITN-005</x:v>
      </x:c>
      <x:c r="M797" s="84" t="str">
        <x:f>IFERROR(VLOOKUP(L797,'Reference Data'!$A$5:$F$40,2,FALSE),"Unknown Product")</x:f>
        <x:v>Sports Water Bottle</x:v>
      </x:c>
      <x:c r="N797" s="84" t="str">
        <x:f>IFERROR(VLOOKUP(L797,'Reference Data'!$A$5:$F$40,3,FALSE),"Unknown")</x:f>
        <x:v>Fitness</x:v>
      </x:c>
      <x:c r="O797" s="84" t="str">
        <x:f>IFERROR(VLOOKUP(L797,'Reference Data'!$A$5:$F$40,4,FALSE),"Unknown")</x:f>
        <x:v>Accessories</x:v>
      </x:c>
      <x:c r="P797" s="92" t="n">
        <x:f>IFERROR(VLOOKUP(L797,'Reference Data'!$A$5:$F$40,5,FALSE),0)</x:f>
        <x:v>22</x:v>
      </x:c>
      <x:c r="Q797" s="92" t="n">
        <x:f>IFERROR(VLOOKUP(L797,'Reference Data'!$A$5:$F$40,6,FALSE),0)</x:f>
        <x:v>7</x:v>
      </x:c>
      <x:c r="R797" s="84" t="n">
        <x:f>'Raw Sales'!J797</x:f>
        <x:v>1</x:v>
      </x:c>
      <x:c r="S797" s="87" t="n">
        <x:f>'Raw Sales'!K797</x:f>
        <x:v>0.1</x:v>
      </x:c>
      <x:c r="T797" s="93" t="n">
        <x:f>P797*R797</x:f>
        <x:v>22</x:v>
      </x:c>
      <x:c r="U797" s="93" t="n">
        <x:f>T797*S797</x:f>
        <x:v>2.2</x:v>
      </x:c>
      <x:c r="V797" s="93" t="str">
        <x:f>PROPER(TRIM('Raw Sales'!L797))</x:f>
        <x:v>Completed</x:v>
      </x:c>
      <x:c r="W797" s="93" t="n">
        <x:f>IF(V797="Returned",0,T797-U797)</x:f>
        <x:v>19.8</x:v>
      </x:c>
      <x:c r="X797" s="93" t="n">
        <x:f>IF(V797="Returned",Q797*R797*10%,Q797*R797)</x:f>
        <x:v>7</x:v>
      </x:c>
      <x:c r="Y797" s="93" t="n">
        <x:f>W797-X797</x:f>
        <x:v>12.8</x:v>
      </x:c>
      <x:c r="Z797" s="94" t="n">
        <x:f>IFERROR(Y797/W797,0)</x:f>
        <x:v>0.6464646464646465</x:v>
      </x:c>
      <x:c r="AA797" s="84" t="str">
        <x:f>PROPER(TRIM('Raw Sales'!M797))</x:f>
        <x:v>Credit Card</x:v>
      </x:c>
      <x:c r="AB797" s="84" t="str">
        <x:f>PROPER(TRIM('Raw Sales'!N797))</x:f>
        <x:v>Nora Kim</x:v>
      </x:c>
      <x:c r="AC797" s="85" t="n">
        <x:f>'Raw Sales'!O797</x:f>
        <x:v>45579</x:v>
      </x:c>
      <x:c r="AD797" s="84" t="n">
        <x:f>AC797-B797</x:f>
        <x:v>4</x:v>
      </x:c>
      <x:c r="AE797" s="84" t="str">
        <x:f>IF(COUNTIF($A$5:A797,A797)&gt;1,"Duplicate","Keep")</x:f>
        <x:v>Keep</x:v>
      </x:c>
      <x:c r="AF797" s="84" t="str">
        <x:f>IF(OR(R797&lt;=0,AC797&lt;B797,H797="Unknown",M797="Unknown Product"),"Review","Valid")</x:f>
        <x:v>Valid</x:v>
      </x:c>
      <x:c r="AG797" s="84" t="n">
        <x:f>IF(AND(AE797="Keep",AF797="Valid"),1,0)</x:f>
        <x:v>1</x:v>
      </x:c>
      <x:c r="AH797" s="84" t="n">
        <x:f>IF(AND(AG797=1,OR('Dashboard'!$B$4="All",I797='Dashboard'!$B$4),OR('Dashboard'!$E$4="All",N797='Dashboard'!$E$4),OR('Dashboard'!$H$4="All",K797='Dashboard'!$H$4),OR('Dashboard'!$K$4="All",C797='Dashboard'!$K$4)),1,0)</x:f>
        <x:v>1</x:v>
      </x:c>
      <x:c r="AI797" s="84" t="n">
        <x:f>IF(AND(AG797=1,OR('Dashboard'!$B$4="All",I797='Dashboard'!$B$4),OR('Dashboard'!$E$4="All",N797='Dashboard'!$E$4),OR('Dashboard'!$H$4="All",K797='Dashboard'!$H$4)),1,0)</x:f>
        <x:v>1</x:v>
      </x:c>
    </x:row>
    <x:row r="798">
      <x:c r="A798" s="84" t="str">
        <x:f>'Raw Sales'!A798</x:f>
        <x:v>ORD-2024-01760</x:v>
      </x:c>
      <x:c r="B798" s="85" t="n">
        <x:f>'Raw Sales'!B798</x:f>
        <x:v>45576</x:v>
      </x:c>
      <x:c r="C798" s="84" t="n">
        <x:f>YEAR(B798)</x:f>
        <x:v>2024</x:v>
      </x:c>
      <x:c r="D798" s="91" t="n">
        <x:f>DATE(YEAR(B798),MONTH(B798),1)</x:f>
        <x:v>45566</x:v>
      </x:c>
      <x:c r="E798" s="84" t="str">
        <x:f>TEXT(B798,"mmm")</x:f>
        <x:v>Oct</x:v>
      </x:c>
      <x:c r="F798" s="84" t="str">
        <x:f>'Raw Sales'!C798</x:f>
        <x:v>CUST-0483</x:v>
      </x:c>
      <x:c r="G798" s="84" t="str">
        <x:f>PROPER(TRIM('Raw Sales'!D798))</x:f>
        <x:v>Daniel Carter</x:v>
      </x:c>
      <x:c r="H798" s="84" t="str">
        <x:f>IF(TRIM('Raw Sales'!E798)="","Unknown",PROPER(TRIM('Raw Sales'!E798)))</x:f>
        <x:v>Consumer</x:v>
      </x:c>
      <x:c r="I798" s="84" t="str">
        <x:f>PROPER(TRIM('Raw Sales'!F798))</x:f>
        <x:v>West</x:v>
      </x:c>
      <x:c r="J798" s="84" t="str">
        <x:f>PROPER(TRIM('Raw Sales'!G798))</x:f>
        <x:v>Denver</x:v>
      </x:c>
      <x:c r="K798" s="84" t="str">
        <x:f>PROPER(TRIM('Raw Sales'!H798))</x:f>
        <x:v>Retail Store</x:v>
      </x:c>
      <x:c r="L798" s="84" t="str">
        <x:f>'Raw Sales'!I798</x:f>
        <x:v>HOME-006</x:v>
      </x:c>
      <x:c r="M798" s="84" t="str">
        <x:f>IFERROR(VLOOKUP(L798,'Reference Data'!$A$5:$F$40,2,FALSE),"Unknown Product")</x:f>
        <x:v>Food Storage Set</x:v>
      </x:c>
      <x:c r="N798" s="84" t="str">
        <x:f>IFERROR(VLOOKUP(L798,'Reference Data'!$A$5:$F$40,3,FALSE),"Unknown")</x:f>
        <x:v>Home &amp; Kitchen</x:v>
      </x:c>
      <x:c r="O798" s="84" t="str">
        <x:f>IFERROR(VLOOKUP(L798,'Reference Data'!$A$5:$F$40,4,FALSE),"Unknown")</x:f>
        <x:v>Kitchenware</x:v>
      </x:c>
      <x:c r="P798" s="92" t="n">
        <x:f>IFERROR(VLOOKUP(L798,'Reference Data'!$A$5:$F$40,5,FALSE),0)</x:f>
        <x:v>34</x:v>
      </x:c>
      <x:c r="Q798" s="92" t="n">
        <x:f>IFERROR(VLOOKUP(L798,'Reference Data'!$A$5:$F$40,6,FALSE),0)</x:f>
        <x:v>15</x:v>
      </x:c>
      <x:c r="R798" s="84" t="n">
        <x:f>'Raw Sales'!J798</x:f>
        <x:v>1</x:v>
      </x:c>
      <x:c r="S798" s="87" t="n">
        <x:f>'Raw Sales'!K798</x:f>
        <x:v>0.15</x:v>
      </x:c>
      <x:c r="T798" s="93" t="n">
        <x:f>P798*R798</x:f>
        <x:v>34</x:v>
      </x:c>
      <x:c r="U798" s="93" t="n">
        <x:f>T798*S798</x:f>
        <x:v>5.1</x:v>
      </x:c>
      <x:c r="V798" s="93" t="str">
        <x:f>PROPER(TRIM('Raw Sales'!L798))</x:f>
        <x:v>Completed</x:v>
      </x:c>
      <x:c r="W798" s="93" t="n">
        <x:f>IF(V798="Returned",0,T798-U798)</x:f>
        <x:v>28.9</x:v>
      </x:c>
      <x:c r="X798" s="93" t="n">
        <x:f>IF(V798="Returned",Q798*R798*10%,Q798*R798)</x:f>
        <x:v>15</x:v>
      </x:c>
      <x:c r="Y798" s="93" t="n">
        <x:f>W798-X798</x:f>
        <x:v>13.899999999999999</x:v>
      </x:c>
      <x:c r="Z798" s="94" t="n">
        <x:f>IFERROR(Y798/W798,0)</x:f>
        <x:v>0.4809688581314879</x:v>
      </x:c>
      <x:c r="AA798" s="84" t="str">
        <x:f>PROPER(TRIM('Raw Sales'!M798))</x:f>
        <x:v>Cash</x:v>
      </x:c>
      <x:c r="AB798" s="84" t="str">
        <x:f>PROPER(TRIM('Raw Sales'!N798))</x:f>
        <x:v>Nora Kim</x:v>
      </x:c>
      <x:c r="AC798" s="85" t="n">
        <x:f>'Raw Sales'!O798</x:f>
        <x:v>45577</x:v>
      </x:c>
      <x:c r="AD798" s="84" t="n">
        <x:f>AC798-B798</x:f>
        <x:v>1</x:v>
      </x:c>
      <x:c r="AE798" s="84" t="str">
        <x:f>IF(COUNTIF($A$5:A798,A798)&gt;1,"Duplicate","Keep")</x:f>
        <x:v>Keep</x:v>
      </x:c>
      <x:c r="AF798" s="84" t="str">
        <x:f>IF(OR(R798&lt;=0,AC798&lt;B798,H798="Unknown",M798="Unknown Product"),"Review","Valid")</x:f>
        <x:v>Valid</x:v>
      </x:c>
      <x:c r="AG798" s="84" t="n">
        <x:f>IF(AND(AE798="Keep",AF798="Valid"),1,0)</x:f>
        <x:v>1</x:v>
      </x:c>
      <x:c r="AH798" s="84" t="n">
        <x:f>IF(AND(AG798=1,OR('Dashboard'!$B$4="All",I798='Dashboard'!$B$4),OR('Dashboard'!$E$4="All",N798='Dashboard'!$E$4),OR('Dashboard'!$H$4="All",K798='Dashboard'!$H$4),OR('Dashboard'!$K$4="All",C798='Dashboard'!$K$4)),1,0)</x:f>
        <x:v>1</x:v>
      </x:c>
      <x:c r="AI798" s="84" t="n">
        <x:f>IF(AND(AG798=1,OR('Dashboard'!$B$4="All",I798='Dashboard'!$B$4),OR('Dashboard'!$E$4="All",N798='Dashboard'!$E$4),OR('Dashboard'!$H$4="All",K798='Dashboard'!$H$4)),1,0)</x:f>
        <x:v>1</x:v>
      </x:c>
    </x:row>
    <x:row r="799">
      <x:c r="A799" s="84" t="str">
        <x:f>'Raw Sales'!A799</x:f>
        <x:v>ORD-2024-01927</x:v>
      </x:c>
      <x:c r="B799" s="85" t="n">
        <x:f>'Raw Sales'!B799</x:f>
        <x:v>45576</x:v>
      </x:c>
      <x:c r="C799" s="84" t="n">
        <x:f>YEAR(B799)</x:f>
        <x:v>2024</x:v>
      </x:c>
      <x:c r="D799" s="91" t="n">
        <x:f>DATE(YEAR(B799),MONTH(B799),1)</x:f>
        <x:v>45566</x:v>
      </x:c>
      <x:c r="E799" s="84" t="str">
        <x:f>TEXT(B799,"mmm")</x:f>
        <x:v>Oct</x:v>
      </x:c>
      <x:c r="F799" s="84" t="str">
        <x:f>'Raw Sales'!C799</x:f>
        <x:v>CUST-0525</x:v>
      </x:c>
      <x:c r="G799" s="84" t="str">
        <x:f>PROPER(TRIM('Raw Sales'!D799))</x:f>
        <x:v>Daniel Carter</x:v>
      </x:c>
      <x:c r="H799" s="84" t="str">
        <x:f>IF(TRIM('Raw Sales'!E799)="","Unknown",PROPER(TRIM('Raw Sales'!E799)))</x:f>
        <x:v>Small Business</x:v>
      </x:c>
      <x:c r="I799" s="84" t="str">
        <x:f>PROPER(TRIM('Raw Sales'!F799))</x:f>
        <x:v>Midwest</x:v>
      </x:c>
      <x:c r="J799" s="84" t="str">
        <x:f>PROPER(TRIM('Raw Sales'!G799))</x:f>
        <x:v>Columbus</x:v>
      </x:c>
      <x:c r="K799" s="84" t="str">
        <x:f>PROPER(TRIM('Raw Sales'!H799))</x:f>
        <x:v>Online</x:v>
      </x:c>
      <x:c r="L799" s="84" t="str">
        <x:f>'Raw Sales'!I799</x:f>
        <x:v>ELEC-003</x:v>
      </x:c>
      <x:c r="M799" s="84" t="str">
        <x:f>IFERROR(VLOOKUP(L799,'Reference Data'!$A$5:$F$40,2,FALSE),"Unknown Product")</x:f>
        <x:v>Bluetooth Speaker</x:v>
      </x:c>
      <x:c r="N799" s="84" t="str">
        <x:f>IFERROR(VLOOKUP(L799,'Reference Data'!$A$5:$F$40,3,FALSE),"Unknown")</x:f>
        <x:v>Electronics</x:v>
      </x:c>
      <x:c r="O799" s="84" t="str">
        <x:f>IFERROR(VLOOKUP(L799,'Reference Data'!$A$5:$F$40,4,FALSE),"Unknown")</x:f>
        <x:v>Audio</x:v>
      </x:c>
      <x:c r="P799" s="92" t="n">
        <x:f>IFERROR(VLOOKUP(L799,'Reference Data'!$A$5:$F$40,5,FALSE),0)</x:f>
        <x:v>89</x:v>
      </x:c>
      <x:c r="Q799" s="92" t="n">
        <x:f>IFERROR(VLOOKUP(L799,'Reference Data'!$A$5:$F$40,6,FALSE),0)</x:f>
        <x:v>44</x:v>
      </x:c>
      <x:c r="R799" s="84" t="n">
        <x:f>'Raw Sales'!J799</x:f>
        <x:v>1</x:v>
      </x:c>
      <x:c r="S799" s="87" t="n">
        <x:f>'Raw Sales'!K799</x:f>
        <x:v>0.1</x:v>
      </x:c>
      <x:c r="T799" s="93" t="n">
        <x:f>P799*R799</x:f>
        <x:v>89</x:v>
      </x:c>
      <x:c r="U799" s="93" t="n">
        <x:f>T799*S799</x:f>
        <x:v>8.9</x:v>
      </x:c>
      <x:c r="V799" s="93" t="str">
        <x:f>PROPER(TRIM('Raw Sales'!L799))</x:f>
        <x:v>Completed</x:v>
      </x:c>
      <x:c r="W799" s="93" t="n">
        <x:f>IF(V799="Returned",0,T799-U799)</x:f>
        <x:v>80.1</x:v>
      </x:c>
      <x:c r="X799" s="93" t="n">
        <x:f>IF(V799="Returned",Q799*R799*10%,Q799*R799)</x:f>
        <x:v>44</x:v>
      </x:c>
      <x:c r="Y799" s="93" t="n">
        <x:f>W799-X799</x:f>
        <x:v>36.099999999999994</x:v>
      </x:c>
      <x:c r="Z799" s="94" t="n">
        <x:f>IFERROR(Y799/W799,0)</x:f>
        <x:v>0.4506866416978776</x:v>
      </x:c>
      <x:c r="AA799" s="84" t="str">
        <x:f>PROPER(TRIM('Raw Sales'!M799))</x:f>
        <x:v>Credit Card</x:v>
      </x:c>
      <x:c r="AB799" s="84" t="str">
        <x:f>PROPER(TRIM('Raw Sales'!N799))</x:f>
        <x:v>Emma Hayes</x:v>
      </x:c>
      <x:c r="AC799" s="85" t="n">
        <x:f>'Raw Sales'!O799</x:f>
        <x:v>45581</x:v>
      </x:c>
      <x:c r="AD799" s="84" t="n">
        <x:f>AC799-B799</x:f>
        <x:v>5</x:v>
      </x:c>
      <x:c r="AE799" s="84" t="str">
        <x:f>IF(COUNTIF($A$5:A799,A799)&gt;1,"Duplicate","Keep")</x:f>
        <x:v>Keep</x:v>
      </x:c>
      <x:c r="AF799" s="84" t="str">
        <x:f>IF(OR(R799&lt;=0,AC799&lt;B799,H799="Unknown",M799="Unknown Product"),"Review","Valid")</x:f>
        <x:v>Valid</x:v>
      </x:c>
      <x:c r="AG799" s="84" t="n">
        <x:f>IF(AND(AE799="Keep",AF799="Valid"),1,0)</x:f>
        <x:v>1</x:v>
      </x:c>
      <x:c r="AH799" s="84" t="n">
        <x:f>IF(AND(AG799=1,OR('Dashboard'!$B$4="All",I799='Dashboard'!$B$4),OR('Dashboard'!$E$4="All",N799='Dashboard'!$E$4),OR('Dashboard'!$H$4="All",K799='Dashboard'!$H$4),OR('Dashboard'!$K$4="All",C799='Dashboard'!$K$4)),1,0)</x:f>
        <x:v>1</x:v>
      </x:c>
      <x:c r="AI799" s="84" t="n">
        <x:f>IF(AND(AG799=1,OR('Dashboard'!$B$4="All",I799='Dashboard'!$B$4),OR('Dashboard'!$E$4="All",N799='Dashboard'!$E$4),OR('Dashboard'!$H$4="All",K799='Dashboard'!$H$4)),1,0)</x:f>
        <x:v>1</x:v>
      </x:c>
    </x:row>
    <x:row r="800">
      <x:c r="A800" s="84" t="str">
        <x:f>'Raw Sales'!A800</x:f>
        <x:v>ORD-2024-02300</x:v>
      </x:c>
      <x:c r="B800" s="85" t="n">
        <x:f>'Raw Sales'!B800</x:f>
        <x:v>45576</x:v>
      </x:c>
      <x:c r="C800" s="84" t="n">
        <x:f>YEAR(B800)</x:f>
        <x:v>2024</x:v>
      </x:c>
      <x:c r="D800" s="91" t="n">
        <x:f>DATE(YEAR(B800),MONTH(B800),1)</x:f>
        <x:v>45566</x:v>
      </x:c>
      <x:c r="E800" s="84" t="str">
        <x:f>TEXT(B800,"mmm")</x:f>
        <x:v>Oct</x:v>
      </x:c>
      <x:c r="F800" s="84" t="str">
        <x:f>'Raw Sales'!C800</x:f>
        <x:v>CUST-0031</x:v>
      </x:c>
      <x:c r="G800" s="84" t="str">
        <x:f>PROPER(TRIM('Raw Sales'!D800))</x:f>
        <x:v>Theo Smith</x:v>
      </x:c>
      <x:c r="H800" s="84" t="str">
        <x:f>IF(TRIM('Raw Sales'!E800)="","Unknown",PROPER(TRIM('Raw Sales'!E800)))</x:f>
        <x:v>Consumer</x:v>
      </x:c>
      <x:c r="I800" s="84" t="str">
        <x:f>PROPER(TRIM('Raw Sales'!F800))</x:f>
        <x:v>Southeast</x:v>
      </x:c>
      <x:c r="J800" s="84" t="str">
        <x:f>PROPER(TRIM('Raw Sales'!G800))</x:f>
        <x:v>Atlanta</x:v>
      </x:c>
      <x:c r="K800" s="84" t="str">
        <x:f>PROPER(TRIM('Raw Sales'!H800))</x:f>
        <x:v>Retail Store</x:v>
      </x:c>
      <x:c r="L800" s="84" t="str">
        <x:f>'Raw Sales'!I800</x:f>
        <x:v>OFFC-004</x:v>
      </x:c>
      <x:c r="M800" s="84" t="str">
        <x:f>IFERROR(VLOOKUP(L800,'Reference Data'!$A$5:$F$40,2,FALSE),"Unknown Product")</x:f>
        <x:v>Premium Notebook Pack</x:v>
      </x:c>
      <x:c r="N800" s="84" t="str">
        <x:f>IFERROR(VLOOKUP(L800,'Reference Data'!$A$5:$F$40,3,FALSE),"Unknown")</x:f>
        <x:v>Office</x:v>
      </x:c>
      <x:c r="O800" s="84" t="str">
        <x:f>IFERROR(VLOOKUP(L800,'Reference Data'!$A$5:$F$40,4,FALSE),"Unknown")</x:f>
        <x:v>Stationery</x:v>
      </x:c>
      <x:c r="P800" s="92" t="n">
        <x:f>IFERROR(VLOOKUP(L800,'Reference Data'!$A$5:$F$40,5,FALSE),0)</x:f>
        <x:v>18</x:v>
      </x:c>
      <x:c r="Q800" s="92" t="n">
        <x:f>IFERROR(VLOOKUP(L800,'Reference Data'!$A$5:$F$40,6,FALSE),0)</x:f>
        <x:v>6.5</x:v>
      </x:c>
      <x:c r="R800" s="84" t="n">
        <x:f>'Raw Sales'!J800</x:f>
        <x:v>1</x:v>
      </x:c>
      <x:c r="S800" s="87" t="n">
        <x:f>'Raw Sales'!K800</x:f>
        <x:v>0.05</x:v>
      </x:c>
      <x:c r="T800" s="93" t="n">
        <x:f>P800*R800</x:f>
        <x:v>18</x:v>
      </x:c>
      <x:c r="U800" s="93" t="n">
        <x:f>T800*S800</x:f>
        <x:v>0.9</x:v>
      </x:c>
      <x:c r="V800" s="93" t="str">
        <x:f>PROPER(TRIM('Raw Sales'!L800))</x:f>
        <x:v>Completed</x:v>
      </x:c>
      <x:c r="W800" s="93" t="n">
        <x:f>IF(V800="Returned",0,T800-U800)</x:f>
        <x:v>17.1</x:v>
      </x:c>
      <x:c r="X800" s="93" t="n">
        <x:f>IF(V800="Returned",Q800*R800*10%,Q800*R800)</x:f>
        <x:v>6.5</x:v>
      </x:c>
      <x:c r="Y800" s="93" t="n">
        <x:f>W800-X800</x:f>
        <x:v>10.600000000000001</x:v>
      </x:c>
      <x:c r="Z800" s="94" t="n">
        <x:f>IFERROR(Y800/W800,0)</x:f>
        <x:v>0.6198830409356726</x:v>
      </x:c>
      <x:c r="AA800" s="84" t="str">
        <x:f>PROPER(TRIM('Raw Sales'!M800))</x:f>
        <x:v>Credit Card</x:v>
      </x:c>
      <x:c r="AB800" s="84" t="str">
        <x:f>PROPER(TRIM('Raw Sales'!N800))</x:f>
        <x:v>Ava Mitchell</x:v>
      </x:c>
      <x:c r="AC800" s="85" t="n">
        <x:f>'Raw Sales'!O800</x:f>
        <x:v>45576</x:v>
      </x:c>
      <x:c r="AD800" s="84" t="n">
        <x:f>AC800-B800</x:f>
        <x:v>0</x:v>
      </x:c>
      <x:c r="AE800" s="84" t="str">
        <x:f>IF(COUNTIF($A$5:A800,A800)&gt;1,"Duplicate","Keep")</x:f>
        <x:v>Keep</x:v>
      </x:c>
      <x:c r="AF800" s="84" t="str">
        <x:f>IF(OR(R800&lt;=0,AC800&lt;B800,H800="Unknown",M800="Unknown Product"),"Review","Valid")</x:f>
        <x:v>Valid</x:v>
      </x:c>
      <x:c r="AG800" s="84" t="n">
        <x:f>IF(AND(AE800="Keep",AF800="Valid"),1,0)</x:f>
        <x:v>1</x:v>
      </x:c>
      <x:c r="AH800" s="84" t="n">
        <x:f>IF(AND(AG800=1,OR('Dashboard'!$B$4="All",I800='Dashboard'!$B$4),OR('Dashboard'!$E$4="All",N800='Dashboard'!$E$4),OR('Dashboard'!$H$4="All",K800='Dashboard'!$H$4),OR('Dashboard'!$K$4="All",C800='Dashboard'!$K$4)),1,0)</x:f>
        <x:v>1</x:v>
      </x:c>
      <x:c r="AI800" s="84" t="n">
        <x:f>IF(AND(AG800=1,OR('Dashboard'!$B$4="All",I800='Dashboard'!$B$4),OR('Dashboard'!$E$4="All",N800='Dashboard'!$E$4),OR('Dashboard'!$H$4="All",K800='Dashboard'!$H$4)),1,0)</x:f>
        <x:v>1</x:v>
      </x:c>
    </x:row>
    <x:row r="801">
      <x:c r="A801" s="84" t="str">
        <x:f>'Raw Sales'!A801</x:f>
        <x:v>ORD-2024-00176</x:v>
      </x:c>
      <x:c r="B801" s="85" t="n">
        <x:f>'Raw Sales'!B801</x:f>
        <x:v>45577</x:v>
      </x:c>
      <x:c r="C801" s="84" t="n">
        <x:f>YEAR(B801)</x:f>
        <x:v>2024</x:v>
      </x:c>
      <x:c r="D801" s="91" t="n">
        <x:f>DATE(YEAR(B801),MONTH(B801),1)</x:f>
        <x:v>45566</x:v>
      </x:c>
      <x:c r="E801" s="84" t="str">
        <x:f>TEXT(B801,"mmm")</x:f>
        <x:v>Oct</x:v>
      </x:c>
      <x:c r="F801" s="84" t="str">
        <x:f>'Raw Sales'!C801</x:f>
        <x:v>CUST-0265</x:v>
      </x:c>
      <x:c r="G801" s="84" t="str">
        <x:f>PROPER(TRIM('Raw Sales'!D801))</x:f>
        <x:v>Sara Adams</x:v>
      </x:c>
      <x:c r="H801" s="84" t="str">
        <x:f>IF(TRIM('Raw Sales'!E801)="","Unknown",PROPER(TRIM('Raw Sales'!E801)))</x:f>
        <x:v>Consumer</x:v>
      </x:c>
      <x:c r="I801" s="84" t="str">
        <x:f>PROPER(TRIM('Raw Sales'!F801))</x:f>
        <x:v>Southeast</x:v>
      </x:c>
      <x:c r="J801" s="84" t="str">
        <x:f>PROPER(TRIM('Raw Sales'!G801))</x:f>
        <x:v>Nashville</x:v>
      </x:c>
      <x:c r="K801" s="84" t="str">
        <x:f>PROPER(TRIM('Raw Sales'!H801))</x:f>
        <x:v>Retail Store</x:v>
      </x:c>
      <x:c r="L801" s="84" t="str">
        <x:f>'Raw Sales'!I801</x:f>
        <x:v>OFFC-005</x:v>
      </x:c>
      <x:c r="M801" s="84" t="str">
        <x:f>IFERROR(VLOOKUP(L801,'Reference Data'!$A$5:$F$40,2,FALSE),"Unknown Product")</x:f>
        <x:v>Wireless Keyboard</x:v>
      </x:c>
      <x:c r="N801" s="84" t="str">
        <x:f>IFERROR(VLOOKUP(L801,'Reference Data'!$A$5:$F$40,3,FALSE),"Unknown")</x:f>
        <x:v>Office</x:v>
      </x:c>
      <x:c r="O801" s="84" t="str">
        <x:f>IFERROR(VLOOKUP(L801,'Reference Data'!$A$5:$F$40,4,FALSE),"Unknown")</x:f>
        <x:v>Computer Accessories</x:v>
      </x:c>
      <x:c r="P801" s="92" t="n">
        <x:f>IFERROR(VLOOKUP(L801,'Reference Data'!$A$5:$F$40,5,FALSE),0)</x:f>
        <x:v>59</x:v>
      </x:c>
      <x:c r="Q801" s="92" t="n">
        <x:f>IFERROR(VLOOKUP(L801,'Reference Data'!$A$5:$F$40,6,FALSE),0)</x:f>
        <x:v>28</x:v>
      </x:c>
      <x:c r="R801" s="84" t="n">
        <x:f>'Raw Sales'!J801</x:f>
        <x:v>1</x:v>
      </x:c>
      <x:c r="S801" s="87" t="n">
        <x:f>'Raw Sales'!K801</x:f>
        <x:v>0</x:v>
      </x:c>
      <x:c r="T801" s="93" t="n">
        <x:f>P801*R801</x:f>
        <x:v>59</x:v>
      </x:c>
      <x:c r="U801" s="93" t="n">
        <x:f>T801*S801</x:f>
        <x:v>0</x:v>
      </x:c>
      <x:c r="V801" s="93" t="str">
        <x:f>PROPER(TRIM('Raw Sales'!L801))</x:f>
        <x:v>Completed</x:v>
      </x:c>
      <x:c r="W801" s="93" t="n">
        <x:f>IF(V801="Returned",0,T801-U801)</x:f>
        <x:v>59</x:v>
      </x:c>
      <x:c r="X801" s="93" t="n">
        <x:f>IF(V801="Returned",Q801*R801*10%,Q801*R801)</x:f>
        <x:v>28</x:v>
      </x:c>
      <x:c r="Y801" s="93" t="n">
        <x:f>W801-X801</x:f>
        <x:v>31</x:v>
      </x:c>
      <x:c r="Z801" s="94" t="n">
        <x:f>IFERROR(Y801/W801,0)</x:f>
        <x:v>0.5254237288135594</x:v>
      </x:c>
      <x:c r="AA801" s="84" t="str">
        <x:f>PROPER(TRIM('Raw Sales'!M801))</x:f>
        <x:v>Debit Card</x:v>
      </x:c>
      <x:c r="AB801" s="84" t="str">
        <x:f>PROPER(TRIM('Raw Sales'!N801))</x:f>
        <x:v>Liam Parker</x:v>
      </x:c>
      <x:c r="AC801" s="85" t="n">
        <x:f>'Raw Sales'!O801</x:f>
        <x:v>45577</x:v>
      </x:c>
      <x:c r="AD801" s="84" t="n">
        <x:f>AC801-B801</x:f>
        <x:v>0</x:v>
      </x:c>
      <x:c r="AE801" s="84" t="str">
        <x:f>IF(COUNTIF($A$5:A801,A801)&gt;1,"Duplicate","Keep")</x:f>
        <x:v>Keep</x:v>
      </x:c>
      <x:c r="AF801" s="84" t="str">
        <x:f>IF(OR(R801&lt;=0,AC801&lt;B801,H801="Unknown",M801="Unknown Product"),"Review","Valid")</x:f>
        <x:v>Valid</x:v>
      </x:c>
      <x:c r="AG801" s="84" t="n">
        <x:f>IF(AND(AE801="Keep",AF801="Valid"),1,0)</x:f>
        <x:v>1</x:v>
      </x:c>
      <x:c r="AH801" s="84" t="n">
        <x:f>IF(AND(AG801=1,OR('Dashboard'!$B$4="All",I801='Dashboard'!$B$4),OR('Dashboard'!$E$4="All",N801='Dashboard'!$E$4),OR('Dashboard'!$H$4="All",K801='Dashboard'!$H$4),OR('Dashboard'!$K$4="All",C801='Dashboard'!$K$4)),1,0)</x:f>
        <x:v>1</x:v>
      </x:c>
      <x:c r="AI801" s="84" t="n">
        <x:f>IF(AND(AG801=1,OR('Dashboard'!$B$4="All",I801='Dashboard'!$B$4),OR('Dashboard'!$E$4="All",N801='Dashboard'!$E$4),OR('Dashboard'!$H$4="All",K801='Dashboard'!$H$4)),1,0)</x:f>
        <x:v>1</x:v>
      </x:c>
    </x:row>
    <x:row r="802">
      <x:c r="A802" s="84" t="str">
        <x:f>'Raw Sales'!A802</x:f>
        <x:v>ORD-2024-00230</x:v>
      </x:c>
      <x:c r="B802" s="85" t="n">
        <x:f>'Raw Sales'!B802</x:f>
        <x:v>45577</x:v>
      </x:c>
      <x:c r="C802" s="84" t="n">
        <x:f>YEAR(B802)</x:f>
        <x:v>2024</x:v>
      </x:c>
      <x:c r="D802" s="91" t="n">
        <x:f>DATE(YEAR(B802),MONTH(B802),1)</x:f>
        <x:v>45566</x:v>
      </x:c>
      <x:c r="E802" s="84" t="str">
        <x:f>TEXT(B802,"mmm")</x:f>
        <x:v>Oct</x:v>
      </x:c>
      <x:c r="F802" s="84" t="str">
        <x:f>'Raw Sales'!C802</x:f>
        <x:v>CUST-0621</x:v>
      </x:c>
      <x:c r="G802" s="84" t="str">
        <x:f>PROPER(TRIM('Raw Sales'!D802))</x:f>
        <x:v>Sara Hall</x:v>
      </x:c>
      <x:c r="H802" s="84" t="str">
        <x:f>IF(TRIM('Raw Sales'!E802)="","Unknown",PROPER(TRIM('Raw Sales'!E802)))</x:f>
        <x:v>Consumer</x:v>
      </x:c>
      <x:c r="I802" s="84" t="str">
        <x:f>PROPER(TRIM('Raw Sales'!F802))</x:f>
        <x:v>Northeast</x:v>
      </x:c>
      <x:c r="J802" s="84" t="str">
        <x:f>PROPER(TRIM('Raw Sales'!G802))</x:f>
        <x:v>Philadelphia</x:v>
      </x:c>
      <x:c r="K802" s="84" t="str">
        <x:f>PROPER(TRIM('Raw Sales'!H802))</x:f>
        <x:v>Marketplace</x:v>
      </x:c>
      <x:c r="L802" s="84" t="str">
        <x:f>'Raw Sales'!I802</x:f>
        <x:v>HOME-006</x:v>
      </x:c>
      <x:c r="M802" s="84" t="str">
        <x:f>IFERROR(VLOOKUP(L802,'Reference Data'!$A$5:$F$40,2,FALSE),"Unknown Product")</x:f>
        <x:v>Food Storage Set</x:v>
      </x:c>
      <x:c r="N802" s="84" t="str">
        <x:f>IFERROR(VLOOKUP(L802,'Reference Data'!$A$5:$F$40,3,FALSE),"Unknown")</x:f>
        <x:v>Home &amp; Kitchen</x:v>
      </x:c>
      <x:c r="O802" s="84" t="str">
        <x:f>IFERROR(VLOOKUP(L802,'Reference Data'!$A$5:$F$40,4,FALSE),"Unknown")</x:f>
        <x:v>Kitchenware</x:v>
      </x:c>
      <x:c r="P802" s="92" t="n">
        <x:f>IFERROR(VLOOKUP(L802,'Reference Data'!$A$5:$F$40,5,FALSE),0)</x:f>
        <x:v>34</x:v>
      </x:c>
      <x:c r="Q802" s="92" t="n">
        <x:f>IFERROR(VLOOKUP(L802,'Reference Data'!$A$5:$F$40,6,FALSE),0)</x:f>
        <x:v>15</x:v>
      </x:c>
      <x:c r="R802" s="84" t="n">
        <x:f>'Raw Sales'!J802</x:f>
        <x:v>1</x:v>
      </x:c>
      <x:c r="S802" s="87" t="n">
        <x:f>'Raw Sales'!K802</x:f>
        <x:v>0.1</x:v>
      </x:c>
      <x:c r="T802" s="93" t="n">
        <x:f>P802*R802</x:f>
        <x:v>34</x:v>
      </x:c>
      <x:c r="U802" s="93" t="n">
        <x:f>T802*S802</x:f>
        <x:v>3.4000000000000004</x:v>
      </x:c>
      <x:c r="V802" s="93" t="str">
        <x:f>PROPER(TRIM('Raw Sales'!L802))</x:f>
        <x:v>Returned</x:v>
      </x:c>
      <x:c r="W802" s="93" t="n">
        <x:f>IF(V802="Returned",0,T802-U802)</x:f>
        <x:v>0</x:v>
      </x:c>
      <x:c r="X802" s="93" t="n">
        <x:f>IF(V802="Returned",Q802*R802*10%,Q802*R802)</x:f>
        <x:v>1.5</x:v>
      </x:c>
      <x:c r="Y802" s="93" t="n">
        <x:f>W802-X802</x:f>
        <x:v>-1.5</x:v>
      </x:c>
      <x:c r="Z802" s="94" t="n">
        <x:f>IFERROR(Y802/W802,0)</x:f>
        <x:v>0</x:v>
      </x:c>
      <x:c r="AA802" s="84" t="str">
        <x:f>PROPER(TRIM('Raw Sales'!M802))</x:f>
        <x:v>Mobile Wallet</x:v>
      </x:c>
      <x:c r="AB802" s="84" t="str">
        <x:f>PROPER(TRIM('Raw Sales'!N802))</x:f>
        <x:v>Sofia Bennett</x:v>
      </x:c>
      <x:c r="AC802" s="85" t="n">
        <x:f>'Raw Sales'!O802</x:f>
        <x:v>45582</x:v>
      </x:c>
      <x:c r="AD802" s="84" t="n">
        <x:f>AC802-B802</x:f>
        <x:v>5</x:v>
      </x:c>
      <x:c r="AE802" s="84" t="str">
        <x:f>IF(COUNTIF($A$5:A802,A802)&gt;1,"Duplicate","Keep")</x:f>
        <x:v>Keep</x:v>
      </x:c>
      <x:c r="AF802" s="84" t="str">
        <x:f>IF(OR(R802&lt;=0,AC802&lt;B802,H802="Unknown",M802="Unknown Product"),"Review","Valid")</x:f>
        <x:v>Valid</x:v>
      </x:c>
      <x:c r="AG802" s="84" t="n">
        <x:f>IF(AND(AE802="Keep",AF802="Valid"),1,0)</x:f>
        <x:v>1</x:v>
      </x:c>
      <x:c r="AH802" s="84" t="n">
        <x:f>IF(AND(AG802=1,OR('Dashboard'!$B$4="All",I802='Dashboard'!$B$4),OR('Dashboard'!$E$4="All",N802='Dashboard'!$E$4),OR('Dashboard'!$H$4="All",K802='Dashboard'!$H$4),OR('Dashboard'!$K$4="All",C802='Dashboard'!$K$4)),1,0)</x:f>
        <x:v>1</x:v>
      </x:c>
      <x:c r="AI802" s="84" t="n">
        <x:f>IF(AND(AG802=1,OR('Dashboard'!$B$4="All",I802='Dashboard'!$B$4),OR('Dashboard'!$E$4="All",N802='Dashboard'!$E$4),OR('Dashboard'!$H$4="All",K802='Dashboard'!$H$4)),1,0)</x:f>
        <x:v>1</x:v>
      </x:c>
    </x:row>
    <x:row r="803">
      <x:c r="A803" s="84" t="str">
        <x:f>'Raw Sales'!A803</x:f>
        <x:v>ORD-2024-01324</x:v>
      </x:c>
      <x:c r="B803" s="85" t="n">
        <x:f>'Raw Sales'!B803</x:f>
        <x:v>45577</x:v>
      </x:c>
      <x:c r="C803" s="84" t="n">
        <x:f>YEAR(B803)</x:f>
        <x:v>2024</x:v>
      </x:c>
      <x:c r="D803" s="91" t="n">
        <x:f>DATE(YEAR(B803),MONTH(B803),1)</x:f>
        <x:v>45566</x:v>
      </x:c>
      <x:c r="E803" s="84" t="str">
        <x:f>TEXT(B803,"mmm")</x:f>
        <x:v>Oct</x:v>
      </x:c>
      <x:c r="F803" s="84" t="str">
        <x:f>'Raw Sales'!C803</x:f>
        <x:v>CUST-0544</x:v>
      </x:c>
      <x:c r="G803" s="84" t="str">
        <x:f>PROPER(TRIM('Raw Sales'!D803))</x:f>
        <x:v>Victoria Garcia</x:v>
      </x:c>
      <x:c r="H803" s="84" t="str">
        <x:f>IF(TRIM('Raw Sales'!E803)="","Unknown",PROPER(TRIM('Raw Sales'!E803)))</x:f>
        <x:v>Consumer</x:v>
      </x:c>
      <x:c r="I803" s="84" t="str">
        <x:f>PROPER(TRIM('Raw Sales'!F803))</x:f>
        <x:v>West</x:v>
      </x:c>
      <x:c r="J803" s="84" t="str">
        <x:f>PROPER(TRIM('Raw Sales'!G803))</x:f>
        <x:v>Seattle</x:v>
      </x:c>
      <x:c r="K803" s="84" t="str">
        <x:f>PROPER(TRIM('Raw Sales'!H803))</x:f>
        <x:v>Retail Store</x:v>
      </x:c>
      <x:c r="L803" s="84" t="str">
        <x:f>'Raw Sales'!I803</x:f>
        <x:v>ELEC-006</x:v>
      </x:c>
      <x:c r="M803" s="84" t="str">
        <x:f>IFERROR(VLOOKUP(L803,'Reference Data'!$A$5:$F$40,2,FALSE),"Unknown Product")</x:f>
        <x:v>Portable SSD</x:v>
      </x:c>
      <x:c r="N803" s="84" t="str">
        <x:f>IFERROR(VLOOKUP(L803,'Reference Data'!$A$5:$F$40,3,FALSE),"Unknown")</x:f>
        <x:v>Electronics</x:v>
      </x:c>
      <x:c r="O803" s="84" t="str">
        <x:f>IFERROR(VLOOKUP(L803,'Reference Data'!$A$5:$F$40,4,FALSE),"Unknown")</x:f>
        <x:v>Storage</x:v>
      </x:c>
      <x:c r="P803" s="92" t="n">
        <x:f>IFERROR(VLOOKUP(L803,'Reference Data'!$A$5:$F$40,5,FALSE),0)</x:f>
        <x:v>129</x:v>
      </x:c>
      <x:c r="Q803" s="92" t="n">
        <x:f>IFERROR(VLOOKUP(L803,'Reference Data'!$A$5:$F$40,6,FALSE),0)</x:f>
        <x:v>75</x:v>
      </x:c>
      <x:c r="R803" s="84" t="n">
        <x:f>'Raw Sales'!J803</x:f>
        <x:v>1</x:v>
      </x:c>
      <x:c r="S803" s="87" t="n">
        <x:f>'Raw Sales'!K803</x:f>
        <x:v>0.15</x:v>
      </x:c>
      <x:c r="T803" s="93" t="n">
        <x:f>P803*R803</x:f>
        <x:v>129</x:v>
      </x:c>
      <x:c r="U803" s="93" t="n">
        <x:f>T803*S803</x:f>
        <x:v>19.349999999999998</x:v>
      </x:c>
      <x:c r="V803" s="93" t="str">
        <x:f>PROPER(TRIM('Raw Sales'!L803))</x:f>
        <x:v>Completed</x:v>
      </x:c>
      <x:c r="W803" s="93" t="n">
        <x:f>IF(V803="Returned",0,T803-U803)</x:f>
        <x:v>109.65</x:v>
      </x:c>
      <x:c r="X803" s="93" t="n">
        <x:f>IF(V803="Returned",Q803*R803*10%,Q803*R803)</x:f>
        <x:v>75</x:v>
      </x:c>
      <x:c r="Y803" s="93" t="n">
        <x:f>W803-X803</x:f>
        <x:v>34.650000000000006</x:v>
      </x:c>
      <x:c r="Z803" s="94" t="n">
        <x:f>IFERROR(Y803/W803,0)</x:f>
        <x:v>0.31600547195622436</x:v>
      </x:c>
      <x:c r="AA803" s="84" t="str">
        <x:f>PROPER(TRIM('Raw Sales'!M803))</x:f>
        <x:v>Mobile Wallet</x:v>
      </x:c>
      <x:c r="AB803" s="84" t="str">
        <x:f>PROPER(TRIM('Raw Sales'!N803))</x:f>
        <x:v>Nora Kim</x:v>
      </x:c>
      <x:c r="AC803" s="85" t="n">
        <x:f>'Raw Sales'!O803</x:f>
        <x:v>45578</x:v>
      </x:c>
      <x:c r="AD803" s="84" t="n">
        <x:f>AC803-B803</x:f>
        <x:v>1</x:v>
      </x:c>
      <x:c r="AE803" s="84" t="str">
        <x:f>IF(COUNTIF($A$5:A803,A803)&gt;1,"Duplicate","Keep")</x:f>
        <x:v>Keep</x:v>
      </x:c>
      <x:c r="AF803" s="84" t="str">
        <x:f>IF(OR(R803&lt;=0,AC803&lt;B803,H803="Unknown",M803="Unknown Product"),"Review","Valid")</x:f>
        <x:v>Valid</x:v>
      </x:c>
      <x:c r="AG803" s="84" t="n">
        <x:f>IF(AND(AE803="Keep",AF803="Valid"),1,0)</x:f>
        <x:v>1</x:v>
      </x:c>
      <x:c r="AH803" s="84" t="n">
        <x:f>IF(AND(AG803=1,OR('Dashboard'!$B$4="All",I803='Dashboard'!$B$4),OR('Dashboard'!$E$4="All",N803='Dashboard'!$E$4),OR('Dashboard'!$H$4="All",K803='Dashboard'!$H$4),OR('Dashboard'!$K$4="All",C803='Dashboard'!$K$4)),1,0)</x:f>
        <x:v>1</x:v>
      </x:c>
      <x:c r="AI803" s="84" t="n">
        <x:f>IF(AND(AG803=1,OR('Dashboard'!$B$4="All",I803='Dashboard'!$B$4),OR('Dashboard'!$E$4="All",N803='Dashboard'!$E$4),OR('Dashboard'!$H$4="All",K803='Dashboard'!$H$4)),1,0)</x:f>
        <x:v>1</x:v>
      </x:c>
    </x:row>
    <x:row r="804">
      <x:c r="A804" s="84" t="str">
        <x:f>'Raw Sales'!A804</x:f>
        <x:v>ORD-2024-01593</x:v>
      </x:c>
      <x:c r="B804" s="85" t="n">
        <x:f>'Raw Sales'!B804</x:f>
        <x:v>45577</x:v>
      </x:c>
      <x:c r="C804" s="84" t="n">
        <x:f>YEAR(B804)</x:f>
        <x:v>2024</x:v>
      </x:c>
      <x:c r="D804" s="91" t="n">
        <x:f>DATE(YEAR(B804),MONTH(B804),1)</x:f>
        <x:v>45566</x:v>
      </x:c>
      <x:c r="E804" s="84" t="str">
        <x:f>TEXT(B804,"mmm")</x:f>
        <x:v>Oct</x:v>
      </x:c>
      <x:c r="F804" s="84" t="str">
        <x:f>'Raw Sales'!C804</x:f>
        <x:v>CUST-0171</x:v>
      </x:c>
      <x:c r="G804" s="84" t="str">
        <x:f>PROPER(TRIM('Raw Sales'!D804))</x:f>
        <x:v>Jonah Nelson</x:v>
      </x:c>
      <x:c r="H804" s="84" t="str">
        <x:f>IF(TRIM('Raw Sales'!E804)="","Unknown",PROPER(TRIM('Raw Sales'!E804)))</x:f>
        <x:v>Small Business</x:v>
      </x:c>
      <x:c r="I804" s="84" t="str">
        <x:f>PROPER(TRIM('Raw Sales'!F804))</x:f>
        <x:v>Southeast</x:v>
      </x:c>
      <x:c r="J804" s="84" t="str">
        <x:f>PROPER(TRIM('Raw Sales'!G804))</x:f>
        <x:v>Atlanta</x:v>
      </x:c>
      <x:c r="K804" s="84" t="str">
        <x:f>PROPER(TRIM('Raw Sales'!H804))</x:f>
        <x:v>Retail Store</x:v>
      </x:c>
      <x:c r="L804" s="84" t="str">
        <x:f>'Raw Sales'!I804</x:f>
        <x:v>OFFC-003</x:v>
      </x:c>
      <x:c r="M804" s="84" t="str">
        <x:f>IFERROR(VLOOKUP(L804,'Reference Data'!$A$5:$F$40,2,FALSE),"Unknown Product")</x:f>
        <x:v>LED Desk Lamp</x:v>
      </x:c>
      <x:c r="N804" s="84" t="str">
        <x:f>IFERROR(VLOOKUP(L804,'Reference Data'!$A$5:$F$40,3,FALSE),"Unknown")</x:f>
        <x:v>Office</x:v>
      </x:c>
      <x:c r="O804" s="84" t="str">
        <x:f>IFERROR(VLOOKUP(L804,'Reference Data'!$A$5:$F$40,4,FALSE),"Unknown")</x:f>
        <x:v>Desk Accessories</x:v>
      </x:c>
      <x:c r="P804" s="92" t="n">
        <x:f>IFERROR(VLOOKUP(L804,'Reference Data'!$A$5:$F$40,5,FALSE),0)</x:f>
        <x:v>45</x:v>
      </x:c>
      <x:c r="Q804" s="92" t="n">
        <x:f>IFERROR(VLOOKUP(L804,'Reference Data'!$A$5:$F$40,6,FALSE),0)</x:f>
        <x:v>20</x:v>
      </x:c>
      <x:c r="R804" s="84" t="n">
        <x:f>'Raw Sales'!J804</x:f>
        <x:v>1</x:v>
      </x:c>
      <x:c r="S804" s="87" t="n">
        <x:f>'Raw Sales'!K804</x:f>
        <x:v>0</x:v>
      </x:c>
      <x:c r="T804" s="93" t="n">
        <x:f>P804*R804</x:f>
        <x:v>45</x:v>
      </x:c>
      <x:c r="U804" s="93" t="n">
        <x:f>T804*S804</x:f>
        <x:v>0</x:v>
      </x:c>
      <x:c r="V804" s="93" t="str">
        <x:f>PROPER(TRIM('Raw Sales'!L804))</x:f>
        <x:v>Completed</x:v>
      </x:c>
      <x:c r="W804" s="93" t="n">
        <x:f>IF(V804="Returned",0,T804-U804)</x:f>
        <x:v>45</x:v>
      </x:c>
      <x:c r="X804" s="93" t="n">
        <x:f>IF(V804="Returned",Q804*R804*10%,Q804*R804)</x:f>
        <x:v>20</x:v>
      </x:c>
      <x:c r="Y804" s="93" t="n">
        <x:f>W804-X804</x:f>
        <x:v>25</x:v>
      </x:c>
      <x:c r="Z804" s="94" t="n">
        <x:f>IFERROR(Y804/W804,0)</x:f>
        <x:v>0.5555555555555556</x:v>
      </x:c>
      <x:c r="AA804" s="84" t="str">
        <x:f>PROPER(TRIM('Raw Sales'!M804))</x:f>
        <x:v>Cash</x:v>
      </x:c>
      <x:c r="AB804" s="84" t="str">
        <x:f>PROPER(TRIM('Raw Sales'!N804))</x:f>
        <x:v>Liam Parker</x:v>
      </x:c>
      <x:c r="AC804" s="85" t="n">
        <x:f>'Raw Sales'!O804</x:f>
        <x:v>45578</x:v>
      </x:c>
      <x:c r="AD804" s="84" t="n">
        <x:f>AC804-B804</x:f>
        <x:v>1</x:v>
      </x:c>
      <x:c r="AE804" s="84" t="str">
        <x:f>IF(COUNTIF($A$5:A804,A804)&gt;1,"Duplicate","Keep")</x:f>
        <x:v>Keep</x:v>
      </x:c>
      <x:c r="AF804" s="84" t="str">
        <x:f>IF(OR(R804&lt;=0,AC804&lt;B804,H804="Unknown",M804="Unknown Product"),"Review","Valid")</x:f>
        <x:v>Valid</x:v>
      </x:c>
      <x:c r="AG804" s="84" t="n">
        <x:f>IF(AND(AE804="Keep",AF804="Valid"),1,0)</x:f>
        <x:v>1</x:v>
      </x:c>
      <x:c r="AH804" s="84" t="n">
        <x:f>IF(AND(AG804=1,OR('Dashboard'!$B$4="All",I804='Dashboard'!$B$4),OR('Dashboard'!$E$4="All",N804='Dashboard'!$E$4),OR('Dashboard'!$H$4="All",K804='Dashboard'!$H$4),OR('Dashboard'!$K$4="All",C804='Dashboard'!$K$4)),1,0)</x:f>
        <x:v>1</x:v>
      </x:c>
      <x:c r="AI804" s="84" t="n">
        <x:f>IF(AND(AG804=1,OR('Dashboard'!$B$4="All",I804='Dashboard'!$B$4),OR('Dashboard'!$E$4="All",N804='Dashboard'!$E$4),OR('Dashboard'!$H$4="All",K804='Dashboard'!$H$4)),1,0)</x:f>
        <x:v>1</x:v>
      </x:c>
    </x:row>
    <x:row r="805">
      <x:c r="A805" s="84" t="str">
        <x:f>'Raw Sales'!A805</x:f>
        <x:v>ORD-2024-02035</x:v>
      </x:c>
      <x:c r="B805" s="85" t="n">
        <x:f>'Raw Sales'!B805</x:f>
        <x:v>45577</x:v>
      </x:c>
      <x:c r="C805" s="84" t="n">
        <x:f>YEAR(B805)</x:f>
        <x:v>2024</x:v>
      </x:c>
      <x:c r="D805" s="91" t="n">
        <x:f>DATE(YEAR(B805),MONTH(B805),1)</x:f>
        <x:v>45566</x:v>
      </x:c>
      <x:c r="E805" s="84" t="str">
        <x:f>TEXT(B805,"mmm")</x:f>
        <x:v>Oct</x:v>
      </x:c>
      <x:c r="F805" s="84" t="str">
        <x:f>'Raw Sales'!C805</x:f>
        <x:v>CUST-0121</x:v>
      </x:c>
      <x:c r="G805" s="84" t="str">
        <x:f>PROPER(TRIM('Raw Sales'!D805))</x:f>
        <x:v>Zara Patel</x:v>
      </x:c>
      <x:c r="H805" s="84" t="str">
        <x:f>IF(TRIM('Raw Sales'!E805)="","Unknown",PROPER(TRIM('Raw Sales'!E805)))</x:f>
        <x:v>Corporate</x:v>
      </x:c>
      <x:c r="I805" s="84" t="str">
        <x:f>PROPER(TRIM('Raw Sales'!F805))</x:f>
        <x:v>West</x:v>
      </x:c>
      <x:c r="J805" s="84" t="str">
        <x:f>PROPER(TRIM('Raw Sales'!G805))</x:f>
        <x:v>Denver</x:v>
      </x:c>
      <x:c r="K805" s="84" t="str">
        <x:f>PROPER(TRIM('Raw Sales'!H805))</x:f>
        <x:v>Online</x:v>
      </x:c>
      <x:c r="L805" s="84" t="str">
        <x:f>'Raw Sales'!I805</x:f>
        <x:v>ACCS-006</x:v>
      </x:c>
      <x:c r="M805" s="84" t="str">
        <x:f>IFERROR(VLOOKUP(L805,'Reference Data'!$A$5:$F$40,2,FALSE),"Unknown Product")</x:f>
        <x:v>Insulated Lunch Bag</x:v>
      </x:c>
      <x:c r="N805" s="84" t="str">
        <x:f>IFERROR(VLOOKUP(L805,'Reference Data'!$A$5:$F$40,3,FALSE),"Unknown")</x:f>
        <x:v>Accessories</x:v>
      </x:c>
      <x:c r="O805" s="84" t="str">
        <x:f>IFERROR(VLOOKUP(L805,'Reference Data'!$A$5:$F$40,4,FALSE),"Unknown")</x:f>
        <x:v>Bags</x:v>
      </x:c>
      <x:c r="P805" s="92" t="n">
        <x:f>IFERROR(VLOOKUP(L805,'Reference Data'!$A$5:$F$40,5,FALSE),0)</x:f>
        <x:v>29</x:v>
      </x:c>
      <x:c r="Q805" s="92" t="n">
        <x:f>IFERROR(VLOOKUP(L805,'Reference Data'!$A$5:$F$40,6,FALSE),0)</x:f>
        <x:v>10</x:v>
      </x:c>
      <x:c r="R805" s="84" t="n">
        <x:f>'Raw Sales'!J805</x:f>
        <x:v>3</x:v>
      </x:c>
      <x:c r="S805" s="87" t="n">
        <x:f>'Raw Sales'!K805</x:f>
        <x:v>0</x:v>
      </x:c>
      <x:c r="T805" s="93" t="n">
        <x:f>P805*R805</x:f>
        <x:v>87</x:v>
      </x:c>
      <x:c r="U805" s="93" t="n">
        <x:f>T805*S805</x:f>
        <x:v>0</x:v>
      </x:c>
      <x:c r="V805" s="93" t="str">
        <x:f>PROPER(TRIM('Raw Sales'!L805))</x:f>
        <x:v>Completed</x:v>
      </x:c>
      <x:c r="W805" s="93" t="n">
        <x:f>IF(V805="Returned",0,T805-U805)</x:f>
        <x:v>87</x:v>
      </x:c>
      <x:c r="X805" s="93" t="n">
        <x:f>IF(V805="Returned",Q805*R805*10%,Q805*R805)</x:f>
        <x:v>30</x:v>
      </x:c>
      <x:c r="Y805" s="93" t="n">
        <x:f>W805-X805</x:f>
        <x:v>57</x:v>
      </x:c>
      <x:c r="Z805" s="94" t="n">
        <x:f>IFERROR(Y805/W805,0)</x:f>
        <x:v>0.6551724137931034</x:v>
      </x:c>
      <x:c r="AA805" s="84" t="str">
        <x:f>PROPER(TRIM('Raw Sales'!M805))</x:f>
        <x:v>Debit Card</x:v>
      </x:c>
      <x:c r="AB805" s="84" t="str">
        <x:f>PROPER(TRIM('Raw Sales'!N805))</x:f>
        <x:v>Nora Kim</x:v>
      </x:c>
      <x:c r="AC805" s="85" t="n">
        <x:f>'Raw Sales'!O805</x:f>
        <x:v>45581</x:v>
      </x:c>
      <x:c r="AD805" s="84" t="n">
        <x:f>AC805-B805</x:f>
        <x:v>4</x:v>
      </x:c>
      <x:c r="AE805" s="84" t="str">
        <x:f>IF(COUNTIF($A$5:A805,A805)&gt;1,"Duplicate","Keep")</x:f>
        <x:v>Keep</x:v>
      </x:c>
      <x:c r="AF805" s="84" t="str">
        <x:f>IF(OR(R805&lt;=0,AC805&lt;B805,H805="Unknown",M805="Unknown Product"),"Review","Valid")</x:f>
        <x:v>Valid</x:v>
      </x:c>
      <x:c r="AG805" s="84" t="n">
        <x:f>IF(AND(AE805="Keep",AF805="Valid"),1,0)</x:f>
        <x:v>1</x:v>
      </x:c>
      <x:c r="AH805" s="84" t="n">
        <x:f>IF(AND(AG805=1,OR('Dashboard'!$B$4="All",I805='Dashboard'!$B$4),OR('Dashboard'!$E$4="All",N805='Dashboard'!$E$4),OR('Dashboard'!$H$4="All",K805='Dashboard'!$H$4),OR('Dashboard'!$K$4="All",C805='Dashboard'!$K$4)),1,0)</x:f>
        <x:v>1</x:v>
      </x:c>
      <x:c r="AI805" s="84" t="n">
        <x:f>IF(AND(AG805=1,OR('Dashboard'!$B$4="All",I805='Dashboard'!$B$4),OR('Dashboard'!$E$4="All",N805='Dashboard'!$E$4),OR('Dashboard'!$H$4="All",K805='Dashboard'!$H$4)),1,0)</x:f>
        <x:v>1</x:v>
      </x:c>
    </x:row>
    <x:row r="806">
      <x:c r="A806" s="84" t="str">
        <x:f>'Raw Sales'!A806</x:f>
        <x:v>ORD-2024-00037</x:v>
      </x:c>
      <x:c r="B806" s="85" t="n">
        <x:f>'Raw Sales'!B806</x:f>
        <x:v>45578</x:v>
      </x:c>
      <x:c r="C806" s="84" t="n">
        <x:f>YEAR(B806)</x:f>
        <x:v>2024</x:v>
      </x:c>
      <x:c r="D806" s="91" t="n">
        <x:f>DATE(YEAR(B806),MONTH(B806),1)</x:f>
        <x:v>45566</x:v>
      </x:c>
      <x:c r="E806" s="84" t="str">
        <x:f>TEXT(B806,"mmm")</x:f>
        <x:v>Oct</x:v>
      </x:c>
      <x:c r="F806" s="84" t="str">
        <x:f>'Raw Sales'!C806</x:f>
        <x:v>CUST-0396</x:v>
      </x:c>
      <x:c r="G806" s="84" t="str">
        <x:f>PROPER(TRIM('Raw Sales'!D806))</x:f>
        <x:v>Victoria Carter</x:v>
      </x:c>
      <x:c r="H806" s="84" t="str">
        <x:f>IF(TRIM('Raw Sales'!E806)="","Unknown",PROPER(TRIM('Raw Sales'!E806)))</x:f>
        <x:v>Consumer</x:v>
      </x:c>
      <x:c r="I806" s="84" t="str">
        <x:f>PROPER(TRIM('Raw Sales'!F806))</x:f>
        <x:v>Southeast</x:v>
      </x:c>
      <x:c r="J806" s="84" t="str">
        <x:f>PROPER(TRIM('Raw Sales'!G806))</x:f>
        <x:v>Nashville</x:v>
      </x:c>
      <x:c r="K806" s="84" t="str">
        <x:f>PROPER(TRIM('Raw Sales'!H806))</x:f>
        <x:v>Online</x:v>
      </x:c>
      <x:c r="L806" s="84" t="str">
        <x:f>'Raw Sales'!I806</x:f>
        <x:v>FITN-005</x:v>
      </x:c>
      <x:c r="M806" s="84" t="str">
        <x:f>IFERROR(VLOOKUP(L806,'Reference Data'!$A$5:$F$40,2,FALSE),"Unknown Product")</x:f>
        <x:v>Sports Water Bottle</x:v>
      </x:c>
      <x:c r="N806" s="84" t="str">
        <x:f>IFERROR(VLOOKUP(L806,'Reference Data'!$A$5:$F$40,3,FALSE),"Unknown")</x:f>
        <x:v>Fitness</x:v>
      </x:c>
      <x:c r="O806" s="84" t="str">
        <x:f>IFERROR(VLOOKUP(L806,'Reference Data'!$A$5:$F$40,4,FALSE),"Unknown")</x:f>
        <x:v>Accessories</x:v>
      </x:c>
      <x:c r="P806" s="92" t="n">
        <x:f>IFERROR(VLOOKUP(L806,'Reference Data'!$A$5:$F$40,5,FALSE),0)</x:f>
        <x:v>22</x:v>
      </x:c>
      <x:c r="Q806" s="92" t="n">
        <x:f>IFERROR(VLOOKUP(L806,'Reference Data'!$A$5:$F$40,6,FALSE),0)</x:f>
        <x:v>7</x:v>
      </x:c>
      <x:c r="R806" s="84" t="n">
        <x:f>'Raw Sales'!J806</x:f>
        <x:v>1</x:v>
      </x:c>
      <x:c r="S806" s="87" t="n">
        <x:f>'Raw Sales'!K806</x:f>
        <x:v>0.15</x:v>
      </x:c>
      <x:c r="T806" s="93" t="n">
        <x:f>P806*R806</x:f>
        <x:v>22</x:v>
      </x:c>
      <x:c r="U806" s="93" t="n">
        <x:f>T806*S806</x:f>
        <x:v>3.3</x:v>
      </x:c>
      <x:c r="V806" s="93" t="str">
        <x:f>PROPER(TRIM('Raw Sales'!L806))</x:f>
        <x:v>Completed</x:v>
      </x:c>
      <x:c r="W806" s="93" t="n">
        <x:f>IF(V806="Returned",0,T806-U806)</x:f>
        <x:v>18.7</x:v>
      </x:c>
      <x:c r="X806" s="93" t="n">
        <x:f>IF(V806="Returned",Q806*R806*10%,Q806*R806)</x:f>
        <x:v>7</x:v>
      </x:c>
      <x:c r="Y806" s="93" t="n">
        <x:f>W806-X806</x:f>
        <x:v>11.7</x:v>
      </x:c>
      <x:c r="Z806" s="94" t="n">
        <x:f>IFERROR(Y806/W806,0)</x:f>
        <x:v>0.6256684491978609</x:v>
      </x:c>
      <x:c r="AA806" s="84" t="str">
        <x:f>PROPER(TRIM('Raw Sales'!M806))</x:f>
        <x:v>Paypal</x:v>
      </x:c>
      <x:c r="AB806" s="84" t="str">
        <x:f>PROPER(TRIM('Raw Sales'!N806))</x:f>
        <x:v>Noah Reed</x:v>
      </x:c>
      <x:c r="AC806" s="85" t="n">
        <x:f>'Raw Sales'!O806</x:f>
        <x:v>45582</x:v>
      </x:c>
      <x:c r="AD806" s="84" t="n">
        <x:f>AC806-B806</x:f>
        <x:v>4</x:v>
      </x:c>
      <x:c r="AE806" s="84" t="str">
        <x:f>IF(COUNTIF($A$5:A806,A806)&gt;1,"Duplicate","Keep")</x:f>
        <x:v>Keep</x:v>
      </x:c>
      <x:c r="AF806" s="84" t="str">
        <x:f>IF(OR(R806&lt;=0,AC806&lt;B806,H806="Unknown",M806="Unknown Product"),"Review","Valid")</x:f>
        <x:v>Valid</x:v>
      </x:c>
      <x:c r="AG806" s="84" t="n">
        <x:f>IF(AND(AE806="Keep",AF806="Valid"),1,0)</x:f>
        <x:v>1</x:v>
      </x:c>
      <x:c r="AH806" s="84" t="n">
        <x:f>IF(AND(AG806=1,OR('Dashboard'!$B$4="All",I806='Dashboard'!$B$4),OR('Dashboard'!$E$4="All",N806='Dashboard'!$E$4),OR('Dashboard'!$H$4="All",K806='Dashboard'!$H$4),OR('Dashboard'!$K$4="All",C806='Dashboard'!$K$4)),1,0)</x:f>
        <x:v>1</x:v>
      </x:c>
      <x:c r="AI806" s="84" t="n">
        <x:f>IF(AND(AG806=1,OR('Dashboard'!$B$4="All",I806='Dashboard'!$B$4),OR('Dashboard'!$E$4="All",N806='Dashboard'!$E$4),OR('Dashboard'!$H$4="All",K806='Dashboard'!$H$4)),1,0)</x:f>
        <x:v>1</x:v>
      </x:c>
    </x:row>
    <x:row r="807">
      <x:c r="A807" s="84" t="str">
        <x:f>'Raw Sales'!A807</x:f>
        <x:v>ORD-2024-00118</x:v>
      </x:c>
      <x:c r="B807" s="85" t="n">
        <x:f>'Raw Sales'!B807</x:f>
        <x:v>45578</x:v>
      </x:c>
      <x:c r="C807" s="84" t="n">
        <x:f>YEAR(B807)</x:f>
        <x:v>2024</x:v>
      </x:c>
      <x:c r="D807" s="91" t="n">
        <x:f>DATE(YEAR(B807),MONTH(B807),1)</x:f>
        <x:v>45566</x:v>
      </x:c>
      <x:c r="E807" s="84" t="str">
        <x:f>TEXT(B807,"mmm")</x:f>
        <x:v>Oct</x:v>
      </x:c>
      <x:c r="F807" s="84" t="str">
        <x:f>'Raw Sales'!C807</x:f>
        <x:v>CUST-0056</x:v>
      </x:c>
      <x:c r="G807" s="84" t="str">
        <x:f>PROPER(TRIM('Raw Sales'!D807))</x:f>
        <x:v>Priya Baker</x:v>
      </x:c>
      <x:c r="H807" s="84" t="str">
        <x:f>IF(TRIM('Raw Sales'!E807)="","Unknown",PROPER(TRIM('Raw Sales'!E807)))</x:f>
        <x:v>Consumer</x:v>
      </x:c>
      <x:c r="I807" s="84" t="str">
        <x:f>PROPER(TRIM('Raw Sales'!F807))</x:f>
        <x:v>Southeast</x:v>
      </x:c>
      <x:c r="J807" s="84" t="str">
        <x:f>PROPER(TRIM('Raw Sales'!G807))</x:f>
        <x:v>Charlotte</x:v>
      </x:c>
      <x:c r="K807" s="84" t="str">
        <x:f>PROPER(TRIM('Raw Sales'!H807))</x:f>
        <x:v>Marketplace</x:v>
      </x:c>
      <x:c r="L807" s="84" t="str">
        <x:f>'Raw Sales'!I807</x:f>
        <x:v>FITN-006</x:v>
      </x:c>
      <x:c r="M807" s="84" t="str">
        <x:f>IFERROR(VLOOKUP(L807,'Reference Data'!$A$5:$F$40,2,FALSE),"Unknown Product")</x:f>
        <x:v>Foam Roller</x:v>
      </x:c>
      <x:c r="N807" s="84" t="str">
        <x:f>IFERROR(VLOOKUP(L807,'Reference Data'!$A$5:$F$40,3,FALSE),"Unknown")</x:f>
        <x:v>Fitness</x:v>
      </x:c>
      <x:c r="O807" s="84" t="str">
        <x:f>IFERROR(VLOOKUP(L807,'Reference Data'!$A$5:$F$40,4,FALSE),"Unknown")</x:f>
        <x:v>Recovery</x:v>
      </x:c>
      <x:c r="P807" s="92" t="n">
        <x:f>IFERROR(VLOOKUP(L807,'Reference Data'!$A$5:$F$40,5,FALSE),0)</x:f>
        <x:v>31</x:v>
      </x:c>
      <x:c r="Q807" s="92" t="n">
        <x:f>IFERROR(VLOOKUP(L807,'Reference Data'!$A$5:$F$40,6,FALSE),0)</x:f>
        <x:v>12</x:v>
      </x:c>
      <x:c r="R807" s="84" t="n">
        <x:f>'Raw Sales'!J807</x:f>
        <x:v>3</x:v>
      </x:c>
      <x:c r="S807" s="87" t="n">
        <x:f>'Raw Sales'!K807</x:f>
        <x:v>0.05</x:v>
      </x:c>
      <x:c r="T807" s="93" t="n">
        <x:f>P807*R807</x:f>
        <x:v>93</x:v>
      </x:c>
      <x:c r="U807" s="93" t="n">
        <x:f>T807*S807</x:f>
        <x:v>4.65</x:v>
      </x:c>
      <x:c r="V807" s="93" t="str">
        <x:f>PROPER(TRIM('Raw Sales'!L807))</x:f>
        <x:v>Completed</x:v>
      </x:c>
      <x:c r="W807" s="93" t="n">
        <x:f>IF(V807="Returned",0,T807-U807)</x:f>
        <x:v>88.35</x:v>
      </x:c>
      <x:c r="X807" s="93" t="n">
        <x:f>IF(V807="Returned",Q807*R807*10%,Q807*R807)</x:f>
        <x:v>36</x:v>
      </x:c>
      <x:c r="Y807" s="93" t="n">
        <x:f>W807-X807</x:f>
        <x:v>52.349999999999994</x:v>
      </x:c>
      <x:c r="Z807" s="94" t="n">
        <x:f>IFERROR(Y807/W807,0)</x:f>
        <x:v>0.5925297113752122</x:v>
      </x:c>
      <x:c r="AA807" s="84" t="str">
        <x:f>PROPER(TRIM('Raw Sales'!M807))</x:f>
        <x:v>Credit Card</x:v>
      </x:c>
      <x:c r="AB807" s="84" t="str">
        <x:f>PROPER(TRIM('Raw Sales'!N807))</x:f>
        <x:v>Noah Reed</x:v>
      </x:c>
      <x:c r="AC807" s="85" t="n">
        <x:f>'Raw Sales'!O807</x:f>
        <x:v>45584</x:v>
      </x:c>
      <x:c r="AD807" s="84" t="n">
        <x:f>AC807-B807</x:f>
        <x:v>6</x:v>
      </x:c>
      <x:c r="AE807" s="84" t="str">
        <x:f>IF(COUNTIF($A$5:A807,A807)&gt;1,"Duplicate","Keep")</x:f>
        <x:v>Keep</x:v>
      </x:c>
      <x:c r="AF807" s="84" t="str">
        <x:f>IF(OR(R807&lt;=0,AC807&lt;B807,H807="Unknown",M807="Unknown Product"),"Review","Valid")</x:f>
        <x:v>Valid</x:v>
      </x:c>
      <x:c r="AG807" s="84" t="n">
        <x:f>IF(AND(AE807="Keep",AF807="Valid"),1,0)</x:f>
        <x:v>1</x:v>
      </x:c>
      <x:c r="AH807" s="84" t="n">
        <x:f>IF(AND(AG807=1,OR('Dashboard'!$B$4="All",I807='Dashboard'!$B$4),OR('Dashboard'!$E$4="All",N807='Dashboard'!$E$4),OR('Dashboard'!$H$4="All",K807='Dashboard'!$H$4),OR('Dashboard'!$K$4="All",C807='Dashboard'!$K$4)),1,0)</x:f>
        <x:v>1</x:v>
      </x:c>
      <x:c r="AI807" s="84" t="n">
        <x:f>IF(AND(AG807=1,OR('Dashboard'!$B$4="All",I807='Dashboard'!$B$4),OR('Dashboard'!$E$4="All",N807='Dashboard'!$E$4),OR('Dashboard'!$H$4="All",K807='Dashboard'!$H$4)),1,0)</x:f>
        <x:v>1</x:v>
      </x:c>
    </x:row>
    <x:row r="808">
      <x:c r="A808" s="84" t="str">
        <x:f>'Raw Sales'!A808</x:f>
        <x:v>ORD-2024-00199</x:v>
      </x:c>
      <x:c r="B808" s="85" t="n">
        <x:f>'Raw Sales'!B808</x:f>
        <x:v>45578</x:v>
      </x:c>
      <x:c r="C808" s="84" t="n">
        <x:f>YEAR(B808)</x:f>
        <x:v>2024</x:v>
      </x:c>
      <x:c r="D808" s="91" t="n">
        <x:f>DATE(YEAR(B808),MONTH(B808),1)</x:f>
        <x:v>45566</x:v>
      </x:c>
      <x:c r="E808" s="84" t="str">
        <x:f>TEXT(B808,"mmm")</x:f>
        <x:v>Oct</x:v>
      </x:c>
      <x:c r="F808" s="84" t="str">
        <x:f>'Raw Sales'!C808</x:f>
        <x:v>CUST-0259</x:v>
      </x:c>
      <x:c r="G808" s="84" t="str">
        <x:f>PROPER(TRIM('Raw Sales'!D808))</x:f>
        <x:v>Caleb Foster</x:v>
      </x:c>
      <x:c r="H808" s="84" t="str">
        <x:f>IF(TRIM('Raw Sales'!E808)="","Unknown",PROPER(TRIM('Raw Sales'!E808)))</x:f>
        <x:v>Consumer</x:v>
      </x:c>
      <x:c r="I808" s="84" t="str">
        <x:f>PROPER(TRIM('Raw Sales'!F808))</x:f>
        <x:v>Northeast</x:v>
      </x:c>
      <x:c r="J808" s="84" t="str">
        <x:f>PROPER(TRIM('Raw Sales'!G808))</x:f>
        <x:v>New York</x:v>
      </x:c>
      <x:c r="K808" s="84" t="str">
        <x:f>PROPER(TRIM('Raw Sales'!H808))</x:f>
        <x:v>Online</x:v>
      </x:c>
      <x:c r="L808" s="84" t="str">
        <x:f>'Raw Sales'!I808</x:f>
        <x:v>FITN-006</x:v>
      </x:c>
      <x:c r="M808" s="84" t="str">
        <x:f>IFERROR(VLOOKUP(L808,'Reference Data'!$A$5:$F$40,2,FALSE),"Unknown Product")</x:f>
        <x:v>Foam Roller</x:v>
      </x:c>
      <x:c r="N808" s="84" t="str">
        <x:f>IFERROR(VLOOKUP(L808,'Reference Data'!$A$5:$F$40,3,FALSE),"Unknown")</x:f>
        <x:v>Fitness</x:v>
      </x:c>
      <x:c r="O808" s="84" t="str">
        <x:f>IFERROR(VLOOKUP(L808,'Reference Data'!$A$5:$F$40,4,FALSE),"Unknown")</x:f>
        <x:v>Recovery</x:v>
      </x:c>
      <x:c r="P808" s="92" t="n">
        <x:f>IFERROR(VLOOKUP(L808,'Reference Data'!$A$5:$F$40,5,FALSE),0)</x:f>
        <x:v>31</x:v>
      </x:c>
      <x:c r="Q808" s="92" t="n">
        <x:f>IFERROR(VLOOKUP(L808,'Reference Data'!$A$5:$F$40,6,FALSE),0)</x:f>
        <x:v>12</x:v>
      </x:c>
      <x:c r="R808" s="84" t="n">
        <x:f>'Raw Sales'!J808</x:f>
        <x:v>1</x:v>
      </x:c>
      <x:c r="S808" s="87" t="n">
        <x:f>'Raw Sales'!K808</x:f>
        <x:v>0.05</x:v>
      </x:c>
      <x:c r="T808" s="93" t="n">
        <x:f>P808*R808</x:f>
        <x:v>31</x:v>
      </x:c>
      <x:c r="U808" s="93" t="n">
        <x:f>T808*S808</x:f>
        <x:v>1.55</x:v>
      </x:c>
      <x:c r="V808" s="93" t="str">
        <x:f>PROPER(TRIM('Raw Sales'!L808))</x:f>
        <x:v>Completed</x:v>
      </x:c>
      <x:c r="W808" s="93" t="n">
        <x:f>IF(V808="Returned",0,T808-U808)</x:f>
        <x:v>29.45</x:v>
      </x:c>
      <x:c r="X808" s="93" t="n">
        <x:f>IF(V808="Returned",Q808*R808*10%,Q808*R808)</x:f>
        <x:v>12</x:v>
      </x:c>
      <x:c r="Y808" s="93" t="n">
        <x:f>W808-X808</x:f>
        <x:v>17.45</x:v>
      </x:c>
      <x:c r="Z808" s="94" t="n">
        <x:f>IFERROR(Y808/W808,0)</x:f>
        <x:v>0.5925297113752123</x:v>
      </x:c>
      <x:c r="AA808" s="84" t="str">
        <x:f>PROPER(TRIM('Raw Sales'!M808))</x:f>
        <x:v>Mobile Wallet</x:v>
      </x:c>
      <x:c r="AB808" s="84" t="str">
        <x:f>PROPER(TRIM('Raw Sales'!N808))</x:f>
        <x:v>Sofia Bennett</x:v>
      </x:c>
      <x:c r="AC808" s="85" t="n">
        <x:f>'Raw Sales'!O808</x:f>
        <x:v>45582</x:v>
      </x:c>
      <x:c r="AD808" s="84" t="n">
        <x:f>AC808-B808</x:f>
        <x:v>4</x:v>
      </x:c>
      <x:c r="AE808" s="84" t="str">
        <x:f>IF(COUNTIF($A$5:A808,A808)&gt;1,"Duplicate","Keep")</x:f>
        <x:v>Keep</x:v>
      </x:c>
      <x:c r="AF808" s="84" t="str">
        <x:f>IF(OR(R808&lt;=0,AC808&lt;B808,H808="Unknown",M808="Unknown Product"),"Review","Valid")</x:f>
        <x:v>Valid</x:v>
      </x:c>
      <x:c r="AG808" s="84" t="n">
        <x:f>IF(AND(AE808="Keep",AF808="Valid"),1,0)</x:f>
        <x:v>1</x:v>
      </x:c>
      <x:c r="AH808" s="84" t="n">
        <x:f>IF(AND(AG808=1,OR('Dashboard'!$B$4="All",I808='Dashboard'!$B$4),OR('Dashboard'!$E$4="All",N808='Dashboard'!$E$4),OR('Dashboard'!$H$4="All",K808='Dashboard'!$H$4),OR('Dashboard'!$K$4="All",C808='Dashboard'!$K$4)),1,0)</x:f>
        <x:v>1</x:v>
      </x:c>
      <x:c r="AI808" s="84" t="n">
        <x:f>IF(AND(AG808=1,OR('Dashboard'!$B$4="All",I808='Dashboard'!$B$4),OR('Dashboard'!$E$4="All",N808='Dashboard'!$E$4),OR('Dashboard'!$H$4="All",K808='Dashboard'!$H$4)),1,0)</x:f>
        <x:v>1</x:v>
      </x:c>
    </x:row>
    <x:row r="809">
      <x:c r="A809" s="84" t="str">
        <x:f>'Raw Sales'!A809</x:f>
        <x:v>ORD-2024-00742</x:v>
      </x:c>
      <x:c r="B809" s="85" t="n">
        <x:f>'Raw Sales'!B809</x:f>
        <x:v>45578</x:v>
      </x:c>
      <x:c r="C809" s="84" t="n">
        <x:f>YEAR(B809)</x:f>
        <x:v>2024</x:v>
      </x:c>
      <x:c r="D809" s="91" t="n">
        <x:f>DATE(YEAR(B809),MONTH(B809),1)</x:f>
        <x:v>45566</x:v>
      </x:c>
      <x:c r="E809" s="84" t="str">
        <x:f>TEXT(B809,"mmm")</x:f>
        <x:v>Oct</x:v>
      </x:c>
      <x:c r="F809" s="84" t="str">
        <x:f>'Raw Sales'!C809</x:f>
        <x:v>CUST-0333</x:v>
      </x:c>
      <x:c r="G809" s="84" t="str">
        <x:f>PROPER(TRIM('Raw Sales'!D809))</x:f>
        <x:v>Priya Khan</x:v>
      </x:c>
      <x:c r="H809" s="84" t="str">
        <x:f>IF(TRIM('Raw Sales'!E809)="","Unknown",PROPER(TRIM('Raw Sales'!E809)))</x:f>
        <x:v>Consumer</x:v>
      </x:c>
      <x:c r="I809" s="84" t="str">
        <x:f>PROPER(TRIM('Raw Sales'!F809))</x:f>
        <x:v>Southeast</x:v>
      </x:c>
      <x:c r="J809" s="84" t="str">
        <x:f>PROPER(TRIM('Raw Sales'!G809))</x:f>
        <x:v>Charlotte</x:v>
      </x:c>
      <x:c r="K809" s="84" t="str">
        <x:f>PROPER(TRIM('Raw Sales'!H809))</x:f>
        <x:v>Online</x:v>
      </x:c>
      <x:c r="L809" s="84" t="str">
        <x:f>'Raw Sales'!I809</x:f>
        <x:v>FITN-004</x:v>
      </x:c>
      <x:c r="M809" s="84" t="str">
        <x:f>IFERROR(VLOOKUP(L809,'Reference Data'!$A$5:$F$40,2,FALSE),"Unknown Product")</x:f>
        <x:v>Fitness Tracker</x:v>
      </x:c>
      <x:c r="N809" s="84" t="str">
        <x:f>IFERROR(VLOOKUP(L809,'Reference Data'!$A$5:$F$40,3,FALSE),"Unknown")</x:f>
        <x:v>Fitness</x:v>
      </x:c>
      <x:c r="O809" s="84" t="str">
        <x:f>IFERROR(VLOOKUP(L809,'Reference Data'!$A$5:$F$40,4,FALSE),"Unknown")</x:f>
        <x:v>Wearables</x:v>
      </x:c>
      <x:c r="P809" s="92" t="n">
        <x:f>IFERROR(VLOOKUP(L809,'Reference Data'!$A$5:$F$40,5,FALSE),0)</x:f>
        <x:v>89</x:v>
      </x:c>
      <x:c r="Q809" s="92" t="n">
        <x:f>IFERROR(VLOOKUP(L809,'Reference Data'!$A$5:$F$40,6,FALSE),0)</x:f>
        <x:v>44</x:v>
      </x:c>
      <x:c r="R809" s="84" t="n">
        <x:f>'Raw Sales'!J809</x:f>
        <x:v>1</x:v>
      </x:c>
      <x:c r="S809" s="87" t="n">
        <x:f>'Raw Sales'!K809</x:f>
        <x:v>0.2</x:v>
      </x:c>
      <x:c r="T809" s="93" t="n">
        <x:f>P809*R809</x:f>
        <x:v>89</x:v>
      </x:c>
      <x:c r="U809" s="93" t="n">
        <x:f>T809*S809</x:f>
        <x:v>17.8</x:v>
      </x:c>
      <x:c r="V809" s="93" t="str">
        <x:f>PROPER(TRIM('Raw Sales'!L809))</x:f>
        <x:v>Completed</x:v>
      </x:c>
      <x:c r="W809" s="93" t="n">
        <x:f>IF(V809="Returned",0,T809-U809)</x:f>
        <x:v>71.2</x:v>
      </x:c>
      <x:c r="X809" s="93" t="n">
        <x:f>IF(V809="Returned",Q809*R809*10%,Q809*R809)</x:f>
        <x:v>44</x:v>
      </x:c>
      <x:c r="Y809" s="93" t="n">
        <x:f>W809-X809</x:f>
        <x:v>27.200000000000003</x:v>
      </x:c>
      <x:c r="Z809" s="94" t="n">
        <x:f>IFERROR(Y809/W809,0)</x:f>
        <x:v>0.3820224719101124</x:v>
      </x:c>
      <x:c r="AA809" s="84" t="str">
        <x:f>PROPER(TRIM('Raw Sales'!M809))</x:f>
        <x:v>Mobile Wallet</x:v>
      </x:c>
      <x:c r="AB809" s="84" t="str">
        <x:f>PROPER(TRIM('Raw Sales'!N809))</x:f>
        <x:v>Liam Parker</x:v>
      </x:c>
      <x:c r="AC809" s="85" t="n">
        <x:f>'Raw Sales'!O809</x:f>
        <x:v>45581</x:v>
      </x:c>
      <x:c r="AD809" s="84" t="n">
        <x:f>AC809-B809</x:f>
        <x:v>3</x:v>
      </x:c>
      <x:c r="AE809" s="84" t="str">
        <x:f>IF(COUNTIF($A$5:A809,A809)&gt;1,"Duplicate","Keep")</x:f>
        <x:v>Keep</x:v>
      </x:c>
      <x:c r="AF809" s="84" t="str">
        <x:f>IF(OR(R809&lt;=0,AC809&lt;B809,H809="Unknown",M809="Unknown Product"),"Review","Valid")</x:f>
        <x:v>Valid</x:v>
      </x:c>
      <x:c r="AG809" s="84" t="n">
        <x:f>IF(AND(AE809="Keep",AF809="Valid"),1,0)</x:f>
        <x:v>1</x:v>
      </x:c>
      <x:c r="AH809" s="84" t="n">
        <x:f>IF(AND(AG809=1,OR('Dashboard'!$B$4="All",I809='Dashboard'!$B$4),OR('Dashboard'!$E$4="All",N809='Dashboard'!$E$4),OR('Dashboard'!$H$4="All",K809='Dashboard'!$H$4),OR('Dashboard'!$K$4="All",C809='Dashboard'!$K$4)),1,0)</x:f>
        <x:v>1</x:v>
      </x:c>
      <x:c r="AI809" s="84" t="n">
        <x:f>IF(AND(AG809=1,OR('Dashboard'!$B$4="All",I809='Dashboard'!$B$4),OR('Dashboard'!$E$4="All",N809='Dashboard'!$E$4),OR('Dashboard'!$H$4="All",K809='Dashboard'!$H$4)),1,0)</x:f>
        <x:v>1</x:v>
      </x:c>
    </x:row>
    <x:row r="810">
      <x:c r="A810" s="84" t="str">
        <x:f>'Raw Sales'!A810</x:f>
        <x:v>ORD-2024-01923</x:v>
      </x:c>
      <x:c r="B810" s="85" t="n">
        <x:f>'Raw Sales'!B810</x:f>
        <x:v>45578</x:v>
      </x:c>
      <x:c r="C810" s="84" t="n">
        <x:f>YEAR(B810)</x:f>
        <x:v>2024</x:v>
      </x:c>
      <x:c r="D810" s="91" t="n">
        <x:f>DATE(YEAR(B810),MONTH(B810),1)</x:f>
        <x:v>45566</x:v>
      </x:c>
      <x:c r="E810" s="84" t="str">
        <x:f>TEXT(B810,"mmm")</x:f>
        <x:v>Oct</x:v>
      </x:c>
      <x:c r="F810" s="84" t="str">
        <x:f>'Raw Sales'!C810</x:f>
        <x:v>CUST-0352</x:v>
      </x:c>
      <x:c r="G810" s="84" t="str">
        <x:f>PROPER(TRIM('Raw Sales'!D810))</x:f>
        <x:v>Theo Garcia</x:v>
      </x:c>
      <x:c r="H810" s="84" t="str">
        <x:f>IF(TRIM('Raw Sales'!E810)="","Unknown",PROPER(TRIM('Raw Sales'!E810)))</x:f>
        <x:v>Consumer</x:v>
      </x:c>
      <x:c r="I810" s="84" t="str">
        <x:f>PROPER(TRIM('Raw Sales'!F810))</x:f>
        <x:v>West</x:v>
      </x:c>
      <x:c r="J810" s="84" t="str">
        <x:f>PROPER(TRIM('Raw Sales'!G810))</x:f>
        <x:v>Seattle</x:v>
      </x:c>
      <x:c r="K810" s="84" t="str">
        <x:f>PROPER(TRIM('Raw Sales'!H810))</x:f>
        <x:v>Online</x:v>
      </x:c>
      <x:c r="L810" s="84" t="str">
        <x:f>'Raw Sales'!I810</x:f>
        <x:v>ACCS-003</x:v>
      </x:c>
      <x:c r="M810" s="84" t="str">
        <x:f>IFERROR(VLOOKUP(L810,'Reference Data'!$A$5:$F$40,2,FALSE),"Unknown Product")</x:f>
        <x:v>Polarized Sunglasses</x:v>
      </x:c>
      <x:c r="N810" s="84" t="str">
        <x:f>IFERROR(VLOOKUP(L810,'Reference Data'!$A$5:$F$40,3,FALSE),"Unknown")</x:f>
        <x:v>Accessories</x:v>
      </x:c>
      <x:c r="O810" s="84" t="str">
        <x:f>IFERROR(VLOOKUP(L810,'Reference Data'!$A$5:$F$40,4,FALSE),"Unknown")</x:f>
        <x:v>Eyewear</x:v>
      </x:c>
      <x:c r="P810" s="92" t="n">
        <x:f>IFERROR(VLOOKUP(L810,'Reference Data'!$A$5:$F$40,5,FALSE),0)</x:f>
        <x:v>59</x:v>
      </x:c>
      <x:c r="Q810" s="92" t="n">
        <x:f>IFERROR(VLOOKUP(L810,'Reference Data'!$A$5:$F$40,6,FALSE),0)</x:f>
        <x:v>17</x:v>
      </x:c>
      <x:c r="R810" s="84" t="n">
        <x:f>'Raw Sales'!J810</x:f>
        <x:v>3</x:v>
      </x:c>
      <x:c r="S810" s="87" t="n">
        <x:f>'Raw Sales'!K810</x:f>
        <x:v>0</x:v>
      </x:c>
      <x:c r="T810" s="93" t="n">
        <x:f>P810*R810</x:f>
        <x:v>177</x:v>
      </x:c>
      <x:c r="U810" s="93" t="n">
        <x:f>T810*S810</x:f>
        <x:v>0</x:v>
      </x:c>
      <x:c r="V810" s="93" t="str">
        <x:f>PROPER(TRIM('Raw Sales'!L810))</x:f>
        <x:v>Completed</x:v>
      </x:c>
      <x:c r="W810" s="93" t="n">
        <x:f>IF(V810="Returned",0,T810-U810)</x:f>
        <x:v>177</x:v>
      </x:c>
      <x:c r="X810" s="93" t="n">
        <x:f>IF(V810="Returned",Q810*R810*10%,Q810*R810)</x:f>
        <x:v>51</x:v>
      </x:c>
      <x:c r="Y810" s="93" t="n">
        <x:f>W810-X810</x:f>
        <x:v>126</x:v>
      </x:c>
      <x:c r="Z810" s="94" t="n">
        <x:f>IFERROR(Y810/W810,0)</x:f>
        <x:v>0.711864406779661</x:v>
      </x:c>
      <x:c r="AA810" s="84" t="str">
        <x:f>PROPER(TRIM('Raw Sales'!M810))</x:f>
        <x:v>Debit Card</x:v>
      </x:c>
      <x:c r="AB810" s="84" t="str">
        <x:f>PROPER(TRIM('Raw Sales'!N810))</x:f>
        <x:v>Nora Kim</x:v>
      </x:c>
      <x:c r="AC810" s="85" t="n">
        <x:f>'Raw Sales'!O810</x:f>
        <x:v>45582</x:v>
      </x:c>
      <x:c r="AD810" s="84" t="n">
        <x:f>AC810-B810</x:f>
        <x:v>4</x:v>
      </x:c>
      <x:c r="AE810" s="84" t="str">
        <x:f>IF(COUNTIF($A$5:A810,A810)&gt;1,"Duplicate","Keep")</x:f>
        <x:v>Keep</x:v>
      </x:c>
      <x:c r="AF810" s="84" t="str">
        <x:f>IF(OR(R810&lt;=0,AC810&lt;B810,H810="Unknown",M810="Unknown Product"),"Review","Valid")</x:f>
        <x:v>Valid</x:v>
      </x:c>
      <x:c r="AG810" s="84" t="n">
        <x:f>IF(AND(AE810="Keep",AF810="Valid"),1,0)</x:f>
        <x:v>1</x:v>
      </x:c>
      <x:c r="AH810" s="84" t="n">
        <x:f>IF(AND(AG810=1,OR('Dashboard'!$B$4="All",I810='Dashboard'!$B$4),OR('Dashboard'!$E$4="All",N810='Dashboard'!$E$4),OR('Dashboard'!$H$4="All",K810='Dashboard'!$H$4),OR('Dashboard'!$K$4="All",C810='Dashboard'!$K$4)),1,0)</x:f>
        <x:v>1</x:v>
      </x:c>
      <x:c r="AI810" s="84" t="n">
        <x:f>IF(AND(AG810=1,OR('Dashboard'!$B$4="All",I810='Dashboard'!$B$4),OR('Dashboard'!$E$4="All",N810='Dashboard'!$E$4),OR('Dashboard'!$H$4="All",K810='Dashboard'!$H$4)),1,0)</x:f>
        <x:v>1</x:v>
      </x:c>
    </x:row>
    <x:row r="811">
      <x:c r="A811" s="84" t="str">
        <x:f>'Raw Sales'!A811</x:f>
        <x:v>ORD-2024-01967</x:v>
      </x:c>
      <x:c r="B811" s="85" t="n">
        <x:f>'Raw Sales'!B811</x:f>
        <x:v>45578</x:v>
      </x:c>
      <x:c r="C811" s="84" t="n">
        <x:f>YEAR(B811)</x:f>
        <x:v>2024</x:v>
      </x:c>
      <x:c r="D811" s="91" t="n">
        <x:f>DATE(YEAR(B811),MONTH(B811),1)</x:f>
        <x:v>45566</x:v>
      </x:c>
      <x:c r="E811" s="84" t="str">
        <x:f>TEXT(B811,"mmm")</x:f>
        <x:v>Oct</x:v>
      </x:c>
      <x:c r="F811" s="84" t="str">
        <x:f>'Raw Sales'!C811</x:f>
        <x:v>CUST-0013</x:v>
      </x:c>
      <x:c r="G811" s="84" t="str">
        <x:f>PROPER(TRIM('Raw Sales'!D811))</x:f>
        <x:v>Marcus Moore</x:v>
      </x:c>
      <x:c r="H811" s="84" t="str">
        <x:f>IF(TRIM('Raw Sales'!E811)="","Unknown",PROPER(TRIM('Raw Sales'!E811)))</x:f>
        <x:v>Consumer</x:v>
      </x:c>
      <x:c r="I811" s="84" t="str">
        <x:f>PROPER(TRIM('Raw Sales'!F811))</x:f>
        <x:v>Midwest</x:v>
      </x:c>
      <x:c r="J811" s="84" t="str">
        <x:f>PROPER(TRIM('Raw Sales'!G811))</x:f>
        <x:v>Columbus</x:v>
      </x:c>
      <x:c r="K811" s="84" t="str">
        <x:f>PROPER(TRIM('Raw Sales'!H811))</x:f>
        <x:v>Retail Store</x:v>
      </x:c>
      <x:c r="L811" s="84" t="str">
        <x:f>'Raw Sales'!I811</x:f>
        <x:v>HOME-005</x:v>
      </x:c>
      <x:c r="M811" s="84" t="str">
        <x:f>IFERROR(VLOOKUP(L811,'Reference Data'!$A$5:$F$40,2,FALSE),"Unknown Product")</x:f>
        <x:v>Cordless Vacuum</x:v>
      </x:c>
      <x:c r="N811" s="84" t="str">
        <x:f>IFERROR(VLOOKUP(L811,'Reference Data'!$A$5:$F$40,3,FALSE),"Unknown")</x:f>
        <x:v>Home &amp; Kitchen</x:v>
      </x:c>
      <x:c r="O811" s="84" t="str">
        <x:f>IFERROR(VLOOKUP(L811,'Reference Data'!$A$5:$F$40,4,FALSE),"Unknown")</x:f>
        <x:v>Cleaning</x:v>
      </x:c>
      <x:c r="P811" s="92" t="n">
        <x:f>IFERROR(VLOOKUP(L811,'Reference Data'!$A$5:$F$40,5,FALSE),0)</x:f>
        <x:v>179</x:v>
      </x:c>
      <x:c r="Q811" s="92" t="n">
        <x:f>IFERROR(VLOOKUP(L811,'Reference Data'!$A$5:$F$40,6,FALSE),0)</x:f>
        <x:v>102</x:v>
      </x:c>
      <x:c r="R811" s="84" t="n">
        <x:f>'Raw Sales'!J811</x:f>
        <x:v>2</x:v>
      </x:c>
      <x:c r="S811" s="87" t="n">
        <x:f>'Raw Sales'!K811</x:f>
        <x:v>0.1</x:v>
      </x:c>
      <x:c r="T811" s="93" t="n">
        <x:f>P811*R811</x:f>
        <x:v>358</x:v>
      </x:c>
      <x:c r="U811" s="93" t="n">
        <x:f>T811*S811</x:f>
        <x:v>35.800000000000004</x:v>
      </x:c>
      <x:c r="V811" s="93" t="str">
        <x:f>PROPER(TRIM('Raw Sales'!L811))</x:f>
        <x:v>Completed</x:v>
      </x:c>
      <x:c r="W811" s="93" t="n">
        <x:f>IF(V811="Returned",0,T811-U811)</x:f>
        <x:v>322.2</x:v>
      </x:c>
      <x:c r="X811" s="93" t="n">
        <x:f>IF(V811="Returned",Q811*R811*10%,Q811*R811)</x:f>
        <x:v>204</x:v>
      </x:c>
      <x:c r="Y811" s="93" t="n">
        <x:f>W811-X811</x:f>
        <x:v>118.19999999999999</x:v>
      </x:c>
      <x:c r="Z811" s="94" t="n">
        <x:f>IFERROR(Y811/W811,0)</x:f>
        <x:v>0.36685288640595903</x:v>
      </x:c>
      <x:c r="AA811" s="84" t="str">
        <x:f>PROPER(TRIM('Raw Sales'!M811))</x:f>
        <x:v>Cash</x:v>
      </x:c>
      <x:c r="AB811" s="84" t="str">
        <x:f>PROPER(TRIM('Raw Sales'!N811))</x:f>
        <x:v>Lucas Grant</x:v>
      </x:c>
      <x:c r="AC811" s="85" t="n">
        <x:f>'Raw Sales'!O811</x:f>
        <x:v>45578</x:v>
      </x:c>
      <x:c r="AD811" s="84" t="n">
        <x:f>AC811-B811</x:f>
        <x:v>0</x:v>
      </x:c>
      <x:c r="AE811" s="84" t="str">
        <x:f>IF(COUNTIF($A$5:A811,A811)&gt;1,"Duplicate","Keep")</x:f>
        <x:v>Keep</x:v>
      </x:c>
      <x:c r="AF811" s="84" t="str">
        <x:f>IF(OR(R811&lt;=0,AC811&lt;B811,H811="Unknown",M811="Unknown Product"),"Review","Valid")</x:f>
        <x:v>Valid</x:v>
      </x:c>
      <x:c r="AG811" s="84" t="n">
        <x:f>IF(AND(AE811="Keep",AF811="Valid"),1,0)</x:f>
        <x:v>1</x:v>
      </x:c>
      <x:c r="AH811" s="84" t="n">
        <x:f>IF(AND(AG811=1,OR('Dashboard'!$B$4="All",I811='Dashboard'!$B$4),OR('Dashboard'!$E$4="All",N811='Dashboard'!$E$4),OR('Dashboard'!$H$4="All",K811='Dashboard'!$H$4),OR('Dashboard'!$K$4="All",C811='Dashboard'!$K$4)),1,0)</x:f>
        <x:v>1</x:v>
      </x:c>
      <x:c r="AI811" s="84" t="n">
        <x:f>IF(AND(AG811=1,OR('Dashboard'!$B$4="All",I811='Dashboard'!$B$4),OR('Dashboard'!$E$4="All",N811='Dashboard'!$E$4),OR('Dashboard'!$H$4="All",K811='Dashboard'!$H$4)),1,0)</x:f>
        <x:v>1</x:v>
      </x:c>
    </x:row>
    <x:row r="812">
      <x:c r="A812" s="84" t="str">
        <x:f>'Raw Sales'!A812</x:f>
        <x:v>ORD-2024-00002</x:v>
      </x:c>
      <x:c r="B812" s="85" t="n">
        <x:f>'Raw Sales'!B812</x:f>
        <x:v>45579</x:v>
      </x:c>
      <x:c r="C812" s="84" t="n">
        <x:f>YEAR(B812)</x:f>
        <x:v>2024</x:v>
      </x:c>
      <x:c r="D812" s="91" t="n">
        <x:f>DATE(YEAR(B812),MONTH(B812),1)</x:f>
        <x:v>45566</x:v>
      </x:c>
      <x:c r="E812" s="84" t="str">
        <x:f>TEXT(B812,"mmm")</x:f>
        <x:v>Oct</x:v>
      </x:c>
      <x:c r="F812" s="84" t="str">
        <x:f>'Raw Sales'!C812</x:f>
        <x:v>CUST-0411</x:v>
      </x:c>
      <x:c r="G812" s="84" t="str">
        <x:f>PROPER(TRIM('Raw Sales'!D812))</x:f>
        <x:v>Daniel Young</x:v>
      </x:c>
      <x:c r="H812" s="84" t="str">
        <x:f>IF(TRIM('Raw Sales'!E812)="","Unknown",PROPER(TRIM('Raw Sales'!E812)))</x:f>
        <x:v>Corporate</x:v>
      </x:c>
      <x:c r="I812" s="84" t="str">
        <x:f>PROPER(TRIM('Raw Sales'!F812))</x:f>
        <x:v>West</x:v>
      </x:c>
      <x:c r="J812" s="84" t="str">
        <x:f>PROPER(TRIM('Raw Sales'!G812))</x:f>
        <x:v>Denver</x:v>
      </x:c>
      <x:c r="K812" s="84" t="str">
        <x:f>PROPER(TRIM('Raw Sales'!H812))</x:f>
        <x:v>Online</x:v>
      </x:c>
      <x:c r="L812" s="84" t="str">
        <x:f>'Raw Sales'!I812</x:f>
        <x:v>HOME-002</x:v>
      </x:c>
      <x:c r="M812" s="84" t="str">
        <x:f>IFERROR(VLOOKUP(L812,'Reference Data'!$A$5:$F$40,2,FALSE),"Unknown Product")</x:f>
        <x:v>Electric Kettle</x:v>
      </x:c>
      <x:c r="N812" s="84" t="str">
        <x:f>IFERROR(VLOOKUP(L812,'Reference Data'!$A$5:$F$40,3,FALSE),"Unknown")</x:f>
        <x:v>Home &amp; Kitchen</x:v>
      </x:c>
      <x:c r="O812" s="84" t="str">
        <x:f>IFERROR(VLOOKUP(L812,'Reference Data'!$A$5:$F$40,4,FALSE),"Unknown")</x:f>
        <x:v>Small Appliances</x:v>
      </x:c>
      <x:c r="P812" s="92" t="n">
        <x:f>IFERROR(VLOOKUP(L812,'Reference Data'!$A$5:$F$40,5,FALSE),0)</x:f>
        <x:v>49</x:v>
      </x:c>
      <x:c r="Q812" s="92" t="n">
        <x:f>IFERROR(VLOOKUP(L812,'Reference Data'!$A$5:$F$40,6,FALSE),0)</x:f>
        <x:v>23</x:v>
      </x:c>
      <x:c r="R812" s="84" t="n">
        <x:f>'Raw Sales'!J812</x:f>
        <x:v>5</x:v>
      </x:c>
      <x:c r="S812" s="87" t="n">
        <x:f>'Raw Sales'!K812</x:f>
        <x:v>0</x:v>
      </x:c>
      <x:c r="T812" s="93" t="n">
        <x:f>P812*R812</x:f>
        <x:v>245</x:v>
      </x:c>
      <x:c r="U812" s="93" t="n">
        <x:f>T812*S812</x:f>
        <x:v>0</x:v>
      </x:c>
      <x:c r="V812" s="93" t="str">
        <x:f>PROPER(TRIM('Raw Sales'!L812))</x:f>
        <x:v>Completed</x:v>
      </x:c>
      <x:c r="W812" s="93" t="n">
        <x:f>IF(V812="Returned",0,T812-U812)</x:f>
        <x:v>245</x:v>
      </x:c>
      <x:c r="X812" s="93" t="n">
        <x:f>IF(V812="Returned",Q812*R812*10%,Q812*R812)</x:f>
        <x:v>115</x:v>
      </x:c>
      <x:c r="Y812" s="93" t="n">
        <x:f>W812-X812</x:f>
        <x:v>130</x:v>
      </x:c>
      <x:c r="Z812" s="94" t="n">
        <x:f>IFERROR(Y812/W812,0)</x:f>
        <x:v>0.5306122448979592</x:v>
      </x:c>
      <x:c r="AA812" s="84" t="str">
        <x:f>PROPER(TRIM('Raw Sales'!M812))</x:f>
        <x:v>Credit Card</x:v>
      </x:c>
      <x:c r="AB812" s="84" t="str">
        <x:f>PROPER(TRIM('Raw Sales'!N812))</x:f>
        <x:v>Nora Kim</x:v>
      </x:c>
      <x:c r="AC812" s="85" t="n">
        <x:f>'Raw Sales'!O812</x:f>
        <x:v>45584</x:v>
      </x:c>
      <x:c r="AD812" s="84" t="n">
        <x:f>AC812-B812</x:f>
        <x:v>5</x:v>
      </x:c>
      <x:c r="AE812" s="84" t="str">
        <x:f>IF(COUNTIF($A$5:A812,A812)&gt;1,"Duplicate","Keep")</x:f>
        <x:v>Keep</x:v>
      </x:c>
      <x:c r="AF812" s="84" t="str">
        <x:f>IF(OR(R812&lt;=0,AC812&lt;B812,H812="Unknown",M812="Unknown Product"),"Review","Valid")</x:f>
        <x:v>Valid</x:v>
      </x:c>
      <x:c r="AG812" s="84" t="n">
        <x:f>IF(AND(AE812="Keep",AF812="Valid"),1,0)</x:f>
        <x:v>1</x:v>
      </x:c>
      <x:c r="AH812" s="84" t="n">
        <x:f>IF(AND(AG812=1,OR('Dashboard'!$B$4="All",I812='Dashboard'!$B$4),OR('Dashboard'!$E$4="All",N812='Dashboard'!$E$4),OR('Dashboard'!$H$4="All",K812='Dashboard'!$H$4),OR('Dashboard'!$K$4="All",C812='Dashboard'!$K$4)),1,0)</x:f>
        <x:v>1</x:v>
      </x:c>
      <x:c r="AI812" s="84" t="n">
        <x:f>IF(AND(AG812=1,OR('Dashboard'!$B$4="All",I812='Dashboard'!$B$4),OR('Dashboard'!$E$4="All",N812='Dashboard'!$E$4),OR('Dashboard'!$H$4="All",K812='Dashboard'!$H$4)),1,0)</x:f>
        <x:v>1</x:v>
      </x:c>
    </x:row>
    <x:row r="813">
      <x:c r="A813" s="84" t="str">
        <x:f>'Raw Sales'!A813</x:f>
        <x:v>ORD-2024-01314</x:v>
      </x:c>
      <x:c r="B813" s="85" t="n">
        <x:f>'Raw Sales'!B813</x:f>
        <x:v>45579</x:v>
      </x:c>
      <x:c r="C813" s="84" t="n">
        <x:f>YEAR(B813)</x:f>
        <x:v>2024</x:v>
      </x:c>
      <x:c r="D813" s="91" t="n">
        <x:f>DATE(YEAR(B813),MONTH(B813),1)</x:f>
        <x:v>45566</x:v>
      </x:c>
      <x:c r="E813" s="84" t="str">
        <x:f>TEXT(B813,"mmm")</x:f>
        <x:v>Oct</x:v>
      </x:c>
      <x:c r="F813" s="84" t="str">
        <x:f>'Raw Sales'!C813</x:f>
        <x:v>CUST-0407</x:v>
      </x:c>
      <x:c r="G813" s="84" t="str">
        <x:f>PROPER(TRIM('Raw Sales'!D813))</x:f>
        <x:v>William Taylor</x:v>
      </x:c>
      <x:c r="H813" s="84" t="str">
        <x:f>IF(TRIM('Raw Sales'!E813)="","Unknown",PROPER(TRIM('Raw Sales'!E813)))</x:f>
        <x:v>Corporate</x:v>
      </x:c>
      <x:c r="I813" s="84" t="str">
        <x:f>PROPER(TRIM('Raw Sales'!F813))</x:f>
        <x:v>West</x:v>
      </x:c>
      <x:c r="J813" s="84" t="str">
        <x:f>PROPER(TRIM('Raw Sales'!G813))</x:f>
        <x:v>Phoenix</x:v>
      </x:c>
      <x:c r="K813" s="84" t="str">
        <x:f>PROPER(TRIM('Raw Sales'!H813))</x:f>
        <x:v>Marketplace</x:v>
      </x:c>
      <x:c r="L813" s="84" t="str">
        <x:f>'Raw Sales'!I813</x:f>
        <x:v>ELEC-003</x:v>
      </x:c>
      <x:c r="M813" s="84" t="str">
        <x:f>IFERROR(VLOOKUP(L813,'Reference Data'!$A$5:$F$40,2,FALSE),"Unknown Product")</x:f>
        <x:v>Bluetooth Speaker</x:v>
      </x:c>
      <x:c r="N813" s="84" t="str">
        <x:f>IFERROR(VLOOKUP(L813,'Reference Data'!$A$5:$F$40,3,FALSE),"Unknown")</x:f>
        <x:v>Electronics</x:v>
      </x:c>
      <x:c r="O813" s="84" t="str">
        <x:f>IFERROR(VLOOKUP(L813,'Reference Data'!$A$5:$F$40,4,FALSE),"Unknown")</x:f>
        <x:v>Audio</x:v>
      </x:c>
      <x:c r="P813" s="92" t="n">
        <x:f>IFERROR(VLOOKUP(L813,'Reference Data'!$A$5:$F$40,5,FALSE),0)</x:f>
        <x:v>89</x:v>
      </x:c>
      <x:c r="Q813" s="92" t="n">
        <x:f>IFERROR(VLOOKUP(L813,'Reference Data'!$A$5:$F$40,6,FALSE),0)</x:f>
        <x:v>44</x:v>
      </x:c>
      <x:c r="R813" s="84" t="n">
        <x:f>'Raw Sales'!J813</x:f>
        <x:v>6</x:v>
      </x:c>
      <x:c r="S813" s="87" t="n">
        <x:f>'Raw Sales'!K813</x:f>
        <x:v>0.15</x:v>
      </x:c>
      <x:c r="T813" s="93" t="n">
        <x:f>P813*R813</x:f>
        <x:v>534</x:v>
      </x:c>
      <x:c r="U813" s="93" t="n">
        <x:f>T813*S813</x:f>
        <x:v>80.1</x:v>
      </x:c>
      <x:c r="V813" s="93" t="str">
        <x:f>PROPER(TRIM('Raw Sales'!L813))</x:f>
        <x:v>Completed</x:v>
      </x:c>
      <x:c r="W813" s="93" t="n">
        <x:f>IF(V813="Returned",0,T813-U813)</x:f>
        <x:v>453.9</x:v>
      </x:c>
      <x:c r="X813" s="93" t="n">
        <x:f>IF(V813="Returned",Q813*R813*10%,Q813*R813)</x:f>
        <x:v>264</x:v>
      </x:c>
      <x:c r="Y813" s="93" t="n">
        <x:f>W813-X813</x:f>
        <x:v>189.89999999999998</x:v>
      </x:c>
      <x:c r="Z813" s="94" t="n">
        <x:f>IFERROR(Y813/W813,0)</x:f>
        <x:v>0.41837409120951746</x:v>
      </x:c>
      <x:c r="AA813" s="84" t="str">
        <x:f>PROPER(TRIM('Raw Sales'!M813))</x:f>
        <x:v>Credit Card</x:v>
      </x:c>
      <x:c r="AB813" s="84" t="str">
        <x:f>PROPER(TRIM('Raw Sales'!N813))</x:f>
        <x:v>Mia Chen</x:v>
      </x:c>
      <x:c r="AC813" s="85" t="n">
        <x:f>'Raw Sales'!O813</x:f>
        <x:v>45582</x:v>
      </x:c>
      <x:c r="AD813" s="84" t="n">
        <x:f>AC813-B813</x:f>
        <x:v>3</x:v>
      </x:c>
      <x:c r="AE813" s="84" t="str">
        <x:f>IF(COUNTIF($A$5:A813,A813)&gt;1,"Duplicate","Keep")</x:f>
        <x:v>Keep</x:v>
      </x:c>
      <x:c r="AF813" s="84" t="str">
        <x:f>IF(OR(R813&lt;=0,AC813&lt;B813,H813="Unknown",M813="Unknown Product"),"Review","Valid")</x:f>
        <x:v>Valid</x:v>
      </x:c>
      <x:c r="AG813" s="84" t="n">
        <x:f>IF(AND(AE813="Keep",AF813="Valid"),1,0)</x:f>
        <x:v>1</x:v>
      </x:c>
      <x:c r="AH813" s="84" t="n">
        <x:f>IF(AND(AG813=1,OR('Dashboard'!$B$4="All",I813='Dashboard'!$B$4),OR('Dashboard'!$E$4="All",N813='Dashboard'!$E$4),OR('Dashboard'!$H$4="All",K813='Dashboard'!$H$4),OR('Dashboard'!$K$4="All",C813='Dashboard'!$K$4)),1,0)</x:f>
        <x:v>1</x:v>
      </x:c>
      <x:c r="AI813" s="84" t="n">
        <x:f>IF(AND(AG813=1,OR('Dashboard'!$B$4="All",I813='Dashboard'!$B$4),OR('Dashboard'!$E$4="All",N813='Dashboard'!$E$4),OR('Dashboard'!$H$4="All",K813='Dashboard'!$H$4)),1,0)</x:f>
        <x:v>1</x:v>
      </x:c>
    </x:row>
    <x:row r="814">
      <x:c r="A814" s="84" t="str">
        <x:f>'Raw Sales'!A814</x:f>
        <x:v>ORD-2024-01262</x:v>
      </x:c>
      <x:c r="B814" s="85" t="n">
        <x:f>'Raw Sales'!B814</x:f>
        <x:v>45580</x:v>
      </x:c>
      <x:c r="C814" s="84" t="n">
        <x:f>YEAR(B814)</x:f>
        <x:v>2024</x:v>
      </x:c>
      <x:c r="D814" s="91" t="n">
        <x:f>DATE(YEAR(B814),MONTH(B814),1)</x:f>
        <x:v>45566</x:v>
      </x:c>
      <x:c r="E814" s="84" t="str">
        <x:f>TEXT(B814,"mmm")</x:f>
        <x:v>Oct</x:v>
      </x:c>
      <x:c r="F814" s="84" t="str">
        <x:f>'Raw Sales'!C814</x:f>
        <x:v>CUST-0205</x:v>
      </x:c>
      <x:c r="G814" s="84" t="str">
        <x:f>PROPER(TRIM('Raw Sales'!D814))</x:f>
        <x:v>Elena Young</x:v>
      </x:c>
      <x:c r="H814" s="84" t="str">
        <x:f>IF(TRIM('Raw Sales'!E814)="","Unknown",PROPER(TRIM('Raw Sales'!E814)))</x:f>
        <x:v>Corporate</x:v>
      </x:c>
      <x:c r="I814" s="84" t="str">
        <x:f>PROPER(TRIM('Raw Sales'!F814))</x:f>
        <x:v>West</x:v>
      </x:c>
      <x:c r="J814" s="84" t="str">
        <x:f>PROPER(TRIM('Raw Sales'!G814))</x:f>
        <x:v>Denver</x:v>
      </x:c>
      <x:c r="K814" s="84" t="str">
        <x:f>PROPER(TRIM('Raw Sales'!H814))</x:f>
        <x:v>Retail Store</x:v>
      </x:c>
      <x:c r="L814" s="84" t="str">
        <x:f>'Raw Sales'!I814</x:f>
        <x:v>HOME-002</x:v>
      </x:c>
      <x:c r="M814" s="84" t="str">
        <x:f>IFERROR(VLOOKUP(L814,'Reference Data'!$A$5:$F$40,2,FALSE),"Unknown Product")</x:f>
        <x:v>Electric Kettle</x:v>
      </x:c>
      <x:c r="N814" s="84" t="str">
        <x:f>IFERROR(VLOOKUP(L814,'Reference Data'!$A$5:$F$40,3,FALSE),"Unknown")</x:f>
        <x:v>Home &amp; Kitchen</x:v>
      </x:c>
      <x:c r="O814" s="84" t="str">
        <x:f>IFERROR(VLOOKUP(L814,'Reference Data'!$A$5:$F$40,4,FALSE),"Unknown")</x:f>
        <x:v>Small Appliances</x:v>
      </x:c>
      <x:c r="P814" s="92" t="n">
        <x:f>IFERROR(VLOOKUP(L814,'Reference Data'!$A$5:$F$40,5,FALSE),0)</x:f>
        <x:v>49</x:v>
      </x:c>
      <x:c r="Q814" s="92" t="n">
        <x:f>IFERROR(VLOOKUP(L814,'Reference Data'!$A$5:$F$40,6,FALSE),0)</x:f>
        <x:v>23</x:v>
      </x:c>
      <x:c r="R814" s="84" t="n">
        <x:f>'Raw Sales'!J814</x:f>
        <x:v>2</x:v>
      </x:c>
      <x:c r="S814" s="87" t="n">
        <x:f>'Raw Sales'!K814</x:f>
        <x:v>0</x:v>
      </x:c>
      <x:c r="T814" s="93" t="n">
        <x:f>P814*R814</x:f>
        <x:v>98</x:v>
      </x:c>
      <x:c r="U814" s="93" t="n">
        <x:f>T814*S814</x:f>
        <x:v>0</x:v>
      </x:c>
      <x:c r="V814" s="93" t="str">
        <x:f>PROPER(TRIM('Raw Sales'!L814))</x:f>
        <x:v>Completed</x:v>
      </x:c>
      <x:c r="W814" s="93" t="n">
        <x:f>IF(V814="Returned",0,T814-U814)</x:f>
        <x:v>98</x:v>
      </x:c>
      <x:c r="X814" s="93" t="n">
        <x:f>IF(V814="Returned",Q814*R814*10%,Q814*R814)</x:f>
        <x:v>46</x:v>
      </x:c>
      <x:c r="Y814" s="93" t="n">
        <x:f>W814-X814</x:f>
        <x:v>52</x:v>
      </x:c>
      <x:c r="Z814" s="94" t="n">
        <x:f>IFERROR(Y814/W814,0)</x:f>
        <x:v>0.5306122448979592</x:v>
      </x:c>
      <x:c r="AA814" s="84" t="str">
        <x:f>PROPER(TRIM('Raw Sales'!M814))</x:f>
        <x:v>Cash</x:v>
      </x:c>
      <x:c r="AB814" s="84" t="str">
        <x:f>PROPER(TRIM('Raw Sales'!N814))</x:f>
        <x:v>Mia Chen</x:v>
      </x:c>
      <x:c r="AC814" s="85" t="n">
        <x:f>'Raw Sales'!O814</x:f>
        <x:v>45580</x:v>
      </x:c>
      <x:c r="AD814" s="84" t="n">
        <x:f>AC814-B814</x:f>
        <x:v>0</x:v>
      </x:c>
      <x:c r="AE814" s="84" t="str">
        <x:f>IF(COUNTIF($A$5:A814,A814)&gt;1,"Duplicate","Keep")</x:f>
        <x:v>Keep</x:v>
      </x:c>
      <x:c r="AF814" s="84" t="str">
        <x:f>IF(OR(R814&lt;=0,AC814&lt;B814,H814="Unknown",M814="Unknown Product"),"Review","Valid")</x:f>
        <x:v>Valid</x:v>
      </x:c>
      <x:c r="AG814" s="84" t="n">
        <x:f>IF(AND(AE814="Keep",AF814="Valid"),1,0)</x:f>
        <x:v>1</x:v>
      </x:c>
      <x:c r="AH814" s="84" t="n">
        <x:f>IF(AND(AG814=1,OR('Dashboard'!$B$4="All",I814='Dashboard'!$B$4),OR('Dashboard'!$E$4="All",N814='Dashboard'!$E$4),OR('Dashboard'!$H$4="All",K814='Dashboard'!$H$4),OR('Dashboard'!$K$4="All",C814='Dashboard'!$K$4)),1,0)</x:f>
        <x:v>1</x:v>
      </x:c>
      <x:c r="AI814" s="84" t="n">
        <x:f>IF(AND(AG814=1,OR('Dashboard'!$B$4="All",I814='Dashboard'!$B$4),OR('Dashboard'!$E$4="All",N814='Dashboard'!$E$4),OR('Dashboard'!$H$4="All",K814='Dashboard'!$H$4)),1,0)</x:f>
        <x:v>1</x:v>
      </x:c>
    </x:row>
    <x:row r="815">
      <x:c r="A815" s="84" t="str">
        <x:f>'Raw Sales'!A815</x:f>
        <x:v>ORD-2024-00019</x:v>
      </x:c>
      <x:c r="B815" s="85" t="n">
        <x:f>'Raw Sales'!B815</x:f>
        <x:v>45581</x:v>
      </x:c>
      <x:c r="C815" s="84" t="n">
        <x:f>YEAR(B815)</x:f>
        <x:v>2024</x:v>
      </x:c>
      <x:c r="D815" s="91" t="n">
        <x:f>DATE(YEAR(B815),MONTH(B815),1)</x:f>
        <x:v>45566</x:v>
      </x:c>
      <x:c r="E815" s="84" t="str">
        <x:f>TEXT(B815,"mmm")</x:f>
        <x:v>Oct</x:v>
      </x:c>
      <x:c r="F815" s="84" t="str">
        <x:f>'Raw Sales'!C815</x:f>
        <x:v>CUST-0199</x:v>
      </x:c>
      <x:c r="G815" s="84" t="str">
        <x:f>PROPER(TRIM('Raw Sales'!D815))</x:f>
        <x:v>Theo Adams</x:v>
      </x:c>
      <x:c r="H815" s="84" t="str">
        <x:f>IF(TRIM('Raw Sales'!E815)="","Unknown",PROPER(TRIM('Raw Sales'!E815)))</x:f>
        <x:v>Corporate</x:v>
      </x:c>
      <x:c r="I815" s="84" t="str">
        <x:f>PROPER(TRIM('Raw Sales'!F815))</x:f>
        <x:v>Northeast</x:v>
      </x:c>
      <x:c r="J815" s="84" t="str">
        <x:f>PROPER(TRIM('Raw Sales'!G815))</x:f>
        <x:v>Philadelphia</x:v>
      </x:c>
      <x:c r="K815" s="84" t="str">
        <x:f>PROPER(TRIM('Raw Sales'!H815))</x:f>
        <x:v>Marketplace</x:v>
      </x:c>
      <x:c r="L815" s="84" t="str">
        <x:f>'Raw Sales'!I815</x:f>
        <x:v>FITN-006</x:v>
      </x:c>
      <x:c r="M815" s="84" t="str">
        <x:f>IFERROR(VLOOKUP(L815,'Reference Data'!$A$5:$F$40,2,FALSE),"Unknown Product")</x:f>
        <x:v>Foam Roller</x:v>
      </x:c>
      <x:c r="N815" s="84" t="str">
        <x:f>IFERROR(VLOOKUP(L815,'Reference Data'!$A$5:$F$40,3,FALSE),"Unknown")</x:f>
        <x:v>Fitness</x:v>
      </x:c>
      <x:c r="O815" s="84" t="str">
        <x:f>IFERROR(VLOOKUP(L815,'Reference Data'!$A$5:$F$40,4,FALSE),"Unknown")</x:f>
        <x:v>Recovery</x:v>
      </x:c>
      <x:c r="P815" s="92" t="n">
        <x:f>IFERROR(VLOOKUP(L815,'Reference Data'!$A$5:$F$40,5,FALSE),0)</x:f>
        <x:v>31</x:v>
      </x:c>
      <x:c r="Q815" s="92" t="n">
        <x:f>IFERROR(VLOOKUP(L815,'Reference Data'!$A$5:$F$40,6,FALSE),0)</x:f>
        <x:v>12</x:v>
      </x:c>
      <x:c r="R815" s="84" t="n">
        <x:f>'Raw Sales'!J815</x:f>
        <x:v>2</x:v>
      </x:c>
      <x:c r="S815" s="87" t="n">
        <x:f>'Raw Sales'!K815</x:f>
        <x:v>0</x:v>
      </x:c>
      <x:c r="T815" s="93" t="n">
        <x:f>P815*R815</x:f>
        <x:v>62</x:v>
      </x:c>
      <x:c r="U815" s="93" t="n">
        <x:f>T815*S815</x:f>
        <x:v>0</x:v>
      </x:c>
      <x:c r="V815" s="93" t="str">
        <x:f>PROPER(TRIM('Raw Sales'!L815))</x:f>
        <x:v>Completed</x:v>
      </x:c>
      <x:c r="W815" s="93" t="n">
        <x:f>IF(V815="Returned",0,T815-U815)</x:f>
        <x:v>62</x:v>
      </x:c>
      <x:c r="X815" s="93" t="n">
        <x:f>IF(V815="Returned",Q815*R815*10%,Q815*R815)</x:f>
        <x:v>24</x:v>
      </x:c>
      <x:c r="Y815" s="93" t="n">
        <x:f>W815-X815</x:f>
        <x:v>38</x:v>
      </x:c>
      <x:c r="Z815" s="94" t="n">
        <x:f>IFERROR(Y815/W815,0)</x:f>
        <x:v>0.6129032258064516</x:v>
      </x:c>
      <x:c r="AA815" s="84" t="str">
        <x:f>PROPER(TRIM('Raw Sales'!M815))</x:f>
        <x:v>Credit Card</x:v>
      </x:c>
      <x:c r="AB815" s="84" t="str">
        <x:f>PROPER(TRIM('Raw Sales'!N815))</x:f>
        <x:v>Sofia Bennett</x:v>
      </x:c>
      <x:c r="AC815" s="85" t="n">
        <x:f>'Raw Sales'!O815</x:f>
        <x:v>45587</x:v>
      </x:c>
      <x:c r="AD815" s="84" t="n">
        <x:f>AC815-B815</x:f>
        <x:v>6</x:v>
      </x:c>
      <x:c r="AE815" s="84" t="str">
        <x:f>IF(COUNTIF($A$5:A815,A815)&gt;1,"Duplicate","Keep")</x:f>
        <x:v>Keep</x:v>
      </x:c>
      <x:c r="AF815" s="84" t="str">
        <x:f>IF(OR(R815&lt;=0,AC815&lt;B815,H815="Unknown",M815="Unknown Product"),"Review","Valid")</x:f>
        <x:v>Valid</x:v>
      </x:c>
      <x:c r="AG815" s="84" t="n">
        <x:f>IF(AND(AE815="Keep",AF815="Valid"),1,0)</x:f>
        <x:v>1</x:v>
      </x:c>
      <x:c r="AH815" s="84" t="n">
        <x:f>IF(AND(AG815=1,OR('Dashboard'!$B$4="All",I815='Dashboard'!$B$4),OR('Dashboard'!$E$4="All",N815='Dashboard'!$E$4),OR('Dashboard'!$H$4="All",K815='Dashboard'!$H$4),OR('Dashboard'!$K$4="All",C815='Dashboard'!$K$4)),1,0)</x:f>
        <x:v>1</x:v>
      </x:c>
      <x:c r="AI815" s="84" t="n">
        <x:f>IF(AND(AG815=1,OR('Dashboard'!$B$4="All",I815='Dashboard'!$B$4),OR('Dashboard'!$E$4="All",N815='Dashboard'!$E$4),OR('Dashboard'!$H$4="All",K815='Dashboard'!$H$4)),1,0)</x:f>
        <x:v>1</x:v>
      </x:c>
    </x:row>
    <x:row r="816">
      <x:c r="A816" s="84" t="str">
        <x:f>'Raw Sales'!A816</x:f>
        <x:v>ORD-2024-00595</x:v>
      </x:c>
      <x:c r="B816" s="85" t="n">
        <x:f>'Raw Sales'!B816</x:f>
        <x:v>45581</x:v>
      </x:c>
      <x:c r="C816" s="84" t="n">
        <x:f>YEAR(B816)</x:f>
        <x:v>2024</x:v>
      </x:c>
      <x:c r="D816" s="91" t="n">
        <x:f>DATE(YEAR(B816),MONTH(B816),1)</x:f>
        <x:v>45566</x:v>
      </x:c>
      <x:c r="E816" s="84" t="str">
        <x:f>TEXT(B816,"mmm")</x:f>
        <x:v>Oct</x:v>
      </x:c>
      <x:c r="F816" s="84" t="str">
        <x:f>'Raw Sales'!C816</x:f>
        <x:v>CUST-0173</x:v>
      </x:c>
      <x:c r="G816" s="84" t="str">
        <x:f>PROPER(TRIM('Raw Sales'!D816))</x:f>
        <x:v>Theo Evans</x:v>
      </x:c>
      <x:c r="H816" s="84" t="str">
        <x:f>IF(TRIM('Raw Sales'!E816)="","Unknown",PROPER(TRIM('Raw Sales'!E816)))</x:f>
        <x:v>Consumer</x:v>
      </x:c>
      <x:c r="I816" s="84" t="str">
        <x:f>PROPER(TRIM('Raw Sales'!F816))</x:f>
        <x:v>Northeast</x:v>
      </x:c>
      <x:c r="J816" s="84" t="str">
        <x:f>PROPER(TRIM('Raw Sales'!G816))</x:f>
        <x:v>Boston</x:v>
      </x:c>
      <x:c r="K816" s="84" t="str">
        <x:f>PROPER(TRIM('Raw Sales'!H816))</x:f>
        <x:v>Retail Store</x:v>
      </x:c>
      <x:c r="L816" s="84" t="str">
        <x:f>'Raw Sales'!I816</x:f>
        <x:v>HOME-004</x:v>
      </x:c>
      <x:c r="M816" s="84" t="str">
        <x:f>IFERROR(VLOOKUP(L816,'Reference Data'!$A$5:$F$40,2,FALSE),"Unknown Product")</x:f>
        <x:v>Coffee Maker</x:v>
      </x:c>
      <x:c r="N816" s="84" t="str">
        <x:f>IFERROR(VLOOKUP(L816,'Reference Data'!$A$5:$F$40,3,FALSE),"Unknown")</x:f>
        <x:v>Home &amp; Kitchen</x:v>
      </x:c>
      <x:c r="O816" s="84" t="str">
        <x:f>IFERROR(VLOOKUP(L816,'Reference Data'!$A$5:$F$40,4,FALSE),"Unknown")</x:f>
        <x:v>Small Appliances</x:v>
      </x:c>
      <x:c r="P816" s="92" t="n">
        <x:f>IFERROR(VLOOKUP(L816,'Reference Data'!$A$5:$F$40,5,FALSE),0)</x:f>
        <x:v>99</x:v>
      </x:c>
      <x:c r="Q816" s="92" t="n">
        <x:f>IFERROR(VLOOKUP(L816,'Reference Data'!$A$5:$F$40,6,FALSE),0)</x:f>
        <x:v>51</x:v>
      </x:c>
      <x:c r="R816" s="84" t="n">
        <x:f>'Raw Sales'!J816</x:f>
        <x:v>1</x:v>
      </x:c>
      <x:c r="S816" s="87" t="n">
        <x:f>'Raw Sales'!K816</x:f>
        <x:v>0.15</x:v>
      </x:c>
      <x:c r="T816" s="93" t="n">
        <x:f>P816*R816</x:f>
        <x:v>99</x:v>
      </x:c>
      <x:c r="U816" s="93" t="n">
        <x:f>T816*S816</x:f>
        <x:v>14.85</x:v>
      </x:c>
      <x:c r="V816" s="93" t="str">
        <x:f>PROPER(TRIM('Raw Sales'!L816))</x:f>
        <x:v>Completed</x:v>
      </x:c>
      <x:c r="W816" s="93" t="n">
        <x:f>IF(V816="Returned",0,T816-U816)</x:f>
        <x:v>84.15</x:v>
      </x:c>
      <x:c r="X816" s="93" t="n">
        <x:f>IF(V816="Returned",Q816*R816*10%,Q816*R816)</x:f>
        <x:v>51</x:v>
      </x:c>
      <x:c r="Y816" s="93" t="n">
        <x:f>W816-X816</x:f>
        <x:v>33.150000000000006</x:v>
      </x:c>
      <x:c r="Z816" s="94" t="n">
        <x:f>IFERROR(Y816/W816,0)</x:f>
        <x:v>0.393939393939394</x:v>
      </x:c>
      <x:c r="AA816" s="84" t="str">
        <x:f>PROPER(TRIM('Raw Sales'!M816))</x:f>
        <x:v>Credit Card</x:v>
      </x:c>
      <x:c r="AB816" s="84" t="str">
        <x:f>PROPER(TRIM('Raw Sales'!N816))</x:f>
        <x:v>Maya Brooks</x:v>
      </x:c>
      <x:c r="AC816" s="85" t="n">
        <x:f>'Raw Sales'!O816</x:f>
        <x:v>45582</x:v>
      </x:c>
      <x:c r="AD816" s="84" t="n">
        <x:f>AC816-B816</x:f>
        <x:v>1</x:v>
      </x:c>
      <x:c r="AE816" s="84" t="str">
        <x:f>IF(COUNTIF($A$5:A816,A816)&gt;1,"Duplicate","Keep")</x:f>
        <x:v>Keep</x:v>
      </x:c>
      <x:c r="AF816" s="84" t="str">
        <x:f>IF(OR(R816&lt;=0,AC816&lt;B816,H816="Unknown",M816="Unknown Product"),"Review","Valid")</x:f>
        <x:v>Valid</x:v>
      </x:c>
      <x:c r="AG816" s="84" t="n">
        <x:f>IF(AND(AE816="Keep",AF816="Valid"),1,0)</x:f>
        <x:v>1</x:v>
      </x:c>
      <x:c r="AH816" s="84" t="n">
        <x:f>IF(AND(AG816=1,OR('Dashboard'!$B$4="All",I816='Dashboard'!$B$4),OR('Dashboard'!$E$4="All",N816='Dashboard'!$E$4),OR('Dashboard'!$H$4="All",K816='Dashboard'!$H$4),OR('Dashboard'!$K$4="All",C816='Dashboard'!$K$4)),1,0)</x:f>
        <x:v>1</x:v>
      </x:c>
      <x:c r="AI816" s="84" t="n">
        <x:f>IF(AND(AG816=1,OR('Dashboard'!$B$4="All",I816='Dashboard'!$B$4),OR('Dashboard'!$E$4="All",N816='Dashboard'!$E$4),OR('Dashboard'!$H$4="All",K816='Dashboard'!$H$4)),1,0)</x:f>
        <x:v>1</x:v>
      </x:c>
    </x:row>
    <x:row r="817">
      <x:c r="A817" s="84" t="str">
        <x:f>'Raw Sales'!A817</x:f>
        <x:v>ORD-2024-00646</x:v>
      </x:c>
      <x:c r="B817" s="85" t="n">
        <x:f>'Raw Sales'!B817</x:f>
        <x:v>45581</x:v>
      </x:c>
      <x:c r="C817" s="84" t="n">
        <x:f>YEAR(B817)</x:f>
        <x:v>2024</x:v>
      </x:c>
      <x:c r="D817" s="91" t="n">
        <x:f>DATE(YEAR(B817),MONTH(B817),1)</x:f>
        <x:v>45566</x:v>
      </x:c>
      <x:c r="E817" s="84" t="str">
        <x:f>TEXT(B817,"mmm")</x:f>
        <x:v>Oct</x:v>
      </x:c>
      <x:c r="F817" s="84" t="str">
        <x:f>'Raw Sales'!C817</x:f>
        <x:v>CUST-0048</x:v>
      </x:c>
      <x:c r="G817" s="84" t="str">
        <x:f>PROPER(TRIM('Raw Sales'!D817))</x:f>
        <x:v>Nathan Walker</x:v>
      </x:c>
      <x:c r="H817" s="84" t="str">
        <x:f>IF(TRIM('Raw Sales'!E817)="","Unknown",PROPER(TRIM('Raw Sales'!E817)))</x:f>
        <x:v>Consumer</x:v>
      </x:c>
      <x:c r="I817" s="84" t="str">
        <x:f>PROPER(TRIM('Raw Sales'!F817))</x:f>
        <x:v>West</x:v>
      </x:c>
      <x:c r="J817" s="84" t="str">
        <x:f>PROPER(TRIM('Raw Sales'!G817))</x:f>
        <x:v>Denver</x:v>
      </x:c>
      <x:c r="K817" s="84" t="str">
        <x:f>PROPER(TRIM('Raw Sales'!H817))</x:f>
        <x:v>Retail Store</x:v>
      </x:c>
      <x:c r="L817" s="84" t="str">
        <x:f>'Raw Sales'!I817</x:f>
        <x:v>HOME-004</x:v>
      </x:c>
      <x:c r="M817" s="84" t="str">
        <x:f>IFERROR(VLOOKUP(L817,'Reference Data'!$A$5:$F$40,2,FALSE),"Unknown Product")</x:f>
        <x:v>Coffee Maker</x:v>
      </x:c>
      <x:c r="N817" s="84" t="str">
        <x:f>IFERROR(VLOOKUP(L817,'Reference Data'!$A$5:$F$40,3,FALSE),"Unknown")</x:f>
        <x:v>Home &amp; Kitchen</x:v>
      </x:c>
      <x:c r="O817" s="84" t="str">
        <x:f>IFERROR(VLOOKUP(L817,'Reference Data'!$A$5:$F$40,4,FALSE),"Unknown")</x:f>
        <x:v>Small Appliances</x:v>
      </x:c>
      <x:c r="P817" s="92" t="n">
        <x:f>IFERROR(VLOOKUP(L817,'Reference Data'!$A$5:$F$40,5,FALSE),0)</x:f>
        <x:v>99</x:v>
      </x:c>
      <x:c r="Q817" s="92" t="n">
        <x:f>IFERROR(VLOOKUP(L817,'Reference Data'!$A$5:$F$40,6,FALSE),0)</x:f>
        <x:v>51</x:v>
      </x:c>
      <x:c r="R817" s="84" t="n">
        <x:f>'Raw Sales'!J817</x:f>
        <x:v>1</x:v>
      </x:c>
      <x:c r="S817" s="87" t="n">
        <x:f>'Raw Sales'!K817</x:f>
        <x:v>0.1</x:v>
      </x:c>
      <x:c r="T817" s="93" t="n">
        <x:f>P817*R817</x:f>
        <x:v>99</x:v>
      </x:c>
      <x:c r="U817" s="93" t="n">
        <x:f>T817*S817</x:f>
        <x:v>9.9</x:v>
      </x:c>
      <x:c r="V817" s="93" t="str">
        <x:f>PROPER(TRIM('Raw Sales'!L817))</x:f>
        <x:v>Completed</x:v>
      </x:c>
      <x:c r="W817" s="93" t="n">
        <x:f>IF(V817="Returned",0,T817-U817)</x:f>
        <x:v>89.1</x:v>
      </x:c>
      <x:c r="X817" s="93" t="n">
        <x:f>IF(V817="Returned",Q817*R817*10%,Q817*R817)</x:f>
        <x:v>51</x:v>
      </x:c>
      <x:c r="Y817" s="93" t="n">
        <x:f>W817-X817</x:f>
        <x:v>38.099999999999994</x:v>
      </x:c>
      <x:c r="Z817" s="94" t="n">
        <x:f>IFERROR(Y817/W817,0)</x:f>
        <x:v>0.42760942760942755</x:v>
      </x:c>
      <x:c r="AA817" s="84" t="str">
        <x:f>PROPER(TRIM('Raw Sales'!M817))</x:f>
        <x:v>Debit Card</x:v>
      </x:c>
      <x:c r="AB817" s="84" t="str">
        <x:f>PROPER(TRIM('Raw Sales'!N817))</x:f>
        <x:v>Leo Martinez</x:v>
      </x:c>
      <x:c r="AC817" s="85" t="n">
        <x:f>'Raw Sales'!O817</x:f>
        <x:v>45581</x:v>
      </x:c>
      <x:c r="AD817" s="84" t="n">
        <x:f>AC817-B817</x:f>
        <x:v>0</x:v>
      </x:c>
      <x:c r="AE817" s="84" t="str">
        <x:f>IF(COUNTIF($A$5:A817,A817)&gt;1,"Duplicate","Keep")</x:f>
        <x:v>Keep</x:v>
      </x:c>
      <x:c r="AF817" s="84" t="str">
        <x:f>IF(OR(R817&lt;=0,AC817&lt;B817,H817="Unknown",M817="Unknown Product"),"Review","Valid")</x:f>
        <x:v>Valid</x:v>
      </x:c>
      <x:c r="AG817" s="84" t="n">
        <x:f>IF(AND(AE817="Keep",AF817="Valid"),1,0)</x:f>
        <x:v>1</x:v>
      </x:c>
      <x:c r="AH817" s="84" t="n">
        <x:f>IF(AND(AG817=1,OR('Dashboard'!$B$4="All",I817='Dashboard'!$B$4),OR('Dashboard'!$E$4="All",N817='Dashboard'!$E$4),OR('Dashboard'!$H$4="All",K817='Dashboard'!$H$4),OR('Dashboard'!$K$4="All",C817='Dashboard'!$K$4)),1,0)</x:f>
        <x:v>1</x:v>
      </x:c>
      <x:c r="AI817" s="84" t="n">
        <x:f>IF(AND(AG817=1,OR('Dashboard'!$B$4="All",I817='Dashboard'!$B$4),OR('Dashboard'!$E$4="All",N817='Dashboard'!$E$4),OR('Dashboard'!$H$4="All",K817='Dashboard'!$H$4)),1,0)</x:f>
        <x:v>1</x:v>
      </x:c>
    </x:row>
    <x:row r="818">
      <x:c r="A818" s="84" t="str">
        <x:f>'Raw Sales'!A818</x:f>
        <x:v>ORD-2024-01144</x:v>
      </x:c>
      <x:c r="B818" s="85" t="n">
        <x:f>'Raw Sales'!B818</x:f>
        <x:v>45581</x:v>
      </x:c>
      <x:c r="C818" s="84" t="n">
        <x:f>YEAR(B818)</x:f>
        <x:v>2024</x:v>
      </x:c>
      <x:c r="D818" s="91" t="n">
        <x:f>DATE(YEAR(B818),MONTH(B818),1)</x:f>
        <x:v>45566</x:v>
      </x:c>
      <x:c r="E818" s="84" t="str">
        <x:f>TEXT(B818,"mmm")</x:f>
        <x:v>Oct</x:v>
      </x:c>
      <x:c r="F818" s="84" t="str">
        <x:f>'Raw Sales'!C818</x:f>
        <x:v>CUST-0331</x:v>
      </x:c>
      <x:c r="G818" s="84" t="str">
        <x:f>PROPER(TRIM('Raw Sales'!D818))</x:f>
        <x:v>Elias Young</x:v>
      </x:c>
      <x:c r="H818" s="84" t="str">
        <x:f>IF(TRIM('Raw Sales'!E818)="","Unknown",PROPER(TRIM('Raw Sales'!E818)))</x:f>
        <x:v>Consumer</x:v>
      </x:c>
      <x:c r="I818" s="84" t="str">
        <x:f>PROPER(TRIM('Raw Sales'!F818))</x:f>
        <x:v>West</x:v>
      </x:c>
      <x:c r="J818" s="84" t="str">
        <x:f>PROPER(TRIM('Raw Sales'!G818))</x:f>
        <x:v>Seattle</x:v>
      </x:c>
      <x:c r="K818" s="84" t="str">
        <x:f>PROPER(TRIM('Raw Sales'!H818))</x:f>
        <x:v>Retail Store</x:v>
      </x:c>
      <x:c r="L818" s="84" t="str">
        <x:f>'Raw Sales'!I818</x:f>
        <x:v>ACCS-004</x:v>
      </x:c>
      <x:c r="M818" s="84" t="str">
        <x:f>IFERROR(VLOOKUP(L818,'Reference Data'!$A$5:$F$40,2,FALSE),"Unknown Product")</x:f>
        <x:v>Leather Wallet</x:v>
      </x:c>
      <x:c r="N818" s="84" t="str">
        <x:f>IFERROR(VLOOKUP(L818,'Reference Data'!$A$5:$F$40,3,FALSE),"Unknown")</x:f>
        <x:v>Accessories</x:v>
      </x:c>
      <x:c r="O818" s="84" t="str">
        <x:f>IFERROR(VLOOKUP(L818,'Reference Data'!$A$5:$F$40,4,FALSE),"Unknown")</x:f>
        <x:v>Wallets</x:v>
      </x:c>
      <x:c r="P818" s="92" t="n">
        <x:f>IFERROR(VLOOKUP(L818,'Reference Data'!$A$5:$F$40,5,FALSE),0)</x:f>
        <x:v>49</x:v>
      </x:c>
      <x:c r="Q818" s="92" t="n">
        <x:f>IFERROR(VLOOKUP(L818,'Reference Data'!$A$5:$F$40,6,FALSE),0)</x:f>
        <x:v>18</x:v>
      </x:c>
      <x:c r="R818" s="84" t="n">
        <x:f>'Raw Sales'!J818</x:f>
        <x:v>2</x:v>
      </x:c>
      <x:c r="S818" s="87" t="n">
        <x:f>'Raw Sales'!K818</x:f>
        <x:v>0</x:v>
      </x:c>
      <x:c r="T818" s="93" t="n">
        <x:f>P818*R818</x:f>
        <x:v>98</x:v>
      </x:c>
      <x:c r="U818" s="93" t="n">
        <x:f>T818*S818</x:f>
        <x:v>0</x:v>
      </x:c>
      <x:c r="V818" s="93" t="str">
        <x:f>PROPER(TRIM('Raw Sales'!L818))</x:f>
        <x:v>Completed</x:v>
      </x:c>
      <x:c r="W818" s="93" t="n">
        <x:f>IF(V818="Returned",0,T818-U818)</x:f>
        <x:v>98</x:v>
      </x:c>
      <x:c r="X818" s="93" t="n">
        <x:f>IF(V818="Returned",Q818*R818*10%,Q818*R818)</x:f>
        <x:v>36</x:v>
      </x:c>
      <x:c r="Y818" s="93" t="n">
        <x:f>W818-X818</x:f>
        <x:v>62</x:v>
      </x:c>
      <x:c r="Z818" s="94" t="n">
        <x:f>IFERROR(Y818/W818,0)</x:f>
        <x:v>0.6326530612244898</x:v>
      </x:c>
      <x:c r="AA818" s="84" t="str">
        <x:f>PROPER(TRIM('Raw Sales'!M818))</x:f>
        <x:v>Debit Card</x:v>
      </x:c>
      <x:c r="AB818" s="84" t="str">
        <x:f>PROPER(TRIM('Raw Sales'!N818))</x:f>
        <x:v>Leo Martinez</x:v>
      </x:c>
      <x:c r="AC818" s="85" t="n">
        <x:f>'Raw Sales'!O818</x:f>
        <x:v>45581</x:v>
      </x:c>
      <x:c r="AD818" s="84" t="n">
        <x:f>AC818-B818</x:f>
        <x:v>0</x:v>
      </x:c>
      <x:c r="AE818" s="84" t="str">
        <x:f>IF(COUNTIF($A$5:A818,A818)&gt;1,"Duplicate","Keep")</x:f>
        <x:v>Keep</x:v>
      </x:c>
      <x:c r="AF818" s="84" t="str">
        <x:f>IF(OR(R818&lt;=0,AC818&lt;B818,H818="Unknown",M818="Unknown Product"),"Review","Valid")</x:f>
        <x:v>Valid</x:v>
      </x:c>
      <x:c r="AG818" s="84" t="n">
        <x:f>IF(AND(AE818="Keep",AF818="Valid"),1,0)</x:f>
        <x:v>1</x:v>
      </x:c>
      <x:c r="AH818" s="84" t="n">
        <x:f>IF(AND(AG818=1,OR('Dashboard'!$B$4="All",I818='Dashboard'!$B$4),OR('Dashboard'!$E$4="All",N818='Dashboard'!$E$4),OR('Dashboard'!$H$4="All",K818='Dashboard'!$H$4),OR('Dashboard'!$K$4="All",C818='Dashboard'!$K$4)),1,0)</x:f>
        <x:v>1</x:v>
      </x:c>
      <x:c r="AI818" s="84" t="n">
        <x:f>IF(AND(AG818=1,OR('Dashboard'!$B$4="All",I818='Dashboard'!$B$4),OR('Dashboard'!$E$4="All",N818='Dashboard'!$E$4),OR('Dashboard'!$H$4="All",K818='Dashboard'!$H$4)),1,0)</x:f>
        <x:v>1</x:v>
      </x:c>
    </x:row>
    <x:row r="819">
      <x:c r="A819" s="84" t="str">
        <x:f>'Raw Sales'!A819</x:f>
        <x:v>ORD-2024-01521</x:v>
      </x:c>
      <x:c r="B819" s="85" t="n">
        <x:f>'Raw Sales'!B819</x:f>
        <x:v>45581</x:v>
      </x:c>
      <x:c r="C819" s="84" t="n">
        <x:f>YEAR(B819)</x:f>
        <x:v>2024</x:v>
      </x:c>
      <x:c r="D819" s="91" t="n">
        <x:f>DATE(YEAR(B819),MONTH(B819),1)</x:f>
        <x:v>45566</x:v>
      </x:c>
      <x:c r="E819" s="84" t="str">
        <x:f>TEXT(B819,"mmm")</x:f>
        <x:v>Oct</x:v>
      </x:c>
      <x:c r="F819" s="84" t="str">
        <x:f>'Raw Sales'!C819</x:f>
        <x:v>CUST-0444</x:v>
      </x:c>
      <x:c r="G819" s="84" t="str">
        <x:f>PROPER(TRIM('Raw Sales'!D819))</x:f>
        <x:v>Amelia Walker</x:v>
      </x:c>
      <x:c r="H819" s="84" t="str">
        <x:f>IF(TRIM('Raw Sales'!E819)="","Unknown",PROPER(TRIM('Raw Sales'!E819)))</x:f>
        <x:v>Consumer</x:v>
      </x:c>
      <x:c r="I819" s="84" t="str">
        <x:f>PROPER(TRIM('Raw Sales'!F819))</x:f>
        <x:v>Northeast</x:v>
      </x:c>
      <x:c r="J819" s="84" t="str">
        <x:f>PROPER(TRIM('Raw Sales'!G819))</x:f>
        <x:v>Philadelphia</x:v>
      </x:c>
      <x:c r="K819" s="84" t="str">
        <x:f>PROPER(TRIM('Raw Sales'!H819))</x:f>
        <x:v>Online</x:v>
      </x:c>
      <x:c r="L819" s="84" t="str">
        <x:f>'Raw Sales'!I819</x:f>
        <x:v>FITN-002</x:v>
      </x:c>
      <x:c r="M819" s="84" t="str">
        <x:f>IFERROR(VLOOKUP(L819,'Reference Data'!$A$5:$F$40,2,FALSE),"Unknown Product")</x:f>
        <x:v>Adjustable Dumbbell Set</x:v>
      </x:c>
      <x:c r="N819" s="84" t="str">
        <x:f>IFERROR(VLOOKUP(L819,'Reference Data'!$A$5:$F$40,3,FALSE),"Unknown")</x:f>
        <x:v>Fitness</x:v>
      </x:c>
      <x:c r="O819" s="84" t="str">
        <x:f>IFERROR(VLOOKUP(L819,'Reference Data'!$A$5:$F$40,4,FALSE),"Unknown")</x:f>
        <x:v>Strength</x:v>
      </x:c>
      <x:c r="P819" s="92" t="n">
        <x:f>IFERROR(VLOOKUP(L819,'Reference Data'!$A$5:$F$40,5,FALSE),0)</x:f>
        <x:v>99</x:v>
      </x:c>
      <x:c r="Q819" s="92" t="n">
        <x:f>IFERROR(VLOOKUP(L819,'Reference Data'!$A$5:$F$40,6,FALSE),0)</x:f>
        <x:v>57</x:v>
      </x:c>
      <x:c r="R819" s="84" t="n">
        <x:f>'Raw Sales'!J819</x:f>
        <x:v>3</x:v>
      </x:c>
      <x:c r="S819" s="87" t="n">
        <x:f>'Raw Sales'!K819</x:f>
        <x:v>0</x:v>
      </x:c>
      <x:c r="T819" s="93" t="n">
        <x:f>P819*R819</x:f>
        <x:v>297</x:v>
      </x:c>
      <x:c r="U819" s="93" t="n">
        <x:f>T819*S819</x:f>
        <x:v>0</x:v>
      </x:c>
      <x:c r="V819" s="93" t="str">
        <x:f>PROPER(TRIM('Raw Sales'!L819))</x:f>
        <x:v>Completed</x:v>
      </x:c>
      <x:c r="W819" s="93" t="n">
        <x:f>IF(V819="Returned",0,T819-U819)</x:f>
        <x:v>297</x:v>
      </x:c>
      <x:c r="X819" s="93" t="n">
        <x:f>IF(V819="Returned",Q819*R819*10%,Q819*R819)</x:f>
        <x:v>171</x:v>
      </x:c>
      <x:c r="Y819" s="93" t="n">
        <x:f>W819-X819</x:f>
        <x:v>126</x:v>
      </x:c>
      <x:c r="Z819" s="94" t="n">
        <x:f>IFERROR(Y819/W819,0)</x:f>
        <x:v>0.42424242424242425</x:v>
      </x:c>
      <x:c r="AA819" s="84" t="str">
        <x:f>PROPER(TRIM('Raw Sales'!M819))</x:f>
        <x:v>Paypal</x:v>
      </x:c>
      <x:c r="AB819" s="84" t="str">
        <x:f>PROPER(TRIM('Raw Sales'!N819))</x:f>
        <x:v>Sofia Bennett</x:v>
      </x:c>
      <x:c r="AC819" s="85" t="n">
        <x:f>'Raw Sales'!O819</x:f>
        <x:v>45584</x:v>
      </x:c>
      <x:c r="AD819" s="84" t="n">
        <x:f>AC819-B819</x:f>
        <x:v>3</x:v>
      </x:c>
      <x:c r="AE819" s="84" t="str">
        <x:f>IF(COUNTIF($A$5:A819,A819)&gt;1,"Duplicate","Keep")</x:f>
        <x:v>Keep</x:v>
      </x:c>
      <x:c r="AF819" s="84" t="str">
        <x:f>IF(OR(R819&lt;=0,AC819&lt;B819,H819="Unknown",M819="Unknown Product"),"Review","Valid")</x:f>
        <x:v>Valid</x:v>
      </x:c>
      <x:c r="AG819" s="84" t="n">
        <x:f>IF(AND(AE819="Keep",AF819="Valid"),1,0)</x:f>
        <x:v>1</x:v>
      </x:c>
      <x:c r="AH819" s="84" t="n">
        <x:f>IF(AND(AG819=1,OR('Dashboard'!$B$4="All",I819='Dashboard'!$B$4),OR('Dashboard'!$E$4="All",N819='Dashboard'!$E$4),OR('Dashboard'!$H$4="All",K819='Dashboard'!$H$4),OR('Dashboard'!$K$4="All",C819='Dashboard'!$K$4)),1,0)</x:f>
        <x:v>1</x:v>
      </x:c>
      <x:c r="AI819" s="84" t="n">
        <x:f>IF(AND(AG819=1,OR('Dashboard'!$B$4="All",I819='Dashboard'!$B$4),OR('Dashboard'!$E$4="All",N819='Dashboard'!$E$4),OR('Dashboard'!$H$4="All",K819='Dashboard'!$H$4)),1,0)</x:f>
        <x:v>1</x:v>
      </x:c>
    </x:row>
    <x:row r="820">
      <x:c r="A820" s="84" t="str">
        <x:f>'Raw Sales'!A820</x:f>
        <x:v>ORD-2024-01690</x:v>
      </x:c>
      <x:c r="B820" s="85" t="n">
        <x:f>'Raw Sales'!B820</x:f>
        <x:v>45581</x:v>
      </x:c>
      <x:c r="C820" s="84" t="n">
        <x:f>YEAR(B820)</x:f>
        <x:v>2024</x:v>
      </x:c>
      <x:c r="D820" s="91" t="n">
        <x:f>DATE(YEAR(B820),MONTH(B820),1)</x:f>
        <x:v>45566</x:v>
      </x:c>
      <x:c r="E820" s="84" t="str">
        <x:f>TEXT(B820,"mmm")</x:f>
        <x:v>Oct</x:v>
      </x:c>
      <x:c r="F820" s="84" t="str">
        <x:f>'Raw Sales'!C820</x:f>
        <x:v>CUST-0224</x:v>
      </x:c>
      <x:c r="G820" s="84" t="str">
        <x:f>PROPER(TRIM('Raw Sales'!D820))</x:f>
        <x:v>Jonah Nelson</x:v>
      </x:c>
      <x:c r="H820" s="84" t="str">
        <x:f>IF(TRIM('Raw Sales'!E820)="","Unknown",PROPER(TRIM('Raw Sales'!E820)))</x:f>
        <x:v>Consumer</x:v>
      </x:c>
      <x:c r="I820" s="84" t="str">
        <x:f>PROPER(TRIM('Raw Sales'!F820))</x:f>
        <x:v>Southeast</x:v>
      </x:c>
      <x:c r="J820" s="84" t="str">
        <x:f>PROPER(TRIM('Raw Sales'!G820))</x:f>
        <x:v>Miami</x:v>
      </x:c>
      <x:c r="K820" s="84" t="str">
        <x:f>PROPER(TRIM('Raw Sales'!H820))</x:f>
        <x:v>Retail Store</x:v>
      </x:c>
      <x:c r="L820" s="84" t="str">
        <x:f>'Raw Sales'!I820</x:f>
        <x:v>OFFC-003</x:v>
      </x:c>
      <x:c r="M820" s="84" t="str">
        <x:f>IFERROR(VLOOKUP(L820,'Reference Data'!$A$5:$F$40,2,FALSE),"Unknown Product")</x:f>
        <x:v>LED Desk Lamp</x:v>
      </x:c>
      <x:c r="N820" s="84" t="str">
        <x:f>IFERROR(VLOOKUP(L820,'Reference Data'!$A$5:$F$40,3,FALSE),"Unknown")</x:f>
        <x:v>Office</x:v>
      </x:c>
      <x:c r="O820" s="84" t="str">
        <x:f>IFERROR(VLOOKUP(L820,'Reference Data'!$A$5:$F$40,4,FALSE),"Unknown")</x:f>
        <x:v>Desk Accessories</x:v>
      </x:c>
      <x:c r="P820" s="92" t="n">
        <x:f>IFERROR(VLOOKUP(L820,'Reference Data'!$A$5:$F$40,5,FALSE),0)</x:f>
        <x:v>45</x:v>
      </x:c>
      <x:c r="Q820" s="92" t="n">
        <x:f>IFERROR(VLOOKUP(L820,'Reference Data'!$A$5:$F$40,6,FALSE),0)</x:f>
        <x:v>20</x:v>
      </x:c>
      <x:c r="R820" s="84" t="n">
        <x:f>'Raw Sales'!J820</x:f>
        <x:v>2</x:v>
      </x:c>
      <x:c r="S820" s="87" t="n">
        <x:f>'Raw Sales'!K820</x:f>
        <x:v>0.1</x:v>
      </x:c>
      <x:c r="T820" s="93" t="n">
        <x:f>P820*R820</x:f>
        <x:v>90</x:v>
      </x:c>
      <x:c r="U820" s="93" t="n">
        <x:f>T820*S820</x:f>
        <x:v>9</x:v>
      </x:c>
      <x:c r="V820" s="93" t="str">
        <x:f>PROPER(TRIM('Raw Sales'!L820))</x:f>
        <x:v>Completed</x:v>
      </x:c>
      <x:c r="W820" s="93" t="n">
        <x:f>IF(V820="Returned",0,T820-U820)</x:f>
        <x:v>81</x:v>
      </x:c>
      <x:c r="X820" s="93" t="n">
        <x:f>IF(V820="Returned",Q820*R820*10%,Q820*R820)</x:f>
        <x:v>40</x:v>
      </x:c>
      <x:c r="Y820" s="93" t="n">
        <x:f>W820-X820</x:f>
        <x:v>41</x:v>
      </x:c>
      <x:c r="Z820" s="94" t="n">
        <x:f>IFERROR(Y820/W820,0)</x:f>
        <x:v>0.5061728395061729</x:v>
      </x:c>
      <x:c r="AA820" s="84" t="str">
        <x:f>PROPER(TRIM('Raw Sales'!M820))</x:f>
        <x:v>Credit Card</x:v>
      </x:c>
      <x:c r="AB820" s="84" t="str">
        <x:f>PROPER(TRIM('Raw Sales'!N820))</x:f>
        <x:v>Liam Parker</x:v>
      </x:c>
      <x:c r="AC820" s="85" t="n">
        <x:f>'Raw Sales'!O820</x:f>
        <x:v>45581</x:v>
      </x:c>
      <x:c r="AD820" s="84" t="n">
        <x:f>AC820-B820</x:f>
        <x:v>0</x:v>
      </x:c>
      <x:c r="AE820" s="84" t="str">
        <x:f>IF(COUNTIF($A$5:A820,A820)&gt;1,"Duplicate","Keep")</x:f>
        <x:v>Keep</x:v>
      </x:c>
      <x:c r="AF820" s="84" t="str">
        <x:f>IF(OR(R820&lt;=0,AC820&lt;B820,H820="Unknown",M820="Unknown Product"),"Review","Valid")</x:f>
        <x:v>Valid</x:v>
      </x:c>
      <x:c r="AG820" s="84" t="n">
        <x:f>IF(AND(AE820="Keep",AF820="Valid"),1,0)</x:f>
        <x:v>1</x:v>
      </x:c>
      <x:c r="AH820" s="84" t="n">
        <x:f>IF(AND(AG820=1,OR('Dashboard'!$B$4="All",I820='Dashboard'!$B$4),OR('Dashboard'!$E$4="All",N820='Dashboard'!$E$4),OR('Dashboard'!$H$4="All",K820='Dashboard'!$H$4),OR('Dashboard'!$K$4="All",C820='Dashboard'!$K$4)),1,0)</x:f>
        <x:v>1</x:v>
      </x:c>
      <x:c r="AI820" s="84" t="n">
        <x:f>IF(AND(AG820=1,OR('Dashboard'!$B$4="All",I820='Dashboard'!$B$4),OR('Dashboard'!$E$4="All",N820='Dashboard'!$E$4),OR('Dashboard'!$H$4="All",K820='Dashboard'!$H$4)),1,0)</x:f>
        <x:v>1</x:v>
      </x:c>
    </x:row>
    <x:row r="821">
      <x:c r="A821" s="84" t="str">
        <x:f>'Raw Sales'!A821</x:f>
        <x:v>ORD-2024-00364</x:v>
      </x:c>
      <x:c r="B821" s="85" t="n">
        <x:f>'Raw Sales'!B821</x:f>
        <x:v>45582</x:v>
      </x:c>
      <x:c r="C821" s="84" t="n">
        <x:f>YEAR(B821)</x:f>
        <x:v>2024</x:v>
      </x:c>
      <x:c r="D821" s="91" t="n">
        <x:f>DATE(YEAR(B821),MONTH(B821),1)</x:f>
        <x:v>45566</x:v>
      </x:c>
      <x:c r="E821" s="84" t="str">
        <x:f>TEXT(B821,"mmm")</x:f>
        <x:v>Oct</x:v>
      </x:c>
      <x:c r="F821" s="84" t="str">
        <x:f>'Raw Sales'!C821</x:f>
        <x:v>CUST-0106</x:v>
      </x:c>
      <x:c r="G821" s="84" t="str">
        <x:f>PROPER(TRIM('Raw Sales'!D821))</x:f>
        <x:v>Zara Johnson</x:v>
      </x:c>
      <x:c r="H821" s="84" t="str">
        <x:f>IF(TRIM('Raw Sales'!E821)="","Unknown",PROPER(TRIM('Raw Sales'!E821)))</x:f>
        <x:v>Consumer</x:v>
      </x:c>
      <x:c r="I821" s="84" t="str">
        <x:f>PROPER(TRIM('Raw Sales'!F821))</x:f>
        <x:v>West</x:v>
      </x:c>
      <x:c r="J821" s="84" t="str">
        <x:f>PROPER(TRIM('Raw Sales'!G821))</x:f>
        <x:v>Denver</x:v>
      </x:c>
      <x:c r="K821" s="84" t="str">
        <x:f>PROPER(TRIM('Raw Sales'!H821))</x:f>
        <x:v>Online</x:v>
      </x:c>
      <x:c r="L821" s="84" t="str">
        <x:f>'Raw Sales'!I821</x:f>
        <x:v>ACCS-006</x:v>
      </x:c>
      <x:c r="M821" s="84" t="str">
        <x:f>IFERROR(VLOOKUP(L821,'Reference Data'!$A$5:$F$40,2,FALSE),"Unknown Product")</x:f>
        <x:v>Insulated Lunch Bag</x:v>
      </x:c>
      <x:c r="N821" s="84" t="str">
        <x:f>IFERROR(VLOOKUP(L821,'Reference Data'!$A$5:$F$40,3,FALSE),"Unknown")</x:f>
        <x:v>Accessories</x:v>
      </x:c>
      <x:c r="O821" s="84" t="str">
        <x:f>IFERROR(VLOOKUP(L821,'Reference Data'!$A$5:$F$40,4,FALSE),"Unknown")</x:f>
        <x:v>Bags</x:v>
      </x:c>
      <x:c r="P821" s="92" t="n">
        <x:f>IFERROR(VLOOKUP(L821,'Reference Data'!$A$5:$F$40,5,FALSE),0)</x:f>
        <x:v>29</x:v>
      </x:c>
      <x:c r="Q821" s="92" t="n">
        <x:f>IFERROR(VLOOKUP(L821,'Reference Data'!$A$5:$F$40,6,FALSE),0)</x:f>
        <x:v>10</x:v>
      </x:c>
      <x:c r="R821" s="84" t="n">
        <x:f>'Raw Sales'!J821</x:f>
        <x:v>1</x:v>
      </x:c>
      <x:c r="S821" s="87" t="n">
        <x:f>'Raw Sales'!K821</x:f>
        <x:v>0.05</x:v>
      </x:c>
      <x:c r="T821" s="93" t="n">
        <x:f>P821*R821</x:f>
        <x:v>29</x:v>
      </x:c>
      <x:c r="U821" s="93" t="n">
        <x:f>T821*S821</x:f>
        <x:v>1.4500000000000002</x:v>
      </x:c>
      <x:c r="V821" s="93" t="str">
        <x:f>PROPER(TRIM('Raw Sales'!L821))</x:f>
        <x:v>Completed</x:v>
      </x:c>
      <x:c r="W821" s="93" t="n">
        <x:f>IF(V821="Returned",0,T821-U821)</x:f>
        <x:v>27.55</x:v>
      </x:c>
      <x:c r="X821" s="93" t="n">
        <x:f>IF(V821="Returned",Q821*R821*10%,Q821*R821)</x:f>
        <x:v>10</x:v>
      </x:c>
      <x:c r="Y821" s="93" t="n">
        <x:f>W821-X821</x:f>
        <x:v>17.55</x:v>
      </x:c>
      <x:c r="Z821" s="94" t="n">
        <x:f>IFERROR(Y821/W821,0)</x:f>
        <x:v>0.6370235934664247</x:v>
      </x:c>
      <x:c r="AA821" s="84" t="str">
        <x:f>PROPER(TRIM('Raw Sales'!M821))</x:f>
        <x:v>Debit Card</x:v>
      </x:c>
      <x:c r="AB821" s="84" t="str">
        <x:f>PROPER(TRIM('Raw Sales'!N821))</x:f>
        <x:v>Leo Martinez</x:v>
      </x:c>
      <x:c r="AC821" s="85" t="n">
        <x:f>'Raw Sales'!O821</x:f>
        <x:v>45585</x:v>
      </x:c>
      <x:c r="AD821" s="84" t="n">
        <x:f>AC821-B821</x:f>
        <x:v>3</x:v>
      </x:c>
      <x:c r="AE821" s="84" t="str">
        <x:f>IF(COUNTIF($A$5:A821,A821)&gt;1,"Duplicate","Keep")</x:f>
        <x:v>Keep</x:v>
      </x:c>
      <x:c r="AF821" s="84" t="str">
        <x:f>IF(OR(R821&lt;=0,AC821&lt;B821,H821="Unknown",M821="Unknown Product"),"Review","Valid")</x:f>
        <x:v>Valid</x:v>
      </x:c>
      <x:c r="AG821" s="84" t="n">
        <x:f>IF(AND(AE821="Keep",AF821="Valid"),1,0)</x:f>
        <x:v>1</x:v>
      </x:c>
      <x:c r="AH821" s="84" t="n">
        <x:f>IF(AND(AG821=1,OR('Dashboard'!$B$4="All",I821='Dashboard'!$B$4),OR('Dashboard'!$E$4="All",N821='Dashboard'!$E$4),OR('Dashboard'!$H$4="All",K821='Dashboard'!$H$4),OR('Dashboard'!$K$4="All",C821='Dashboard'!$K$4)),1,0)</x:f>
        <x:v>1</x:v>
      </x:c>
      <x:c r="AI821" s="84" t="n">
        <x:f>IF(AND(AG821=1,OR('Dashboard'!$B$4="All",I821='Dashboard'!$B$4),OR('Dashboard'!$E$4="All",N821='Dashboard'!$E$4),OR('Dashboard'!$H$4="All",K821='Dashboard'!$H$4)),1,0)</x:f>
        <x:v>1</x:v>
      </x:c>
    </x:row>
    <x:row r="822">
      <x:c r="A822" s="84" t="str">
        <x:f>'Raw Sales'!A822</x:f>
        <x:v>ORD-2024-00760</x:v>
      </x:c>
      <x:c r="B822" s="85" t="n">
        <x:f>'Raw Sales'!B822</x:f>
        <x:v>45582</x:v>
      </x:c>
      <x:c r="C822" s="84" t="n">
        <x:f>YEAR(B822)</x:f>
        <x:v>2024</x:v>
      </x:c>
      <x:c r="D822" s="91" t="n">
        <x:f>DATE(YEAR(B822),MONTH(B822),1)</x:f>
        <x:v>45566</x:v>
      </x:c>
      <x:c r="E822" s="84" t="str">
        <x:f>TEXT(B822,"mmm")</x:f>
        <x:v>Oct</x:v>
      </x:c>
      <x:c r="F822" s="84" t="str">
        <x:f>'Raw Sales'!C822</x:f>
        <x:v>CUST-0284</x:v>
      </x:c>
      <x:c r="G822" s="84" t="str">
        <x:f>PROPER(TRIM('Raw Sales'!D822))</x:f>
        <x:v>Marcus Foster</x:v>
      </x:c>
      <x:c r="H822" s="84" t="str">
        <x:f>IF(TRIM('Raw Sales'!E822)="","Unknown",PROPER(TRIM('Raw Sales'!E822)))</x:f>
        <x:v>Consumer</x:v>
      </x:c>
      <x:c r="I822" s="84" t="str">
        <x:f>PROPER(TRIM('Raw Sales'!F822))</x:f>
        <x:v>Midwest</x:v>
      </x:c>
      <x:c r="J822" s="84" t="str">
        <x:f>PROPER(TRIM('Raw Sales'!G822))</x:f>
        <x:v>Detroit</x:v>
      </x:c>
      <x:c r="K822" s="84" t="str">
        <x:f>PROPER(TRIM('Raw Sales'!H822))</x:f>
        <x:v>Online</x:v>
      </x:c>
      <x:c r="L822" s="84" t="str">
        <x:f>'Raw Sales'!I822</x:f>
        <x:v>CARE-003</x:v>
      </x:c>
      <x:c r="M822" s="84" t="str">
        <x:f>IFERROR(VLOOKUP(L822,'Reference Data'!$A$5:$F$40,2,FALSE),"Unknown Product")</x:f>
        <x:v>Facial Cleanser</x:v>
      </x:c>
      <x:c r="N822" s="84" t="str">
        <x:f>IFERROR(VLOOKUP(L822,'Reference Data'!$A$5:$F$40,3,FALSE),"Unknown")</x:f>
        <x:v>Personal Care</x:v>
      </x:c>
      <x:c r="O822" s="84" t="str">
        <x:f>IFERROR(VLOOKUP(L822,'Reference Data'!$A$5:$F$40,4,FALSE),"Unknown")</x:f>
        <x:v>Skin Care</x:v>
      </x:c>
      <x:c r="P822" s="92" t="n">
        <x:f>IFERROR(VLOOKUP(L822,'Reference Data'!$A$5:$F$40,5,FALSE),0)</x:f>
        <x:v>18</x:v>
      </x:c>
      <x:c r="Q822" s="92" t="n">
        <x:f>IFERROR(VLOOKUP(L822,'Reference Data'!$A$5:$F$40,6,FALSE),0)</x:f>
        <x:v>6</x:v>
      </x:c>
      <x:c r="R822" s="84" t="n">
        <x:f>'Raw Sales'!J822</x:f>
        <x:v>2</x:v>
      </x:c>
      <x:c r="S822" s="87" t="n">
        <x:f>'Raw Sales'!K822</x:f>
        <x:v>0.05</x:v>
      </x:c>
      <x:c r="T822" s="93" t="n">
        <x:f>P822*R822</x:f>
        <x:v>36</x:v>
      </x:c>
      <x:c r="U822" s="93" t="n">
        <x:f>T822*S822</x:f>
        <x:v>1.8</x:v>
      </x:c>
      <x:c r="V822" s="93" t="str">
        <x:f>PROPER(TRIM('Raw Sales'!L822))</x:f>
        <x:v>Completed</x:v>
      </x:c>
      <x:c r="W822" s="93" t="n">
        <x:f>IF(V822="Returned",0,T822-U822)</x:f>
        <x:v>34.2</x:v>
      </x:c>
      <x:c r="X822" s="93" t="n">
        <x:f>IF(V822="Returned",Q822*R822*10%,Q822*R822)</x:f>
        <x:v>12</x:v>
      </x:c>
      <x:c r="Y822" s="93" t="n">
        <x:f>W822-X822</x:f>
        <x:v>22.200000000000003</x:v>
      </x:c>
      <x:c r="Z822" s="94" t="n">
        <x:f>IFERROR(Y822/W822,0)</x:f>
        <x:v>0.6491228070175439</x:v>
      </x:c>
      <x:c r="AA822" s="84" t="str">
        <x:f>PROPER(TRIM('Raw Sales'!M822))</x:f>
        <x:v>Debit Card</x:v>
      </x:c>
      <x:c r="AB822" s="84" t="str">
        <x:f>PROPER(TRIM('Raw Sales'!N822))</x:f>
        <x:v>Zoe Turner</x:v>
      </x:c>
      <x:c r="AC822" s="85" t="n">
        <x:f>'Raw Sales'!O822</x:f>
        <x:v>45585</x:v>
      </x:c>
      <x:c r="AD822" s="84" t="n">
        <x:f>AC822-B822</x:f>
        <x:v>3</x:v>
      </x:c>
      <x:c r="AE822" s="84" t="str">
        <x:f>IF(COUNTIF($A$5:A822,A822)&gt;1,"Duplicate","Keep")</x:f>
        <x:v>Keep</x:v>
      </x:c>
      <x:c r="AF822" s="84" t="str">
        <x:f>IF(OR(R822&lt;=0,AC822&lt;B822,H822="Unknown",M822="Unknown Product"),"Review","Valid")</x:f>
        <x:v>Valid</x:v>
      </x:c>
      <x:c r="AG822" s="84" t="n">
        <x:f>IF(AND(AE822="Keep",AF822="Valid"),1,0)</x:f>
        <x:v>1</x:v>
      </x:c>
      <x:c r="AH822" s="84" t="n">
        <x:f>IF(AND(AG822=1,OR('Dashboard'!$B$4="All",I822='Dashboard'!$B$4),OR('Dashboard'!$E$4="All",N822='Dashboard'!$E$4),OR('Dashboard'!$H$4="All",K822='Dashboard'!$H$4),OR('Dashboard'!$K$4="All",C822='Dashboard'!$K$4)),1,0)</x:f>
        <x:v>1</x:v>
      </x:c>
      <x:c r="AI822" s="84" t="n">
        <x:f>IF(AND(AG822=1,OR('Dashboard'!$B$4="All",I822='Dashboard'!$B$4),OR('Dashboard'!$E$4="All",N822='Dashboard'!$E$4),OR('Dashboard'!$H$4="All",K822='Dashboard'!$H$4)),1,0)</x:f>
        <x:v>1</x:v>
      </x:c>
    </x:row>
    <x:row r="823">
      <x:c r="A823" s="84" t="str">
        <x:f>'Raw Sales'!A823</x:f>
        <x:v>ORD-2024-01067</x:v>
      </x:c>
      <x:c r="B823" s="85" t="n">
        <x:f>'Raw Sales'!B823</x:f>
        <x:v>45582</x:v>
      </x:c>
      <x:c r="C823" s="84" t="n">
        <x:f>YEAR(B823)</x:f>
        <x:v>2024</x:v>
      </x:c>
      <x:c r="D823" s="91" t="n">
        <x:f>DATE(YEAR(B823),MONTH(B823),1)</x:f>
        <x:v>45566</x:v>
      </x:c>
      <x:c r="E823" s="84" t="str">
        <x:f>TEXT(B823,"mmm")</x:f>
        <x:v>Oct</x:v>
      </x:c>
      <x:c r="F823" s="84" t="str">
        <x:f>'Raw Sales'!C823</x:f>
        <x:v>CUST-0017</x:v>
      </x:c>
      <x:c r="G823" s="84" t="str">
        <x:f>PROPER(TRIM('Raw Sales'!D823))</x:f>
        <x:v>Victoria Evans</x:v>
      </x:c>
      <x:c r="H823" s="84" t="str">
        <x:f>IF(TRIM('Raw Sales'!E823)="","Unknown",PROPER(TRIM('Raw Sales'!E823)))</x:f>
        <x:v>Corporate</x:v>
      </x:c>
      <x:c r="I823" s="84" t="str">
        <x:f>PROPER(TRIM('Raw Sales'!F823))</x:f>
        <x:v>Northeast</x:v>
      </x:c>
      <x:c r="J823" s="84" t="str">
        <x:f>PROPER(TRIM('Raw Sales'!G823))</x:f>
        <x:v>Newark</x:v>
      </x:c>
      <x:c r="K823" s="84" t="str">
        <x:f>PROPER(TRIM('Raw Sales'!H823))</x:f>
        <x:v>Online</x:v>
      </x:c>
      <x:c r="L823" s="84" t="str">
        <x:f>'Raw Sales'!I823</x:f>
        <x:v>ELEC-001</x:v>
      </x:c>
      <x:c r="M823" s="84" t="str">
        <x:f>IFERROR(VLOOKUP(L823,'Reference Data'!$A$5:$F$40,2,FALSE),"Unknown Product")</x:f>
        <x:v>Wireless Earbuds</x:v>
      </x:c>
      <x:c r="N823" s="84" t="str">
        <x:f>IFERROR(VLOOKUP(L823,'Reference Data'!$A$5:$F$40,3,FALSE),"Unknown")</x:f>
        <x:v>Electronics</x:v>
      </x:c>
      <x:c r="O823" s="84" t="str">
        <x:f>IFERROR(VLOOKUP(L823,'Reference Data'!$A$5:$F$40,4,FALSE),"Unknown")</x:f>
        <x:v>Audio</x:v>
      </x:c>
      <x:c r="P823" s="92" t="n">
        <x:f>IFERROR(VLOOKUP(L823,'Reference Data'!$A$5:$F$40,5,FALSE),0)</x:f>
        <x:v>69</x:v>
      </x:c>
      <x:c r="Q823" s="92" t="n">
        <x:f>IFERROR(VLOOKUP(L823,'Reference Data'!$A$5:$F$40,6,FALSE),0)</x:f>
        <x:v>36</x:v>
      </x:c>
      <x:c r="R823" s="84" t="n">
        <x:f>'Raw Sales'!J823</x:f>
        <x:v>6</x:v>
      </x:c>
      <x:c r="S823" s="87" t="n">
        <x:f>'Raw Sales'!K823</x:f>
        <x:v>0.05</x:v>
      </x:c>
      <x:c r="T823" s="93" t="n">
        <x:f>P823*R823</x:f>
        <x:v>414</x:v>
      </x:c>
      <x:c r="U823" s="93" t="n">
        <x:f>T823*S823</x:f>
        <x:v>20.700000000000003</x:v>
      </x:c>
      <x:c r="V823" s="93" t="str">
        <x:f>PROPER(TRIM('Raw Sales'!L823))</x:f>
        <x:v>Completed</x:v>
      </x:c>
      <x:c r="W823" s="93" t="n">
        <x:f>IF(V823="Returned",0,T823-U823)</x:f>
        <x:v>393.3</x:v>
      </x:c>
      <x:c r="X823" s="93" t="n">
        <x:f>IF(V823="Returned",Q823*R823*10%,Q823*R823)</x:f>
        <x:v>216</x:v>
      </x:c>
      <x:c r="Y823" s="93" t="n">
        <x:f>W823-X823</x:f>
        <x:v>177.3</x:v>
      </x:c>
      <x:c r="Z823" s="94" t="n">
        <x:f>IFERROR(Y823/W823,0)</x:f>
        <x:v>0.45080091533180777</x:v>
      </x:c>
      <x:c r="AA823" s="84" t="str">
        <x:f>PROPER(TRIM('Raw Sales'!M823))</x:f>
        <x:v>Credit Card</x:v>
      </x:c>
      <x:c r="AB823" s="84" t="str">
        <x:f>PROPER(TRIM('Raw Sales'!N823))</x:f>
        <x:v>Sofia Bennett</x:v>
      </x:c>
      <x:c r="AC823" s="85" t="n">
        <x:f>'Raw Sales'!O823</x:f>
        <x:v>45586</x:v>
      </x:c>
      <x:c r="AD823" s="84" t="n">
        <x:f>AC823-B823</x:f>
        <x:v>4</x:v>
      </x:c>
      <x:c r="AE823" s="84" t="str">
        <x:f>IF(COUNTIF($A$5:A823,A823)&gt;1,"Duplicate","Keep")</x:f>
        <x:v>Keep</x:v>
      </x:c>
      <x:c r="AF823" s="84" t="str">
        <x:f>IF(OR(R823&lt;=0,AC823&lt;B823,H823="Unknown",M823="Unknown Product"),"Review","Valid")</x:f>
        <x:v>Valid</x:v>
      </x:c>
      <x:c r="AG823" s="84" t="n">
        <x:f>IF(AND(AE823="Keep",AF823="Valid"),1,0)</x:f>
        <x:v>1</x:v>
      </x:c>
      <x:c r="AH823" s="84" t="n">
        <x:f>IF(AND(AG823=1,OR('Dashboard'!$B$4="All",I823='Dashboard'!$B$4),OR('Dashboard'!$E$4="All",N823='Dashboard'!$E$4),OR('Dashboard'!$H$4="All",K823='Dashboard'!$H$4),OR('Dashboard'!$K$4="All",C823='Dashboard'!$K$4)),1,0)</x:f>
        <x:v>1</x:v>
      </x:c>
      <x:c r="AI823" s="84" t="n">
        <x:f>IF(AND(AG823=1,OR('Dashboard'!$B$4="All",I823='Dashboard'!$B$4),OR('Dashboard'!$E$4="All",N823='Dashboard'!$E$4),OR('Dashboard'!$H$4="All",K823='Dashboard'!$H$4)),1,0)</x:f>
        <x:v>1</x:v>
      </x:c>
    </x:row>
    <x:row r="824">
      <x:c r="A824" s="84" t="str">
        <x:f>'Raw Sales'!A824</x:f>
        <x:v>ORD-2024-00664</x:v>
      </x:c>
      <x:c r="B824" s="85" t="n">
        <x:f>'Raw Sales'!B824</x:f>
        <x:v>45583</x:v>
      </x:c>
      <x:c r="C824" s="84" t="n">
        <x:f>YEAR(B824)</x:f>
        <x:v>2024</x:v>
      </x:c>
      <x:c r="D824" s="91" t="n">
        <x:f>DATE(YEAR(B824),MONTH(B824),1)</x:f>
        <x:v>45566</x:v>
      </x:c>
      <x:c r="E824" s="84" t="str">
        <x:f>TEXT(B824,"mmm")</x:f>
        <x:v>Oct</x:v>
      </x:c>
      <x:c r="F824" s="84" t="str">
        <x:f>'Raw Sales'!C824</x:f>
        <x:v>CUST-0347</x:v>
      </x:c>
      <x:c r="G824" s="84" t="str">
        <x:f>PROPER(TRIM('Raw Sales'!D824))</x:f>
        <x:v>Owen Nelson</x:v>
      </x:c>
      <x:c r="H824" s="84" t="str">
        <x:f>IF(TRIM('Raw Sales'!E824)="","Unknown",PROPER(TRIM('Raw Sales'!E824)))</x:f>
        <x:v>Consumer</x:v>
      </x:c>
      <x:c r="I824" s="84" t="str">
        <x:f>PROPER(TRIM('Raw Sales'!F824))</x:f>
        <x:v>Midwest</x:v>
      </x:c>
      <x:c r="J824" s="84" t="str">
        <x:f>PROPER(TRIM('Raw Sales'!G824))</x:f>
        <x:v>Minneapolis</x:v>
      </x:c>
      <x:c r="K824" s="84" t="str">
        <x:f>PROPER(TRIM('Raw Sales'!H824))</x:f>
        <x:v>Retail Store</x:v>
      </x:c>
      <x:c r="L824" s="84" t="str">
        <x:f>'Raw Sales'!I824</x:f>
        <x:v>FITN-001</x:v>
      </x:c>
      <x:c r="M824" s="84" t="str">
        <x:f>IFERROR(VLOOKUP(L824,'Reference Data'!$A$5:$F$40,2,FALSE),"Unknown Product")</x:f>
        <x:v>Yoga Mat</x:v>
      </x:c>
      <x:c r="N824" s="84" t="str">
        <x:f>IFERROR(VLOOKUP(L824,'Reference Data'!$A$5:$F$40,3,FALSE),"Unknown")</x:f>
        <x:v>Fitness</x:v>
      </x:c>
      <x:c r="O824" s="84" t="str">
        <x:f>IFERROR(VLOOKUP(L824,'Reference Data'!$A$5:$F$40,4,FALSE),"Unknown")</x:f>
        <x:v>Yoga</x:v>
      </x:c>
      <x:c r="P824" s="92" t="n">
        <x:f>IFERROR(VLOOKUP(L824,'Reference Data'!$A$5:$F$40,5,FALSE),0)</x:f>
        <x:v>35</x:v>
      </x:c>
      <x:c r="Q824" s="92" t="n">
        <x:f>IFERROR(VLOOKUP(L824,'Reference Data'!$A$5:$F$40,6,FALSE),0)</x:f>
        <x:v>13</x:v>
      </x:c>
      <x:c r="R824" s="84" t="n">
        <x:f>'Raw Sales'!J824</x:f>
        <x:v>2</x:v>
      </x:c>
      <x:c r="S824" s="87" t="n">
        <x:f>'Raw Sales'!K824</x:f>
        <x:v>0.1</x:v>
      </x:c>
      <x:c r="T824" s="93" t="n">
        <x:f>P824*R824</x:f>
        <x:v>70</x:v>
      </x:c>
      <x:c r="U824" s="93" t="n">
        <x:f>T824*S824</x:f>
        <x:v>7</x:v>
      </x:c>
      <x:c r="V824" s="93" t="str">
        <x:f>PROPER(TRIM('Raw Sales'!L824))</x:f>
        <x:v>Completed</x:v>
      </x:c>
      <x:c r="W824" s="93" t="n">
        <x:f>IF(V824="Returned",0,T824-U824)</x:f>
        <x:v>63</x:v>
      </x:c>
      <x:c r="X824" s="93" t="n">
        <x:f>IF(V824="Returned",Q824*R824*10%,Q824*R824)</x:f>
        <x:v>26</x:v>
      </x:c>
      <x:c r="Y824" s="93" t="n">
        <x:f>W824-X824</x:f>
        <x:v>37</x:v>
      </x:c>
      <x:c r="Z824" s="94" t="n">
        <x:f>IFERROR(Y824/W824,0)</x:f>
        <x:v>0.5873015873015873</x:v>
      </x:c>
      <x:c r="AA824" s="84" t="str">
        <x:f>PROPER(TRIM('Raw Sales'!M824))</x:f>
        <x:v>Cash</x:v>
      </x:c>
      <x:c r="AB824" s="84" t="str">
        <x:f>PROPER(TRIM('Raw Sales'!N824))</x:f>
        <x:v>Zoe Turner</x:v>
      </x:c>
      <x:c r="AC824" s="85" t="n">
        <x:f>'Raw Sales'!O824</x:f>
        <x:v>45584</x:v>
      </x:c>
      <x:c r="AD824" s="84" t="n">
        <x:f>AC824-B824</x:f>
        <x:v>1</x:v>
      </x:c>
      <x:c r="AE824" s="84" t="str">
        <x:f>IF(COUNTIF($A$5:A824,A824)&gt;1,"Duplicate","Keep")</x:f>
        <x:v>Keep</x:v>
      </x:c>
      <x:c r="AF824" s="84" t="str">
        <x:f>IF(OR(R824&lt;=0,AC824&lt;B824,H824="Unknown",M824="Unknown Product"),"Review","Valid")</x:f>
        <x:v>Valid</x:v>
      </x:c>
      <x:c r="AG824" s="84" t="n">
        <x:f>IF(AND(AE824="Keep",AF824="Valid"),1,0)</x:f>
        <x:v>1</x:v>
      </x:c>
      <x:c r="AH824" s="84" t="n">
        <x:f>IF(AND(AG824=1,OR('Dashboard'!$B$4="All",I824='Dashboard'!$B$4),OR('Dashboard'!$E$4="All",N824='Dashboard'!$E$4),OR('Dashboard'!$H$4="All",K824='Dashboard'!$H$4),OR('Dashboard'!$K$4="All",C824='Dashboard'!$K$4)),1,0)</x:f>
        <x:v>1</x:v>
      </x:c>
      <x:c r="AI824" s="84" t="n">
        <x:f>IF(AND(AG824=1,OR('Dashboard'!$B$4="All",I824='Dashboard'!$B$4),OR('Dashboard'!$E$4="All",N824='Dashboard'!$E$4),OR('Dashboard'!$H$4="All",K824='Dashboard'!$H$4)),1,0)</x:f>
        <x:v>1</x:v>
      </x:c>
    </x:row>
    <x:row r="825">
      <x:c r="A825" s="84" t="str">
        <x:f>'Raw Sales'!A825</x:f>
        <x:v>ORD-2024-00930</x:v>
      </x:c>
      <x:c r="B825" s="85" t="n">
        <x:f>'Raw Sales'!B825</x:f>
        <x:v>45583</x:v>
      </x:c>
      <x:c r="C825" s="84" t="n">
        <x:f>YEAR(B825)</x:f>
        <x:v>2024</x:v>
      </x:c>
      <x:c r="D825" s="91" t="n">
        <x:f>DATE(YEAR(B825),MONTH(B825),1)</x:f>
        <x:v>45566</x:v>
      </x:c>
      <x:c r="E825" s="84" t="str">
        <x:f>TEXT(B825,"mmm")</x:f>
        <x:v>Oct</x:v>
      </x:c>
      <x:c r="F825" s="84" t="str">
        <x:f>'Raw Sales'!C825</x:f>
        <x:v>CUST-0240</x:v>
      </x:c>
      <x:c r="G825" s="84" t="str">
        <x:f>PROPER(TRIM('Raw Sales'!D825))</x:f>
        <x:v>Elena Garcia</x:v>
      </x:c>
      <x:c r="H825" s="84" t="str">
        <x:f>IF(TRIM('Raw Sales'!E825)="","Unknown",PROPER(TRIM('Raw Sales'!E825)))</x:f>
        <x:v>Consumer</x:v>
      </x:c>
      <x:c r="I825" s="84" t="str">
        <x:f>PROPER(TRIM('Raw Sales'!F825))</x:f>
        <x:v>Midwest</x:v>
      </x:c>
      <x:c r="J825" s="84" t="str">
        <x:f>PROPER(TRIM('Raw Sales'!G825))</x:f>
        <x:v>Detroit</x:v>
      </x:c>
      <x:c r="K825" s="84" t="str">
        <x:f>PROPER(TRIM('Raw Sales'!H825))</x:f>
        <x:v>Online</x:v>
      </x:c>
      <x:c r="L825" s="84" t="str">
        <x:f>'Raw Sales'!I825</x:f>
        <x:v>HOME-002</x:v>
      </x:c>
      <x:c r="M825" s="84" t="str">
        <x:f>IFERROR(VLOOKUP(L825,'Reference Data'!$A$5:$F$40,2,FALSE),"Unknown Product")</x:f>
        <x:v>Electric Kettle</x:v>
      </x:c>
      <x:c r="N825" s="84" t="str">
        <x:f>IFERROR(VLOOKUP(L825,'Reference Data'!$A$5:$F$40,3,FALSE),"Unknown")</x:f>
        <x:v>Home &amp; Kitchen</x:v>
      </x:c>
      <x:c r="O825" s="84" t="str">
        <x:f>IFERROR(VLOOKUP(L825,'Reference Data'!$A$5:$F$40,4,FALSE),"Unknown")</x:f>
        <x:v>Small Appliances</x:v>
      </x:c>
      <x:c r="P825" s="92" t="n">
        <x:f>IFERROR(VLOOKUP(L825,'Reference Data'!$A$5:$F$40,5,FALSE),0)</x:f>
        <x:v>49</x:v>
      </x:c>
      <x:c r="Q825" s="92" t="n">
        <x:f>IFERROR(VLOOKUP(L825,'Reference Data'!$A$5:$F$40,6,FALSE),0)</x:f>
        <x:v>23</x:v>
      </x:c>
      <x:c r="R825" s="84" t="n">
        <x:f>'Raw Sales'!J825</x:f>
        <x:v>3</x:v>
      </x:c>
      <x:c r="S825" s="87" t="n">
        <x:f>'Raw Sales'!K825</x:f>
        <x:v>0</x:v>
      </x:c>
      <x:c r="T825" s="93" t="n">
        <x:f>P825*R825</x:f>
        <x:v>147</x:v>
      </x:c>
      <x:c r="U825" s="93" t="n">
        <x:f>T825*S825</x:f>
        <x:v>0</x:v>
      </x:c>
      <x:c r="V825" s="93" t="str">
        <x:f>PROPER(TRIM('Raw Sales'!L825))</x:f>
        <x:v>Completed</x:v>
      </x:c>
      <x:c r="W825" s="93" t="n">
        <x:f>IF(V825="Returned",0,T825-U825)</x:f>
        <x:v>147</x:v>
      </x:c>
      <x:c r="X825" s="93" t="n">
        <x:f>IF(V825="Returned",Q825*R825*10%,Q825*R825)</x:f>
        <x:v>69</x:v>
      </x:c>
      <x:c r="Y825" s="93" t="n">
        <x:f>W825-X825</x:f>
        <x:v>78</x:v>
      </x:c>
      <x:c r="Z825" s="94" t="n">
        <x:f>IFERROR(Y825/W825,0)</x:f>
        <x:v>0.5306122448979592</x:v>
      </x:c>
      <x:c r="AA825" s="84" t="str">
        <x:f>PROPER(TRIM('Raw Sales'!M825))</x:f>
        <x:v>Debit Card</x:v>
      </x:c>
      <x:c r="AB825" s="84" t="str">
        <x:f>PROPER(TRIM('Raw Sales'!N825))</x:f>
        <x:v>Emma Hayes</x:v>
      </x:c>
      <x:c r="AC825" s="85" t="n">
        <x:f>'Raw Sales'!O825</x:f>
        <x:v>45588</x:v>
      </x:c>
      <x:c r="AD825" s="84" t="n">
        <x:f>AC825-B825</x:f>
        <x:v>5</x:v>
      </x:c>
      <x:c r="AE825" s="84" t="str">
        <x:f>IF(COUNTIF($A$5:A825,A825)&gt;1,"Duplicate","Keep")</x:f>
        <x:v>Keep</x:v>
      </x:c>
      <x:c r="AF825" s="84" t="str">
        <x:f>IF(OR(R825&lt;=0,AC825&lt;B825,H825="Unknown",M825="Unknown Product"),"Review","Valid")</x:f>
        <x:v>Valid</x:v>
      </x:c>
      <x:c r="AG825" s="84" t="n">
        <x:f>IF(AND(AE825="Keep",AF825="Valid"),1,0)</x:f>
        <x:v>1</x:v>
      </x:c>
      <x:c r="AH825" s="84" t="n">
        <x:f>IF(AND(AG825=1,OR('Dashboard'!$B$4="All",I825='Dashboard'!$B$4),OR('Dashboard'!$E$4="All",N825='Dashboard'!$E$4),OR('Dashboard'!$H$4="All",K825='Dashboard'!$H$4),OR('Dashboard'!$K$4="All",C825='Dashboard'!$K$4)),1,0)</x:f>
        <x:v>1</x:v>
      </x:c>
      <x:c r="AI825" s="84" t="n">
        <x:f>IF(AND(AG825=1,OR('Dashboard'!$B$4="All",I825='Dashboard'!$B$4),OR('Dashboard'!$E$4="All",N825='Dashboard'!$E$4),OR('Dashboard'!$H$4="All",K825='Dashboard'!$H$4)),1,0)</x:f>
        <x:v>1</x:v>
      </x:c>
    </x:row>
    <x:row r="826">
      <x:c r="A826" s="84" t="str">
        <x:f>'Raw Sales'!A826</x:f>
        <x:v>ORD-2024-01260</x:v>
      </x:c>
      <x:c r="B826" s="85" t="n">
        <x:f>'Raw Sales'!B826</x:f>
        <x:v>45583</x:v>
      </x:c>
      <x:c r="C826" s="84" t="n">
        <x:f>YEAR(B826)</x:f>
        <x:v>2024</x:v>
      </x:c>
      <x:c r="D826" s="91" t="n">
        <x:f>DATE(YEAR(B826),MONTH(B826),1)</x:f>
        <x:v>45566</x:v>
      </x:c>
      <x:c r="E826" s="84" t="str">
        <x:f>TEXT(B826,"mmm")</x:f>
        <x:v>Oct</x:v>
      </x:c>
      <x:c r="F826" s="84" t="str">
        <x:f>'Raw Sales'!C826</x:f>
        <x:v>CUST-0413</x:v>
      </x:c>
      <x:c r="G826" s="84" t="str">
        <x:f>PROPER(TRIM('Raw Sales'!D826))</x:f>
        <x:v>Grace Taylor</x:v>
      </x:c>
      <x:c r="H826" s="84" t="str">
        <x:f>IF(TRIM('Raw Sales'!E826)="","Unknown",PROPER(TRIM('Raw Sales'!E826)))</x:f>
        <x:v>Corporate</x:v>
      </x:c>
      <x:c r="I826" s="84" t="str">
        <x:f>PROPER(TRIM('Raw Sales'!F826))</x:f>
        <x:v>Northeast</x:v>
      </x:c>
      <x:c r="J826" s="84" t="str">
        <x:f>PROPER(TRIM('Raw Sales'!G826))</x:f>
        <x:v>Philadelphia</x:v>
      </x:c>
      <x:c r="K826" s="84" t="str">
        <x:f>PROPER(TRIM('Raw Sales'!H826))</x:f>
        <x:v>Marketplace</x:v>
      </x:c>
      <x:c r="L826" s="84" t="str">
        <x:f>'Raw Sales'!I826</x:f>
        <x:v>OFFC-001</x:v>
      </x:c>
      <x:c r="M826" s="84" t="str">
        <x:f>IFERROR(VLOOKUP(L826,'Reference Data'!$A$5:$F$40,2,FALSE),"Unknown Product")</x:f>
        <x:v>Ergonomic Chair</x:v>
      </x:c>
      <x:c r="N826" s="84" t="str">
        <x:f>IFERROR(VLOOKUP(L826,'Reference Data'!$A$5:$F$40,3,FALSE),"Unknown")</x:f>
        <x:v>Office</x:v>
      </x:c>
      <x:c r="O826" s="84" t="str">
        <x:f>IFERROR(VLOOKUP(L826,'Reference Data'!$A$5:$F$40,4,FALSE),"Unknown")</x:f>
        <x:v>Furniture</x:v>
      </x:c>
      <x:c r="P826" s="92" t="n">
        <x:f>IFERROR(VLOOKUP(L826,'Reference Data'!$A$5:$F$40,5,FALSE),0)</x:f>
        <x:v>249</x:v>
      </x:c>
      <x:c r="Q826" s="92" t="n">
        <x:f>IFERROR(VLOOKUP(L826,'Reference Data'!$A$5:$F$40,6,FALSE),0)</x:f>
        <x:v>145</x:v>
      </x:c>
      <x:c r="R826" s="84" t="n">
        <x:f>'Raw Sales'!J826</x:f>
        <x:v>3</x:v>
      </x:c>
      <x:c r="S826" s="87" t="n">
        <x:f>'Raw Sales'!K826</x:f>
        <x:v>0</x:v>
      </x:c>
      <x:c r="T826" s="93" t="n">
        <x:f>P826*R826</x:f>
        <x:v>747</x:v>
      </x:c>
      <x:c r="U826" s="93" t="n">
        <x:f>T826*S826</x:f>
        <x:v>0</x:v>
      </x:c>
      <x:c r="V826" s="93" t="str">
        <x:f>PROPER(TRIM('Raw Sales'!L826))</x:f>
        <x:v>Completed</x:v>
      </x:c>
      <x:c r="W826" s="93" t="n">
        <x:f>IF(V826="Returned",0,T826-U826)</x:f>
        <x:v>747</x:v>
      </x:c>
      <x:c r="X826" s="93" t="n">
        <x:f>IF(V826="Returned",Q826*R826*10%,Q826*R826)</x:f>
        <x:v>435</x:v>
      </x:c>
      <x:c r="Y826" s="93" t="n">
        <x:f>W826-X826</x:f>
        <x:v>312</x:v>
      </x:c>
      <x:c r="Z826" s="94" t="n">
        <x:f>IFERROR(Y826/W826,0)</x:f>
        <x:v>0.41767068273092367</x:v>
      </x:c>
      <x:c r="AA826" s="84" t="str">
        <x:f>PROPER(TRIM('Raw Sales'!M826))</x:f>
        <x:v>Debit Card</x:v>
      </x:c>
      <x:c r="AB826" s="84" t="str">
        <x:f>PROPER(TRIM('Raw Sales'!N826))</x:f>
        <x:v>Maya Brooks</x:v>
      </x:c>
      <x:c r="AC826" s="85" t="n">
        <x:f>'Raw Sales'!O826</x:f>
        <x:v>45589</x:v>
      </x:c>
      <x:c r="AD826" s="84" t="n">
        <x:f>AC826-B826</x:f>
        <x:v>6</x:v>
      </x:c>
      <x:c r="AE826" s="84" t="str">
        <x:f>IF(COUNTIF($A$5:A826,A826)&gt;1,"Duplicate","Keep")</x:f>
        <x:v>Keep</x:v>
      </x:c>
      <x:c r="AF826" s="84" t="str">
        <x:f>IF(OR(R826&lt;=0,AC826&lt;B826,H826="Unknown",M826="Unknown Product"),"Review","Valid")</x:f>
        <x:v>Valid</x:v>
      </x:c>
      <x:c r="AG826" s="84" t="n">
        <x:f>IF(AND(AE826="Keep",AF826="Valid"),1,0)</x:f>
        <x:v>1</x:v>
      </x:c>
      <x:c r="AH826" s="84" t="n">
        <x:f>IF(AND(AG826=1,OR('Dashboard'!$B$4="All",I826='Dashboard'!$B$4),OR('Dashboard'!$E$4="All",N826='Dashboard'!$E$4),OR('Dashboard'!$H$4="All",K826='Dashboard'!$H$4),OR('Dashboard'!$K$4="All",C826='Dashboard'!$K$4)),1,0)</x:f>
        <x:v>1</x:v>
      </x:c>
      <x:c r="AI826" s="84" t="n">
        <x:f>IF(AND(AG826=1,OR('Dashboard'!$B$4="All",I826='Dashboard'!$B$4),OR('Dashboard'!$E$4="All",N826='Dashboard'!$E$4),OR('Dashboard'!$H$4="All",K826='Dashboard'!$H$4)),1,0)</x:f>
        <x:v>1</x:v>
      </x:c>
    </x:row>
    <x:row r="827">
      <x:c r="A827" s="84" t="str">
        <x:f>'Raw Sales'!A827</x:f>
        <x:v>ORD-2024-00147</x:v>
      </x:c>
      <x:c r="B827" s="85" t="n">
        <x:f>'Raw Sales'!B827</x:f>
        <x:v>45584</x:v>
      </x:c>
      <x:c r="C827" s="84" t="n">
        <x:f>YEAR(B827)</x:f>
        <x:v>2024</x:v>
      </x:c>
      <x:c r="D827" s="91" t="n">
        <x:f>DATE(YEAR(B827),MONTH(B827),1)</x:f>
        <x:v>45566</x:v>
      </x:c>
      <x:c r="E827" s="84" t="str">
        <x:f>TEXT(B827,"mmm")</x:f>
        <x:v>Oct</x:v>
      </x:c>
      <x:c r="F827" s="84" t="str">
        <x:f>'Raw Sales'!C827</x:f>
        <x:v>CUST-0254</x:v>
      </x:c>
      <x:c r="G827" s="84" t="str">
        <x:f>PROPER(TRIM('Raw Sales'!D827))</x:f>
        <x:v>Marcus Carter</x:v>
      </x:c>
      <x:c r="H827" s="84" t="str">
        <x:f>IF(TRIM('Raw Sales'!E827)="","Unknown",PROPER(TRIM('Raw Sales'!E827)))</x:f>
        <x:v>Consumer</x:v>
      </x:c>
      <x:c r="I827" s="84" t="str">
        <x:f>PROPER(TRIM('Raw Sales'!F827))</x:f>
        <x:v>Northeast</x:v>
      </x:c>
      <x:c r="J827" s="84" t="str">
        <x:f>PROPER(TRIM('Raw Sales'!G827))</x:f>
        <x:v>Boston</x:v>
      </x:c>
      <x:c r="K827" s="84" t="str">
        <x:f>PROPER(TRIM('Raw Sales'!H827))</x:f>
        <x:v>Retail Store</x:v>
      </x:c>
      <x:c r="L827" s="84" t="str">
        <x:f>'Raw Sales'!I827</x:f>
        <x:v>ELEC-006</x:v>
      </x:c>
      <x:c r="M827" s="84" t="str">
        <x:f>IFERROR(VLOOKUP(L827,'Reference Data'!$A$5:$F$40,2,FALSE),"Unknown Product")</x:f>
        <x:v>Portable SSD</x:v>
      </x:c>
      <x:c r="N827" s="84" t="str">
        <x:f>IFERROR(VLOOKUP(L827,'Reference Data'!$A$5:$F$40,3,FALSE),"Unknown")</x:f>
        <x:v>Electronics</x:v>
      </x:c>
      <x:c r="O827" s="84" t="str">
        <x:f>IFERROR(VLOOKUP(L827,'Reference Data'!$A$5:$F$40,4,FALSE),"Unknown")</x:f>
        <x:v>Storage</x:v>
      </x:c>
      <x:c r="P827" s="92" t="n">
        <x:f>IFERROR(VLOOKUP(L827,'Reference Data'!$A$5:$F$40,5,FALSE),0)</x:f>
        <x:v>129</x:v>
      </x:c>
      <x:c r="Q827" s="92" t="n">
        <x:f>IFERROR(VLOOKUP(L827,'Reference Data'!$A$5:$F$40,6,FALSE),0)</x:f>
        <x:v>75</x:v>
      </x:c>
      <x:c r="R827" s="84" t="n">
        <x:f>'Raw Sales'!J827</x:f>
        <x:v>2</x:v>
      </x:c>
      <x:c r="S827" s="87" t="n">
        <x:f>'Raw Sales'!K827</x:f>
        <x:v>0.05</x:v>
      </x:c>
      <x:c r="T827" s="93" t="n">
        <x:f>P827*R827</x:f>
        <x:v>258</x:v>
      </x:c>
      <x:c r="U827" s="93" t="n">
        <x:f>T827*S827</x:f>
        <x:v>12.9</x:v>
      </x:c>
      <x:c r="V827" s="93" t="str">
        <x:f>PROPER(TRIM('Raw Sales'!L827))</x:f>
        <x:v>Completed</x:v>
      </x:c>
      <x:c r="W827" s="93" t="n">
        <x:f>IF(V827="Returned",0,T827-U827)</x:f>
        <x:v>245.1</x:v>
      </x:c>
      <x:c r="X827" s="93" t="n">
        <x:f>IF(V827="Returned",Q827*R827*10%,Q827*R827)</x:f>
        <x:v>150</x:v>
      </x:c>
      <x:c r="Y827" s="93" t="n">
        <x:f>W827-X827</x:f>
        <x:v>95.1</x:v>
      </x:c>
      <x:c r="Z827" s="94" t="n">
        <x:f>IFERROR(Y827/W827,0)</x:f>
        <x:v>0.3880048959608323</x:v>
      </x:c>
      <x:c r="AA827" s="84" t="str">
        <x:f>PROPER(TRIM('Raw Sales'!M827))</x:f>
        <x:v>Mobile Wallet</x:v>
      </x:c>
      <x:c r="AB827" s="84" t="str">
        <x:f>PROPER(TRIM('Raw Sales'!N827))</x:f>
        <x:v>Maya Brooks</x:v>
      </x:c>
      <x:c r="AC827" s="85" t="n">
        <x:f>'Raw Sales'!O827</x:f>
        <x:v>45584</x:v>
      </x:c>
      <x:c r="AD827" s="84" t="n">
        <x:f>AC827-B827</x:f>
        <x:v>0</x:v>
      </x:c>
      <x:c r="AE827" s="84" t="str">
        <x:f>IF(COUNTIF($A$5:A827,A827)&gt;1,"Duplicate","Keep")</x:f>
        <x:v>Keep</x:v>
      </x:c>
      <x:c r="AF827" s="84" t="str">
        <x:f>IF(OR(R827&lt;=0,AC827&lt;B827,H827="Unknown",M827="Unknown Product"),"Review","Valid")</x:f>
        <x:v>Valid</x:v>
      </x:c>
      <x:c r="AG827" s="84" t="n">
        <x:f>IF(AND(AE827="Keep",AF827="Valid"),1,0)</x:f>
        <x:v>1</x:v>
      </x:c>
      <x:c r="AH827" s="84" t="n">
        <x:f>IF(AND(AG827=1,OR('Dashboard'!$B$4="All",I827='Dashboard'!$B$4),OR('Dashboard'!$E$4="All",N827='Dashboard'!$E$4),OR('Dashboard'!$H$4="All",K827='Dashboard'!$H$4),OR('Dashboard'!$K$4="All",C827='Dashboard'!$K$4)),1,0)</x:f>
        <x:v>1</x:v>
      </x:c>
      <x:c r="AI827" s="84" t="n">
        <x:f>IF(AND(AG827=1,OR('Dashboard'!$B$4="All",I827='Dashboard'!$B$4),OR('Dashboard'!$E$4="All",N827='Dashboard'!$E$4),OR('Dashboard'!$H$4="All",K827='Dashboard'!$H$4)),1,0)</x:f>
        <x:v>1</x:v>
      </x:c>
    </x:row>
    <x:row r="828">
      <x:c r="A828" s="84" t="str">
        <x:f>'Raw Sales'!A828</x:f>
        <x:v>ORD-2024-00367</x:v>
      </x:c>
      <x:c r="B828" s="85" t="n">
        <x:f>'Raw Sales'!B828</x:f>
        <x:v>45584</x:v>
      </x:c>
      <x:c r="C828" s="84" t="n">
        <x:f>YEAR(B828)</x:f>
        <x:v>2024</x:v>
      </x:c>
      <x:c r="D828" s="91" t="n">
        <x:f>DATE(YEAR(B828),MONTH(B828),1)</x:f>
        <x:v>45566</x:v>
      </x:c>
      <x:c r="E828" s="84" t="str">
        <x:f>TEXT(B828,"mmm")</x:f>
        <x:v>Oct</x:v>
      </x:c>
      <x:c r="F828" s="84" t="str">
        <x:f>'Raw Sales'!C828</x:f>
        <x:v>CUST-0595</x:v>
      </x:c>
      <x:c r="G828" s="84" t="str">
        <x:f>PROPER(TRIM('Raw Sales'!D828))</x:f>
        <x:v>Daniel Evans</x:v>
      </x:c>
      <x:c r="H828" s="84" t="str">
        <x:f>IF(TRIM('Raw Sales'!E828)="","Unknown",PROPER(TRIM('Raw Sales'!E828)))</x:f>
        <x:v>Corporate</x:v>
      </x:c>
      <x:c r="I828" s="84" t="str">
        <x:f>PROPER(TRIM('Raw Sales'!F828))</x:f>
        <x:v>Northeast</x:v>
      </x:c>
      <x:c r="J828" s="84" t="str">
        <x:f>PROPER(TRIM('Raw Sales'!G828))</x:f>
        <x:v>Newark</x:v>
      </x:c>
      <x:c r="K828" s="84" t="str">
        <x:f>PROPER(TRIM('Raw Sales'!H828))</x:f>
        <x:v>Retail Store</x:v>
      </x:c>
      <x:c r="L828" s="84" t="str">
        <x:f>'Raw Sales'!I828</x:f>
        <x:v>OFFC-002</x:v>
      </x:c>
      <x:c r="M828" s="84" t="str">
        <x:f>IFERROR(VLOOKUP(L828,'Reference Data'!$A$5:$F$40,2,FALSE),"Unknown Product")</x:f>
        <x:v>Standing Desk</x:v>
      </x:c>
      <x:c r="N828" s="84" t="str">
        <x:f>IFERROR(VLOOKUP(L828,'Reference Data'!$A$5:$F$40,3,FALSE),"Unknown")</x:f>
        <x:v>Office</x:v>
      </x:c>
      <x:c r="O828" s="84" t="str">
        <x:f>IFERROR(VLOOKUP(L828,'Reference Data'!$A$5:$F$40,4,FALSE),"Unknown")</x:f>
        <x:v>Furniture</x:v>
      </x:c>
      <x:c r="P828" s="92" t="n">
        <x:f>IFERROR(VLOOKUP(L828,'Reference Data'!$A$5:$F$40,5,FALSE),0)</x:f>
        <x:v>399</x:v>
      </x:c>
      <x:c r="Q828" s="92" t="n">
        <x:f>IFERROR(VLOOKUP(L828,'Reference Data'!$A$5:$F$40,6,FALSE),0)</x:f>
        <x:v>235</x:v>
      </x:c>
      <x:c r="R828" s="84" t="n">
        <x:f>'Raw Sales'!J828</x:f>
        <x:v>1</x:v>
      </x:c>
      <x:c r="S828" s="87" t="n">
        <x:f>'Raw Sales'!K828</x:f>
        <x:v>0.05</x:v>
      </x:c>
      <x:c r="T828" s="93" t="n">
        <x:f>P828*R828</x:f>
        <x:v>399</x:v>
      </x:c>
      <x:c r="U828" s="93" t="n">
        <x:f>T828*S828</x:f>
        <x:v>19.950000000000003</x:v>
      </x:c>
      <x:c r="V828" s="93" t="str">
        <x:f>PROPER(TRIM('Raw Sales'!L828))</x:f>
        <x:v>Completed</x:v>
      </x:c>
      <x:c r="W828" s="93" t="n">
        <x:f>IF(V828="Returned",0,T828-U828)</x:f>
        <x:v>379.05</x:v>
      </x:c>
      <x:c r="X828" s="93" t="n">
        <x:f>IF(V828="Returned",Q828*R828*10%,Q828*R828)</x:f>
        <x:v>235</x:v>
      </x:c>
      <x:c r="Y828" s="93" t="n">
        <x:f>W828-X828</x:f>
        <x:v>144.05</x:v>
      </x:c>
      <x:c r="Z828" s="94" t="n">
        <x:f>IFERROR(Y828/W828,0)</x:f>
        <x:v>0.38002901991821664</x:v>
      </x:c>
      <x:c r="AA828" s="84" t="str">
        <x:f>PROPER(TRIM('Raw Sales'!M828))</x:f>
        <x:v>Mobile Wallet</x:v>
      </x:c>
      <x:c r="AB828" s="84" t="str">
        <x:f>PROPER(TRIM('Raw Sales'!N828))</x:f>
        <x:v>Sofia Bennett</x:v>
      </x:c>
      <x:c r="AC828" s="85" t="n">
        <x:f>'Raw Sales'!O828</x:f>
        <x:v>45585</x:v>
      </x:c>
      <x:c r="AD828" s="84" t="n">
        <x:f>AC828-B828</x:f>
        <x:v>1</x:v>
      </x:c>
      <x:c r="AE828" s="84" t="str">
        <x:f>IF(COUNTIF($A$5:A828,A828)&gt;1,"Duplicate","Keep")</x:f>
        <x:v>Keep</x:v>
      </x:c>
      <x:c r="AF828" s="84" t="str">
        <x:f>IF(OR(R828&lt;=0,AC828&lt;B828,H828="Unknown",M828="Unknown Product"),"Review","Valid")</x:f>
        <x:v>Valid</x:v>
      </x:c>
      <x:c r="AG828" s="84" t="n">
        <x:f>IF(AND(AE828="Keep",AF828="Valid"),1,0)</x:f>
        <x:v>1</x:v>
      </x:c>
      <x:c r="AH828" s="84" t="n">
        <x:f>IF(AND(AG828=1,OR('Dashboard'!$B$4="All",I828='Dashboard'!$B$4),OR('Dashboard'!$E$4="All",N828='Dashboard'!$E$4),OR('Dashboard'!$H$4="All",K828='Dashboard'!$H$4),OR('Dashboard'!$K$4="All",C828='Dashboard'!$K$4)),1,0)</x:f>
        <x:v>1</x:v>
      </x:c>
      <x:c r="AI828" s="84" t="n">
        <x:f>IF(AND(AG828=1,OR('Dashboard'!$B$4="All",I828='Dashboard'!$B$4),OR('Dashboard'!$E$4="All",N828='Dashboard'!$E$4),OR('Dashboard'!$H$4="All",K828='Dashboard'!$H$4)),1,0)</x:f>
        <x:v>1</x:v>
      </x:c>
    </x:row>
    <x:row r="829">
      <x:c r="A829" s="84" t="str">
        <x:f>'Raw Sales'!A829</x:f>
        <x:v>ORD-2024-00846</x:v>
      </x:c>
      <x:c r="B829" s="85" t="n">
        <x:f>'Raw Sales'!B829</x:f>
        <x:v>45584</x:v>
      </x:c>
      <x:c r="C829" s="84" t="n">
        <x:f>YEAR(B829)</x:f>
        <x:v>2024</x:v>
      </x:c>
      <x:c r="D829" s="91" t="n">
        <x:f>DATE(YEAR(B829),MONTH(B829),1)</x:f>
        <x:v>45566</x:v>
      </x:c>
      <x:c r="E829" s="84" t="str">
        <x:f>TEXT(B829,"mmm")</x:f>
        <x:v>Oct</x:v>
      </x:c>
      <x:c r="F829" s="84" t="str">
        <x:f>'Raw Sales'!C829</x:f>
        <x:v>CUST-0015</x:v>
      </x:c>
      <x:c r="G829" s="84" t="str">
        <x:f>PROPER(TRIM('Raw Sales'!D829))</x:f>
        <x:v>Elena Walker</x:v>
      </x:c>
      <x:c r="H829" s="84" t="str">
        <x:f>IF(TRIM('Raw Sales'!E829)="","Unknown",PROPER(TRIM('Raw Sales'!E829)))</x:f>
        <x:v>Consumer</x:v>
      </x:c>
      <x:c r="I829" s="84" t="str">
        <x:f>PROPER(TRIM('Raw Sales'!F829))</x:f>
        <x:v>West</x:v>
      </x:c>
      <x:c r="J829" s="84" t="str">
        <x:f>PROPER(TRIM('Raw Sales'!G829))</x:f>
        <x:v>Denver</x:v>
      </x:c>
      <x:c r="K829" s="84" t="str">
        <x:f>PROPER(TRIM('Raw Sales'!H829))</x:f>
        <x:v>Marketplace</x:v>
      </x:c>
      <x:c r="L829" s="84" t="str">
        <x:f>'Raw Sales'!I829</x:f>
        <x:v>HOME-006</x:v>
      </x:c>
      <x:c r="M829" s="84" t="str">
        <x:f>IFERROR(VLOOKUP(L829,'Reference Data'!$A$5:$F$40,2,FALSE),"Unknown Product")</x:f>
        <x:v>Food Storage Set</x:v>
      </x:c>
      <x:c r="N829" s="84" t="str">
        <x:f>IFERROR(VLOOKUP(L829,'Reference Data'!$A$5:$F$40,3,FALSE),"Unknown")</x:f>
        <x:v>Home &amp; Kitchen</x:v>
      </x:c>
      <x:c r="O829" s="84" t="str">
        <x:f>IFERROR(VLOOKUP(L829,'Reference Data'!$A$5:$F$40,4,FALSE),"Unknown")</x:f>
        <x:v>Kitchenware</x:v>
      </x:c>
      <x:c r="P829" s="92" t="n">
        <x:f>IFERROR(VLOOKUP(L829,'Reference Data'!$A$5:$F$40,5,FALSE),0)</x:f>
        <x:v>34</x:v>
      </x:c>
      <x:c r="Q829" s="92" t="n">
        <x:f>IFERROR(VLOOKUP(L829,'Reference Data'!$A$5:$F$40,6,FALSE),0)</x:f>
        <x:v>15</x:v>
      </x:c>
      <x:c r="R829" s="84" t="n">
        <x:f>'Raw Sales'!J829</x:f>
        <x:v>3</x:v>
      </x:c>
      <x:c r="S829" s="87" t="n">
        <x:f>'Raw Sales'!K829</x:f>
        <x:v>0</x:v>
      </x:c>
      <x:c r="T829" s="93" t="n">
        <x:f>P829*R829</x:f>
        <x:v>102</x:v>
      </x:c>
      <x:c r="U829" s="93" t="n">
        <x:f>T829*S829</x:f>
        <x:v>0</x:v>
      </x:c>
      <x:c r="V829" s="93" t="str">
        <x:f>PROPER(TRIM('Raw Sales'!L829))</x:f>
        <x:v>Returned</x:v>
      </x:c>
      <x:c r="W829" s="93" t="n">
        <x:f>IF(V829="Returned",0,T829-U829)</x:f>
        <x:v>0</x:v>
      </x:c>
      <x:c r="X829" s="93" t="n">
        <x:f>IF(V829="Returned",Q829*R829*10%,Q829*R829)</x:f>
        <x:v>4.5</x:v>
      </x:c>
      <x:c r="Y829" s="93" t="n">
        <x:f>W829-X829</x:f>
        <x:v>-4.5</x:v>
      </x:c>
      <x:c r="Z829" s="94" t="n">
        <x:f>IFERROR(Y829/W829,0)</x:f>
        <x:v>0</x:v>
      </x:c>
      <x:c r="AA829" s="84" t="str">
        <x:f>PROPER(TRIM('Raw Sales'!M829))</x:f>
        <x:v>Credit Card</x:v>
      </x:c>
      <x:c r="AB829" s="84" t="str">
        <x:f>PROPER(TRIM('Raw Sales'!N829))</x:f>
        <x:v>Nora Kim</x:v>
      </x:c>
      <x:c r="AC829" s="85" t="n">
        <x:f>'Raw Sales'!O829</x:f>
        <x:v>45592</x:v>
      </x:c>
      <x:c r="AD829" s="84" t="n">
        <x:f>AC829-B829</x:f>
        <x:v>8</x:v>
      </x:c>
      <x:c r="AE829" s="84" t="str">
        <x:f>IF(COUNTIF($A$5:A829,A829)&gt;1,"Duplicate","Keep")</x:f>
        <x:v>Keep</x:v>
      </x:c>
      <x:c r="AF829" s="84" t="str">
        <x:f>IF(OR(R829&lt;=0,AC829&lt;B829,H829="Unknown",M829="Unknown Product"),"Review","Valid")</x:f>
        <x:v>Valid</x:v>
      </x:c>
      <x:c r="AG829" s="84" t="n">
        <x:f>IF(AND(AE829="Keep",AF829="Valid"),1,0)</x:f>
        <x:v>1</x:v>
      </x:c>
      <x:c r="AH829" s="84" t="n">
        <x:f>IF(AND(AG829=1,OR('Dashboard'!$B$4="All",I829='Dashboard'!$B$4),OR('Dashboard'!$E$4="All",N829='Dashboard'!$E$4),OR('Dashboard'!$H$4="All",K829='Dashboard'!$H$4),OR('Dashboard'!$K$4="All",C829='Dashboard'!$K$4)),1,0)</x:f>
        <x:v>1</x:v>
      </x:c>
      <x:c r="AI829" s="84" t="n">
        <x:f>IF(AND(AG829=1,OR('Dashboard'!$B$4="All",I829='Dashboard'!$B$4),OR('Dashboard'!$E$4="All",N829='Dashboard'!$E$4),OR('Dashboard'!$H$4="All",K829='Dashboard'!$H$4)),1,0)</x:f>
        <x:v>1</x:v>
      </x:c>
    </x:row>
    <x:row r="830">
      <x:c r="A830" s="84" t="str">
        <x:f>'Raw Sales'!A830</x:f>
        <x:v>ORD-2024-01653</x:v>
      </x:c>
      <x:c r="B830" s="85" t="n">
        <x:f>'Raw Sales'!B830</x:f>
        <x:v>45584</x:v>
      </x:c>
      <x:c r="C830" s="84" t="n">
        <x:f>YEAR(B830)</x:f>
        <x:v>2024</x:v>
      </x:c>
      <x:c r="D830" s="91" t="n">
        <x:f>DATE(YEAR(B830),MONTH(B830),1)</x:f>
        <x:v>45566</x:v>
      </x:c>
      <x:c r="E830" s="84" t="str">
        <x:f>TEXT(B830,"mmm")</x:f>
        <x:v>Oct</x:v>
      </x:c>
      <x:c r="F830" s="84" t="str">
        <x:f>'Raw Sales'!C830</x:f>
        <x:v>CUST-0501</x:v>
      </x:c>
      <x:c r="G830" s="84" t="str">
        <x:f>PROPER(TRIM('Raw Sales'!D830))</x:f>
        <x:v>Priya Garcia</x:v>
      </x:c>
      <x:c r="H830" s="84" t="str">
        <x:f>IF(TRIM('Raw Sales'!E830)="","Unknown",PROPER(TRIM('Raw Sales'!E830)))</x:f>
        <x:v>Consumer</x:v>
      </x:c>
      <x:c r="I830" s="84" t="str">
        <x:f>PROPER(TRIM('Raw Sales'!F830))</x:f>
        <x:v>Northeast</x:v>
      </x:c>
      <x:c r="J830" s="84" t="str">
        <x:f>PROPER(TRIM('Raw Sales'!G830))</x:f>
        <x:v>Boston</x:v>
      </x:c>
      <x:c r="K830" s="84" t="str">
        <x:f>PROPER(TRIM('Raw Sales'!H830))</x:f>
        <x:v>Online</x:v>
      </x:c>
      <x:c r="L830" s="84" t="str">
        <x:f>'Raw Sales'!I830</x:f>
        <x:v>CARE-005</x:v>
      </x:c>
      <x:c r="M830" s="84" t="str">
        <x:f>IFERROR(VLOOKUP(L830,'Reference Data'!$A$5:$F$40,2,FALSE),"Unknown Product")</x:f>
        <x:v>Skin Care Starter Kit</x:v>
      </x:c>
      <x:c r="N830" s="84" t="str">
        <x:f>IFERROR(VLOOKUP(L830,'Reference Data'!$A$5:$F$40,3,FALSE),"Unknown")</x:f>
        <x:v>Personal Care</x:v>
      </x:c>
      <x:c r="O830" s="84" t="str">
        <x:f>IFERROR(VLOOKUP(L830,'Reference Data'!$A$5:$F$40,4,FALSE),"Unknown")</x:f>
        <x:v>Skin Care</x:v>
      </x:c>
      <x:c r="P830" s="92" t="n">
        <x:f>IFERROR(VLOOKUP(L830,'Reference Data'!$A$5:$F$40,5,FALSE),0)</x:f>
        <x:v>58</x:v>
      </x:c>
      <x:c r="Q830" s="92" t="n">
        <x:f>IFERROR(VLOOKUP(L830,'Reference Data'!$A$5:$F$40,6,FALSE),0)</x:f>
        <x:v>24</x:v>
      </x:c>
      <x:c r="R830" s="84" t="n">
        <x:f>'Raw Sales'!J830</x:f>
        <x:v>2</x:v>
      </x:c>
      <x:c r="S830" s="87" t="n">
        <x:f>'Raw Sales'!K830</x:f>
        <x:v>0.05</x:v>
      </x:c>
      <x:c r="T830" s="93" t="n">
        <x:f>P830*R830</x:f>
        <x:v>116</x:v>
      </x:c>
      <x:c r="U830" s="93" t="n">
        <x:f>T830*S830</x:f>
        <x:v>5.800000000000001</x:v>
      </x:c>
      <x:c r="V830" s="93" t="str">
        <x:f>PROPER(TRIM('Raw Sales'!L830))</x:f>
        <x:v>Completed</x:v>
      </x:c>
      <x:c r="W830" s="93" t="n">
        <x:f>IF(V830="Returned",0,T830-U830)</x:f>
        <x:v>110.2</x:v>
      </x:c>
      <x:c r="X830" s="93" t="n">
        <x:f>IF(V830="Returned",Q830*R830*10%,Q830*R830)</x:f>
        <x:v>48</x:v>
      </x:c>
      <x:c r="Y830" s="93" t="n">
        <x:f>W830-X830</x:f>
        <x:v>62.2</x:v>
      </x:c>
      <x:c r="Z830" s="94" t="n">
        <x:f>IFERROR(Y830/W830,0)</x:f>
        <x:v>0.5644283121597097</x:v>
      </x:c>
      <x:c r="AA830" s="84" t="str">
        <x:f>PROPER(TRIM('Raw Sales'!M830))</x:f>
        <x:v>Paypal</x:v>
      </x:c>
      <x:c r="AB830" s="84" t="str">
        <x:f>PROPER(TRIM('Raw Sales'!N830))</x:f>
        <x:v>Maya Brooks</x:v>
      </x:c>
      <x:c r="AC830" s="85" t="n">
        <x:f>'Raw Sales'!O830</x:f>
        <x:v>45586</x:v>
      </x:c>
      <x:c r="AD830" s="84" t="n">
        <x:f>AC830-B830</x:f>
        <x:v>2</x:v>
      </x:c>
      <x:c r="AE830" s="84" t="str">
        <x:f>IF(COUNTIF($A$5:A830,A830)&gt;1,"Duplicate","Keep")</x:f>
        <x:v>Keep</x:v>
      </x:c>
      <x:c r="AF830" s="84" t="str">
        <x:f>IF(OR(R830&lt;=0,AC830&lt;B830,H830="Unknown",M830="Unknown Product"),"Review","Valid")</x:f>
        <x:v>Valid</x:v>
      </x:c>
      <x:c r="AG830" s="84" t="n">
        <x:f>IF(AND(AE830="Keep",AF830="Valid"),1,0)</x:f>
        <x:v>1</x:v>
      </x:c>
      <x:c r="AH830" s="84" t="n">
        <x:f>IF(AND(AG830=1,OR('Dashboard'!$B$4="All",I830='Dashboard'!$B$4),OR('Dashboard'!$E$4="All",N830='Dashboard'!$E$4),OR('Dashboard'!$H$4="All",K830='Dashboard'!$H$4),OR('Dashboard'!$K$4="All",C830='Dashboard'!$K$4)),1,0)</x:f>
        <x:v>1</x:v>
      </x:c>
      <x:c r="AI830" s="84" t="n">
        <x:f>IF(AND(AG830=1,OR('Dashboard'!$B$4="All",I830='Dashboard'!$B$4),OR('Dashboard'!$E$4="All",N830='Dashboard'!$E$4),OR('Dashboard'!$H$4="All",K830='Dashboard'!$H$4)),1,0)</x:f>
        <x:v>1</x:v>
      </x:c>
    </x:row>
    <x:row r="831">
      <x:c r="A831" s="84" t="str">
        <x:f>'Raw Sales'!A831</x:f>
        <x:v>ORD-2024-02285</x:v>
      </x:c>
      <x:c r="B831" s="85" t="n">
        <x:f>'Raw Sales'!B831</x:f>
        <x:v>45584</x:v>
      </x:c>
      <x:c r="C831" s="84" t="n">
        <x:f>YEAR(B831)</x:f>
        <x:v>2024</x:v>
      </x:c>
      <x:c r="D831" s="91" t="n">
        <x:f>DATE(YEAR(B831),MONTH(B831),1)</x:f>
        <x:v>45566</x:v>
      </x:c>
      <x:c r="E831" s="84" t="str">
        <x:f>TEXT(B831,"mmm")</x:f>
        <x:v>Oct</x:v>
      </x:c>
      <x:c r="F831" s="84" t="str">
        <x:f>'Raw Sales'!C831</x:f>
        <x:v>CUST-0259</x:v>
      </x:c>
      <x:c r="G831" s="84" t="str">
        <x:f>PROPER(TRIM('Raw Sales'!D831))</x:f>
        <x:v>Caleb Foster</x:v>
      </x:c>
      <x:c r="H831" s="84" t="str">
        <x:f>IF(TRIM('Raw Sales'!E831)="","Unknown",PROPER(TRIM('Raw Sales'!E831)))</x:f>
        <x:v>Consumer</x:v>
      </x:c>
      <x:c r="I831" s="84" t="str">
        <x:f>PROPER(TRIM('Raw Sales'!F831))</x:f>
        <x:v>Northeast</x:v>
      </x:c>
      <x:c r="J831" s="84" t="str">
        <x:f>PROPER(TRIM('Raw Sales'!G831))</x:f>
        <x:v>New York</x:v>
      </x:c>
      <x:c r="K831" s="84" t="str">
        <x:f>PROPER(TRIM('Raw Sales'!H831))</x:f>
        <x:v>Retail Store</x:v>
      </x:c>
      <x:c r="L831" s="84" t="str">
        <x:f>'Raw Sales'!I831</x:f>
        <x:v>ELEC-002</x:v>
      </x:c>
      <x:c r="M831" s="84" t="str">
        <x:f>IFERROR(VLOOKUP(L831,'Reference Data'!$A$5:$F$40,2,FALSE),"Unknown Product")</x:f>
        <x:v>Smartwatch</x:v>
      </x:c>
      <x:c r="N831" s="84" t="str">
        <x:f>IFERROR(VLOOKUP(L831,'Reference Data'!$A$5:$F$40,3,FALSE),"Unknown")</x:f>
        <x:v>Electronics</x:v>
      </x:c>
      <x:c r="O831" s="84" t="str">
        <x:f>IFERROR(VLOOKUP(L831,'Reference Data'!$A$5:$F$40,4,FALSE),"Unknown")</x:f>
        <x:v>Wearables</x:v>
      </x:c>
      <x:c r="P831" s="92" t="n">
        <x:f>IFERROR(VLOOKUP(L831,'Reference Data'!$A$5:$F$40,5,FALSE),0)</x:f>
        <x:v>159</x:v>
      </x:c>
      <x:c r="Q831" s="92" t="n">
        <x:f>IFERROR(VLOOKUP(L831,'Reference Data'!$A$5:$F$40,6,FALSE),0)</x:f>
        <x:v>92</x:v>
      </x:c>
      <x:c r="R831" s="84" t="n">
        <x:f>'Raw Sales'!J831</x:f>
        <x:v>1</x:v>
      </x:c>
      <x:c r="S831" s="87" t="n">
        <x:f>'Raw Sales'!K831</x:f>
        <x:v>0</x:v>
      </x:c>
      <x:c r="T831" s="93" t="n">
        <x:f>P831*R831</x:f>
        <x:v>159</x:v>
      </x:c>
      <x:c r="U831" s="93" t="n">
        <x:f>T831*S831</x:f>
        <x:v>0</x:v>
      </x:c>
      <x:c r="V831" s="93" t="str">
        <x:f>PROPER(TRIM('Raw Sales'!L831))</x:f>
        <x:v>Completed</x:v>
      </x:c>
      <x:c r="W831" s="93" t="n">
        <x:f>IF(V831="Returned",0,T831-U831)</x:f>
        <x:v>159</x:v>
      </x:c>
      <x:c r="X831" s="93" t="n">
        <x:f>IF(V831="Returned",Q831*R831*10%,Q831*R831)</x:f>
        <x:v>92</x:v>
      </x:c>
      <x:c r="Y831" s="93" t="n">
        <x:f>W831-X831</x:f>
        <x:v>67</x:v>
      </x:c>
      <x:c r="Z831" s="94" t="n">
        <x:f>IFERROR(Y831/W831,0)</x:f>
        <x:v>0.42138364779874216</x:v>
      </x:c>
      <x:c r="AA831" s="84" t="str">
        <x:f>PROPER(TRIM('Raw Sales'!M831))</x:f>
        <x:v>Credit Card</x:v>
      </x:c>
      <x:c r="AB831" s="84" t="str">
        <x:f>PROPER(TRIM('Raw Sales'!N831))</x:f>
        <x:v>Sofia Bennett</x:v>
      </x:c>
      <x:c r="AC831" s="85" t="n">
        <x:f>'Raw Sales'!O831</x:f>
        <x:v>45584</x:v>
      </x:c>
      <x:c r="AD831" s="84" t="n">
        <x:f>AC831-B831</x:f>
        <x:v>0</x:v>
      </x:c>
      <x:c r="AE831" s="84" t="str">
        <x:f>IF(COUNTIF($A$5:A831,A831)&gt;1,"Duplicate","Keep")</x:f>
        <x:v>Keep</x:v>
      </x:c>
      <x:c r="AF831" s="84" t="str">
        <x:f>IF(OR(R831&lt;=0,AC831&lt;B831,H831="Unknown",M831="Unknown Product"),"Review","Valid")</x:f>
        <x:v>Valid</x:v>
      </x:c>
      <x:c r="AG831" s="84" t="n">
        <x:f>IF(AND(AE831="Keep",AF831="Valid"),1,0)</x:f>
        <x:v>1</x:v>
      </x:c>
      <x:c r="AH831" s="84" t="n">
        <x:f>IF(AND(AG831=1,OR('Dashboard'!$B$4="All",I831='Dashboard'!$B$4),OR('Dashboard'!$E$4="All",N831='Dashboard'!$E$4),OR('Dashboard'!$H$4="All",K831='Dashboard'!$H$4),OR('Dashboard'!$K$4="All",C831='Dashboard'!$K$4)),1,0)</x:f>
        <x:v>1</x:v>
      </x:c>
      <x:c r="AI831" s="84" t="n">
        <x:f>IF(AND(AG831=1,OR('Dashboard'!$B$4="All",I831='Dashboard'!$B$4),OR('Dashboard'!$E$4="All",N831='Dashboard'!$E$4),OR('Dashboard'!$H$4="All",K831='Dashboard'!$H$4)),1,0)</x:f>
        <x:v>1</x:v>
      </x:c>
    </x:row>
    <x:row r="832">
      <x:c r="A832" s="84" t="str">
        <x:f>'Raw Sales'!A832</x:f>
        <x:v>ORD-2024-00135</x:v>
      </x:c>
      <x:c r="B832" s="85" t="n">
        <x:f>'Raw Sales'!B832</x:f>
        <x:v>45587</x:v>
      </x:c>
      <x:c r="C832" s="84" t="n">
        <x:f>YEAR(B832)</x:f>
        <x:v>2024</x:v>
      </x:c>
      <x:c r="D832" s="91" t="n">
        <x:f>DATE(YEAR(B832),MONTH(B832),1)</x:f>
        <x:v>45566</x:v>
      </x:c>
      <x:c r="E832" s="84" t="str">
        <x:f>TEXT(B832,"mmm")</x:f>
        <x:v>Oct</x:v>
      </x:c>
      <x:c r="F832" s="84" t="str">
        <x:f>'Raw Sales'!C832</x:f>
        <x:v>CUST-0353</x:v>
      </x:c>
      <x:c r="G832" s="84" t="str">
        <x:f>PROPER(TRIM('Raw Sales'!D832))</x:f>
        <x:v>Elias Hall</x:v>
      </x:c>
      <x:c r="H832" s="84" t="str">
        <x:f>IF(TRIM('Raw Sales'!E832)="","Unknown",PROPER(TRIM('Raw Sales'!E832)))</x:f>
        <x:v>Consumer</x:v>
      </x:c>
      <x:c r="I832" s="84" t="str">
        <x:f>PROPER(TRIM('Raw Sales'!F832))</x:f>
        <x:v>Northeast</x:v>
      </x:c>
      <x:c r="J832" s="84" t="str">
        <x:f>PROPER(TRIM('Raw Sales'!G832))</x:f>
        <x:v>New York</x:v>
      </x:c>
      <x:c r="K832" s="84" t="str">
        <x:f>PROPER(TRIM('Raw Sales'!H832))</x:f>
        <x:v>Retail Store</x:v>
      </x:c>
      <x:c r="L832" s="84" t="str">
        <x:f>'Raw Sales'!I832</x:f>
        <x:v>HOME-003</x:v>
      </x:c>
      <x:c r="M832" s="84" t="str">
        <x:f>IFERROR(VLOOKUP(L832,'Reference Data'!$A$5:$F$40,2,FALSE),"Unknown Product")</x:f>
        <x:v>Countertop Blender</x:v>
      </x:c>
      <x:c r="N832" s="84" t="str">
        <x:f>IFERROR(VLOOKUP(L832,'Reference Data'!$A$5:$F$40,3,FALSE),"Unknown")</x:f>
        <x:v>Home &amp; Kitchen</x:v>
      </x:c>
      <x:c r="O832" s="84" t="str">
        <x:f>IFERROR(VLOOKUP(L832,'Reference Data'!$A$5:$F$40,4,FALSE),"Unknown")</x:f>
        <x:v>Small Appliances</x:v>
      </x:c>
      <x:c r="P832" s="92" t="n">
        <x:f>IFERROR(VLOOKUP(L832,'Reference Data'!$A$5:$F$40,5,FALSE),0)</x:f>
        <x:v>89</x:v>
      </x:c>
      <x:c r="Q832" s="92" t="n">
        <x:f>IFERROR(VLOOKUP(L832,'Reference Data'!$A$5:$F$40,6,FALSE),0)</x:f>
        <x:v>46</x:v>
      </x:c>
      <x:c r="R832" s="84" t="n">
        <x:f>'Raw Sales'!J832</x:f>
        <x:v>1</x:v>
      </x:c>
      <x:c r="S832" s="87" t="n">
        <x:f>'Raw Sales'!K832</x:f>
        <x:v>0.1</x:v>
      </x:c>
      <x:c r="T832" s="93" t="n">
        <x:f>P832*R832</x:f>
        <x:v>89</x:v>
      </x:c>
      <x:c r="U832" s="93" t="n">
        <x:f>T832*S832</x:f>
        <x:v>8.9</x:v>
      </x:c>
      <x:c r="V832" s="93" t="str">
        <x:f>PROPER(TRIM('Raw Sales'!L832))</x:f>
        <x:v>Completed</x:v>
      </x:c>
      <x:c r="W832" s="93" t="n">
        <x:f>IF(V832="Returned",0,T832-U832)</x:f>
        <x:v>80.1</x:v>
      </x:c>
      <x:c r="X832" s="93" t="n">
        <x:f>IF(V832="Returned",Q832*R832*10%,Q832*R832)</x:f>
        <x:v>46</x:v>
      </x:c>
      <x:c r="Y832" s="93" t="n">
        <x:f>W832-X832</x:f>
        <x:v>34.099999999999994</x:v>
      </x:c>
      <x:c r="Z832" s="94" t="n">
        <x:f>IFERROR(Y832/W832,0)</x:f>
        <x:v>0.4257178526841448</x:v>
      </x:c>
      <x:c r="AA832" s="84" t="str">
        <x:f>PROPER(TRIM('Raw Sales'!M832))</x:f>
        <x:v>Debit Card</x:v>
      </x:c>
      <x:c r="AB832" s="84" t="str">
        <x:f>PROPER(TRIM('Raw Sales'!N832))</x:f>
        <x:v>Maya Brooks</x:v>
      </x:c>
      <x:c r="AC832" s="85" t="n">
        <x:f>'Raw Sales'!O832</x:f>
        <x:v>45587</x:v>
      </x:c>
      <x:c r="AD832" s="84" t="n">
        <x:f>AC832-B832</x:f>
        <x:v>0</x:v>
      </x:c>
      <x:c r="AE832" s="84" t="str">
        <x:f>IF(COUNTIF($A$5:A832,A832)&gt;1,"Duplicate","Keep")</x:f>
        <x:v>Keep</x:v>
      </x:c>
      <x:c r="AF832" s="84" t="str">
        <x:f>IF(OR(R832&lt;=0,AC832&lt;B832,H832="Unknown",M832="Unknown Product"),"Review","Valid")</x:f>
        <x:v>Valid</x:v>
      </x:c>
      <x:c r="AG832" s="84" t="n">
        <x:f>IF(AND(AE832="Keep",AF832="Valid"),1,0)</x:f>
        <x:v>1</x:v>
      </x:c>
      <x:c r="AH832" s="84" t="n">
        <x:f>IF(AND(AG832=1,OR('Dashboard'!$B$4="All",I832='Dashboard'!$B$4),OR('Dashboard'!$E$4="All",N832='Dashboard'!$E$4),OR('Dashboard'!$H$4="All",K832='Dashboard'!$H$4),OR('Dashboard'!$K$4="All",C832='Dashboard'!$K$4)),1,0)</x:f>
        <x:v>1</x:v>
      </x:c>
      <x:c r="AI832" s="84" t="n">
        <x:f>IF(AND(AG832=1,OR('Dashboard'!$B$4="All",I832='Dashboard'!$B$4),OR('Dashboard'!$E$4="All",N832='Dashboard'!$E$4),OR('Dashboard'!$H$4="All",K832='Dashboard'!$H$4)),1,0)</x:f>
        <x:v>1</x:v>
      </x:c>
    </x:row>
    <x:row r="833">
      <x:c r="A833" s="84" t="str">
        <x:f>'Raw Sales'!A833</x:f>
        <x:v>ORD-2024-00573</x:v>
      </x:c>
      <x:c r="B833" s="85" t="n">
        <x:f>'Raw Sales'!B833</x:f>
        <x:v>45587</x:v>
      </x:c>
      <x:c r="C833" s="84" t="n">
        <x:f>YEAR(B833)</x:f>
        <x:v>2024</x:v>
      </x:c>
      <x:c r="D833" s="91" t="n">
        <x:f>DATE(YEAR(B833),MONTH(B833),1)</x:f>
        <x:v>45566</x:v>
      </x:c>
      <x:c r="E833" s="84" t="str">
        <x:f>TEXT(B833,"mmm")</x:f>
        <x:v>Oct</x:v>
      </x:c>
      <x:c r="F833" s="84" t="str">
        <x:f>'Raw Sales'!C833</x:f>
        <x:v>CUST-0599</x:v>
      </x:c>
      <x:c r="G833" s="84" t="str">
        <x:f>PROPER(TRIM('Raw Sales'!D833))</x:f>
        <x:v>Caleb Adams</x:v>
      </x:c>
      <x:c r="H833" s="84" t="str">
        <x:f>IF(TRIM('Raw Sales'!E833)="","Unknown",PROPER(TRIM('Raw Sales'!E833)))</x:f>
        <x:v>Consumer</x:v>
      </x:c>
      <x:c r="I833" s="84" t="str">
        <x:f>PROPER(TRIM('Raw Sales'!F833))</x:f>
        <x:v>West</x:v>
      </x:c>
      <x:c r="J833" s="84" t="str">
        <x:f>PROPER(TRIM('Raw Sales'!G833))</x:f>
        <x:v>Phoenix</x:v>
      </x:c>
      <x:c r="K833" s="84" t="str">
        <x:f>PROPER(TRIM('Raw Sales'!H833))</x:f>
        <x:v>Retail Store</x:v>
      </x:c>
      <x:c r="L833" s="84" t="str">
        <x:f>'Raw Sales'!I833</x:f>
        <x:v>HOME-002</x:v>
      </x:c>
      <x:c r="M833" s="84" t="str">
        <x:f>IFERROR(VLOOKUP(L833,'Reference Data'!$A$5:$F$40,2,FALSE),"Unknown Product")</x:f>
        <x:v>Electric Kettle</x:v>
      </x:c>
      <x:c r="N833" s="84" t="str">
        <x:f>IFERROR(VLOOKUP(L833,'Reference Data'!$A$5:$F$40,3,FALSE),"Unknown")</x:f>
        <x:v>Home &amp; Kitchen</x:v>
      </x:c>
      <x:c r="O833" s="84" t="str">
        <x:f>IFERROR(VLOOKUP(L833,'Reference Data'!$A$5:$F$40,4,FALSE),"Unknown")</x:f>
        <x:v>Small Appliances</x:v>
      </x:c>
      <x:c r="P833" s="92" t="n">
        <x:f>IFERROR(VLOOKUP(L833,'Reference Data'!$A$5:$F$40,5,FALSE),0)</x:f>
        <x:v>49</x:v>
      </x:c>
      <x:c r="Q833" s="92" t="n">
        <x:f>IFERROR(VLOOKUP(L833,'Reference Data'!$A$5:$F$40,6,FALSE),0)</x:f>
        <x:v>23</x:v>
      </x:c>
      <x:c r="R833" s="84" t="n">
        <x:f>'Raw Sales'!J833</x:f>
        <x:v>3</x:v>
      </x:c>
      <x:c r="S833" s="87" t="n">
        <x:f>'Raw Sales'!K833</x:f>
        <x:v>0.1</x:v>
      </x:c>
      <x:c r="T833" s="93" t="n">
        <x:f>P833*R833</x:f>
        <x:v>147</x:v>
      </x:c>
      <x:c r="U833" s="93" t="n">
        <x:f>T833*S833</x:f>
        <x:v>14.700000000000001</x:v>
      </x:c>
      <x:c r="V833" s="93" t="str">
        <x:f>PROPER(TRIM('Raw Sales'!L833))</x:f>
        <x:v>Completed</x:v>
      </x:c>
      <x:c r="W833" s="93" t="n">
        <x:f>IF(V833="Returned",0,T833-U833)</x:f>
        <x:v>132.3</x:v>
      </x:c>
      <x:c r="X833" s="93" t="n">
        <x:f>IF(V833="Returned",Q833*R833*10%,Q833*R833)</x:f>
        <x:v>69</x:v>
      </x:c>
      <x:c r="Y833" s="93" t="n">
        <x:f>W833-X833</x:f>
        <x:v>63.30000000000001</x:v>
      </x:c>
      <x:c r="Z833" s="94" t="n">
        <x:f>IFERROR(Y833/W833,0)</x:f>
        <x:v>0.4784580498866214</x:v>
      </x:c>
      <x:c r="AA833" s="84" t="str">
        <x:f>PROPER(TRIM('Raw Sales'!M833))</x:f>
        <x:v>Mobile Wallet</x:v>
      </x:c>
      <x:c r="AB833" s="84" t="str">
        <x:f>PROPER(TRIM('Raw Sales'!N833))</x:f>
        <x:v>Leo Martinez</x:v>
      </x:c>
      <x:c r="AC833" s="85" t="n">
        <x:f>'Raw Sales'!O833</x:f>
        <x:v>45587</x:v>
      </x:c>
      <x:c r="AD833" s="84" t="n">
        <x:f>AC833-B833</x:f>
        <x:v>0</x:v>
      </x:c>
      <x:c r="AE833" s="84" t="str">
        <x:f>IF(COUNTIF($A$5:A833,A833)&gt;1,"Duplicate","Keep")</x:f>
        <x:v>Keep</x:v>
      </x:c>
      <x:c r="AF833" s="84" t="str">
        <x:f>IF(OR(R833&lt;=0,AC833&lt;B833,H833="Unknown",M833="Unknown Product"),"Review","Valid")</x:f>
        <x:v>Valid</x:v>
      </x:c>
      <x:c r="AG833" s="84" t="n">
        <x:f>IF(AND(AE833="Keep",AF833="Valid"),1,0)</x:f>
        <x:v>1</x:v>
      </x:c>
      <x:c r="AH833" s="84" t="n">
        <x:f>IF(AND(AG833=1,OR('Dashboard'!$B$4="All",I833='Dashboard'!$B$4),OR('Dashboard'!$E$4="All",N833='Dashboard'!$E$4),OR('Dashboard'!$H$4="All",K833='Dashboard'!$H$4),OR('Dashboard'!$K$4="All",C833='Dashboard'!$K$4)),1,0)</x:f>
        <x:v>1</x:v>
      </x:c>
      <x:c r="AI833" s="84" t="n">
        <x:f>IF(AND(AG833=1,OR('Dashboard'!$B$4="All",I833='Dashboard'!$B$4),OR('Dashboard'!$E$4="All",N833='Dashboard'!$E$4),OR('Dashboard'!$H$4="All",K833='Dashboard'!$H$4)),1,0)</x:f>
        <x:v>1</x:v>
      </x:c>
    </x:row>
    <x:row r="834">
      <x:c r="A834" s="84" t="str">
        <x:f>'Raw Sales'!A834</x:f>
        <x:v>ORD-2024-01176</x:v>
      </x:c>
      <x:c r="B834" s="85" t="n">
        <x:f>'Raw Sales'!B834</x:f>
        <x:v>45587</x:v>
      </x:c>
      <x:c r="C834" s="84" t="n">
        <x:f>YEAR(B834)</x:f>
        <x:v>2024</x:v>
      </x:c>
      <x:c r="D834" s="91" t="n">
        <x:f>DATE(YEAR(B834),MONTH(B834),1)</x:f>
        <x:v>45566</x:v>
      </x:c>
      <x:c r="E834" s="84" t="str">
        <x:f>TEXT(B834,"mmm")</x:f>
        <x:v>Oct</x:v>
      </x:c>
      <x:c r="F834" s="84" t="str">
        <x:f>'Raw Sales'!C834</x:f>
        <x:v>CUST-0561</x:v>
      </x:c>
      <x:c r="G834" s="84" t="str">
        <x:f>PROPER(TRIM('Raw Sales'!D834))</x:f>
        <x:v>Marcus Johnson</x:v>
      </x:c>
      <x:c r="H834" s="84" t="str">
        <x:f>IF(TRIM('Raw Sales'!E834)="","Unknown",PROPER(TRIM('Raw Sales'!E834)))</x:f>
        <x:v>Consumer</x:v>
      </x:c>
      <x:c r="I834" s="84" t="str">
        <x:f>PROPER(TRIM('Raw Sales'!F834))</x:f>
        <x:v>Southeast</x:v>
      </x:c>
      <x:c r="J834" s="84" t="str">
        <x:f>PROPER(TRIM('Raw Sales'!G834))</x:f>
        <x:v>Nashville</x:v>
      </x:c>
      <x:c r="K834" s="84" t="str">
        <x:f>PROPER(TRIM('Raw Sales'!H834))</x:f>
        <x:v>Retail Store</x:v>
      </x:c>
      <x:c r="L834" s="84" t="str">
        <x:f>'Raw Sales'!I834</x:f>
        <x:v>ELEC-001</x:v>
      </x:c>
      <x:c r="M834" s="84" t="str">
        <x:f>IFERROR(VLOOKUP(L834,'Reference Data'!$A$5:$F$40,2,FALSE),"Unknown Product")</x:f>
        <x:v>Wireless Earbuds</x:v>
      </x:c>
      <x:c r="N834" s="84" t="str">
        <x:f>IFERROR(VLOOKUP(L834,'Reference Data'!$A$5:$F$40,3,FALSE),"Unknown")</x:f>
        <x:v>Electronics</x:v>
      </x:c>
      <x:c r="O834" s="84" t="str">
        <x:f>IFERROR(VLOOKUP(L834,'Reference Data'!$A$5:$F$40,4,FALSE),"Unknown")</x:f>
        <x:v>Audio</x:v>
      </x:c>
      <x:c r="P834" s="92" t="n">
        <x:f>IFERROR(VLOOKUP(L834,'Reference Data'!$A$5:$F$40,5,FALSE),0)</x:f>
        <x:v>69</x:v>
      </x:c>
      <x:c r="Q834" s="92" t="n">
        <x:f>IFERROR(VLOOKUP(L834,'Reference Data'!$A$5:$F$40,6,FALSE),0)</x:f>
        <x:v>36</x:v>
      </x:c>
      <x:c r="R834" s="84" t="n">
        <x:f>'Raw Sales'!J834</x:f>
        <x:v>1</x:v>
      </x:c>
      <x:c r="S834" s="87" t="n">
        <x:f>'Raw Sales'!K834</x:f>
        <x:v>0.15</x:v>
      </x:c>
      <x:c r="T834" s="93" t="n">
        <x:f>P834*R834</x:f>
        <x:v>69</x:v>
      </x:c>
      <x:c r="U834" s="93" t="n">
        <x:f>T834*S834</x:f>
        <x:v>10.35</x:v>
      </x:c>
      <x:c r="V834" s="93" t="str">
        <x:f>PROPER(TRIM('Raw Sales'!L834))</x:f>
        <x:v>Completed</x:v>
      </x:c>
      <x:c r="W834" s="93" t="n">
        <x:f>IF(V834="Returned",0,T834-U834)</x:f>
        <x:v>58.65</x:v>
      </x:c>
      <x:c r="X834" s="93" t="n">
        <x:f>IF(V834="Returned",Q834*R834*10%,Q834*R834)</x:f>
        <x:v>36</x:v>
      </x:c>
      <x:c r="Y834" s="93" t="n">
        <x:f>W834-X834</x:f>
        <x:v>22.65</x:v>
      </x:c>
      <x:c r="Z834" s="94" t="n">
        <x:f>IFERROR(Y834/W834,0)</x:f>
        <x:v>0.38618925831202044</x:v>
      </x:c>
      <x:c r="AA834" s="84" t="str">
        <x:f>PROPER(TRIM('Raw Sales'!M834))</x:f>
        <x:v>Debit Card</x:v>
      </x:c>
      <x:c r="AB834" s="84" t="str">
        <x:f>PROPER(TRIM('Raw Sales'!N834))</x:f>
        <x:v>Ava Mitchell</x:v>
      </x:c>
      <x:c r="AC834" s="85" t="n">
        <x:f>'Raw Sales'!O834</x:f>
        <x:v>45587</x:v>
      </x:c>
      <x:c r="AD834" s="84" t="n">
        <x:f>AC834-B834</x:f>
        <x:v>0</x:v>
      </x:c>
      <x:c r="AE834" s="84" t="str">
        <x:f>IF(COUNTIF($A$5:A834,A834)&gt;1,"Duplicate","Keep")</x:f>
        <x:v>Keep</x:v>
      </x:c>
      <x:c r="AF834" s="84" t="str">
        <x:f>IF(OR(R834&lt;=0,AC834&lt;B834,H834="Unknown",M834="Unknown Product"),"Review","Valid")</x:f>
        <x:v>Valid</x:v>
      </x:c>
      <x:c r="AG834" s="84" t="n">
        <x:f>IF(AND(AE834="Keep",AF834="Valid"),1,0)</x:f>
        <x:v>1</x:v>
      </x:c>
      <x:c r="AH834" s="84" t="n">
        <x:f>IF(AND(AG834=1,OR('Dashboard'!$B$4="All",I834='Dashboard'!$B$4),OR('Dashboard'!$E$4="All",N834='Dashboard'!$E$4),OR('Dashboard'!$H$4="All",K834='Dashboard'!$H$4),OR('Dashboard'!$K$4="All",C834='Dashboard'!$K$4)),1,0)</x:f>
        <x:v>1</x:v>
      </x:c>
      <x:c r="AI834" s="84" t="n">
        <x:f>IF(AND(AG834=1,OR('Dashboard'!$B$4="All",I834='Dashboard'!$B$4),OR('Dashboard'!$E$4="All",N834='Dashboard'!$E$4),OR('Dashboard'!$H$4="All",K834='Dashboard'!$H$4)),1,0)</x:f>
        <x:v>1</x:v>
      </x:c>
    </x:row>
    <x:row r="835">
      <x:c r="A835" s="84" t="str">
        <x:f>'Raw Sales'!A835</x:f>
        <x:v>ORD-2024-01279</x:v>
      </x:c>
      <x:c r="B835" s="85" t="n">
        <x:f>'Raw Sales'!B835</x:f>
        <x:v>45587</x:v>
      </x:c>
      <x:c r="C835" s="84" t="n">
        <x:f>YEAR(B835)</x:f>
        <x:v>2024</x:v>
      </x:c>
      <x:c r="D835" s="91" t="n">
        <x:f>DATE(YEAR(B835),MONTH(B835),1)</x:f>
        <x:v>45566</x:v>
      </x:c>
      <x:c r="E835" s="84" t="str">
        <x:f>TEXT(B835,"mmm")</x:f>
        <x:v>Oct</x:v>
      </x:c>
      <x:c r="F835" s="84" t="str">
        <x:f>'Raw Sales'!C835</x:f>
        <x:v>CUST-0130</x:v>
      </x:c>
      <x:c r="G835" s="84" t="str">
        <x:f>PROPER(TRIM('Raw Sales'!D835))</x:f>
        <x:v>Maya Lewis</x:v>
      </x:c>
      <x:c r="H835" s="84" t="str">
        <x:f>IF(TRIM('Raw Sales'!E835)="","Unknown",PROPER(TRIM('Raw Sales'!E835)))</x:f>
        <x:v>Consumer</x:v>
      </x:c>
      <x:c r="I835" s="84" t="str">
        <x:f>PROPER(TRIM('Raw Sales'!F835))</x:f>
        <x:v>Southeast</x:v>
      </x:c>
      <x:c r="J835" s="84" t="str">
        <x:f>PROPER(TRIM('Raw Sales'!G835))</x:f>
        <x:v>Nashville</x:v>
      </x:c>
      <x:c r="K835" s="84" t="str">
        <x:f>PROPER(TRIM('Raw Sales'!H835))</x:f>
        <x:v>Online</x:v>
      </x:c>
      <x:c r="L835" s="84" t="str">
        <x:f>'Raw Sales'!I835</x:f>
        <x:v>ELEC-005</x:v>
      </x:c>
      <x:c r="M835" s="84" t="str">
        <x:f>IFERROR(VLOOKUP(L835,'Reference Data'!$A$5:$F$40,2,FALSE),"Unknown Product")</x:f>
        <x:v>HD Webcam</x:v>
      </x:c>
      <x:c r="N835" s="84" t="str">
        <x:f>IFERROR(VLOOKUP(L835,'Reference Data'!$A$5:$F$40,3,FALSE),"Unknown")</x:f>
        <x:v>Electronics</x:v>
      </x:c>
      <x:c r="O835" s="84" t="str">
        <x:f>IFERROR(VLOOKUP(L835,'Reference Data'!$A$5:$F$40,4,FALSE),"Unknown")</x:f>
        <x:v>Computer Accessories</x:v>
      </x:c>
      <x:c r="P835" s="92" t="n">
        <x:f>IFERROR(VLOOKUP(L835,'Reference Data'!$A$5:$F$40,5,FALSE),0)</x:f>
        <x:v>79</x:v>
      </x:c>
      <x:c r="Q835" s="92" t="n">
        <x:f>IFERROR(VLOOKUP(L835,'Reference Data'!$A$5:$F$40,6,FALSE),0)</x:f>
        <x:v>37</x:v>
      </x:c>
      <x:c r="R835" s="84" t="n">
        <x:f>'Raw Sales'!J835</x:f>
        <x:v>1</x:v>
      </x:c>
      <x:c r="S835" s="87" t="n">
        <x:f>'Raw Sales'!K835</x:f>
        <x:v>0</x:v>
      </x:c>
      <x:c r="T835" s="93" t="n">
        <x:f>P835*R835</x:f>
        <x:v>79</x:v>
      </x:c>
      <x:c r="U835" s="93" t="n">
        <x:f>T835*S835</x:f>
        <x:v>0</x:v>
      </x:c>
      <x:c r="V835" s="93" t="str">
        <x:f>PROPER(TRIM('Raw Sales'!L835))</x:f>
        <x:v>Completed</x:v>
      </x:c>
      <x:c r="W835" s="93" t="n">
        <x:f>IF(V835="Returned",0,T835-U835)</x:f>
        <x:v>79</x:v>
      </x:c>
      <x:c r="X835" s="93" t="n">
        <x:f>IF(V835="Returned",Q835*R835*10%,Q835*R835)</x:f>
        <x:v>37</x:v>
      </x:c>
      <x:c r="Y835" s="93" t="n">
        <x:f>W835-X835</x:f>
        <x:v>42</x:v>
      </x:c>
      <x:c r="Z835" s="94" t="n">
        <x:f>IFERROR(Y835/W835,0)</x:f>
        <x:v>0.5316455696202531</x:v>
      </x:c>
      <x:c r="AA835" s="84" t="str">
        <x:f>PROPER(TRIM('Raw Sales'!M835))</x:f>
        <x:v>Mobile Wallet</x:v>
      </x:c>
      <x:c r="AB835" s="84" t="str">
        <x:f>PROPER(TRIM('Raw Sales'!N835))</x:f>
        <x:v>Ava Mitchell</x:v>
      </x:c>
      <x:c r="AC835" s="85" t="n">
        <x:f>'Raw Sales'!O835</x:f>
        <x:v>45591</x:v>
      </x:c>
      <x:c r="AD835" s="84" t="n">
        <x:f>AC835-B835</x:f>
        <x:v>4</x:v>
      </x:c>
      <x:c r="AE835" s="84" t="str">
        <x:f>IF(COUNTIF($A$5:A835,A835)&gt;1,"Duplicate","Keep")</x:f>
        <x:v>Keep</x:v>
      </x:c>
      <x:c r="AF835" s="84" t="str">
        <x:f>IF(OR(R835&lt;=0,AC835&lt;B835,H835="Unknown",M835="Unknown Product"),"Review","Valid")</x:f>
        <x:v>Valid</x:v>
      </x:c>
      <x:c r="AG835" s="84" t="n">
        <x:f>IF(AND(AE835="Keep",AF835="Valid"),1,0)</x:f>
        <x:v>1</x:v>
      </x:c>
      <x:c r="AH835" s="84" t="n">
        <x:f>IF(AND(AG835=1,OR('Dashboard'!$B$4="All",I835='Dashboard'!$B$4),OR('Dashboard'!$E$4="All",N835='Dashboard'!$E$4),OR('Dashboard'!$H$4="All",K835='Dashboard'!$H$4),OR('Dashboard'!$K$4="All",C835='Dashboard'!$K$4)),1,0)</x:f>
        <x:v>1</x:v>
      </x:c>
      <x:c r="AI835" s="84" t="n">
        <x:f>IF(AND(AG835=1,OR('Dashboard'!$B$4="All",I835='Dashboard'!$B$4),OR('Dashboard'!$E$4="All",N835='Dashboard'!$E$4),OR('Dashboard'!$H$4="All",K835='Dashboard'!$H$4)),1,0)</x:f>
        <x:v>1</x:v>
      </x:c>
    </x:row>
    <x:row r="836">
      <x:c r="A836" s="84" t="str">
        <x:f>'Raw Sales'!A836</x:f>
        <x:v>ORD-2024-00138</x:v>
      </x:c>
      <x:c r="B836" s="85" t="n">
        <x:f>'Raw Sales'!B836</x:f>
        <x:v>45588</x:v>
      </x:c>
      <x:c r="C836" s="84" t="n">
        <x:f>YEAR(B836)</x:f>
        <x:v>2024</x:v>
      </x:c>
      <x:c r="D836" s="91" t="n">
        <x:f>DATE(YEAR(B836),MONTH(B836),1)</x:f>
        <x:v>45566</x:v>
      </x:c>
      <x:c r="E836" s="84" t="str">
        <x:f>TEXT(B836,"mmm")</x:f>
        <x:v>Oct</x:v>
      </x:c>
      <x:c r="F836" s="84" t="str">
        <x:f>'Raw Sales'!C836</x:f>
        <x:v>CUST-0253</x:v>
      </x:c>
      <x:c r="G836" s="84" t="str">
        <x:f>PROPER(TRIM('Raw Sales'!D836))</x:f>
        <x:v>Caleb Quinn</x:v>
      </x:c>
      <x:c r="H836" s="84" t="str">
        <x:f>IF(TRIM('Raw Sales'!E836)="","Unknown",PROPER(TRIM('Raw Sales'!E836)))</x:f>
        <x:v>Corporate</x:v>
      </x:c>
      <x:c r="I836" s="84" t="str">
        <x:f>PROPER(TRIM('Raw Sales'!F836))</x:f>
        <x:v>Midwest</x:v>
      </x:c>
      <x:c r="J836" s="84" t="str">
        <x:f>PROPER(TRIM('Raw Sales'!G836))</x:f>
        <x:v>Chicago</x:v>
      </x:c>
      <x:c r="K836" s="84" t="str">
        <x:f>PROPER(TRIM('Raw Sales'!H836))</x:f>
        <x:v>Online</x:v>
      </x:c>
      <x:c r="L836" s="84" t="str">
        <x:f>'Raw Sales'!I836</x:f>
        <x:v>FITN-006</x:v>
      </x:c>
      <x:c r="M836" s="84" t="str">
        <x:f>IFERROR(VLOOKUP(L836,'Reference Data'!$A$5:$F$40,2,FALSE),"Unknown Product")</x:f>
        <x:v>Foam Roller</x:v>
      </x:c>
      <x:c r="N836" s="84" t="str">
        <x:f>IFERROR(VLOOKUP(L836,'Reference Data'!$A$5:$F$40,3,FALSE),"Unknown")</x:f>
        <x:v>Fitness</x:v>
      </x:c>
      <x:c r="O836" s="84" t="str">
        <x:f>IFERROR(VLOOKUP(L836,'Reference Data'!$A$5:$F$40,4,FALSE),"Unknown")</x:f>
        <x:v>Recovery</x:v>
      </x:c>
      <x:c r="P836" s="92" t="n">
        <x:f>IFERROR(VLOOKUP(L836,'Reference Data'!$A$5:$F$40,5,FALSE),0)</x:f>
        <x:v>31</x:v>
      </x:c>
      <x:c r="Q836" s="92" t="n">
        <x:f>IFERROR(VLOOKUP(L836,'Reference Data'!$A$5:$F$40,6,FALSE),0)</x:f>
        <x:v>12</x:v>
      </x:c>
      <x:c r="R836" s="84" t="n">
        <x:f>'Raw Sales'!J836</x:f>
        <x:v>3</x:v>
      </x:c>
      <x:c r="S836" s="87" t="n">
        <x:f>'Raw Sales'!K836</x:f>
        <x:v>0</x:v>
      </x:c>
      <x:c r="T836" s="93" t="n">
        <x:f>P836*R836</x:f>
        <x:v>93</x:v>
      </x:c>
      <x:c r="U836" s="93" t="n">
        <x:f>T836*S836</x:f>
        <x:v>0</x:v>
      </x:c>
      <x:c r="V836" s="93" t="str">
        <x:f>PROPER(TRIM('Raw Sales'!L836))</x:f>
        <x:v>Completed</x:v>
      </x:c>
      <x:c r="W836" s="93" t="n">
        <x:f>IF(V836="Returned",0,T836-U836)</x:f>
        <x:v>93</x:v>
      </x:c>
      <x:c r="X836" s="93" t="n">
        <x:f>IF(V836="Returned",Q836*R836*10%,Q836*R836)</x:f>
        <x:v>36</x:v>
      </x:c>
      <x:c r="Y836" s="93" t="n">
        <x:f>W836-X836</x:f>
        <x:v>57</x:v>
      </x:c>
      <x:c r="Z836" s="94" t="n">
        <x:f>IFERROR(Y836/W836,0)</x:f>
        <x:v>0.6129032258064516</x:v>
      </x:c>
      <x:c r="AA836" s="84" t="str">
        <x:f>PROPER(TRIM('Raw Sales'!M836))</x:f>
        <x:v>Debit Card</x:v>
      </x:c>
      <x:c r="AB836" s="84" t="str">
        <x:f>PROPER(TRIM('Raw Sales'!N836))</x:f>
        <x:v>Zoe Turner</x:v>
      </x:c>
      <x:c r="AC836" s="85" t="n">
        <x:f>'Raw Sales'!O836</x:f>
        <x:v>45591</x:v>
      </x:c>
      <x:c r="AD836" s="84" t="n">
        <x:f>AC836-B836</x:f>
        <x:v>3</x:v>
      </x:c>
      <x:c r="AE836" s="84" t="str">
        <x:f>IF(COUNTIF($A$5:A836,A836)&gt;1,"Duplicate","Keep")</x:f>
        <x:v>Keep</x:v>
      </x:c>
      <x:c r="AF836" s="84" t="str">
        <x:f>IF(OR(R836&lt;=0,AC836&lt;B836,H836="Unknown",M836="Unknown Product"),"Review","Valid")</x:f>
        <x:v>Valid</x:v>
      </x:c>
      <x:c r="AG836" s="84" t="n">
        <x:f>IF(AND(AE836="Keep",AF836="Valid"),1,0)</x:f>
        <x:v>1</x:v>
      </x:c>
      <x:c r="AH836" s="84" t="n">
        <x:f>IF(AND(AG836=1,OR('Dashboard'!$B$4="All",I836='Dashboard'!$B$4),OR('Dashboard'!$E$4="All",N836='Dashboard'!$E$4),OR('Dashboard'!$H$4="All",K836='Dashboard'!$H$4),OR('Dashboard'!$K$4="All",C836='Dashboard'!$K$4)),1,0)</x:f>
        <x:v>1</x:v>
      </x:c>
      <x:c r="AI836" s="84" t="n">
        <x:f>IF(AND(AG836=1,OR('Dashboard'!$B$4="All",I836='Dashboard'!$B$4),OR('Dashboard'!$E$4="All",N836='Dashboard'!$E$4),OR('Dashboard'!$H$4="All",K836='Dashboard'!$H$4)),1,0)</x:f>
        <x:v>1</x:v>
      </x:c>
    </x:row>
    <x:row r="837">
      <x:c r="A837" s="84" t="str">
        <x:f>'Raw Sales'!A837</x:f>
        <x:v>ORD-2024-01092</x:v>
      </x:c>
      <x:c r="B837" s="85" t="n">
        <x:f>'Raw Sales'!B837</x:f>
        <x:v>45588</x:v>
      </x:c>
      <x:c r="C837" s="84" t="n">
        <x:f>YEAR(B837)</x:f>
        <x:v>2024</x:v>
      </x:c>
      <x:c r="D837" s="91" t="n">
        <x:f>DATE(YEAR(B837),MONTH(B837),1)</x:f>
        <x:v>45566</x:v>
      </x:c>
      <x:c r="E837" s="84" t="str">
        <x:f>TEXT(B837,"mmm")</x:f>
        <x:v>Oct</x:v>
      </x:c>
      <x:c r="F837" s="84" t="str">
        <x:f>'Raw Sales'!C837</x:f>
        <x:v>CUST-0099</x:v>
      </x:c>
      <x:c r="G837" s="84" t="str">
        <x:f>PROPER(TRIM('Raw Sales'!D837))</x:f>
        <x:v>Maya Adams</x:v>
      </x:c>
      <x:c r="H837" s="84" t="str">
        <x:f>IF(TRIM('Raw Sales'!E837)="","Unknown",PROPER(TRIM('Raw Sales'!E837)))</x:f>
        <x:v>Consumer</x:v>
      </x:c>
      <x:c r="I837" s="84" t="str">
        <x:f>PROPER(TRIM('Raw Sales'!F837))</x:f>
        <x:v>Southeast</x:v>
      </x:c>
      <x:c r="J837" s="84" t="str">
        <x:f>PROPER(TRIM('Raw Sales'!G837))</x:f>
        <x:v>Miami</x:v>
      </x:c>
      <x:c r="K837" s="84" t="str">
        <x:f>PROPER(TRIM('Raw Sales'!H837))</x:f>
        <x:v>Retail Store</x:v>
      </x:c>
      <x:c r="L837" s="84" t="str">
        <x:f>'Raw Sales'!I837</x:f>
        <x:v>ACCS-006</x:v>
      </x:c>
      <x:c r="M837" s="84" t="str">
        <x:f>IFERROR(VLOOKUP(L837,'Reference Data'!$A$5:$F$40,2,FALSE),"Unknown Product")</x:f>
        <x:v>Insulated Lunch Bag</x:v>
      </x:c>
      <x:c r="N837" s="84" t="str">
        <x:f>IFERROR(VLOOKUP(L837,'Reference Data'!$A$5:$F$40,3,FALSE),"Unknown")</x:f>
        <x:v>Accessories</x:v>
      </x:c>
      <x:c r="O837" s="84" t="str">
        <x:f>IFERROR(VLOOKUP(L837,'Reference Data'!$A$5:$F$40,4,FALSE),"Unknown")</x:f>
        <x:v>Bags</x:v>
      </x:c>
      <x:c r="P837" s="92" t="n">
        <x:f>IFERROR(VLOOKUP(L837,'Reference Data'!$A$5:$F$40,5,FALSE),0)</x:f>
        <x:v>29</x:v>
      </x:c>
      <x:c r="Q837" s="92" t="n">
        <x:f>IFERROR(VLOOKUP(L837,'Reference Data'!$A$5:$F$40,6,FALSE),0)</x:f>
        <x:v>10</x:v>
      </x:c>
      <x:c r="R837" s="84" t="n">
        <x:f>'Raw Sales'!J837</x:f>
        <x:v>1</x:v>
      </x:c>
      <x:c r="S837" s="87" t="n">
        <x:f>'Raw Sales'!K837</x:f>
        <x:v>0</x:v>
      </x:c>
      <x:c r="T837" s="93" t="n">
        <x:f>P837*R837</x:f>
        <x:v>29</x:v>
      </x:c>
      <x:c r="U837" s="93" t="n">
        <x:f>T837*S837</x:f>
        <x:v>0</x:v>
      </x:c>
      <x:c r="V837" s="93" t="str">
        <x:f>PROPER(TRIM('Raw Sales'!L837))</x:f>
        <x:v>Completed</x:v>
      </x:c>
      <x:c r="W837" s="93" t="n">
        <x:f>IF(V837="Returned",0,T837-U837)</x:f>
        <x:v>29</x:v>
      </x:c>
      <x:c r="X837" s="93" t="n">
        <x:f>IF(V837="Returned",Q837*R837*10%,Q837*R837)</x:f>
        <x:v>10</x:v>
      </x:c>
      <x:c r="Y837" s="93" t="n">
        <x:f>W837-X837</x:f>
        <x:v>19</x:v>
      </x:c>
      <x:c r="Z837" s="94" t="n">
        <x:f>IFERROR(Y837/W837,0)</x:f>
        <x:v>0.6551724137931034</x:v>
      </x:c>
      <x:c r="AA837" s="84" t="str">
        <x:f>PROPER(TRIM('Raw Sales'!M837))</x:f>
        <x:v>Credit Card</x:v>
      </x:c>
      <x:c r="AB837" s="84" t="str">
        <x:f>PROPER(TRIM('Raw Sales'!N837))</x:f>
        <x:v>Noah Reed</x:v>
      </x:c>
      <x:c r="AC837" s="85" t="n">
        <x:f>'Raw Sales'!O837</x:f>
        <x:v>45588</x:v>
      </x:c>
      <x:c r="AD837" s="84" t="n">
        <x:f>AC837-B837</x:f>
        <x:v>0</x:v>
      </x:c>
      <x:c r="AE837" s="84" t="str">
        <x:f>IF(COUNTIF($A$5:A837,A837)&gt;1,"Duplicate","Keep")</x:f>
        <x:v>Keep</x:v>
      </x:c>
      <x:c r="AF837" s="84" t="str">
        <x:f>IF(OR(R837&lt;=0,AC837&lt;B837,H837="Unknown",M837="Unknown Product"),"Review","Valid")</x:f>
        <x:v>Valid</x:v>
      </x:c>
      <x:c r="AG837" s="84" t="n">
        <x:f>IF(AND(AE837="Keep",AF837="Valid"),1,0)</x:f>
        <x:v>1</x:v>
      </x:c>
      <x:c r="AH837" s="84" t="n">
        <x:f>IF(AND(AG837=1,OR('Dashboard'!$B$4="All",I837='Dashboard'!$B$4),OR('Dashboard'!$E$4="All",N837='Dashboard'!$E$4),OR('Dashboard'!$H$4="All",K837='Dashboard'!$H$4),OR('Dashboard'!$K$4="All",C837='Dashboard'!$K$4)),1,0)</x:f>
        <x:v>1</x:v>
      </x:c>
      <x:c r="AI837" s="84" t="n">
        <x:f>IF(AND(AG837=1,OR('Dashboard'!$B$4="All",I837='Dashboard'!$B$4),OR('Dashboard'!$E$4="All",N837='Dashboard'!$E$4),OR('Dashboard'!$H$4="All",K837='Dashboard'!$H$4)),1,0)</x:f>
        <x:v>1</x:v>
      </x:c>
    </x:row>
    <x:row r="838">
      <x:c r="A838" s="84" t="str">
        <x:f>'Raw Sales'!A838</x:f>
        <x:v>ORD-2024-01151</x:v>
      </x:c>
      <x:c r="B838" s="85" t="n">
        <x:f>'Raw Sales'!B838</x:f>
        <x:v>45588</x:v>
      </x:c>
      <x:c r="C838" s="84" t="n">
        <x:f>YEAR(B838)</x:f>
        <x:v>2024</x:v>
      </x:c>
      <x:c r="D838" s="91" t="n">
        <x:f>DATE(YEAR(B838),MONTH(B838),1)</x:f>
        <x:v>45566</x:v>
      </x:c>
      <x:c r="E838" s="84" t="str">
        <x:f>TEXT(B838,"mmm")</x:f>
        <x:v>Oct</x:v>
      </x:c>
      <x:c r="F838" s="84" t="str">
        <x:f>'Raw Sales'!C838</x:f>
        <x:v>CUST-0216</x:v>
      </x:c>
      <x:c r="G838" s="84" t="str">
        <x:f>PROPER(TRIM('Raw Sales'!D838))</x:f>
        <x:v>Aiden Hall</x:v>
      </x:c>
      <x:c r="H838" s="84" t="str">
        <x:f>IF(TRIM('Raw Sales'!E838)="","Unknown",PROPER(TRIM('Raw Sales'!E838)))</x:f>
        <x:v>Consumer</x:v>
      </x:c>
      <x:c r="I838" s="84" t="str">
        <x:f>PROPER(TRIM('Raw Sales'!F838))</x:f>
        <x:v>Midwest</x:v>
      </x:c>
      <x:c r="J838" s="84" t="str">
        <x:f>PROPER(TRIM('Raw Sales'!G838))</x:f>
        <x:v>Columbus</x:v>
      </x:c>
      <x:c r="K838" s="84" t="str">
        <x:f>PROPER(TRIM('Raw Sales'!H838))</x:f>
        <x:v>Online</x:v>
      </x:c>
      <x:c r="L838" s="84" t="str">
        <x:f>'Raw Sales'!I838</x:f>
        <x:v>CARE-002</x:v>
      </x:c>
      <x:c r="M838" s="84" t="str">
        <x:f>IFERROR(VLOOKUP(L838,'Reference Data'!$A$5:$F$40,2,FALSE),"Unknown Product")</x:f>
        <x:v>Rechargeable Trimmer</x:v>
      </x:c>
      <x:c r="N838" s="84" t="str">
        <x:f>IFERROR(VLOOKUP(L838,'Reference Data'!$A$5:$F$40,3,FALSE),"Unknown")</x:f>
        <x:v>Personal Care</x:v>
      </x:c>
      <x:c r="O838" s="84" t="str">
        <x:f>IFERROR(VLOOKUP(L838,'Reference Data'!$A$5:$F$40,4,FALSE),"Unknown")</x:f>
        <x:v>Grooming</x:v>
      </x:c>
      <x:c r="P838" s="92" t="n">
        <x:f>IFERROR(VLOOKUP(L838,'Reference Data'!$A$5:$F$40,5,FALSE),0)</x:f>
        <x:v>45</x:v>
      </x:c>
      <x:c r="Q838" s="92" t="n">
        <x:f>IFERROR(VLOOKUP(L838,'Reference Data'!$A$5:$F$40,6,FALSE),0)</x:f>
        <x:v>19</x:v>
      </x:c>
      <x:c r="R838" s="84" t="n">
        <x:f>'Raw Sales'!J838</x:f>
        <x:v>3</x:v>
      </x:c>
      <x:c r="S838" s="87" t="n">
        <x:f>'Raw Sales'!K838</x:f>
        <x:v>0.05</x:v>
      </x:c>
      <x:c r="T838" s="93" t="n">
        <x:f>P838*R838</x:f>
        <x:v>135</x:v>
      </x:c>
      <x:c r="U838" s="93" t="n">
        <x:f>T838*S838</x:f>
        <x:v>6.75</x:v>
      </x:c>
      <x:c r="V838" s="93" t="str">
        <x:f>PROPER(TRIM('Raw Sales'!L838))</x:f>
        <x:v>Completed</x:v>
      </x:c>
      <x:c r="W838" s="93" t="n">
        <x:f>IF(V838="Returned",0,T838-U838)</x:f>
        <x:v>128.25</x:v>
      </x:c>
      <x:c r="X838" s="93" t="n">
        <x:f>IF(V838="Returned",Q838*R838*10%,Q838*R838)</x:f>
        <x:v>57</x:v>
      </x:c>
      <x:c r="Y838" s="93" t="n">
        <x:f>W838-X838</x:f>
        <x:v>71.25</x:v>
      </x:c>
      <x:c r="Z838" s="94" t="n">
        <x:f>IFERROR(Y838/W838,0)</x:f>
        <x:v>0.5555555555555556</x:v>
      </x:c>
      <x:c r="AA838" s="84" t="str">
        <x:f>PROPER(TRIM('Raw Sales'!M838))</x:f>
        <x:v>Debit Card</x:v>
      </x:c>
      <x:c r="AB838" s="84" t="str">
        <x:f>PROPER(TRIM('Raw Sales'!N838))</x:f>
        <x:v>Emma Hayes</x:v>
      </x:c>
      <x:c r="AC838" s="85" t="n">
        <x:f>'Raw Sales'!O838</x:f>
        <x:v>45594</x:v>
      </x:c>
      <x:c r="AD838" s="84" t="n">
        <x:f>AC838-B838</x:f>
        <x:v>6</x:v>
      </x:c>
      <x:c r="AE838" s="84" t="str">
        <x:f>IF(COUNTIF($A$5:A838,A838)&gt;1,"Duplicate","Keep")</x:f>
        <x:v>Keep</x:v>
      </x:c>
      <x:c r="AF838" s="84" t="str">
        <x:f>IF(OR(R838&lt;=0,AC838&lt;B838,H838="Unknown",M838="Unknown Product"),"Review","Valid")</x:f>
        <x:v>Valid</x:v>
      </x:c>
      <x:c r="AG838" s="84" t="n">
        <x:f>IF(AND(AE838="Keep",AF838="Valid"),1,0)</x:f>
        <x:v>1</x:v>
      </x:c>
      <x:c r="AH838" s="84" t="n">
        <x:f>IF(AND(AG838=1,OR('Dashboard'!$B$4="All",I838='Dashboard'!$B$4),OR('Dashboard'!$E$4="All",N838='Dashboard'!$E$4),OR('Dashboard'!$H$4="All",K838='Dashboard'!$H$4),OR('Dashboard'!$K$4="All",C838='Dashboard'!$K$4)),1,0)</x:f>
        <x:v>1</x:v>
      </x:c>
      <x:c r="AI838" s="84" t="n">
        <x:f>IF(AND(AG838=1,OR('Dashboard'!$B$4="All",I838='Dashboard'!$B$4),OR('Dashboard'!$E$4="All",N838='Dashboard'!$E$4),OR('Dashboard'!$H$4="All",K838='Dashboard'!$H$4)),1,0)</x:f>
        <x:v>1</x:v>
      </x:c>
    </x:row>
    <x:row r="839">
      <x:c r="A839" s="84" t="str">
        <x:f>'Raw Sales'!A839</x:f>
        <x:v>ORD-2024-00666</x:v>
      </x:c>
      <x:c r="B839" s="85" t="n">
        <x:f>'Raw Sales'!B839</x:f>
        <x:v>45589</x:v>
      </x:c>
      <x:c r="C839" s="84" t="n">
        <x:f>YEAR(B839)</x:f>
        <x:v>2024</x:v>
      </x:c>
      <x:c r="D839" s="91" t="n">
        <x:f>DATE(YEAR(B839),MONTH(B839),1)</x:f>
        <x:v>45566</x:v>
      </x:c>
      <x:c r="E839" s="84" t="str">
        <x:f>TEXT(B839,"mmm")</x:f>
        <x:v>Oct</x:v>
      </x:c>
      <x:c r="F839" s="84" t="str">
        <x:f>'Raw Sales'!C839</x:f>
        <x:v>CUST-0205</x:v>
      </x:c>
      <x:c r="G839" s="84" t="str">
        <x:f>PROPER(TRIM('Raw Sales'!D839))</x:f>
        <x:v>Elena Young</x:v>
      </x:c>
      <x:c r="H839" s="84" t="str">
        <x:f>IF(TRIM('Raw Sales'!E839)="","Unknown",PROPER(TRIM('Raw Sales'!E839)))</x:f>
        <x:v>Corporate</x:v>
      </x:c>
      <x:c r="I839" s="84" t="str">
        <x:f>PROPER(TRIM('Raw Sales'!F839))</x:f>
        <x:v>West</x:v>
      </x:c>
      <x:c r="J839" s="84" t="str">
        <x:f>PROPER(TRIM('Raw Sales'!G839))</x:f>
        <x:v>Denver</x:v>
      </x:c>
      <x:c r="K839" s="84" t="str">
        <x:f>PROPER(TRIM('Raw Sales'!H839))</x:f>
        <x:v>Online</x:v>
      </x:c>
      <x:c r="L839" s="84" t="str">
        <x:f>'Raw Sales'!I839</x:f>
        <x:v>HOME-005</x:v>
      </x:c>
      <x:c r="M839" s="84" t="str">
        <x:f>IFERROR(VLOOKUP(L839,'Reference Data'!$A$5:$F$40,2,FALSE),"Unknown Product")</x:f>
        <x:v>Cordless Vacuum</x:v>
      </x:c>
      <x:c r="N839" s="84" t="str">
        <x:f>IFERROR(VLOOKUP(L839,'Reference Data'!$A$5:$F$40,3,FALSE),"Unknown")</x:f>
        <x:v>Home &amp; Kitchen</x:v>
      </x:c>
      <x:c r="O839" s="84" t="str">
        <x:f>IFERROR(VLOOKUP(L839,'Reference Data'!$A$5:$F$40,4,FALSE),"Unknown")</x:f>
        <x:v>Cleaning</x:v>
      </x:c>
      <x:c r="P839" s="92" t="n">
        <x:f>IFERROR(VLOOKUP(L839,'Reference Data'!$A$5:$F$40,5,FALSE),0)</x:f>
        <x:v>179</x:v>
      </x:c>
      <x:c r="Q839" s="92" t="n">
        <x:f>IFERROR(VLOOKUP(L839,'Reference Data'!$A$5:$F$40,6,FALSE),0)</x:f>
        <x:v>102</x:v>
      </x:c>
      <x:c r="R839" s="84" t="n">
        <x:f>'Raw Sales'!J839</x:f>
        <x:v>3</x:v>
      </x:c>
      <x:c r="S839" s="87" t="n">
        <x:f>'Raw Sales'!K839</x:f>
        <x:v>0</x:v>
      </x:c>
      <x:c r="T839" s="93" t="n">
        <x:f>P839*R839</x:f>
        <x:v>537</x:v>
      </x:c>
      <x:c r="U839" s="93" t="n">
        <x:f>T839*S839</x:f>
        <x:v>0</x:v>
      </x:c>
      <x:c r="V839" s="93" t="str">
        <x:f>PROPER(TRIM('Raw Sales'!L839))</x:f>
        <x:v>Completed</x:v>
      </x:c>
      <x:c r="W839" s="93" t="n">
        <x:f>IF(V839="Returned",0,T839-U839)</x:f>
        <x:v>537</x:v>
      </x:c>
      <x:c r="X839" s="93" t="n">
        <x:f>IF(V839="Returned",Q839*R839*10%,Q839*R839)</x:f>
        <x:v>306</x:v>
      </x:c>
      <x:c r="Y839" s="93" t="n">
        <x:f>W839-X839</x:f>
        <x:v>231</x:v>
      </x:c>
      <x:c r="Z839" s="94" t="n">
        <x:f>IFERROR(Y839/W839,0)</x:f>
        <x:v>0.4301675977653631</x:v>
      </x:c>
      <x:c r="AA839" s="84" t="str">
        <x:f>PROPER(TRIM('Raw Sales'!M839))</x:f>
        <x:v>Debit Card</x:v>
      </x:c>
      <x:c r="AB839" s="84" t="str">
        <x:f>PROPER(TRIM('Raw Sales'!N839))</x:f>
        <x:v>Leo Martinez</x:v>
      </x:c>
      <x:c r="AC839" s="85" t="n">
        <x:f>'Raw Sales'!O839</x:f>
        <x:v>45593</x:v>
      </x:c>
      <x:c r="AD839" s="84" t="n">
        <x:f>AC839-B839</x:f>
        <x:v>4</x:v>
      </x:c>
      <x:c r="AE839" s="84" t="str">
        <x:f>IF(COUNTIF($A$5:A839,A839)&gt;1,"Duplicate","Keep")</x:f>
        <x:v>Keep</x:v>
      </x:c>
      <x:c r="AF839" s="84" t="str">
        <x:f>IF(OR(R839&lt;=0,AC839&lt;B839,H839="Unknown",M839="Unknown Product"),"Review","Valid")</x:f>
        <x:v>Valid</x:v>
      </x:c>
      <x:c r="AG839" s="84" t="n">
        <x:f>IF(AND(AE839="Keep",AF839="Valid"),1,0)</x:f>
        <x:v>1</x:v>
      </x:c>
      <x:c r="AH839" s="84" t="n">
        <x:f>IF(AND(AG839=1,OR('Dashboard'!$B$4="All",I839='Dashboard'!$B$4),OR('Dashboard'!$E$4="All",N839='Dashboard'!$E$4),OR('Dashboard'!$H$4="All",K839='Dashboard'!$H$4),OR('Dashboard'!$K$4="All",C839='Dashboard'!$K$4)),1,0)</x:f>
        <x:v>1</x:v>
      </x:c>
      <x:c r="AI839" s="84" t="n">
        <x:f>IF(AND(AG839=1,OR('Dashboard'!$B$4="All",I839='Dashboard'!$B$4),OR('Dashboard'!$E$4="All",N839='Dashboard'!$E$4),OR('Dashboard'!$H$4="All",K839='Dashboard'!$H$4)),1,0)</x:f>
        <x:v>1</x:v>
      </x:c>
    </x:row>
    <x:row r="840">
      <x:c r="A840" s="84" t="str">
        <x:f>'Raw Sales'!A840</x:f>
        <x:v>ORD-2024-01190</x:v>
      </x:c>
      <x:c r="B840" s="85" t="n">
        <x:f>'Raw Sales'!B840</x:f>
        <x:v>45589</x:v>
      </x:c>
      <x:c r="C840" s="84" t="n">
        <x:f>YEAR(B840)</x:f>
        <x:v>2024</x:v>
      </x:c>
      <x:c r="D840" s="91" t="n">
        <x:f>DATE(YEAR(B840),MONTH(B840),1)</x:f>
        <x:v>45566</x:v>
      </x:c>
      <x:c r="E840" s="84" t="str">
        <x:f>TEXT(B840,"mmm")</x:f>
        <x:v>Oct</x:v>
      </x:c>
      <x:c r="F840" s="84" t="str">
        <x:f>'Raw Sales'!C840</x:f>
        <x:v>CUST-0341</x:v>
      </x:c>
      <x:c r="G840" s="84" t="str">
        <x:f>PROPER(TRIM('Raw Sales'!D840))</x:f>
        <x:v>Grace Ortiz</x:v>
      </x:c>
      <x:c r="H840" s="84" t="str">
        <x:f>IF(TRIM('Raw Sales'!E840)="","Unknown",PROPER(TRIM('Raw Sales'!E840)))</x:f>
        <x:v>Corporate</x:v>
      </x:c>
      <x:c r="I840" s="84" t="str">
        <x:f>PROPER(TRIM('Raw Sales'!F840))</x:f>
        <x:v>Southeast</x:v>
      </x:c>
      <x:c r="J840" s="84" t="str">
        <x:f>PROPER(TRIM('Raw Sales'!G840))</x:f>
        <x:v>Atlanta</x:v>
      </x:c>
      <x:c r="K840" s="84" t="str">
        <x:f>PROPER(TRIM('Raw Sales'!H840))</x:f>
        <x:v>Marketplace</x:v>
      </x:c>
      <x:c r="L840" s="84" t="str">
        <x:f>'Raw Sales'!I840</x:f>
        <x:v>CARE-006</x:v>
      </x:c>
      <x:c r="M840" s="84" t="str">
        <x:f>IFERROR(VLOOKUP(L840,'Reference Data'!$A$5:$F$40,2,FALSE),"Unknown Product")</x:f>
        <x:v>Percussion Massage Gun</x:v>
      </x:c>
      <x:c r="N840" s="84" t="str">
        <x:f>IFERROR(VLOOKUP(L840,'Reference Data'!$A$5:$F$40,3,FALSE),"Unknown")</x:f>
        <x:v>Personal Care</x:v>
      </x:c>
      <x:c r="O840" s="84" t="str">
        <x:f>IFERROR(VLOOKUP(L840,'Reference Data'!$A$5:$F$40,4,FALSE),"Unknown")</x:f>
        <x:v>Wellness</x:v>
      </x:c>
      <x:c r="P840" s="92" t="n">
        <x:f>IFERROR(VLOOKUP(L840,'Reference Data'!$A$5:$F$40,5,FALSE),0)</x:f>
        <x:v>129</x:v>
      </x:c>
      <x:c r="Q840" s="92" t="n">
        <x:f>IFERROR(VLOOKUP(L840,'Reference Data'!$A$5:$F$40,6,FALSE),0)</x:f>
        <x:v>70</x:v>
      </x:c>
      <x:c r="R840" s="84" t="n">
        <x:f>'Raw Sales'!J840</x:f>
        <x:v>2</x:v>
      </x:c>
      <x:c r="S840" s="87" t="n">
        <x:f>'Raw Sales'!K840</x:f>
        <x:v>0.1</x:v>
      </x:c>
      <x:c r="T840" s="93" t="n">
        <x:f>P840*R840</x:f>
        <x:v>258</x:v>
      </x:c>
      <x:c r="U840" s="93" t="n">
        <x:f>T840*S840</x:f>
        <x:v>25.8</x:v>
      </x:c>
      <x:c r="V840" s="93" t="str">
        <x:f>PROPER(TRIM('Raw Sales'!L840))</x:f>
        <x:v>Completed</x:v>
      </x:c>
      <x:c r="W840" s="93" t="n">
        <x:f>IF(V840="Returned",0,T840-U840)</x:f>
        <x:v>232.2</x:v>
      </x:c>
      <x:c r="X840" s="93" t="n">
        <x:f>IF(V840="Returned",Q840*R840*10%,Q840*R840)</x:f>
        <x:v>140</x:v>
      </x:c>
      <x:c r="Y840" s="93" t="n">
        <x:f>W840-X840</x:f>
        <x:v>92.19999999999999</x:v>
      </x:c>
      <x:c r="Z840" s="94" t="n">
        <x:f>IFERROR(Y840/W840,0)</x:f>
        <x:v>0.3970714900947459</x:v>
      </x:c>
      <x:c r="AA840" s="84" t="str">
        <x:f>PROPER(TRIM('Raw Sales'!M840))</x:f>
        <x:v>Credit Card</x:v>
      </x:c>
      <x:c r="AB840" s="84" t="str">
        <x:f>PROPER(TRIM('Raw Sales'!N840))</x:f>
        <x:v>Liam Parker</x:v>
      </x:c>
      <x:c r="AC840" s="85" t="n">
        <x:f>'Raw Sales'!O840</x:f>
        <x:v>45593</x:v>
      </x:c>
      <x:c r="AD840" s="84" t="n">
        <x:f>AC840-B840</x:f>
        <x:v>4</x:v>
      </x:c>
      <x:c r="AE840" s="84" t="str">
        <x:f>IF(COUNTIF($A$5:A840,A840)&gt;1,"Duplicate","Keep")</x:f>
        <x:v>Keep</x:v>
      </x:c>
      <x:c r="AF840" s="84" t="str">
        <x:f>IF(OR(R840&lt;=0,AC840&lt;B840,H840="Unknown",M840="Unknown Product"),"Review","Valid")</x:f>
        <x:v>Valid</x:v>
      </x:c>
      <x:c r="AG840" s="84" t="n">
        <x:f>IF(AND(AE840="Keep",AF840="Valid"),1,0)</x:f>
        <x:v>1</x:v>
      </x:c>
      <x:c r="AH840" s="84" t="n">
        <x:f>IF(AND(AG840=1,OR('Dashboard'!$B$4="All",I840='Dashboard'!$B$4),OR('Dashboard'!$E$4="All",N840='Dashboard'!$E$4),OR('Dashboard'!$H$4="All",K840='Dashboard'!$H$4),OR('Dashboard'!$K$4="All",C840='Dashboard'!$K$4)),1,0)</x:f>
        <x:v>1</x:v>
      </x:c>
      <x:c r="AI840" s="84" t="n">
        <x:f>IF(AND(AG840=1,OR('Dashboard'!$B$4="All",I840='Dashboard'!$B$4),OR('Dashboard'!$E$4="All",N840='Dashboard'!$E$4),OR('Dashboard'!$H$4="All",K840='Dashboard'!$H$4)),1,0)</x:f>
        <x:v>1</x:v>
      </x:c>
    </x:row>
    <x:row r="841">
      <x:c r="A841" s="84" t="str">
        <x:f>'Raw Sales'!A841</x:f>
        <x:v>ORD-2024-02046</x:v>
      </x:c>
      <x:c r="B841" s="85" t="n">
        <x:f>'Raw Sales'!B841</x:f>
        <x:v>45589</x:v>
      </x:c>
      <x:c r="C841" s="84" t="n">
        <x:f>YEAR(B841)</x:f>
        <x:v>2024</x:v>
      </x:c>
      <x:c r="D841" s="91" t="n">
        <x:f>DATE(YEAR(B841),MONTH(B841),1)</x:f>
        <x:v>45566</x:v>
      </x:c>
      <x:c r="E841" s="84" t="str">
        <x:f>TEXT(B841,"mmm")</x:f>
        <x:v>Oct</x:v>
      </x:c>
      <x:c r="F841" s="84" t="str">
        <x:f>'Raw Sales'!C841</x:f>
        <x:v>CUST-0565</x:v>
      </x:c>
      <x:c r="G841" s="84" t="str">
        <x:f>PROPER(TRIM('Raw Sales'!D841))</x:f>
        <x:v>Nathan Taylor</x:v>
      </x:c>
      <x:c r="H841" s="84" t="str">
        <x:f>IF(TRIM('Raw Sales'!E841)="","Unknown",PROPER(TRIM('Raw Sales'!E841)))</x:f>
        <x:v>Consumer</x:v>
      </x:c>
      <x:c r="I841" s="84" t="str">
        <x:f>PROPER(TRIM('Raw Sales'!F841))</x:f>
        <x:v>West</x:v>
      </x:c>
      <x:c r="J841" s="84" t="str">
        <x:f>PROPER(TRIM('Raw Sales'!G841))</x:f>
        <x:v>Phoenix</x:v>
      </x:c>
      <x:c r="K841" s="84" t="str">
        <x:f>PROPER(TRIM('Raw Sales'!H841))</x:f>
        <x:v>Online</x:v>
      </x:c>
      <x:c r="L841" s="84" t="str">
        <x:f>'Raw Sales'!I841</x:f>
        <x:v>HOME-005</x:v>
      </x:c>
      <x:c r="M841" s="84" t="str">
        <x:f>IFERROR(VLOOKUP(L841,'Reference Data'!$A$5:$F$40,2,FALSE),"Unknown Product")</x:f>
        <x:v>Cordless Vacuum</x:v>
      </x:c>
      <x:c r="N841" s="84" t="str">
        <x:f>IFERROR(VLOOKUP(L841,'Reference Data'!$A$5:$F$40,3,FALSE),"Unknown")</x:f>
        <x:v>Home &amp; Kitchen</x:v>
      </x:c>
      <x:c r="O841" s="84" t="str">
        <x:f>IFERROR(VLOOKUP(L841,'Reference Data'!$A$5:$F$40,4,FALSE),"Unknown")</x:f>
        <x:v>Cleaning</x:v>
      </x:c>
      <x:c r="P841" s="92" t="n">
        <x:f>IFERROR(VLOOKUP(L841,'Reference Data'!$A$5:$F$40,5,FALSE),0)</x:f>
        <x:v>179</x:v>
      </x:c>
      <x:c r="Q841" s="92" t="n">
        <x:f>IFERROR(VLOOKUP(L841,'Reference Data'!$A$5:$F$40,6,FALSE),0)</x:f>
        <x:v>102</x:v>
      </x:c>
      <x:c r="R841" s="84" t="n">
        <x:f>'Raw Sales'!J841</x:f>
        <x:v>1</x:v>
      </x:c>
      <x:c r="S841" s="87" t="n">
        <x:f>'Raw Sales'!K841</x:f>
        <x:v>0</x:v>
      </x:c>
      <x:c r="T841" s="93" t="n">
        <x:f>P841*R841</x:f>
        <x:v>179</x:v>
      </x:c>
      <x:c r="U841" s="93" t="n">
        <x:f>T841*S841</x:f>
        <x:v>0</x:v>
      </x:c>
      <x:c r="V841" s="93" t="str">
        <x:f>PROPER(TRIM('Raw Sales'!L841))</x:f>
        <x:v>Completed</x:v>
      </x:c>
      <x:c r="W841" s="93" t="n">
        <x:f>IF(V841="Returned",0,T841-U841)</x:f>
        <x:v>179</x:v>
      </x:c>
      <x:c r="X841" s="93" t="n">
        <x:f>IF(V841="Returned",Q841*R841*10%,Q841*R841)</x:f>
        <x:v>102</x:v>
      </x:c>
      <x:c r="Y841" s="93" t="n">
        <x:f>W841-X841</x:f>
        <x:v>77</x:v>
      </x:c>
      <x:c r="Z841" s="94" t="n">
        <x:f>IFERROR(Y841/W841,0)</x:f>
        <x:v>0.4301675977653631</x:v>
      </x:c>
      <x:c r="AA841" s="84" t="str">
        <x:f>PROPER(TRIM('Raw Sales'!M841))</x:f>
        <x:v>Credit Card</x:v>
      </x:c>
      <x:c r="AB841" s="84" t="str">
        <x:f>PROPER(TRIM('Raw Sales'!N841))</x:f>
        <x:v>Leo Martinez</x:v>
      </x:c>
      <x:c r="AC841" s="85" t="n">
        <x:f>'Raw Sales'!O841</x:f>
        <x:v>45595</x:v>
      </x:c>
      <x:c r="AD841" s="84" t="n">
        <x:f>AC841-B841</x:f>
        <x:v>6</x:v>
      </x:c>
      <x:c r="AE841" s="84" t="str">
        <x:f>IF(COUNTIF($A$5:A841,A841)&gt;1,"Duplicate","Keep")</x:f>
        <x:v>Keep</x:v>
      </x:c>
      <x:c r="AF841" s="84" t="str">
        <x:f>IF(OR(R841&lt;=0,AC841&lt;B841,H841="Unknown",M841="Unknown Product"),"Review","Valid")</x:f>
        <x:v>Valid</x:v>
      </x:c>
      <x:c r="AG841" s="84" t="n">
        <x:f>IF(AND(AE841="Keep",AF841="Valid"),1,0)</x:f>
        <x:v>1</x:v>
      </x:c>
      <x:c r="AH841" s="84" t="n">
        <x:f>IF(AND(AG841=1,OR('Dashboard'!$B$4="All",I841='Dashboard'!$B$4),OR('Dashboard'!$E$4="All",N841='Dashboard'!$E$4),OR('Dashboard'!$H$4="All",K841='Dashboard'!$H$4),OR('Dashboard'!$K$4="All",C841='Dashboard'!$K$4)),1,0)</x:f>
        <x:v>1</x:v>
      </x:c>
      <x:c r="AI841" s="84" t="n">
        <x:f>IF(AND(AG841=1,OR('Dashboard'!$B$4="All",I841='Dashboard'!$B$4),OR('Dashboard'!$E$4="All",N841='Dashboard'!$E$4),OR('Dashboard'!$H$4="All",K841='Dashboard'!$H$4)),1,0)</x:f>
        <x:v>1</x:v>
      </x:c>
    </x:row>
    <x:row r="842">
      <x:c r="A842" s="84" t="str">
        <x:f>'Raw Sales'!A842</x:f>
        <x:v>ORD-2024-00148</x:v>
      </x:c>
      <x:c r="B842" s="85" t="n">
        <x:f>'Raw Sales'!B842</x:f>
        <x:v>45590</x:v>
      </x:c>
      <x:c r="C842" s="84" t="n">
        <x:f>YEAR(B842)</x:f>
        <x:v>2024</x:v>
      </x:c>
      <x:c r="D842" s="91" t="n">
        <x:f>DATE(YEAR(B842),MONTH(B842),1)</x:f>
        <x:v>45566</x:v>
      </x:c>
      <x:c r="E842" s="84" t="str">
        <x:f>TEXT(B842,"mmm")</x:f>
        <x:v>Oct</x:v>
      </x:c>
      <x:c r="F842" s="84" t="str">
        <x:f>'Raw Sales'!C842</x:f>
        <x:v>CUST-0125</x:v>
      </x:c>
      <x:c r="G842" s="84" t="str">
        <x:f>PROPER(TRIM('Raw Sales'!D842))</x:f>
        <x:v>Marcus Carter</x:v>
      </x:c>
      <x:c r="H842" s="84" t="str">
        <x:f>IF(TRIM('Raw Sales'!E842)="","Unknown",PROPER(TRIM('Raw Sales'!E842)))</x:f>
        <x:v>Consumer</x:v>
      </x:c>
      <x:c r="I842" s="84" t="str">
        <x:f>PROPER(TRIM('Raw Sales'!F842))</x:f>
        <x:v>West</x:v>
      </x:c>
      <x:c r="J842" s="84" t="str">
        <x:f>PROPER(TRIM('Raw Sales'!G842))</x:f>
        <x:v>Phoenix</x:v>
      </x:c>
      <x:c r="K842" s="84" t="str">
        <x:f>PROPER(TRIM('Raw Sales'!H842))</x:f>
        <x:v>Retail Store</x:v>
      </x:c>
      <x:c r="L842" s="84" t="str">
        <x:f>'Raw Sales'!I842</x:f>
        <x:v>HOME-001</x:v>
      </x:c>
      <x:c r="M842" s="84" t="str">
        <x:f>IFERROR(VLOOKUP(L842,'Reference Data'!$A$5:$F$40,2,FALSE),"Unknown Product")</x:f>
        <x:v>Air Fryer</x:v>
      </x:c>
      <x:c r="N842" s="84" t="str">
        <x:f>IFERROR(VLOOKUP(L842,'Reference Data'!$A$5:$F$40,3,FALSE),"Unknown")</x:f>
        <x:v>Home &amp; Kitchen</x:v>
      </x:c>
      <x:c r="O842" s="84" t="str">
        <x:f>IFERROR(VLOOKUP(L842,'Reference Data'!$A$5:$F$40,4,FALSE),"Unknown")</x:f>
        <x:v>Small Appliances</x:v>
      </x:c>
      <x:c r="P842" s="92" t="n">
        <x:f>IFERROR(VLOOKUP(L842,'Reference Data'!$A$5:$F$40,5,FALSE),0)</x:f>
        <x:v>119</x:v>
      </x:c>
      <x:c r="Q842" s="92" t="n">
        <x:f>IFERROR(VLOOKUP(L842,'Reference Data'!$A$5:$F$40,6,FALSE),0)</x:f>
        <x:v>68</x:v>
      </x:c>
      <x:c r="R842" s="84" t="n">
        <x:f>'Raw Sales'!J842</x:f>
        <x:v>2</x:v>
      </x:c>
      <x:c r="S842" s="87" t="n">
        <x:f>'Raw Sales'!K842</x:f>
        <x:v>0.15</x:v>
      </x:c>
      <x:c r="T842" s="93" t="n">
        <x:f>P842*R842</x:f>
        <x:v>238</x:v>
      </x:c>
      <x:c r="U842" s="93" t="n">
        <x:f>T842*S842</x:f>
        <x:v>35.699999999999996</x:v>
      </x:c>
      <x:c r="V842" s="93" t="str">
        <x:f>PROPER(TRIM('Raw Sales'!L842))</x:f>
        <x:v>Completed</x:v>
      </x:c>
      <x:c r="W842" s="93" t="n">
        <x:f>IF(V842="Returned",0,T842-U842)</x:f>
        <x:v>202.3</x:v>
      </x:c>
      <x:c r="X842" s="93" t="n">
        <x:f>IF(V842="Returned",Q842*R842*10%,Q842*R842)</x:f>
        <x:v>136</x:v>
      </x:c>
      <x:c r="Y842" s="93" t="n">
        <x:f>W842-X842</x:f>
        <x:v>66.30000000000001</x:v>
      </x:c>
      <x:c r="Z842" s="94" t="n">
        <x:f>IFERROR(Y842/W842,0)</x:f>
        <x:v>0.32773109243697485</x:v>
      </x:c>
      <x:c r="AA842" s="84" t="str">
        <x:f>PROPER(TRIM('Raw Sales'!M842))</x:f>
        <x:v>Credit Card</x:v>
      </x:c>
      <x:c r="AB842" s="84" t="str">
        <x:f>PROPER(TRIM('Raw Sales'!N842))</x:f>
        <x:v>Mia Chen</x:v>
      </x:c>
      <x:c r="AC842" s="85" t="n">
        <x:f>'Raw Sales'!O842</x:f>
        <x:v>45590</x:v>
      </x:c>
      <x:c r="AD842" s="84" t="n">
        <x:f>AC842-B842</x:f>
        <x:v>0</x:v>
      </x:c>
      <x:c r="AE842" s="84" t="str">
        <x:f>IF(COUNTIF($A$5:A842,A842)&gt;1,"Duplicate","Keep")</x:f>
        <x:v>Keep</x:v>
      </x:c>
      <x:c r="AF842" s="84" t="str">
        <x:f>IF(OR(R842&lt;=0,AC842&lt;B842,H842="Unknown",M842="Unknown Product"),"Review","Valid")</x:f>
        <x:v>Valid</x:v>
      </x:c>
      <x:c r="AG842" s="84" t="n">
        <x:f>IF(AND(AE842="Keep",AF842="Valid"),1,0)</x:f>
        <x:v>1</x:v>
      </x:c>
      <x:c r="AH842" s="84" t="n">
        <x:f>IF(AND(AG842=1,OR('Dashboard'!$B$4="All",I842='Dashboard'!$B$4),OR('Dashboard'!$E$4="All",N842='Dashboard'!$E$4),OR('Dashboard'!$H$4="All",K842='Dashboard'!$H$4),OR('Dashboard'!$K$4="All",C842='Dashboard'!$K$4)),1,0)</x:f>
        <x:v>1</x:v>
      </x:c>
      <x:c r="AI842" s="84" t="n">
        <x:f>IF(AND(AG842=1,OR('Dashboard'!$B$4="All",I842='Dashboard'!$B$4),OR('Dashboard'!$E$4="All",N842='Dashboard'!$E$4),OR('Dashboard'!$H$4="All",K842='Dashboard'!$H$4)),1,0)</x:f>
        <x:v>1</x:v>
      </x:c>
    </x:row>
    <x:row r="843">
      <x:c r="A843" s="84" t="str">
        <x:f>'Raw Sales'!A843</x:f>
        <x:v>ORD-2024-00935</x:v>
      </x:c>
      <x:c r="B843" s="85" t="n">
        <x:f>'Raw Sales'!B843</x:f>
        <x:v>45590</x:v>
      </x:c>
      <x:c r="C843" s="84" t="n">
        <x:f>YEAR(B843)</x:f>
        <x:v>2024</x:v>
      </x:c>
      <x:c r="D843" s="91" t="n">
        <x:f>DATE(YEAR(B843),MONTH(B843),1)</x:f>
        <x:v>45566</x:v>
      </x:c>
      <x:c r="E843" s="84" t="str">
        <x:f>TEXT(B843,"mmm")</x:f>
        <x:v>Oct</x:v>
      </x:c>
      <x:c r="F843" s="84" t="str">
        <x:f>'Raw Sales'!C843</x:f>
        <x:v>CUST-0567</x:v>
      </x:c>
      <x:c r="G843" s="84" t="str">
        <x:f>PROPER(TRIM('Raw Sales'!D843))</x:f>
        <x:v>Amelia Walker</x:v>
      </x:c>
      <x:c r="H843" s="84" t="str">
        <x:f>IF(TRIM('Raw Sales'!E843)="","Unknown",PROPER(TRIM('Raw Sales'!E843)))</x:f>
        <x:v>Consumer</x:v>
      </x:c>
      <x:c r="I843" s="84" t="str">
        <x:f>PROPER(TRIM('Raw Sales'!F843))</x:f>
        <x:v>West</x:v>
      </x:c>
      <x:c r="J843" s="84" t="str">
        <x:f>PROPER(TRIM('Raw Sales'!G843))</x:f>
        <x:v>Denver</x:v>
      </x:c>
      <x:c r="K843" s="84" t="str">
        <x:f>PROPER(TRIM('Raw Sales'!H843))</x:f>
        <x:v>Marketplace</x:v>
      </x:c>
      <x:c r="L843" s="84" t="str">
        <x:f>'Raw Sales'!I843</x:f>
        <x:v>CARE-006</x:v>
      </x:c>
      <x:c r="M843" s="84" t="str">
        <x:f>IFERROR(VLOOKUP(L843,'Reference Data'!$A$5:$F$40,2,FALSE),"Unknown Product")</x:f>
        <x:v>Percussion Massage Gun</x:v>
      </x:c>
      <x:c r="N843" s="84" t="str">
        <x:f>IFERROR(VLOOKUP(L843,'Reference Data'!$A$5:$F$40,3,FALSE),"Unknown")</x:f>
        <x:v>Personal Care</x:v>
      </x:c>
      <x:c r="O843" s="84" t="str">
        <x:f>IFERROR(VLOOKUP(L843,'Reference Data'!$A$5:$F$40,4,FALSE),"Unknown")</x:f>
        <x:v>Wellness</x:v>
      </x:c>
      <x:c r="P843" s="92" t="n">
        <x:f>IFERROR(VLOOKUP(L843,'Reference Data'!$A$5:$F$40,5,FALSE),0)</x:f>
        <x:v>129</x:v>
      </x:c>
      <x:c r="Q843" s="92" t="n">
        <x:f>IFERROR(VLOOKUP(L843,'Reference Data'!$A$5:$F$40,6,FALSE),0)</x:f>
        <x:v>70</x:v>
      </x:c>
      <x:c r="R843" s="84" t="n">
        <x:f>'Raw Sales'!J843</x:f>
        <x:v>1</x:v>
      </x:c>
      <x:c r="S843" s="87" t="n">
        <x:f>'Raw Sales'!K843</x:f>
        <x:v>0</x:v>
      </x:c>
      <x:c r="T843" s="93" t="n">
        <x:f>P843*R843</x:f>
        <x:v>129</x:v>
      </x:c>
      <x:c r="U843" s="93" t="n">
        <x:f>T843*S843</x:f>
        <x:v>0</x:v>
      </x:c>
      <x:c r="V843" s="93" t="str">
        <x:f>PROPER(TRIM('Raw Sales'!L843))</x:f>
        <x:v>Completed</x:v>
      </x:c>
      <x:c r="W843" s="93" t="n">
        <x:f>IF(V843="Returned",0,T843-U843)</x:f>
        <x:v>129</x:v>
      </x:c>
      <x:c r="X843" s="93" t="n">
        <x:f>IF(V843="Returned",Q843*R843*10%,Q843*R843)</x:f>
        <x:v>70</x:v>
      </x:c>
      <x:c r="Y843" s="93" t="n">
        <x:f>W843-X843</x:f>
        <x:v>59</x:v>
      </x:c>
      <x:c r="Z843" s="94" t="n">
        <x:f>IFERROR(Y843/W843,0)</x:f>
        <x:v>0.4573643410852713</x:v>
      </x:c>
      <x:c r="AA843" s="84" t="str">
        <x:f>PROPER(TRIM('Raw Sales'!M843))</x:f>
        <x:v>Paypal</x:v>
      </x:c>
      <x:c r="AB843" s="84" t="str">
        <x:f>PROPER(TRIM('Raw Sales'!N843))</x:f>
        <x:v>Nora Kim</x:v>
      </x:c>
      <x:c r="AC843" s="85" t="n">
        <x:f>'Raw Sales'!O843</x:f>
        <x:v>45596</x:v>
      </x:c>
      <x:c r="AD843" s="84" t="n">
        <x:f>AC843-B843</x:f>
        <x:v>6</x:v>
      </x:c>
      <x:c r="AE843" s="84" t="str">
        <x:f>IF(COUNTIF($A$5:A843,A843)&gt;1,"Duplicate","Keep")</x:f>
        <x:v>Keep</x:v>
      </x:c>
      <x:c r="AF843" s="84" t="str">
        <x:f>IF(OR(R843&lt;=0,AC843&lt;B843,H843="Unknown",M843="Unknown Product"),"Review","Valid")</x:f>
        <x:v>Valid</x:v>
      </x:c>
      <x:c r="AG843" s="84" t="n">
        <x:f>IF(AND(AE843="Keep",AF843="Valid"),1,0)</x:f>
        <x:v>1</x:v>
      </x:c>
      <x:c r="AH843" s="84" t="n">
        <x:f>IF(AND(AG843=1,OR('Dashboard'!$B$4="All",I843='Dashboard'!$B$4),OR('Dashboard'!$E$4="All",N843='Dashboard'!$E$4),OR('Dashboard'!$H$4="All",K843='Dashboard'!$H$4),OR('Dashboard'!$K$4="All",C843='Dashboard'!$K$4)),1,0)</x:f>
        <x:v>1</x:v>
      </x:c>
      <x:c r="AI843" s="84" t="n">
        <x:f>IF(AND(AG843=1,OR('Dashboard'!$B$4="All",I843='Dashboard'!$B$4),OR('Dashboard'!$E$4="All",N843='Dashboard'!$E$4),OR('Dashboard'!$H$4="All",K843='Dashboard'!$H$4)),1,0)</x:f>
        <x:v>1</x:v>
      </x:c>
    </x:row>
    <x:row r="844">
      <x:c r="A844" s="84" t="str">
        <x:f>'Raw Sales'!A844</x:f>
        <x:v>ORD-2024-01238</x:v>
      </x:c>
      <x:c r="B844" s="85" t="n">
        <x:f>'Raw Sales'!B844</x:f>
        <x:v>45590</x:v>
      </x:c>
      <x:c r="C844" s="84" t="n">
        <x:f>YEAR(B844)</x:f>
        <x:v>2024</x:v>
      </x:c>
      <x:c r="D844" s="91" t="n">
        <x:f>DATE(YEAR(B844),MONTH(B844),1)</x:f>
        <x:v>45566</x:v>
      </x:c>
      <x:c r="E844" s="84" t="str">
        <x:f>TEXT(B844,"mmm")</x:f>
        <x:v>Oct</x:v>
      </x:c>
      <x:c r="F844" s="84" t="str">
        <x:f>'Raw Sales'!C844</x:f>
        <x:v>CUST-0257</x:v>
      </x:c>
      <x:c r="G844" s="84" t="str">
        <x:f>PROPER(TRIM('Raw Sales'!D844))</x:f>
        <x:v>Elias Davis</x:v>
      </x:c>
      <x:c r="H844" s="84" t="str">
        <x:f>IF(TRIM('Raw Sales'!E844)="","Unknown",PROPER(TRIM('Raw Sales'!E844)))</x:f>
        <x:v>Corporate</x:v>
      </x:c>
      <x:c r="I844" s="84" t="str">
        <x:f>PROPER(TRIM('Raw Sales'!F844))</x:f>
        <x:v>Northeast</x:v>
      </x:c>
      <x:c r="J844" s="84" t="str">
        <x:f>PROPER(TRIM('Raw Sales'!G844))</x:f>
        <x:v>Boston</x:v>
      </x:c>
      <x:c r="K844" s="84" t="str">
        <x:f>PROPER(TRIM('Raw Sales'!H844))</x:f>
        <x:v>Retail Store</x:v>
      </x:c>
      <x:c r="L844" s="84" t="str">
        <x:f>'Raw Sales'!I844</x:f>
        <x:v>FITN-001</x:v>
      </x:c>
      <x:c r="M844" s="84" t="str">
        <x:f>IFERROR(VLOOKUP(L844,'Reference Data'!$A$5:$F$40,2,FALSE),"Unknown Product")</x:f>
        <x:v>Yoga Mat</x:v>
      </x:c>
      <x:c r="N844" s="84" t="str">
        <x:f>IFERROR(VLOOKUP(L844,'Reference Data'!$A$5:$F$40,3,FALSE),"Unknown")</x:f>
        <x:v>Fitness</x:v>
      </x:c>
      <x:c r="O844" s="84" t="str">
        <x:f>IFERROR(VLOOKUP(L844,'Reference Data'!$A$5:$F$40,4,FALSE),"Unknown")</x:f>
        <x:v>Yoga</x:v>
      </x:c>
      <x:c r="P844" s="92" t="n">
        <x:f>IFERROR(VLOOKUP(L844,'Reference Data'!$A$5:$F$40,5,FALSE),0)</x:f>
        <x:v>35</x:v>
      </x:c>
      <x:c r="Q844" s="92" t="n">
        <x:f>IFERROR(VLOOKUP(L844,'Reference Data'!$A$5:$F$40,6,FALSE),0)</x:f>
        <x:v>13</x:v>
      </x:c>
      <x:c r="R844" s="84" t="n">
        <x:f>'Raw Sales'!J844</x:f>
        <x:v>4</x:v>
      </x:c>
      <x:c r="S844" s="87" t="n">
        <x:f>'Raw Sales'!K844</x:f>
        <x:v>0.05</x:v>
      </x:c>
      <x:c r="T844" s="93" t="n">
        <x:f>P844*R844</x:f>
        <x:v>140</x:v>
      </x:c>
      <x:c r="U844" s="93" t="n">
        <x:f>T844*S844</x:f>
        <x:v>7</x:v>
      </x:c>
      <x:c r="V844" s="93" t="str">
        <x:f>PROPER(TRIM('Raw Sales'!L844))</x:f>
        <x:v>Returned</x:v>
      </x:c>
      <x:c r="W844" s="93" t="n">
        <x:f>IF(V844="Returned",0,T844-U844)</x:f>
        <x:v>0</x:v>
      </x:c>
      <x:c r="X844" s="93" t="n">
        <x:f>IF(V844="Returned",Q844*R844*10%,Q844*R844)</x:f>
        <x:v>5.2</x:v>
      </x:c>
      <x:c r="Y844" s="93" t="n">
        <x:f>W844-X844</x:f>
        <x:v>-5.2</x:v>
      </x:c>
      <x:c r="Z844" s="94" t="n">
        <x:f>IFERROR(Y844/W844,0)</x:f>
        <x:v>0</x:v>
      </x:c>
      <x:c r="AA844" s="84" t="str">
        <x:f>PROPER(TRIM('Raw Sales'!M844))</x:f>
        <x:v>Credit Card</x:v>
      </x:c>
      <x:c r="AB844" s="84" t="str">
        <x:f>PROPER(TRIM('Raw Sales'!N844))</x:f>
        <x:v>Ethan Cole</x:v>
      </x:c>
      <x:c r="AC844" s="85" t="n">
        <x:f>'Raw Sales'!O844</x:f>
        <x:v>45590</x:v>
      </x:c>
      <x:c r="AD844" s="84" t="n">
        <x:f>AC844-B844</x:f>
        <x:v>0</x:v>
      </x:c>
      <x:c r="AE844" s="84" t="str">
        <x:f>IF(COUNTIF($A$5:A844,A844)&gt;1,"Duplicate","Keep")</x:f>
        <x:v>Keep</x:v>
      </x:c>
      <x:c r="AF844" s="84" t="str">
        <x:f>IF(OR(R844&lt;=0,AC844&lt;B844,H844="Unknown",M844="Unknown Product"),"Review","Valid")</x:f>
        <x:v>Valid</x:v>
      </x:c>
      <x:c r="AG844" s="84" t="n">
        <x:f>IF(AND(AE844="Keep",AF844="Valid"),1,0)</x:f>
        <x:v>1</x:v>
      </x:c>
      <x:c r="AH844" s="84" t="n">
        <x:f>IF(AND(AG844=1,OR('Dashboard'!$B$4="All",I844='Dashboard'!$B$4),OR('Dashboard'!$E$4="All",N844='Dashboard'!$E$4),OR('Dashboard'!$H$4="All",K844='Dashboard'!$H$4),OR('Dashboard'!$K$4="All",C844='Dashboard'!$K$4)),1,0)</x:f>
        <x:v>1</x:v>
      </x:c>
      <x:c r="AI844" s="84" t="n">
        <x:f>IF(AND(AG844=1,OR('Dashboard'!$B$4="All",I844='Dashboard'!$B$4),OR('Dashboard'!$E$4="All",N844='Dashboard'!$E$4),OR('Dashboard'!$H$4="All",K844='Dashboard'!$H$4)),1,0)</x:f>
        <x:v>1</x:v>
      </x:c>
    </x:row>
    <x:row r="845">
      <x:c r="A845" s="84" t="str">
        <x:f>'Raw Sales'!A845</x:f>
        <x:v>ORD-2024-01421</x:v>
      </x:c>
      <x:c r="B845" s="85" t="n">
        <x:f>'Raw Sales'!B845</x:f>
        <x:v>45591</x:v>
      </x:c>
      <x:c r="C845" s="84" t="n">
        <x:f>YEAR(B845)</x:f>
        <x:v>2024</x:v>
      </x:c>
      <x:c r="D845" s="91" t="n">
        <x:f>DATE(YEAR(B845),MONTH(B845),1)</x:f>
        <x:v>45566</x:v>
      </x:c>
      <x:c r="E845" s="84" t="str">
        <x:f>TEXT(B845,"mmm")</x:f>
        <x:v>Oct</x:v>
      </x:c>
      <x:c r="F845" s="84" t="str">
        <x:f>'Raw Sales'!C845</x:f>
        <x:v>CUST-0067</x:v>
      </x:c>
      <x:c r="G845" s="84" t="str">
        <x:f>PROPER(TRIM('Raw Sales'!D845))</x:f>
        <x:v>William Garcia</x:v>
      </x:c>
      <x:c r="H845" s="84" t="str">
        <x:f>IF(TRIM('Raw Sales'!E845)="","Unknown",PROPER(TRIM('Raw Sales'!E845)))</x:f>
        <x:v>Consumer</x:v>
      </x:c>
      <x:c r="I845" s="84" t="str">
        <x:f>PROPER(TRIM('Raw Sales'!F845))</x:f>
        <x:v>West</x:v>
      </x:c>
      <x:c r="J845" s="84" t="str">
        <x:f>PROPER(TRIM('Raw Sales'!G845))</x:f>
        <x:v>Phoenix</x:v>
      </x:c>
      <x:c r="K845" s="84" t="str">
        <x:f>PROPER(TRIM('Raw Sales'!H845))</x:f>
        <x:v>Online</x:v>
      </x:c>
      <x:c r="L845" s="84" t="str">
        <x:f>'Raw Sales'!I845</x:f>
        <x:v>HOME-003</x:v>
      </x:c>
      <x:c r="M845" s="84" t="str">
        <x:f>IFERROR(VLOOKUP(L845,'Reference Data'!$A$5:$F$40,2,FALSE),"Unknown Product")</x:f>
        <x:v>Countertop Blender</x:v>
      </x:c>
      <x:c r="N845" s="84" t="str">
        <x:f>IFERROR(VLOOKUP(L845,'Reference Data'!$A$5:$F$40,3,FALSE),"Unknown")</x:f>
        <x:v>Home &amp; Kitchen</x:v>
      </x:c>
      <x:c r="O845" s="84" t="str">
        <x:f>IFERROR(VLOOKUP(L845,'Reference Data'!$A$5:$F$40,4,FALSE),"Unknown")</x:f>
        <x:v>Small Appliances</x:v>
      </x:c>
      <x:c r="P845" s="92" t="n">
        <x:f>IFERROR(VLOOKUP(L845,'Reference Data'!$A$5:$F$40,5,FALSE),0)</x:f>
        <x:v>89</x:v>
      </x:c>
      <x:c r="Q845" s="92" t="n">
        <x:f>IFERROR(VLOOKUP(L845,'Reference Data'!$A$5:$F$40,6,FALSE),0)</x:f>
        <x:v>46</x:v>
      </x:c>
      <x:c r="R845" s="84" t="n">
        <x:f>'Raw Sales'!J845</x:f>
        <x:v>1</x:v>
      </x:c>
      <x:c r="S845" s="87" t="n">
        <x:f>'Raw Sales'!K845</x:f>
        <x:v>0.05</x:v>
      </x:c>
      <x:c r="T845" s="93" t="n">
        <x:f>P845*R845</x:f>
        <x:v>89</x:v>
      </x:c>
      <x:c r="U845" s="93" t="n">
        <x:f>T845*S845</x:f>
        <x:v>4.45</x:v>
      </x:c>
      <x:c r="V845" s="93" t="str">
        <x:f>PROPER(TRIM('Raw Sales'!L845))</x:f>
        <x:v>Completed</x:v>
      </x:c>
      <x:c r="W845" s="93" t="n">
        <x:f>IF(V845="Returned",0,T845-U845)</x:f>
        <x:v>84.55</x:v>
      </x:c>
      <x:c r="X845" s="93" t="n">
        <x:f>IF(V845="Returned",Q845*R845*10%,Q845*R845)</x:f>
        <x:v>46</x:v>
      </x:c>
      <x:c r="Y845" s="93" t="n">
        <x:f>W845-X845</x:f>
        <x:v>38.55</x:v>
      </x:c>
      <x:c r="Z845" s="94" t="n">
        <x:f>IFERROR(Y845/W845,0)</x:f>
        <x:v>0.4559432288586635</x:v>
      </x:c>
      <x:c r="AA845" s="84" t="str">
        <x:f>PROPER(TRIM('Raw Sales'!M845))</x:f>
        <x:v>Paypal</x:v>
      </x:c>
      <x:c r="AB845" s="84" t="str">
        <x:f>PROPER(TRIM('Raw Sales'!N845))</x:f>
        <x:v>Mia Chen</x:v>
      </x:c>
      <x:c r="AC845" s="85" t="n">
        <x:f>'Raw Sales'!O845</x:f>
        <x:v>45596</x:v>
      </x:c>
      <x:c r="AD845" s="84" t="n">
        <x:f>AC845-B845</x:f>
        <x:v>5</x:v>
      </x:c>
      <x:c r="AE845" s="84" t="str">
        <x:f>IF(COUNTIF($A$5:A845,A845)&gt;1,"Duplicate","Keep")</x:f>
        <x:v>Keep</x:v>
      </x:c>
      <x:c r="AF845" s="84" t="str">
        <x:f>IF(OR(R845&lt;=0,AC845&lt;B845,H845="Unknown",M845="Unknown Product"),"Review","Valid")</x:f>
        <x:v>Valid</x:v>
      </x:c>
      <x:c r="AG845" s="84" t="n">
        <x:f>IF(AND(AE845="Keep",AF845="Valid"),1,0)</x:f>
        <x:v>1</x:v>
      </x:c>
      <x:c r="AH845" s="84" t="n">
        <x:f>IF(AND(AG845=1,OR('Dashboard'!$B$4="All",I845='Dashboard'!$B$4),OR('Dashboard'!$E$4="All",N845='Dashboard'!$E$4),OR('Dashboard'!$H$4="All",K845='Dashboard'!$H$4),OR('Dashboard'!$K$4="All",C845='Dashboard'!$K$4)),1,0)</x:f>
        <x:v>1</x:v>
      </x:c>
      <x:c r="AI845" s="84" t="n">
        <x:f>IF(AND(AG845=1,OR('Dashboard'!$B$4="All",I845='Dashboard'!$B$4),OR('Dashboard'!$E$4="All",N845='Dashboard'!$E$4),OR('Dashboard'!$H$4="All",K845='Dashboard'!$H$4)),1,0)</x:f>
        <x:v>1</x:v>
      </x:c>
    </x:row>
    <x:row r="846">
      <x:c r="A846" s="84" t="str">
        <x:f>'Raw Sales'!A846</x:f>
        <x:v>ORD-2024-02240</x:v>
      </x:c>
      <x:c r="B846" s="85" t="n">
        <x:f>'Raw Sales'!B846</x:f>
        <x:v>45591</x:v>
      </x:c>
      <x:c r="C846" s="84" t="n">
        <x:f>YEAR(B846)</x:f>
        <x:v>2024</x:v>
      </x:c>
      <x:c r="D846" s="91" t="n">
        <x:f>DATE(YEAR(B846),MONTH(B846),1)</x:f>
        <x:v>45566</x:v>
      </x:c>
      <x:c r="E846" s="84" t="str">
        <x:f>TEXT(B846,"mmm")</x:f>
        <x:v>Oct</x:v>
      </x:c>
      <x:c r="F846" s="84" t="str">
        <x:f>'Raw Sales'!C846</x:f>
        <x:v>CUST-0600</x:v>
      </x:c>
      <x:c r="G846" s="84" t="str">
        <x:f>PROPER(TRIM('Raw Sales'!D846))</x:f>
        <x:v>Theo Walker</x:v>
      </x:c>
      <x:c r="H846" s="84" t="str">
        <x:f>IF(TRIM('Raw Sales'!E846)="","Unknown",PROPER(TRIM('Raw Sales'!E846)))</x:f>
        <x:v>Consumer</x:v>
      </x:c>
      <x:c r="I846" s="84" t="str">
        <x:f>PROPER(TRIM('Raw Sales'!F846))</x:f>
        <x:v>Southeast</x:v>
      </x:c>
      <x:c r="J846" s="84" t="str">
        <x:f>PROPER(TRIM('Raw Sales'!G846))</x:f>
        <x:v>Charlotte</x:v>
      </x:c>
      <x:c r="K846" s="84" t="str">
        <x:f>PROPER(TRIM('Raw Sales'!H846))</x:f>
        <x:v>Retail Store</x:v>
      </x:c>
      <x:c r="L846" s="84" t="str">
        <x:f>'Raw Sales'!I846</x:f>
        <x:v>FITN-005</x:v>
      </x:c>
      <x:c r="M846" s="84" t="str">
        <x:f>IFERROR(VLOOKUP(L846,'Reference Data'!$A$5:$F$40,2,FALSE),"Unknown Product")</x:f>
        <x:v>Sports Water Bottle</x:v>
      </x:c>
      <x:c r="N846" s="84" t="str">
        <x:f>IFERROR(VLOOKUP(L846,'Reference Data'!$A$5:$F$40,3,FALSE),"Unknown")</x:f>
        <x:v>Fitness</x:v>
      </x:c>
      <x:c r="O846" s="84" t="str">
        <x:f>IFERROR(VLOOKUP(L846,'Reference Data'!$A$5:$F$40,4,FALSE),"Unknown")</x:f>
        <x:v>Accessories</x:v>
      </x:c>
      <x:c r="P846" s="92" t="n">
        <x:f>IFERROR(VLOOKUP(L846,'Reference Data'!$A$5:$F$40,5,FALSE),0)</x:f>
        <x:v>22</x:v>
      </x:c>
      <x:c r="Q846" s="92" t="n">
        <x:f>IFERROR(VLOOKUP(L846,'Reference Data'!$A$5:$F$40,6,FALSE),0)</x:f>
        <x:v>7</x:v>
      </x:c>
      <x:c r="R846" s="84" t="n">
        <x:f>'Raw Sales'!J846</x:f>
        <x:v>1</x:v>
      </x:c>
      <x:c r="S846" s="87" t="n">
        <x:f>'Raw Sales'!K846</x:f>
        <x:v>0</x:v>
      </x:c>
      <x:c r="T846" s="93" t="n">
        <x:f>P846*R846</x:f>
        <x:v>22</x:v>
      </x:c>
      <x:c r="U846" s="93" t="n">
        <x:f>T846*S846</x:f>
        <x:v>0</x:v>
      </x:c>
      <x:c r="V846" s="93" t="str">
        <x:f>PROPER(TRIM('Raw Sales'!L846))</x:f>
        <x:v>Completed</x:v>
      </x:c>
      <x:c r="W846" s="93" t="n">
        <x:f>IF(V846="Returned",0,T846-U846)</x:f>
        <x:v>22</x:v>
      </x:c>
      <x:c r="X846" s="93" t="n">
        <x:f>IF(V846="Returned",Q846*R846*10%,Q846*R846)</x:f>
        <x:v>7</x:v>
      </x:c>
      <x:c r="Y846" s="93" t="n">
        <x:f>W846-X846</x:f>
        <x:v>15</x:v>
      </x:c>
      <x:c r="Z846" s="94" t="n">
        <x:f>IFERROR(Y846/W846,0)</x:f>
        <x:v>0.6818181818181818</x:v>
      </x:c>
      <x:c r="AA846" s="84" t="str">
        <x:f>PROPER(TRIM('Raw Sales'!M846))</x:f>
        <x:v>Mobile Wallet</x:v>
      </x:c>
      <x:c r="AB846" s="84" t="str">
        <x:f>PROPER(TRIM('Raw Sales'!N846))</x:f>
        <x:v>Liam Parker</x:v>
      </x:c>
      <x:c r="AC846" s="85" t="n">
        <x:f>'Raw Sales'!O846</x:f>
        <x:v>45591</x:v>
      </x:c>
      <x:c r="AD846" s="84" t="n">
        <x:f>AC846-B846</x:f>
        <x:v>0</x:v>
      </x:c>
      <x:c r="AE846" s="84" t="str">
        <x:f>IF(COUNTIF($A$5:A846,A846)&gt;1,"Duplicate","Keep")</x:f>
        <x:v>Keep</x:v>
      </x:c>
      <x:c r="AF846" s="84" t="str">
        <x:f>IF(OR(R846&lt;=0,AC846&lt;B846,H846="Unknown",M846="Unknown Product"),"Review","Valid")</x:f>
        <x:v>Valid</x:v>
      </x:c>
      <x:c r="AG846" s="84" t="n">
        <x:f>IF(AND(AE846="Keep",AF846="Valid"),1,0)</x:f>
        <x:v>1</x:v>
      </x:c>
      <x:c r="AH846" s="84" t="n">
        <x:f>IF(AND(AG846=1,OR('Dashboard'!$B$4="All",I846='Dashboard'!$B$4),OR('Dashboard'!$E$4="All",N846='Dashboard'!$E$4),OR('Dashboard'!$H$4="All",K846='Dashboard'!$H$4),OR('Dashboard'!$K$4="All",C846='Dashboard'!$K$4)),1,0)</x:f>
        <x:v>1</x:v>
      </x:c>
      <x:c r="AI846" s="84" t="n">
        <x:f>IF(AND(AG846=1,OR('Dashboard'!$B$4="All",I846='Dashboard'!$B$4),OR('Dashboard'!$E$4="All",N846='Dashboard'!$E$4),OR('Dashboard'!$H$4="All",K846='Dashboard'!$H$4)),1,0)</x:f>
        <x:v>1</x:v>
      </x:c>
    </x:row>
    <x:row r="847">
      <x:c r="A847" s="84" t="str">
        <x:f>'Raw Sales'!A847</x:f>
        <x:v>ORD-2024-00561</x:v>
      </x:c>
      <x:c r="B847" s="85" t="n">
        <x:f>'Raw Sales'!B847</x:f>
        <x:v>45592</x:v>
      </x:c>
      <x:c r="C847" s="84" t="n">
        <x:f>YEAR(B847)</x:f>
        <x:v>2024</x:v>
      </x:c>
      <x:c r="D847" s="91" t="n">
        <x:f>DATE(YEAR(B847),MONTH(B847),1)</x:f>
        <x:v>45566</x:v>
      </x:c>
      <x:c r="E847" s="84" t="str">
        <x:f>TEXT(B847,"mmm")</x:f>
        <x:v>Oct</x:v>
      </x:c>
      <x:c r="F847" s="84" t="str">
        <x:f>'Raw Sales'!C847</x:f>
        <x:v>CUST-0016</x:v>
      </x:c>
      <x:c r="G847" s="84" t="str">
        <x:f>PROPER(TRIM('Raw Sales'!D847))</x:f>
        <x:v>Jonah Young</x:v>
      </x:c>
      <x:c r="H847" s="84" t="str">
        <x:f>IF(TRIM('Raw Sales'!E847)="","Unknown",PROPER(TRIM('Raw Sales'!E847)))</x:f>
        <x:v>Consumer</x:v>
      </x:c>
      <x:c r="I847" s="84" t="str">
        <x:f>PROPER(TRIM('Raw Sales'!F847))</x:f>
        <x:v>Northeast</x:v>
      </x:c>
      <x:c r="J847" s="84" t="str">
        <x:f>PROPER(TRIM('Raw Sales'!G847))</x:f>
        <x:v>New York</x:v>
      </x:c>
      <x:c r="K847" s="84" t="str">
        <x:f>PROPER(TRIM('Raw Sales'!H847))</x:f>
        <x:v>Retail Store</x:v>
      </x:c>
      <x:c r="L847" s="84" t="str">
        <x:f>'Raw Sales'!I847</x:f>
        <x:v>OFFC-005</x:v>
      </x:c>
      <x:c r="M847" s="84" t="str">
        <x:f>IFERROR(VLOOKUP(L847,'Reference Data'!$A$5:$F$40,2,FALSE),"Unknown Product")</x:f>
        <x:v>Wireless Keyboard</x:v>
      </x:c>
      <x:c r="N847" s="84" t="str">
        <x:f>IFERROR(VLOOKUP(L847,'Reference Data'!$A$5:$F$40,3,FALSE),"Unknown")</x:f>
        <x:v>Office</x:v>
      </x:c>
      <x:c r="O847" s="84" t="str">
        <x:f>IFERROR(VLOOKUP(L847,'Reference Data'!$A$5:$F$40,4,FALSE),"Unknown")</x:f>
        <x:v>Computer Accessories</x:v>
      </x:c>
      <x:c r="P847" s="92" t="n">
        <x:f>IFERROR(VLOOKUP(L847,'Reference Data'!$A$5:$F$40,5,FALSE),0)</x:f>
        <x:v>59</x:v>
      </x:c>
      <x:c r="Q847" s="92" t="n">
        <x:f>IFERROR(VLOOKUP(L847,'Reference Data'!$A$5:$F$40,6,FALSE),0)</x:f>
        <x:v>28</x:v>
      </x:c>
      <x:c r="R847" s="84" t="n">
        <x:f>'Raw Sales'!J847</x:f>
        <x:v>1</x:v>
      </x:c>
      <x:c r="S847" s="87" t="n">
        <x:f>'Raw Sales'!K847</x:f>
        <x:v>0</x:v>
      </x:c>
      <x:c r="T847" s="93" t="n">
        <x:f>P847*R847</x:f>
        <x:v>59</x:v>
      </x:c>
      <x:c r="U847" s="93" t="n">
        <x:f>T847*S847</x:f>
        <x:v>0</x:v>
      </x:c>
      <x:c r="V847" s="93" t="str">
        <x:f>PROPER(TRIM('Raw Sales'!L847))</x:f>
        <x:v>Completed</x:v>
      </x:c>
      <x:c r="W847" s="93" t="n">
        <x:f>IF(V847="Returned",0,T847-U847)</x:f>
        <x:v>59</x:v>
      </x:c>
      <x:c r="X847" s="93" t="n">
        <x:f>IF(V847="Returned",Q847*R847*10%,Q847*R847)</x:f>
        <x:v>28</x:v>
      </x:c>
      <x:c r="Y847" s="93" t="n">
        <x:f>W847-X847</x:f>
        <x:v>31</x:v>
      </x:c>
      <x:c r="Z847" s="94" t="n">
        <x:f>IFERROR(Y847/W847,0)</x:f>
        <x:v>0.5254237288135594</x:v>
      </x:c>
      <x:c r="AA847" s="84" t="str">
        <x:f>PROPER(TRIM('Raw Sales'!M847))</x:f>
        <x:v>Cash</x:v>
      </x:c>
      <x:c r="AB847" s="84" t="str">
        <x:f>PROPER(TRIM('Raw Sales'!N847))</x:f>
        <x:v>Ethan Cole</x:v>
      </x:c>
      <x:c r="AC847" s="85" t="n">
        <x:f>'Raw Sales'!O847</x:f>
        <x:v>45593</x:v>
      </x:c>
      <x:c r="AD847" s="84" t="n">
        <x:f>AC847-B847</x:f>
        <x:v>1</x:v>
      </x:c>
      <x:c r="AE847" s="84" t="str">
        <x:f>IF(COUNTIF($A$5:A847,A847)&gt;1,"Duplicate","Keep")</x:f>
        <x:v>Keep</x:v>
      </x:c>
      <x:c r="AF847" s="84" t="str">
        <x:f>IF(OR(R847&lt;=0,AC847&lt;B847,H847="Unknown",M847="Unknown Product"),"Review","Valid")</x:f>
        <x:v>Valid</x:v>
      </x:c>
      <x:c r="AG847" s="84" t="n">
        <x:f>IF(AND(AE847="Keep",AF847="Valid"),1,0)</x:f>
        <x:v>1</x:v>
      </x:c>
      <x:c r="AH847" s="84" t="n">
        <x:f>IF(AND(AG847=1,OR('Dashboard'!$B$4="All",I847='Dashboard'!$B$4),OR('Dashboard'!$E$4="All",N847='Dashboard'!$E$4),OR('Dashboard'!$H$4="All",K847='Dashboard'!$H$4),OR('Dashboard'!$K$4="All",C847='Dashboard'!$K$4)),1,0)</x:f>
        <x:v>1</x:v>
      </x:c>
      <x:c r="AI847" s="84" t="n">
        <x:f>IF(AND(AG847=1,OR('Dashboard'!$B$4="All",I847='Dashboard'!$B$4),OR('Dashboard'!$E$4="All",N847='Dashboard'!$E$4),OR('Dashboard'!$H$4="All",K847='Dashboard'!$H$4)),1,0)</x:f>
        <x:v>1</x:v>
      </x:c>
    </x:row>
    <x:row r="848">
      <x:c r="A848" s="84" t="str">
        <x:f>'Raw Sales'!A848</x:f>
        <x:v>ORD-2024-00086</x:v>
      </x:c>
      <x:c r="B848" s="85" t="n">
        <x:f>'Raw Sales'!B848</x:f>
        <x:v>45593</x:v>
      </x:c>
      <x:c r="C848" s="84" t="n">
        <x:f>YEAR(B848)</x:f>
        <x:v>2024</x:v>
      </x:c>
      <x:c r="D848" s="91" t="n">
        <x:f>DATE(YEAR(B848),MONTH(B848),1)</x:f>
        <x:v>45566</x:v>
      </x:c>
      <x:c r="E848" s="84" t="str">
        <x:f>TEXT(B848,"mmm")</x:f>
        <x:v>Oct</x:v>
      </x:c>
      <x:c r="F848" s="84" t="str">
        <x:f>'Raw Sales'!C848</x:f>
        <x:v>CUST-0253</x:v>
      </x:c>
      <x:c r="G848" s="84" t="str">
        <x:f>PROPER(TRIM('Raw Sales'!D848))</x:f>
        <x:v>Caleb Quinn</x:v>
      </x:c>
      <x:c r="H848" s="84" t="str">
        <x:f>IF(TRIM('Raw Sales'!E848)="","Unknown",PROPER(TRIM('Raw Sales'!E848)))</x:f>
        <x:v>Corporate</x:v>
      </x:c>
      <x:c r="I848" s="84" t="str">
        <x:f>PROPER(TRIM('Raw Sales'!F848))</x:f>
        <x:v>Midwest</x:v>
      </x:c>
      <x:c r="J848" s="84" t="str">
        <x:f>PROPER(TRIM('Raw Sales'!G848))</x:f>
        <x:v>Chicago</x:v>
      </x:c>
      <x:c r="K848" s="84" t="str">
        <x:f>PROPER(TRIM('Raw Sales'!H848))</x:f>
        <x:v>Retail Store</x:v>
      </x:c>
      <x:c r="L848" s="84" t="str">
        <x:f>'Raw Sales'!I848</x:f>
        <x:v>CARE-002</x:v>
      </x:c>
      <x:c r="M848" s="84" t="str">
        <x:f>IFERROR(VLOOKUP(L848,'Reference Data'!$A$5:$F$40,2,FALSE),"Unknown Product")</x:f>
        <x:v>Rechargeable Trimmer</x:v>
      </x:c>
      <x:c r="N848" s="84" t="str">
        <x:f>IFERROR(VLOOKUP(L848,'Reference Data'!$A$5:$F$40,3,FALSE),"Unknown")</x:f>
        <x:v>Personal Care</x:v>
      </x:c>
      <x:c r="O848" s="84" t="str">
        <x:f>IFERROR(VLOOKUP(L848,'Reference Data'!$A$5:$F$40,4,FALSE),"Unknown")</x:f>
        <x:v>Grooming</x:v>
      </x:c>
      <x:c r="P848" s="92" t="n">
        <x:f>IFERROR(VLOOKUP(L848,'Reference Data'!$A$5:$F$40,5,FALSE),0)</x:f>
        <x:v>45</x:v>
      </x:c>
      <x:c r="Q848" s="92" t="n">
        <x:f>IFERROR(VLOOKUP(L848,'Reference Data'!$A$5:$F$40,6,FALSE),0)</x:f>
        <x:v>19</x:v>
      </x:c>
      <x:c r="R848" s="84" t="n">
        <x:f>'Raw Sales'!J848</x:f>
        <x:v>4</x:v>
      </x:c>
      <x:c r="S848" s="87" t="n">
        <x:f>'Raw Sales'!K848</x:f>
        <x:v>0.05</x:v>
      </x:c>
      <x:c r="T848" s="93" t="n">
        <x:f>P848*R848</x:f>
        <x:v>180</x:v>
      </x:c>
      <x:c r="U848" s="93" t="n">
        <x:f>T848*S848</x:f>
        <x:v>9</x:v>
      </x:c>
      <x:c r="V848" s="93" t="str">
        <x:f>PROPER(TRIM('Raw Sales'!L848))</x:f>
        <x:v>Completed</x:v>
      </x:c>
      <x:c r="W848" s="93" t="n">
        <x:f>IF(V848="Returned",0,T848-U848)</x:f>
        <x:v>171</x:v>
      </x:c>
      <x:c r="X848" s="93" t="n">
        <x:f>IF(V848="Returned",Q848*R848*10%,Q848*R848)</x:f>
        <x:v>76</x:v>
      </x:c>
      <x:c r="Y848" s="93" t="n">
        <x:f>W848-X848</x:f>
        <x:v>95</x:v>
      </x:c>
      <x:c r="Z848" s="94" t="n">
        <x:f>IFERROR(Y848/W848,0)</x:f>
        <x:v>0.5555555555555556</x:v>
      </x:c>
      <x:c r="AA848" s="84" t="str">
        <x:f>PROPER(TRIM('Raw Sales'!M848))</x:f>
        <x:v>Credit Card</x:v>
      </x:c>
      <x:c r="AB848" s="84" t="str">
        <x:f>PROPER(TRIM('Raw Sales'!N848))</x:f>
        <x:v>Zoe Turner</x:v>
      </x:c>
      <x:c r="AC848" s="85" t="n">
        <x:f>'Raw Sales'!O848</x:f>
        <x:v>45593</x:v>
      </x:c>
      <x:c r="AD848" s="84" t="n">
        <x:f>AC848-B848</x:f>
        <x:v>0</x:v>
      </x:c>
      <x:c r="AE848" s="84" t="str">
        <x:f>IF(COUNTIF($A$5:A848,A848)&gt;1,"Duplicate","Keep")</x:f>
        <x:v>Keep</x:v>
      </x:c>
      <x:c r="AF848" s="84" t="str">
        <x:f>IF(OR(R848&lt;=0,AC848&lt;B848,H848="Unknown",M848="Unknown Product"),"Review","Valid")</x:f>
        <x:v>Valid</x:v>
      </x:c>
      <x:c r="AG848" s="84" t="n">
        <x:f>IF(AND(AE848="Keep",AF848="Valid"),1,0)</x:f>
        <x:v>1</x:v>
      </x:c>
      <x:c r="AH848" s="84" t="n">
        <x:f>IF(AND(AG848=1,OR('Dashboard'!$B$4="All",I848='Dashboard'!$B$4),OR('Dashboard'!$E$4="All",N848='Dashboard'!$E$4),OR('Dashboard'!$H$4="All",K848='Dashboard'!$H$4),OR('Dashboard'!$K$4="All",C848='Dashboard'!$K$4)),1,0)</x:f>
        <x:v>1</x:v>
      </x:c>
      <x:c r="AI848" s="84" t="n">
        <x:f>IF(AND(AG848=1,OR('Dashboard'!$B$4="All",I848='Dashboard'!$B$4),OR('Dashboard'!$E$4="All",N848='Dashboard'!$E$4),OR('Dashboard'!$H$4="All",K848='Dashboard'!$H$4)),1,0)</x:f>
        <x:v>1</x:v>
      </x:c>
    </x:row>
    <x:row r="849">
      <x:c r="A849" s="84" t="str">
        <x:f>'Raw Sales'!A849</x:f>
        <x:v>ORD-2024-00320</x:v>
      </x:c>
      <x:c r="B849" s="85" t="n">
        <x:f>'Raw Sales'!B849</x:f>
        <x:v>45593</x:v>
      </x:c>
      <x:c r="C849" s="84" t="n">
        <x:f>YEAR(B849)</x:f>
        <x:v>2024</x:v>
      </x:c>
      <x:c r="D849" s="91" t="n">
        <x:f>DATE(YEAR(B849),MONTH(B849),1)</x:f>
        <x:v>45566</x:v>
      </x:c>
      <x:c r="E849" s="84" t="str">
        <x:f>TEXT(B849,"mmm")</x:f>
        <x:v>Oct</x:v>
      </x:c>
      <x:c r="F849" s="84" t="str">
        <x:f>'Raw Sales'!C849</x:f>
        <x:v>CUST-0297</x:v>
      </x:c>
      <x:c r="G849" s="84" t="str">
        <x:f>PROPER(TRIM('Raw Sales'!D849))</x:f>
        <x:v>Nathan Davis</x:v>
      </x:c>
      <x:c r="H849" s="84" t="str">
        <x:f>IF(TRIM('Raw Sales'!E849)="","Unknown",PROPER(TRIM('Raw Sales'!E849)))</x:f>
        <x:v>Consumer</x:v>
      </x:c>
      <x:c r="I849" s="84" t="str">
        <x:f>PROPER(TRIM('Raw Sales'!F849))</x:f>
        <x:v>Midwest</x:v>
      </x:c>
      <x:c r="J849" s="84" t="str">
        <x:f>PROPER(TRIM('Raw Sales'!G849))</x:f>
        <x:v>Minneapolis</x:v>
      </x:c>
      <x:c r="K849" s="84" t="str">
        <x:f>PROPER(TRIM('Raw Sales'!H849))</x:f>
        <x:v>Marketplace</x:v>
      </x:c>
      <x:c r="L849" s="84" t="str">
        <x:f>'Raw Sales'!I849</x:f>
        <x:v>FITN-006</x:v>
      </x:c>
      <x:c r="M849" s="84" t="str">
        <x:f>IFERROR(VLOOKUP(L849,'Reference Data'!$A$5:$F$40,2,FALSE),"Unknown Product")</x:f>
        <x:v>Foam Roller</x:v>
      </x:c>
      <x:c r="N849" s="84" t="str">
        <x:f>IFERROR(VLOOKUP(L849,'Reference Data'!$A$5:$F$40,3,FALSE),"Unknown")</x:f>
        <x:v>Fitness</x:v>
      </x:c>
      <x:c r="O849" s="84" t="str">
        <x:f>IFERROR(VLOOKUP(L849,'Reference Data'!$A$5:$F$40,4,FALSE),"Unknown")</x:f>
        <x:v>Recovery</x:v>
      </x:c>
      <x:c r="P849" s="92" t="n">
        <x:f>IFERROR(VLOOKUP(L849,'Reference Data'!$A$5:$F$40,5,FALSE),0)</x:f>
        <x:v>31</x:v>
      </x:c>
      <x:c r="Q849" s="92" t="n">
        <x:f>IFERROR(VLOOKUP(L849,'Reference Data'!$A$5:$F$40,6,FALSE),0)</x:f>
        <x:v>12</x:v>
      </x:c>
      <x:c r="R849" s="84" t="n">
        <x:f>'Raw Sales'!J849</x:f>
        <x:v>1</x:v>
      </x:c>
      <x:c r="S849" s="87" t="n">
        <x:f>'Raw Sales'!K849</x:f>
        <x:v>0.1</x:v>
      </x:c>
      <x:c r="T849" s="93" t="n">
        <x:f>P849*R849</x:f>
        <x:v>31</x:v>
      </x:c>
      <x:c r="U849" s="93" t="n">
        <x:f>T849*S849</x:f>
        <x:v>3.1</x:v>
      </x:c>
      <x:c r="V849" s="93" t="str">
        <x:f>PROPER(TRIM('Raw Sales'!L849))</x:f>
        <x:v>Completed</x:v>
      </x:c>
      <x:c r="W849" s="93" t="n">
        <x:f>IF(V849="Returned",0,T849-U849)</x:f>
        <x:v>27.9</x:v>
      </x:c>
      <x:c r="X849" s="93" t="n">
        <x:f>IF(V849="Returned",Q849*R849*10%,Q849*R849)</x:f>
        <x:v>12</x:v>
      </x:c>
      <x:c r="Y849" s="93" t="n">
        <x:f>W849-X849</x:f>
        <x:v>15.899999999999999</x:v>
      </x:c>
      <x:c r="Z849" s="94" t="n">
        <x:f>IFERROR(Y849/W849,0)</x:f>
        <x:v>0.5698924731182795</x:v>
      </x:c>
      <x:c r="AA849" s="84" t="str">
        <x:f>PROPER(TRIM('Raw Sales'!M849))</x:f>
        <x:v>Credit Card</x:v>
      </x:c>
      <x:c r="AB849" s="84" t="str">
        <x:f>PROPER(TRIM('Raw Sales'!N849))</x:f>
        <x:v>Emma Hayes</x:v>
      </x:c>
      <x:c r="AC849" s="85" t="n">
        <x:f>'Raw Sales'!O849</x:f>
        <x:v>45599</x:v>
      </x:c>
      <x:c r="AD849" s="84" t="n">
        <x:f>AC849-B849</x:f>
        <x:v>6</x:v>
      </x:c>
      <x:c r="AE849" s="84" t="str">
        <x:f>IF(COUNTIF($A$5:A849,A849)&gt;1,"Duplicate","Keep")</x:f>
        <x:v>Keep</x:v>
      </x:c>
      <x:c r="AF849" s="84" t="str">
        <x:f>IF(OR(R849&lt;=0,AC849&lt;B849,H849="Unknown",M849="Unknown Product"),"Review","Valid")</x:f>
        <x:v>Valid</x:v>
      </x:c>
      <x:c r="AG849" s="84" t="n">
        <x:f>IF(AND(AE849="Keep",AF849="Valid"),1,0)</x:f>
        <x:v>1</x:v>
      </x:c>
      <x:c r="AH849" s="84" t="n">
        <x:f>IF(AND(AG849=1,OR('Dashboard'!$B$4="All",I849='Dashboard'!$B$4),OR('Dashboard'!$E$4="All",N849='Dashboard'!$E$4),OR('Dashboard'!$H$4="All",K849='Dashboard'!$H$4),OR('Dashboard'!$K$4="All",C849='Dashboard'!$K$4)),1,0)</x:f>
        <x:v>1</x:v>
      </x:c>
      <x:c r="AI849" s="84" t="n">
        <x:f>IF(AND(AG849=1,OR('Dashboard'!$B$4="All",I849='Dashboard'!$B$4),OR('Dashboard'!$E$4="All",N849='Dashboard'!$E$4),OR('Dashboard'!$H$4="All",K849='Dashboard'!$H$4)),1,0)</x:f>
        <x:v>1</x:v>
      </x:c>
    </x:row>
    <x:row r="850">
      <x:c r="A850" s="84" t="str">
        <x:f>'Raw Sales'!A850</x:f>
        <x:v>ORD-2024-00488</x:v>
      </x:c>
      <x:c r="B850" s="85" t="n">
        <x:f>'Raw Sales'!B850</x:f>
        <x:v>45593</x:v>
      </x:c>
      <x:c r="C850" s="84" t="n">
        <x:f>YEAR(B850)</x:f>
        <x:v>2024</x:v>
      </x:c>
      <x:c r="D850" s="91" t="n">
        <x:f>DATE(YEAR(B850),MONTH(B850),1)</x:f>
        <x:v>45566</x:v>
      </x:c>
      <x:c r="E850" s="84" t="str">
        <x:f>TEXT(B850,"mmm")</x:f>
        <x:v>Oct</x:v>
      </x:c>
      <x:c r="F850" s="84" t="str">
        <x:f>'Raw Sales'!C850</x:f>
        <x:v>CUST-0418</x:v>
      </x:c>
      <x:c r="G850" s="84" t="str">
        <x:f>PROPER(TRIM('Raw Sales'!D850))</x:f>
        <x:v>Grace Ortiz</x:v>
      </x:c>
      <x:c r="H850" s="84" t="str">
        <x:f>IF(TRIM('Raw Sales'!E850)="","Unknown",PROPER(TRIM('Raw Sales'!E850)))</x:f>
        <x:v>Unknown</x:v>
      </x:c>
      <x:c r="I850" s="84" t="str">
        <x:f>PROPER(TRIM('Raw Sales'!F850))</x:f>
        <x:v>West</x:v>
      </x:c>
      <x:c r="J850" s="84" t="str">
        <x:f>PROPER(TRIM('Raw Sales'!G850))</x:f>
        <x:v>Seattle</x:v>
      </x:c>
      <x:c r="K850" s="84" t="str">
        <x:f>PROPER(TRIM('Raw Sales'!H850))</x:f>
        <x:v>Online</x:v>
      </x:c>
      <x:c r="L850" s="84" t="str">
        <x:f>'Raw Sales'!I850</x:f>
        <x:v>ELEC-001</x:v>
      </x:c>
      <x:c r="M850" s="84" t="str">
        <x:f>IFERROR(VLOOKUP(L850,'Reference Data'!$A$5:$F$40,2,FALSE),"Unknown Product")</x:f>
        <x:v>Wireless Earbuds</x:v>
      </x:c>
      <x:c r="N850" s="84" t="str">
        <x:f>IFERROR(VLOOKUP(L850,'Reference Data'!$A$5:$F$40,3,FALSE),"Unknown")</x:f>
        <x:v>Electronics</x:v>
      </x:c>
      <x:c r="O850" s="84" t="str">
        <x:f>IFERROR(VLOOKUP(L850,'Reference Data'!$A$5:$F$40,4,FALSE),"Unknown")</x:f>
        <x:v>Audio</x:v>
      </x:c>
      <x:c r="P850" s="92" t="n">
        <x:f>IFERROR(VLOOKUP(L850,'Reference Data'!$A$5:$F$40,5,FALSE),0)</x:f>
        <x:v>69</x:v>
      </x:c>
      <x:c r="Q850" s="92" t="n">
        <x:f>IFERROR(VLOOKUP(L850,'Reference Data'!$A$5:$F$40,6,FALSE),0)</x:f>
        <x:v>36</x:v>
      </x:c>
      <x:c r="R850" s="84" t="n">
        <x:f>'Raw Sales'!J850</x:f>
        <x:v>3</x:v>
      </x:c>
      <x:c r="S850" s="87" t="n">
        <x:f>'Raw Sales'!K850</x:f>
        <x:v>0.05</x:v>
      </x:c>
      <x:c r="T850" s="93" t="n">
        <x:f>P850*R850</x:f>
        <x:v>207</x:v>
      </x:c>
      <x:c r="U850" s="93" t="n">
        <x:f>T850*S850</x:f>
        <x:v>10.350000000000001</x:v>
      </x:c>
      <x:c r="V850" s="93" t="str">
        <x:f>PROPER(TRIM('Raw Sales'!L850))</x:f>
        <x:v>Completed</x:v>
      </x:c>
      <x:c r="W850" s="93" t="n">
        <x:f>IF(V850="Returned",0,T850-U850)</x:f>
        <x:v>196.65</x:v>
      </x:c>
      <x:c r="X850" s="93" t="n">
        <x:f>IF(V850="Returned",Q850*R850*10%,Q850*R850)</x:f>
        <x:v>108</x:v>
      </x:c>
      <x:c r="Y850" s="93" t="n">
        <x:f>W850-X850</x:f>
        <x:v>88.65</x:v>
      </x:c>
      <x:c r="Z850" s="94" t="n">
        <x:f>IFERROR(Y850/W850,0)</x:f>
        <x:v>0.45080091533180777</x:v>
      </x:c>
      <x:c r="AA850" s="84" t="str">
        <x:f>PROPER(TRIM('Raw Sales'!M850))</x:f>
        <x:v>Debit Card</x:v>
      </x:c>
      <x:c r="AB850" s="84" t="str">
        <x:f>PROPER(TRIM('Raw Sales'!N850))</x:f>
        <x:v>Nora Kim</x:v>
      </x:c>
      <x:c r="AC850" s="85" t="n">
        <x:f>'Raw Sales'!O850</x:f>
        <x:v>45595</x:v>
      </x:c>
      <x:c r="AD850" s="84" t="n">
        <x:f>AC850-B850</x:f>
        <x:v>2</x:v>
      </x:c>
      <x:c r="AE850" s="84" t="str">
        <x:f>IF(COUNTIF($A$5:A850,A850)&gt;1,"Duplicate","Keep")</x:f>
        <x:v>Keep</x:v>
      </x:c>
      <x:c r="AF850" s="84" t="str">
        <x:f>IF(OR(R850&lt;=0,AC850&lt;B850,H850="Unknown",M850="Unknown Product"),"Review","Valid")</x:f>
        <x:v>Review</x:v>
      </x:c>
      <x:c r="AG850" s="84" t="n">
        <x:f>IF(AND(AE850="Keep",AF850="Valid"),1,0)</x:f>
        <x:v>0</x:v>
      </x:c>
      <x:c r="AH850" s="84" t="n">
        <x:f>IF(AND(AG850=1,OR('Dashboard'!$B$4="All",I850='Dashboard'!$B$4),OR('Dashboard'!$E$4="All",N850='Dashboard'!$E$4),OR('Dashboard'!$H$4="All",K850='Dashboard'!$H$4),OR('Dashboard'!$K$4="All",C850='Dashboard'!$K$4)),1,0)</x:f>
        <x:v>0</x:v>
      </x:c>
      <x:c r="AI850" s="84" t="n">
        <x:f>IF(AND(AG850=1,OR('Dashboard'!$B$4="All",I850='Dashboard'!$B$4),OR('Dashboard'!$E$4="All",N850='Dashboard'!$E$4),OR('Dashboard'!$H$4="All",K850='Dashboard'!$H$4)),1,0)</x:f>
        <x:v>0</x:v>
      </x:c>
    </x:row>
    <x:row r="851">
      <x:c r="A851" s="84" t="str">
        <x:f>'Raw Sales'!A851</x:f>
        <x:v>ORD-2024-00576</x:v>
      </x:c>
      <x:c r="B851" s="85" t="n">
        <x:f>'Raw Sales'!B851</x:f>
        <x:v>45593</x:v>
      </x:c>
      <x:c r="C851" s="84" t="n">
        <x:f>YEAR(B851)</x:f>
        <x:v>2024</x:v>
      </x:c>
      <x:c r="D851" s="91" t="n">
        <x:f>DATE(YEAR(B851),MONTH(B851),1)</x:f>
        <x:v>45566</x:v>
      </x:c>
      <x:c r="E851" s="84" t="str">
        <x:f>TEXT(B851,"mmm")</x:f>
        <x:v>Oct</x:v>
      </x:c>
      <x:c r="F851" s="84" t="str">
        <x:f>'Raw Sales'!C851</x:f>
        <x:v>CUST-0420</x:v>
      </x:c>
      <x:c r="G851" s="84" t="str">
        <x:f>PROPER(TRIM('Raw Sales'!D851))</x:f>
        <x:v>William Evans</x:v>
      </x:c>
      <x:c r="H851" s="84" t="str">
        <x:f>IF(TRIM('Raw Sales'!E851)="","Unknown",PROPER(TRIM('Raw Sales'!E851)))</x:f>
        <x:v>Small Business</x:v>
      </x:c>
      <x:c r="I851" s="84" t="str">
        <x:f>PROPER(TRIM('Raw Sales'!F851))</x:f>
        <x:v>Southeast</x:v>
      </x:c>
      <x:c r="J851" s="84" t="str">
        <x:f>PROPER(TRIM('Raw Sales'!G851))</x:f>
        <x:v>Atlanta</x:v>
      </x:c>
      <x:c r="K851" s="84" t="str">
        <x:f>PROPER(TRIM('Raw Sales'!H851))</x:f>
        <x:v>Marketplace</x:v>
      </x:c>
      <x:c r="L851" s="84" t="str">
        <x:f>'Raw Sales'!I851</x:f>
        <x:v>HOME-003</x:v>
      </x:c>
      <x:c r="M851" s="84" t="str">
        <x:f>IFERROR(VLOOKUP(L851,'Reference Data'!$A$5:$F$40,2,FALSE),"Unknown Product")</x:f>
        <x:v>Countertop Blender</x:v>
      </x:c>
      <x:c r="N851" s="84" t="str">
        <x:f>IFERROR(VLOOKUP(L851,'Reference Data'!$A$5:$F$40,3,FALSE),"Unknown")</x:f>
        <x:v>Home &amp; Kitchen</x:v>
      </x:c>
      <x:c r="O851" s="84" t="str">
        <x:f>IFERROR(VLOOKUP(L851,'Reference Data'!$A$5:$F$40,4,FALSE),"Unknown")</x:f>
        <x:v>Small Appliances</x:v>
      </x:c>
      <x:c r="P851" s="92" t="n">
        <x:f>IFERROR(VLOOKUP(L851,'Reference Data'!$A$5:$F$40,5,FALSE),0)</x:f>
        <x:v>89</x:v>
      </x:c>
      <x:c r="Q851" s="92" t="n">
        <x:f>IFERROR(VLOOKUP(L851,'Reference Data'!$A$5:$F$40,6,FALSE),0)</x:f>
        <x:v>46</x:v>
      </x:c>
      <x:c r="R851" s="84" t="n">
        <x:f>'Raw Sales'!J851</x:f>
        <x:v>3</x:v>
      </x:c>
      <x:c r="S851" s="87" t="n">
        <x:f>'Raw Sales'!K851</x:f>
        <x:v>0</x:v>
      </x:c>
      <x:c r="T851" s="93" t="n">
        <x:f>P851*R851</x:f>
        <x:v>267</x:v>
      </x:c>
      <x:c r="U851" s="93" t="n">
        <x:f>T851*S851</x:f>
        <x:v>0</x:v>
      </x:c>
      <x:c r="V851" s="93" t="str">
        <x:f>PROPER(TRIM('Raw Sales'!L851))</x:f>
        <x:v>Completed</x:v>
      </x:c>
      <x:c r="W851" s="93" t="n">
        <x:f>IF(V851="Returned",0,T851-U851)</x:f>
        <x:v>267</x:v>
      </x:c>
      <x:c r="X851" s="93" t="n">
        <x:f>IF(V851="Returned",Q851*R851*10%,Q851*R851)</x:f>
        <x:v>138</x:v>
      </x:c>
      <x:c r="Y851" s="93" t="n">
        <x:f>W851-X851</x:f>
        <x:v>129</x:v>
      </x:c>
      <x:c r="Z851" s="94" t="n">
        <x:f>IFERROR(Y851/W851,0)</x:f>
        <x:v>0.48314606741573035</x:v>
      </x:c>
      <x:c r="AA851" s="84" t="str">
        <x:f>PROPER(TRIM('Raw Sales'!M851))</x:f>
        <x:v>Credit Card</x:v>
      </x:c>
      <x:c r="AB851" s="84" t="str">
        <x:f>PROPER(TRIM('Raw Sales'!N851))</x:f>
        <x:v>Liam Parker</x:v>
      </x:c>
      <x:c r="AC851" s="85" t="n">
        <x:f>'Raw Sales'!O851</x:f>
        <x:v>45601</x:v>
      </x:c>
      <x:c r="AD851" s="84" t="n">
        <x:f>AC851-B851</x:f>
        <x:v>8</x:v>
      </x:c>
      <x:c r="AE851" s="84" t="str">
        <x:f>IF(COUNTIF($A$5:A851,A851)&gt;1,"Duplicate","Keep")</x:f>
        <x:v>Keep</x:v>
      </x:c>
      <x:c r="AF851" s="84" t="str">
        <x:f>IF(OR(R851&lt;=0,AC851&lt;B851,H851="Unknown",M851="Unknown Product"),"Review","Valid")</x:f>
        <x:v>Valid</x:v>
      </x:c>
      <x:c r="AG851" s="84" t="n">
        <x:f>IF(AND(AE851="Keep",AF851="Valid"),1,0)</x:f>
        <x:v>1</x:v>
      </x:c>
      <x:c r="AH851" s="84" t="n">
        <x:f>IF(AND(AG851=1,OR('Dashboard'!$B$4="All",I851='Dashboard'!$B$4),OR('Dashboard'!$E$4="All",N851='Dashboard'!$E$4),OR('Dashboard'!$H$4="All",K851='Dashboard'!$H$4),OR('Dashboard'!$K$4="All",C851='Dashboard'!$K$4)),1,0)</x:f>
        <x:v>1</x:v>
      </x:c>
      <x:c r="AI851" s="84" t="n">
        <x:f>IF(AND(AG851=1,OR('Dashboard'!$B$4="All",I851='Dashboard'!$B$4),OR('Dashboard'!$E$4="All",N851='Dashboard'!$E$4),OR('Dashboard'!$H$4="All",K851='Dashboard'!$H$4)),1,0)</x:f>
        <x:v>1</x:v>
      </x:c>
    </x:row>
    <x:row r="852">
      <x:c r="A852" s="84" t="str">
        <x:f>'Raw Sales'!A852</x:f>
        <x:v>ORD-2024-00706</x:v>
      </x:c>
      <x:c r="B852" s="85" t="n">
        <x:f>'Raw Sales'!B852</x:f>
        <x:v>45593</x:v>
      </x:c>
      <x:c r="C852" s="84" t="n">
        <x:f>YEAR(B852)</x:f>
        <x:v>2024</x:v>
      </x:c>
      <x:c r="D852" s="91" t="n">
        <x:f>DATE(YEAR(B852),MONTH(B852),1)</x:f>
        <x:v>45566</x:v>
      </x:c>
      <x:c r="E852" s="84" t="str">
        <x:f>TEXT(B852,"mmm")</x:f>
        <x:v>Oct</x:v>
      </x:c>
      <x:c r="F852" s="84" t="str">
        <x:f>'Raw Sales'!C852</x:f>
        <x:v>CUST-0008</x:v>
      </x:c>
      <x:c r="G852" s="84" t="str">
        <x:f>PROPER(TRIM('Raw Sales'!D852))</x:f>
        <x:v>Nathan Foster</x:v>
      </x:c>
      <x:c r="H852" s="84" t="str">
        <x:f>IF(TRIM('Raw Sales'!E852)="","Unknown",PROPER(TRIM('Raw Sales'!E852)))</x:f>
        <x:v>Consumer</x:v>
      </x:c>
      <x:c r="I852" s="84" t="str">
        <x:f>PROPER(TRIM('Raw Sales'!F852))</x:f>
        <x:v>West</x:v>
      </x:c>
      <x:c r="J852" s="84" t="str">
        <x:f>PROPER(TRIM('Raw Sales'!G852))</x:f>
        <x:v>Denver</x:v>
      </x:c>
      <x:c r="K852" s="84" t="str">
        <x:f>PROPER(TRIM('Raw Sales'!H852))</x:f>
        <x:v>Retail Store</x:v>
      </x:c>
      <x:c r="L852" s="84" t="str">
        <x:f>'Raw Sales'!I852</x:f>
        <x:v>CARE-003</x:v>
      </x:c>
      <x:c r="M852" s="84" t="str">
        <x:f>IFERROR(VLOOKUP(L852,'Reference Data'!$A$5:$F$40,2,FALSE),"Unknown Product")</x:f>
        <x:v>Facial Cleanser</x:v>
      </x:c>
      <x:c r="N852" s="84" t="str">
        <x:f>IFERROR(VLOOKUP(L852,'Reference Data'!$A$5:$F$40,3,FALSE),"Unknown")</x:f>
        <x:v>Personal Care</x:v>
      </x:c>
      <x:c r="O852" s="84" t="str">
        <x:f>IFERROR(VLOOKUP(L852,'Reference Data'!$A$5:$F$40,4,FALSE),"Unknown")</x:f>
        <x:v>Skin Care</x:v>
      </x:c>
      <x:c r="P852" s="92" t="n">
        <x:f>IFERROR(VLOOKUP(L852,'Reference Data'!$A$5:$F$40,5,FALSE),0)</x:f>
        <x:v>18</x:v>
      </x:c>
      <x:c r="Q852" s="92" t="n">
        <x:f>IFERROR(VLOOKUP(L852,'Reference Data'!$A$5:$F$40,6,FALSE),0)</x:f>
        <x:v>6</x:v>
      </x:c>
      <x:c r="R852" s="84" t="n">
        <x:f>'Raw Sales'!J852</x:f>
        <x:v>1</x:v>
      </x:c>
      <x:c r="S852" s="87" t="n">
        <x:f>'Raw Sales'!K852</x:f>
        <x:v>0.1</x:v>
      </x:c>
      <x:c r="T852" s="93" t="n">
        <x:f>P852*R852</x:f>
        <x:v>18</x:v>
      </x:c>
      <x:c r="U852" s="93" t="n">
        <x:f>T852*S852</x:f>
        <x:v>1.8</x:v>
      </x:c>
      <x:c r="V852" s="93" t="str">
        <x:f>PROPER(TRIM('Raw Sales'!L852))</x:f>
        <x:v>Completed</x:v>
      </x:c>
      <x:c r="W852" s="93" t="n">
        <x:f>IF(V852="Returned",0,T852-U852)</x:f>
        <x:v>16.2</x:v>
      </x:c>
      <x:c r="X852" s="93" t="n">
        <x:f>IF(V852="Returned",Q852*R852*10%,Q852*R852)</x:f>
        <x:v>6</x:v>
      </x:c>
      <x:c r="Y852" s="93" t="n">
        <x:f>W852-X852</x:f>
        <x:v>10.2</x:v>
      </x:c>
      <x:c r="Z852" s="94" t="n">
        <x:f>IFERROR(Y852/W852,0)</x:f>
        <x:v>0.6296296296296297</x:v>
      </x:c>
      <x:c r="AA852" s="84" t="str">
        <x:f>PROPER(TRIM('Raw Sales'!M852))</x:f>
        <x:v>Mobile Wallet</x:v>
      </x:c>
      <x:c r="AB852" s="84" t="str">
        <x:f>PROPER(TRIM('Raw Sales'!N852))</x:f>
        <x:v>Nora Kim</x:v>
      </x:c>
      <x:c r="AC852" s="85" t="n">
        <x:f>'Raw Sales'!O852</x:f>
        <x:v>45594</x:v>
      </x:c>
      <x:c r="AD852" s="84" t="n">
        <x:f>AC852-B852</x:f>
        <x:v>1</x:v>
      </x:c>
      <x:c r="AE852" s="84" t="str">
        <x:f>IF(COUNTIF($A$5:A852,A852)&gt;1,"Duplicate","Keep")</x:f>
        <x:v>Keep</x:v>
      </x:c>
      <x:c r="AF852" s="84" t="str">
        <x:f>IF(OR(R852&lt;=0,AC852&lt;B852,H852="Unknown",M852="Unknown Product"),"Review","Valid")</x:f>
        <x:v>Valid</x:v>
      </x:c>
      <x:c r="AG852" s="84" t="n">
        <x:f>IF(AND(AE852="Keep",AF852="Valid"),1,0)</x:f>
        <x:v>1</x:v>
      </x:c>
      <x:c r="AH852" s="84" t="n">
        <x:f>IF(AND(AG852=1,OR('Dashboard'!$B$4="All",I852='Dashboard'!$B$4),OR('Dashboard'!$E$4="All",N852='Dashboard'!$E$4),OR('Dashboard'!$H$4="All",K852='Dashboard'!$H$4),OR('Dashboard'!$K$4="All",C852='Dashboard'!$K$4)),1,0)</x:f>
        <x:v>1</x:v>
      </x:c>
      <x:c r="AI852" s="84" t="n">
        <x:f>IF(AND(AG852=1,OR('Dashboard'!$B$4="All",I852='Dashboard'!$B$4),OR('Dashboard'!$E$4="All",N852='Dashboard'!$E$4),OR('Dashboard'!$H$4="All",K852='Dashboard'!$H$4)),1,0)</x:f>
        <x:v>1</x:v>
      </x:c>
    </x:row>
    <x:row r="853">
      <x:c r="A853" s="84" t="str">
        <x:f>'Raw Sales'!A853</x:f>
        <x:v>ORD-2024-00914</x:v>
      </x:c>
      <x:c r="B853" s="85" t="n">
        <x:f>'Raw Sales'!B853</x:f>
        <x:v>45593</x:v>
      </x:c>
      <x:c r="C853" s="84" t="n">
        <x:f>YEAR(B853)</x:f>
        <x:v>2024</x:v>
      </x:c>
      <x:c r="D853" s="91" t="n">
        <x:f>DATE(YEAR(B853),MONTH(B853),1)</x:f>
        <x:v>45566</x:v>
      </x:c>
      <x:c r="E853" s="84" t="str">
        <x:f>TEXT(B853,"mmm")</x:f>
        <x:v>Oct</x:v>
      </x:c>
      <x:c r="F853" s="84" t="str">
        <x:f>'Raw Sales'!C853</x:f>
        <x:v>CUST-0174</x:v>
      </x:c>
      <x:c r="G853" s="84" t="str">
        <x:f>PROPER(TRIM('Raw Sales'!D853))</x:f>
        <x:v>Victoria Walker</x:v>
      </x:c>
      <x:c r="H853" s="84" t="str">
        <x:f>IF(TRIM('Raw Sales'!E853)="","Unknown",PROPER(TRIM('Raw Sales'!E853)))</x:f>
        <x:v>Small Business</x:v>
      </x:c>
      <x:c r="I853" s="84" t="str">
        <x:f>PROPER(TRIM('Raw Sales'!F853))</x:f>
        <x:v>Northeast</x:v>
      </x:c>
      <x:c r="J853" s="84" t="str">
        <x:f>PROPER(TRIM('Raw Sales'!G853))</x:f>
        <x:v>New York</x:v>
      </x:c>
      <x:c r="K853" s="84" t="str">
        <x:f>PROPER(TRIM('Raw Sales'!H853))</x:f>
        <x:v>Online</x:v>
      </x:c>
      <x:c r="L853" s="84" t="str">
        <x:f>'Raw Sales'!I853</x:f>
        <x:v>HOME-002</x:v>
      </x:c>
      <x:c r="M853" s="84" t="str">
        <x:f>IFERROR(VLOOKUP(L853,'Reference Data'!$A$5:$F$40,2,FALSE),"Unknown Product")</x:f>
        <x:v>Electric Kettle</x:v>
      </x:c>
      <x:c r="N853" s="84" t="str">
        <x:f>IFERROR(VLOOKUP(L853,'Reference Data'!$A$5:$F$40,3,FALSE),"Unknown")</x:f>
        <x:v>Home &amp; Kitchen</x:v>
      </x:c>
      <x:c r="O853" s="84" t="str">
        <x:f>IFERROR(VLOOKUP(L853,'Reference Data'!$A$5:$F$40,4,FALSE),"Unknown")</x:f>
        <x:v>Small Appliances</x:v>
      </x:c>
      <x:c r="P853" s="92" t="n">
        <x:f>IFERROR(VLOOKUP(L853,'Reference Data'!$A$5:$F$40,5,FALSE),0)</x:f>
        <x:v>49</x:v>
      </x:c>
      <x:c r="Q853" s="92" t="n">
        <x:f>IFERROR(VLOOKUP(L853,'Reference Data'!$A$5:$F$40,6,FALSE),0)</x:f>
        <x:v>23</x:v>
      </x:c>
      <x:c r="R853" s="84" t="n">
        <x:f>'Raw Sales'!J853</x:f>
        <x:v>1</x:v>
      </x:c>
      <x:c r="S853" s="87" t="n">
        <x:f>'Raw Sales'!K853</x:f>
        <x:v>0</x:v>
      </x:c>
      <x:c r="T853" s="93" t="n">
        <x:f>P853*R853</x:f>
        <x:v>49</x:v>
      </x:c>
      <x:c r="U853" s="93" t="n">
        <x:f>T853*S853</x:f>
        <x:v>0</x:v>
      </x:c>
      <x:c r="V853" s="93" t="str">
        <x:f>PROPER(TRIM('Raw Sales'!L853))</x:f>
        <x:v>Completed</x:v>
      </x:c>
      <x:c r="W853" s="93" t="n">
        <x:f>IF(V853="Returned",0,T853-U853)</x:f>
        <x:v>49</x:v>
      </x:c>
      <x:c r="X853" s="93" t="n">
        <x:f>IF(V853="Returned",Q853*R853*10%,Q853*R853)</x:f>
        <x:v>23</x:v>
      </x:c>
      <x:c r="Y853" s="93" t="n">
        <x:f>W853-X853</x:f>
        <x:v>26</x:v>
      </x:c>
      <x:c r="Z853" s="94" t="n">
        <x:f>IFERROR(Y853/W853,0)</x:f>
        <x:v>0.5306122448979592</x:v>
      </x:c>
      <x:c r="AA853" s="84" t="str">
        <x:f>PROPER(TRIM('Raw Sales'!M853))</x:f>
        <x:v>Debit Card</x:v>
      </x:c>
      <x:c r="AB853" s="84" t="str">
        <x:f>PROPER(TRIM('Raw Sales'!N853))</x:f>
        <x:v>Sofia Bennett</x:v>
      </x:c>
      <x:c r="AC853" s="85" t="n">
        <x:f>'Raw Sales'!O853</x:f>
        <x:v>45595</x:v>
      </x:c>
      <x:c r="AD853" s="84" t="n">
        <x:f>AC853-B853</x:f>
        <x:v>2</x:v>
      </x:c>
      <x:c r="AE853" s="84" t="str">
        <x:f>IF(COUNTIF($A$5:A853,A853)&gt;1,"Duplicate","Keep")</x:f>
        <x:v>Keep</x:v>
      </x:c>
      <x:c r="AF853" s="84" t="str">
        <x:f>IF(OR(R853&lt;=0,AC853&lt;B853,H853="Unknown",M853="Unknown Product"),"Review","Valid")</x:f>
        <x:v>Valid</x:v>
      </x:c>
      <x:c r="AG853" s="84" t="n">
        <x:f>IF(AND(AE853="Keep",AF853="Valid"),1,0)</x:f>
        <x:v>1</x:v>
      </x:c>
      <x:c r="AH853" s="84" t="n">
        <x:f>IF(AND(AG853=1,OR('Dashboard'!$B$4="All",I853='Dashboard'!$B$4),OR('Dashboard'!$E$4="All",N853='Dashboard'!$E$4),OR('Dashboard'!$H$4="All",K853='Dashboard'!$H$4),OR('Dashboard'!$K$4="All",C853='Dashboard'!$K$4)),1,0)</x:f>
        <x:v>1</x:v>
      </x:c>
      <x:c r="AI853" s="84" t="n">
        <x:f>IF(AND(AG853=1,OR('Dashboard'!$B$4="All",I853='Dashboard'!$B$4),OR('Dashboard'!$E$4="All",N853='Dashboard'!$E$4),OR('Dashboard'!$H$4="All",K853='Dashboard'!$H$4)),1,0)</x:f>
        <x:v>1</x:v>
      </x:c>
    </x:row>
    <x:row r="854">
      <x:c r="A854" s="84" t="str">
        <x:f>'Raw Sales'!A854</x:f>
        <x:v>ORD-2024-01363</x:v>
      </x:c>
      <x:c r="B854" s="85" t="n">
        <x:f>'Raw Sales'!B854</x:f>
        <x:v>45593</x:v>
      </x:c>
      <x:c r="C854" s="84" t="n">
        <x:f>YEAR(B854)</x:f>
        <x:v>2024</x:v>
      </x:c>
      <x:c r="D854" s="91" t="n">
        <x:f>DATE(YEAR(B854),MONTH(B854),1)</x:f>
        <x:v>45566</x:v>
      </x:c>
      <x:c r="E854" s="84" t="str">
        <x:f>TEXT(B854,"mmm")</x:f>
        <x:v>Oct</x:v>
      </x:c>
      <x:c r="F854" s="84" t="str">
        <x:f>'Raw Sales'!C854</x:f>
        <x:v>CUST-0615</x:v>
      </x:c>
      <x:c r="G854" s="84" t="str">
        <x:f>PROPER(TRIM('Raw Sales'!D854))</x:f>
        <x:v>Jonah Quinn</x:v>
      </x:c>
      <x:c r="H854" s="84" t="str">
        <x:f>IF(TRIM('Raw Sales'!E854)="","Unknown",PROPER(TRIM('Raw Sales'!E854)))</x:f>
        <x:v>Consumer</x:v>
      </x:c>
      <x:c r="I854" s="84" t="str">
        <x:f>PROPER(TRIM('Raw Sales'!F854))</x:f>
        <x:v>Midwest</x:v>
      </x:c>
      <x:c r="J854" s="84" t="str">
        <x:f>PROPER(TRIM('Raw Sales'!G854))</x:f>
        <x:v>Minneapolis</x:v>
      </x:c>
      <x:c r="K854" s="84" t="str">
        <x:f>PROPER(TRIM('Raw Sales'!H854))</x:f>
        <x:v>Online</x:v>
      </x:c>
      <x:c r="L854" s="84" t="str">
        <x:f>'Raw Sales'!I854</x:f>
        <x:v>CARE-006</x:v>
      </x:c>
      <x:c r="M854" s="84" t="str">
        <x:f>IFERROR(VLOOKUP(L854,'Reference Data'!$A$5:$F$40,2,FALSE),"Unknown Product")</x:f>
        <x:v>Percussion Massage Gun</x:v>
      </x:c>
      <x:c r="N854" s="84" t="str">
        <x:f>IFERROR(VLOOKUP(L854,'Reference Data'!$A$5:$F$40,3,FALSE),"Unknown")</x:f>
        <x:v>Personal Care</x:v>
      </x:c>
      <x:c r="O854" s="84" t="str">
        <x:f>IFERROR(VLOOKUP(L854,'Reference Data'!$A$5:$F$40,4,FALSE),"Unknown")</x:f>
        <x:v>Wellness</x:v>
      </x:c>
      <x:c r="P854" s="92" t="n">
        <x:f>IFERROR(VLOOKUP(L854,'Reference Data'!$A$5:$F$40,5,FALSE),0)</x:f>
        <x:v>129</x:v>
      </x:c>
      <x:c r="Q854" s="92" t="n">
        <x:f>IFERROR(VLOOKUP(L854,'Reference Data'!$A$5:$F$40,6,FALSE),0)</x:f>
        <x:v>70</x:v>
      </x:c>
      <x:c r="R854" s="84" t="n">
        <x:f>'Raw Sales'!J854</x:f>
        <x:v>1</x:v>
      </x:c>
      <x:c r="S854" s="87" t="n">
        <x:f>'Raw Sales'!K854</x:f>
        <x:v>0</x:v>
      </x:c>
      <x:c r="T854" s="93" t="n">
        <x:f>P854*R854</x:f>
        <x:v>129</x:v>
      </x:c>
      <x:c r="U854" s="93" t="n">
        <x:f>T854*S854</x:f>
        <x:v>0</x:v>
      </x:c>
      <x:c r="V854" s="93" t="str">
        <x:f>PROPER(TRIM('Raw Sales'!L854))</x:f>
        <x:v>Completed</x:v>
      </x:c>
      <x:c r="W854" s="93" t="n">
        <x:f>IF(V854="Returned",0,T854-U854)</x:f>
        <x:v>129</x:v>
      </x:c>
      <x:c r="X854" s="93" t="n">
        <x:f>IF(V854="Returned",Q854*R854*10%,Q854*R854)</x:f>
        <x:v>70</x:v>
      </x:c>
      <x:c r="Y854" s="93" t="n">
        <x:f>W854-X854</x:f>
        <x:v>59</x:v>
      </x:c>
      <x:c r="Z854" s="94" t="n">
        <x:f>IFERROR(Y854/W854,0)</x:f>
        <x:v>0.4573643410852713</x:v>
      </x:c>
      <x:c r="AA854" s="84" t="str">
        <x:f>PROPER(TRIM('Raw Sales'!M854))</x:f>
        <x:v>Credit Card</x:v>
      </x:c>
      <x:c r="AB854" s="84" t="str">
        <x:f>PROPER(TRIM('Raw Sales'!N854))</x:f>
        <x:v>Emma Hayes</x:v>
      </x:c>
      <x:c r="AC854" s="85" t="n">
        <x:f>'Raw Sales'!O854</x:f>
        <x:v>45595</x:v>
      </x:c>
      <x:c r="AD854" s="84" t="n">
        <x:f>AC854-B854</x:f>
        <x:v>2</x:v>
      </x:c>
      <x:c r="AE854" s="84" t="str">
        <x:f>IF(COUNTIF($A$5:A854,A854)&gt;1,"Duplicate","Keep")</x:f>
        <x:v>Keep</x:v>
      </x:c>
      <x:c r="AF854" s="84" t="str">
        <x:f>IF(OR(R854&lt;=0,AC854&lt;B854,H854="Unknown",M854="Unknown Product"),"Review","Valid")</x:f>
        <x:v>Valid</x:v>
      </x:c>
      <x:c r="AG854" s="84" t="n">
        <x:f>IF(AND(AE854="Keep",AF854="Valid"),1,0)</x:f>
        <x:v>1</x:v>
      </x:c>
      <x:c r="AH854" s="84" t="n">
        <x:f>IF(AND(AG854=1,OR('Dashboard'!$B$4="All",I854='Dashboard'!$B$4),OR('Dashboard'!$E$4="All",N854='Dashboard'!$E$4),OR('Dashboard'!$H$4="All",K854='Dashboard'!$H$4),OR('Dashboard'!$K$4="All",C854='Dashboard'!$K$4)),1,0)</x:f>
        <x:v>1</x:v>
      </x:c>
      <x:c r="AI854" s="84" t="n">
        <x:f>IF(AND(AG854=1,OR('Dashboard'!$B$4="All",I854='Dashboard'!$B$4),OR('Dashboard'!$E$4="All",N854='Dashboard'!$E$4),OR('Dashboard'!$H$4="All",K854='Dashboard'!$H$4)),1,0)</x:f>
        <x:v>1</x:v>
      </x:c>
    </x:row>
    <x:row r="855">
      <x:c r="A855" s="84" t="str">
        <x:f>'Raw Sales'!A855</x:f>
        <x:v>ORD-2024-01669</x:v>
      </x:c>
      <x:c r="B855" s="85" t="n">
        <x:f>'Raw Sales'!B855</x:f>
        <x:v>45593</x:v>
      </x:c>
      <x:c r="C855" s="84" t="n">
        <x:f>YEAR(B855)</x:f>
        <x:v>2024</x:v>
      </x:c>
      <x:c r="D855" s="91" t="n">
        <x:f>DATE(YEAR(B855),MONTH(B855),1)</x:f>
        <x:v>45566</x:v>
      </x:c>
      <x:c r="E855" s="84" t="str">
        <x:f>TEXT(B855,"mmm")</x:f>
        <x:v>Oct</x:v>
      </x:c>
      <x:c r="F855" s="84" t="str">
        <x:f>'Raw Sales'!C855</x:f>
        <x:v>CUST-0299</x:v>
      </x:c>
      <x:c r="G855" s="84" t="str">
        <x:f>PROPER(TRIM('Raw Sales'!D855))</x:f>
        <x:v>Caleb Lewis</x:v>
      </x:c>
      <x:c r="H855" s="84" t="str">
        <x:f>IF(TRIM('Raw Sales'!E855)="","Unknown",PROPER(TRIM('Raw Sales'!E855)))</x:f>
        <x:v>Consumer</x:v>
      </x:c>
      <x:c r="I855" s="84" t="str">
        <x:f>PROPER(TRIM('Raw Sales'!F855))</x:f>
        <x:v>Northeast</x:v>
      </x:c>
      <x:c r="J855" s="84" t="str">
        <x:f>PROPER(TRIM('Raw Sales'!G855))</x:f>
        <x:v>New York</x:v>
      </x:c>
      <x:c r="K855" s="84" t="str">
        <x:f>PROPER(TRIM('Raw Sales'!H855))</x:f>
        <x:v>Retail Store</x:v>
      </x:c>
      <x:c r="L855" s="84" t="str">
        <x:f>'Raw Sales'!I855</x:f>
        <x:v>OFFC-001</x:v>
      </x:c>
      <x:c r="M855" s="84" t="str">
        <x:f>IFERROR(VLOOKUP(L855,'Reference Data'!$A$5:$F$40,2,FALSE),"Unknown Product")</x:f>
        <x:v>Ergonomic Chair</x:v>
      </x:c>
      <x:c r="N855" s="84" t="str">
        <x:f>IFERROR(VLOOKUP(L855,'Reference Data'!$A$5:$F$40,3,FALSE),"Unknown")</x:f>
        <x:v>Office</x:v>
      </x:c>
      <x:c r="O855" s="84" t="str">
        <x:f>IFERROR(VLOOKUP(L855,'Reference Data'!$A$5:$F$40,4,FALSE),"Unknown")</x:f>
        <x:v>Furniture</x:v>
      </x:c>
      <x:c r="P855" s="92" t="n">
        <x:f>IFERROR(VLOOKUP(L855,'Reference Data'!$A$5:$F$40,5,FALSE),0)</x:f>
        <x:v>249</x:v>
      </x:c>
      <x:c r="Q855" s="92" t="n">
        <x:f>IFERROR(VLOOKUP(L855,'Reference Data'!$A$5:$F$40,6,FALSE),0)</x:f>
        <x:v>145</x:v>
      </x:c>
      <x:c r="R855" s="84" t="n">
        <x:f>'Raw Sales'!J855</x:f>
        <x:v>1</x:v>
      </x:c>
      <x:c r="S855" s="87" t="n">
        <x:f>'Raw Sales'!K855</x:f>
        <x:v>0</x:v>
      </x:c>
      <x:c r="T855" s="93" t="n">
        <x:f>P855*R855</x:f>
        <x:v>249</x:v>
      </x:c>
      <x:c r="U855" s="93" t="n">
        <x:f>T855*S855</x:f>
        <x:v>0</x:v>
      </x:c>
      <x:c r="V855" s="93" t="str">
        <x:f>PROPER(TRIM('Raw Sales'!L855))</x:f>
        <x:v>Completed</x:v>
      </x:c>
      <x:c r="W855" s="93" t="n">
        <x:f>IF(V855="Returned",0,T855-U855)</x:f>
        <x:v>249</x:v>
      </x:c>
      <x:c r="X855" s="93" t="n">
        <x:f>IF(V855="Returned",Q855*R855*10%,Q855*R855)</x:f>
        <x:v>145</x:v>
      </x:c>
      <x:c r="Y855" s="93" t="n">
        <x:f>W855-X855</x:f>
        <x:v>104</x:v>
      </x:c>
      <x:c r="Z855" s="94" t="n">
        <x:f>IFERROR(Y855/W855,0)</x:f>
        <x:v>0.41767068273092367</x:v>
      </x:c>
      <x:c r="AA855" s="84" t="str">
        <x:f>PROPER(TRIM('Raw Sales'!M855))</x:f>
        <x:v>Cash</x:v>
      </x:c>
      <x:c r="AB855" s="84" t="str">
        <x:f>PROPER(TRIM('Raw Sales'!N855))</x:f>
        <x:v>Maya Brooks</x:v>
      </x:c>
      <x:c r="AC855" s="85" t="n">
        <x:f>'Raw Sales'!O855</x:f>
        <x:v>45593</x:v>
      </x:c>
      <x:c r="AD855" s="84" t="n">
        <x:f>AC855-B855</x:f>
        <x:v>0</x:v>
      </x:c>
      <x:c r="AE855" s="84" t="str">
        <x:f>IF(COUNTIF($A$5:A855,A855)&gt;1,"Duplicate","Keep")</x:f>
        <x:v>Keep</x:v>
      </x:c>
      <x:c r="AF855" s="84" t="str">
        <x:f>IF(OR(R855&lt;=0,AC855&lt;B855,H855="Unknown",M855="Unknown Product"),"Review","Valid")</x:f>
        <x:v>Valid</x:v>
      </x:c>
      <x:c r="AG855" s="84" t="n">
        <x:f>IF(AND(AE855="Keep",AF855="Valid"),1,0)</x:f>
        <x:v>1</x:v>
      </x:c>
      <x:c r="AH855" s="84" t="n">
        <x:f>IF(AND(AG855=1,OR('Dashboard'!$B$4="All",I855='Dashboard'!$B$4),OR('Dashboard'!$E$4="All",N855='Dashboard'!$E$4),OR('Dashboard'!$H$4="All",K855='Dashboard'!$H$4),OR('Dashboard'!$K$4="All",C855='Dashboard'!$K$4)),1,0)</x:f>
        <x:v>1</x:v>
      </x:c>
      <x:c r="AI855" s="84" t="n">
        <x:f>IF(AND(AG855=1,OR('Dashboard'!$B$4="All",I855='Dashboard'!$B$4),OR('Dashboard'!$E$4="All",N855='Dashboard'!$E$4),OR('Dashboard'!$H$4="All",K855='Dashboard'!$H$4)),1,0)</x:f>
        <x:v>1</x:v>
      </x:c>
    </x:row>
    <x:row r="856">
      <x:c r="A856" s="84" t="str">
        <x:f>'Raw Sales'!A856</x:f>
        <x:v>ORD-2024-01669</x:v>
      </x:c>
      <x:c r="B856" s="85" t="n">
        <x:f>'Raw Sales'!B856</x:f>
        <x:v>45593</x:v>
      </x:c>
      <x:c r="C856" s="84" t="n">
        <x:f>YEAR(B856)</x:f>
        <x:v>2024</x:v>
      </x:c>
      <x:c r="D856" s="91" t="n">
        <x:f>DATE(YEAR(B856),MONTH(B856),1)</x:f>
        <x:v>45566</x:v>
      </x:c>
      <x:c r="E856" s="84" t="str">
        <x:f>TEXT(B856,"mmm")</x:f>
        <x:v>Oct</x:v>
      </x:c>
      <x:c r="F856" s="84" t="str">
        <x:f>'Raw Sales'!C856</x:f>
        <x:v>CUST-0299</x:v>
      </x:c>
      <x:c r="G856" s="84" t="str">
        <x:f>PROPER(TRIM('Raw Sales'!D856))</x:f>
        <x:v>Caleb Lewis</x:v>
      </x:c>
      <x:c r="H856" s="84" t="str">
        <x:f>IF(TRIM('Raw Sales'!E856)="","Unknown",PROPER(TRIM('Raw Sales'!E856)))</x:f>
        <x:v>Consumer</x:v>
      </x:c>
      <x:c r="I856" s="84" t="str">
        <x:f>PROPER(TRIM('Raw Sales'!F856))</x:f>
        <x:v>Northeast</x:v>
      </x:c>
      <x:c r="J856" s="84" t="str">
        <x:f>PROPER(TRIM('Raw Sales'!G856))</x:f>
        <x:v>New York</x:v>
      </x:c>
      <x:c r="K856" s="84" t="str">
        <x:f>PROPER(TRIM('Raw Sales'!H856))</x:f>
        <x:v>Retail Store</x:v>
      </x:c>
      <x:c r="L856" s="84" t="str">
        <x:f>'Raw Sales'!I856</x:f>
        <x:v>OFFC-001</x:v>
      </x:c>
      <x:c r="M856" s="84" t="str">
        <x:f>IFERROR(VLOOKUP(L856,'Reference Data'!$A$5:$F$40,2,FALSE),"Unknown Product")</x:f>
        <x:v>Ergonomic Chair</x:v>
      </x:c>
      <x:c r="N856" s="84" t="str">
        <x:f>IFERROR(VLOOKUP(L856,'Reference Data'!$A$5:$F$40,3,FALSE),"Unknown")</x:f>
        <x:v>Office</x:v>
      </x:c>
      <x:c r="O856" s="84" t="str">
        <x:f>IFERROR(VLOOKUP(L856,'Reference Data'!$A$5:$F$40,4,FALSE),"Unknown")</x:f>
        <x:v>Furniture</x:v>
      </x:c>
      <x:c r="P856" s="92" t="n">
        <x:f>IFERROR(VLOOKUP(L856,'Reference Data'!$A$5:$F$40,5,FALSE),0)</x:f>
        <x:v>249</x:v>
      </x:c>
      <x:c r="Q856" s="92" t="n">
        <x:f>IFERROR(VLOOKUP(L856,'Reference Data'!$A$5:$F$40,6,FALSE),0)</x:f>
        <x:v>145</x:v>
      </x:c>
      <x:c r="R856" s="84" t="n">
        <x:f>'Raw Sales'!J856</x:f>
        <x:v>1</x:v>
      </x:c>
      <x:c r="S856" s="87" t="n">
        <x:f>'Raw Sales'!K856</x:f>
        <x:v>0</x:v>
      </x:c>
      <x:c r="T856" s="93" t="n">
        <x:f>P856*R856</x:f>
        <x:v>249</x:v>
      </x:c>
      <x:c r="U856" s="93" t="n">
        <x:f>T856*S856</x:f>
        <x:v>0</x:v>
      </x:c>
      <x:c r="V856" s="93" t="str">
        <x:f>PROPER(TRIM('Raw Sales'!L856))</x:f>
        <x:v>Completed</x:v>
      </x:c>
      <x:c r="W856" s="93" t="n">
        <x:f>IF(V856="Returned",0,T856-U856)</x:f>
        <x:v>249</x:v>
      </x:c>
      <x:c r="X856" s="93" t="n">
        <x:f>IF(V856="Returned",Q856*R856*10%,Q856*R856)</x:f>
        <x:v>145</x:v>
      </x:c>
      <x:c r="Y856" s="93" t="n">
        <x:f>W856-X856</x:f>
        <x:v>104</x:v>
      </x:c>
      <x:c r="Z856" s="94" t="n">
        <x:f>IFERROR(Y856/W856,0)</x:f>
        <x:v>0.41767068273092367</x:v>
      </x:c>
      <x:c r="AA856" s="84" t="str">
        <x:f>PROPER(TRIM('Raw Sales'!M856))</x:f>
        <x:v>Cash</x:v>
      </x:c>
      <x:c r="AB856" s="84" t="str">
        <x:f>PROPER(TRIM('Raw Sales'!N856))</x:f>
        <x:v>Maya Brooks</x:v>
      </x:c>
      <x:c r="AC856" s="85" t="n">
        <x:f>'Raw Sales'!O856</x:f>
        <x:v>45593</x:v>
      </x:c>
      <x:c r="AD856" s="84" t="n">
        <x:f>AC856-B856</x:f>
        <x:v>0</x:v>
      </x:c>
      <x:c r="AE856" s="84" t="str">
        <x:f>IF(COUNTIF($A$5:A856,A856)&gt;1,"Duplicate","Keep")</x:f>
        <x:v>Duplicate</x:v>
      </x:c>
      <x:c r="AF856" s="84" t="str">
        <x:f>IF(OR(R856&lt;=0,AC856&lt;B856,H856="Unknown",M856="Unknown Product"),"Review","Valid")</x:f>
        <x:v>Valid</x:v>
      </x:c>
      <x:c r="AG856" s="84" t="n">
        <x:f>IF(AND(AE856="Keep",AF856="Valid"),1,0)</x:f>
        <x:v>0</x:v>
      </x:c>
      <x:c r="AH856" s="84" t="n">
        <x:f>IF(AND(AG856=1,OR('Dashboard'!$B$4="All",I856='Dashboard'!$B$4),OR('Dashboard'!$E$4="All",N856='Dashboard'!$E$4),OR('Dashboard'!$H$4="All",K856='Dashboard'!$H$4),OR('Dashboard'!$K$4="All",C856='Dashboard'!$K$4)),1,0)</x:f>
        <x:v>0</x:v>
      </x:c>
      <x:c r="AI856" s="84" t="n">
        <x:f>IF(AND(AG856=1,OR('Dashboard'!$B$4="All",I856='Dashboard'!$B$4),OR('Dashboard'!$E$4="All",N856='Dashboard'!$E$4),OR('Dashboard'!$H$4="All",K856='Dashboard'!$H$4)),1,0)</x:f>
        <x:v>0</x:v>
      </x:c>
    </x:row>
    <x:row r="857">
      <x:c r="A857" s="84" t="str">
        <x:f>'Raw Sales'!A857</x:f>
        <x:v>ORD-2024-02075</x:v>
      </x:c>
      <x:c r="B857" s="85" t="n">
        <x:f>'Raw Sales'!B857</x:f>
        <x:v>45593</x:v>
      </x:c>
      <x:c r="C857" s="84" t="n">
        <x:f>YEAR(B857)</x:f>
        <x:v>2024</x:v>
      </x:c>
      <x:c r="D857" s="91" t="n">
        <x:f>DATE(YEAR(B857),MONTH(B857),1)</x:f>
        <x:v>45566</x:v>
      </x:c>
      <x:c r="E857" s="84" t="str">
        <x:f>TEXT(B857,"mmm")</x:f>
        <x:v>Oct</x:v>
      </x:c>
      <x:c r="F857" s="84" t="str">
        <x:f>'Raw Sales'!C857</x:f>
        <x:v>CUST-0336</x:v>
      </x:c>
      <x:c r="G857" s="84" t="str">
        <x:f>PROPER(TRIM('Raw Sales'!D857))</x:f>
        <x:v>Jonah Garcia</x:v>
      </x:c>
      <x:c r="H857" s="84" t="str">
        <x:f>IF(TRIM('Raw Sales'!E857)="","Unknown",PROPER(TRIM('Raw Sales'!E857)))</x:f>
        <x:v>Consumer</x:v>
      </x:c>
      <x:c r="I857" s="84" t="str">
        <x:f>PROPER(TRIM('Raw Sales'!F857))</x:f>
        <x:v>West</x:v>
      </x:c>
      <x:c r="J857" s="84" t="str">
        <x:f>PROPER(TRIM('Raw Sales'!G857))</x:f>
        <x:v>Phoenix</x:v>
      </x:c>
      <x:c r="K857" s="84" t="str">
        <x:f>PROPER(TRIM('Raw Sales'!H857))</x:f>
        <x:v>Online</x:v>
      </x:c>
      <x:c r="L857" s="84" t="str">
        <x:f>'Raw Sales'!I857</x:f>
        <x:v>FITN-005</x:v>
      </x:c>
      <x:c r="M857" s="84" t="str">
        <x:f>IFERROR(VLOOKUP(L857,'Reference Data'!$A$5:$F$40,2,FALSE),"Unknown Product")</x:f>
        <x:v>Sports Water Bottle</x:v>
      </x:c>
      <x:c r="N857" s="84" t="str">
        <x:f>IFERROR(VLOOKUP(L857,'Reference Data'!$A$5:$F$40,3,FALSE),"Unknown")</x:f>
        <x:v>Fitness</x:v>
      </x:c>
      <x:c r="O857" s="84" t="str">
        <x:f>IFERROR(VLOOKUP(L857,'Reference Data'!$A$5:$F$40,4,FALSE),"Unknown")</x:f>
        <x:v>Accessories</x:v>
      </x:c>
      <x:c r="P857" s="92" t="n">
        <x:f>IFERROR(VLOOKUP(L857,'Reference Data'!$A$5:$F$40,5,FALSE),0)</x:f>
        <x:v>22</x:v>
      </x:c>
      <x:c r="Q857" s="92" t="n">
        <x:f>IFERROR(VLOOKUP(L857,'Reference Data'!$A$5:$F$40,6,FALSE),0)</x:f>
        <x:v>7</x:v>
      </x:c>
      <x:c r="R857" s="84" t="n">
        <x:f>'Raw Sales'!J857</x:f>
        <x:v>2</x:v>
      </x:c>
      <x:c r="S857" s="87" t="n">
        <x:f>'Raw Sales'!K857</x:f>
        <x:v>0</x:v>
      </x:c>
      <x:c r="T857" s="93" t="n">
        <x:f>P857*R857</x:f>
        <x:v>44</x:v>
      </x:c>
      <x:c r="U857" s="93" t="n">
        <x:f>T857*S857</x:f>
        <x:v>0</x:v>
      </x:c>
      <x:c r="V857" s="93" t="str">
        <x:f>PROPER(TRIM('Raw Sales'!L857))</x:f>
        <x:v>Completed</x:v>
      </x:c>
      <x:c r="W857" s="93" t="n">
        <x:f>IF(V857="Returned",0,T857-U857)</x:f>
        <x:v>44</x:v>
      </x:c>
      <x:c r="X857" s="93" t="n">
        <x:f>IF(V857="Returned",Q857*R857*10%,Q857*R857)</x:f>
        <x:v>14</x:v>
      </x:c>
      <x:c r="Y857" s="93" t="n">
        <x:f>W857-X857</x:f>
        <x:v>30</x:v>
      </x:c>
      <x:c r="Z857" s="94" t="n">
        <x:f>IFERROR(Y857/W857,0)</x:f>
        <x:v>0.6818181818181818</x:v>
      </x:c>
      <x:c r="AA857" s="84" t="str">
        <x:f>PROPER(TRIM('Raw Sales'!M857))</x:f>
        <x:v>Credit Card</x:v>
      </x:c>
      <x:c r="AB857" s="84" t="str">
        <x:f>PROPER(TRIM('Raw Sales'!N857))</x:f>
        <x:v>Nora Kim</x:v>
      </x:c>
      <x:c r="AC857" s="85" t="n">
        <x:f>'Raw Sales'!O857</x:f>
        <x:v>45596</x:v>
      </x:c>
      <x:c r="AD857" s="84" t="n">
        <x:f>AC857-B857</x:f>
        <x:v>3</x:v>
      </x:c>
      <x:c r="AE857" s="84" t="str">
        <x:f>IF(COUNTIF($A$5:A857,A857)&gt;1,"Duplicate","Keep")</x:f>
        <x:v>Keep</x:v>
      </x:c>
      <x:c r="AF857" s="84" t="str">
        <x:f>IF(OR(R857&lt;=0,AC857&lt;B857,H857="Unknown",M857="Unknown Product"),"Review","Valid")</x:f>
        <x:v>Valid</x:v>
      </x:c>
      <x:c r="AG857" s="84" t="n">
        <x:f>IF(AND(AE857="Keep",AF857="Valid"),1,0)</x:f>
        <x:v>1</x:v>
      </x:c>
      <x:c r="AH857" s="84" t="n">
        <x:f>IF(AND(AG857=1,OR('Dashboard'!$B$4="All",I857='Dashboard'!$B$4),OR('Dashboard'!$E$4="All",N857='Dashboard'!$E$4),OR('Dashboard'!$H$4="All",K857='Dashboard'!$H$4),OR('Dashboard'!$K$4="All",C857='Dashboard'!$K$4)),1,0)</x:f>
        <x:v>1</x:v>
      </x:c>
      <x:c r="AI857" s="84" t="n">
        <x:f>IF(AND(AG857=1,OR('Dashboard'!$B$4="All",I857='Dashboard'!$B$4),OR('Dashboard'!$E$4="All",N857='Dashboard'!$E$4),OR('Dashboard'!$H$4="All",K857='Dashboard'!$H$4)),1,0)</x:f>
        <x:v>1</x:v>
      </x:c>
    </x:row>
    <x:row r="858">
      <x:c r="A858" s="84" t="str">
        <x:f>'Raw Sales'!A858</x:f>
        <x:v>ORD-2024-02382</x:v>
      </x:c>
      <x:c r="B858" s="85" t="n">
        <x:f>'Raw Sales'!B858</x:f>
        <x:v>45593</x:v>
      </x:c>
      <x:c r="C858" s="84" t="n">
        <x:f>YEAR(B858)</x:f>
        <x:v>2024</x:v>
      </x:c>
      <x:c r="D858" s="91" t="n">
        <x:f>DATE(YEAR(B858),MONTH(B858),1)</x:f>
        <x:v>45566</x:v>
      </x:c>
      <x:c r="E858" s="84" t="str">
        <x:f>TEXT(B858,"mmm")</x:f>
        <x:v>Oct</x:v>
      </x:c>
      <x:c r="F858" s="84" t="str">
        <x:f>'Raw Sales'!C858</x:f>
        <x:v>CUST-0500</x:v>
      </x:c>
      <x:c r="G858" s="84" t="str">
        <x:f>PROPER(TRIM('Raw Sales'!D858))</x:f>
        <x:v>Sara Baker</x:v>
      </x:c>
      <x:c r="H858" s="84" t="str">
        <x:f>IF(TRIM('Raw Sales'!E858)="","Unknown",PROPER(TRIM('Raw Sales'!E858)))</x:f>
        <x:v>Consumer</x:v>
      </x:c>
      <x:c r="I858" s="84" t="str">
        <x:f>PROPER(TRIM('Raw Sales'!F858))</x:f>
        <x:v>Midwest</x:v>
      </x:c>
      <x:c r="J858" s="84" t="str">
        <x:f>PROPER(TRIM('Raw Sales'!G858))</x:f>
        <x:v>Minneapolis</x:v>
      </x:c>
      <x:c r="K858" s="84" t="str">
        <x:f>PROPER(TRIM('Raw Sales'!H858))</x:f>
        <x:v>Retail Store</x:v>
      </x:c>
      <x:c r="L858" s="84" t="str">
        <x:f>'Raw Sales'!I858</x:f>
        <x:v>OFFC-001</x:v>
      </x:c>
      <x:c r="M858" s="84" t="str">
        <x:f>IFERROR(VLOOKUP(L858,'Reference Data'!$A$5:$F$40,2,FALSE),"Unknown Product")</x:f>
        <x:v>Ergonomic Chair</x:v>
      </x:c>
      <x:c r="N858" s="84" t="str">
        <x:f>IFERROR(VLOOKUP(L858,'Reference Data'!$A$5:$F$40,3,FALSE),"Unknown")</x:f>
        <x:v>Office</x:v>
      </x:c>
      <x:c r="O858" s="84" t="str">
        <x:f>IFERROR(VLOOKUP(L858,'Reference Data'!$A$5:$F$40,4,FALSE),"Unknown")</x:f>
        <x:v>Furniture</x:v>
      </x:c>
      <x:c r="P858" s="92" t="n">
        <x:f>IFERROR(VLOOKUP(L858,'Reference Data'!$A$5:$F$40,5,FALSE),0)</x:f>
        <x:v>249</x:v>
      </x:c>
      <x:c r="Q858" s="92" t="n">
        <x:f>IFERROR(VLOOKUP(L858,'Reference Data'!$A$5:$F$40,6,FALSE),0)</x:f>
        <x:v>145</x:v>
      </x:c>
      <x:c r="R858" s="84" t="n">
        <x:f>'Raw Sales'!J858</x:f>
        <x:v>1</x:v>
      </x:c>
      <x:c r="S858" s="87" t="n">
        <x:f>'Raw Sales'!K858</x:f>
        <x:v>0.05</x:v>
      </x:c>
      <x:c r="T858" s="93" t="n">
        <x:f>P858*R858</x:f>
        <x:v>249</x:v>
      </x:c>
      <x:c r="U858" s="93" t="n">
        <x:f>T858*S858</x:f>
        <x:v>12.450000000000001</x:v>
      </x:c>
      <x:c r="V858" s="93" t="str">
        <x:f>PROPER(TRIM('Raw Sales'!L858))</x:f>
        <x:v>Completed</x:v>
      </x:c>
      <x:c r="W858" s="93" t="n">
        <x:f>IF(V858="Returned",0,T858-U858)</x:f>
        <x:v>236.55</x:v>
      </x:c>
      <x:c r="X858" s="93" t="n">
        <x:f>IF(V858="Returned",Q858*R858*10%,Q858*R858)</x:f>
        <x:v>145</x:v>
      </x:c>
      <x:c r="Y858" s="93" t="n">
        <x:f>W858-X858</x:f>
        <x:v>91.55000000000001</x:v>
      </x:c>
      <x:c r="Z858" s="94" t="n">
        <x:f>IFERROR(Y858/W858,0)</x:f>
        <x:v>0.3870217712957092</x:v>
      </x:c>
      <x:c r="AA858" s="84" t="str">
        <x:f>PROPER(TRIM('Raw Sales'!M858))</x:f>
        <x:v>Credit Card</x:v>
      </x:c>
      <x:c r="AB858" s="84" t="str">
        <x:f>PROPER(TRIM('Raw Sales'!N858))</x:f>
        <x:v>Emma Hayes</x:v>
      </x:c>
      <x:c r="AC858" s="85" t="n">
        <x:f>'Raw Sales'!O858</x:f>
        <x:v>45593</x:v>
      </x:c>
      <x:c r="AD858" s="84" t="n">
        <x:f>AC858-B858</x:f>
        <x:v>0</x:v>
      </x:c>
      <x:c r="AE858" s="84" t="str">
        <x:f>IF(COUNTIF($A$5:A858,A858)&gt;1,"Duplicate","Keep")</x:f>
        <x:v>Keep</x:v>
      </x:c>
      <x:c r="AF858" s="84" t="str">
        <x:f>IF(OR(R858&lt;=0,AC858&lt;B858,H858="Unknown",M858="Unknown Product"),"Review","Valid")</x:f>
        <x:v>Valid</x:v>
      </x:c>
      <x:c r="AG858" s="84" t="n">
        <x:f>IF(AND(AE858="Keep",AF858="Valid"),1,0)</x:f>
        <x:v>1</x:v>
      </x:c>
      <x:c r="AH858" s="84" t="n">
        <x:f>IF(AND(AG858=1,OR('Dashboard'!$B$4="All",I858='Dashboard'!$B$4),OR('Dashboard'!$E$4="All",N858='Dashboard'!$E$4),OR('Dashboard'!$H$4="All",K858='Dashboard'!$H$4),OR('Dashboard'!$K$4="All",C858='Dashboard'!$K$4)),1,0)</x:f>
        <x:v>1</x:v>
      </x:c>
      <x:c r="AI858" s="84" t="n">
        <x:f>IF(AND(AG858=1,OR('Dashboard'!$B$4="All",I858='Dashboard'!$B$4),OR('Dashboard'!$E$4="All",N858='Dashboard'!$E$4),OR('Dashboard'!$H$4="All",K858='Dashboard'!$H$4)),1,0)</x:f>
        <x:v>1</x:v>
      </x:c>
    </x:row>
    <x:row r="859">
      <x:c r="A859" s="84" t="str">
        <x:f>'Raw Sales'!A859</x:f>
        <x:v>ORD-2024-00007</x:v>
      </x:c>
      <x:c r="B859" s="85" t="n">
        <x:f>'Raw Sales'!B859</x:f>
        <x:v>45595</x:v>
      </x:c>
      <x:c r="C859" s="84" t="n">
        <x:f>YEAR(B859)</x:f>
        <x:v>2024</x:v>
      </x:c>
      <x:c r="D859" s="91" t="n">
        <x:f>DATE(YEAR(B859),MONTH(B859),1)</x:f>
        <x:v>45566</x:v>
      </x:c>
      <x:c r="E859" s="84" t="str">
        <x:f>TEXT(B859,"mmm")</x:f>
        <x:v>Oct</x:v>
      </x:c>
      <x:c r="F859" s="84" t="str">
        <x:f>'Raw Sales'!C859</x:f>
        <x:v>CUST-0422</x:v>
      </x:c>
      <x:c r="G859" s="84" t="str">
        <x:f>PROPER(TRIM('Raw Sales'!D859))</x:f>
        <x:v>William Adams</x:v>
      </x:c>
      <x:c r="H859" s="84" t="str">
        <x:f>IF(TRIM('Raw Sales'!E859)="","Unknown",PROPER(TRIM('Raw Sales'!E859)))</x:f>
        <x:v>Consumer</x:v>
      </x:c>
      <x:c r="I859" s="84" t="str">
        <x:f>PROPER(TRIM('Raw Sales'!F859))</x:f>
        <x:v>Midwest</x:v>
      </x:c>
      <x:c r="J859" s="84" t="str">
        <x:f>PROPER(TRIM('Raw Sales'!G859))</x:f>
        <x:v>Detroit</x:v>
      </x:c>
      <x:c r="K859" s="84" t="str">
        <x:f>PROPER(TRIM('Raw Sales'!H859))</x:f>
        <x:v>Retail Store</x:v>
      </x:c>
      <x:c r="L859" s="84" t="str">
        <x:f>'Raw Sales'!I859</x:f>
        <x:v>HOME-003</x:v>
      </x:c>
      <x:c r="M859" s="84" t="str">
        <x:f>IFERROR(VLOOKUP(L859,'Reference Data'!$A$5:$F$40,2,FALSE),"Unknown Product")</x:f>
        <x:v>Countertop Blender</x:v>
      </x:c>
      <x:c r="N859" s="84" t="str">
        <x:f>IFERROR(VLOOKUP(L859,'Reference Data'!$A$5:$F$40,3,FALSE),"Unknown")</x:f>
        <x:v>Home &amp; Kitchen</x:v>
      </x:c>
      <x:c r="O859" s="84" t="str">
        <x:f>IFERROR(VLOOKUP(L859,'Reference Data'!$A$5:$F$40,4,FALSE),"Unknown")</x:f>
        <x:v>Small Appliances</x:v>
      </x:c>
      <x:c r="P859" s="92" t="n">
        <x:f>IFERROR(VLOOKUP(L859,'Reference Data'!$A$5:$F$40,5,FALSE),0)</x:f>
        <x:v>89</x:v>
      </x:c>
      <x:c r="Q859" s="92" t="n">
        <x:f>IFERROR(VLOOKUP(L859,'Reference Data'!$A$5:$F$40,6,FALSE),0)</x:f>
        <x:v>46</x:v>
      </x:c>
      <x:c r="R859" s="84" t="n">
        <x:f>'Raw Sales'!J859</x:f>
        <x:v>1</x:v>
      </x:c>
      <x:c r="S859" s="87" t="n">
        <x:f>'Raw Sales'!K859</x:f>
        <x:v>0</x:v>
      </x:c>
      <x:c r="T859" s="93" t="n">
        <x:f>P859*R859</x:f>
        <x:v>89</x:v>
      </x:c>
      <x:c r="U859" s="93" t="n">
        <x:f>T859*S859</x:f>
        <x:v>0</x:v>
      </x:c>
      <x:c r="V859" s="93" t="str">
        <x:f>PROPER(TRIM('Raw Sales'!L859))</x:f>
        <x:v>Completed</x:v>
      </x:c>
      <x:c r="W859" s="93" t="n">
        <x:f>IF(V859="Returned",0,T859-U859)</x:f>
        <x:v>89</x:v>
      </x:c>
      <x:c r="X859" s="93" t="n">
        <x:f>IF(V859="Returned",Q859*R859*10%,Q859*R859)</x:f>
        <x:v>46</x:v>
      </x:c>
      <x:c r="Y859" s="93" t="n">
        <x:f>W859-X859</x:f>
        <x:v>43</x:v>
      </x:c>
      <x:c r="Z859" s="94" t="n">
        <x:f>IFERROR(Y859/W859,0)</x:f>
        <x:v>0.48314606741573035</x:v>
      </x:c>
      <x:c r="AA859" s="84" t="str">
        <x:f>PROPER(TRIM('Raw Sales'!M859))</x:f>
        <x:v>Debit Card</x:v>
      </x:c>
      <x:c r="AB859" s="84" t="str">
        <x:f>PROPER(TRIM('Raw Sales'!N859))</x:f>
        <x:v>Emma Hayes</x:v>
      </x:c>
      <x:c r="AC859" s="85" t="n">
        <x:f>'Raw Sales'!O859</x:f>
        <x:v>45595</x:v>
      </x:c>
      <x:c r="AD859" s="84" t="n">
        <x:f>AC859-B859</x:f>
        <x:v>0</x:v>
      </x:c>
      <x:c r="AE859" s="84" t="str">
        <x:f>IF(COUNTIF($A$5:A859,A859)&gt;1,"Duplicate","Keep")</x:f>
        <x:v>Keep</x:v>
      </x:c>
      <x:c r="AF859" s="84" t="str">
        <x:f>IF(OR(R859&lt;=0,AC859&lt;B859,H859="Unknown",M859="Unknown Product"),"Review","Valid")</x:f>
        <x:v>Valid</x:v>
      </x:c>
      <x:c r="AG859" s="84" t="n">
        <x:f>IF(AND(AE859="Keep",AF859="Valid"),1,0)</x:f>
        <x:v>1</x:v>
      </x:c>
      <x:c r="AH859" s="84" t="n">
        <x:f>IF(AND(AG859=1,OR('Dashboard'!$B$4="All",I859='Dashboard'!$B$4),OR('Dashboard'!$E$4="All",N859='Dashboard'!$E$4),OR('Dashboard'!$H$4="All",K859='Dashboard'!$H$4),OR('Dashboard'!$K$4="All",C859='Dashboard'!$K$4)),1,0)</x:f>
        <x:v>1</x:v>
      </x:c>
      <x:c r="AI859" s="84" t="n">
        <x:f>IF(AND(AG859=1,OR('Dashboard'!$B$4="All",I859='Dashboard'!$B$4),OR('Dashboard'!$E$4="All",N859='Dashboard'!$E$4),OR('Dashboard'!$H$4="All",K859='Dashboard'!$H$4)),1,0)</x:f>
        <x:v>1</x:v>
      </x:c>
    </x:row>
    <x:row r="860">
      <x:c r="A860" s="84" t="str">
        <x:f>'Raw Sales'!A860</x:f>
        <x:v>ORD-2024-00197</x:v>
      </x:c>
      <x:c r="B860" s="85" t="n">
        <x:f>'Raw Sales'!B860</x:f>
        <x:v>45595</x:v>
      </x:c>
      <x:c r="C860" s="84" t="n">
        <x:f>YEAR(B860)</x:f>
        <x:v>2024</x:v>
      </x:c>
      <x:c r="D860" s="91" t="n">
        <x:f>DATE(YEAR(B860),MONTH(B860),1)</x:f>
        <x:v>45566</x:v>
      </x:c>
      <x:c r="E860" s="84" t="str">
        <x:f>TEXT(B860,"mmm")</x:f>
        <x:v>Oct</x:v>
      </x:c>
      <x:c r="F860" s="84" t="str">
        <x:f>'Raw Sales'!C860</x:f>
        <x:v>CUST-0243</x:v>
      </x:c>
      <x:c r="G860" s="84" t="str">
        <x:f>PROPER(TRIM('Raw Sales'!D860))</x:f>
        <x:v>Jasmine Johnson</x:v>
      </x:c>
      <x:c r="H860" s="84" t="str">
        <x:f>IF(TRIM('Raw Sales'!E860)="","Unknown",PROPER(TRIM('Raw Sales'!E860)))</x:f>
        <x:v>Corporate</x:v>
      </x:c>
      <x:c r="I860" s="84" t="str">
        <x:f>PROPER(TRIM('Raw Sales'!F860))</x:f>
        <x:v>Northeast</x:v>
      </x:c>
      <x:c r="J860" s="84" t="str">
        <x:f>PROPER(TRIM('Raw Sales'!G860))</x:f>
        <x:v>Newark</x:v>
      </x:c>
      <x:c r="K860" s="84" t="str">
        <x:f>PROPER(TRIM('Raw Sales'!H860))</x:f>
        <x:v>Retail Store</x:v>
      </x:c>
      <x:c r="L860" s="84" t="str">
        <x:f>'Raw Sales'!I860</x:f>
        <x:v>ACCS-006</x:v>
      </x:c>
      <x:c r="M860" s="84" t="str">
        <x:f>IFERROR(VLOOKUP(L860,'Reference Data'!$A$5:$F$40,2,FALSE),"Unknown Product")</x:f>
        <x:v>Insulated Lunch Bag</x:v>
      </x:c>
      <x:c r="N860" s="84" t="str">
        <x:f>IFERROR(VLOOKUP(L860,'Reference Data'!$A$5:$F$40,3,FALSE),"Unknown")</x:f>
        <x:v>Accessories</x:v>
      </x:c>
      <x:c r="O860" s="84" t="str">
        <x:f>IFERROR(VLOOKUP(L860,'Reference Data'!$A$5:$F$40,4,FALSE),"Unknown")</x:f>
        <x:v>Bags</x:v>
      </x:c>
      <x:c r="P860" s="92" t="n">
        <x:f>IFERROR(VLOOKUP(L860,'Reference Data'!$A$5:$F$40,5,FALSE),0)</x:f>
        <x:v>29</x:v>
      </x:c>
      <x:c r="Q860" s="92" t="n">
        <x:f>IFERROR(VLOOKUP(L860,'Reference Data'!$A$5:$F$40,6,FALSE),0)</x:f>
        <x:v>10</x:v>
      </x:c>
      <x:c r="R860" s="84" t="n">
        <x:f>'Raw Sales'!J860</x:f>
        <x:v>1</x:v>
      </x:c>
      <x:c r="S860" s="87" t="n">
        <x:f>'Raw Sales'!K860</x:f>
        <x:v>0.15</x:v>
      </x:c>
      <x:c r="T860" s="93" t="n">
        <x:f>P860*R860</x:f>
        <x:v>29</x:v>
      </x:c>
      <x:c r="U860" s="93" t="n">
        <x:f>T860*S860</x:f>
        <x:v>4.35</x:v>
      </x:c>
      <x:c r="V860" s="93" t="str">
        <x:f>PROPER(TRIM('Raw Sales'!L860))</x:f>
        <x:v>Completed</x:v>
      </x:c>
      <x:c r="W860" s="93" t="n">
        <x:f>IF(V860="Returned",0,T860-U860)</x:f>
        <x:v>24.65</x:v>
      </x:c>
      <x:c r="X860" s="93" t="n">
        <x:f>IF(V860="Returned",Q860*R860*10%,Q860*R860)</x:f>
        <x:v>10</x:v>
      </x:c>
      <x:c r="Y860" s="93" t="n">
        <x:f>W860-X860</x:f>
        <x:v>14.649999999999999</x:v>
      </x:c>
      <x:c r="Z860" s="94" t="n">
        <x:f>IFERROR(Y860/W860,0)</x:f>
        <x:v>0.5943204868154158</x:v>
      </x:c>
      <x:c r="AA860" s="84" t="str">
        <x:f>PROPER(TRIM('Raw Sales'!M860))</x:f>
        <x:v>Credit Card</x:v>
      </x:c>
      <x:c r="AB860" s="84" t="str">
        <x:f>PROPER(TRIM('Raw Sales'!N860))</x:f>
        <x:v>Ethan Cole</x:v>
      </x:c>
      <x:c r="AC860" s="85" t="n">
        <x:f>'Raw Sales'!O860</x:f>
        <x:v>45595</x:v>
      </x:c>
      <x:c r="AD860" s="84" t="n">
        <x:f>AC860-B860</x:f>
        <x:v>0</x:v>
      </x:c>
      <x:c r="AE860" s="84" t="str">
        <x:f>IF(COUNTIF($A$5:A860,A860)&gt;1,"Duplicate","Keep")</x:f>
        <x:v>Keep</x:v>
      </x:c>
      <x:c r="AF860" s="84" t="str">
        <x:f>IF(OR(R860&lt;=0,AC860&lt;B860,H860="Unknown",M860="Unknown Product"),"Review","Valid")</x:f>
        <x:v>Valid</x:v>
      </x:c>
      <x:c r="AG860" s="84" t="n">
        <x:f>IF(AND(AE860="Keep",AF860="Valid"),1,0)</x:f>
        <x:v>1</x:v>
      </x:c>
      <x:c r="AH860" s="84" t="n">
        <x:f>IF(AND(AG860=1,OR('Dashboard'!$B$4="All",I860='Dashboard'!$B$4),OR('Dashboard'!$E$4="All",N860='Dashboard'!$E$4),OR('Dashboard'!$H$4="All",K860='Dashboard'!$H$4),OR('Dashboard'!$K$4="All",C860='Dashboard'!$K$4)),1,0)</x:f>
        <x:v>1</x:v>
      </x:c>
      <x:c r="AI860" s="84" t="n">
        <x:f>IF(AND(AG860=1,OR('Dashboard'!$B$4="All",I860='Dashboard'!$B$4),OR('Dashboard'!$E$4="All",N860='Dashboard'!$E$4),OR('Dashboard'!$H$4="All",K860='Dashboard'!$H$4)),1,0)</x:f>
        <x:v>1</x:v>
      </x:c>
    </x:row>
    <x:row r="861">
      <x:c r="A861" s="84" t="str">
        <x:f>'Raw Sales'!A861</x:f>
        <x:v>ORD-2024-00523</x:v>
      </x:c>
      <x:c r="B861" s="85" t="n">
        <x:f>'Raw Sales'!B861</x:f>
        <x:v>45595</x:v>
      </x:c>
      <x:c r="C861" s="84" t="n">
        <x:f>YEAR(B861)</x:f>
        <x:v>2024</x:v>
      </x:c>
      <x:c r="D861" s="91" t="n">
        <x:f>DATE(YEAR(B861),MONTH(B861),1)</x:f>
        <x:v>45566</x:v>
      </x:c>
      <x:c r="E861" s="84" t="str">
        <x:f>TEXT(B861,"mmm")</x:f>
        <x:v>Oct</x:v>
      </x:c>
      <x:c r="F861" s="84" t="str">
        <x:f>'Raw Sales'!C861</x:f>
        <x:v>CUST-0180</x:v>
      </x:c>
      <x:c r="G861" s="84" t="str">
        <x:f>PROPER(TRIM('Raw Sales'!D861))</x:f>
        <x:v>Chloe Irwin</x:v>
      </x:c>
      <x:c r="H861" s="84" t="str">
        <x:f>IF(TRIM('Raw Sales'!E861)="","Unknown",PROPER(TRIM('Raw Sales'!E861)))</x:f>
        <x:v>Consumer</x:v>
      </x:c>
      <x:c r="I861" s="84" t="str">
        <x:f>PROPER(TRIM('Raw Sales'!F861))</x:f>
        <x:v>Southeast</x:v>
      </x:c>
      <x:c r="J861" s="84" t="str">
        <x:f>PROPER(TRIM('Raw Sales'!G861))</x:f>
        <x:v>Miami</x:v>
      </x:c>
      <x:c r="K861" s="84" t="str">
        <x:f>PROPER(TRIM('Raw Sales'!H861))</x:f>
        <x:v>Retail Store</x:v>
      </x:c>
      <x:c r="L861" s="84" t="str">
        <x:f>'Raw Sales'!I861</x:f>
        <x:v>ACCS-006</x:v>
      </x:c>
      <x:c r="M861" s="84" t="str">
        <x:f>IFERROR(VLOOKUP(L861,'Reference Data'!$A$5:$F$40,2,FALSE),"Unknown Product")</x:f>
        <x:v>Insulated Lunch Bag</x:v>
      </x:c>
      <x:c r="N861" s="84" t="str">
        <x:f>IFERROR(VLOOKUP(L861,'Reference Data'!$A$5:$F$40,3,FALSE),"Unknown")</x:f>
        <x:v>Accessories</x:v>
      </x:c>
      <x:c r="O861" s="84" t="str">
        <x:f>IFERROR(VLOOKUP(L861,'Reference Data'!$A$5:$F$40,4,FALSE),"Unknown")</x:f>
        <x:v>Bags</x:v>
      </x:c>
      <x:c r="P861" s="92" t="n">
        <x:f>IFERROR(VLOOKUP(L861,'Reference Data'!$A$5:$F$40,5,FALSE),0)</x:f>
        <x:v>29</x:v>
      </x:c>
      <x:c r="Q861" s="92" t="n">
        <x:f>IFERROR(VLOOKUP(L861,'Reference Data'!$A$5:$F$40,6,FALSE),0)</x:f>
        <x:v>10</x:v>
      </x:c>
      <x:c r="R861" s="84" t="n">
        <x:f>'Raw Sales'!J861</x:f>
        <x:v>1</x:v>
      </x:c>
      <x:c r="S861" s="87" t="n">
        <x:f>'Raw Sales'!K861</x:f>
        <x:v>0.15</x:v>
      </x:c>
      <x:c r="T861" s="93" t="n">
        <x:f>P861*R861</x:f>
        <x:v>29</x:v>
      </x:c>
      <x:c r="U861" s="93" t="n">
        <x:f>T861*S861</x:f>
        <x:v>4.35</x:v>
      </x:c>
      <x:c r="V861" s="93" t="str">
        <x:f>PROPER(TRIM('Raw Sales'!L861))</x:f>
        <x:v>Completed</x:v>
      </x:c>
      <x:c r="W861" s="93" t="n">
        <x:f>IF(V861="Returned",0,T861-U861)</x:f>
        <x:v>24.65</x:v>
      </x:c>
      <x:c r="X861" s="93" t="n">
        <x:f>IF(V861="Returned",Q861*R861*10%,Q861*R861)</x:f>
        <x:v>10</x:v>
      </x:c>
      <x:c r="Y861" s="93" t="n">
        <x:f>W861-X861</x:f>
        <x:v>14.649999999999999</x:v>
      </x:c>
      <x:c r="Z861" s="94" t="n">
        <x:f>IFERROR(Y861/W861,0)</x:f>
        <x:v>0.5943204868154158</x:v>
      </x:c>
      <x:c r="AA861" s="84" t="str">
        <x:f>PROPER(TRIM('Raw Sales'!M861))</x:f>
        <x:v>Debit Card</x:v>
      </x:c>
      <x:c r="AB861" s="84" t="str">
        <x:f>PROPER(TRIM('Raw Sales'!N861))</x:f>
        <x:v>Ava Mitchell</x:v>
      </x:c>
      <x:c r="AC861" s="85" t="n">
        <x:f>'Raw Sales'!O861</x:f>
        <x:v>45596</x:v>
      </x:c>
      <x:c r="AD861" s="84" t="n">
        <x:f>AC861-B861</x:f>
        <x:v>1</x:v>
      </x:c>
      <x:c r="AE861" s="84" t="str">
        <x:f>IF(COUNTIF($A$5:A861,A861)&gt;1,"Duplicate","Keep")</x:f>
        <x:v>Keep</x:v>
      </x:c>
      <x:c r="AF861" s="84" t="str">
        <x:f>IF(OR(R861&lt;=0,AC861&lt;B861,H861="Unknown",M861="Unknown Product"),"Review","Valid")</x:f>
        <x:v>Valid</x:v>
      </x:c>
      <x:c r="AG861" s="84" t="n">
        <x:f>IF(AND(AE861="Keep",AF861="Valid"),1,0)</x:f>
        <x:v>1</x:v>
      </x:c>
      <x:c r="AH861" s="84" t="n">
        <x:f>IF(AND(AG861=1,OR('Dashboard'!$B$4="All",I861='Dashboard'!$B$4),OR('Dashboard'!$E$4="All",N861='Dashboard'!$E$4),OR('Dashboard'!$H$4="All",K861='Dashboard'!$H$4),OR('Dashboard'!$K$4="All",C861='Dashboard'!$K$4)),1,0)</x:f>
        <x:v>1</x:v>
      </x:c>
      <x:c r="AI861" s="84" t="n">
        <x:f>IF(AND(AG861=1,OR('Dashboard'!$B$4="All",I861='Dashboard'!$B$4),OR('Dashboard'!$E$4="All",N861='Dashboard'!$E$4),OR('Dashboard'!$H$4="All",K861='Dashboard'!$H$4)),1,0)</x:f>
        <x:v>1</x:v>
      </x:c>
    </x:row>
    <x:row r="862">
      <x:c r="A862" s="84" t="str">
        <x:f>'Raw Sales'!A862</x:f>
        <x:v>ORD-2024-00743</x:v>
      </x:c>
      <x:c r="B862" s="85" t="n">
        <x:f>'Raw Sales'!B862</x:f>
        <x:v>45595</x:v>
      </x:c>
      <x:c r="C862" s="84" t="n">
        <x:f>YEAR(B862)</x:f>
        <x:v>2024</x:v>
      </x:c>
      <x:c r="D862" s="91" t="n">
        <x:f>DATE(YEAR(B862),MONTH(B862),1)</x:f>
        <x:v>45566</x:v>
      </x:c>
      <x:c r="E862" s="84" t="str">
        <x:f>TEXT(B862,"mmm")</x:f>
        <x:v>Oct</x:v>
      </x:c>
      <x:c r="F862" s="84" t="str">
        <x:f>'Raw Sales'!C862</x:f>
        <x:v>CUST-0194</x:v>
      </x:c>
      <x:c r="G862" s="84" t="str">
        <x:f>PROPER(TRIM('Raw Sales'!D862))</x:f>
        <x:v>Samuel Roberts</x:v>
      </x:c>
      <x:c r="H862" s="84" t="str">
        <x:f>IF(TRIM('Raw Sales'!E862)="","Unknown",PROPER(TRIM('Raw Sales'!E862)))</x:f>
        <x:v>Small Business</x:v>
      </x:c>
      <x:c r="I862" s="84" t="str">
        <x:f>PROPER(TRIM('Raw Sales'!F862))</x:f>
        <x:v>Southeast</x:v>
      </x:c>
      <x:c r="J862" s="84" t="str">
        <x:f>PROPER(TRIM('Raw Sales'!G862))</x:f>
        <x:v>Atlanta</x:v>
      </x:c>
      <x:c r="K862" s="84" t="str">
        <x:f>PROPER(TRIM('Raw Sales'!H862))</x:f>
        <x:v>Marketplace</x:v>
      </x:c>
      <x:c r="L862" s="84" t="str">
        <x:f>'Raw Sales'!I862</x:f>
        <x:v>ELEC-002</x:v>
      </x:c>
      <x:c r="M862" s="84" t="str">
        <x:f>IFERROR(VLOOKUP(L862,'Reference Data'!$A$5:$F$40,2,FALSE),"Unknown Product")</x:f>
        <x:v>Smartwatch</x:v>
      </x:c>
      <x:c r="N862" s="84" t="str">
        <x:f>IFERROR(VLOOKUP(L862,'Reference Data'!$A$5:$F$40,3,FALSE),"Unknown")</x:f>
        <x:v>Electronics</x:v>
      </x:c>
      <x:c r="O862" s="84" t="str">
        <x:f>IFERROR(VLOOKUP(L862,'Reference Data'!$A$5:$F$40,4,FALSE),"Unknown")</x:f>
        <x:v>Wearables</x:v>
      </x:c>
      <x:c r="P862" s="92" t="n">
        <x:f>IFERROR(VLOOKUP(L862,'Reference Data'!$A$5:$F$40,5,FALSE),0)</x:f>
        <x:v>159</x:v>
      </x:c>
      <x:c r="Q862" s="92" t="n">
        <x:f>IFERROR(VLOOKUP(L862,'Reference Data'!$A$5:$F$40,6,FALSE),0)</x:f>
        <x:v>92</x:v>
      </x:c>
      <x:c r="R862" s="84" t="n">
        <x:f>'Raw Sales'!J862</x:f>
        <x:v>1</x:v>
      </x:c>
      <x:c r="S862" s="87" t="n">
        <x:f>'Raw Sales'!K862</x:f>
        <x:v>0.2</x:v>
      </x:c>
      <x:c r="T862" s="93" t="n">
        <x:f>P862*R862</x:f>
        <x:v>159</x:v>
      </x:c>
      <x:c r="U862" s="93" t="n">
        <x:f>T862*S862</x:f>
        <x:v>31.8</x:v>
      </x:c>
      <x:c r="V862" s="93" t="str">
        <x:f>PROPER(TRIM('Raw Sales'!L862))</x:f>
        <x:v>Completed</x:v>
      </x:c>
      <x:c r="W862" s="93" t="n">
        <x:f>IF(V862="Returned",0,T862-U862)</x:f>
        <x:v>127.2</x:v>
      </x:c>
      <x:c r="X862" s="93" t="n">
        <x:f>IF(V862="Returned",Q862*R862*10%,Q862*R862)</x:f>
        <x:v>92</x:v>
      </x:c>
      <x:c r="Y862" s="93" t="n">
        <x:f>W862-X862</x:f>
        <x:v>35.2</x:v>
      </x:c>
      <x:c r="Z862" s="94" t="n">
        <x:f>IFERROR(Y862/W862,0)</x:f>
        <x:v>0.27672955974842767</x:v>
      </x:c>
      <x:c r="AA862" s="84" t="str">
        <x:f>PROPER(TRIM('Raw Sales'!M862))</x:f>
        <x:v>Paypal</x:v>
      </x:c>
      <x:c r="AB862" s="84" t="str">
        <x:f>PROPER(TRIM('Raw Sales'!N862))</x:f>
        <x:v>Noah Reed</x:v>
      </x:c>
      <x:c r="AC862" s="85" t="n">
        <x:f>'Raw Sales'!O862</x:f>
        <x:v>45600</x:v>
      </x:c>
      <x:c r="AD862" s="84" t="n">
        <x:f>AC862-B862</x:f>
        <x:v>5</x:v>
      </x:c>
      <x:c r="AE862" s="84" t="str">
        <x:f>IF(COUNTIF($A$5:A862,A862)&gt;1,"Duplicate","Keep")</x:f>
        <x:v>Keep</x:v>
      </x:c>
      <x:c r="AF862" s="84" t="str">
        <x:f>IF(OR(R862&lt;=0,AC862&lt;B862,H862="Unknown",M862="Unknown Product"),"Review","Valid")</x:f>
        <x:v>Valid</x:v>
      </x:c>
      <x:c r="AG862" s="84" t="n">
        <x:f>IF(AND(AE862="Keep",AF862="Valid"),1,0)</x:f>
        <x:v>1</x:v>
      </x:c>
      <x:c r="AH862" s="84" t="n">
        <x:f>IF(AND(AG862=1,OR('Dashboard'!$B$4="All",I862='Dashboard'!$B$4),OR('Dashboard'!$E$4="All",N862='Dashboard'!$E$4),OR('Dashboard'!$H$4="All",K862='Dashboard'!$H$4),OR('Dashboard'!$K$4="All",C862='Dashboard'!$K$4)),1,0)</x:f>
        <x:v>1</x:v>
      </x:c>
      <x:c r="AI862" s="84" t="n">
        <x:f>IF(AND(AG862=1,OR('Dashboard'!$B$4="All",I862='Dashboard'!$B$4),OR('Dashboard'!$E$4="All",N862='Dashboard'!$E$4),OR('Dashboard'!$H$4="All",K862='Dashboard'!$H$4)),1,0)</x:f>
        <x:v>1</x:v>
      </x:c>
    </x:row>
    <x:row r="863">
      <x:c r="A863" s="84" t="str">
        <x:f>'Raw Sales'!A863</x:f>
        <x:v>ORD-2024-01926</x:v>
      </x:c>
      <x:c r="B863" s="85" t="n">
        <x:f>'Raw Sales'!B863</x:f>
        <x:v>45595</x:v>
      </x:c>
      <x:c r="C863" s="84" t="n">
        <x:f>YEAR(B863)</x:f>
        <x:v>2024</x:v>
      </x:c>
      <x:c r="D863" s="91" t="n">
        <x:f>DATE(YEAR(B863),MONTH(B863),1)</x:f>
        <x:v>45566</x:v>
      </x:c>
      <x:c r="E863" s="84" t="str">
        <x:f>TEXT(B863,"mmm")</x:f>
        <x:v>Oct</x:v>
      </x:c>
      <x:c r="F863" s="84" t="str">
        <x:f>'Raw Sales'!C863</x:f>
        <x:v>CUST-0011</x:v>
      </x:c>
      <x:c r="G863" s="84" t="str">
        <x:f>PROPER(TRIM('Raw Sales'!D863))</x:f>
        <x:v>Priya Hall</x:v>
      </x:c>
      <x:c r="H863" s="84" t="str">
        <x:f>IF(TRIM('Raw Sales'!E863)="","Unknown",PROPER(TRIM('Raw Sales'!E863)))</x:f>
        <x:v>Consumer</x:v>
      </x:c>
      <x:c r="I863" s="84" t="str">
        <x:f>PROPER(TRIM('Raw Sales'!F863))</x:f>
        <x:v>Midwest</x:v>
      </x:c>
      <x:c r="J863" s="84" t="str">
        <x:f>PROPER(TRIM('Raw Sales'!G863))</x:f>
        <x:v>Minneapolis</x:v>
      </x:c>
      <x:c r="K863" s="84" t="str">
        <x:f>PROPER(TRIM('Raw Sales'!H863))</x:f>
        <x:v>Online</x:v>
      </x:c>
      <x:c r="L863" s="84" t="str">
        <x:f>'Raw Sales'!I863</x:f>
        <x:v>CARE-006</x:v>
      </x:c>
      <x:c r="M863" s="84" t="str">
        <x:f>IFERROR(VLOOKUP(L863,'Reference Data'!$A$5:$F$40,2,FALSE),"Unknown Product")</x:f>
        <x:v>Percussion Massage Gun</x:v>
      </x:c>
      <x:c r="N863" s="84" t="str">
        <x:f>IFERROR(VLOOKUP(L863,'Reference Data'!$A$5:$F$40,3,FALSE),"Unknown")</x:f>
        <x:v>Personal Care</x:v>
      </x:c>
      <x:c r="O863" s="84" t="str">
        <x:f>IFERROR(VLOOKUP(L863,'Reference Data'!$A$5:$F$40,4,FALSE),"Unknown")</x:f>
        <x:v>Wellness</x:v>
      </x:c>
      <x:c r="P863" s="92" t="n">
        <x:f>IFERROR(VLOOKUP(L863,'Reference Data'!$A$5:$F$40,5,FALSE),0)</x:f>
        <x:v>129</x:v>
      </x:c>
      <x:c r="Q863" s="92" t="n">
        <x:f>IFERROR(VLOOKUP(L863,'Reference Data'!$A$5:$F$40,6,FALSE),0)</x:f>
        <x:v>70</x:v>
      </x:c>
      <x:c r="R863" s="84" t="n">
        <x:f>'Raw Sales'!J863</x:f>
        <x:v>3</x:v>
      </x:c>
      <x:c r="S863" s="87" t="n">
        <x:f>'Raw Sales'!K863</x:f>
        <x:v>0.05</x:v>
      </x:c>
      <x:c r="T863" s="93" t="n">
        <x:f>P863*R863</x:f>
        <x:v>387</x:v>
      </x:c>
      <x:c r="U863" s="93" t="n">
        <x:f>T863*S863</x:f>
        <x:v>19.35</x:v>
      </x:c>
      <x:c r="V863" s="93" t="str">
        <x:f>PROPER(TRIM('Raw Sales'!L863))</x:f>
        <x:v>Completed</x:v>
      </x:c>
      <x:c r="W863" s="93" t="n">
        <x:f>IF(V863="Returned",0,T863-U863)</x:f>
        <x:v>367.65</x:v>
      </x:c>
      <x:c r="X863" s="93" t="n">
        <x:f>IF(V863="Returned",Q863*R863*10%,Q863*R863)</x:f>
        <x:v>210</x:v>
      </x:c>
      <x:c r="Y863" s="93" t="n">
        <x:f>W863-X863</x:f>
        <x:v>157.64999999999998</x:v>
      </x:c>
      <x:c r="Z863" s="94" t="n">
        <x:f>IFERROR(Y863/W863,0)</x:f>
        <x:v>0.4288045695634435</x:v>
      </x:c>
      <x:c r="AA863" s="84" t="str">
        <x:f>PROPER(TRIM('Raw Sales'!M863))</x:f>
        <x:v>Credit Card</x:v>
      </x:c>
      <x:c r="AB863" s="84" t="str">
        <x:f>PROPER(TRIM('Raw Sales'!N863))</x:f>
        <x:v>Emma Hayes</x:v>
      </x:c>
      <x:c r="AC863" s="85" t="n">
        <x:f>'Raw Sales'!O863</x:f>
        <x:v>45599</x:v>
      </x:c>
      <x:c r="AD863" s="84" t="n">
        <x:f>AC863-B863</x:f>
        <x:v>4</x:v>
      </x:c>
      <x:c r="AE863" s="84" t="str">
        <x:f>IF(COUNTIF($A$5:A863,A863)&gt;1,"Duplicate","Keep")</x:f>
        <x:v>Keep</x:v>
      </x:c>
      <x:c r="AF863" s="84" t="str">
        <x:f>IF(OR(R863&lt;=0,AC863&lt;B863,H863="Unknown",M863="Unknown Product"),"Review","Valid")</x:f>
        <x:v>Valid</x:v>
      </x:c>
      <x:c r="AG863" s="84" t="n">
        <x:f>IF(AND(AE863="Keep",AF863="Valid"),1,0)</x:f>
        <x:v>1</x:v>
      </x:c>
      <x:c r="AH863" s="84" t="n">
        <x:f>IF(AND(AG863=1,OR('Dashboard'!$B$4="All",I863='Dashboard'!$B$4),OR('Dashboard'!$E$4="All",N863='Dashboard'!$E$4),OR('Dashboard'!$H$4="All",K863='Dashboard'!$H$4),OR('Dashboard'!$K$4="All",C863='Dashboard'!$K$4)),1,0)</x:f>
        <x:v>1</x:v>
      </x:c>
      <x:c r="AI863" s="84" t="n">
        <x:f>IF(AND(AG863=1,OR('Dashboard'!$B$4="All",I863='Dashboard'!$B$4),OR('Dashboard'!$E$4="All",N863='Dashboard'!$E$4),OR('Dashboard'!$H$4="All",K863='Dashboard'!$H$4)),1,0)</x:f>
        <x:v>1</x:v>
      </x:c>
    </x:row>
    <x:row r="864">
      <x:c r="A864" s="84" t="str">
        <x:f>'Raw Sales'!A864</x:f>
        <x:v>ORD-2024-01643</x:v>
      </x:c>
      <x:c r="B864" s="85" t="n">
        <x:f>'Raw Sales'!B864</x:f>
        <x:v>45596</x:v>
      </x:c>
      <x:c r="C864" s="84" t="n">
        <x:f>YEAR(B864)</x:f>
        <x:v>2024</x:v>
      </x:c>
      <x:c r="D864" s="91" t="n">
        <x:f>DATE(YEAR(B864),MONTH(B864),1)</x:f>
        <x:v>45566</x:v>
      </x:c>
      <x:c r="E864" s="84" t="str">
        <x:f>TEXT(B864,"mmm")</x:f>
        <x:v>Oct</x:v>
      </x:c>
      <x:c r="F864" s="84" t="str">
        <x:f>'Raw Sales'!C864</x:f>
        <x:v>CUST-0294</x:v>
      </x:c>
      <x:c r="G864" s="84" t="str">
        <x:f>PROPER(TRIM('Raw Sales'!D864))</x:f>
        <x:v>Aiden Evans</x:v>
      </x:c>
      <x:c r="H864" s="84" t="str">
        <x:f>IF(TRIM('Raw Sales'!E864)="","Unknown",PROPER(TRIM('Raw Sales'!E864)))</x:f>
        <x:v>Consumer</x:v>
      </x:c>
      <x:c r="I864" s="84" t="str">
        <x:f>PROPER(TRIM('Raw Sales'!F864))</x:f>
        <x:v>Northeast</x:v>
      </x:c>
      <x:c r="J864" s="84" t="str">
        <x:f>PROPER(TRIM('Raw Sales'!G864))</x:f>
        <x:v>Newark</x:v>
      </x:c>
      <x:c r="K864" s="84" t="str">
        <x:f>PROPER(TRIM('Raw Sales'!H864))</x:f>
        <x:v>Online</x:v>
      </x:c>
      <x:c r="L864" s="84" t="str">
        <x:f>'Raw Sales'!I864</x:f>
        <x:v>FITN-005</x:v>
      </x:c>
      <x:c r="M864" s="84" t="str">
        <x:f>IFERROR(VLOOKUP(L864,'Reference Data'!$A$5:$F$40,2,FALSE),"Unknown Product")</x:f>
        <x:v>Sports Water Bottle</x:v>
      </x:c>
      <x:c r="N864" s="84" t="str">
        <x:f>IFERROR(VLOOKUP(L864,'Reference Data'!$A$5:$F$40,3,FALSE),"Unknown")</x:f>
        <x:v>Fitness</x:v>
      </x:c>
      <x:c r="O864" s="84" t="str">
        <x:f>IFERROR(VLOOKUP(L864,'Reference Data'!$A$5:$F$40,4,FALSE),"Unknown")</x:f>
        <x:v>Accessories</x:v>
      </x:c>
      <x:c r="P864" s="92" t="n">
        <x:f>IFERROR(VLOOKUP(L864,'Reference Data'!$A$5:$F$40,5,FALSE),0)</x:f>
        <x:v>22</x:v>
      </x:c>
      <x:c r="Q864" s="92" t="n">
        <x:f>IFERROR(VLOOKUP(L864,'Reference Data'!$A$5:$F$40,6,FALSE),0)</x:f>
        <x:v>7</x:v>
      </x:c>
      <x:c r="R864" s="84" t="n">
        <x:f>'Raw Sales'!J864</x:f>
        <x:v>2</x:v>
      </x:c>
      <x:c r="S864" s="87" t="n">
        <x:f>'Raw Sales'!K864</x:f>
        <x:v>0.1</x:v>
      </x:c>
      <x:c r="T864" s="93" t="n">
        <x:f>P864*R864</x:f>
        <x:v>44</x:v>
      </x:c>
      <x:c r="U864" s="93" t="n">
        <x:f>T864*S864</x:f>
        <x:v>4.4</x:v>
      </x:c>
      <x:c r="V864" s="93" t="str">
        <x:f>PROPER(TRIM('Raw Sales'!L864))</x:f>
        <x:v>Completed</x:v>
      </x:c>
      <x:c r="W864" s="93" t="n">
        <x:f>IF(V864="Returned",0,T864-U864)</x:f>
        <x:v>39.6</x:v>
      </x:c>
      <x:c r="X864" s="93" t="n">
        <x:f>IF(V864="Returned",Q864*R864*10%,Q864*R864)</x:f>
        <x:v>14</x:v>
      </x:c>
      <x:c r="Y864" s="93" t="n">
        <x:f>W864-X864</x:f>
        <x:v>25.6</x:v>
      </x:c>
      <x:c r="Z864" s="94" t="n">
        <x:f>IFERROR(Y864/W864,0)</x:f>
        <x:v>0.6464646464646465</x:v>
      </x:c>
      <x:c r="AA864" s="84" t="str">
        <x:f>PROPER(TRIM('Raw Sales'!M864))</x:f>
        <x:v>Credit Card</x:v>
      </x:c>
      <x:c r="AB864" s="84" t="str">
        <x:f>PROPER(TRIM('Raw Sales'!N864))</x:f>
        <x:v>Maya Brooks</x:v>
      </x:c>
      <x:c r="AC864" s="85" t="n">
        <x:f>'Raw Sales'!O864</x:f>
        <x:v>45601</x:v>
      </x:c>
      <x:c r="AD864" s="84" t="n">
        <x:f>AC864-B864</x:f>
        <x:v>5</x:v>
      </x:c>
      <x:c r="AE864" s="84" t="str">
        <x:f>IF(COUNTIF($A$5:A864,A864)&gt;1,"Duplicate","Keep")</x:f>
        <x:v>Keep</x:v>
      </x:c>
      <x:c r="AF864" s="84" t="str">
        <x:f>IF(OR(R864&lt;=0,AC864&lt;B864,H864="Unknown",M864="Unknown Product"),"Review","Valid")</x:f>
        <x:v>Valid</x:v>
      </x:c>
      <x:c r="AG864" s="84" t="n">
        <x:f>IF(AND(AE864="Keep",AF864="Valid"),1,0)</x:f>
        <x:v>1</x:v>
      </x:c>
      <x:c r="AH864" s="84" t="n">
        <x:f>IF(AND(AG864=1,OR('Dashboard'!$B$4="All",I864='Dashboard'!$B$4),OR('Dashboard'!$E$4="All",N864='Dashboard'!$E$4),OR('Dashboard'!$H$4="All",K864='Dashboard'!$H$4),OR('Dashboard'!$K$4="All",C864='Dashboard'!$K$4)),1,0)</x:f>
        <x:v>1</x:v>
      </x:c>
      <x:c r="AI864" s="84" t="n">
        <x:f>IF(AND(AG864=1,OR('Dashboard'!$B$4="All",I864='Dashboard'!$B$4),OR('Dashboard'!$E$4="All",N864='Dashboard'!$E$4),OR('Dashboard'!$H$4="All",K864='Dashboard'!$H$4)),1,0)</x:f>
        <x:v>1</x:v>
      </x:c>
    </x:row>
    <x:row r="865">
      <x:c r="A865" s="84" t="str">
        <x:f>'Raw Sales'!A865</x:f>
        <x:v>ORD-2024-01803</x:v>
      </x:c>
      <x:c r="B865" s="85" t="n">
        <x:f>'Raw Sales'!B865</x:f>
        <x:v>45597</x:v>
      </x:c>
      <x:c r="C865" s="84" t="n">
        <x:f>YEAR(B865)</x:f>
        <x:v>2024</x:v>
      </x:c>
      <x:c r="D865" s="91" t="n">
        <x:f>DATE(YEAR(B865),MONTH(B865),1)</x:f>
        <x:v>45597</x:v>
      </x:c>
      <x:c r="E865" s="84" t="str">
        <x:f>TEXT(B865,"mmm")</x:f>
        <x:v>Nov</x:v>
      </x:c>
      <x:c r="F865" s="84" t="str">
        <x:f>'Raw Sales'!C865</x:f>
        <x:v>CUST-0036</x:v>
      </x:c>
      <x:c r="G865" s="84" t="str">
        <x:f>PROPER(TRIM('Raw Sales'!D865))</x:f>
        <x:v>Victoria Ortiz</x:v>
      </x:c>
      <x:c r="H865" s="84" t="str">
        <x:f>IF(TRIM('Raw Sales'!E865)="","Unknown",PROPER(TRIM('Raw Sales'!E865)))</x:f>
        <x:v>Small Business</x:v>
      </x:c>
      <x:c r="I865" s="84" t="str">
        <x:f>PROPER(TRIM('Raw Sales'!F865))</x:f>
        <x:v>Northeast</x:v>
      </x:c>
      <x:c r="J865" s="84" t="str">
        <x:f>PROPER(TRIM('Raw Sales'!G865))</x:f>
        <x:v>Philadelphia</x:v>
      </x:c>
      <x:c r="K865" s="84" t="str">
        <x:f>PROPER(TRIM('Raw Sales'!H865))</x:f>
        <x:v>Online</x:v>
      </x:c>
      <x:c r="L865" s="84" t="str">
        <x:f>'Raw Sales'!I865</x:f>
        <x:v>OFFC-002</x:v>
      </x:c>
      <x:c r="M865" s="84" t="str">
        <x:f>IFERROR(VLOOKUP(L865,'Reference Data'!$A$5:$F$40,2,FALSE),"Unknown Product")</x:f>
        <x:v>Standing Desk</x:v>
      </x:c>
      <x:c r="N865" s="84" t="str">
        <x:f>IFERROR(VLOOKUP(L865,'Reference Data'!$A$5:$F$40,3,FALSE),"Unknown")</x:f>
        <x:v>Office</x:v>
      </x:c>
      <x:c r="O865" s="84" t="str">
        <x:f>IFERROR(VLOOKUP(L865,'Reference Data'!$A$5:$F$40,4,FALSE),"Unknown")</x:f>
        <x:v>Furniture</x:v>
      </x:c>
      <x:c r="P865" s="92" t="n">
        <x:f>IFERROR(VLOOKUP(L865,'Reference Data'!$A$5:$F$40,5,FALSE),0)</x:f>
        <x:v>399</x:v>
      </x:c>
      <x:c r="Q865" s="92" t="n">
        <x:f>IFERROR(VLOOKUP(L865,'Reference Data'!$A$5:$F$40,6,FALSE),0)</x:f>
        <x:v>235</x:v>
      </x:c>
      <x:c r="R865" s="84" t="n">
        <x:f>'Raw Sales'!J865</x:f>
        <x:v>2</x:v>
      </x:c>
      <x:c r="S865" s="87" t="n">
        <x:f>'Raw Sales'!K865</x:f>
        <x:v>0.15</x:v>
      </x:c>
      <x:c r="T865" s="93" t="n">
        <x:f>P865*R865</x:f>
        <x:v>798</x:v>
      </x:c>
      <x:c r="U865" s="93" t="n">
        <x:f>T865*S865</x:f>
        <x:v>119.69999999999999</x:v>
      </x:c>
      <x:c r="V865" s="93" t="str">
        <x:f>PROPER(TRIM('Raw Sales'!L865))</x:f>
        <x:v>Returned</x:v>
      </x:c>
      <x:c r="W865" s="93" t="n">
        <x:f>IF(V865="Returned",0,T865-U865)</x:f>
        <x:v>0</x:v>
      </x:c>
      <x:c r="X865" s="93" t="n">
        <x:f>IF(V865="Returned",Q865*R865*10%,Q865*R865)</x:f>
        <x:v>47</x:v>
      </x:c>
      <x:c r="Y865" s="93" t="n">
        <x:f>W865-X865</x:f>
        <x:v>-47</x:v>
      </x:c>
      <x:c r="Z865" s="94" t="n">
        <x:f>IFERROR(Y865/W865,0)</x:f>
        <x:v>0</x:v>
      </x:c>
      <x:c r="AA865" s="84" t="str">
        <x:f>PROPER(TRIM('Raw Sales'!M865))</x:f>
        <x:v>Credit Card</x:v>
      </x:c>
      <x:c r="AB865" s="84" t="str">
        <x:f>PROPER(TRIM('Raw Sales'!N865))</x:f>
        <x:v>Sofia Bennett</x:v>
      </x:c>
      <x:c r="AC865" s="85" t="n">
        <x:f>'Raw Sales'!O865</x:f>
        <x:v>45601</x:v>
      </x:c>
      <x:c r="AD865" s="84" t="n">
        <x:f>AC865-B865</x:f>
        <x:v>4</x:v>
      </x:c>
      <x:c r="AE865" s="84" t="str">
        <x:f>IF(COUNTIF($A$5:A865,A865)&gt;1,"Duplicate","Keep")</x:f>
        <x:v>Keep</x:v>
      </x:c>
      <x:c r="AF865" s="84" t="str">
        <x:f>IF(OR(R865&lt;=0,AC865&lt;B865,H865="Unknown",M865="Unknown Product"),"Review","Valid")</x:f>
        <x:v>Valid</x:v>
      </x:c>
      <x:c r="AG865" s="84" t="n">
        <x:f>IF(AND(AE865="Keep",AF865="Valid"),1,0)</x:f>
        <x:v>1</x:v>
      </x:c>
      <x:c r="AH865" s="84" t="n">
        <x:f>IF(AND(AG865=1,OR('Dashboard'!$B$4="All",I865='Dashboard'!$B$4),OR('Dashboard'!$E$4="All",N865='Dashboard'!$E$4),OR('Dashboard'!$H$4="All",K865='Dashboard'!$H$4),OR('Dashboard'!$K$4="All",C865='Dashboard'!$K$4)),1,0)</x:f>
        <x:v>1</x:v>
      </x:c>
      <x:c r="AI865" s="84" t="n">
        <x:f>IF(AND(AG865=1,OR('Dashboard'!$B$4="All",I865='Dashboard'!$B$4),OR('Dashboard'!$E$4="All",N865='Dashboard'!$E$4),OR('Dashboard'!$H$4="All",K865='Dashboard'!$H$4)),1,0)</x:f>
        <x:v>1</x:v>
      </x:c>
    </x:row>
    <x:row r="866">
      <x:c r="A866" s="84" t="str">
        <x:f>'Raw Sales'!A866</x:f>
        <x:v>ORD-2024-02084</x:v>
      </x:c>
      <x:c r="B866" s="85" t="n">
        <x:f>'Raw Sales'!B866</x:f>
        <x:v>45597</x:v>
      </x:c>
      <x:c r="C866" s="84" t="n">
        <x:f>YEAR(B866)</x:f>
        <x:v>2024</x:v>
      </x:c>
      <x:c r="D866" s="91" t="n">
        <x:f>DATE(YEAR(B866),MONTH(B866),1)</x:f>
        <x:v>45597</x:v>
      </x:c>
      <x:c r="E866" s="84" t="str">
        <x:f>TEXT(B866,"mmm")</x:f>
        <x:v>Nov</x:v>
      </x:c>
      <x:c r="F866" s="84" t="str">
        <x:f>'Raw Sales'!C866</x:f>
        <x:v>CUST-0301</x:v>
      </x:c>
      <x:c r="G866" s="84" t="str">
        <x:f>PROPER(TRIM('Raw Sales'!D866))</x:f>
        <x:v>Elias Smith</x:v>
      </x:c>
      <x:c r="H866" s="84" t="str">
        <x:f>IF(TRIM('Raw Sales'!E866)="","Unknown",PROPER(TRIM('Raw Sales'!E866)))</x:f>
        <x:v>Consumer</x:v>
      </x:c>
      <x:c r="I866" s="84" t="str">
        <x:f>PROPER(TRIM('Raw Sales'!F866))</x:f>
        <x:v>Southeast</x:v>
      </x:c>
      <x:c r="J866" s="84" t="str">
        <x:f>PROPER(TRIM('Raw Sales'!G866))</x:f>
        <x:v>Charlotte</x:v>
      </x:c>
      <x:c r="K866" s="84" t="str">
        <x:f>PROPER(TRIM('Raw Sales'!H866))</x:f>
        <x:v>Retail Store</x:v>
      </x:c>
      <x:c r="L866" s="84" t="str">
        <x:f>'Raw Sales'!I866</x:f>
        <x:v>OFFC-004</x:v>
      </x:c>
      <x:c r="M866" s="84" t="str">
        <x:f>IFERROR(VLOOKUP(L866,'Reference Data'!$A$5:$F$40,2,FALSE),"Unknown Product")</x:f>
        <x:v>Premium Notebook Pack</x:v>
      </x:c>
      <x:c r="N866" s="84" t="str">
        <x:f>IFERROR(VLOOKUP(L866,'Reference Data'!$A$5:$F$40,3,FALSE),"Unknown")</x:f>
        <x:v>Office</x:v>
      </x:c>
      <x:c r="O866" s="84" t="str">
        <x:f>IFERROR(VLOOKUP(L866,'Reference Data'!$A$5:$F$40,4,FALSE),"Unknown")</x:f>
        <x:v>Stationery</x:v>
      </x:c>
      <x:c r="P866" s="92" t="n">
        <x:f>IFERROR(VLOOKUP(L866,'Reference Data'!$A$5:$F$40,5,FALSE),0)</x:f>
        <x:v>18</x:v>
      </x:c>
      <x:c r="Q866" s="92" t="n">
        <x:f>IFERROR(VLOOKUP(L866,'Reference Data'!$A$5:$F$40,6,FALSE),0)</x:f>
        <x:v>6.5</x:v>
      </x:c>
      <x:c r="R866" s="84" t="n">
        <x:f>'Raw Sales'!J866</x:f>
        <x:v>3</x:v>
      </x:c>
      <x:c r="S866" s="87" t="n">
        <x:f>'Raw Sales'!K866</x:f>
        <x:v>0</x:v>
      </x:c>
      <x:c r="T866" s="93" t="n">
        <x:f>P866*R866</x:f>
        <x:v>54</x:v>
      </x:c>
      <x:c r="U866" s="93" t="n">
        <x:f>T866*S866</x:f>
        <x:v>0</x:v>
      </x:c>
      <x:c r="V866" s="93" t="str">
        <x:f>PROPER(TRIM('Raw Sales'!L866))</x:f>
        <x:v>Completed</x:v>
      </x:c>
      <x:c r="W866" s="93" t="n">
        <x:f>IF(V866="Returned",0,T866-U866)</x:f>
        <x:v>54</x:v>
      </x:c>
      <x:c r="X866" s="93" t="n">
        <x:f>IF(V866="Returned",Q866*R866*10%,Q866*R866)</x:f>
        <x:v>19.5</x:v>
      </x:c>
      <x:c r="Y866" s="93" t="n">
        <x:f>W866-X866</x:f>
        <x:v>34.5</x:v>
      </x:c>
      <x:c r="Z866" s="94" t="n">
        <x:f>IFERROR(Y866/W866,0)</x:f>
        <x:v>0.6388888888888888</x:v>
      </x:c>
      <x:c r="AA866" s="84" t="str">
        <x:f>PROPER(TRIM('Raw Sales'!M866))</x:f>
        <x:v>Credit Card</x:v>
      </x:c>
      <x:c r="AB866" s="84" t="str">
        <x:f>PROPER(TRIM('Raw Sales'!N866))</x:f>
        <x:v>Liam Parker</x:v>
      </x:c>
      <x:c r="AC866" s="85" t="n">
        <x:f>'Raw Sales'!O866</x:f>
        <x:v>45597</x:v>
      </x:c>
      <x:c r="AD866" s="84" t="n">
        <x:f>AC866-B866</x:f>
        <x:v>0</x:v>
      </x:c>
      <x:c r="AE866" s="84" t="str">
        <x:f>IF(COUNTIF($A$5:A866,A866)&gt;1,"Duplicate","Keep")</x:f>
        <x:v>Keep</x:v>
      </x:c>
      <x:c r="AF866" s="84" t="str">
        <x:f>IF(OR(R866&lt;=0,AC866&lt;B866,H866="Unknown",M866="Unknown Product"),"Review","Valid")</x:f>
        <x:v>Valid</x:v>
      </x:c>
      <x:c r="AG866" s="84" t="n">
        <x:f>IF(AND(AE866="Keep",AF866="Valid"),1,0)</x:f>
        <x:v>1</x:v>
      </x:c>
      <x:c r="AH866" s="84" t="n">
        <x:f>IF(AND(AG866=1,OR('Dashboard'!$B$4="All",I866='Dashboard'!$B$4),OR('Dashboard'!$E$4="All",N866='Dashboard'!$E$4),OR('Dashboard'!$H$4="All",K866='Dashboard'!$H$4),OR('Dashboard'!$K$4="All",C866='Dashboard'!$K$4)),1,0)</x:f>
        <x:v>1</x:v>
      </x:c>
      <x:c r="AI866" s="84" t="n">
        <x:f>IF(AND(AG866=1,OR('Dashboard'!$B$4="All",I866='Dashboard'!$B$4),OR('Dashboard'!$E$4="All",N866='Dashboard'!$E$4),OR('Dashboard'!$H$4="All",K866='Dashboard'!$H$4)),1,0)</x:f>
        <x:v>1</x:v>
      </x:c>
    </x:row>
    <x:row r="867">
      <x:c r="A867" s="84" t="str">
        <x:f>'Raw Sales'!A867</x:f>
        <x:v>ORD-2024-00173</x:v>
      </x:c>
      <x:c r="B867" s="85" t="n">
        <x:f>'Raw Sales'!B867</x:f>
        <x:v>45598</x:v>
      </x:c>
      <x:c r="C867" s="84" t="n">
        <x:f>YEAR(B867)</x:f>
        <x:v>2024</x:v>
      </x:c>
      <x:c r="D867" s="91" t="n">
        <x:f>DATE(YEAR(B867),MONTH(B867),1)</x:f>
        <x:v>45597</x:v>
      </x:c>
      <x:c r="E867" s="84" t="str">
        <x:f>TEXT(B867,"mmm")</x:f>
        <x:v>Nov</x:v>
      </x:c>
      <x:c r="F867" s="84" t="str">
        <x:f>'Raw Sales'!C867</x:f>
        <x:v>CUST-0173</x:v>
      </x:c>
      <x:c r="G867" s="84" t="str">
        <x:f>PROPER(TRIM('Raw Sales'!D867))</x:f>
        <x:v>Theo Evans</x:v>
      </x:c>
      <x:c r="H867" s="84" t="str">
        <x:f>IF(TRIM('Raw Sales'!E867)="","Unknown",PROPER(TRIM('Raw Sales'!E867)))</x:f>
        <x:v>Consumer</x:v>
      </x:c>
      <x:c r="I867" s="84" t="str">
        <x:f>PROPER(TRIM('Raw Sales'!F867))</x:f>
        <x:v>Northeast</x:v>
      </x:c>
      <x:c r="J867" s="84" t="str">
        <x:f>PROPER(TRIM('Raw Sales'!G867))</x:f>
        <x:v>Boston</x:v>
      </x:c>
      <x:c r="K867" s="84" t="str">
        <x:f>PROPER(TRIM('Raw Sales'!H867))</x:f>
        <x:v>Marketplace</x:v>
      </x:c>
      <x:c r="L867" s="84" t="str">
        <x:f>'Raw Sales'!I867</x:f>
        <x:v>ACCS-005</x:v>
      </x:c>
      <x:c r="M867" s="84" t="str">
        <x:f>IFERROR(VLOOKUP(L867,'Reference Data'!$A$5:$F$40,2,FALSE),"Unknown Product")</x:f>
        <x:v>Protective Phone Case</x:v>
      </x:c>
      <x:c r="N867" s="84" t="str">
        <x:f>IFERROR(VLOOKUP(L867,'Reference Data'!$A$5:$F$40,3,FALSE),"Unknown")</x:f>
        <x:v>Accessories</x:v>
      </x:c>
      <x:c r="O867" s="84" t="str">
        <x:f>IFERROR(VLOOKUP(L867,'Reference Data'!$A$5:$F$40,4,FALSE),"Unknown")</x:f>
        <x:v>Mobile Accessories</x:v>
      </x:c>
      <x:c r="P867" s="92" t="n">
        <x:f>IFERROR(VLOOKUP(L867,'Reference Data'!$A$5:$F$40,5,FALSE),0)</x:f>
        <x:v>24</x:v>
      </x:c>
      <x:c r="Q867" s="92" t="n">
        <x:f>IFERROR(VLOOKUP(L867,'Reference Data'!$A$5:$F$40,6,FALSE),0)</x:f>
        <x:v>5</x:v>
      </x:c>
      <x:c r="R867" s="84" t="n">
        <x:f>'Raw Sales'!J867</x:f>
        <x:v>1</x:v>
      </x:c>
      <x:c r="S867" s="87" t="n">
        <x:f>'Raw Sales'!K867</x:f>
        <x:v>0</x:v>
      </x:c>
      <x:c r="T867" s="93" t="n">
        <x:f>P867*R867</x:f>
        <x:v>24</x:v>
      </x:c>
      <x:c r="U867" s="93" t="n">
        <x:f>T867*S867</x:f>
        <x:v>0</x:v>
      </x:c>
      <x:c r="V867" s="93" t="str">
        <x:f>PROPER(TRIM('Raw Sales'!L867))</x:f>
        <x:v>Completed</x:v>
      </x:c>
      <x:c r="W867" s="93" t="n">
        <x:f>IF(V867="Returned",0,T867-U867)</x:f>
        <x:v>24</x:v>
      </x:c>
      <x:c r="X867" s="93" t="n">
        <x:f>IF(V867="Returned",Q867*R867*10%,Q867*R867)</x:f>
        <x:v>5</x:v>
      </x:c>
      <x:c r="Y867" s="93" t="n">
        <x:f>W867-X867</x:f>
        <x:v>19</x:v>
      </x:c>
      <x:c r="Z867" s="94" t="n">
        <x:f>IFERROR(Y867/W867,0)</x:f>
        <x:v>0.7916666666666666</x:v>
      </x:c>
      <x:c r="AA867" s="84" t="str">
        <x:f>PROPER(TRIM('Raw Sales'!M867))</x:f>
        <x:v>Paypal</x:v>
      </x:c>
      <x:c r="AB867" s="84" t="str">
        <x:f>PROPER(TRIM('Raw Sales'!N867))</x:f>
        <x:v>Sofia Bennett</x:v>
      </x:c>
      <x:c r="AC867" s="85" t="n">
        <x:f>'Raw Sales'!O867</x:f>
        <x:v>45603</x:v>
      </x:c>
      <x:c r="AD867" s="84" t="n">
        <x:f>AC867-B867</x:f>
        <x:v>5</x:v>
      </x:c>
      <x:c r="AE867" s="84" t="str">
        <x:f>IF(COUNTIF($A$5:A867,A867)&gt;1,"Duplicate","Keep")</x:f>
        <x:v>Keep</x:v>
      </x:c>
      <x:c r="AF867" s="84" t="str">
        <x:f>IF(OR(R867&lt;=0,AC867&lt;B867,H867="Unknown",M867="Unknown Product"),"Review","Valid")</x:f>
        <x:v>Valid</x:v>
      </x:c>
      <x:c r="AG867" s="84" t="n">
        <x:f>IF(AND(AE867="Keep",AF867="Valid"),1,0)</x:f>
        <x:v>1</x:v>
      </x:c>
      <x:c r="AH867" s="84" t="n">
        <x:f>IF(AND(AG867=1,OR('Dashboard'!$B$4="All",I867='Dashboard'!$B$4),OR('Dashboard'!$E$4="All",N867='Dashboard'!$E$4),OR('Dashboard'!$H$4="All",K867='Dashboard'!$H$4),OR('Dashboard'!$K$4="All",C867='Dashboard'!$K$4)),1,0)</x:f>
        <x:v>1</x:v>
      </x:c>
      <x:c r="AI867" s="84" t="n">
        <x:f>IF(AND(AG867=1,OR('Dashboard'!$B$4="All",I867='Dashboard'!$B$4),OR('Dashboard'!$E$4="All",N867='Dashboard'!$E$4),OR('Dashboard'!$H$4="All",K867='Dashboard'!$H$4)),1,0)</x:f>
        <x:v>1</x:v>
      </x:c>
    </x:row>
    <x:row r="868">
      <x:c r="A868" s="84" t="str">
        <x:f>'Raw Sales'!A868</x:f>
        <x:v>ORD-2024-00207</x:v>
      </x:c>
      <x:c r="B868" s="85" t="n">
        <x:f>'Raw Sales'!B868</x:f>
        <x:v>45598</x:v>
      </x:c>
      <x:c r="C868" s="84" t="n">
        <x:f>YEAR(B868)</x:f>
        <x:v>2024</x:v>
      </x:c>
      <x:c r="D868" s="91" t="n">
        <x:f>DATE(YEAR(B868),MONTH(B868),1)</x:f>
        <x:v>45597</x:v>
      </x:c>
      <x:c r="E868" s="84" t="str">
        <x:f>TEXT(B868,"mmm")</x:f>
        <x:v>Nov</x:v>
      </x:c>
      <x:c r="F868" s="84" t="str">
        <x:f>'Raw Sales'!C868</x:f>
        <x:v>CUST-0042</x:v>
      </x:c>
      <x:c r="G868" s="84" t="str">
        <x:f>PROPER(TRIM('Raw Sales'!D868))</x:f>
        <x:v>Daniel Johnson</x:v>
      </x:c>
      <x:c r="H868" s="84" t="str">
        <x:f>IF(TRIM('Raw Sales'!E868)="","Unknown",PROPER(TRIM('Raw Sales'!E868)))</x:f>
        <x:v>Consumer</x:v>
      </x:c>
      <x:c r="I868" s="84" t="str">
        <x:f>PROPER(TRIM('Raw Sales'!F868))</x:f>
        <x:v>Northeast</x:v>
      </x:c>
      <x:c r="J868" s="84" t="str">
        <x:f>PROPER(TRIM('Raw Sales'!G868))</x:f>
        <x:v>Newark</x:v>
      </x:c>
      <x:c r="K868" s="84" t="str">
        <x:f>PROPER(TRIM('Raw Sales'!H868))</x:f>
        <x:v>Online</x:v>
      </x:c>
      <x:c r="L868" s="84" t="str">
        <x:f>'Raw Sales'!I868</x:f>
        <x:v>CARE-002</x:v>
      </x:c>
      <x:c r="M868" s="84" t="str">
        <x:f>IFERROR(VLOOKUP(L868,'Reference Data'!$A$5:$F$40,2,FALSE),"Unknown Product")</x:f>
        <x:v>Rechargeable Trimmer</x:v>
      </x:c>
      <x:c r="N868" s="84" t="str">
        <x:f>IFERROR(VLOOKUP(L868,'Reference Data'!$A$5:$F$40,3,FALSE),"Unknown")</x:f>
        <x:v>Personal Care</x:v>
      </x:c>
      <x:c r="O868" s="84" t="str">
        <x:f>IFERROR(VLOOKUP(L868,'Reference Data'!$A$5:$F$40,4,FALSE),"Unknown")</x:f>
        <x:v>Grooming</x:v>
      </x:c>
      <x:c r="P868" s="92" t="n">
        <x:f>IFERROR(VLOOKUP(L868,'Reference Data'!$A$5:$F$40,5,FALSE),0)</x:f>
        <x:v>45</x:v>
      </x:c>
      <x:c r="Q868" s="92" t="n">
        <x:f>IFERROR(VLOOKUP(L868,'Reference Data'!$A$5:$F$40,6,FALSE),0)</x:f>
        <x:v>19</x:v>
      </x:c>
      <x:c r="R868" s="84" t="n">
        <x:f>'Raw Sales'!J868</x:f>
        <x:v>3</x:v>
      </x:c>
      <x:c r="S868" s="87" t="n">
        <x:f>'Raw Sales'!K868</x:f>
        <x:v>0</x:v>
      </x:c>
      <x:c r="T868" s="93" t="n">
        <x:f>P868*R868</x:f>
        <x:v>135</x:v>
      </x:c>
      <x:c r="U868" s="93" t="n">
        <x:f>T868*S868</x:f>
        <x:v>0</x:v>
      </x:c>
      <x:c r="V868" s="93" t="str">
        <x:f>PROPER(TRIM('Raw Sales'!L868))</x:f>
        <x:v>Completed</x:v>
      </x:c>
      <x:c r="W868" s="93" t="n">
        <x:f>IF(V868="Returned",0,T868-U868)</x:f>
        <x:v>135</x:v>
      </x:c>
      <x:c r="X868" s="93" t="n">
        <x:f>IF(V868="Returned",Q868*R868*10%,Q868*R868)</x:f>
        <x:v>57</x:v>
      </x:c>
      <x:c r="Y868" s="93" t="n">
        <x:f>W868-X868</x:f>
        <x:v>78</x:v>
      </x:c>
      <x:c r="Z868" s="94" t="n">
        <x:f>IFERROR(Y868/W868,0)</x:f>
        <x:v>0.5777777777777777</x:v>
      </x:c>
      <x:c r="AA868" s="84" t="str">
        <x:f>PROPER(TRIM('Raw Sales'!M868))</x:f>
        <x:v>Credit Card</x:v>
      </x:c>
      <x:c r="AB868" s="84" t="str">
        <x:f>PROPER(TRIM('Raw Sales'!N868))</x:f>
        <x:v>Sofia Bennett</x:v>
      </x:c>
      <x:c r="AC868" s="85" t="n">
        <x:f>'Raw Sales'!O868</x:f>
        <x:v>45600</x:v>
      </x:c>
      <x:c r="AD868" s="84" t="n">
        <x:f>AC868-B868</x:f>
        <x:v>2</x:v>
      </x:c>
      <x:c r="AE868" s="84" t="str">
        <x:f>IF(COUNTIF($A$5:A868,A868)&gt;1,"Duplicate","Keep")</x:f>
        <x:v>Keep</x:v>
      </x:c>
      <x:c r="AF868" s="84" t="str">
        <x:f>IF(OR(R868&lt;=0,AC868&lt;B868,H868="Unknown",M868="Unknown Product"),"Review","Valid")</x:f>
        <x:v>Valid</x:v>
      </x:c>
      <x:c r="AG868" s="84" t="n">
        <x:f>IF(AND(AE868="Keep",AF868="Valid"),1,0)</x:f>
        <x:v>1</x:v>
      </x:c>
      <x:c r="AH868" s="84" t="n">
        <x:f>IF(AND(AG868=1,OR('Dashboard'!$B$4="All",I868='Dashboard'!$B$4),OR('Dashboard'!$E$4="All",N868='Dashboard'!$E$4),OR('Dashboard'!$H$4="All",K868='Dashboard'!$H$4),OR('Dashboard'!$K$4="All",C868='Dashboard'!$K$4)),1,0)</x:f>
        <x:v>1</x:v>
      </x:c>
      <x:c r="AI868" s="84" t="n">
        <x:f>IF(AND(AG868=1,OR('Dashboard'!$B$4="All",I868='Dashboard'!$B$4),OR('Dashboard'!$E$4="All",N868='Dashboard'!$E$4),OR('Dashboard'!$H$4="All",K868='Dashboard'!$H$4)),1,0)</x:f>
        <x:v>1</x:v>
      </x:c>
    </x:row>
    <x:row r="869">
      <x:c r="A869" s="84" t="str">
        <x:f>'Raw Sales'!A869</x:f>
        <x:v>ORD-2024-00290</x:v>
      </x:c>
      <x:c r="B869" s="85" t="n">
        <x:f>'Raw Sales'!B869</x:f>
        <x:v>45598</x:v>
      </x:c>
      <x:c r="C869" s="84" t="n">
        <x:f>YEAR(B869)</x:f>
        <x:v>2024</x:v>
      </x:c>
      <x:c r="D869" s="91" t="n">
        <x:f>DATE(YEAR(B869),MONTH(B869),1)</x:f>
        <x:v>45597</x:v>
      </x:c>
      <x:c r="E869" s="84" t="str">
        <x:f>TEXT(B869,"mmm")</x:f>
        <x:v>Nov</x:v>
      </x:c>
      <x:c r="F869" s="84" t="str">
        <x:f>'Raw Sales'!C869</x:f>
        <x:v>CUST-0351</x:v>
      </x:c>
      <x:c r="G869" s="84" t="str">
        <x:f>PROPER(TRIM('Raw Sales'!D869))</x:f>
        <x:v>Sara Garcia</x:v>
      </x:c>
      <x:c r="H869" s="84" t="str">
        <x:f>IF(TRIM('Raw Sales'!E869)="","Unknown",PROPER(TRIM('Raw Sales'!E869)))</x:f>
        <x:v>Consumer</x:v>
      </x:c>
      <x:c r="I869" s="84" t="str">
        <x:f>PROPER(TRIM('Raw Sales'!F869))</x:f>
        <x:v>Midwest</x:v>
      </x:c>
      <x:c r="J869" s="84" t="str">
        <x:f>PROPER(TRIM('Raw Sales'!G869))</x:f>
        <x:v>Columbus</x:v>
      </x:c>
      <x:c r="K869" s="84" t="str">
        <x:f>PROPER(TRIM('Raw Sales'!H869))</x:f>
        <x:v>Marketplace</x:v>
      </x:c>
      <x:c r="L869" s="84" t="str">
        <x:f>'Raw Sales'!I869</x:f>
        <x:v>ELEC-003</x:v>
      </x:c>
      <x:c r="M869" s="84" t="str">
        <x:f>IFERROR(VLOOKUP(L869,'Reference Data'!$A$5:$F$40,2,FALSE),"Unknown Product")</x:f>
        <x:v>Bluetooth Speaker</x:v>
      </x:c>
      <x:c r="N869" s="84" t="str">
        <x:f>IFERROR(VLOOKUP(L869,'Reference Data'!$A$5:$F$40,3,FALSE),"Unknown")</x:f>
        <x:v>Electronics</x:v>
      </x:c>
      <x:c r="O869" s="84" t="str">
        <x:f>IFERROR(VLOOKUP(L869,'Reference Data'!$A$5:$F$40,4,FALSE),"Unknown")</x:f>
        <x:v>Audio</x:v>
      </x:c>
      <x:c r="P869" s="92" t="n">
        <x:f>IFERROR(VLOOKUP(L869,'Reference Data'!$A$5:$F$40,5,FALSE),0)</x:f>
        <x:v>89</x:v>
      </x:c>
      <x:c r="Q869" s="92" t="n">
        <x:f>IFERROR(VLOOKUP(L869,'Reference Data'!$A$5:$F$40,6,FALSE),0)</x:f>
        <x:v>44</x:v>
      </x:c>
      <x:c r="R869" s="84" t="n">
        <x:f>'Raw Sales'!J869</x:f>
        <x:v>2</x:v>
      </x:c>
      <x:c r="S869" s="87" t="n">
        <x:f>'Raw Sales'!K869</x:f>
        <x:v>0.2</x:v>
      </x:c>
      <x:c r="T869" s="93" t="n">
        <x:f>P869*R869</x:f>
        <x:v>178</x:v>
      </x:c>
      <x:c r="U869" s="93" t="n">
        <x:f>T869*S869</x:f>
        <x:v>35.6</x:v>
      </x:c>
      <x:c r="V869" s="93" t="str">
        <x:f>PROPER(TRIM('Raw Sales'!L869))</x:f>
        <x:v>Completed</x:v>
      </x:c>
      <x:c r="W869" s="93" t="n">
        <x:f>IF(V869="Returned",0,T869-U869)</x:f>
        <x:v>142.4</x:v>
      </x:c>
      <x:c r="X869" s="93" t="n">
        <x:f>IF(V869="Returned",Q869*R869*10%,Q869*R869)</x:f>
        <x:v>88</x:v>
      </x:c>
      <x:c r="Y869" s="93" t="n">
        <x:f>W869-X869</x:f>
        <x:v>54.400000000000006</x:v>
      </x:c>
      <x:c r="Z869" s="94" t="n">
        <x:f>IFERROR(Y869/W869,0)</x:f>
        <x:v>0.3820224719101124</x:v>
      </x:c>
      <x:c r="AA869" s="84" t="str">
        <x:f>PROPER(TRIM('Raw Sales'!M869))</x:f>
        <x:v>Mobile Wallet</x:v>
      </x:c>
      <x:c r="AB869" s="84" t="str">
        <x:f>PROPER(TRIM('Raw Sales'!N869))</x:f>
        <x:v>Emma Hayes</x:v>
      </x:c>
      <x:c r="AC869" s="85" t="n">
        <x:f>'Raw Sales'!O869</x:f>
        <x:v>45603</x:v>
      </x:c>
      <x:c r="AD869" s="84" t="n">
        <x:f>AC869-B869</x:f>
        <x:v>5</x:v>
      </x:c>
      <x:c r="AE869" s="84" t="str">
        <x:f>IF(COUNTIF($A$5:A869,A869)&gt;1,"Duplicate","Keep")</x:f>
        <x:v>Keep</x:v>
      </x:c>
      <x:c r="AF869" s="84" t="str">
        <x:f>IF(OR(R869&lt;=0,AC869&lt;B869,H869="Unknown",M869="Unknown Product"),"Review","Valid")</x:f>
        <x:v>Valid</x:v>
      </x:c>
      <x:c r="AG869" s="84" t="n">
        <x:f>IF(AND(AE869="Keep",AF869="Valid"),1,0)</x:f>
        <x:v>1</x:v>
      </x:c>
      <x:c r="AH869" s="84" t="n">
        <x:f>IF(AND(AG869=1,OR('Dashboard'!$B$4="All",I869='Dashboard'!$B$4),OR('Dashboard'!$E$4="All",N869='Dashboard'!$E$4),OR('Dashboard'!$H$4="All",K869='Dashboard'!$H$4),OR('Dashboard'!$K$4="All",C869='Dashboard'!$K$4)),1,0)</x:f>
        <x:v>1</x:v>
      </x:c>
      <x:c r="AI869" s="84" t="n">
        <x:f>IF(AND(AG869=1,OR('Dashboard'!$B$4="All",I869='Dashboard'!$B$4),OR('Dashboard'!$E$4="All",N869='Dashboard'!$E$4),OR('Dashboard'!$H$4="All",K869='Dashboard'!$H$4)),1,0)</x:f>
        <x:v>1</x:v>
      </x:c>
    </x:row>
    <x:row r="870">
      <x:c r="A870" s="84" t="str">
        <x:f>'Raw Sales'!A870</x:f>
        <x:v>ORD-2024-00689</x:v>
      </x:c>
      <x:c r="B870" s="85" t="n">
        <x:f>'Raw Sales'!B870</x:f>
        <x:v>45598</x:v>
      </x:c>
      <x:c r="C870" s="84" t="n">
        <x:f>YEAR(B870)</x:f>
        <x:v>2024</x:v>
      </x:c>
      <x:c r="D870" s="91" t="n">
        <x:f>DATE(YEAR(B870),MONTH(B870),1)</x:f>
        <x:v>45597</x:v>
      </x:c>
      <x:c r="E870" s="84" t="str">
        <x:f>TEXT(B870,"mmm")</x:f>
        <x:v>Nov</x:v>
      </x:c>
      <x:c r="F870" s="84" t="str">
        <x:f>'Raw Sales'!C870</x:f>
        <x:v>CUST-0429</x:v>
      </x:c>
      <x:c r="G870" s="84" t="str">
        <x:f>PROPER(TRIM('Raw Sales'!D870))</x:f>
        <x:v>Maya Smith</x:v>
      </x:c>
      <x:c r="H870" s="84" t="str">
        <x:f>IF(TRIM('Raw Sales'!E870)="","Unknown",PROPER(TRIM('Raw Sales'!E870)))</x:f>
        <x:v>Small Business</x:v>
      </x:c>
      <x:c r="I870" s="84" t="str">
        <x:f>PROPER(TRIM('Raw Sales'!F870))</x:f>
        <x:v>West</x:v>
      </x:c>
      <x:c r="J870" s="84" t="str">
        <x:f>PROPER(TRIM('Raw Sales'!G870))</x:f>
        <x:v>Los Angeles</x:v>
      </x:c>
      <x:c r="K870" s="84" t="str">
        <x:f>PROPER(TRIM('Raw Sales'!H870))</x:f>
        <x:v>Retail Store</x:v>
      </x:c>
      <x:c r="L870" s="84" t="str">
        <x:f>'Raw Sales'!I870</x:f>
        <x:v>ACCS-004</x:v>
      </x:c>
      <x:c r="M870" s="84" t="str">
        <x:f>IFERROR(VLOOKUP(L870,'Reference Data'!$A$5:$F$40,2,FALSE),"Unknown Product")</x:f>
        <x:v>Leather Wallet</x:v>
      </x:c>
      <x:c r="N870" s="84" t="str">
        <x:f>IFERROR(VLOOKUP(L870,'Reference Data'!$A$5:$F$40,3,FALSE),"Unknown")</x:f>
        <x:v>Accessories</x:v>
      </x:c>
      <x:c r="O870" s="84" t="str">
        <x:f>IFERROR(VLOOKUP(L870,'Reference Data'!$A$5:$F$40,4,FALSE),"Unknown")</x:f>
        <x:v>Wallets</x:v>
      </x:c>
      <x:c r="P870" s="92" t="n">
        <x:f>IFERROR(VLOOKUP(L870,'Reference Data'!$A$5:$F$40,5,FALSE),0)</x:f>
        <x:v>49</x:v>
      </x:c>
      <x:c r="Q870" s="92" t="n">
        <x:f>IFERROR(VLOOKUP(L870,'Reference Data'!$A$5:$F$40,6,FALSE),0)</x:f>
        <x:v>18</x:v>
      </x:c>
      <x:c r="R870" s="84" t="n">
        <x:f>'Raw Sales'!J870</x:f>
        <x:v>1</x:v>
      </x:c>
      <x:c r="S870" s="87" t="n">
        <x:f>'Raw Sales'!K870</x:f>
        <x:v>0.05</x:v>
      </x:c>
      <x:c r="T870" s="93" t="n">
        <x:f>P870*R870</x:f>
        <x:v>49</x:v>
      </x:c>
      <x:c r="U870" s="93" t="n">
        <x:f>T870*S870</x:f>
        <x:v>2.45</x:v>
      </x:c>
      <x:c r="V870" s="93" t="str">
        <x:f>PROPER(TRIM('Raw Sales'!L870))</x:f>
        <x:v>Completed</x:v>
      </x:c>
      <x:c r="W870" s="93" t="n">
        <x:f>IF(V870="Returned",0,T870-U870)</x:f>
        <x:v>46.55</x:v>
      </x:c>
      <x:c r="X870" s="93" t="n">
        <x:f>IF(V870="Returned",Q870*R870*10%,Q870*R870)</x:f>
        <x:v>18</x:v>
      </x:c>
      <x:c r="Y870" s="93" t="n">
        <x:f>W870-X870</x:f>
        <x:v>28.549999999999997</x:v>
      </x:c>
      <x:c r="Z870" s="94" t="n">
        <x:f>IFERROR(Y870/W870,0)</x:f>
        <x:v>0.6133190118152524</x:v>
      </x:c>
      <x:c r="AA870" s="84" t="str">
        <x:f>PROPER(TRIM('Raw Sales'!M870))</x:f>
        <x:v>Cash</x:v>
      </x:c>
      <x:c r="AB870" s="84" t="str">
        <x:f>PROPER(TRIM('Raw Sales'!N870))</x:f>
        <x:v>Mia Chen</x:v>
      </x:c>
      <x:c r="AC870" s="85" t="n">
        <x:f>'Raw Sales'!O870</x:f>
        <x:v>45598</x:v>
      </x:c>
      <x:c r="AD870" s="84" t="n">
        <x:f>AC870-B870</x:f>
        <x:v>0</x:v>
      </x:c>
      <x:c r="AE870" s="84" t="str">
        <x:f>IF(COUNTIF($A$5:A870,A870)&gt;1,"Duplicate","Keep")</x:f>
        <x:v>Keep</x:v>
      </x:c>
      <x:c r="AF870" s="84" t="str">
        <x:f>IF(OR(R870&lt;=0,AC870&lt;B870,H870="Unknown",M870="Unknown Product"),"Review","Valid")</x:f>
        <x:v>Valid</x:v>
      </x:c>
      <x:c r="AG870" s="84" t="n">
        <x:f>IF(AND(AE870="Keep",AF870="Valid"),1,0)</x:f>
        <x:v>1</x:v>
      </x:c>
      <x:c r="AH870" s="84" t="n">
        <x:f>IF(AND(AG870=1,OR('Dashboard'!$B$4="All",I870='Dashboard'!$B$4),OR('Dashboard'!$E$4="All",N870='Dashboard'!$E$4),OR('Dashboard'!$H$4="All",K870='Dashboard'!$H$4),OR('Dashboard'!$K$4="All",C870='Dashboard'!$K$4)),1,0)</x:f>
        <x:v>1</x:v>
      </x:c>
      <x:c r="AI870" s="84" t="n">
        <x:f>IF(AND(AG870=1,OR('Dashboard'!$B$4="All",I870='Dashboard'!$B$4),OR('Dashboard'!$E$4="All",N870='Dashboard'!$E$4),OR('Dashboard'!$H$4="All",K870='Dashboard'!$H$4)),1,0)</x:f>
        <x:v>1</x:v>
      </x:c>
    </x:row>
    <x:row r="871">
      <x:c r="A871" s="84" t="str">
        <x:f>'Raw Sales'!A871</x:f>
        <x:v>ORD-2024-01201</x:v>
      </x:c>
      <x:c r="B871" s="85" t="n">
        <x:f>'Raw Sales'!B871</x:f>
        <x:v>45598</x:v>
      </x:c>
      <x:c r="C871" s="84" t="n">
        <x:f>YEAR(B871)</x:f>
        <x:v>2024</x:v>
      </x:c>
      <x:c r="D871" s="91" t="n">
        <x:f>DATE(YEAR(B871),MONTH(B871),1)</x:f>
        <x:v>45597</x:v>
      </x:c>
      <x:c r="E871" s="84" t="str">
        <x:f>TEXT(B871,"mmm")</x:f>
        <x:v>Nov</x:v>
      </x:c>
      <x:c r="F871" s="84" t="str">
        <x:f>'Raw Sales'!C871</x:f>
        <x:v>CUST-0378</x:v>
      </x:c>
      <x:c r="G871" s="84" t="str">
        <x:f>PROPER(TRIM('Raw Sales'!D871))</x:f>
        <x:v>Victoria Nelson</x:v>
      </x:c>
      <x:c r="H871" s="84" t="str">
        <x:f>IF(TRIM('Raw Sales'!E871)="","Unknown",PROPER(TRIM('Raw Sales'!E871)))</x:f>
        <x:v>Consumer</x:v>
      </x:c>
      <x:c r="I871" s="84" t="str">
        <x:f>PROPER(TRIM('Raw Sales'!F871))</x:f>
        <x:v>Midwest</x:v>
      </x:c>
      <x:c r="J871" s="84" t="str">
        <x:f>PROPER(TRIM('Raw Sales'!G871))</x:f>
        <x:v>Chicago</x:v>
      </x:c>
      <x:c r="K871" s="84" t="str">
        <x:f>PROPER(TRIM('Raw Sales'!H871))</x:f>
        <x:v>Online</x:v>
      </x:c>
      <x:c r="L871" s="84" t="str">
        <x:f>'Raw Sales'!I871</x:f>
        <x:v>HOME-003</x:v>
      </x:c>
      <x:c r="M871" s="84" t="str">
        <x:f>IFERROR(VLOOKUP(L871,'Reference Data'!$A$5:$F$40,2,FALSE),"Unknown Product")</x:f>
        <x:v>Countertop Blender</x:v>
      </x:c>
      <x:c r="N871" s="84" t="str">
        <x:f>IFERROR(VLOOKUP(L871,'Reference Data'!$A$5:$F$40,3,FALSE),"Unknown")</x:f>
        <x:v>Home &amp; Kitchen</x:v>
      </x:c>
      <x:c r="O871" s="84" t="str">
        <x:f>IFERROR(VLOOKUP(L871,'Reference Data'!$A$5:$F$40,4,FALSE),"Unknown")</x:f>
        <x:v>Small Appliances</x:v>
      </x:c>
      <x:c r="P871" s="92" t="n">
        <x:f>IFERROR(VLOOKUP(L871,'Reference Data'!$A$5:$F$40,5,FALSE),0)</x:f>
        <x:v>89</x:v>
      </x:c>
      <x:c r="Q871" s="92" t="n">
        <x:f>IFERROR(VLOOKUP(L871,'Reference Data'!$A$5:$F$40,6,FALSE),0)</x:f>
        <x:v>46</x:v>
      </x:c>
      <x:c r="R871" s="84" t="n">
        <x:f>'Raw Sales'!J871</x:f>
        <x:v>1</x:v>
      </x:c>
      <x:c r="S871" s="87" t="n">
        <x:f>'Raw Sales'!K871</x:f>
        <x:v>0.1</x:v>
      </x:c>
      <x:c r="T871" s="93" t="n">
        <x:f>P871*R871</x:f>
        <x:v>89</x:v>
      </x:c>
      <x:c r="U871" s="93" t="n">
        <x:f>T871*S871</x:f>
        <x:v>8.9</x:v>
      </x:c>
      <x:c r="V871" s="93" t="str">
        <x:f>PROPER(TRIM('Raw Sales'!L871))</x:f>
        <x:v>Completed</x:v>
      </x:c>
      <x:c r="W871" s="93" t="n">
        <x:f>IF(V871="Returned",0,T871-U871)</x:f>
        <x:v>80.1</x:v>
      </x:c>
      <x:c r="X871" s="93" t="n">
        <x:f>IF(V871="Returned",Q871*R871*10%,Q871*R871)</x:f>
        <x:v>46</x:v>
      </x:c>
      <x:c r="Y871" s="93" t="n">
        <x:f>W871-X871</x:f>
        <x:v>34.099999999999994</x:v>
      </x:c>
      <x:c r="Z871" s="94" t="n">
        <x:f>IFERROR(Y871/W871,0)</x:f>
        <x:v>0.4257178526841448</x:v>
      </x:c>
      <x:c r="AA871" s="84" t="str">
        <x:f>PROPER(TRIM('Raw Sales'!M871))</x:f>
        <x:v>Paypal</x:v>
      </x:c>
      <x:c r="AB871" s="84" t="str">
        <x:f>PROPER(TRIM('Raw Sales'!N871))</x:f>
        <x:v>Emma Hayes</x:v>
      </x:c>
      <x:c r="AC871" s="85" t="n">
        <x:f>'Raw Sales'!O871</x:f>
        <x:v>45600</x:v>
      </x:c>
      <x:c r="AD871" s="84" t="n">
        <x:f>AC871-B871</x:f>
        <x:v>2</x:v>
      </x:c>
      <x:c r="AE871" s="84" t="str">
        <x:f>IF(COUNTIF($A$5:A871,A871)&gt;1,"Duplicate","Keep")</x:f>
        <x:v>Keep</x:v>
      </x:c>
      <x:c r="AF871" s="84" t="str">
        <x:f>IF(OR(R871&lt;=0,AC871&lt;B871,H871="Unknown",M871="Unknown Product"),"Review","Valid")</x:f>
        <x:v>Valid</x:v>
      </x:c>
      <x:c r="AG871" s="84" t="n">
        <x:f>IF(AND(AE871="Keep",AF871="Valid"),1,0)</x:f>
        <x:v>1</x:v>
      </x:c>
      <x:c r="AH871" s="84" t="n">
        <x:f>IF(AND(AG871=1,OR('Dashboard'!$B$4="All",I871='Dashboard'!$B$4),OR('Dashboard'!$E$4="All",N871='Dashboard'!$E$4),OR('Dashboard'!$H$4="All",K871='Dashboard'!$H$4),OR('Dashboard'!$K$4="All",C871='Dashboard'!$K$4)),1,0)</x:f>
        <x:v>1</x:v>
      </x:c>
      <x:c r="AI871" s="84" t="n">
        <x:f>IF(AND(AG871=1,OR('Dashboard'!$B$4="All",I871='Dashboard'!$B$4),OR('Dashboard'!$E$4="All",N871='Dashboard'!$E$4),OR('Dashboard'!$H$4="All",K871='Dashboard'!$H$4)),1,0)</x:f>
        <x:v>1</x:v>
      </x:c>
    </x:row>
    <x:row r="872">
      <x:c r="A872" s="84" t="str">
        <x:f>'Raw Sales'!A872</x:f>
        <x:v>ORD-2024-01221</x:v>
      </x:c>
      <x:c r="B872" s="85" t="n">
        <x:f>'Raw Sales'!B872</x:f>
        <x:v>45598</x:v>
      </x:c>
      <x:c r="C872" s="84" t="n">
        <x:f>YEAR(B872)</x:f>
        <x:v>2024</x:v>
      </x:c>
      <x:c r="D872" s="91" t="n">
        <x:f>DATE(YEAR(B872),MONTH(B872),1)</x:f>
        <x:v>45597</x:v>
      </x:c>
      <x:c r="E872" s="84" t="str">
        <x:f>TEXT(B872,"mmm")</x:f>
        <x:v>Nov</x:v>
      </x:c>
      <x:c r="F872" s="84" t="str">
        <x:f>'Raw Sales'!C872</x:f>
        <x:v>CUST-0282</x:v>
      </x:c>
      <x:c r="G872" s="84" t="str">
        <x:f>PROPER(TRIM('Raw Sales'!D872))</x:f>
        <x:v>Caleb Carter</x:v>
      </x:c>
      <x:c r="H872" s="84" t="str">
        <x:f>IF(TRIM('Raw Sales'!E872)="","Unknown",PROPER(TRIM('Raw Sales'!E872)))</x:f>
        <x:v>Consumer</x:v>
      </x:c>
      <x:c r="I872" s="84" t="str">
        <x:f>PROPER(TRIM('Raw Sales'!F872))</x:f>
        <x:v>Northeast</x:v>
      </x:c>
      <x:c r="J872" s="84" t="str">
        <x:f>PROPER(TRIM('Raw Sales'!G872))</x:f>
        <x:v>Boston</x:v>
      </x:c>
      <x:c r="K872" s="84" t="str">
        <x:f>PROPER(TRIM('Raw Sales'!H872))</x:f>
        <x:v>Online</x:v>
      </x:c>
      <x:c r="L872" s="84" t="str">
        <x:f>'Raw Sales'!I872</x:f>
        <x:v>HOME-006</x:v>
      </x:c>
      <x:c r="M872" s="84" t="str">
        <x:f>IFERROR(VLOOKUP(L872,'Reference Data'!$A$5:$F$40,2,FALSE),"Unknown Product")</x:f>
        <x:v>Food Storage Set</x:v>
      </x:c>
      <x:c r="N872" s="84" t="str">
        <x:f>IFERROR(VLOOKUP(L872,'Reference Data'!$A$5:$F$40,3,FALSE),"Unknown")</x:f>
        <x:v>Home &amp; Kitchen</x:v>
      </x:c>
      <x:c r="O872" s="84" t="str">
        <x:f>IFERROR(VLOOKUP(L872,'Reference Data'!$A$5:$F$40,4,FALSE),"Unknown")</x:f>
        <x:v>Kitchenware</x:v>
      </x:c>
      <x:c r="P872" s="92" t="n">
        <x:f>IFERROR(VLOOKUP(L872,'Reference Data'!$A$5:$F$40,5,FALSE),0)</x:f>
        <x:v>34</x:v>
      </x:c>
      <x:c r="Q872" s="92" t="n">
        <x:f>IFERROR(VLOOKUP(L872,'Reference Data'!$A$5:$F$40,6,FALSE),0)</x:f>
        <x:v>15</x:v>
      </x:c>
      <x:c r="R872" s="84" t="n">
        <x:f>'Raw Sales'!J872</x:f>
        <x:v>1</x:v>
      </x:c>
      <x:c r="S872" s="87" t="n">
        <x:f>'Raw Sales'!K872</x:f>
        <x:v>0.2</x:v>
      </x:c>
      <x:c r="T872" s="93" t="n">
        <x:f>P872*R872</x:f>
        <x:v>34</x:v>
      </x:c>
      <x:c r="U872" s="93" t="n">
        <x:f>T872*S872</x:f>
        <x:v>6.800000000000001</x:v>
      </x:c>
      <x:c r="V872" s="93" t="str">
        <x:f>PROPER(TRIM('Raw Sales'!L872))</x:f>
        <x:v>Completed</x:v>
      </x:c>
      <x:c r="W872" s="93" t="n">
        <x:f>IF(V872="Returned",0,T872-U872)</x:f>
        <x:v>27.2</x:v>
      </x:c>
      <x:c r="X872" s="93" t="n">
        <x:f>IF(V872="Returned",Q872*R872*10%,Q872*R872)</x:f>
        <x:v>15</x:v>
      </x:c>
      <x:c r="Y872" s="93" t="n">
        <x:f>W872-X872</x:f>
        <x:v>12.2</x:v>
      </x:c>
      <x:c r="Z872" s="94" t="n">
        <x:f>IFERROR(Y872/W872,0)</x:f>
        <x:v>0.44852941176470584</x:v>
      </x:c>
      <x:c r="AA872" s="84" t="str">
        <x:f>PROPER(TRIM('Raw Sales'!M872))</x:f>
        <x:v>Mobile Wallet</x:v>
      </x:c>
      <x:c r="AB872" s="84" t="str">
        <x:f>PROPER(TRIM('Raw Sales'!N872))</x:f>
        <x:v>Ethan Cole</x:v>
      </x:c>
      <x:c r="AC872" s="85" t="n">
        <x:f>'Raw Sales'!O872</x:f>
        <x:v>45601</x:v>
      </x:c>
      <x:c r="AD872" s="84" t="n">
        <x:f>AC872-B872</x:f>
        <x:v>3</x:v>
      </x:c>
      <x:c r="AE872" s="84" t="str">
        <x:f>IF(COUNTIF($A$5:A872,A872)&gt;1,"Duplicate","Keep")</x:f>
        <x:v>Keep</x:v>
      </x:c>
      <x:c r="AF872" s="84" t="str">
        <x:f>IF(OR(R872&lt;=0,AC872&lt;B872,H872="Unknown",M872="Unknown Product"),"Review","Valid")</x:f>
        <x:v>Valid</x:v>
      </x:c>
      <x:c r="AG872" s="84" t="n">
        <x:f>IF(AND(AE872="Keep",AF872="Valid"),1,0)</x:f>
        <x:v>1</x:v>
      </x:c>
      <x:c r="AH872" s="84" t="n">
        <x:f>IF(AND(AG872=1,OR('Dashboard'!$B$4="All",I872='Dashboard'!$B$4),OR('Dashboard'!$E$4="All",N872='Dashboard'!$E$4),OR('Dashboard'!$H$4="All",K872='Dashboard'!$H$4),OR('Dashboard'!$K$4="All",C872='Dashboard'!$K$4)),1,0)</x:f>
        <x:v>1</x:v>
      </x:c>
      <x:c r="AI872" s="84" t="n">
        <x:f>IF(AND(AG872=1,OR('Dashboard'!$B$4="All",I872='Dashboard'!$B$4),OR('Dashboard'!$E$4="All",N872='Dashboard'!$E$4),OR('Dashboard'!$H$4="All",K872='Dashboard'!$H$4)),1,0)</x:f>
        <x:v>1</x:v>
      </x:c>
    </x:row>
    <x:row r="873">
      <x:c r="A873" s="84" t="str">
        <x:f>'Raw Sales'!A873</x:f>
        <x:v>ORD-2024-01282</x:v>
      </x:c>
      <x:c r="B873" s="85" t="n">
        <x:f>'Raw Sales'!B873</x:f>
        <x:v>45598</x:v>
      </x:c>
      <x:c r="C873" s="84" t="n">
        <x:f>YEAR(B873)</x:f>
        <x:v>2024</x:v>
      </x:c>
      <x:c r="D873" s="91" t="n">
        <x:f>DATE(YEAR(B873),MONTH(B873),1)</x:f>
        <x:v>45597</x:v>
      </x:c>
      <x:c r="E873" s="84" t="str">
        <x:f>TEXT(B873,"mmm")</x:f>
        <x:v>Nov</x:v>
      </x:c>
      <x:c r="F873" s="84" t="str">
        <x:f>'Raw Sales'!C873</x:f>
        <x:v>CUST-0161</x:v>
      </x:c>
      <x:c r="G873" s="84" t="str">
        <x:f>PROPER(TRIM('Raw Sales'!D873))</x:f>
        <x:v>Sara Patel</x:v>
      </x:c>
      <x:c r="H873" s="84" t="str">
        <x:f>IF(TRIM('Raw Sales'!E873)="","Unknown",PROPER(TRIM('Raw Sales'!E873)))</x:f>
        <x:v>Consumer</x:v>
      </x:c>
      <x:c r="I873" s="84" t="str">
        <x:f>PROPER(TRIM('Raw Sales'!F873))</x:f>
        <x:v>Southeast</x:v>
      </x:c>
      <x:c r="J873" s="84" t="str">
        <x:f>PROPER(TRIM('Raw Sales'!G873))</x:f>
        <x:v>Atlanta</x:v>
      </x:c>
      <x:c r="K873" s="84" t="str">
        <x:f>PROPER(TRIM('Raw Sales'!H873))</x:f>
        <x:v>Online</x:v>
      </x:c>
      <x:c r="L873" s="84" t="str">
        <x:f>'Raw Sales'!I873</x:f>
        <x:v>ACCS-005</x:v>
      </x:c>
      <x:c r="M873" s="84" t="str">
        <x:f>IFERROR(VLOOKUP(L873,'Reference Data'!$A$5:$F$40,2,FALSE),"Unknown Product")</x:f>
        <x:v>Protective Phone Case</x:v>
      </x:c>
      <x:c r="N873" s="84" t="str">
        <x:f>IFERROR(VLOOKUP(L873,'Reference Data'!$A$5:$F$40,3,FALSE),"Unknown")</x:f>
        <x:v>Accessories</x:v>
      </x:c>
      <x:c r="O873" s="84" t="str">
        <x:f>IFERROR(VLOOKUP(L873,'Reference Data'!$A$5:$F$40,4,FALSE),"Unknown")</x:f>
        <x:v>Mobile Accessories</x:v>
      </x:c>
      <x:c r="P873" s="92" t="n">
        <x:f>IFERROR(VLOOKUP(L873,'Reference Data'!$A$5:$F$40,5,FALSE),0)</x:f>
        <x:v>24</x:v>
      </x:c>
      <x:c r="Q873" s="92" t="n">
        <x:f>IFERROR(VLOOKUP(L873,'Reference Data'!$A$5:$F$40,6,FALSE),0)</x:f>
        <x:v>5</x:v>
      </x:c>
      <x:c r="R873" s="84" t="n">
        <x:f>'Raw Sales'!J873</x:f>
        <x:v>3</x:v>
      </x:c>
      <x:c r="S873" s="87" t="n">
        <x:f>'Raw Sales'!K873</x:f>
        <x:v>0</x:v>
      </x:c>
      <x:c r="T873" s="93" t="n">
        <x:f>P873*R873</x:f>
        <x:v>72</x:v>
      </x:c>
      <x:c r="U873" s="93" t="n">
        <x:f>T873*S873</x:f>
        <x:v>0</x:v>
      </x:c>
      <x:c r="V873" s="93" t="str">
        <x:f>PROPER(TRIM('Raw Sales'!L873))</x:f>
        <x:v>Completed</x:v>
      </x:c>
      <x:c r="W873" s="93" t="n">
        <x:f>IF(V873="Returned",0,T873-U873)</x:f>
        <x:v>72</x:v>
      </x:c>
      <x:c r="X873" s="93" t="n">
        <x:f>IF(V873="Returned",Q873*R873*10%,Q873*R873)</x:f>
        <x:v>15</x:v>
      </x:c>
      <x:c r="Y873" s="93" t="n">
        <x:f>W873-X873</x:f>
        <x:v>57</x:v>
      </x:c>
      <x:c r="Z873" s="94" t="n">
        <x:f>IFERROR(Y873/W873,0)</x:f>
        <x:v>0.7916666666666666</x:v>
      </x:c>
      <x:c r="AA873" s="84" t="str">
        <x:f>PROPER(TRIM('Raw Sales'!M873))</x:f>
        <x:v>Paypal</x:v>
      </x:c>
      <x:c r="AB873" s="84" t="str">
        <x:f>PROPER(TRIM('Raw Sales'!N873))</x:f>
        <x:v>Noah Reed</x:v>
      </x:c>
      <x:c r="AC873" s="85" t="n">
        <x:f>'Raw Sales'!O873</x:f>
        <x:v>45602</x:v>
      </x:c>
      <x:c r="AD873" s="84" t="n">
        <x:f>AC873-B873</x:f>
        <x:v>4</x:v>
      </x:c>
      <x:c r="AE873" s="84" t="str">
        <x:f>IF(COUNTIF($A$5:A873,A873)&gt;1,"Duplicate","Keep")</x:f>
        <x:v>Keep</x:v>
      </x:c>
      <x:c r="AF873" s="84" t="str">
        <x:f>IF(OR(R873&lt;=0,AC873&lt;B873,H873="Unknown",M873="Unknown Product"),"Review","Valid")</x:f>
        <x:v>Valid</x:v>
      </x:c>
      <x:c r="AG873" s="84" t="n">
        <x:f>IF(AND(AE873="Keep",AF873="Valid"),1,0)</x:f>
        <x:v>1</x:v>
      </x:c>
      <x:c r="AH873" s="84" t="n">
        <x:f>IF(AND(AG873=1,OR('Dashboard'!$B$4="All",I873='Dashboard'!$B$4),OR('Dashboard'!$E$4="All",N873='Dashboard'!$E$4),OR('Dashboard'!$H$4="All",K873='Dashboard'!$H$4),OR('Dashboard'!$K$4="All",C873='Dashboard'!$K$4)),1,0)</x:f>
        <x:v>1</x:v>
      </x:c>
      <x:c r="AI873" s="84" t="n">
        <x:f>IF(AND(AG873=1,OR('Dashboard'!$B$4="All",I873='Dashboard'!$B$4),OR('Dashboard'!$E$4="All",N873='Dashboard'!$E$4),OR('Dashboard'!$H$4="All",K873='Dashboard'!$H$4)),1,0)</x:f>
        <x:v>1</x:v>
      </x:c>
    </x:row>
    <x:row r="874">
      <x:c r="A874" s="84" t="str">
        <x:f>'Raw Sales'!A874</x:f>
        <x:v>ORD-2024-01310</x:v>
      </x:c>
      <x:c r="B874" s="85" t="n">
        <x:f>'Raw Sales'!B874</x:f>
        <x:v>45598</x:v>
      </x:c>
      <x:c r="C874" s="84" t="n">
        <x:f>YEAR(B874)</x:f>
        <x:v>2024</x:v>
      </x:c>
      <x:c r="D874" s="91" t="n">
        <x:f>DATE(YEAR(B874),MONTH(B874),1)</x:f>
        <x:v>45597</x:v>
      </x:c>
      <x:c r="E874" s="84" t="str">
        <x:f>TEXT(B874,"mmm")</x:f>
        <x:v>Nov</x:v>
      </x:c>
      <x:c r="F874" s="84" t="str">
        <x:f>'Raw Sales'!C874</x:f>
        <x:v>CUST-0509</x:v>
      </x:c>
      <x:c r="G874" s="84" t="str">
        <x:f>PROPER(TRIM('Raw Sales'!D874))</x:f>
        <x:v>Daniel Moore</x:v>
      </x:c>
      <x:c r="H874" s="84" t="str">
        <x:f>IF(TRIM('Raw Sales'!E874)="","Unknown",PROPER(TRIM('Raw Sales'!E874)))</x:f>
        <x:v>Corporate</x:v>
      </x:c>
      <x:c r="I874" s="84" t="str">
        <x:f>PROPER(TRIM('Raw Sales'!F874))</x:f>
        <x:v>Southeast</x:v>
      </x:c>
      <x:c r="J874" s="84" t="str">
        <x:f>PROPER(TRIM('Raw Sales'!G874))</x:f>
        <x:v>Atlanta</x:v>
      </x:c>
      <x:c r="K874" s="84" t="str">
        <x:f>PROPER(TRIM('Raw Sales'!H874))</x:f>
        <x:v>Retail Store</x:v>
      </x:c>
      <x:c r="L874" s="84" t="str">
        <x:f>'Raw Sales'!I874</x:f>
        <x:v>ELEC-002</x:v>
      </x:c>
      <x:c r="M874" s="84" t="str">
        <x:f>IFERROR(VLOOKUP(L874,'Reference Data'!$A$5:$F$40,2,FALSE),"Unknown Product")</x:f>
        <x:v>Smartwatch</x:v>
      </x:c>
      <x:c r="N874" s="84" t="str">
        <x:f>IFERROR(VLOOKUP(L874,'Reference Data'!$A$5:$F$40,3,FALSE),"Unknown")</x:f>
        <x:v>Electronics</x:v>
      </x:c>
      <x:c r="O874" s="84" t="str">
        <x:f>IFERROR(VLOOKUP(L874,'Reference Data'!$A$5:$F$40,4,FALSE),"Unknown")</x:f>
        <x:v>Wearables</x:v>
      </x:c>
      <x:c r="P874" s="92" t="n">
        <x:f>IFERROR(VLOOKUP(L874,'Reference Data'!$A$5:$F$40,5,FALSE),0)</x:f>
        <x:v>159</x:v>
      </x:c>
      <x:c r="Q874" s="92" t="n">
        <x:f>IFERROR(VLOOKUP(L874,'Reference Data'!$A$5:$F$40,6,FALSE),0)</x:f>
        <x:v>92</x:v>
      </x:c>
      <x:c r="R874" s="84" t="n">
        <x:f>'Raw Sales'!J874</x:f>
        <x:v>8</x:v>
      </x:c>
      <x:c r="S874" s="87" t="n">
        <x:f>'Raw Sales'!K874</x:f>
        <x:v>0.15</x:v>
      </x:c>
      <x:c r="T874" s="93" t="n">
        <x:f>P874*R874</x:f>
        <x:v>1272</x:v>
      </x:c>
      <x:c r="U874" s="93" t="n">
        <x:f>T874*S874</x:f>
        <x:v>190.79999999999998</x:v>
      </x:c>
      <x:c r="V874" s="93" t="str">
        <x:f>PROPER(TRIM('Raw Sales'!L874))</x:f>
        <x:v>Completed</x:v>
      </x:c>
      <x:c r="W874" s="93" t="n">
        <x:f>IF(V874="Returned",0,T874-U874)</x:f>
        <x:v>1081.2</x:v>
      </x:c>
      <x:c r="X874" s="93" t="n">
        <x:f>IF(V874="Returned",Q874*R874*10%,Q874*R874)</x:f>
        <x:v>736</x:v>
      </x:c>
      <x:c r="Y874" s="93" t="n">
        <x:f>W874-X874</x:f>
        <x:v>345.20000000000005</x:v>
      </x:c>
      <x:c r="Z874" s="94" t="n">
        <x:f>IFERROR(Y874/W874,0)</x:f>
        <x:v>0.31927487976322605</x:v>
      </x:c>
      <x:c r="AA874" s="84" t="str">
        <x:f>PROPER(TRIM('Raw Sales'!M874))</x:f>
        <x:v>Mobile Wallet</x:v>
      </x:c>
      <x:c r="AB874" s="84" t="str">
        <x:f>PROPER(TRIM('Raw Sales'!N874))</x:f>
        <x:v>Ava Mitchell</x:v>
      </x:c>
      <x:c r="AC874" s="85" t="n">
        <x:f>'Raw Sales'!O874</x:f>
        <x:v>45599</x:v>
      </x:c>
      <x:c r="AD874" s="84" t="n">
        <x:f>AC874-B874</x:f>
        <x:v>1</x:v>
      </x:c>
      <x:c r="AE874" s="84" t="str">
        <x:f>IF(COUNTIF($A$5:A874,A874)&gt;1,"Duplicate","Keep")</x:f>
        <x:v>Keep</x:v>
      </x:c>
      <x:c r="AF874" s="84" t="str">
        <x:f>IF(OR(R874&lt;=0,AC874&lt;B874,H874="Unknown",M874="Unknown Product"),"Review","Valid")</x:f>
        <x:v>Valid</x:v>
      </x:c>
      <x:c r="AG874" s="84" t="n">
        <x:f>IF(AND(AE874="Keep",AF874="Valid"),1,0)</x:f>
        <x:v>1</x:v>
      </x:c>
      <x:c r="AH874" s="84" t="n">
        <x:f>IF(AND(AG874=1,OR('Dashboard'!$B$4="All",I874='Dashboard'!$B$4),OR('Dashboard'!$E$4="All",N874='Dashboard'!$E$4),OR('Dashboard'!$H$4="All",K874='Dashboard'!$H$4),OR('Dashboard'!$K$4="All",C874='Dashboard'!$K$4)),1,0)</x:f>
        <x:v>1</x:v>
      </x:c>
      <x:c r="AI874" s="84" t="n">
        <x:f>IF(AND(AG874=1,OR('Dashboard'!$B$4="All",I874='Dashboard'!$B$4),OR('Dashboard'!$E$4="All",N874='Dashboard'!$E$4),OR('Dashboard'!$H$4="All",K874='Dashboard'!$H$4)),1,0)</x:f>
        <x:v>1</x:v>
      </x:c>
    </x:row>
    <x:row r="875">
      <x:c r="A875" s="84" t="str">
        <x:f>'Raw Sales'!A875</x:f>
        <x:v>ORD-2024-02114</x:v>
      </x:c>
      <x:c r="B875" s="85" t="n">
        <x:f>'Raw Sales'!B875</x:f>
        <x:v>45598</x:v>
      </x:c>
      <x:c r="C875" s="84" t="n">
        <x:f>YEAR(B875)</x:f>
        <x:v>2024</x:v>
      </x:c>
      <x:c r="D875" s="91" t="n">
        <x:f>DATE(YEAR(B875),MONTH(B875),1)</x:f>
        <x:v>45597</x:v>
      </x:c>
      <x:c r="E875" s="84" t="str">
        <x:f>TEXT(B875,"mmm")</x:f>
        <x:v>Nov</x:v>
      </x:c>
      <x:c r="F875" s="84" t="str">
        <x:f>'Raw Sales'!C875</x:f>
        <x:v>CUST-0109</x:v>
      </x:c>
      <x:c r="G875" s="84" t="str">
        <x:f>PROPER(TRIM('Raw Sales'!D875))</x:f>
        <x:v>Maya Evans</x:v>
      </x:c>
      <x:c r="H875" s="84" t="str">
        <x:f>IF(TRIM('Raw Sales'!E875)="","Unknown",PROPER(TRIM('Raw Sales'!E875)))</x:f>
        <x:v>Consumer</x:v>
      </x:c>
      <x:c r="I875" s="84" t="str">
        <x:f>PROPER(TRIM('Raw Sales'!F875))</x:f>
        <x:v>West</x:v>
      </x:c>
      <x:c r="J875" s="84" t="str">
        <x:f>PROPER(TRIM('Raw Sales'!G875))</x:f>
        <x:v>Seattle</x:v>
      </x:c>
      <x:c r="K875" s="84" t="str">
        <x:f>PROPER(TRIM('Raw Sales'!H875))</x:f>
        <x:v>Online</x:v>
      </x:c>
      <x:c r="L875" s="84" t="str">
        <x:f>'Raw Sales'!I875</x:f>
        <x:v>ACCS-005</x:v>
      </x:c>
      <x:c r="M875" s="84" t="str">
        <x:f>IFERROR(VLOOKUP(L875,'Reference Data'!$A$5:$F$40,2,FALSE),"Unknown Product")</x:f>
        <x:v>Protective Phone Case</x:v>
      </x:c>
      <x:c r="N875" s="84" t="str">
        <x:f>IFERROR(VLOOKUP(L875,'Reference Data'!$A$5:$F$40,3,FALSE),"Unknown")</x:f>
        <x:v>Accessories</x:v>
      </x:c>
      <x:c r="O875" s="84" t="str">
        <x:f>IFERROR(VLOOKUP(L875,'Reference Data'!$A$5:$F$40,4,FALSE),"Unknown")</x:f>
        <x:v>Mobile Accessories</x:v>
      </x:c>
      <x:c r="P875" s="92" t="n">
        <x:f>IFERROR(VLOOKUP(L875,'Reference Data'!$A$5:$F$40,5,FALSE),0)</x:f>
        <x:v>24</x:v>
      </x:c>
      <x:c r="Q875" s="92" t="n">
        <x:f>IFERROR(VLOOKUP(L875,'Reference Data'!$A$5:$F$40,6,FALSE),0)</x:f>
        <x:v>5</x:v>
      </x:c>
      <x:c r="R875" s="84" t="n">
        <x:f>'Raw Sales'!J875</x:f>
        <x:v>4</x:v>
      </x:c>
      <x:c r="S875" s="87" t="n">
        <x:f>'Raw Sales'!K875</x:f>
        <x:v>0</x:v>
      </x:c>
      <x:c r="T875" s="93" t="n">
        <x:f>P875*R875</x:f>
        <x:v>96</x:v>
      </x:c>
      <x:c r="U875" s="93" t="n">
        <x:f>T875*S875</x:f>
        <x:v>0</x:v>
      </x:c>
      <x:c r="V875" s="93" t="str">
        <x:f>PROPER(TRIM('Raw Sales'!L875))</x:f>
        <x:v>Completed</x:v>
      </x:c>
      <x:c r="W875" s="93" t="n">
        <x:f>IF(V875="Returned",0,T875-U875)</x:f>
        <x:v>96</x:v>
      </x:c>
      <x:c r="X875" s="93" t="n">
        <x:f>IF(V875="Returned",Q875*R875*10%,Q875*R875)</x:f>
        <x:v>20</x:v>
      </x:c>
      <x:c r="Y875" s="93" t="n">
        <x:f>W875-X875</x:f>
        <x:v>76</x:v>
      </x:c>
      <x:c r="Z875" s="94" t="n">
        <x:f>IFERROR(Y875/W875,0)</x:f>
        <x:v>0.7916666666666666</x:v>
      </x:c>
      <x:c r="AA875" s="84" t="str">
        <x:f>PROPER(TRIM('Raw Sales'!M875))</x:f>
        <x:v>Credit Card</x:v>
      </x:c>
      <x:c r="AB875" s="84" t="str">
        <x:f>PROPER(TRIM('Raw Sales'!N875))</x:f>
        <x:v>Leo Martinez</x:v>
      </x:c>
      <x:c r="AC875" s="85" t="n">
        <x:f>'Raw Sales'!O875</x:f>
        <x:v>45600</x:v>
      </x:c>
      <x:c r="AD875" s="84" t="n">
        <x:f>AC875-B875</x:f>
        <x:v>2</x:v>
      </x:c>
      <x:c r="AE875" s="84" t="str">
        <x:f>IF(COUNTIF($A$5:A875,A875)&gt;1,"Duplicate","Keep")</x:f>
        <x:v>Keep</x:v>
      </x:c>
      <x:c r="AF875" s="84" t="str">
        <x:f>IF(OR(R875&lt;=0,AC875&lt;B875,H875="Unknown",M875="Unknown Product"),"Review","Valid")</x:f>
        <x:v>Valid</x:v>
      </x:c>
      <x:c r="AG875" s="84" t="n">
        <x:f>IF(AND(AE875="Keep",AF875="Valid"),1,0)</x:f>
        <x:v>1</x:v>
      </x:c>
      <x:c r="AH875" s="84" t="n">
        <x:f>IF(AND(AG875=1,OR('Dashboard'!$B$4="All",I875='Dashboard'!$B$4),OR('Dashboard'!$E$4="All",N875='Dashboard'!$E$4),OR('Dashboard'!$H$4="All",K875='Dashboard'!$H$4),OR('Dashboard'!$K$4="All",C875='Dashboard'!$K$4)),1,0)</x:f>
        <x:v>1</x:v>
      </x:c>
      <x:c r="AI875" s="84" t="n">
        <x:f>IF(AND(AG875=1,OR('Dashboard'!$B$4="All",I875='Dashboard'!$B$4),OR('Dashboard'!$E$4="All",N875='Dashboard'!$E$4),OR('Dashboard'!$H$4="All",K875='Dashboard'!$H$4)),1,0)</x:f>
        <x:v>1</x:v>
      </x:c>
    </x:row>
    <x:row r="876">
      <x:c r="A876" s="84" t="str">
        <x:f>'Raw Sales'!A876</x:f>
        <x:v>ORD-2024-02254</x:v>
      </x:c>
      <x:c r="B876" s="85" t="n">
        <x:f>'Raw Sales'!B876</x:f>
        <x:v>45598</x:v>
      </x:c>
      <x:c r="C876" s="84" t="n">
        <x:f>YEAR(B876)</x:f>
        <x:v>2024</x:v>
      </x:c>
      <x:c r="D876" s="91" t="n">
        <x:f>DATE(YEAR(B876),MONTH(B876),1)</x:f>
        <x:v>45597</x:v>
      </x:c>
      <x:c r="E876" s="84" t="str">
        <x:f>TEXT(B876,"mmm")</x:f>
        <x:v>Nov</x:v>
      </x:c>
      <x:c r="F876" s="84" t="str">
        <x:f>'Raw Sales'!C876</x:f>
        <x:v>CUST-0306</x:v>
      </x:c>
      <x:c r="G876" s="84" t="str">
        <x:f>PROPER(TRIM('Raw Sales'!D876))</x:f>
        <x:v>Sara Garcia</x:v>
      </x:c>
      <x:c r="H876" s="84" t="str">
        <x:f>IF(TRIM('Raw Sales'!E876)="","Unknown",PROPER(TRIM('Raw Sales'!E876)))</x:f>
        <x:v>Consumer</x:v>
      </x:c>
      <x:c r="I876" s="84" t="str">
        <x:f>PROPER(TRIM('Raw Sales'!F876))</x:f>
        <x:v>Southeast</x:v>
      </x:c>
      <x:c r="J876" s="84" t="str">
        <x:f>PROPER(TRIM('Raw Sales'!G876))</x:f>
        <x:v>Atlanta</x:v>
      </x:c>
      <x:c r="K876" s="84" t="str">
        <x:f>PROPER(TRIM('Raw Sales'!H876))</x:f>
        <x:v>Online</x:v>
      </x:c>
      <x:c r="L876" s="84" t="str">
        <x:f>'Raw Sales'!I876</x:f>
        <x:v>ELEC-005</x:v>
      </x:c>
      <x:c r="M876" s="84" t="str">
        <x:f>IFERROR(VLOOKUP(L876,'Reference Data'!$A$5:$F$40,2,FALSE),"Unknown Product")</x:f>
        <x:v>HD Webcam</x:v>
      </x:c>
      <x:c r="N876" s="84" t="str">
        <x:f>IFERROR(VLOOKUP(L876,'Reference Data'!$A$5:$F$40,3,FALSE),"Unknown")</x:f>
        <x:v>Electronics</x:v>
      </x:c>
      <x:c r="O876" s="84" t="str">
        <x:f>IFERROR(VLOOKUP(L876,'Reference Data'!$A$5:$F$40,4,FALSE),"Unknown")</x:f>
        <x:v>Computer Accessories</x:v>
      </x:c>
      <x:c r="P876" s="92" t="n">
        <x:f>IFERROR(VLOOKUP(L876,'Reference Data'!$A$5:$F$40,5,FALSE),0)</x:f>
        <x:v>79</x:v>
      </x:c>
      <x:c r="Q876" s="92" t="n">
        <x:f>IFERROR(VLOOKUP(L876,'Reference Data'!$A$5:$F$40,6,FALSE),0)</x:f>
        <x:v>37</x:v>
      </x:c>
      <x:c r="R876" s="84" t="n">
        <x:f>'Raw Sales'!J876</x:f>
        <x:v>1</x:v>
      </x:c>
      <x:c r="S876" s="87" t="n">
        <x:f>'Raw Sales'!K876</x:f>
        <x:v>0.15</x:v>
      </x:c>
      <x:c r="T876" s="93" t="n">
        <x:f>P876*R876</x:f>
        <x:v>79</x:v>
      </x:c>
      <x:c r="U876" s="93" t="n">
        <x:f>T876*S876</x:f>
        <x:v>11.85</x:v>
      </x:c>
      <x:c r="V876" s="93" t="str">
        <x:f>PROPER(TRIM('Raw Sales'!L876))</x:f>
        <x:v>Completed</x:v>
      </x:c>
      <x:c r="W876" s="93" t="n">
        <x:f>IF(V876="Returned",0,T876-U876)</x:f>
        <x:v>67.15</x:v>
      </x:c>
      <x:c r="X876" s="93" t="n">
        <x:f>IF(V876="Returned",Q876*R876*10%,Q876*R876)</x:f>
        <x:v>37</x:v>
      </x:c>
      <x:c r="Y876" s="93" t="n">
        <x:f>W876-X876</x:f>
        <x:v>30.150000000000006</x:v>
      </x:c>
      <x:c r="Z876" s="94" t="n">
        <x:f>IFERROR(Y876/W876,0)</x:f>
        <x:v>0.4489947877885332</x:v>
      </x:c>
      <x:c r="AA876" s="84" t="str">
        <x:f>PROPER(TRIM('Raw Sales'!M876))</x:f>
        <x:v>Paypal</x:v>
      </x:c>
      <x:c r="AB876" s="84" t="str">
        <x:f>PROPER(TRIM('Raw Sales'!N876))</x:f>
        <x:v>Liam Parker</x:v>
      </x:c>
      <x:c r="AC876" s="85" t="n">
        <x:f>'Raw Sales'!O876</x:f>
        <x:v>45602</x:v>
      </x:c>
      <x:c r="AD876" s="84" t="n">
        <x:f>AC876-B876</x:f>
        <x:v>4</x:v>
      </x:c>
      <x:c r="AE876" s="84" t="str">
        <x:f>IF(COUNTIF($A$5:A876,A876)&gt;1,"Duplicate","Keep")</x:f>
        <x:v>Keep</x:v>
      </x:c>
      <x:c r="AF876" s="84" t="str">
        <x:f>IF(OR(R876&lt;=0,AC876&lt;B876,H876="Unknown",M876="Unknown Product"),"Review","Valid")</x:f>
        <x:v>Valid</x:v>
      </x:c>
      <x:c r="AG876" s="84" t="n">
        <x:f>IF(AND(AE876="Keep",AF876="Valid"),1,0)</x:f>
        <x:v>1</x:v>
      </x:c>
      <x:c r="AH876" s="84" t="n">
        <x:f>IF(AND(AG876=1,OR('Dashboard'!$B$4="All",I876='Dashboard'!$B$4),OR('Dashboard'!$E$4="All",N876='Dashboard'!$E$4),OR('Dashboard'!$H$4="All",K876='Dashboard'!$H$4),OR('Dashboard'!$K$4="All",C876='Dashboard'!$K$4)),1,0)</x:f>
        <x:v>1</x:v>
      </x:c>
      <x:c r="AI876" s="84" t="n">
        <x:f>IF(AND(AG876=1,OR('Dashboard'!$B$4="All",I876='Dashboard'!$B$4),OR('Dashboard'!$E$4="All",N876='Dashboard'!$E$4),OR('Dashboard'!$H$4="All",K876='Dashboard'!$H$4)),1,0)</x:f>
        <x:v>1</x:v>
      </x:c>
    </x:row>
    <x:row r="877">
      <x:c r="A877" s="84" t="str">
        <x:f>'Raw Sales'!A877</x:f>
        <x:v>ORD-2024-02255</x:v>
      </x:c>
      <x:c r="B877" s="85" t="n">
        <x:f>'Raw Sales'!B877</x:f>
        <x:v>45598</x:v>
      </x:c>
      <x:c r="C877" s="84" t="n">
        <x:f>YEAR(B877)</x:f>
        <x:v>2024</x:v>
      </x:c>
      <x:c r="D877" s="91" t="n">
        <x:f>DATE(YEAR(B877),MONTH(B877),1)</x:f>
        <x:v>45597</x:v>
      </x:c>
      <x:c r="E877" s="84" t="str">
        <x:f>TEXT(B877,"mmm")</x:f>
        <x:v>Nov</x:v>
      </x:c>
      <x:c r="F877" s="84" t="str">
        <x:f>'Raw Sales'!C877</x:f>
        <x:v>CUST-0096</x:v>
      </x:c>
      <x:c r="G877" s="84" t="str">
        <x:f>PROPER(TRIM('Raw Sales'!D877))</x:f>
        <x:v>Nina Irwin</x:v>
      </x:c>
      <x:c r="H877" s="84" t="str">
        <x:f>IF(TRIM('Raw Sales'!E877)="","Unknown",PROPER(TRIM('Raw Sales'!E877)))</x:f>
        <x:v>Consumer</x:v>
      </x:c>
      <x:c r="I877" s="84" t="str">
        <x:f>PROPER(TRIM('Raw Sales'!F877))</x:f>
        <x:v>Southeast</x:v>
      </x:c>
      <x:c r="J877" s="84" t="str">
        <x:f>PROPER(TRIM('Raw Sales'!G877))</x:f>
        <x:v>Miami</x:v>
      </x:c>
      <x:c r="K877" s="84" t="str">
        <x:f>PROPER(TRIM('Raw Sales'!H877))</x:f>
        <x:v>Marketplace</x:v>
      </x:c>
      <x:c r="L877" s="84" t="str">
        <x:f>'Raw Sales'!I877</x:f>
        <x:v>ELEC-002</x:v>
      </x:c>
      <x:c r="M877" s="84" t="str">
        <x:f>IFERROR(VLOOKUP(L877,'Reference Data'!$A$5:$F$40,2,FALSE),"Unknown Product")</x:f>
        <x:v>Smartwatch</x:v>
      </x:c>
      <x:c r="N877" s="84" t="str">
        <x:f>IFERROR(VLOOKUP(L877,'Reference Data'!$A$5:$F$40,3,FALSE),"Unknown")</x:f>
        <x:v>Electronics</x:v>
      </x:c>
      <x:c r="O877" s="84" t="str">
        <x:f>IFERROR(VLOOKUP(L877,'Reference Data'!$A$5:$F$40,4,FALSE),"Unknown")</x:f>
        <x:v>Wearables</x:v>
      </x:c>
      <x:c r="P877" s="92" t="n">
        <x:f>IFERROR(VLOOKUP(L877,'Reference Data'!$A$5:$F$40,5,FALSE),0)</x:f>
        <x:v>159</x:v>
      </x:c>
      <x:c r="Q877" s="92" t="n">
        <x:f>IFERROR(VLOOKUP(L877,'Reference Data'!$A$5:$F$40,6,FALSE),0)</x:f>
        <x:v>92</x:v>
      </x:c>
      <x:c r="R877" s="84" t="n">
        <x:f>'Raw Sales'!J877</x:f>
        <x:v>2</x:v>
      </x:c>
      <x:c r="S877" s="87" t="n">
        <x:f>'Raw Sales'!K877</x:f>
        <x:v>0.15</x:v>
      </x:c>
      <x:c r="T877" s="93" t="n">
        <x:f>P877*R877</x:f>
        <x:v>318</x:v>
      </x:c>
      <x:c r="U877" s="93" t="n">
        <x:f>T877*S877</x:f>
        <x:v>47.699999999999996</x:v>
      </x:c>
      <x:c r="V877" s="93" t="str">
        <x:f>PROPER(TRIM('Raw Sales'!L877))</x:f>
        <x:v>Completed</x:v>
      </x:c>
      <x:c r="W877" s="93" t="n">
        <x:f>IF(V877="Returned",0,T877-U877)</x:f>
        <x:v>270.3</x:v>
      </x:c>
      <x:c r="X877" s="93" t="n">
        <x:f>IF(V877="Returned",Q877*R877*10%,Q877*R877)</x:f>
        <x:v>184</x:v>
      </x:c>
      <x:c r="Y877" s="93" t="n">
        <x:f>W877-X877</x:f>
        <x:v>86.30000000000001</x:v>
      </x:c>
      <x:c r="Z877" s="94" t="n">
        <x:f>IFERROR(Y877/W877,0)</x:f>
        <x:v>0.31927487976322605</x:v>
      </x:c>
      <x:c r="AA877" s="84" t="str">
        <x:f>PROPER(TRIM('Raw Sales'!M877))</x:f>
        <x:v>Credit Card</x:v>
      </x:c>
      <x:c r="AB877" s="84" t="str">
        <x:f>PROPER(TRIM('Raw Sales'!N877))</x:f>
        <x:v>Liam Parker</x:v>
      </x:c>
      <x:c r="AC877" s="85" t="n">
        <x:f>'Raw Sales'!O877</x:f>
        <x:v>45602</x:v>
      </x:c>
      <x:c r="AD877" s="84" t="n">
        <x:f>AC877-B877</x:f>
        <x:v>4</x:v>
      </x:c>
      <x:c r="AE877" s="84" t="str">
        <x:f>IF(COUNTIF($A$5:A877,A877)&gt;1,"Duplicate","Keep")</x:f>
        <x:v>Keep</x:v>
      </x:c>
      <x:c r="AF877" s="84" t="str">
        <x:f>IF(OR(R877&lt;=0,AC877&lt;B877,H877="Unknown",M877="Unknown Product"),"Review","Valid")</x:f>
        <x:v>Valid</x:v>
      </x:c>
      <x:c r="AG877" s="84" t="n">
        <x:f>IF(AND(AE877="Keep",AF877="Valid"),1,0)</x:f>
        <x:v>1</x:v>
      </x:c>
      <x:c r="AH877" s="84" t="n">
        <x:f>IF(AND(AG877=1,OR('Dashboard'!$B$4="All",I877='Dashboard'!$B$4),OR('Dashboard'!$E$4="All",N877='Dashboard'!$E$4),OR('Dashboard'!$H$4="All",K877='Dashboard'!$H$4),OR('Dashboard'!$K$4="All",C877='Dashboard'!$K$4)),1,0)</x:f>
        <x:v>1</x:v>
      </x:c>
      <x:c r="AI877" s="84" t="n">
        <x:f>IF(AND(AG877=1,OR('Dashboard'!$B$4="All",I877='Dashboard'!$B$4),OR('Dashboard'!$E$4="All",N877='Dashboard'!$E$4),OR('Dashboard'!$H$4="All",K877='Dashboard'!$H$4)),1,0)</x:f>
        <x:v>1</x:v>
      </x:c>
    </x:row>
    <x:row r="878">
      <x:c r="A878" s="84" t="str">
        <x:f>'Raw Sales'!A878</x:f>
        <x:v>ORD-2024-01644</x:v>
      </x:c>
      <x:c r="B878" s="85" t="n">
        <x:f>'Raw Sales'!B878</x:f>
        <x:v>45599</x:v>
      </x:c>
      <x:c r="C878" s="84" t="n">
        <x:f>YEAR(B878)</x:f>
        <x:v>2024</x:v>
      </x:c>
      <x:c r="D878" s="91" t="n">
        <x:f>DATE(YEAR(B878),MONTH(B878),1)</x:f>
        <x:v>45597</x:v>
      </x:c>
      <x:c r="E878" s="84" t="str">
        <x:f>TEXT(B878,"mmm")</x:f>
        <x:v>Nov</x:v>
      </x:c>
      <x:c r="F878" s="84" t="str">
        <x:f>'Raw Sales'!C878</x:f>
        <x:v>CUST-0075</x:v>
      </x:c>
      <x:c r="G878" s="84" t="str">
        <x:f>PROPER(TRIM('Raw Sales'!D878))</x:f>
        <x:v>Theo Walker</x:v>
      </x:c>
      <x:c r="H878" s="84" t="str">
        <x:f>IF(TRIM('Raw Sales'!E878)="","Unknown",PROPER(TRIM('Raw Sales'!E878)))</x:f>
        <x:v>Consumer</x:v>
      </x:c>
      <x:c r="I878" s="84" t="str">
        <x:f>PROPER(TRIM('Raw Sales'!F878))</x:f>
        <x:v>Northeast</x:v>
      </x:c>
      <x:c r="J878" s="84" t="str">
        <x:f>PROPER(TRIM('Raw Sales'!G878))</x:f>
        <x:v>Philadelphia</x:v>
      </x:c>
      <x:c r="K878" s="84" t="str">
        <x:f>PROPER(TRIM('Raw Sales'!H878))</x:f>
        <x:v>Retail Store</x:v>
      </x:c>
      <x:c r="L878" s="84" t="str">
        <x:f>'Raw Sales'!I878</x:f>
        <x:v>OFFC-002</x:v>
      </x:c>
      <x:c r="M878" s="84" t="str">
        <x:f>IFERROR(VLOOKUP(L878,'Reference Data'!$A$5:$F$40,2,FALSE),"Unknown Product")</x:f>
        <x:v>Standing Desk</x:v>
      </x:c>
      <x:c r="N878" s="84" t="str">
        <x:f>IFERROR(VLOOKUP(L878,'Reference Data'!$A$5:$F$40,3,FALSE),"Unknown")</x:f>
        <x:v>Office</x:v>
      </x:c>
      <x:c r="O878" s="84" t="str">
        <x:f>IFERROR(VLOOKUP(L878,'Reference Data'!$A$5:$F$40,4,FALSE),"Unknown")</x:f>
        <x:v>Furniture</x:v>
      </x:c>
      <x:c r="P878" s="92" t="n">
        <x:f>IFERROR(VLOOKUP(L878,'Reference Data'!$A$5:$F$40,5,FALSE),0)</x:f>
        <x:v>399</x:v>
      </x:c>
      <x:c r="Q878" s="92" t="n">
        <x:f>IFERROR(VLOOKUP(L878,'Reference Data'!$A$5:$F$40,6,FALSE),0)</x:f>
        <x:v>235</x:v>
      </x:c>
      <x:c r="R878" s="84" t="n">
        <x:f>'Raw Sales'!J878</x:f>
        <x:v>1</x:v>
      </x:c>
      <x:c r="S878" s="87" t="n">
        <x:f>'Raw Sales'!K878</x:f>
        <x:v>0.15</x:v>
      </x:c>
      <x:c r="T878" s="93" t="n">
        <x:f>P878*R878</x:f>
        <x:v>399</x:v>
      </x:c>
      <x:c r="U878" s="93" t="n">
        <x:f>T878*S878</x:f>
        <x:v>59.849999999999994</x:v>
      </x:c>
      <x:c r="V878" s="93" t="str">
        <x:f>PROPER(TRIM('Raw Sales'!L878))</x:f>
        <x:v>Completed</x:v>
      </x:c>
      <x:c r="W878" s="93" t="n">
        <x:f>IF(V878="Returned",0,T878-U878)</x:f>
        <x:v>339.15</x:v>
      </x:c>
      <x:c r="X878" s="93" t="n">
        <x:f>IF(V878="Returned",Q878*R878*10%,Q878*R878)</x:f>
        <x:v>235</x:v>
      </x:c>
      <x:c r="Y878" s="93" t="n">
        <x:f>W878-X878</x:f>
        <x:v>104.14999999999998</x:v>
      </x:c>
      <x:c r="Z878" s="94" t="n">
        <x:f>IFERROR(Y878/W878,0)</x:f>
        <x:v>0.3070912575556538</x:v>
      </x:c>
      <x:c r="AA878" s="84" t="str">
        <x:f>PROPER(TRIM('Raw Sales'!M878))</x:f>
        <x:v>Credit Card</x:v>
      </x:c>
      <x:c r="AB878" s="84" t="str">
        <x:f>PROPER(TRIM('Raw Sales'!N878))</x:f>
        <x:v>Sofia Bennett</x:v>
      </x:c>
      <x:c r="AC878" s="85" t="n">
        <x:f>'Raw Sales'!O878</x:f>
        <x:v>45599</x:v>
      </x:c>
      <x:c r="AD878" s="84" t="n">
        <x:f>AC878-B878</x:f>
        <x:v>0</x:v>
      </x:c>
      <x:c r="AE878" s="84" t="str">
        <x:f>IF(COUNTIF($A$5:A878,A878)&gt;1,"Duplicate","Keep")</x:f>
        <x:v>Keep</x:v>
      </x:c>
      <x:c r="AF878" s="84" t="str">
        <x:f>IF(OR(R878&lt;=0,AC878&lt;B878,H878="Unknown",M878="Unknown Product"),"Review","Valid")</x:f>
        <x:v>Valid</x:v>
      </x:c>
      <x:c r="AG878" s="84" t="n">
        <x:f>IF(AND(AE878="Keep",AF878="Valid"),1,0)</x:f>
        <x:v>1</x:v>
      </x:c>
      <x:c r="AH878" s="84" t="n">
        <x:f>IF(AND(AG878=1,OR('Dashboard'!$B$4="All",I878='Dashboard'!$B$4),OR('Dashboard'!$E$4="All",N878='Dashboard'!$E$4),OR('Dashboard'!$H$4="All",K878='Dashboard'!$H$4),OR('Dashboard'!$K$4="All",C878='Dashboard'!$K$4)),1,0)</x:f>
        <x:v>1</x:v>
      </x:c>
      <x:c r="AI878" s="84" t="n">
        <x:f>IF(AND(AG878=1,OR('Dashboard'!$B$4="All",I878='Dashboard'!$B$4),OR('Dashboard'!$E$4="All",N878='Dashboard'!$E$4),OR('Dashboard'!$H$4="All",K878='Dashboard'!$H$4)),1,0)</x:f>
        <x:v>1</x:v>
      </x:c>
    </x:row>
    <x:row r="879">
      <x:c r="A879" s="84" t="str">
        <x:f>'Raw Sales'!A879</x:f>
        <x:v>ORD-2024-00672</x:v>
      </x:c>
      <x:c r="B879" s="85" t="n">
        <x:f>'Raw Sales'!B879</x:f>
        <x:v>45600</x:v>
      </x:c>
      <x:c r="C879" s="84" t="n">
        <x:f>YEAR(B879)</x:f>
        <x:v>2024</x:v>
      </x:c>
      <x:c r="D879" s="91" t="n">
        <x:f>DATE(YEAR(B879),MONTH(B879),1)</x:f>
        <x:v>45597</x:v>
      </x:c>
      <x:c r="E879" s="84" t="str">
        <x:f>TEXT(B879,"mmm")</x:f>
        <x:v>Nov</x:v>
      </x:c>
      <x:c r="F879" s="84" t="str">
        <x:f>'Raw Sales'!C879</x:f>
        <x:v>CUST-0279</x:v>
      </x:c>
      <x:c r="G879" s="84" t="str">
        <x:f>PROPER(TRIM('Raw Sales'!D879))</x:f>
        <x:v>Priya Johnson</x:v>
      </x:c>
      <x:c r="H879" s="84" t="str">
        <x:f>IF(TRIM('Raw Sales'!E879)="","Unknown",PROPER(TRIM('Raw Sales'!E879)))</x:f>
        <x:v>Consumer</x:v>
      </x:c>
      <x:c r="I879" s="84" t="str">
        <x:f>PROPER(TRIM('Raw Sales'!F879))</x:f>
        <x:v>West</x:v>
      </x:c>
      <x:c r="J879" s="84" t="str">
        <x:f>PROPER(TRIM('Raw Sales'!G879))</x:f>
        <x:v>Seattle</x:v>
      </x:c>
      <x:c r="K879" s="84" t="str">
        <x:f>PROPER(TRIM('Raw Sales'!H879))</x:f>
        <x:v>Retail Store</x:v>
      </x:c>
      <x:c r="L879" s="84" t="str">
        <x:f>'Raw Sales'!I879</x:f>
        <x:v>FITN-001</x:v>
      </x:c>
      <x:c r="M879" s="84" t="str">
        <x:f>IFERROR(VLOOKUP(L879,'Reference Data'!$A$5:$F$40,2,FALSE),"Unknown Product")</x:f>
        <x:v>Yoga Mat</x:v>
      </x:c>
      <x:c r="N879" s="84" t="str">
        <x:f>IFERROR(VLOOKUP(L879,'Reference Data'!$A$5:$F$40,3,FALSE),"Unknown")</x:f>
        <x:v>Fitness</x:v>
      </x:c>
      <x:c r="O879" s="84" t="str">
        <x:f>IFERROR(VLOOKUP(L879,'Reference Data'!$A$5:$F$40,4,FALSE),"Unknown")</x:f>
        <x:v>Yoga</x:v>
      </x:c>
      <x:c r="P879" s="92" t="n">
        <x:f>IFERROR(VLOOKUP(L879,'Reference Data'!$A$5:$F$40,5,FALSE),0)</x:f>
        <x:v>35</x:v>
      </x:c>
      <x:c r="Q879" s="92" t="n">
        <x:f>IFERROR(VLOOKUP(L879,'Reference Data'!$A$5:$F$40,6,FALSE),0)</x:f>
        <x:v>13</x:v>
      </x:c>
      <x:c r="R879" s="84" t="n">
        <x:f>'Raw Sales'!J879</x:f>
        <x:v>2</x:v>
      </x:c>
      <x:c r="S879" s="87" t="n">
        <x:f>'Raw Sales'!K879</x:f>
        <x:v>0.1</x:v>
      </x:c>
      <x:c r="T879" s="93" t="n">
        <x:f>P879*R879</x:f>
        <x:v>70</x:v>
      </x:c>
      <x:c r="U879" s="93" t="n">
        <x:f>T879*S879</x:f>
        <x:v>7</x:v>
      </x:c>
      <x:c r="V879" s="93" t="str">
        <x:f>PROPER(TRIM('Raw Sales'!L879))</x:f>
        <x:v>Completed</x:v>
      </x:c>
      <x:c r="W879" s="93" t="n">
        <x:f>IF(V879="Returned",0,T879-U879)</x:f>
        <x:v>63</x:v>
      </x:c>
      <x:c r="X879" s="93" t="n">
        <x:f>IF(V879="Returned",Q879*R879*10%,Q879*R879)</x:f>
        <x:v>26</x:v>
      </x:c>
      <x:c r="Y879" s="93" t="n">
        <x:f>W879-X879</x:f>
        <x:v>37</x:v>
      </x:c>
      <x:c r="Z879" s="94" t="n">
        <x:f>IFERROR(Y879/W879,0)</x:f>
        <x:v>0.5873015873015873</x:v>
      </x:c>
      <x:c r="AA879" s="84" t="str">
        <x:f>PROPER(TRIM('Raw Sales'!M879))</x:f>
        <x:v>Cash</x:v>
      </x:c>
      <x:c r="AB879" s="84" t="str">
        <x:f>PROPER(TRIM('Raw Sales'!N879))</x:f>
        <x:v>Nora Kim</x:v>
      </x:c>
      <x:c r="AC879" s="85" t="n">
        <x:f>'Raw Sales'!O879</x:f>
        <x:v>45600</x:v>
      </x:c>
      <x:c r="AD879" s="84" t="n">
        <x:f>AC879-B879</x:f>
        <x:v>0</x:v>
      </x:c>
      <x:c r="AE879" s="84" t="str">
        <x:f>IF(COUNTIF($A$5:A879,A879)&gt;1,"Duplicate","Keep")</x:f>
        <x:v>Keep</x:v>
      </x:c>
      <x:c r="AF879" s="84" t="str">
        <x:f>IF(OR(R879&lt;=0,AC879&lt;B879,H879="Unknown",M879="Unknown Product"),"Review","Valid")</x:f>
        <x:v>Valid</x:v>
      </x:c>
      <x:c r="AG879" s="84" t="n">
        <x:f>IF(AND(AE879="Keep",AF879="Valid"),1,0)</x:f>
        <x:v>1</x:v>
      </x:c>
      <x:c r="AH879" s="84" t="n">
        <x:f>IF(AND(AG879=1,OR('Dashboard'!$B$4="All",I879='Dashboard'!$B$4),OR('Dashboard'!$E$4="All",N879='Dashboard'!$E$4),OR('Dashboard'!$H$4="All",K879='Dashboard'!$H$4),OR('Dashboard'!$K$4="All",C879='Dashboard'!$K$4)),1,0)</x:f>
        <x:v>1</x:v>
      </x:c>
      <x:c r="AI879" s="84" t="n">
        <x:f>IF(AND(AG879=1,OR('Dashboard'!$B$4="All",I879='Dashboard'!$B$4),OR('Dashboard'!$E$4="All",N879='Dashboard'!$E$4),OR('Dashboard'!$H$4="All",K879='Dashboard'!$H$4)),1,0)</x:f>
        <x:v>1</x:v>
      </x:c>
    </x:row>
    <x:row r="880">
      <x:c r="A880" s="84" t="str">
        <x:f>'Raw Sales'!A880</x:f>
        <x:v>ORD-2024-00965</x:v>
      </x:c>
      <x:c r="B880" s="85" t="n">
        <x:f>'Raw Sales'!B880</x:f>
        <x:v>45600</x:v>
      </x:c>
      <x:c r="C880" s="84" t="n">
        <x:f>YEAR(B880)</x:f>
        <x:v>2024</x:v>
      </x:c>
      <x:c r="D880" s="91" t="n">
        <x:f>DATE(YEAR(B880),MONTH(B880),1)</x:f>
        <x:v>45597</x:v>
      </x:c>
      <x:c r="E880" s="84" t="str">
        <x:f>TEXT(B880,"mmm")</x:f>
        <x:v>Nov</x:v>
      </x:c>
      <x:c r="F880" s="84" t="str">
        <x:f>'Raw Sales'!C880</x:f>
        <x:v>CUST-0230</x:v>
      </x:c>
      <x:c r="G880" s="84" t="str">
        <x:f>PROPER(TRIM('Raw Sales'!D880))</x:f>
        <x:v>Elias Evans</x:v>
      </x:c>
      <x:c r="H880" s="84" t="str">
        <x:f>IF(TRIM('Raw Sales'!E880)="","Unknown",PROPER(TRIM('Raw Sales'!E880)))</x:f>
        <x:v>Small Business</x:v>
      </x:c>
      <x:c r="I880" s="84" t="str">
        <x:f>PROPER(TRIM('Raw Sales'!F880))</x:f>
        <x:v>Southeast</x:v>
      </x:c>
      <x:c r="J880" s="84" t="str">
        <x:f>PROPER(TRIM('Raw Sales'!G880))</x:f>
        <x:v>Miami</x:v>
      </x:c>
      <x:c r="K880" s="84" t="str">
        <x:f>PROPER(TRIM('Raw Sales'!H880))</x:f>
        <x:v>Online</x:v>
      </x:c>
      <x:c r="L880" s="84" t="str">
        <x:f>'Raw Sales'!I880</x:f>
        <x:v>ELEC-004</x:v>
      </x:c>
      <x:c r="M880" s="84" t="str">
        <x:f>IFERROR(VLOOKUP(L880,'Reference Data'!$A$5:$F$40,2,FALSE),"Unknown Product")</x:f>
        <x:v>Power Bank</x:v>
      </x:c>
      <x:c r="N880" s="84" t="str">
        <x:f>IFERROR(VLOOKUP(L880,'Reference Data'!$A$5:$F$40,3,FALSE),"Unknown")</x:f>
        <x:v>Electronics</x:v>
      </x:c>
      <x:c r="O880" s="84" t="str">
        <x:f>IFERROR(VLOOKUP(L880,'Reference Data'!$A$5:$F$40,4,FALSE),"Unknown")</x:f>
        <x:v>Mobile Accessories</x:v>
      </x:c>
      <x:c r="P880" s="92" t="n">
        <x:f>IFERROR(VLOOKUP(L880,'Reference Data'!$A$5:$F$40,5,FALSE),0)</x:f>
        <x:v>39</x:v>
      </x:c>
      <x:c r="Q880" s="92" t="n">
        <x:f>IFERROR(VLOOKUP(L880,'Reference Data'!$A$5:$F$40,6,FALSE),0)</x:f>
        <x:v>18</x:v>
      </x:c>
      <x:c r="R880" s="84" t="n">
        <x:f>'Raw Sales'!J880</x:f>
        <x:v>1</x:v>
      </x:c>
      <x:c r="S880" s="87" t="n">
        <x:f>'Raw Sales'!K880</x:f>
        <x:v>0.1</x:v>
      </x:c>
      <x:c r="T880" s="93" t="n">
        <x:f>P880*R880</x:f>
        <x:v>39</x:v>
      </x:c>
      <x:c r="U880" s="93" t="n">
        <x:f>T880*S880</x:f>
        <x:v>3.9000000000000004</x:v>
      </x:c>
      <x:c r="V880" s="93" t="str">
        <x:f>PROPER(TRIM('Raw Sales'!L880))</x:f>
        <x:v>Completed</x:v>
      </x:c>
      <x:c r="W880" s="93" t="n">
        <x:f>IF(V880="Returned",0,T880-U880)</x:f>
        <x:v>35.1</x:v>
      </x:c>
      <x:c r="X880" s="93" t="n">
        <x:f>IF(V880="Returned",Q880*R880*10%,Q880*R880)</x:f>
        <x:v>18</x:v>
      </x:c>
      <x:c r="Y880" s="93" t="n">
        <x:f>W880-X880</x:f>
        <x:v>17.1</x:v>
      </x:c>
      <x:c r="Z880" s="94" t="n">
        <x:f>IFERROR(Y880/W880,0)</x:f>
        <x:v>0.4871794871794872</x:v>
      </x:c>
      <x:c r="AA880" s="84" t="str">
        <x:f>PROPER(TRIM('Raw Sales'!M880))</x:f>
        <x:v>Debit Card</x:v>
      </x:c>
      <x:c r="AB880" s="84" t="str">
        <x:f>PROPER(TRIM('Raw Sales'!N880))</x:f>
        <x:v>Liam Parker</x:v>
      </x:c>
      <x:c r="AC880" s="85" t="n">
        <x:f>'Raw Sales'!O880</x:f>
        <x:v>45604</x:v>
      </x:c>
      <x:c r="AD880" s="84" t="n">
        <x:f>AC880-B880</x:f>
        <x:v>4</x:v>
      </x:c>
      <x:c r="AE880" s="84" t="str">
        <x:f>IF(COUNTIF($A$5:A880,A880)&gt;1,"Duplicate","Keep")</x:f>
        <x:v>Keep</x:v>
      </x:c>
      <x:c r="AF880" s="84" t="str">
        <x:f>IF(OR(R880&lt;=0,AC880&lt;B880,H880="Unknown",M880="Unknown Product"),"Review","Valid")</x:f>
        <x:v>Valid</x:v>
      </x:c>
      <x:c r="AG880" s="84" t="n">
        <x:f>IF(AND(AE880="Keep",AF880="Valid"),1,0)</x:f>
        <x:v>1</x:v>
      </x:c>
      <x:c r="AH880" s="84" t="n">
        <x:f>IF(AND(AG880=1,OR('Dashboard'!$B$4="All",I880='Dashboard'!$B$4),OR('Dashboard'!$E$4="All",N880='Dashboard'!$E$4),OR('Dashboard'!$H$4="All",K880='Dashboard'!$H$4),OR('Dashboard'!$K$4="All",C880='Dashboard'!$K$4)),1,0)</x:f>
        <x:v>1</x:v>
      </x:c>
      <x:c r="AI880" s="84" t="n">
        <x:f>IF(AND(AG880=1,OR('Dashboard'!$B$4="All",I880='Dashboard'!$B$4),OR('Dashboard'!$E$4="All",N880='Dashboard'!$E$4),OR('Dashboard'!$H$4="All",K880='Dashboard'!$H$4)),1,0)</x:f>
        <x:v>1</x:v>
      </x:c>
    </x:row>
    <x:row r="881">
      <x:c r="A881" s="84" t="str">
        <x:f>'Raw Sales'!A881</x:f>
        <x:v>ORD-2024-01126</x:v>
      </x:c>
      <x:c r="B881" s="85" t="n">
        <x:f>'Raw Sales'!B881</x:f>
        <x:v>45600</x:v>
      </x:c>
      <x:c r="C881" s="84" t="n">
        <x:f>YEAR(B881)</x:f>
        <x:v>2024</x:v>
      </x:c>
      <x:c r="D881" s="91" t="n">
        <x:f>DATE(YEAR(B881),MONTH(B881),1)</x:f>
        <x:v>45597</x:v>
      </x:c>
      <x:c r="E881" s="84" t="str">
        <x:f>TEXT(B881,"mmm")</x:f>
        <x:v>Nov</x:v>
      </x:c>
      <x:c r="F881" s="84" t="str">
        <x:f>'Raw Sales'!C881</x:f>
        <x:v>CUST-0269</x:v>
      </x:c>
      <x:c r="G881" s="84" t="str">
        <x:f>PROPER(TRIM('Raw Sales'!D881))</x:f>
        <x:v>Daniel Evans</x:v>
      </x:c>
      <x:c r="H881" s="84" t="str">
        <x:f>IF(TRIM('Raw Sales'!E881)="","Unknown",PROPER(TRIM('Raw Sales'!E881)))</x:f>
        <x:v>Small Business</x:v>
      </x:c>
      <x:c r="I881" s="84" t="str">
        <x:f>PROPER(TRIM('Raw Sales'!F881))</x:f>
        <x:v>Southeast</x:v>
      </x:c>
      <x:c r="J881" s="84" t="str">
        <x:f>PROPER(TRIM('Raw Sales'!G881))</x:f>
        <x:v>Charlotte</x:v>
      </x:c>
      <x:c r="K881" s="84" t="str">
        <x:f>PROPER(TRIM('Raw Sales'!H881))</x:f>
        <x:v>Marketplace</x:v>
      </x:c>
      <x:c r="L881" s="84" t="str">
        <x:f>'Raw Sales'!I881</x:f>
        <x:v>OFFC-006</x:v>
      </x:c>
      <x:c r="M881" s="84" t="str">
        <x:f>IFERROR(VLOOKUP(L881,'Reference Data'!$A$5:$F$40,2,FALSE),"Unknown Product")</x:f>
        <x:v>Monitor Stand</x:v>
      </x:c>
      <x:c r="N881" s="84" t="str">
        <x:f>IFERROR(VLOOKUP(L881,'Reference Data'!$A$5:$F$40,3,FALSE),"Unknown")</x:f>
        <x:v>Office</x:v>
      </x:c>
      <x:c r="O881" s="84" t="str">
        <x:f>IFERROR(VLOOKUP(L881,'Reference Data'!$A$5:$F$40,4,FALSE),"Unknown")</x:f>
        <x:v>Desk Accessories</x:v>
      </x:c>
      <x:c r="P881" s="92" t="n">
        <x:f>IFERROR(VLOOKUP(L881,'Reference Data'!$A$5:$F$40,5,FALSE),0)</x:f>
        <x:v>49</x:v>
      </x:c>
      <x:c r="Q881" s="92" t="n">
        <x:f>IFERROR(VLOOKUP(L881,'Reference Data'!$A$5:$F$40,6,FALSE),0)</x:f>
        <x:v>21</x:v>
      </x:c>
      <x:c r="R881" s="84" t="n">
        <x:f>'Raw Sales'!J881</x:f>
        <x:v>2</x:v>
      </x:c>
      <x:c r="S881" s="87" t="n">
        <x:f>'Raw Sales'!K881</x:f>
        <x:v>0.15</x:v>
      </x:c>
      <x:c r="T881" s="93" t="n">
        <x:f>P881*R881</x:f>
        <x:v>98</x:v>
      </x:c>
      <x:c r="U881" s="93" t="n">
        <x:f>T881*S881</x:f>
        <x:v>14.7</x:v>
      </x:c>
      <x:c r="V881" s="93" t="str">
        <x:f>PROPER(TRIM('Raw Sales'!L881))</x:f>
        <x:v>Completed</x:v>
      </x:c>
      <x:c r="W881" s="93" t="n">
        <x:f>IF(V881="Returned",0,T881-U881)</x:f>
        <x:v>83.3</x:v>
      </x:c>
      <x:c r="X881" s="93" t="n">
        <x:f>IF(V881="Returned",Q881*R881*10%,Q881*R881)</x:f>
        <x:v>42</x:v>
      </x:c>
      <x:c r="Y881" s="93" t="n">
        <x:f>W881-X881</x:f>
        <x:v>41.3</x:v>
      </x:c>
      <x:c r="Z881" s="94" t="n">
        <x:f>IFERROR(Y881/W881,0)</x:f>
        <x:v>0.49579831932773105</x:v>
      </x:c>
      <x:c r="AA881" s="84" t="str">
        <x:f>PROPER(TRIM('Raw Sales'!M881))</x:f>
        <x:v>Debit Card</x:v>
      </x:c>
      <x:c r="AB881" s="84" t="str">
        <x:f>PROPER(TRIM('Raw Sales'!N881))</x:f>
        <x:v>Ava Mitchell</x:v>
      </x:c>
      <x:c r="AC881" s="85" t="n">
        <x:f>'Raw Sales'!O881</x:f>
        <x:v>45606</x:v>
      </x:c>
      <x:c r="AD881" s="84" t="n">
        <x:f>AC881-B881</x:f>
        <x:v>6</x:v>
      </x:c>
      <x:c r="AE881" s="84" t="str">
        <x:f>IF(COUNTIF($A$5:A881,A881)&gt;1,"Duplicate","Keep")</x:f>
        <x:v>Keep</x:v>
      </x:c>
      <x:c r="AF881" s="84" t="str">
        <x:f>IF(OR(R881&lt;=0,AC881&lt;B881,H881="Unknown",M881="Unknown Product"),"Review","Valid")</x:f>
        <x:v>Valid</x:v>
      </x:c>
      <x:c r="AG881" s="84" t="n">
        <x:f>IF(AND(AE881="Keep",AF881="Valid"),1,0)</x:f>
        <x:v>1</x:v>
      </x:c>
      <x:c r="AH881" s="84" t="n">
        <x:f>IF(AND(AG881=1,OR('Dashboard'!$B$4="All",I881='Dashboard'!$B$4),OR('Dashboard'!$E$4="All",N881='Dashboard'!$E$4),OR('Dashboard'!$H$4="All",K881='Dashboard'!$H$4),OR('Dashboard'!$K$4="All",C881='Dashboard'!$K$4)),1,0)</x:f>
        <x:v>1</x:v>
      </x:c>
      <x:c r="AI881" s="84" t="n">
        <x:f>IF(AND(AG881=1,OR('Dashboard'!$B$4="All",I881='Dashboard'!$B$4),OR('Dashboard'!$E$4="All",N881='Dashboard'!$E$4),OR('Dashboard'!$H$4="All",K881='Dashboard'!$H$4)),1,0)</x:f>
        <x:v>1</x:v>
      </x:c>
    </x:row>
    <x:row r="882">
      <x:c r="A882" s="84" t="str">
        <x:f>'Raw Sales'!A882</x:f>
        <x:v>ORD-2024-01486</x:v>
      </x:c>
      <x:c r="B882" s="85" t="n">
        <x:f>'Raw Sales'!B882</x:f>
        <x:v>45600</x:v>
      </x:c>
      <x:c r="C882" s="84" t="n">
        <x:f>YEAR(B882)</x:f>
        <x:v>2024</x:v>
      </x:c>
      <x:c r="D882" s="91" t="n">
        <x:f>DATE(YEAR(B882),MONTH(B882),1)</x:f>
        <x:v>45597</x:v>
      </x:c>
      <x:c r="E882" s="84" t="str">
        <x:f>TEXT(B882,"mmm")</x:f>
        <x:v>Nov</x:v>
      </x:c>
      <x:c r="F882" s="84" t="str">
        <x:f>'Raw Sales'!C882</x:f>
        <x:v>CUST-0101</x:v>
      </x:c>
      <x:c r="G882" s="84" t="str">
        <x:f>PROPER(TRIM('Raw Sales'!D882))</x:f>
        <x:v>Jonah Patel</x:v>
      </x:c>
      <x:c r="H882" s="84" t="str">
        <x:f>IF(TRIM('Raw Sales'!E882)="","Unknown",PROPER(TRIM('Raw Sales'!E882)))</x:f>
        <x:v>Consumer</x:v>
      </x:c>
      <x:c r="I882" s="84" t="str">
        <x:f>PROPER(TRIM('Raw Sales'!F882))</x:f>
        <x:v>Northeast</x:v>
      </x:c>
      <x:c r="J882" s="84" t="str">
        <x:f>PROPER(TRIM('Raw Sales'!G882))</x:f>
        <x:v>Boston</x:v>
      </x:c>
      <x:c r="K882" s="84" t="str">
        <x:f>PROPER(TRIM('Raw Sales'!H882))</x:f>
        <x:v>Retail Store</x:v>
      </x:c>
      <x:c r="L882" s="84" t="str">
        <x:f>'Raw Sales'!I882</x:f>
        <x:v>ELEC-002</x:v>
      </x:c>
      <x:c r="M882" s="84" t="str">
        <x:f>IFERROR(VLOOKUP(L882,'Reference Data'!$A$5:$F$40,2,FALSE),"Unknown Product")</x:f>
        <x:v>Smartwatch</x:v>
      </x:c>
      <x:c r="N882" s="84" t="str">
        <x:f>IFERROR(VLOOKUP(L882,'Reference Data'!$A$5:$F$40,3,FALSE),"Unknown")</x:f>
        <x:v>Electronics</x:v>
      </x:c>
      <x:c r="O882" s="84" t="str">
        <x:f>IFERROR(VLOOKUP(L882,'Reference Data'!$A$5:$F$40,4,FALSE),"Unknown")</x:f>
        <x:v>Wearables</x:v>
      </x:c>
      <x:c r="P882" s="92" t="n">
        <x:f>IFERROR(VLOOKUP(L882,'Reference Data'!$A$5:$F$40,5,FALSE),0)</x:f>
        <x:v>159</x:v>
      </x:c>
      <x:c r="Q882" s="92" t="n">
        <x:f>IFERROR(VLOOKUP(L882,'Reference Data'!$A$5:$F$40,6,FALSE),0)</x:f>
        <x:v>92</x:v>
      </x:c>
      <x:c r="R882" s="84" t="n">
        <x:f>'Raw Sales'!J882</x:f>
        <x:v>1</x:v>
      </x:c>
      <x:c r="S882" s="87" t="n">
        <x:f>'Raw Sales'!K882</x:f>
        <x:v>0.15</x:v>
      </x:c>
      <x:c r="T882" s="93" t="n">
        <x:f>P882*R882</x:f>
        <x:v>159</x:v>
      </x:c>
      <x:c r="U882" s="93" t="n">
        <x:f>T882*S882</x:f>
        <x:v>23.849999999999998</x:v>
      </x:c>
      <x:c r="V882" s="93" t="str">
        <x:f>PROPER(TRIM('Raw Sales'!L882))</x:f>
        <x:v>Completed</x:v>
      </x:c>
      <x:c r="W882" s="93" t="n">
        <x:f>IF(V882="Returned",0,T882-U882)</x:f>
        <x:v>135.15</x:v>
      </x:c>
      <x:c r="X882" s="93" t="n">
        <x:f>IF(V882="Returned",Q882*R882*10%,Q882*R882)</x:f>
        <x:v>92</x:v>
      </x:c>
      <x:c r="Y882" s="93" t="n">
        <x:f>W882-X882</x:f>
        <x:v>43.150000000000006</x:v>
      </x:c>
      <x:c r="Z882" s="94" t="n">
        <x:f>IFERROR(Y882/W882,0)</x:f>
        <x:v>0.31927487976322605</x:v>
      </x:c>
      <x:c r="AA882" s="84" t="str">
        <x:f>PROPER(TRIM('Raw Sales'!M882))</x:f>
        <x:v>Credit Card</x:v>
      </x:c>
      <x:c r="AB882" s="84" t="str">
        <x:f>PROPER(TRIM('Raw Sales'!N882))</x:f>
        <x:v>Sofia Bennett</x:v>
      </x:c>
      <x:c r="AC882" s="85" t="n">
        <x:f>'Raw Sales'!O882</x:f>
        <x:v>45600</x:v>
      </x:c>
      <x:c r="AD882" s="84" t="n">
        <x:f>AC882-B882</x:f>
        <x:v>0</x:v>
      </x:c>
      <x:c r="AE882" s="84" t="str">
        <x:f>IF(COUNTIF($A$5:A882,A882)&gt;1,"Duplicate","Keep")</x:f>
        <x:v>Keep</x:v>
      </x:c>
      <x:c r="AF882" s="84" t="str">
        <x:f>IF(OR(R882&lt;=0,AC882&lt;B882,H882="Unknown",M882="Unknown Product"),"Review","Valid")</x:f>
        <x:v>Valid</x:v>
      </x:c>
      <x:c r="AG882" s="84" t="n">
        <x:f>IF(AND(AE882="Keep",AF882="Valid"),1,0)</x:f>
        <x:v>1</x:v>
      </x:c>
      <x:c r="AH882" s="84" t="n">
        <x:f>IF(AND(AG882=1,OR('Dashboard'!$B$4="All",I882='Dashboard'!$B$4),OR('Dashboard'!$E$4="All",N882='Dashboard'!$E$4),OR('Dashboard'!$H$4="All",K882='Dashboard'!$H$4),OR('Dashboard'!$K$4="All",C882='Dashboard'!$K$4)),1,0)</x:f>
        <x:v>1</x:v>
      </x:c>
      <x:c r="AI882" s="84" t="n">
        <x:f>IF(AND(AG882=1,OR('Dashboard'!$B$4="All",I882='Dashboard'!$B$4),OR('Dashboard'!$E$4="All",N882='Dashboard'!$E$4),OR('Dashboard'!$H$4="All",K882='Dashboard'!$H$4)),1,0)</x:f>
        <x:v>1</x:v>
      </x:c>
    </x:row>
    <x:row r="883">
      <x:c r="A883" s="84" t="str">
        <x:f>'Raw Sales'!A883</x:f>
        <x:v>ORD-2024-02030</x:v>
      </x:c>
      <x:c r="B883" s="85" t="n">
        <x:f>'Raw Sales'!B883</x:f>
        <x:v>45600</x:v>
      </x:c>
      <x:c r="C883" s="84" t="n">
        <x:f>YEAR(B883)</x:f>
        <x:v>2024</x:v>
      </x:c>
      <x:c r="D883" s="91" t="n">
        <x:f>DATE(YEAR(B883),MONTH(B883),1)</x:f>
        <x:v>45597</x:v>
      </x:c>
      <x:c r="E883" s="84" t="str">
        <x:f>TEXT(B883,"mmm")</x:f>
        <x:v>Nov</x:v>
      </x:c>
      <x:c r="F883" s="84" t="str">
        <x:f>'Raw Sales'!C883</x:f>
        <x:v>CUST-0215</x:v>
      </x:c>
      <x:c r="G883" s="84" t="str">
        <x:f>PROPER(TRIM('Raw Sales'!D883))</x:f>
        <x:v>Priya Adams</x:v>
      </x:c>
      <x:c r="H883" s="84" t="str">
        <x:f>IF(TRIM('Raw Sales'!E883)="","Unknown",PROPER(TRIM('Raw Sales'!E883)))</x:f>
        <x:v>Consumer</x:v>
      </x:c>
      <x:c r="I883" s="84" t="str">
        <x:f>PROPER(TRIM('Raw Sales'!F883))</x:f>
        <x:v>Midwest</x:v>
      </x:c>
      <x:c r="J883" s="84" t="str">
        <x:f>PROPER(TRIM('Raw Sales'!G883))</x:f>
        <x:v>Columbus</x:v>
      </x:c>
      <x:c r="K883" s="84" t="str">
        <x:f>PROPER(TRIM('Raw Sales'!H883))</x:f>
        <x:v>Marketplace</x:v>
      </x:c>
      <x:c r="L883" s="84" t="str">
        <x:f>'Raw Sales'!I883</x:f>
        <x:v>CARE-001</x:v>
      </x:c>
      <x:c r="M883" s="84" t="str">
        <x:f>IFERROR(VLOOKUP(L883,'Reference Data'!$A$5:$F$40,2,FALSE),"Unknown Product")</x:f>
        <x:v>Ionic Hair Dryer</x:v>
      </x:c>
      <x:c r="N883" s="84" t="str">
        <x:f>IFERROR(VLOOKUP(L883,'Reference Data'!$A$5:$F$40,3,FALSE),"Unknown")</x:f>
        <x:v>Personal Care</x:v>
      </x:c>
      <x:c r="O883" s="84" t="str">
        <x:f>IFERROR(VLOOKUP(L883,'Reference Data'!$A$5:$F$40,4,FALSE),"Unknown")</x:f>
        <x:v>Hair Care</x:v>
      </x:c>
      <x:c r="P883" s="92" t="n">
        <x:f>IFERROR(VLOOKUP(L883,'Reference Data'!$A$5:$F$40,5,FALSE),0)</x:f>
        <x:v>54</x:v>
      </x:c>
      <x:c r="Q883" s="92" t="n">
        <x:f>IFERROR(VLOOKUP(L883,'Reference Data'!$A$5:$F$40,6,FALSE),0)</x:f>
        <x:v>25</x:v>
      </x:c>
      <x:c r="R883" s="84" t="n">
        <x:f>'Raw Sales'!J883</x:f>
        <x:v>1</x:v>
      </x:c>
      <x:c r="S883" s="87" t="n">
        <x:f>'Raw Sales'!K883</x:f>
        <x:v>0.15</x:v>
      </x:c>
      <x:c r="T883" s="93" t="n">
        <x:f>P883*R883</x:f>
        <x:v>54</x:v>
      </x:c>
      <x:c r="U883" s="93" t="n">
        <x:f>T883*S883</x:f>
        <x:v>8.1</x:v>
      </x:c>
      <x:c r="V883" s="93" t="str">
        <x:f>PROPER(TRIM('Raw Sales'!L883))</x:f>
        <x:v>Completed</x:v>
      </x:c>
      <x:c r="W883" s="93" t="n">
        <x:f>IF(V883="Returned",0,T883-U883)</x:f>
        <x:v>45.9</x:v>
      </x:c>
      <x:c r="X883" s="93" t="n">
        <x:f>IF(V883="Returned",Q883*R883*10%,Q883*R883)</x:f>
        <x:v>25</x:v>
      </x:c>
      <x:c r="Y883" s="93" t="n">
        <x:f>W883-X883</x:f>
        <x:v>20.9</x:v>
      </x:c>
      <x:c r="Z883" s="94" t="n">
        <x:f>IFERROR(Y883/W883,0)</x:f>
        <x:v>0.4553376906318083</x:v>
      </x:c>
      <x:c r="AA883" s="84" t="str">
        <x:f>PROPER(TRIM('Raw Sales'!M883))</x:f>
        <x:v>Debit Card</x:v>
      </x:c>
      <x:c r="AB883" s="84" t="str">
        <x:f>PROPER(TRIM('Raw Sales'!N883))</x:f>
        <x:v>Zoe Turner</x:v>
      </x:c>
      <x:c r="AC883" s="85" t="n">
        <x:f>'Raw Sales'!O883</x:f>
        <x:v>45606</x:v>
      </x:c>
      <x:c r="AD883" s="84" t="n">
        <x:f>AC883-B883</x:f>
        <x:v>6</x:v>
      </x:c>
      <x:c r="AE883" s="84" t="str">
        <x:f>IF(COUNTIF($A$5:A883,A883)&gt;1,"Duplicate","Keep")</x:f>
        <x:v>Keep</x:v>
      </x:c>
      <x:c r="AF883" s="84" t="str">
        <x:f>IF(OR(R883&lt;=0,AC883&lt;B883,H883="Unknown",M883="Unknown Product"),"Review","Valid")</x:f>
        <x:v>Valid</x:v>
      </x:c>
      <x:c r="AG883" s="84" t="n">
        <x:f>IF(AND(AE883="Keep",AF883="Valid"),1,0)</x:f>
        <x:v>1</x:v>
      </x:c>
      <x:c r="AH883" s="84" t="n">
        <x:f>IF(AND(AG883=1,OR('Dashboard'!$B$4="All",I883='Dashboard'!$B$4),OR('Dashboard'!$E$4="All",N883='Dashboard'!$E$4),OR('Dashboard'!$H$4="All",K883='Dashboard'!$H$4),OR('Dashboard'!$K$4="All",C883='Dashboard'!$K$4)),1,0)</x:f>
        <x:v>1</x:v>
      </x:c>
      <x:c r="AI883" s="84" t="n">
        <x:f>IF(AND(AG883=1,OR('Dashboard'!$B$4="All",I883='Dashboard'!$B$4),OR('Dashboard'!$E$4="All",N883='Dashboard'!$E$4),OR('Dashboard'!$H$4="All",K883='Dashboard'!$H$4)),1,0)</x:f>
        <x:v>1</x:v>
      </x:c>
    </x:row>
    <x:row r="884">
      <x:c r="A884" s="84" t="str">
        <x:f>'Raw Sales'!A884</x:f>
        <x:v>ORD-2024-02301</x:v>
      </x:c>
      <x:c r="B884" s="85" t="n">
        <x:f>'Raw Sales'!B884</x:f>
        <x:v>45600</x:v>
      </x:c>
      <x:c r="C884" s="84" t="n">
        <x:f>YEAR(B884)</x:f>
        <x:v>2024</x:v>
      </x:c>
      <x:c r="D884" s="91" t="n">
        <x:f>DATE(YEAR(B884),MONTH(B884),1)</x:f>
        <x:v>45597</x:v>
      </x:c>
      <x:c r="E884" s="84" t="str">
        <x:f>TEXT(B884,"mmm")</x:f>
        <x:v>Nov</x:v>
      </x:c>
      <x:c r="F884" s="84" t="str">
        <x:f>'Raw Sales'!C884</x:f>
        <x:v>CUST-0278</x:v>
      </x:c>
      <x:c r="G884" s="84" t="str">
        <x:f>PROPER(TRIM('Raw Sales'!D884))</x:f>
        <x:v>Sara Ortiz</x:v>
      </x:c>
      <x:c r="H884" s="84" t="str">
        <x:f>IF(TRIM('Raw Sales'!E884)="","Unknown",PROPER(TRIM('Raw Sales'!E884)))</x:f>
        <x:v>Corporate</x:v>
      </x:c>
      <x:c r="I884" s="84" t="str">
        <x:f>PROPER(TRIM('Raw Sales'!F884))</x:f>
        <x:v>Southeast</x:v>
      </x:c>
      <x:c r="J884" s="84" t="str">
        <x:f>PROPER(TRIM('Raw Sales'!G884))</x:f>
        <x:v>Charlotte</x:v>
      </x:c>
      <x:c r="K884" s="84" t="str">
        <x:f>PROPER(TRIM('Raw Sales'!H884))</x:f>
        <x:v>Marketplace</x:v>
      </x:c>
      <x:c r="L884" s="84" t="str">
        <x:f>'Raw Sales'!I884</x:f>
        <x:v>ELEC-001</x:v>
      </x:c>
      <x:c r="M884" s="84" t="str">
        <x:f>IFERROR(VLOOKUP(L884,'Reference Data'!$A$5:$F$40,2,FALSE),"Unknown Product")</x:f>
        <x:v>Wireless Earbuds</x:v>
      </x:c>
      <x:c r="N884" s="84" t="str">
        <x:f>IFERROR(VLOOKUP(L884,'Reference Data'!$A$5:$F$40,3,FALSE),"Unknown")</x:f>
        <x:v>Electronics</x:v>
      </x:c>
      <x:c r="O884" s="84" t="str">
        <x:f>IFERROR(VLOOKUP(L884,'Reference Data'!$A$5:$F$40,4,FALSE),"Unknown")</x:f>
        <x:v>Audio</x:v>
      </x:c>
      <x:c r="P884" s="92" t="n">
        <x:f>IFERROR(VLOOKUP(L884,'Reference Data'!$A$5:$F$40,5,FALSE),0)</x:f>
        <x:v>69</x:v>
      </x:c>
      <x:c r="Q884" s="92" t="n">
        <x:f>IFERROR(VLOOKUP(L884,'Reference Data'!$A$5:$F$40,6,FALSE),0)</x:f>
        <x:v>36</x:v>
      </x:c>
      <x:c r="R884" s="84" t="n">
        <x:f>'Raw Sales'!J884</x:f>
        <x:v>2</x:v>
      </x:c>
      <x:c r="S884" s="87" t="n">
        <x:f>'Raw Sales'!K884</x:f>
        <x:v>0</x:v>
      </x:c>
      <x:c r="T884" s="93" t="n">
        <x:f>P884*R884</x:f>
        <x:v>138</x:v>
      </x:c>
      <x:c r="U884" s="93" t="n">
        <x:f>T884*S884</x:f>
        <x:v>0</x:v>
      </x:c>
      <x:c r="V884" s="93" t="str">
        <x:f>PROPER(TRIM('Raw Sales'!L884))</x:f>
        <x:v>Completed</x:v>
      </x:c>
      <x:c r="W884" s="93" t="n">
        <x:f>IF(V884="Returned",0,T884-U884)</x:f>
        <x:v>138</x:v>
      </x:c>
      <x:c r="X884" s="93" t="n">
        <x:f>IF(V884="Returned",Q884*R884*10%,Q884*R884)</x:f>
        <x:v>72</x:v>
      </x:c>
      <x:c r="Y884" s="93" t="n">
        <x:f>W884-X884</x:f>
        <x:v>66</x:v>
      </x:c>
      <x:c r="Z884" s="94" t="n">
        <x:f>IFERROR(Y884/W884,0)</x:f>
        <x:v>0.4782608695652174</x:v>
      </x:c>
      <x:c r="AA884" s="84" t="str">
        <x:f>PROPER(TRIM('Raw Sales'!M884))</x:f>
        <x:v>Paypal</x:v>
      </x:c>
      <x:c r="AB884" s="84" t="str">
        <x:f>PROPER(TRIM('Raw Sales'!N884))</x:f>
        <x:v>Liam Parker</x:v>
      </x:c>
      <x:c r="AC884" s="85" t="n">
        <x:f>'Raw Sales'!O884</x:f>
        <x:v>45606</x:v>
      </x:c>
      <x:c r="AD884" s="84" t="n">
        <x:f>AC884-B884</x:f>
        <x:v>6</x:v>
      </x:c>
      <x:c r="AE884" s="84" t="str">
        <x:f>IF(COUNTIF($A$5:A884,A884)&gt;1,"Duplicate","Keep")</x:f>
        <x:v>Keep</x:v>
      </x:c>
      <x:c r="AF884" s="84" t="str">
        <x:f>IF(OR(R884&lt;=0,AC884&lt;B884,H884="Unknown",M884="Unknown Product"),"Review","Valid")</x:f>
        <x:v>Valid</x:v>
      </x:c>
      <x:c r="AG884" s="84" t="n">
        <x:f>IF(AND(AE884="Keep",AF884="Valid"),1,0)</x:f>
        <x:v>1</x:v>
      </x:c>
      <x:c r="AH884" s="84" t="n">
        <x:f>IF(AND(AG884=1,OR('Dashboard'!$B$4="All",I884='Dashboard'!$B$4),OR('Dashboard'!$E$4="All",N884='Dashboard'!$E$4),OR('Dashboard'!$H$4="All",K884='Dashboard'!$H$4),OR('Dashboard'!$K$4="All",C884='Dashboard'!$K$4)),1,0)</x:f>
        <x:v>1</x:v>
      </x:c>
      <x:c r="AI884" s="84" t="n">
        <x:f>IF(AND(AG884=1,OR('Dashboard'!$B$4="All",I884='Dashboard'!$B$4),OR('Dashboard'!$E$4="All",N884='Dashboard'!$E$4),OR('Dashboard'!$H$4="All",K884='Dashboard'!$H$4)),1,0)</x:f>
        <x:v>1</x:v>
      </x:c>
    </x:row>
    <x:row r="885">
      <x:c r="A885" s="84" t="str">
        <x:f>'Raw Sales'!A885</x:f>
        <x:v>ORD-2024-00256</x:v>
      </x:c>
      <x:c r="B885" s="85" t="n">
        <x:f>'Raw Sales'!B885</x:f>
        <x:v>45601</x:v>
      </x:c>
      <x:c r="C885" s="84" t="n">
        <x:f>YEAR(B885)</x:f>
        <x:v>2024</x:v>
      </x:c>
      <x:c r="D885" s="91" t="n">
        <x:f>DATE(YEAR(B885),MONTH(B885),1)</x:f>
        <x:v>45597</x:v>
      </x:c>
      <x:c r="E885" s="84" t="str">
        <x:f>TEXT(B885,"mmm")</x:f>
        <x:v>Nov</x:v>
      </x:c>
      <x:c r="F885" s="84" t="str">
        <x:f>'Raw Sales'!C885</x:f>
        <x:v>CUST-0596</x:v>
      </x:c>
      <x:c r="G885" s="84" t="str">
        <x:f>PROPER(TRIM('Raw Sales'!D885))</x:f>
        <x:v>Grace Khan</x:v>
      </x:c>
      <x:c r="H885" s="84" t="str">
        <x:f>IF(TRIM('Raw Sales'!E885)="","Unknown",PROPER(TRIM('Raw Sales'!E885)))</x:f>
        <x:v>Consumer</x:v>
      </x:c>
      <x:c r="I885" s="84" t="str">
        <x:f>PROPER(TRIM('Raw Sales'!F885))</x:f>
        <x:v>West</x:v>
      </x:c>
      <x:c r="J885" s="84" t="str">
        <x:f>PROPER(TRIM('Raw Sales'!G885))</x:f>
        <x:v>Denver</x:v>
      </x:c>
      <x:c r="K885" s="84" t="str">
        <x:f>PROPER(TRIM('Raw Sales'!H885))</x:f>
        <x:v>Marketplace</x:v>
      </x:c>
      <x:c r="L885" s="84" t="str">
        <x:f>'Raw Sales'!I885</x:f>
        <x:v>ELEC-001</x:v>
      </x:c>
      <x:c r="M885" s="84" t="str">
        <x:f>IFERROR(VLOOKUP(L885,'Reference Data'!$A$5:$F$40,2,FALSE),"Unknown Product")</x:f>
        <x:v>Wireless Earbuds</x:v>
      </x:c>
      <x:c r="N885" s="84" t="str">
        <x:f>IFERROR(VLOOKUP(L885,'Reference Data'!$A$5:$F$40,3,FALSE),"Unknown")</x:f>
        <x:v>Electronics</x:v>
      </x:c>
      <x:c r="O885" s="84" t="str">
        <x:f>IFERROR(VLOOKUP(L885,'Reference Data'!$A$5:$F$40,4,FALSE),"Unknown")</x:f>
        <x:v>Audio</x:v>
      </x:c>
      <x:c r="P885" s="92" t="n">
        <x:f>IFERROR(VLOOKUP(L885,'Reference Data'!$A$5:$F$40,5,FALSE),0)</x:f>
        <x:v>69</x:v>
      </x:c>
      <x:c r="Q885" s="92" t="n">
        <x:f>IFERROR(VLOOKUP(L885,'Reference Data'!$A$5:$F$40,6,FALSE),0)</x:f>
        <x:v>36</x:v>
      </x:c>
      <x:c r="R885" s="84" t="n">
        <x:f>'Raw Sales'!J885</x:f>
        <x:v>1</x:v>
      </x:c>
      <x:c r="S885" s="87" t="n">
        <x:f>'Raw Sales'!K885</x:f>
        <x:v>0.2</x:v>
      </x:c>
      <x:c r="T885" s="93" t="n">
        <x:f>P885*R885</x:f>
        <x:v>69</x:v>
      </x:c>
      <x:c r="U885" s="93" t="n">
        <x:f>T885*S885</x:f>
        <x:v>13.8</x:v>
      </x:c>
      <x:c r="V885" s="93" t="str">
        <x:f>PROPER(TRIM('Raw Sales'!L885))</x:f>
        <x:v>Completed</x:v>
      </x:c>
      <x:c r="W885" s="93" t="n">
        <x:f>IF(V885="Returned",0,T885-U885)</x:f>
        <x:v>55.2</x:v>
      </x:c>
      <x:c r="X885" s="93" t="n">
        <x:f>IF(V885="Returned",Q885*R885*10%,Q885*R885)</x:f>
        <x:v>36</x:v>
      </x:c>
      <x:c r="Y885" s="93" t="n">
        <x:f>W885-X885</x:f>
        <x:v>19.200000000000003</x:v>
      </x:c>
      <x:c r="Z885" s="94" t="n">
        <x:f>IFERROR(Y885/W885,0)</x:f>
        <x:v>0.3478260869565218</x:v>
      </x:c>
      <x:c r="AA885" s="84" t="str">
        <x:f>PROPER(TRIM('Raw Sales'!M885))</x:f>
        <x:v>Debit Card</x:v>
      </x:c>
      <x:c r="AB885" s="84" t="str">
        <x:f>PROPER(TRIM('Raw Sales'!N885))</x:f>
        <x:v>Leo Martinez</x:v>
      </x:c>
      <x:c r="AC885" s="85" t="n">
        <x:f>'Raw Sales'!O885</x:f>
        <x:v>45605</x:v>
      </x:c>
      <x:c r="AD885" s="84" t="n">
        <x:f>AC885-B885</x:f>
        <x:v>4</x:v>
      </x:c>
      <x:c r="AE885" s="84" t="str">
        <x:f>IF(COUNTIF($A$5:A885,A885)&gt;1,"Duplicate","Keep")</x:f>
        <x:v>Keep</x:v>
      </x:c>
      <x:c r="AF885" s="84" t="str">
        <x:f>IF(OR(R885&lt;=0,AC885&lt;B885,H885="Unknown",M885="Unknown Product"),"Review","Valid")</x:f>
        <x:v>Valid</x:v>
      </x:c>
      <x:c r="AG885" s="84" t="n">
        <x:f>IF(AND(AE885="Keep",AF885="Valid"),1,0)</x:f>
        <x:v>1</x:v>
      </x:c>
      <x:c r="AH885" s="84" t="n">
        <x:f>IF(AND(AG885=1,OR('Dashboard'!$B$4="All",I885='Dashboard'!$B$4),OR('Dashboard'!$E$4="All",N885='Dashboard'!$E$4),OR('Dashboard'!$H$4="All",K885='Dashboard'!$H$4),OR('Dashboard'!$K$4="All",C885='Dashboard'!$K$4)),1,0)</x:f>
        <x:v>1</x:v>
      </x:c>
      <x:c r="AI885" s="84" t="n">
        <x:f>IF(AND(AG885=1,OR('Dashboard'!$B$4="All",I885='Dashboard'!$B$4),OR('Dashboard'!$E$4="All",N885='Dashboard'!$E$4),OR('Dashboard'!$H$4="All",K885='Dashboard'!$H$4)),1,0)</x:f>
        <x:v>1</x:v>
      </x:c>
    </x:row>
    <x:row r="886">
      <x:c r="A886" s="84" t="str">
        <x:f>'Raw Sales'!A886</x:f>
        <x:v>ORD-2024-00783</x:v>
      </x:c>
      <x:c r="B886" s="85" t="n">
        <x:f>'Raw Sales'!B886</x:f>
        <x:v>45601</x:v>
      </x:c>
      <x:c r="C886" s="84" t="n">
        <x:f>YEAR(B886)</x:f>
        <x:v>2024</x:v>
      </x:c>
      <x:c r="D886" s="91" t="n">
        <x:f>DATE(YEAR(B886),MONTH(B886),1)</x:f>
        <x:v>45597</x:v>
      </x:c>
      <x:c r="E886" s="84" t="str">
        <x:f>TEXT(B886,"mmm")</x:f>
        <x:v>Nov</x:v>
      </x:c>
      <x:c r="F886" s="84" t="str">
        <x:f>'Raw Sales'!C886</x:f>
        <x:v>CUST-0329</x:v>
      </x:c>
      <x:c r="G886" s="84" t="str">
        <x:f>PROPER(TRIM('Raw Sales'!D886))</x:f>
        <x:v>Theo Nelson</x:v>
      </x:c>
      <x:c r="H886" s="84" t="str">
        <x:f>IF(TRIM('Raw Sales'!E886)="","Unknown",PROPER(TRIM('Raw Sales'!E886)))</x:f>
        <x:v>Consumer</x:v>
      </x:c>
      <x:c r="I886" s="84" t="str">
        <x:f>PROPER(TRIM('Raw Sales'!F886))</x:f>
        <x:v>Southeast</x:v>
      </x:c>
      <x:c r="J886" s="84" t="str">
        <x:f>PROPER(TRIM('Raw Sales'!G886))</x:f>
        <x:v>Atlanta</x:v>
      </x:c>
      <x:c r="K886" s="84" t="str">
        <x:f>PROPER(TRIM('Raw Sales'!H886))</x:f>
        <x:v>Retail Store</x:v>
      </x:c>
      <x:c r="L886" s="84" t="str">
        <x:f>'Raw Sales'!I886</x:f>
        <x:v>HOME-004</x:v>
      </x:c>
      <x:c r="M886" s="84" t="str">
        <x:f>IFERROR(VLOOKUP(L886,'Reference Data'!$A$5:$F$40,2,FALSE),"Unknown Product")</x:f>
        <x:v>Coffee Maker</x:v>
      </x:c>
      <x:c r="N886" s="84" t="str">
        <x:f>IFERROR(VLOOKUP(L886,'Reference Data'!$A$5:$F$40,3,FALSE),"Unknown")</x:f>
        <x:v>Home &amp; Kitchen</x:v>
      </x:c>
      <x:c r="O886" s="84" t="str">
        <x:f>IFERROR(VLOOKUP(L886,'Reference Data'!$A$5:$F$40,4,FALSE),"Unknown")</x:f>
        <x:v>Small Appliances</x:v>
      </x:c>
      <x:c r="P886" s="92" t="n">
        <x:f>IFERROR(VLOOKUP(L886,'Reference Data'!$A$5:$F$40,5,FALSE),0)</x:f>
        <x:v>99</x:v>
      </x:c>
      <x:c r="Q886" s="92" t="n">
        <x:f>IFERROR(VLOOKUP(L886,'Reference Data'!$A$5:$F$40,6,FALSE),0)</x:f>
        <x:v>51</x:v>
      </x:c>
      <x:c r="R886" s="84" t="n">
        <x:f>'Raw Sales'!J886</x:f>
        <x:v>1</x:v>
      </x:c>
      <x:c r="S886" s="87" t="n">
        <x:f>'Raw Sales'!K886</x:f>
        <x:v>0.15</x:v>
      </x:c>
      <x:c r="T886" s="93" t="n">
        <x:f>P886*R886</x:f>
        <x:v>99</x:v>
      </x:c>
      <x:c r="U886" s="93" t="n">
        <x:f>T886*S886</x:f>
        <x:v>14.85</x:v>
      </x:c>
      <x:c r="V886" s="93" t="str">
        <x:f>PROPER(TRIM('Raw Sales'!L886))</x:f>
        <x:v>Completed</x:v>
      </x:c>
      <x:c r="W886" s="93" t="n">
        <x:f>IF(V886="Returned",0,T886-U886)</x:f>
        <x:v>84.15</x:v>
      </x:c>
      <x:c r="X886" s="93" t="n">
        <x:f>IF(V886="Returned",Q886*R886*10%,Q886*R886)</x:f>
        <x:v>51</x:v>
      </x:c>
      <x:c r="Y886" s="93" t="n">
        <x:f>W886-X886</x:f>
        <x:v>33.150000000000006</x:v>
      </x:c>
      <x:c r="Z886" s="94" t="n">
        <x:f>IFERROR(Y886/W886,0)</x:f>
        <x:v>0.393939393939394</x:v>
      </x:c>
      <x:c r="AA886" s="84" t="str">
        <x:f>PROPER(TRIM('Raw Sales'!M886))</x:f>
        <x:v>Cash</x:v>
      </x:c>
      <x:c r="AB886" s="84" t="str">
        <x:f>PROPER(TRIM('Raw Sales'!N886))</x:f>
        <x:v>Liam Parker</x:v>
      </x:c>
      <x:c r="AC886" s="85" t="n">
        <x:f>'Raw Sales'!O886</x:f>
        <x:v>45601</x:v>
      </x:c>
      <x:c r="AD886" s="84" t="n">
        <x:f>AC886-B886</x:f>
        <x:v>0</x:v>
      </x:c>
      <x:c r="AE886" s="84" t="str">
        <x:f>IF(COUNTIF($A$5:A886,A886)&gt;1,"Duplicate","Keep")</x:f>
        <x:v>Keep</x:v>
      </x:c>
      <x:c r="AF886" s="84" t="str">
        <x:f>IF(OR(R886&lt;=0,AC886&lt;B886,H886="Unknown",M886="Unknown Product"),"Review","Valid")</x:f>
        <x:v>Valid</x:v>
      </x:c>
      <x:c r="AG886" s="84" t="n">
        <x:f>IF(AND(AE886="Keep",AF886="Valid"),1,0)</x:f>
        <x:v>1</x:v>
      </x:c>
      <x:c r="AH886" s="84" t="n">
        <x:f>IF(AND(AG886=1,OR('Dashboard'!$B$4="All",I886='Dashboard'!$B$4),OR('Dashboard'!$E$4="All",N886='Dashboard'!$E$4),OR('Dashboard'!$H$4="All",K886='Dashboard'!$H$4),OR('Dashboard'!$K$4="All",C886='Dashboard'!$K$4)),1,0)</x:f>
        <x:v>1</x:v>
      </x:c>
      <x:c r="AI886" s="84" t="n">
        <x:f>IF(AND(AG886=1,OR('Dashboard'!$B$4="All",I886='Dashboard'!$B$4),OR('Dashboard'!$E$4="All",N886='Dashboard'!$E$4),OR('Dashboard'!$H$4="All",K886='Dashboard'!$H$4)),1,0)</x:f>
        <x:v>1</x:v>
      </x:c>
    </x:row>
    <x:row r="887">
      <x:c r="A887" s="84" t="str">
        <x:f>'Raw Sales'!A887</x:f>
        <x:v>ORD-2024-00810</x:v>
      </x:c>
      <x:c r="B887" s="85" t="n">
        <x:f>'Raw Sales'!B887</x:f>
        <x:v>45601</x:v>
      </x:c>
      <x:c r="C887" s="84" t="n">
        <x:f>YEAR(B887)</x:f>
        <x:v>2024</x:v>
      </x:c>
      <x:c r="D887" s="91" t="n">
        <x:f>DATE(YEAR(B887),MONTH(B887),1)</x:f>
        <x:v>45597</x:v>
      </x:c>
      <x:c r="E887" s="84" t="str">
        <x:f>TEXT(B887,"mmm")</x:f>
        <x:v>Nov</x:v>
      </x:c>
      <x:c r="F887" s="84" t="str">
        <x:f>'Raw Sales'!C887</x:f>
        <x:v>CUST-0428</x:v>
      </x:c>
      <x:c r="G887" s="84" t="str">
        <x:f>PROPER(TRIM('Raw Sales'!D887))</x:f>
        <x:v>Theo Taylor</x:v>
      </x:c>
      <x:c r="H887" s="84" t="str">
        <x:f>IF(TRIM('Raw Sales'!E887)="","Unknown",PROPER(TRIM('Raw Sales'!E887)))</x:f>
        <x:v>Consumer</x:v>
      </x:c>
      <x:c r="I887" s="84" t="str">
        <x:f>PROPER(TRIM('Raw Sales'!F887))</x:f>
        <x:v>Midwest</x:v>
      </x:c>
      <x:c r="J887" s="84" t="str">
        <x:f>PROPER(TRIM('Raw Sales'!G887))</x:f>
        <x:v>Chicago</x:v>
      </x:c>
      <x:c r="K887" s="84" t="str">
        <x:f>PROPER(TRIM('Raw Sales'!H887))</x:f>
        <x:v>Online</x:v>
      </x:c>
      <x:c r="L887" s="84" t="str">
        <x:f>'Raw Sales'!I887</x:f>
        <x:v>CARE-001</x:v>
      </x:c>
      <x:c r="M887" s="84" t="str">
        <x:f>IFERROR(VLOOKUP(L887,'Reference Data'!$A$5:$F$40,2,FALSE),"Unknown Product")</x:f>
        <x:v>Ionic Hair Dryer</x:v>
      </x:c>
      <x:c r="N887" s="84" t="str">
        <x:f>IFERROR(VLOOKUP(L887,'Reference Data'!$A$5:$F$40,3,FALSE),"Unknown")</x:f>
        <x:v>Personal Care</x:v>
      </x:c>
      <x:c r="O887" s="84" t="str">
        <x:f>IFERROR(VLOOKUP(L887,'Reference Data'!$A$5:$F$40,4,FALSE),"Unknown")</x:f>
        <x:v>Hair Care</x:v>
      </x:c>
      <x:c r="P887" s="92" t="n">
        <x:f>IFERROR(VLOOKUP(L887,'Reference Data'!$A$5:$F$40,5,FALSE),0)</x:f>
        <x:v>54</x:v>
      </x:c>
      <x:c r="Q887" s="92" t="n">
        <x:f>IFERROR(VLOOKUP(L887,'Reference Data'!$A$5:$F$40,6,FALSE),0)</x:f>
        <x:v>25</x:v>
      </x:c>
      <x:c r="R887" s="84" t="n">
        <x:f>'Raw Sales'!J887</x:f>
        <x:v>1</x:v>
      </x:c>
      <x:c r="S887" s="87" t="n">
        <x:f>'Raw Sales'!K887</x:f>
        <x:v>0</x:v>
      </x:c>
      <x:c r="T887" s="93" t="n">
        <x:f>P887*R887</x:f>
        <x:v>54</x:v>
      </x:c>
      <x:c r="U887" s="93" t="n">
        <x:f>T887*S887</x:f>
        <x:v>0</x:v>
      </x:c>
      <x:c r="V887" s="93" t="str">
        <x:f>PROPER(TRIM('Raw Sales'!L887))</x:f>
        <x:v>Completed</x:v>
      </x:c>
      <x:c r="W887" s="93" t="n">
        <x:f>IF(V887="Returned",0,T887-U887)</x:f>
        <x:v>54</x:v>
      </x:c>
      <x:c r="X887" s="93" t="n">
        <x:f>IF(V887="Returned",Q887*R887*10%,Q887*R887)</x:f>
        <x:v>25</x:v>
      </x:c>
      <x:c r="Y887" s="93" t="n">
        <x:f>W887-X887</x:f>
        <x:v>29</x:v>
      </x:c>
      <x:c r="Z887" s="94" t="n">
        <x:f>IFERROR(Y887/W887,0)</x:f>
        <x:v>0.5370370370370371</x:v>
      </x:c>
      <x:c r="AA887" s="84" t="str">
        <x:f>PROPER(TRIM('Raw Sales'!M887))</x:f>
        <x:v>Debit Card</x:v>
      </x:c>
      <x:c r="AB887" s="84" t="str">
        <x:f>PROPER(TRIM('Raw Sales'!N887))</x:f>
        <x:v>Lucas Grant</x:v>
      </x:c>
      <x:c r="AC887" s="85" t="n">
        <x:f>'Raw Sales'!O887</x:f>
        <x:v>45603</x:v>
      </x:c>
      <x:c r="AD887" s="84" t="n">
        <x:f>AC887-B887</x:f>
        <x:v>2</x:v>
      </x:c>
      <x:c r="AE887" s="84" t="str">
        <x:f>IF(COUNTIF($A$5:A887,A887)&gt;1,"Duplicate","Keep")</x:f>
        <x:v>Keep</x:v>
      </x:c>
      <x:c r="AF887" s="84" t="str">
        <x:f>IF(OR(R887&lt;=0,AC887&lt;B887,H887="Unknown",M887="Unknown Product"),"Review","Valid")</x:f>
        <x:v>Valid</x:v>
      </x:c>
      <x:c r="AG887" s="84" t="n">
        <x:f>IF(AND(AE887="Keep",AF887="Valid"),1,0)</x:f>
        <x:v>1</x:v>
      </x:c>
      <x:c r="AH887" s="84" t="n">
        <x:f>IF(AND(AG887=1,OR('Dashboard'!$B$4="All",I887='Dashboard'!$B$4),OR('Dashboard'!$E$4="All",N887='Dashboard'!$E$4),OR('Dashboard'!$H$4="All",K887='Dashboard'!$H$4),OR('Dashboard'!$K$4="All",C887='Dashboard'!$K$4)),1,0)</x:f>
        <x:v>1</x:v>
      </x:c>
      <x:c r="AI887" s="84" t="n">
        <x:f>IF(AND(AG887=1,OR('Dashboard'!$B$4="All",I887='Dashboard'!$B$4),OR('Dashboard'!$E$4="All",N887='Dashboard'!$E$4),OR('Dashboard'!$H$4="All",K887='Dashboard'!$H$4)),1,0)</x:f>
        <x:v>1</x:v>
      </x:c>
    </x:row>
    <x:row r="888">
      <x:c r="A888" s="84" t="str">
        <x:f>'Raw Sales'!A888</x:f>
        <x:v>ORD-2024-01343</x:v>
      </x:c>
      <x:c r="B888" s="85" t="n">
        <x:f>'Raw Sales'!B888</x:f>
        <x:v>45601</x:v>
      </x:c>
      <x:c r="C888" s="84" t="n">
        <x:f>YEAR(B888)</x:f>
        <x:v>2024</x:v>
      </x:c>
      <x:c r="D888" s="91" t="n">
        <x:f>DATE(YEAR(B888),MONTH(B888),1)</x:f>
        <x:v>45597</x:v>
      </x:c>
      <x:c r="E888" s="84" t="str">
        <x:f>TEXT(B888,"mmm")</x:f>
        <x:v>Nov</x:v>
      </x:c>
      <x:c r="F888" s="84" t="str">
        <x:f>'Raw Sales'!C888</x:f>
        <x:v>CUST-0431</x:v>
      </x:c>
      <x:c r="G888" s="84" t="str">
        <x:f>PROPER(TRIM('Raw Sales'!D888))</x:f>
        <x:v>Jonah Garcia</x:v>
      </x:c>
      <x:c r="H888" s="84" t="str">
        <x:f>IF(TRIM('Raw Sales'!E888)="","Unknown",PROPER(TRIM('Raw Sales'!E888)))</x:f>
        <x:v>Corporate</x:v>
      </x:c>
      <x:c r="I888" s="84" t="str">
        <x:f>PROPER(TRIM('Raw Sales'!F888))</x:f>
        <x:v>West</x:v>
      </x:c>
      <x:c r="J888" s="84" t="str">
        <x:f>PROPER(TRIM('Raw Sales'!G888))</x:f>
        <x:v>Denver</x:v>
      </x:c>
      <x:c r="K888" s="84" t="str">
        <x:f>PROPER(TRIM('Raw Sales'!H888))</x:f>
        <x:v>Retail Store</x:v>
      </x:c>
      <x:c r="L888" s="84" t="str">
        <x:f>'Raw Sales'!I888</x:f>
        <x:v>HOME-005</x:v>
      </x:c>
      <x:c r="M888" s="84" t="str">
        <x:f>IFERROR(VLOOKUP(L888,'Reference Data'!$A$5:$F$40,2,FALSE),"Unknown Product")</x:f>
        <x:v>Cordless Vacuum</x:v>
      </x:c>
      <x:c r="N888" s="84" t="str">
        <x:f>IFERROR(VLOOKUP(L888,'Reference Data'!$A$5:$F$40,3,FALSE),"Unknown")</x:f>
        <x:v>Home &amp; Kitchen</x:v>
      </x:c>
      <x:c r="O888" s="84" t="str">
        <x:f>IFERROR(VLOOKUP(L888,'Reference Data'!$A$5:$F$40,4,FALSE),"Unknown")</x:f>
        <x:v>Cleaning</x:v>
      </x:c>
      <x:c r="P888" s="92" t="n">
        <x:f>IFERROR(VLOOKUP(L888,'Reference Data'!$A$5:$F$40,5,FALSE),0)</x:f>
        <x:v>179</x:v>
      </x:c>
      <x:c r="Q888" s="92" t="n">
        <x:f>IFERROR(VLOOKUP(L888,'Reference Data'!$A$5:$F$40,6,FALSE),0)</x:f>
        <x:v>102</x:v>
      </x:c>
      <x:c r="R888" s="84" t="n">
        <x:f>'Raw Sales'!J888</x:f>
        <x:v>4</x:v>
      </x:c>
      <x:c r="S888" s="87" t="n">
        <x:f>'Raw Sales'!K888</x:f>
        <x:v>0</x:v>
      </x:c>
      <x:c r="T888" s="93" t="n">
        <x:f>P888*R888</x:f>
        <x:v>716</x:v>
      </x:c>
      <x:c r="U888" s="93" t="n">
        <x:f>T888*S888</x:f>
        <x:v>0</x:v>
      </x:c>
      <x:c r="V888" s="93" t="str">
        <x:f>PROPER(TRIM('Raw Sales'!L888))</x:f>
        <x:v>Completed</x:v>
      </x:c>
      <x:c r="W888" s="93" t="n">
        <x:f>IF(V888="Returned",0,T888-U888)</x:f>
        <x:v>716</x:v>
      </x:c>
      <x:c r="X888" s="93" t="n">
        <x:f>IF(V888="Returned",Q888*R888*10%,Q888*R888)</x:f>
        <x:v>408</x:v>
      </x:c>
      <x:c r="Y888" s="93" t="n">
        <x:f>W888-X888</x:f>
        <x:v>308</x:v>
      </x:c>
      <x:c r="Z888" s="94" t="n">
        <x:f>IFERROR(Y888/W888,0)</x:f>
        <x:v>0.4301675977653631</x:v>
      </x:c>
      <x:c r="AA888" s="84" t="str">
        <x:f>PROPER(TRIM('Raw Sales'!M888))</x:f>
        <x:v>Credit Card</x:v>
      </x:c>
      <x:c r="AB888" s="84" t="str">
        <x:f>PROPER(TRIM('Raw Sales'!N888))</x:f>
        <x:v>Leo Martinez</x:v>
      </x:c>
      <x:c r="AC888" s="85" t="n">
        <x:f>'Raw Sales'!O888</x:f>
        <x:v>45602</x:v>
      </x:c>
      <x:c r="AD888" s="84" t="n">
        <x:f>AC888-B888</x:f>
        <x:v>1</x:v>
      </x:c>
      <x:c r="AE888" s="84" t="str">
        <x:f>IF(COUNTIF($A$5:A888,A888)&gt;1,"Duplicate","Keep")</x:f>
        <x:v>Keep</x:v>
      </x:c>
      <x:c r="AF888" s="84" t="str">
        <x:f>IF(OR(R888&lt;=0,AC888&lt;B888,H888="Unknown",M888="Unknown Product"),"Review","Valid")</x:f>
        <x:v>Valid</x:v>
      </x:c>
      <x:c r="AG888" s="84" t="n">
        <x:f>IF(AND(AE888="Keep",AF888="Valid"),1,0)</x:f>
        <x:v>1</x:v>
      </x:c>
      <x:c r="AH888" s="84" t="n">
        <x:f>IF(AND(AG888=1,OR('Dashboard'!$B$4="All",I888='Dashboard'!$B$4),OR('Dashboard'!$E$4="All",N888='Dashboard'!$E$4),OR('Dashboard'!$H$4="All",K888='Dashboard'!$H$4),OR('Dashboard'!$K$4="All",C888='Dashboard'!$K$4)),1,0)</x:f>
        <x:v>1</x:v>
      </x:c>
      <x:c r="AI888" s="84" t="n">
        <x:f>IF(AND(AG888=1,OR('Dashboard'!$B$4="All",I888='Dashboard'!$B$4),OR('Dashboard'!$E$4="All",N888='Dashboard'!$E$4),OR('Dashboard'!$H$4="All",K888='Dashboard'!$H$4)),1,0)</x:f>
        <x:v>1</x:v>
      </x:c>
    </x:row>
    <x:row r="889">
      <x:c r="A889" s="84" t="str">
        <x:f>'Raw Sales'!A889</x:f>
        <x:v>ORD-2024-01524</x:v>
      </x:c>
      <x:c r="B889" s="85" t="n">
        <x:f>'Raw Sales'!B889</x:f>
        <x:v>45601</x:v>
      </x:c>
      <x:c r="C889" s="84" t="n">
        <x:f>YEAR(B889)</x:f>
        <x:v>2024</x:v>
      </x:c>
      <x:c r="D889" s="91" t="n">
        <x:f>DATE(YEAR(B889),MONTH(B889),1)</x:f>
        <x:v>45597</x:v>
      </x:c>
      <x:c r="E889" s="84" t="str">
        <x:f>TEXT(B889,"mmm")</x:f>
        <x:v>Nov</x:v>
      </x:c>
      <x:c r="F889" s="84" t="str">
        <x:f>'Raw Sales'!C889</x:f>
        <x:v>CUST-0042</x:v>
      </x:c>
      <x:c r="G889" s="84" t="str">
        <x:f>PROPER(TRIM('Raw Sales'!D889))</x:f>
        <x:v>Daniel Johnson</x:v>
      </x:c>
      <x:c r="H889" s="84" t="str">
        <x:f>IF(TRIM('Raw Sales'!E889)="","Unknown",PROPER(TRIM('Raw Sales'!E889)))</x:f>
        <x:v>Consumer</x:v>
      </x:c>
      <x:c r="I889" s="84" t="str">
        <x:f>PROPER(TRIM('Raw Sales'!F889))</x:f>
        <x:v>Northeast</x:v>
      </x:c>
      <x:c r="J889" s="84" t="str">
        <x:f>PROPER(TRIM('Raw Sales'!G889))</x:f>
        <x:v>Newark</x:v>
      </x:c>
      <x:c r="K889" s="84" t="str">
        <x:f>PROPER(TRIM('Raw Sales'!H889))</x:f>
        <x:v>Marketplace</x:v>
      </x:c>
      <x:c r="L889" s="84" t="str">
        <x:f>'Raw Sales'!I889</x:f>
        <x:v>ACCS-001</x:v>
      </x:c>
      <x:c r="M889" s="84" t="str">
        <x:f>IFERROR(VLOOKUP(L889,'Reference Data'!$A$5:$F$40,2,FALSE),"Unknown Product")</x:f>
        <x:v>Canvas Tote Bag</x:v>
      </x:c>
      <x:c r="N889" s="84" t="str">
        <x:f>IFERROR(VLOOKUP(L889,'Reference Data'!$A$5:$F$40,3,FALSE),"Unknown")</x:f>
        <x:v>Accessories</x:v>
      </x:c>
      <x:c r="O889" s="84" t="str">
        <x:f>IFERROR(VLOOKUP(L889,'Reference Data'!$A$5:$F$40,4,FALSE),"Unknown")</x:f>
        <x:v>Bags</x:v>
      </x:c>
      <x:c r="P889" s="92" t="n">
        <x:f>IFERROR(VLOOKUP(L889,'Reference Data'!$A$5:$F$40,5,FALSE),0)</x:f>
        <x:v>39</x:v>
      </x:c>
      <x:c r="Q889" s="92" t="n">
        <x:f>IFERROR(VLOOKUP(L889,'Reference Data'!$A$5:$F$40,6,FALSE),0)</x:f>
        <x:v>14</x:v>
      </x:c>
      <x:c r="R889" s="84" t="n">
        <x:f>'Raw Sales'!J889</x:f>
        <x:v>1</x:v>
      </x:c>
      <x:c r="S889" s="87" t="n">
        <x:f>'Raw Sales'!K889</x:f>
        <x:v>0.2</x:v>
      </x:c>
      <x:c r="T889" s="93" t="n">
        <x:f>P889*R889</x:f>
        <x:v>39</x:v>
      </x:c>
      <x:c r="U889" s="93" t="n">
        <x:f>T889*S889</x:f>
        <x:v>7.800000000000001</x:v>
      </x:c>
      <x:c r="V889" s="93" t="str">
        <x:f>PROPER(TRIM('Raw Sales'!L889))</x:f>
        <x:v>Completed</x:v>
      </x:c>
      <x:c r="W889" s="93" t="n">
        <x:f>IF(V889="Returned",0,T889-U889)</x:f>
        <x:v>31.2</x:v>
      </x:c>
      <x:c r="X889" s="93" t="n">
        <x:f>IF(V889="Returned",Q889*R889*10%,Q889*R889)</x:f>
        <x:v>14</x:v>
      </x:c>
      <x:c r="Y889" s="93" t="n">
        <x:f>W889-X889</x:f>
        <x:v>17.2</x:v>
      </x:c>
      <x:c r="Z889" s="94" t="n">
        <x:f>IFERROR(Y889/W889,0)</x:f>
        <x:v>0.5512820512820513</x:v>
      </x:c>
      <x:c r="AA889" s="84" t="str">
        <x:f>PROPER(TRIM('Raw Sales'!M889))</x:f>
        <x:v>Credit Card</x:v>
      </x:c>
      <x:c r="AB889" s="84" t="str">
        <x:f>PROPER(TRIM('Raw Sales'!N889))</x:f>
        <x:v>Sofia Bennett</x:v>
      </x:c>
      <x:c r="AC889" s="85" t="n">
        <x:f>'Raw Sales'!O889</x:f>
        <x:v>45605</x:v>
      </x:c>
      <x:c r="AD889" s="84" t="n">
        <x:f>AC889-B889</x:f>
        <x:v>4</x:v>
      </x:c>
      <x:c r="AE889" s="84" t="str">
        <x:f>IF(COUNTIF($A$5:A889,A889)&gt;1,"Duplicate","Keep")</x:f>
        <x:v>Keep</x:v>
      </x:c>
      <x:c r="AF889" s="84" t="str">
        <x:f>IF(OR(R889&lt;=0,AC889&lt;B889,H889="Unknown",M889="Unknown Product"),"Review","Valid")</x:f>
        <x:v>Valid</x:v>
      </x:c>
      <x:c r="AG889" s="84" t="n">
        <x:f>IF(AND(AE889="Keep",AF889="Valid"),1,0)</x:f>
        <x:v>1</x:v>
      </x:c>
      <x:c r="AH889" s="84" t="n">
        <x:f>IF(AND(AG889=1,OR('Dashboard'!$B$4="All",I889='Dashboard'!$B$4),OR('Dashboard'!$E$4="All",N889='Dashboard'!$E$4),OR('Dashboard'!$H$4="All",K889='Dashboard'!$H$4),OR('Dashboard'!$K$4="All",C889='Dashboard'!$K$4)),1,0)</x:f>
        <x:v>1</x:v>
      </x:c>
      <x:c r="AI889" s="84" t="n">
        <x:f>IF(AND(AG889=1,OR('Dashboard'!$B$4="All",I889='Dashboard'!$B$4),OR('Dashboard'!$E$4="All",N889='Dashboard'!$E$4),OR('Dashboard'!$H$4="All",K889='Dashboard'!$H$4)),1,0)</x:f>
        <x:v>1</x:v>
      </x:c>
    </x:row>
    <x:row r="890">
      <x:c r="A890" s="84" t="str">
        <x:f>'Raw Sales'!A890</x:f>
        <x:v>ORD-2024-00297</x:v>
      </x:c>
      <x:c r="B890" s="85" t="n">
        <x:f>'Raw Sales'!B890</x:f>
        <x:v>45602</x:v>
      </x:c>
      <x:c r="C890" s="84" t="n">
        <x:f>YEAR(B890)</x:f>
        <x:v>2024</x:v>
      </x:c>
      <x:c r="D890" s="91" t="n">
        <x:f>DATE(YEAR(B890),MONTH(B890),1)</x:f>
        <x:v>45597</x:v>
      </x:c>
      <x:c r="E890" s="84" t="str">
        <x:f>TEXT(B890,"mmm")</x:f>
        <x:v>Nov</x:v>
      </x:c>
      <x:c r="F890" s="84" t="str">
        <x:f>'Raw Sales'!C890</x:f>
        <x:v>CUST-0508</x:v>
      </x:c>
      <x:c r="G890" s="84" t="str">
        <x:f>PROPER(TRIM('Raw Sales'!D890))</x:f>
        <x:v>Nina Smith</x:v>
      </x:c>
      <x:c r="H890" s="84" t="str">
        <x:f>IF(TRIM('Raw Sales'!E890)="","Unknown",PROPER(TRIM('Raw Sales'!E890)))</x:f>
        <x:v>Consumer</x:v>
      </x:c>
      <x:c r="I890" s="84" t="str">
        <x:f>PROPER(TRIM('Raw Sales'!F890))</x:f>
        <x:v>West</x:v>
      </x:c>
      <x:c r="J890" s="84" t="str">
        <x:f>PROPER(TRIM('Raw Sales'!G890))</x:f>
        <x:v>Denver</x:v>
      </x:c>
      <x:c r="K890" s="84" t="str">
        <x:f>PROPER(TRIM('Raw Sales'!H890))</x:f>
        <x:v>Retail Store</x:v>
      </x:c>
      <x:c r="L890" s="84" t="str">
        <x:f>'Raw Sales'!I890</x:f>
        <x:v>OFFC-001</x:v>
      </x:c>
      <x:c r="M890" s="84" t="str">
        <x:f>IFERROR(VLOOKUP(L890,'Reference Data'!$A$5:$F$40,2,FALSE),"Unknown Product")</x:f>
        <x:v>Ergonomic Chair</x:v>
      </x:c>
      <x:c r="N890" s="84" t="str">
        <x:f>IFERROR(VLOOKUP(L890,'Reference Data'!$A$5:$F$40,3,FALSE),"Unknown")</x:f>
        <x:v>Office</x:v>
      </x:c>
      <x:c r="O890" s="84" t="str">
        <x:f>IFERROR(VLOOKUP(L890,'Reference Data'!$A$5:$F$40,4,FALSE),"Unknown")</x:f>
        <x:v>Furniture</x:v>
      </x:c>
      <x:c r="P890" s="92" t="n">
        <x:f>IFERROR(VLOOKUP(L890,'Reference Data'!$A$5:$F$40,5,FALSE),0)</x:f>
        <x:v>249</x:v>
      </x:c>
      <x:c r="Q890" s="92" t="n">
        <x:f>IFERROR(VLOOKUP(L890,'Reference Data'!$A$5:$F$40,6,FALSE),0)</x:f>
        <x:v>145</x:v>
      </x:c>
      <x:c r="R890" s="84" t="n">
        <x:f>'Raw Sales'!J890</x:f>
        <x:v>1</x:v>
      </x:c>
      <x:c r="S890" s="87" t="n">
        <x:f>'Raw Sales'!K890</x:f>
        <x:v>0.1</x:v>
      </x:c>
      <x:c r="T890" s="93" t="n">
        <x:f>P890*R890</x:f>
        <x:v>249</x:v>
      </x:c>
      <x:c r="U890" s="93" t="n">
        <x:f>T890*S890</x:f>
        <x:v>24.900000000000002</x:v>
      </x:c>
      <x:c r="V890" s="93" t="str">
        <x:f>PROPER(TRIM('Raw Sales'!L890))</x:f>
        <x:v>Completed</x:v>
      </x:c>
      <x:c r="W890" s="93" t="n">
        <x:f>IF(V890="Returned",0,T890-U890)</x:f>
        <x:v>224.1</x:v>
      </x:c>
      <x:c r="X890" s="93" t="n">
        <x:f>IF(V890="Returned",Q890*R890*10%,Q890*R890)</x:f>
        <x:v>145</x:v>
      </x:c>
      <x:c r="Y890" s="93" t="n">
        <x:f>W890-X890</x:f>
        <x:v>79.1</x:v>
      </x:c>
      <x:c r="Z890" s="94" t="n">
        <x:f>IFERROR(Y890/W890,0)</x:f>
        <x:v>0.35296742525658187</x:v>
      </x:c>
      <x:c r="AA890" s="84" t="str">
        <x:f>PROPER(TRIM('Raw Sales'!M890))</x:f>
        <x:v>Credit Card</x:v>
      </x:c>
      <x:c r="AB890" s="84" t="str">
        <x:f>PROPER(TRIM('Raw Sales'!N890))</x:f>
        <x:v>Nora Kim</x:v>
      </x:c>
      <x:c r="AC890" s="85" t="n">
        <x:f>'Raw Sales'!O890</x:f>
        <x:v>45603</x:v>
      </x:c>
      <x:c r="AD890" s="84" t="n">
        <x:f>AC890-B890</x:f>
        <x:v>1</x:v>
      </x:c>
      <x:c r="AE890" s="84" t="str">
        <x:f>IF(COUNTIF($A$5:A890,A890)&gt;1,"Duplicate","Keep")</x:f>
        <x:v>Keep</x:v>
      </x:c>
      <x:c r="AF890" s="84" t="str">
        <x:f>IF(OR(R890&lt;=0,AC890&lt;B890,H890="Unknown",M890="Unknown Product"),"Review","Valid")</x:f>
        <x:v>Valid</x:v>
      </x:c>
      <x:c r="AG890" s="84" t="n">
        <x:f>IF(AND(AE890="Keep",AF890="Valid"),1,0)</x:f>
        <x:v>1</x:v>
      </x:c>
      <x:c r="AH890" s="84" t="n">
        <x:f>IF(AND(AG890=1,OR('Dashboard'!$B$4="All",I890='Dashboard'!$B$4),OR('Dashboard'!$E$4="All",N890='Dashboard'!$E$4),OR('Dashboard'!$H$4="All",K890='Dashboard'!$H$4),OR('Dashboard'!$K$4="All",C890='Dashboard'!$K$4)),1,0)</x:f>
        <x:v>1</x:v>
      </x:c>
      <x:c r="AI890" s="84" t="n">
        <x:f>IF(AND(AG890=1,OR('Dashboard'!$B$4="All",I890='Dashboard'!$B$4),OR('Dashboard'!$E$4="All",N890='Dashboard'!$E$4),OR('Dashboard'!$H$4="All",K890='Dashboard'!$H$4)),1,0)</x:f>
        <x:v>1</x:v>
      </x:c>
    </x:row>
    <x:row r="891">
      <x:c r="A891" s="84" t="str">
        <x:f>'Raw Sales'!A891</x:f>
        <x:v>ORD-2024-01385</x:v>
      </x:c>
      <x:c r="B891" s="85" t="n">
        <x:f>'Raw Sales'!B891</x:f>
        <x:v>45602</x:v>
      </x:c>
      <x:c r="C891" s="84" t="n">
        <x:f>YEAR(B891)</x:f>
        <x:v>2024</x:v>
      </x:c>
      <x:c r="D891" s="91" t="n">
        <x:f>DATE(YEAR(B891),MONTH(B891),1)</x:f>
        <x:v>45597</x:v>
      </x:c>
      <x:c r="E891" s="84" t="str">
        <x:f>TEXT(B891,"mmm")</x:f>
        <x:v>Nov</x:v>
      </x:c>
      <x:c r="F891" s="84" t="str">
        <x:f>'Raw Sales'!C891</x:f>
        <x:v>CUST-0084</x:v>
      </x:c>
      <x:c r="G891" s="84" t="str">
        <x:f>PROPER(TRIM('Raw Sales'!D891))</x:f>
        <x:v>Marcus Davis</x:v>
      </x:c>
      <x:c r="H891" s="84" t="str">
        <x:f>IF(TRIM('Raw Sales'!E891)="","Unknown",PROPER(TRIM('Raw Sales'!E891)))</x:f>
        <x:v>Corporate</x:v>
      </x:c>
      <x:c r="I891" s="84" t="str">
        <x:f>PROPER(TRIM('Raw Sales'!F891))</x:f>
        <x:v>Southeast</x:v>
      </x:c>
      <x:c r="J891" s="84" t="str">
        <x:f>PROPER(TRIM('Raw Sales'!G891))</x:f>
        <x:v>Miami</x:v>
      </x:c>
      <x:c r="K891" s="84" t="str">
        <x:f>PROPER(TRIM('Raw Sales'!H891))</x:f>
        <x:v>Marketplace</x:v>
      </x:c>
      <x:c r="L891" s="84" t="str">
        <x:f>'Raw Sales'!I891</x:f>
        <x:v>ACCS-004</x:v>
      </x:c>
      <x:c r="M891" s="84" t="str">
        <x:f>IFERROR(VLOOKUP(L891,'Reference Data'!$A$5:$F$40,2,FALSE),"Unknown Product")</x:f>
        <x:v>Leather Wallet</x:v>
      </x:c>
      <x:c r="N891" s="84" t="str">
        <x:f>IFERROR(VLOOKUP(L891,'Reference Data'!$A$5:$F$40,3,FALSE),"Unknown")</x:f>
        <x:v>Accessories</x:v>
      </x:c>
      <x:c r="O891" s="84" t="str">
        <x:f>IFERROR(VLOOKUP(L891,'Reference Data'!$A$5:$F$40,4,FALSE),"Unknown")</x:f>
        <x:v>Wallets</x:v>
      </x:c>
      <x:c r="P891" s="92" t="n">
        <x:f>IFERROR(VLOOKUP(L891,'Reference Data'!$A$5:$F$40,5,FALSE),0)</x:f>
        <x:v>49</x:v>
      </x:c>
      <x:c r="Q891" s="92" t="n">
        <x:f>IFERROR(VLOOKUP(L891,'Reference Data'!$A$5:$F$40,6,FALSE),0)</x:f>
        <x:v>18</x:v>
      </x:c>
      <x:c r="R891" s="84" t="n">
        <x:f>'Raw Sales'!J891</x:f>
        <x:v>2</x:v>
      </x:c>
      <x:c r="S891" s="87" t="n">
        <x:f>'Raw Sales'!K891</x:f>
        <x:v>0.15</x:v>
      </x:c>
      <x:c r="T891" s="93" t="n">
        <x:f>P891*R891</x:f>
        <x:v>98</x:v>
      </x:c>
      <x:c r="U891" s="93" t="n">
        <x:f>T891*S891</x:f>
        <x:v>14.7</x:v>
      </x:c>
      <x:c r="V891" s="93" t="str">
        <x:f>PROPER(TRIM('Raw Sales'!L891))</x:f>
        <x:v>Completed</x:v>
      </x:c>
      <x:c r="W891" s="93" t="n">
        <x:f>IF(V891="Returned",0,T891-U891)</x:f>
        <x:v>83.3</x:v>
      </x:c>
      <x:c r="X891" s="93" t="n">
        <x:f>IF(V891="Returned",Q891*R891*10%,Q891*R891)</x:f>
        <x:v>36</x:v>
      </x:c>
      <x:c r="Y891" s="93" t="n">
        <x:f>W891-X891</x:f>
        <x:v>47.3</x:v>
      </x:c>
      <x:c r="Z891" s="94" t="n">
        <x:f>IFERROR(Y891/W891,0)</x:f>
        <x:v>0.5678271308523409</x:v>
      </x:c>
      <x:c r="AA891" s="84" t="str">
        <x:f>PROPER(TRIM('Raw Sales'!M891))</x:f>
        <x:v>Mobile Wallet</x:v>
      </x:c>
      <x:c r="AB891" s="84" t="str">
        <x:f>PROPER(TRIM('Raw Sales'!N891))</x:f>
        <x:v>Ava Mitchell</x:v>
      </x:c>
      <x:c r="AC891" s="85" t="n">
        <x:f>'Raw Sales'!O891</x:f>
        <x:v>45609</x:v>
      </x:c>
      <x:c r="AD891" s="84" t="n">
        <x:f>AC891-B891</x:f>
        <x:v>7</x:v>
      </x:c>
      <x:c r="AE891" s="84" t="str">
        <x:f>IF(COUNTIF($A$5:A891,A891)&gt;1,"Duplicate","Keep")</x:f>
        <x:v>Keep</x:v>
      </x:c>
      <x:c r="AF891" s="84" t="str">
        <x:f>IF(OR(R891&lt;=0,AC891&lt;B891,H891="Unknown",M891="Unknown Product"),"Review","Valid")</x:f>
        <x:v>Valid</x:v>
      </x:c>
      <x:c r="AG891" s="84" t="n">
        <x:f>IF(AND(AE891="Keep",AF891="Valid"),1,0)</x:f>
        <x:v>1</x:v>
      </x:c>
      <x:c r="AH891" s="84" t="n">
        <x:f>IF(AND(AG891=1,OR('Dashboard'!$B$4="All",I891='Dashboard'!$B$4),OR('Dashboard'!$E$4="All",N891='Dashboard'!$E$4),OR('Dashboard'!$H$4="All",K891='Dashboard'!$H$4),OR('Dashboard'!$K$4="All",C891='Dashboard'!$K$4)),1,0)</x:f>
        <x:v>1</x:v>
      </x:c>
      <x:c r="AI891" s="84" t="n">
        <x:f>IF(AND(AG891=1,OR('Dashboard'!$B$4="All",I891='Dashboard'!$B$4),OR('Dashboard'!$E$4="All",N891='Dashboard'!$E$4),OR('Dashboard'!$H$4="All",K891='Dashboard'!$H$4)),1,0)</x:f>
        <x:v>1</x:v>
      </x:c>
    </x:row>
    <x:row r="892">
      <x:c r="A892" s="84" t="str">
        <x:f>'Raw Sales'!A892</x:f>
        <x:v>ORD-2024-01618</x:v>
      </x:c>
      <x:c r="B892" s="85" t="n">
        <x:f>'Raw Sales'!B892</x:f>
        <x:v>45602</x:v>
      </x:c>
      <x:c r="C892" s="84" t="n">
        <x:f>YEAR(B892)</x:f>
        <x:v>2024</x:v>
      </x:c>
      <x:c r="D892" s="91" t="n">
        <x:f>DATE(YEAR(B892),MONTH(B892),1)</x:f>
        <x:v>45597</x:v>
      </x:c>
      <x:c r="E892" s="84" t="str">
        <x:f>TEXT(B892,"mmm")</x:f>
        <x:v>Nov</x:v>
      </x:c>
      <x:c r="F892" s="84" t="str">
        <x:f>'Raw Sales'!C892</x:f>
        <x:v>CUST-0503</x:v>
      </x:c>
      <x:c r="G892" s="84" t="str">
        <x:f>PROPER(TRIM('Raw Sales'!D892))</x:f>
        <x:v>Elena Foster</x:v>
      </x:c>
      <x:c r="H892" s="84" t="str">
        <x:f>IF(TRIM('Raw Sales'!E892)="","Unknown",PROPER(TRIM('Raw Sales'!E892)))</x:f>
        <x:v>Consumer</x:v>
      </x:c>
      <x:c r="I892" s="84" t="str">
        <x:f>PROPER(TRIM('Raw Sales'!F892))</x:f>
        <x:v>Southeast</x:v>
      </x:c>
      <x:c r="J892" s="84" t="str">
        <x:f>PROPER(TRIM('Raw Sales'!G892))</x:f>
        <x:v>Charlotte</x:v>
      </x:c>
      <x:c r="K892" s="84" t="str">
        <x:f>PROPER(TRIM('Raw Sales'!H892))</x:f>
        <x:v>Marketplace</x:v>
      </x:c>
      <x:c r="L892" s="84" t="str">
        <x:f>'Raw Sales'!I892</x:f>
        <x:v>CARE-001</x:v>
      </x:c>
      <x:c r="M892" s="84" t="str">
        <x:f>IFERROR(VLOOKUP(L892,'Reference Data'!$A$5:$F$40,2,FALSE),"Unknown Product")</x:f>
        <x:v>Ionic Hair Dryer</x:v>
      </x:c>
      <x:c r="N892" s="84" t="str">
        <x:f>IFERROR(VLOOKUP(L892,'Reference Data'!$A$5:$F$40,3,FALSE),"Unknown")</x:f>
        <x:v>Personal Care</x:v>
      </x:c>
      <x:c r="O892" s="84" t="str">
        <x:f>IFERROR(VLOOKUP(L892,'Reference Data'!$A$5:$F$40,4,FALSE),"Unknown")</x:f>
        <x:v>Hair Care</x:v>
      </x:c>
      <x:c r="P892" s="92" t="n">
        <x:f>IFERROR(VLOOKUP(L892,'Reference Data'!$A$5:$F$40,5,FALSE),0)</x:f>
        <x:v>54</x:v>
      </x:c>
      <x:c r="Q892" s="92" t="n">
        <x:f>IFERROR(VLOOKUP(L892,'Reference Data'!$A$5:$F$40,6,FALSE),0)</x:f>
        <x:v>25</x:v>
      </x:c>
      <x:c r="R892" s="84" t="n">
        <x:f>'Raw Sales'!J892</x:f>
        <x:v>3</x:v>
      </x:c>
      <x:c r="S892" s="87" t="n">
        <x:f>'Raw Sales'!K892</x:f>
        <x:v>0.2</x:v>
      </x:c>
      <x:c r="T892" s="93" t="n">
        <x:f>P892*R892</x:f>
        <x:v>162</x:v>
      </x:c>
      <x:c r="U892" s="93" t="n">
        <x:f>T892*S892</x:f>
        <x:v>32.4</x:v>
      </x:c>
      <x:c r="V892" s="93" t="str">
        <x:f>PROPER(TRIM('Raw Sales'!L892))</x:f>
        <x:v>Completed</x:v>
      </x:c>
      <x:c r="W892" s="93" t="n">
        <x:f>IF(V892="Returned",0,T892-U892)</x:f>
        <x:v>129.6</x:v>
      </x:c>
      <x:c r="X892" s="93" t="n">
        <x:f>IF(V892="Returned",Q892*R892*10%,Q892*R892)</x:f>
        <x:v>75</x:v>
      </x:c>
      <x:c r="Y892" s="93" t="n">
        <x:f>W892-X892</x:f>
        <x:v>54.599999999999994</x:v>
      </x:c>
      <x:c r="Z892" s="94" t="n">
        <x:f>IFERROR(Y892/W892,0)</x:f>
        <x:v>0.4212962962962963</x:v>
      </x:c>
      <x:c r="AA892" s="84" t="str">
        <x:f>PROPER(TRIM('Raw Sales'!M892))</x:f>
        <x:v>Debit Card</x:v>
      </x:c>
      <x:c r="AB892" s="84" t="str">
        <x:f>PROPER(TRIM('Raw Sales'!N892))</x:f>
        <x:v>Noah Reed</x:v>
      </x:c>
      <x:c r="AC892" s="85" t="n">
        <x:f>'Raw Sales'!O892</x:f>
        <x:v>45609</x:v>
      </x:c>
      <x:c r="AD892" s="84" t="n">
        <x:f>AC892-B892</x:f>
        <x:v>7</x:v>
      </x:c>
      <x:c r="AE892" s="84" t="str">
        <x:f>IF(COUNTIF($A$5:A892,A892)&gt;1,"Duplicate","Keep")</x:f>
        <x:v>Keep</x:v>
      </x:c>
      <x:c r="AF892" s="84" t="str">
        <x:f>IF(OR(R892&lt;=0,AC892&lt;B892,H892="Unknown",M892="Unknown Product"),"Review","Valid")</x:f>
        <x:v>Valid</x:v>
      </x:c>
      <x:c r="AG892" s="84" t="n">
        <x:f>IF(AND(AE892="Keep",AF892="Valid"),1,0)</x:f>
        <x:v>1</x:v>
      </x:c>
      <x:c r="AH892" s="84" t="n">
        <x:f>IF(AND(AG892=1,OR('Dashboard'!$B$4="All",I892='Dashboard'!$B$4),OR('Dashboard'!$E$4="All",N892='Dashboard'!$E$4),OR('Dashboard'!$H$4="All",K892='Dashboard'!$H$4),OR('Dashboard'!$K$4="All",C892='Dashboard'!$K$4)),1,0)</x:f>
        <x:v>1</x:v>
      </x:c>
      <x:c r="AI892" s="84" t="n">
        <x:f>IF(AND(AG892=1,OR('Dashboard'!$B$4="All",I892='Dashboard'!$B$4),OR('Dashboard'!$E$4="All",N892='Dashboard'!$E$4),OR('Dashboard'!$H$4="All",K892='Dashboard'!$H$4)),1,0)</x:f>
        <x:v>1</x:v>
      </x:c>
    </x:row>
    <x:row r="893">
      <x:c r="A893" s="84" t="str">
        <x:f>'Raw Sales'!A893</x:f>
        <x:v>ORD-2024-00356</x:v>
      </x:c>
      <x:c r="B893" s="85" t="n">
        <x:f>'Raw Sales'!B893</x:f>
        <x:v>45603</x:v>
      </x:c>
      <x:c r="C893" s="84" t="n">
        <x:f>YEAR(B893)</x:f>
        <x:v>2024</x:v>
      </x:c>
      <x:c r="D893" s="91" t="n">
        <x:f>DATE(YEAR(B893),MONTH(B893),1)</x:f>
        <x:v>45597</x:v>
      </x:c>
      <x:c r="E893" s="84" t="str">
        <x:f>TEXT(B893,"mmm")</x:f>
        <x:v>Nov</x:v>
      </x:c>
      <x:c r="F893" s="84" t="str">
        <x:f>'Raw Sales'!C893</x:f>
        <x:v>CUST-0580</x:v>
      </x:c>
      <x:c r="G893" s="84" t="str">
        <x:f>PROPER(TRIM('Raw Sales'!D893))</x:f>
        <x:v>Zara Foster</x:v>
      </x:c>
      <x:c r="H893" s="84" t="str">
        <x:f>IF(TRIM('Raw Sales'!E893)="","Unknown",PROPER(TRIM('Raw Sales'!E893)))</x:f>
        <x:v>Consumer</x:v>
      </x:c>
      <x:c r="I893" s="84" t="str">
        <x:f>PROPER(TRIM('Raw Sales'!F893))</x:f>
        <x:v>Northeast</x:v>
      </x:c>
      <x:c r="J893" s="84" t="str">
        <x:f>PROPER(TRIM('Raw Sales'!G893))</x:f>
        <x:v>Philadelphia</x:v>
      </x:c>
      <x:c r="K893" s="84" t="str">
        <x:f>PROPER(TRIM('Raw Sales'!H893))</x:f>
        <x:v>Online</x:v>
      </x:c>
      <x:c r="L893" s="84" t="str">
        <x:f>'Raw Sales'!I893</x:f>
        <x:v>HOME-004</x:v>
      </x:c>
      <x:c r="M893" s="84" t="str">
        <x:f>IFERROR(VLOOKUP(L893,'Reference Data'!$A$5:$F$40,2,FALSE),"Unknown Product")</x:f>
        <x:v>Coffee Maker</x:v>
      </x:c>
      <x:c r="N893" s="84" t="str">
        <x:f>IFERROR(VLOOKUP(L893,'Reference Data'!$A$5:$F$40,3,FALSE),"Unknown")</x:f>
        <x:v>Home &amp; Kitchen</x:v>
      </x:c>
      <x:c r="O893" s="84" t="str">
        <x:f>IFERROR(VLOOKUP(L893,'Reference Data'!$A$5:$F$40,4,FALSE),"Unknown")</x:f>
        <x:v>Small Appliances</x:v>
      </x:c>
      <x:c r="P893" s="92" t="n">
        <x:f>IFERROR(VLOOKUP(L893,'Reference Data'!$A$5:$F$40,5,FALSE),0)</x:f>
        <x:v>99</x:v>
      </x:c>
      <x:c r="Q893" s="92" t="n">
        <x:f>IFERROR(VLOOKUP(L893,'Reference Data'!$A$5:$F$40,6,FALSE),0)</x:f>
        <x:v>51</x:v>
      </x:c>
      <x:c r="R893" s="84" t="n">
        <x:f>'Raw Sales'!J893</x:f>
        <x:v>1</x:v>
      </x:c>
      <x:c r="S893" s="87" t="n">
        <x:f>'Raw Sales'!K893</x:f>
        <x:v>0.1</x:v>
      </x:c>
      <x:c r="T893" s="93" t="n">
        <x:f>P893*R893</x:f>
        <x:v>99</x:v>
      </x:c>
      <x:c r="U893" s="93" t="n">
        <x:f>T893*S893</x:f>
        <x:v>9.9</x:v>
      </x:c>
      <x:c r="V893" s="93" t="str">
        <x:f>PROPER(TRIM('Raw Sales'!L893))</x:f>
        <x:v>Completed</x:v>
      </x:c>
      <x:c r="W893" s="93" t="n">
        <x:f>IF(V893="Returned",0,T893-U893)</x:f>
        <x:v>89.1</x:v>
      </x:c>
      <x:c r="X893" s="93" t="n">
        <x:f>IF(V893="Returned",Q893*R893*10%,Q893*R893)</x:f>
        <x:v>51</x:v>
      </x:c>
      <x:c r="Y893" s="93" t="n">
        <x:f>W893-X893</x:f>
        <x:v>38.099999999999994</x:v>
      </x:c>
      <x:c r="Z893" s="94" t="n">
        <x:f>IFERROR(Y893/W893,0)</x:f>
        <x:v>0.42760942760942755</x:v>
      </x:c>
      <x:c r="AA893" s="84" t="str">
        <x:f>PROPER(TRIM('Raw Sales'!M893))</x:f>
        <x:v>Credit Card</x:v>
      </x:c>
      <x:c r="AB893" s="84" t="str">
        <x:f>PROPER(TRIM('Raw Sales'!N893))</x:f>
        <x:v>Ethan Cole</x:v>
      </x:c>
      <x:c r="AC893" s="85" t="n">
        <x:f>'Raw Sales'!O893</x:f>
        <x:v>45605</x:v>
      </x:c>
      <x:c r="AD893" s="84" t="n">
        <x:f>AC893-B893</x:f>
        <x:v>2</x:v>
      </x:c>
      <x:c r="AE893" s="84" t="str">
        <x:f>IF(COUNTIF($A$5:A893,A893)&gt;1,"Duplicate","Keep")</x:f>
        <x:v>Keep</x:v>
      </x:c>
      <x:c r="AF893" s="84" t="str">
        <x:f>IF(OR(R893&lt;=0,AC893&lt;B893,H893="Unknown",M893="Unknown Product"),"Review","Valid")</x:f>
        <x:v>Valid</x:v>
      </x:c>
      <x:c r="AG893" s="84" t="n">
        <x:f>IF(AND(AE893="Keep",AF893="Valid"),1,0)</x:f>
        <x:v>1</x:v>
      </x:c>
      <x:c r="AH893" s="84" t="n">
        <x:f>IF(AND(AG893=1,OR('Dashboard'!$B$4="All",I893='Dashboard'!$B$4),OR('Dashboard'!$E$4="All",N893='Dashboard'!$E$4),OR('Dashboard'!$H$4="All",K893='Dashboard'!$H$4),OR('Dashboard'!$K$4="All",C893='Dashboard'!$K$4)),1,0)</x:f>
        <x:v>1</x:v>
      </x:c>
      <x:c r="AI893" s="84" t="n">
        <x:f>IF(AND(AG893=1,OR('Dashboard'!$B$4="All",I893='Dashboard'!$B$4),OR('Dashboard'!$E$4="All",N893='Dashboard'!$E$4),OR('Dashboard'!$H$4="All",K893='Dashboard'!$H$4)),1,0)</x:f>
        <x:v>1</x:v>
      </x:c>
    </x:row>
    <x:row r="894">
      <x:c r="A894" s="84" t="str">
        <x:f>'Raw Sales'!A894</x:f>
        <x:v>ORD-2024-01416</x:v>
      </x:c>
      <x:c r="B894" s="85" t="n">
        <x:f>'Raw Sales'!B894</x:f>
        <x:v>45603</x:v>
      </x:c>
      <x:c r="C894" s="84" t="n">
        <x:f>YEAR(B894)</x:f>
        <x:v>2024</x:v>
      </x:c>
      <x:c r="D894" s="91" t="n">
        <x:f>DATE(YEAR(B894),MONTH(B894),1)</x:f>
        <x:v>45597</x:v>
      </x:c>
      <x:c r="E894" s="84" t="str">
        <x:f>TEXT(B894,"mmm")</x:f>
        <x:v>Nov</x:v>
      </x:c>
      <x:c r="F894" s="84" t="str">
        <x:f>'Raw Sales'!C894</x:f>
        <x:v>CUST-0342</x:v>
      </x:c>
      <x:c r="G894" s="84" t="str">
        <x:f>PROPER(TRIM('Raw Sales'!D894))</x:f>
        <x:v>Nathan Carter</x:v>
      </x:c>
      <x:c r="H894" s="84" t="str">
        <x:f>IF(TRIM('Raw Sales'!E894)="","Unknown",PROPER(TRIM('Raw Sales'!E894)))</x:f>
        <x:v>Small Business</x:v>
      </x:c>
      <x:c r="I894" s="84" t="str">
        <x:f>PROPER(TRIM('Raw Sales'!F894))</x:f>
        <x:v>Northeast</x:v>
      </x:c>
      <x:c r="J894" s="84" t="str">
        <x:f>PROPER(TRIM('Raw Sales'!G894))</x:f>
        <x:v>New York</x:v>
      </x:c>
      <x:c r="K894" s="84" t="str">
        <x:f>PROPER(TRIM('Raw Sales'!H894))</x:f>
        <x:v>Online</x:v>
      </x:c>
      <x:c r="L894" s="84" t="str">
        <x:f>'Raw Sales'!I894</x:f>
        <x:v>ACCS-003</x:v>
      </x:c>
      <x:c r="M894" s="84" t="str">
        <x:f>IFERROR(VLOOKUP(L894,'Reference Data'!$A$5:$F$40,2,FALSE),"Unknown Product")</x:f>
        <x:v>Polarized Sunglasses</x:v>
      </x:c>
      <x:c r="N894" s="84" t="str">
        <x:f>IFERROR(VLOOKUP(L894,'Reference Data'!$A$5:$F$40,3,FALSE),"Unknown")</x:f>
        <x:v>Accessories</x:v>
      </x:c>
      <x:c r="O894" s="84" t="str">
        <x:f>IFERROR(VLOOKUP(L894,'Reference Data'!$A$5:$F$40,4,FALSE),"Unknown")</x:f>
        <x:v>Eyewear</x:v>
      </x:c>
      <x:c r="P894" s="92" t="n">
        <x:f>IFERROR(VLOOKUP(L894,'Reference Data'!$A$5:$F$40,5,FALSE),0)</x:f>
        <x:v>59</x:v>
      </x:c>
      <x:c r="Q894" s="92" t="n">
        <x:f>IFERROR(VLOOKUP(L894,'Reference Data'!$A$5:$F$40,6,FALSE),0)</x:f>
        <x:v>17</x:v>
      </x:c>
      <x:c r="R894" s="84" t="n">
        <x:f>'Raw Sales'!J894</x:f>
        <x:v>2</x:v>
      </x:c>
      <x:c r="S894" s="87" t="n">
        <x:f>'Raw Sales'!K894</x:f>
        <x:v>0</x:v>
      </x:c>
      <x:c r="T894" s="93" t="n">
        <x:f>P894*R894</x:f>
        <x:v>118</x:v>
      </x:c>
      <x:c r="U894" s="93" t="n">
        <x:f>T894*S894</x:f>
        <x:v>0</x:v>
      </x:c>
      <x:c r="V894" s="93" t="str">
        <x:f>PROPER(TRIM('Raw Sales'!L894))</x:f>
        <x:v>Completed</x:v>
      </x:c>
      <x:c r="W894" s="93" t="n">
        <x:f>IF(V894="Returned",0,T894-U894)</x:f>
        <x:v>118</x:v>
      </x:c>
      <x:c r="X894" s="93" t="n">
        <x:f>IF(V894="Returned",Q894*R894*10%,Q894*R894)</x:f>
        <x:v>34</x:v>
      </x:c>
      <x:c r="Y894" s="93" t="n">
        <x:f>W894-X894</x:f>
        <x:v>84</x:v>
      </x:c>
      <x:c r="Z894" s="94" t="n">
        <x:f>IFERROR(Y894/W894,0)</x:f>
        <x:v>0.711864406779661</x:v>
      </x:c>
      <x:c r="AA894" s="84" t="str">
        <x:f>PROPER(TRIM('Raw Sales'!M894))</x:f>
        <x:v>Credit Card</x:v>
      </x:c>
      <x:c r="AB894" s="84" t="str">
        <x:f>PROPER(TRIM('Raw Sales'!N894))</x:f>
        <x:v>Ethan Cole</x:v>
      </x:c>
      <x:c r="AC894" s="85" t="n">
        <x:f>'Raw Sales'!O894</x:f>
        <x:v>45606</x:v>
      </x:c>
      <x:c r="AD894" s="84" t="n">
        <x:f>AC894-B894</x:f>
        <x:v>3</x:v>
      </x:c>
      <x:c r="AE894" s="84" t="str">
        <x:f>IF(COUNTIF($A$5:A894,A894)&gt;1,"Duplicate","Keep")</x:f>
        <x:v>Keep</x:v>
      </x:c>
      <x:c r="AF894" s="84" t="str">
        <x:f>IF(OR(R894&lt;=0,AC894&lt;B894,H894="Unknown",M894="Unknown Product"),"Review","Valid")</x:f>
        <x:v>Valid</x:v>
      </x:c>
      <x:c r="AG894" s="84" t="n">
        <x:f>IF(AND(AE894="Keep",AF894="Valid"),1,0)</x:f>
        <x:v>1</x:v>
      </x:c>
      <x:c r="AH894" s="84" t="n">
        <x:f>IF(AND(AG894=1,OR('Dashboard'!$B$4="All",I894='Dashboard'!$B$4),OR('Dashboard'!$E$4="All",N894='Dashboard'!$E$4),OR('Dashboard'!$H$4="All",K894='Dashboard'!$H$4),OR('Dashboard'!$K$4="All",C894='Dashboard'!$K$4)),1,0)</x:f>
        <x:v>1</x:v>
      </x:c>
      <x:c r="AI894" s="84" t="n">
        <x:f>IF(AND(AG894=1,OR('Dashboard'!$B$4="All",I894='Dashboard'!$B$4),OR('Dashboard'!$E$4="All",N894='Dashboard'!$E$4),OR('Dashboard'!$H$4="All",K894='Dashboard'!$H$4)),1,0)</x:f>
        <x:v>1</x:v>
      </x:c>
    </x:row>
    <x:row r="895">
      <x:c r="A895" s="84" t="str">
        <x:f>'Raw Sales'!A895</x:f>
        <x:v>ORD-2024-01424</x:v>
      </x:c>
      <x:c r="B895" s="85" t="n">
        <x:f>'Raw Sales'!B895</x:f>
        <x:v>45603</x:v>
      </x:c>
      <x:c r="C895" s="84" t="n">
        <x:f>YEAR(B895)</x:f>
        <x:v>2024</x:v>
      </x:c>
      <x:c r="D895" s="91" t="n">
        <x:f>DATE(YEAR(B895),MONTH(B895),1)</x:f>
        <x:v>45597</x:v>
      </x:c>
      <x:c r="E895" s="84" t="str">
        <x:f>TEXT(B895,"mmm")</x:f>
        <x:v>Nov</x:v>
      </x:c>
      <x:c r="F895" s="84" t="str">
        <x:f>'Raw Sales'!C895</x:f>
        <x:v>CUST-0033</x:v>
      </x:c>
      <x:c r="G895" s="84" t="str">
        <x:f>PROPER(TRIM('Raw Sales'!D895))</x:f>
        <x:v>Sara Khan</x:v>
      </x:c>
      <x:c r="H895" s="84" t="str">
        <x:f>IF(TRIM('Raw Sales'!E895)="","Unknown",PROPER(TRIM('Raw Sales'!E895)))</x:f>
        <x:v>Consumer</x:v>
      </x:c>
      <x:c r="I895" s="84" t="str">
        <x:f>PROPER(TRIM('Raw Sales'!F895))</x:f>
        <x:v>Midwest</x:v>
      </x:c>
      <x:c r="J895" s="84" t="str">
        <x:f>PROPER(TRIM('Raw Sales'!G895))</x:f>
        <x:v>Minneapolis</x:v>
      </x:c>
      <x:c r="K895" s="84" t="str">
        <x:f>PROPER(TRIM('Raw Sales'!H895))</x:f>
        <x:v>Online</x:v>
      </x:c>
      <x:c r="L895" s="84" t="str">
        <x:f>'Raw Sales'!I895</x:f>
        <x:v>CARE-002</x:v>
      </x:c>
      <x:c r="M895" s="84" t="str">
        <x:f>IFERROR(VLOOKUP(L895,'Reference Data'!$A$5:$F$40,2,FALSE),"Unknown Product")</x:f>
        <x:v>Rechargeable Trimmer</x:v>
      </x:c>
      <x:c r="N895" s="84" t="str">
        <x:f>IFERROR(VLOOKUP(L895,'Reference Data'!$A$5:$F$40,3,FALSE),"Unknown")</x:f>
        <x:v>Personal Care</x:v>
      </x:c>
      <x:c r="O895" s="84" t="str">
        <x:f>IFERROR(VLOOKUP(L895,'Reference Data'!$A$5:$F$40,4,FALSE),"Unknown")</x:f>
        <x:v>Grooming</x:v>
      </x:c>
      <x:c r="P895" s="92" t="n">
        <x:f>IFERROR(VLOOKUP(L895,'Reference Data'!$A$5:$F$40,5,FALSE),0)</x:f>
        <x:v>45</x:v>
      </x:c>
      <x:c r="Q895" s="92" t="n">
        <x:f>IFERROR(VLOOKUP(L895,'Reference Data'!$A$5:$F$40,6,FALSE),0)</x:f>
        <x:v>19</x:v>
      </x:c>
      <x:c r="R895" s="84" t="n">
        <x:f>'Raw Sales'!J895</x:f>
        <x:v>1</x:v>
      </x:c>
      <x:c r="S895" s="87" t="n">
        <x:f>'Raw Sales'!K895</x:f>
        <x:v>0.05</x:v>
      </x:c>
      <x:c r="T895" s="93" t="n">
        <x:f>P895*R895</x:f>
        <x:v>45</x:v>
      </x:c>
      <x:c r="U895" s="93" t="n">
        <x:f>T895*S895</x:f>
        <x:v>2.25</x:v>
      </x:c>
      <x:c r="V895" s="93" t="str">
        <x:f>PROPER(TRIM('Raw Sales'!L895))</x:f>
        <x:v>Completed</x:v>
      </x:c>
      <x:c r="W895" s="93" t="n">
        <x:f>IF(V895="Returned",0,T895-U895)</x:f>
        <x:v>42.75</x:v>
      </x:c>
      <x:c r="X895" s="93" t="n">
        <x:f>IF(V895="Returned",Q895*R895*10%,Q895*R895)</x:f>
        <x:v>19</x:v>
      </x:c>
      <x:c r="Y895" s="93" t="n">
        <x:f>W895-X895</x:f>
        <x:v>23.75</x:v>
      </x:c>
      <x:c r="Z895" s="94" t="n">
        <x:f>IFERROR(Y895/W895,0)</x:f>
        <x:v>0.5555555555555556</x:v>
      </x:c>
      <x:c r="AA895" s="84" t="str">
        <x:f>PROPER(TRIM('Raw Sales'!M895))</x:f>
        <x:v>Mobile Wallet</x:v>
      </x:c>
      <x:c r="AB895" s="84" t="str">
        <x:f>PROPER(TRIM('Raw Sales'!N895))</x:f>
        <x:v>Emma Hayes</x:v>
      </x:c>
      <x:c r="AC895" s="85" t="n">
        <x:f>'Raw Sales'!O895</x:f>
        <x:v>45608</x:v>
      </x:c>
      <x:c r="AD895" s="84" t="n">
        <x:f>AC895-B895</x:f>
        <x:v>5</x:v>
      </x:c>
      <x:c r="AE895" s="84" t="str">
        <x:f>IF(COUNTIF($A$5:A895,A895)&gt;1,"Duplicate","Keep")</x:f>
        <x:v>Keep</x:v>
      </x:c>
      <x:c r="AF895" s="84" t="str">
        <x:f>IF(OR(R895&lt;=0,AC895&lt;B895,H895="Unknown",M895="Unknown Product"),"Review","Valid")</x:f>
        <x:v>Valid</x:v>
      </x:c>
      <x:c r="AG895" s="84" t="n">
        <x:f>IF(AND(AE895="Keep",AF895="Valid"),1,0)</x:f>
        <x:v>1</x:v>
      </x:c>
      <x:c r="AH895" s="84" t="n">
        <x:f>IF(AND(AG895=1,OR('Dashboard'!$B$4="All",I895='Dashboard'!$B$4),OR('Dashboard'!$E$4="All",N895='Dashboard'!$E$4),OR('Dashboard'!$H$4="All",K895='Dashboard'!$H$4),OR('Dashboard'!$K$4="All",C895='Dashboard'!$K$4)),1,0)</x:f>
        <x:v>1</x:v>
      </x:c>
      <x:c r="AI895" s="84" t="n">
        <x:f>IF(AND(AG895=1,OR('Dashboard'!$B$4="All",I895='Dashboard'!$B$4),OR('Dashboard'!$E$4="All",N895='Dashboard'!$E$4),OR('Dashboard'!$H$4="All",K895='Dashboard'!$H$4)),1,0)</x:f>
        <x:v>1</x:v>
      </x:c>
    </x:row>
    <x:row r="896">
      <x:c r="A896" s="84" t="str">
        <x:f>'Raw Sales'!A896</x:f>
        <x:v>ORD-2024-01756</x:v>
      </x:c>
      <x:c r="B896" s="85" t="n">
        <x:f>'Raw Sales'!B896</x:f>
        <x:v>45603</x:v>
      </x:c>
      <x:c r="C896" s="84" t="n">
        <x:f>YEAR(B896)</x:f>
        <x:v>2024</x:v>
      </x:c>
      <x:c r="D896" s="91" t="n">
        <x:f>DATE(YEAR(B896),MONTH(B896),1)</x:f>
        <x:v>45597</x:v>
      </x:c>
      <x:c r="E896" s="84" t="str">
        <x:f>TEXT(B896,"mmm")</x:f>
        <x:v>Nov</x:v>
      </x:c>
      <x:c r="F896" s="84" t="str">
        <x:f>'Raw Sales'!C896</x:f>
        <x:v>CUST-0593</x:v>
      </x:c>
      <x:c r="G896" s="84" t="str">
        <x:f>PROPER(TRIM('Raw Sales'!D896))</x:f>
        <x:v>Nathan Johnson</x:v>
      </x:c>
      <x:c r="H896" s="84" t="str">
        <x:f>IF(TRIM('Raw Sales'!E896)="","Unknown",PROPER(TRIM('Raw Sales'!E896)))</x:f>
        <x:v>Corporate</x:v>
      </x:c>
      <x:c r="I896" s="84" t="str">
        <x:f>PROPER(TRIM('Raw Sales'!F896))</x:f>
        <x:v>West</x:v>
      </x:c>
      <x:c r="J896" s="84" t="str">
        <x:f>PROPER(TRIM('Raw Sales'!G896))</x:f>
        <x:v>Denver</x:v>
      </x:c>
      <x:c r="K896" s="84" t="str">
        <x:f>PROPER(TRIM('Raw Sales'!H896))</x:f>
        <x:v>Retail Store</x:v>
      </x:c>
      <x:c r="L896" s="84" t="str">
        <x:f>'Raw Sales'!I896</x:f>
        <x:v>ELEC-001</x:v>
      </x:c>
      <x:c r="M896" s="84" t="str">
        <x:f>IFERROR(VLOOKUP(L896,'Reference Data'!$A$5:$F$40,2,FALSE),"Unknown Product")</x:f>
        <x:v>Wireless Earbuds</x:v>
      </x:c>
      <x:c r="N896" s="84" t="str">
        <x:f>IFERROR(VLOOKUP(L896,'Reference Data'!$A$5:$F$40,3,FALSE),"Unknown")</x:f>
        <x:v>Electronics</x:v>
      </x:c>
      <x:c r="O896" s="84" t="str">
        <x:f>IFERROR(VLOOKUP(L896,'Reference Data'!$A$5:$F$40,4,FALSE),"Unknown")</x:f>
        <x:v>Audio</x:v>
      </x:c>
      <x:c r="P896" s="92" t="n">
        <x:f>IFERROR(VLOOKUP(L896,'Reference Data'!$A$5:$F$40,5,FALSE),0)</x:f>
        <x:v>69</x:v>
      </x:c>
      <x:c r="Q896" s="92" t="n">
        <x:f>IFERROR(VLOOKUP(L896,'Reference Data'!$A$5:$F$40,6,FALSE),0)</x:f>
        <x:v>36</x:v>
      </x:c>
      <x:c r="R896" s="84" t="n">
        <x:f>'Raw Sales'!J896</x:f>
        <x:v>1</x:v>
      </x:c>
      <x:c r="S896" s="87" t="n">
        <x:f>'Raw Sales'!K896</x:f>
        <x:v>0.1</x:v>
      </x:c>
      <x:c r="T896" s="93" t="n">
        <x:f>P896*R896</x:f>
        <x:v>69</x:v>
      </x:c>
      <x:c r="U896" s="93" t="n">
        <x:f>T896*S896</x:f>
        <x:v>6.9</x:v>
      </x:c>
      <x:c r="V896" s="93" t="str">
        <x:f>PROPER(TRIM('Raw Sales'!L896))</x:f>
        <x:v>Returned</x:v>
      </x:c>
      <x:c r="W896" s="93" t="n">
        <x:f>IF(V896="Returned",0,T896-U896)</x:f>
        <x:v>0</x:v>
      </x:c>
      <x:c r="X896" s="93" t="n">
        <x:f>IF(V896="Returned",Q896*R896*10%,Q896*R896)</x:f>
        <x:v>3.6</x:v>
      </x:c>
      <x:c r="Y896" s="93" t="n">
        <x:f>W896-X896</x:f>
        <x:v>-3.6</x:v>
      </x:c>
      <x:c r="Z896" s="94" t="n">
        <x:f>IFERROR(Y896/W896,0)</x:f>
        <x:v>0</x:v>
      </x:c>
      <x:c r="AA896" s="84" t="str">
        <x:f>PROPER(TRIM('Raw Sales'!M896))</x:f>
        <x:v>Debit Card</x:v>
      </x:c>
      <x:c r="AB896" s="84" t="str">
        <x:f>PROPER(TRIM('Raw Sales'!N896))</x:f>
        <x:v>Mia Chen</x:v>
      </x:c>
      <x:c r="AC896" s="85" t="n">
        <x:f>'Raw Sales'!O896</x:f>
        <x:v>45603</x:v>
      </x:c>
      <x:c r="AD896" s="84" t="n">
        <x:f>AC896-B896</x:f>
        <x:v>0</x:v>
      </x:c>
      <x:c r="AE896" s="84" t="str">
        <x:f>IF(COUNTIF($A$5:A896,A896)&gt;1,"Duplicate","Keep")</x:f>
        <x:v>Keep</x:v>
      </x:c>
      <x:c r="AF896" s="84" t="str">
        <x:f>IF(OR(R896&lt;=0,AC896&lt;B896,H896="Unknown",M896="Unknown Product"),"Review","Valid")</x:f>
        <x:v>Valid</x:v>
      </x:c>
      <x:c r="AG896" s="84" t="n">
        <x:f>IF(AND(AE896="Keep",AF896="Valid"),1,0)</x:f>
        <x:v>1</x:v>
      </x:c>
      <x:c r="AH896" s="84" t="n">
        <x:f>IF(AND(AG896=1,OR('Dashboard'!$B$4="All",I896='Dashboard'!$B$4),OR('Dashboard'!$E$4="All",N896='Dashboard'!$E$4),OR('Dashboard'!$H$4="All",K896='Dashboard'!$H$4),OR('Dashboard'!$K$4="All",C896='Dashboard'!$K$4)),1,0)</x:f>
        <x:v>1</x:v>
      </x:c>
      <x:c r="AI896" s="84" t="n">
        <x:f>IF(AND(AG896=1,OR('Dashboard'!$B$4="All",I896='Dashboard'!$B$4),OR('Dashboard'!$E$4="All",N896='Dashboard'!$E$4),OR('Dashboard'!$H$4="All",K896='Dashboard'!$H$4)),1,0)</x:f>
        <x:v>1</x:v>
      </x:c>
    </x:row>
    <x:row r="897">
      <x:c r="A897" s="84" t="str">
        <x:f>'Raw Sales'!A897</x:f>
        <x:v>ORD-2024-01792</x:v>
      </x:c>
      <x:c r="B897" s="85" t="n">
        <x:f>'Raw Sales'!B897</x:f>
        <x:v>45603</x:v>
      </x:c>
      <x:c r="C897" s="84" t="n">
        <x:f>YEAR(B897)</x:f>
        <x:v>2024</x:v>
      </x:c>
      <x:c r="D897" s="91" t="n">
        <x:f>DATE(YEAR(B897),MONTH(B897),1)</x:f>
        <x:v>45597</x:v>
      </x:c>
      <x:c r="E897" s="84" t="str">
        <x:f>TEXT(B897,"mmm")</x:f>
        <x:v>Nov</x:v>
      </x:c>
      <x:c r="F897" s="84" t="str">
        <x:f>'Raw Sales'!C897</x:f>
        <x:v>CUST-0124</x:v>
      </x:c>
      <x:c r="G897" s="84" t="str">
        <x:f>PROPER(TRIM('Raw Sales'!D897))</x:f>
        <x:v>Priya Lewis</x:v>
      </x:c>
      <x:c r="H897" s="84" t="str">
        <x:f>IF(TRIM('Raw Sales'!E897)="","Unknown",PROPER(TRIM('Raw Sales'!E897)))</x:f>
        <x:v>Consumer</x:v>
      </x:c>
      <x:c r="I897" s="84" t="str">
        <x:f>PROPER(TRIM('Raw Sales'!F897))</x:f>
        <x:v>Midwest</x:v>
      </x:c>
      <x:c r="J897" s="84" t="str">
        <x:f>PROPER(TRIM('Raw Sales'!G897))</x:f>
        <x:v>Chicago</x:v>
      </x:c>
      <x:c r="K897" s="84" t="str">
        <x:f>PROPER(TRIM('Raw Sales'!H897))</x:f>
        <x:v>Retail Store</x:v>
      </x:c>
      <x:c r="L897" s="84" t="str">
        <x:f>'Raw Sales'!I897</x:f>
        <x:v>CARE-003</x:v>
      </x:c>
      <x:c r="M897" s="84" t="str">
        <x:f>IFERROR(VLOOKUP(L897,'Reference Data'!$A$5:$F$40,2,FALSE),"Unknown Product")</x:f>
        <x:v>Facial Cleanser</x:v>
      </x:c>
      <x:c r="N897" s="84" t="str">
        <x:f>IFERROR(VLOOKUP(L897,'Reference Data'!$A$5:$F$40,3,FALSE),"Unknown")</x:f>
        <x:v>Personal Care</x:v>
      </x:c>
      <x:c r="O897" s="84" t="str">
        <x:f>IFERROR(VLOOKUP(L897,'Reference Data'!$A$5:$F$40,4,FALSE),"Unknown")</x:f>
        <x:v>Skin Care</x:v>
      </x:c>
      <x:c r="P897" s="92" t="n">
        <x:f>IFERROR(VLOOKUP(L897,'Reference Data'!$A$5:$F$40,5,FALSE),0)</x:f>
        <x:v>18</x:v>
      </x:c>
      <x:c r="Q897" s="92" t="n">
        <x:f>IFERROR(VLOOKUP(L897,'Reference Data'!$A$5:$F$40,6,FALSE),0)</x:f>
        <x:v>6</x:v>
      </x:c>
      <x:c r="R897" s="84" t="n">
        <x:f>'Raw Sales'!J897</x:f>
        <x:v>4</x:v>
      </x:c>
      <x:c r="S897" s="87" t="n">
        <x:f>'Raw Sales'!K897</x:f>
        <x:v>0.15</x:v>
      </x:c>
      <x:c r="T897" s="93" t="n">
        <x:f>P897*R897</x:f>
        <x:v>72</x:v>
      </x:c>
      <x:c r="U897" s="93" t="n">
        <x:f>T897*S897</x:f>
        <x:v>10.799999999999999</x:v>
      </x:c>
      <x:c r="V897" s="93" t="str">
        <x:f>PROPER(TRIM('Raw Sales'!L897))</x:f>
        <x:v>Completed</x:v>
      </x:c>
      <x:c r="W897" s="93" t="n">
        <x:f>IF(V897="Returned",0,T897-U897)</x:f>
        <x:v>61.2</x:v>
      </x:c>
      <x:c r="X897" s="93" t="n">
        <x:f>IF(V897="Returned",Q897*R897*10%,Q897*R897)</x:f>
        <x:v>24</x:v>
      </x:c>
      <x:c r="Y897" s="93" t="n">
        <x:f>W897-X897</x:f>
        <x:v>37.2</x:v>
      </x:c>
      <x:c r="Z897" s="94" t="n">
        <x:f>IFERROR(Y897/W897,0)</x:f>
        <x:v>0.607843137254902</x:v>
      </x:c>
      <x:c r="AA897" s="84" t="str">
        <x:f>PROPER(TRIM('Raw Sales'!M897))</x:f>
        <x:v>Mobile Wallet</x:v>
      </x:c>
      <x:c r="AB897" s="84" t="str">
        <x:f>PROPER(TRIM('Raw Sales'!N897))</x:f>
        <x:v>Lucas Grant</x:v>
      </x:c>
      <x:c r="AC897" s="85" t="n">
        <x:f>'Raw Sales'!O897</x:f>
        <x:v>45603</x:v>
      </x:c>
      <x:c r="AD897" s="84" t="n">
        <x:f>AC897-B897</x:f>
        <x:v>0</x:v>
      </x:c>
      <x:c r="AE897" s="84" t="str">
        <x:f>IF(COUNTIF($A$5:A897,A897)&gt;1,"Duplicate","Keep")</x:f>
        <x:v>Keep</x:v>
      </x:c>
      <x:c r="AF897" s="84" t="str">
        <x:f>IF(OR(R897&lt;=0,AC897&lt;B897,H897="Unknown",M897="Unknown Product"),"Review","Valid")</x:f>
        <x:v>Valid</x:v>
      </x:c>
      <x:c r="AG897" s="84" t="n">
        <x:f>IF(AND(AE897="Keep",AF897="Valid"),1,0)</x:f>
        <x:v>1</x:v>
      </x:c>
      <x:c r="AH897" s="84" t="n">
        <x:f>IF(AND(AG897=1,OR('Dashboard'!$B$4="All",I897='Dashboard'!$B$4),OR('Dashboard'!$E$4="All",N897='Dashboard'!$E$4),OR('Dashboard'!$H$4="All",K897='Dashboard'!$H$4),OR('Dashboard'!$K$4="All",C897='Dashboard'!$K$4)),1,0)</x:f>
        <x:v>1</x:v>
      </x:c>
      <x:c r="AI897" s="84" t="n">
        <x:f>IF(AND(AG897=1,OR('Dashboard'!$B$4="All",I897='Dashboard'!$B$4),OR('Dashboard'!$E$4="All",N897='Dashboard'!$E$4),OR('Dashboard'!$H$4="All",K897='Dashboard'!$H$4)),1,0)</x:f>
        <x:v>1</x:v>
      </x:c>
    </x:row>
    <x:row r="898">
      <x:c r="A898" s="84" t="str">
        <x:f>'Raw Sales'!A898</x:f>
        <x:v>ORD-2024-00396</x:v>
      </x:c>
      <x:c r="B898" s="85" t="n">
        <x:f>'Raw Sales'!B898</x:f>
        <x:v>45604</x:v>
      </x:c>
      <x:c r="C898" s="84" t="n">
        <x:f>YEAR(B898)</x:f>
        <x:v>2024</x:v>
      </x:c>
      <x:c r="D898" s="91" t="n">
        <x:f>DATE(YEAR(B898),MONTH(B898),1)</x:f>
        <x:v>45597</x:v>
      </x:c>
      <x:c r="E898" s="84" t="str">
        <x:f>TEXT(B898,"mmm")</x:f>
        <x:v>Nov</x:v>
      </x:c>
      <x:c r="F898" s="84" t="str">
        <x:f>'Raw Sales'!C898</x:f>
        <x:v>CUST-0627</x:v>
      </x:c>
      <x:c r="G898" s="84" t="str">
        <x:f>PROPER(TRIM('Raw Sales'!D898))</x:f>
        <x:v>Priya Walker</x:v>
      </x:c>
      <x:c r="H898" s="84" t="str">
        <x:f>IF(TRIM('Raw Sales'!E898)="","Unknown",PROPER(TRIM('Raw Sales'!E898)))</x:f>
        <x:v>Consumer</x:v>
      </x:c>
      <x:c r="I898" s="84" t="str">
        <x:f>PROPER(TRIM('Raw Sales'!F898))</x:f>
        <x:v>West</x:v>
      </x:c>
      <x:c r="J898" s="84" t="str">
        <x:f>PROPER(TRIM('Raw Sales'!G898))</x:f>
        <x:v>Seattle</x:v>
      </x:c>
      <x:c r="K898" s="84" t="str">
        <x:f>PROPER(TRIM('Raw Sales'!H898))</x:f>
        <x:v>Online</x:v>
      </x:c>
      <x:c r="L898" s="84" t="str">
        <x:f>'Raw Sales'!I898</x:f>
        <x:v>CARE-003</x:v>
      </x:c>
      <x:c r="M898" s="84" t="str">
        <x:f>IFERROR(VLOOKUP(L898,'Reference Data'!$A$5:$F$40,2,FALSE),"Unknown Product")</x:f>
        <x:v>Facial Cleanser</x:v>
      </x:c>
      <x:c r="N898" s="84" t="str">
        <x:f>IFERROR(VLOOKUP(L898,'Reference Data'!$A$5:$F$40,3,FALSE),"Unknown")</x:f>
        <x:v>Personal Care</x:v>
      </x:c>
      <x:c r="O898" s="84" t="str">
        <x:f>IFERROR(VLOOKUP(L898,'Reference Data'!$A$5:$F$40,4,FALSE),"Unknown")</x:f>
        <x:v>Skin Care</x:v>
      </x:c>
      <x:c r="P898" s="92" t="n">
        <x:f>IFERROR(VLOOKUP(L898,'Reference Data'!$A$5:$F$40,5,FALSE),0)</x:f>
        <x:v>18</x:v>
      </x:c>
      <x:c r="Q898" s="92" t="n">
        <x:f>IFERROR(VLOOKUP(L898,'Reference Data'!$A$5:$F$40,6,FALSE),0)</x:f>
        <x:v>6</x:v>
      </x:c>
      <x:c r="R898" s="84" t="n">
        <x:f>'Raw Sales'!J898</x:f>
        <x:v>1</x:v>
      </x:c>
      <x:c r="S898" s="87" t="n">
        <x:f>'Raw Sales'!K898</x:f>
        <x:v>0.15</x:v>
      </x:c>
      <x:c r="T898" s="93" t="n">
        <x:f>P898*R898</x:f>
        <x:v>18</x:v>
      </x:c>
      <x:c r="U898" s="93" t="n">
        <x:f>T898*S898</x:f>
        <x:v>2.6999999999999997</x:v>
      </x:c>
      <x:c r="V898" s="93" t="str">
        <x:f>PROPER(TRIM('Raw Sales'!L898))</x:f>
        <x:v>Completed</x:v>
      </x:c>
      <x:c r="W898" s="93" t="n">
        <x:f>IF(V898="Returned",0,T898-U898)</x:f>
        <x:v>15.3</x:v>
      </x:c>
      <x:c r="X898" s="93" t="n">
        <x:f>IF(V898="Returned",Q898*R898*10%,Q898*R898)</x:f>
        <x:v>6</x:v>
      </x:c>
      <x:c r="Y898" s="93" t="n">
        <x:f>W898-X898</x:f>
        <x:v>9.3</x:v>
      </x:c>
      <x:c r="Z898" s="94" t="n">
        <x:f>IFERROR(Y898/W898,0)</x:f>
        <x:v>0.607843137254902</x:v>
      </x:c>
      <x:c r="AA898" s="84" t="str">
        <x:f>PROPER(TRIM('Raw Sales'!M898))</x:f>
        <x:v>Mobile Wallet</x:v>
      </x:c>
      <x:c r="AB898" s="84" t="str">
        <x:f>PROPER(TRIM('Raw Sales'!N898))</x:f>
        <x:v>Leo Martinez</x:v>
      </x:c>
      <x:c r="AC898" s="85" t="n">
        <x:f>'Raw Sales'!O898</x:f>
        <x:v>45606</x:v>
      </x:c>
      <x:c r="AD898" s="84" t="n">
        <x:f>AC898-B898</x:f>
        <x:v>2</x:v>
      </x:c>
      <x:c r="AE898" s="84" t="str">
        <x:f>IF(COUNTIF($A$5:A898,A898)&gt;1,"Duplicate","Keep")</x:f>
        <x:v>Keep</x:v>
      </x:c>
      <x:c r="AF898" s="84" t="str">
        <x:f>IF(OR(R898&lt;=0,AC898&lt;B898,H898="Unknown",M898="Unknown Product"),"Review","Valid")</x:f>
        <x:v>Valid</x:v>
      </x:c>
      <x:c r="AG898" s="84" t="n">
        <x:f>IF(AND(AE898="Keep",AF898="Valid"),1,0)</x:f>
        <x:v>1</x:v>
      </x:c>
      <x:c r="AH898" s="84" t="n">
        <x:f>IF(AND(AG898=1,OR('Dashboard'!$B$4="All",I898='Dashboard'!$B$4),OR('Dashboard'!$E$4="All",N898='Dashboard'!$E$4),OR('Dashboard'!$H$4="All",K898='Dashboard'!$H$4),OR('Dashboard'!$K$4="All",C898='Dashboard'!$K$4)),1,0)</x:f>
        <x:v>1</x:v>
      </x:c>
      <x:c r="AI898" s="84" t="n">
        <x:f>IF(AND(AG898=1,OR('Dashboard'!$B$4="All",I898='Dashboard'!$B$4),OR('Dashboard'!$E$4="All",N898='Dashboard'!$E$4),OR('Dashboard'!$H$4="All",K898='Dashboard'!$H$4)),1,0)</x:f>
        <x:v>1</x:v>
      </x:c>
    </x:row>
    <x:row r="899">
      <x:c r="A899" s="84" t="str">
        <x:f>'Raw Sales'!A899</x:f>
        <x:v>ORD-2024-01753</x:v>
      </x:c>
      <x:c r="B899" s="85" t="n">
        <x:f>'Raw Sales'!B899</x:f>
        <x:v>45604</x:v>
      </x:c>
      <x:c r="C899" s="84" t="n">
        <x:f>YEAR(B899)</x:f>
        <x:v>2024</x:v>
      </x:c>
      <x:c r="D899" s="91" t="n">
        <x:f>DATE(YEAR(B899),MONTH(B899),1)</x:f>
        <x:v>45597</x:v>
      </x:c>
      <x:c r="E899" s="84" t="str">
        <x:f>TEXT(B899,"mmm")</x:f>
        <x:v>Nov</x:v>
      </x:c>
      <x:c r="F899" s="84" t="str">
        <x:f>'Raw Sales'!C899</x:f>
        <x:v>CUST-0568</x:v>
      </x:c>
      <x:c r="G899" s="84" t="str">
        <x:f>PROPER(TRIM('Raw Sales'!D899))</x:f>
        <x:v>Owen Carter</x:v>
      </x:c>
      <x:c r="H899" s="84" t="str">
        <x:f>IF(TRIM('Raw Sales'!E899)="","Unknown",PROPER(TRIM('Raw Sales'!E899)))</x:f>
        <x:v>Consumer</x:v>
      </x:c>
      <x:c r="I899" s="84" t="str">
        <x:f>PROPER(TRIM('Raw Sales'!F899))</x:f>
        <x:v>Southeast</x:v>
      </x:c>
      <x:c r="J899" s="84" t="str">
        <x:f>PROPER(TRIM('Raw Sales'!G899))</x:f>
        <x:v>Miami</x:v>
      </x:c>
      <x:c r="K899" s="84" t="str">
        <x:f>PROPER(TRIM('Raw Sales'!H899))</x:f>
        <x:v>Online</x:v>
      </x:c>
      <x:c r="L899" s="84" t="str">
        <x:f>'Raw Sales'!I899</x:f>
        <x:v>ELEC-002</x:v>
      </x:c>
      <x:c r="M899" s="84" t="str">
        <x:f>IFERROR(VLOOKUP(L899,'Reference Data'!$A$5:$F$40,2,FALSE),"Unknown Product")</x:f>
        <x:v>Smartwatch</x:v>
      </x:c>
      <x:c r="N899" s="84" t="str">
        <x:f>IFERROR(VLOOKUP(L899,'Reference Data'!$A$5:$F$40,3,FALSE),"Unknown")</x:f>
        <x:v>Electronics</x:v>
      </x:c>
      <x:c r="O899" s="84" t="str">
        <x:f>IFERROR(VLOOKUP(L899,'Reference Data'!$A$5:$F$40,4,FALSE),"Unknown")</x:f>
        <x:v>Wearables</x:v>
      </x:c>
      <x:c r="P899" s="92" t="n">
        <x:f>IFERROR(VLOOKUP(L899,'Reference Data'!$A$5:$F$40,5,FALSE),0)</x:f>
        <x:v>159</x:v>
      </x:c>
      <x:c r="Q899" s="92" t="n">
        <x:f>IFERROR(VLOOKUP(L899,'Reference Data'!$A$5:$F$40,6,FALSE),0)</x:f>
        <x:v>92</x:v>
      </x:c>
      <x:c r="R899" s="84" t="n">
        <x:f>'Raw Sales'!J899</x:f>
        <x:v>2</x:v>
      </x:c>
      <x:c r="S899" s="87" t="n">
        <x:f>'Raw Sales'!K899</x:f>
        <x:v>0.1</x:v>
      </x:c>
      <x:c r="T899" s="93" t="n">
        <x:f>P899*R899</x:f>
        <x:v>318</x:v>
      </x:c>
      <x:c r="U899" s="93" t="n">
        <x:f>T899*S899</x:f>
        <x:v>31.8</x:v>
      </x:c>
      <x:c r="V899" s="93" t="str">
        <x:f>PROPER(TRIM('Raw Sales'!L899))</x:f>
        <x:v>Completed</x:v>
      </x:c>
      <x:c r="W899" s="93" t="n">
        <x:f>IF(V899="Returned",0,T899-U899)</x:f>
        <x:v>286.2</x:v>
      </x:c>
      <x:c r="X899" s="93" t="n">
        <x:f>IF(V899="Returned",Q899*R899*10%,Q899*R899)</x:f>
        <x:v>184</x:v>
      </x:c>
      <x:c r="Y899" s="93" t="n">
        <x:f>W899-X899</x:f>
        <x:v>102.19999999999999</x:v>
      </x:c>
      <x:c r="Z899" s="94" t="n">
        <x:f>IFERROR(Y899/W899,0)</x:f>
        <x:v>0.35709294199860236</x:v>
      </x:c>
      <x:c r="AA899" s="84" t="str">
        <x:f>PROPER(TRIM('Raw Sales'!M899))</x:f>
        <x:v>Credit Card</x:v>
      </x:c>
      <x:c r="AB899" s="84" t="str">
        <x:f>PROPER(TRIM('Raw Sales'!N899))</x:f>
        <x:v>Noah Reed</x:v>
      </x:c>
      <x:c r="AC899" s="85" t="n">
        <x:f>'Raw Sales'!O899</x:f>
        <x:v>45609</x:v>
      </x:c>
      <x:c r="AD899" s="84" t="n">
        <x:f>AC899-B899</x:f>
        <x:v>5</x:v>
      </x:c>
      <x:c r="AE899" s="84" t="str">
        <x:f>IF(COUNTIF($A$5:A899,A899)&gt;1,"Duplicate","Keep")</x:f>
        <x:v>Keep</x:v>
      </x:c>
      <x:c r="AF899" s="84" t="str">
        <x:f>IF(OR(R899&lt;=0,AC899&lt;B899,H899="Unknown",M899="Unknown Product"),"Review","Valid")</x:f>
        <x:v>Valid</x:v>
      </x:c>
      <x:c r="AG899" s="84" t="n">
        <x:f>IF(AND(AE899="Keep",AF899="Valid"),1,0)</x:f>
        <x:v>1</x:v>
      </x:c>
      <x:c r="AH899" s="84" t="n">
        <x:f>IF(AND(AG899=1,OR('Dashboard'!$B$4="All",I899='Dashboard'!$B$4),OR('Dashboard'!$E$4="All",N899='Dashboard'!$E$4),OR('Dashboard'!$H$4="All",K899='Dashboard'!$H$4),OR('Dashboard'!$K$4="All",C899='Dashboard'!$K$4)),1,0)</x:f>
        <x:v>1</x:v>
      </x:c>
      <x:c r="AI899" s="84" t="n">
        <x:f>IF(AND(AG899=1,OR('Dashboard'!$B$4="All",I899='Dashboard'!$B$4),OR('Dashboard'!$E$4="All",N899='Dashboard'!$E$4),OR('Dashboard'!$H$4="All",K899='Dashboard'!$H$4)),1,0)</x:f>
        <x:v>1</x:v>
      </x:c>
    </x:row>
    <x:row r="900">
      <x:c r="A900" s="84" t="str">
        <x:f>'Raw Sales'!A900</x:f>
        <x:v>ORD-2024-01607</x:v>
      </x:c>
      <x:c r="B900" s="85" t="n">
        <x:f>'Raw Sales'!B900</x:f>
        <x:v>45605</x:v>
      </x:c>
      <x:c r="C900" s="84" t="n">
        <x:f>YEAR(B900)</x:f>
        <x:v>2024</x:v>
      </x:c>
      <x:c r="D900" s="91" t="n">
        <x:f>DATE(YEAR(B900),MONTH(B900),1)</x:f>
        <x:v>45597</x:v>
      </x:c>
      <x:c r="E900" s="84" t="str">
        <x:f>TEXT(B900,"mmm")</x:f>
        <x:v>Nov</x:v>
      </x:c>
      <x:c r="F900" s="84" t="str">
        <x:f>'Raw Sales'!C900</x:f>
        <x:v>CUST-0466</x:v>
      </x:c>
      <x:c r="G900" s="84" t="str">
        <x:f>PROPER(TRIM('Raw Sales'!D900))</x:f>
        <x:v>Sara Young</x:v>
      </x:c>
      <x:c r="H900" s="84" t="str">
        <x:f>IF(TRIM('Raw Sales'!E900)="","Unknown",PROPER(TRIM('Raw Sales'!E900)))</x:f>
        <x:v>Corporate</x:v>
      </x:c>
      <x:c r="I900" s="84" t="str">
        <x:f>PROPER(TRIM('Raw Sales'!F900))</x:f>
        <x:v>West</x:v>
      </x:c>
      <x:c r="J900" s="84" t="str">
        <x:f>PROPER(TRIM('Raw Sales'!G900))</x:f>
        <x:v>Los Angeles</x:v>
      </x:c>
      <x:c r="K900" s="84" t="str">
        <x:f>PROPER(TRIM('Raw Sales'!H900))</x:f>
        <x:v>Retail Store</x:v>
      </x:c>
      <x:c r="L900" s="84" t="str">
        <x:f>'Raw Sales'!I900</x:f>
        <x:v>FITN-005</x:v>
      </x:c>
      <x:c r="M900" s="84" t="str">
        <x:f>IFERROR(VLOOKUP(L900,'Reference Data'!$A$5:$F$40,2,FALSE),"Unknown Product")</x:f>
        <x:v>Sports Water Bottle</x:v>
      </x:c>
      <x:c r="N900" s="84" t="str">
        <x:f>IFERROR(VLOOKUP(L900,'Reference Data'!$A$5:$F$40,3,FALSE),"Unknown")</x:f>
        <x:v>Fitness</x:v>
      </x:c>
      <x:c r="O900" s="84" t="str">
        <x:f>IFERROR(VLOOKUP(L900,'Reference Data'!$A$5:$F$40,4,FALSE),"Unknown")</x:f>
        <x:v>Accessories</x:v>
      </x:c>
      <x:c r="P900" s="92" t="n">
        <x:f>IFERROR(VLOOKUP(L900,'Reference Data'!$A$5:$F$40,5,FALSE),0)</x:f>
        <x:v>22</x:v>
      </x:c>
      <x:c r="Q900" s="92" t="n">
        <x:f>IFERROR(VLOOKUP(L900,'Reference Data'!$A$5:$F$40,6,FALSE),0)</x:f>
        <x:v>7</x:v>
      </x:c>
      <x:c r="R900" s="84" t="n">
        <x:f>'Raw Sales'!J900</x:f>
        <x:v>2</x:v>
      </x:c>
      <x:c r="S900" s="87" t="n">
        <x:f>'Raw Sales'!K900</x:f>
        <x:v>0.1</x:v>
      </x:c>
      <x:c r="T900" s="93" t="n">
        <x:f>P900*R900</x:f>
        <x:v>44</x:v>
      </x:c>
      <x:c r="U900" s="93" t="n">
        <x:f>T900*S900</x:f>
        <x:v>4.4</x:v>
      </x:c>
      <x:c r="V900" s="93" t="str">
        <x:f>PROPER(TRIM('Raw Sales'!L900))</x:f>
        <x:v>Completed</x:v>
      </x:c>
      <x:c r="W900" s="93" t="n">
        <x:f>IF(V900="Returned",0,T900-U900)</x:f>
        <x:v>39.6</x:v>
      </x:c>
      <x:c r="X900" s="93" t="n">
        <x:f>IF(V900="Returned",Q900*R900*10%,Q900*R900)</x:f>
        <x:v>14</x:v>
      </x:c>
      <x:c r="Y900" s="93" t="n">
        <x:f>W900-X900</x:f>
        <x:v>25.6</x:v>
      </x:c>
      <x:c r="Z900" s="94" t="n">
        <x:f>IFERROR(Y900/W900,0)</x:f>
        <x:v>0.6464646464646465</x:v>
      </x:c>
      <x:c r="AA900" s="84" t="str">
        <x:f>PROPER(TRIM('Raw Sales'!M900))</x:f>
        <x:v>Cash</x:v>
      </x:c>
      <x:c r="AB900" s="84" t="str">
        <x:f>PROPER(TRIM('Raw Sales'!N900))</x:f>
        <x:v>Nora Kim</x:v>
      </x:c>
      <x:c r="AC900" s="85" t="n">
        <x:f>'Raw Sales'!O900</x:f>
        <x:v>45605</x:v>
      </x:c>
      <x:c r="AD900" s="84" t="n">
        <x:f>AC900-B900</x:f>
        <x:v>0</x:v>
      </x:c>
      <x:c r="AE900" s="84" t="str">
        <x:f>IF(COUNTIF($A$5:A900,A900)&gt;1,"Duplicate","Keep")</x:f>
        <x:v>Keep</x:v>
      </x:c>
      <x:c r="AF900" s="84" t="str">
        <x:f>IF(OR(R900&lt;=0,AC900&lt;B900,H900="Unknown",M900="Unknown Product"),"Review","Valid")</x:f>
        <x:v>Valid</x:v>
      </x:c>
      <x:c r="AG900" s="84" t="n">
        <x:f>IF(AND(AE900="Keep",AF900="Valid"),1,0)</x:f>
        <x:v>1</x:v>
      </x:c>
      <x:c r="AH900" s="84" t="n">
        <x:f>IF(AND(AG900=1,OR('Dashboard'!$B$4="All",I900='Dashboard'!$B$4),OR('Dashboard'!$E$4="All",N900='Dashboard'!$E$4),OR('Dashboard'!$H$4="All",K900='Dashboard'!$H$4),OR('Dashboard'!$K$4="All",C900='Dashboard'!$K$4)),1,0)</x:f>
        <x:v>1</x:v>
      </x:c>
      <x:c r="AI900" s="84" t="n">
        <x:f>IF(AND(AG900=1,OR('Dashboard'!$B$4="All",I900='Dashboard'!$B$4),OR('Dashboard'!$E$4="All",N900='Dashboard'!$E$4),OR('Dashboard'!$H$4="All",K900='Dashboard'!$H$4)),1,0)</x:f>
        <x:v>1</x:v>
      </x:c>
    </x:row>
    <x:row r="901">
      <x:c r="A901" s="84" t="str">
        <x:f>'Raw Sales'!A901</x:f>
        <x:v>ORD-2024-01672</x:v>
      </x:c>
      <x:c r="B901" s="85" t="n">
        <x:f>'Raw Sales'!B901</x:f>
        <x:v>45605</x:v>
      </x:c>
      <x:c r="C901" s="84" t="n">
        <x:f>YEAR(B901)</x:f>
        <x:v>2024</x:v>
      </x:c>
      <x:c r="D901" s="91" t="n">
        <x:f>DATE(YEAR(B901),MONTH(B901),1)</x:f>
        <x:v>45597</x:v>
      </x:c>
      <x:c r="E901" s="84" t="str">
        <x:f>TEXT(B901,"mmm")</x:f>
        <x:v>Nov</x:v>
      </x:c>
      <x:c r="F901" s="84" t="str">
        <x:f>'Raw Sales'!C901</x:f>
        <x:v>CUST-0586</x:v>
      </x:c>
      <x:c r="G901" s="84" t="str">
        <x:f>PROPER(TRIM('Raw Sales'!D901))</x:f>
        <x:v>Isaac Adams</x:v>
      </x:c>
      <x:c r="H901" s="84" t="str">
        <x:f>IF(TRIM('Raw Sales'!E901)="","Unknown",PROPER(TRIM('Raw Sales'!E901)))</x:f>
        <x:v>Small Business</x:v>
      </x:c>
      <x:c r="I901" s="84" t="str">
        <x:f>PROPER(TRIM('Raw Sales'!F901))</x:f>
        <x:v>Midwest</x:v>
      </x:c>
      <x:c r="J901" s="84" t="str">
        <x:f>PROPER(TRIM('Raw Sales'!G901))</x:f>
        <x:v>Detroit</x:v>
      </x:c>
      <x:c r="K901" s="84" t="str">
        <x:f>PROPER(TRIM('Raw Sales'!H901))</x:f>
        <x:v>Retail Store</x:v>
      </x:c>
      <x:c r="L901" s="84" t="str">
        <x:f>'Raw Sales'!I901</x:f>
        <x:v>ACCS-001</x:v>
      </x:c>
      <x:c r="M901" s="84" t="str">
        <x:f>IFERROR(VLOOKUP(L901,'Reference Data'!$A$5:$F$40,2,FALSE),"Unknown Product")</x:f>
        <x:v>Canvas Tote Bag</x:v>
      </x:c>
      <x:c r="N901" s="84" t="str">
        <x:f>IFERROR(VLOOKUP(L901,'Reference Data'!$A$5:$F$40,3,FALSE),"Unknown")</x:f>
        <x:v>Accessories</x:v>
      </x:c>
      <x:c r="O901" s="84" t="str">
        <x:f>IFERROR(VLOOKUP(L901,'Reference Data'!$A$5:$F$40,4,FALSE),"Unknown")</x:f>
        <x:v>Bags</x:v>
      </x:c>
      <x:c r="P901" s="92" t="n">
        <x:f>IFERROR(VLOOKUP(L901,'Reference Data'!$A$5:$F$40,5,FALSE),0)</x:f>
        <x:v>39</x:v>
      </x:c>
      <x:c r="Q901" s="92" t="n">
        <x:f>IFERROR(VLOOKUP(L901,'Reference Data'!$A$5:$F$40,6,FALSE),0)</x:f>
        <x:v>14</x:v>
      </x:c>
      <x:c r="R901" s="84" t="n">
        <x:f>'Raw Sales'!J901</x:f>
        <x:v>1</x:v>
      </x:c>
      <x:c r="S901" s="87" t="n">
        <x:f>'Raw Sales'!K901</x:f>
        <x:v>0</x:v>
      </x:c>
      <x:c r="T901" s="93" t="n">
        <x:f>P901*R901</x:f>
        <x:v>39</x:v>
      </x:c>
      <x:c r="U901" s="93" t="n">
        <x:f>T901*S901</x:f>
        <x:v>0</x:v>
      </x:c>
      <x:c r="V901" s="93" t="str">
        <x:f>PROPER(TRIM('Raw Sales'!L901))</x:f>
        <x:v>Completed</x:v>
      </x:c>
      <x:c r="W901" s="93" t="n">
        <x:f>IF(V901="Returned",0,T901-U901)</x:f>
        <x:v>39</x:v>
      </x:c>
      <x:c r="X901" s="93" t="n">
        <x:f>IF(V901="Returned",Q901*R901*10%,Q901*R901)</x:f>
        <x:v>14</x:v>
      </x:c>
      <x:c r="Y901" s="93" t="n">
        <x:f>W901-X901</x:f>
        <x:v>25</x:v>
      </x:c>
      <x:c r="Z901" s="94" t="n">
        <x:f>IFERROR(Y901/W901,0)</x:f>
        <x:v>0.6410256410256411</x:v>
      </x:c>
      <x:c r="AA901" s="84" t="str">
        <x:f>PROPER(TRIM('Raw Sales'!M901))</x:f>
        <x:v>Debit Card</x:v>
      </x:c>
      <x:c r="AB901" s="84" t="str">
        <x:f>PROPER(TRIM('Raw Sales'!N901))</x:f>
        <x:v>Zoe Turner</x:v>
      </x:c>
      <x:c r="AC901" s="85" t="n">
        <x:f>'Raw Sales'!O901</x:f>
        <x:v>45606</x:v>
      </x:c>
      <x:c r="AD901" s="84" t="n">
        <x:f>AC901-B901</x:f>
        <x:v>1</x:v>
      </x:c>
      <x:c r="AE901" s="84" t="str">
        <x:f>IF(COUNTIF($A$5:A901,A901)&gt;1,"Duplicate","Keep")</x:f>
        <x:v>Keep</x:v>
      </x:c>
      <x:c r="AF901" s="84" t="str">
        <x:f>IF(OR(R901&lt;=0,AC901&lt;B901,H901="Unknown",M901="Unknown Product"),"Review","Valid")</x:f>
        <x:v>Valid</x:v>
      </x:c>
      <x:c r="AG901" s="84" t="n">
        <x:f>IF(AND(AE901="Keep",AF901="Valid"),1,0)</x:f>
        <x:v>1</x:v>
      </x:c>
      <x:c r="AH901" s="84" t="n">
        <x:f>IF(AND(AG901=1,OR('Dashboard'!$B$4="All",I901='Dashboard'!$B$4),OR('Dashboard'!$E$4="All",N901='Dashboard'!$E$4),OR('Dashboard'!$H$4="All",K901='Dashboard'!$H$4),OR('Dashboard'!$K$4="All",C901='Dashboard'!$K$4)),1,0)</x:f>
        <x:v>1</x:v>
      </x:c>
      <x:c r="AI901" s="84" t="n">
        <x:f>IF(AND(AG901=1,OR('Dashboard'!$B$4="All",I901='Dashboard'!$B$4),OR('Dashboard'!$E$4="All",N901='Dashboard'!$E$4),OR('Dashboard'!$H$4="All",K901='Dashboard'!$H$4)),1,0)</x:f>
        <x:v>1</x:v>
      </x:c>
    </x:row>
    <x:row r="902">
      <x:c r="A902" s="84" t="str">
        <x:f>'Raw Sales'!A902</x:f>
        <x:v>ORD-2024-02184</x:v>
      </x:c>
      <x:c r="B902" s="85" t="n">
        <x:f>'Raw Sales'!B902</x:f>
        <x:v>45605</x:v>
      </x:c>
      <x:c r="C902" s="84" t="n">
        <x:f>YEAR(B902)</x:f>
        <x:v>2024</x:v>
      </x:c>
      <x:c r="D902" s="91" t="n">
        <x:f>DATE(YEAR(B902),MONTH(B902),1)</x:f>
        <x:v>45597</x:v>
      </x:c>
      <x:c r="E902" s="84" t="str">
        <x:f>TEXT(B902,"mmm")</x:f>
        <x:v>Nov</x:v>
      </x:c>
      <x:c r="F902" s="84" t="str">
        <x:f>'Raw Sales'!C902</x:f>
        <x:v>CUST-0617</x:v>
      </x:c>
      <x:c r="G902" s="84" t="str">
        <x:f>PROPER(TRIM('Raw Sales'!D902))</x:f>
        <x:v>Layla Hall</x:v>
      </x:c>
      <x:c r="H902" s="84" t="str">
        <x:f>IF(TRIM('Raw Sales'!E902)="","Unknown",PROPER(TRIM('Raw Sales'!E902)))</x:f>
        <x:v>Consumer</x:v>
      </x:c>
      <x:c r="I902" s="84" t="str">
        <x:f>PROPER(TRIM('Raw Sales'!F902))</x:f>
        <x:v>Southeast</x:v>
      </x:c>
      <x:c r="J902" s="84" t="str">
        <x:f>PROPER(TRIM('Raw Sales'!G902))</x:f>
        <x:v>Nashville</x:v>
      </x:c>
      <x:c r="K902" s="84" t="str">
        <x:f>PROPER(TRIM('Raw Sales'!H902))</x:f>
        <x:v>Retail Store</x:v>
      </x:c>
      <x:c r="L902" s="84" t="str">
        <x:f>'Raw Sales'!I902</x:f>
        <x:v>ELEC-004</x:v>
      </x:c>
      <x:c r="M902" s="84" t="str">
        <x:f>IFERROR(VLOOKUP(L902,'Reference Data'!$A$5:$F$40,2,FALSE),"Unknown Product")</x:f>
        <x:v>Power Bank</x:v>
      </x:c>
      <x:c r="N902" s="84" t="str">
        <x:f>IFERROR(VLOOKUP(L902,'Reference Data'!$A$5:$F$40,3,FALSE),"Unknown")</x:f>
        <x:v>Electronics</x:v>
      </x:c>
      <x:c r="O902" s="84" t="str">
        <x:f>IFERROR(VLOOKUP(L902,'Reference Data'!$A$5:$F$40,4,FALSE),"Unknown")</x:f>
        <x:v>Mobile Accessories</x:v>
      </x:c>
      <x:c r="P902" s="92" t="n">
        <x:f>IFERROR(VLOOKUP(L902,'Reference Data'!$A$5:$F$40,5,FALSE),0)</x:f>
        <x:v>39</x:v>
      </x:c>
      <x:c r="Q902" s="92" t="n">
        <x:f>IFERROR(VLOOKUP(L902,'Reference Data'!$A$5:$F$40,6,FALSE),0)</x:f>
        <x:v>18</x:v>
      </x:c>
      <x:c r="R902" s="84" t="n">
        <x:f>'Raw Sales'!J902</x:f>
        <x:v>1</x:v>
      </x:c>
      <x:c r="S902" s="87" t="n">
        <x:f>'Raw Sales'!K902</x:f>
        <x:v>0.1</x:v>
      </x:c>
      <x:c r="T902" s="93" t="n">
        <x:f>P902*R902</x:f>
        <x:v>39</x:v>
      </x:c>
      <x:c r="U902" s="93" t="n">
        <x:f>T902*S902</x:f>
        <x:v>3.9000000000000004</x:v>
      </x:c>
      <x:c r="V902" s="93" t="str">
        <x:f>PROPER(TRIM('Raw Sales'!L902))</x:f>
        <x:v>Completed</x:v>
      </x:c>
      <x:c r="W902" s="93" t="n">
        <x:f>IF(V902="Returned",0,T902-U902)</x:f>
        <x:v>35.1</x:v>
      </x:c>
      <x:c r="X902" s="93" t="n">
        <x:f>IF(V902="Returned",Q902*R902*10%,Q902*R902)</x:f>
        <x:v>18</x:v>
      </x:c>
      <x:c r="Y902" s="93" t="n">
        <x:f>W902-X902</x:f>
        <x:v>17.1</x:v>
      </x:c>
      <x:c r="Z902" s="94" t="n">
        <x:f>IFERROR(Y902/W902,0)</x:f>
        <x:v>0.4871794871794872</x:v>
      </x:c>
      <x:c r="AA902" s="84" t="str">
        <x:f>PROPER(TRIM('Raw Sales'!M902))</x:f>
        <x:v>Mobile Wallet</x:v>
      </x:c>
      <x:c r="AB902" s="84" t="str">
        <x:f>PROPER(TRIM('Raw Sales'!N902))</x:f>
        <x:v>Noah Reed</x:v>
      </x:c>
      <x:c r="AC902" s="85" t="n">
        <x:f>'Raw Sales'!O902</x:f>
        <x:v>45605</x:v>
      </x:c>
      <x:c r="AD902" s="84" t="n">
        <x:f>AC902-B902</x:f>
        <x:v>0</x:v>
      </x:c>
      <x:c r="AE902" s="84" t="str">
        <x:f>IF(COUNTIF($A$5:A902,A902)&gt;1,"Duplicate","Keep")</x:f>
        <x:v>Keep</x:v>
      </x:c>
      <x:c r="AF902" s="84" t="str">
        <x:f>IF(OR(R902&lt;=0,AC902&lt;B902,H902="Unknown",M902="Unknown Product"),"Review","Valid")</x:f>
        <x:v>Valid</x:v>
      </x:c>
      <x:c r="AG902" s="84" t="n">
        <x:f>IF(AND(AE902="Keep",AF902="Valid"),1,0)</x:f>
        <x:v>1</x:v>
      </x:c>
      <x:c r="AH902" s="84" t="n">
        <x:f>IF(AND(AG902=1,OR('Dashboard'!$B$4="All",I902='Dashboard'!$B$4),OR('Dashboard'!$E$4="All",N902='Dashboard'!$E$4),OR('Dashboard'!$H$4="All",K902='Dashboard'!$H$4),OR('Dashboard'!$K$4="All",C902='Dashboard'!$K$4)),1,0)</x:f>
        <x:v>1</x:v>
      </x:c>
      <x:c r="AI902" s="84" t="n">
        <x:f>IF(AND(AG902=1,OR('Dashboard'!$B$4="All",I902='Dashboard'!$B$4),OR('Dashboard'!$E$4="All",N902='Dashboard'!$E$4),OR('Dashboard'!$H$4="All",K902='Dashboard'!$H$4)),1,0)</x:f>
        <x:v>1</x:v>
      </x:c>
    </x:row>
    <x:row r="903">
      <x:c r="A903" s="84" t="str">
        <x:f>'Raw Sales'!A903</x:f>
        <x:v>ORD-2024-01148</x:v>
      </x:c>
      <x:c r="B903" s="85" t="n">
        <x:f>'Raw Sales'!B903</x:f>
        <x:v>45606</x:v>
      </x:c>
      <x:c r="C903" s="84" t="n">
        <x:f>YEAR(B903)</x:f>
        <x:v>2024</x:v>
      </x:c>
      <x:c r="D903" s="91" t="n">
        <x:f>DATE(YEAR(B903),MONTH(B903),1)</x:f>
        <x:v>45597</x:v>
      </x:c>
      <x:c r="E903" s="84" t="str">
        <x:f>TEXT(B903,"mmm")</x:f>
        <x:v>Nov</x:v>
      </x:c>
      <x:c r="F903" s="84" t="str">
        <x:f>'Raw Sales'!C903</x:f>
        <x:v>CUST-0132</x:v>
      </x:c>
      <x:c r="G903" s="84" t="str">
        <x:f>PROPER(TRIM('Raw Sales'!D903))</x:f>
        <x:v>Chloe Taylor</x:v>
      </x:c>
      <x:c r="H903" s="84" t="str">
        <x:f>IF(TRIM('Raw Sales'!E903)="","Unknown",PROPER(TRIM('Raw Sales'!E903)))</x:f>
        <x:v>Corporate</x:v>
      </x:c>
      <x:c r="I903" s="84" t="str">
        <x:f>PROPER(TRIM('Raw Sales'!F903))</x:f>
        <x:v>Southeast</x:v>
      </x:c>
      <x:c r="J903" s="84" t="str">
        <x:f>PROPER(TRIM('Raw Sales'!G903))</x:f>
        <x:v>Atlanta</x:v>
      </x:c>
      <x:c r="K903" s="84" t="str">
        <x:f>PROPER(TRIM('Raw Sales'!H903))</x:f>
        <x:v>Retail Store</x:v>
      </x:c>
      <x:c r="L903" s="84" t="str">
        <x:f>'Raw Sales'!I903</x:f>
        <x:v>ACCS-004</x:v>
      </x:c>
      <x:c r="M903" s="84" t="str">
        <x:f>IFERROR(VLOOKUP(L903,'Reference Data'!$A$5:$F$40,2,FALSE),"Unknown Product")</x:f>
        <x:v>Leather Wallet</x:v>
      </x:c>
      <x:c r="N903" s="84" t="str">
        <x:f>IFERROR(VLOOKUP(L903,'Reference Data'!$A$5:$F$40,3,FALSE),"Unknown")</x:f>
        <x:v>Accessories</x:v>
      </x:c>
      <x:c r="O903" s="84" t="str">
        <x:f>IFERROR(VLOOKUP(L903,'Reference Data'!$A$5:$F$40,4,FALSE),"Unknown")</x:f>
        <x:v>Wallets</x:v>
      </x:c>
      <x:c r="P903" s="92" t="n">
        <x:f>IFERROR(VLOOKUP(L903,'Reference Data'!$A$5:$F$40,5,FALSE),0)</x:f>
        <x:v>49</x:v>
      </x:c>
      <x:c r="Q903" s="92" t="n">
        <x:f>IFERROR(VLOOKUP(L903,'Reference Data'!$A$5:$F$40,6,FALSE),0)</x:f>
        <x:v>18</x:v>
      </x:c>
      <x:c r="R903" s="84" t="n">
        <x:f>'Raw Sales'!J903</x:f>
        <x:v>8</x:v>
      </x:c>
      <x:c r="S903" s="87" t="n">
        <x:f>'Raw Sales'!K903</x:f>
        <x:v>0</x:v>
      </x:c>
      <x:c r="T903" s="93" t="n">
        <x:f>P903*R903</x:f>
        <x:v>392</x:v>
      </x:c>
      <x:c r="U903" s="93" t="n">
        <x:f>T903*S903</x:f>
        <x:v>0</x:v>
      </x:c>
      <x:c r="V903" s="93" t="str">
        <x:f>PROPER(TRIM('Raw Sales'!L903))</x:f>
        <x:v>Completed</x:v>
      </x:c>
      <x:c r="W903" s="93" t="n">
        <x:f>IF(V903="Returned",0,T903-U903)</x:f>
        <x:v>392</x:v>
      </x:c>
      <x:c r="X903" s="93" t="n">
        <x:f>IF(V903="Returned",Q903*R903*10%,Q903*R903)</x:f>
        <x:v>144</x:v>
      </x:c>
      <x:c r="Y903" s="93" t="n">
        <x:f>W903-X903</x:f>
        <x:v>248</x:v>
      </x:c>
      <x:c r="Z903" s="94" t="n">
        <x:f>IFERROR(Y903/W903,0)</x:f>
        <x:v>0.6326530612244898</x:v>
      </x:c>
      <x:c r="AA903" s="84" t="str">
        <x:f>PROPER(TRIM('Raw Sales'!M903))</x:f>
        <x:v>Debit Card</x:v>
      </x:c>
      <x:c r="AB903" s="84" t="str">
        <x:f>PROPER(TRIM('Raw Sales'!N903))</x:f>
        <x:v>Ava Mitchell</x:v>
      </x:c>
      <x:c r="AC903" s="85" t="n">
        <x:f>'Raw Sales'!O903</x:f>
        <x:v>45606</x:v>
      </x:c>
      <x:c r="AD903" s="84" t="n">
        <x:f>AC903-B903</x:f>
        <x:v>0</x:v>
      </x:c>
      <x:c r="AE903" s="84" t="str">
        <x:f>IF(COUNTIF($A$5:A903,A903)&gt;1,"Duplicate","Keep")</x:f>
        <x:v>Keep</x:v>
      </x:c>
      <x:c r="AF903" s="84" t="str">
        <x:f>IF(OR(R903&lt;=0,AC903&lt;B903,H903="Unknown",M903="Unknown Product"),"Review","Valid")</x:f>
        <x:v>Valid</x:v>
      </x:c>
      <x:c r="AG903" s="84" t="n">
        <x:f>IF(AND(AE903="Keep",AF903="Valid"),1,0)</x:f>
        <x:v>1</x:v>
      </x:c>
      <x:c r="AH903" s="84" t="n">
        <x:f>IF(AND(AG903=1,OR('Dashboard'!$B$4="All",I903='Dashboard'!$B$4),OR('Dashboard'!$E$4="All",N903='Dashboard'!$E$4),OR('Dashboard'!$H$4="All",K903='Dashboard'!$H$4),OR('Dashboard'!$K$4="All",C903='Dashboard'!$K$4)),1,0)</x:f>
        <x:v>1</x:v>
      </x:c>
      <x:c r="AI903" s="84" t="n">
        <x:f>IF(AND(AG903=1,OR('Dashboard'!$B$4="All",I903='Dashboard'!$B$4),OR('Dashboard'!$E$4="All",N903='Dashboard'!$E$4),OR('Dashboard'!$H$4="All",K903='Dashboard'!$H$4)),1,0)</x:f>
        <x:v>1</x:v>
      </x:c>
    </x:row>
    <x:row r="904">
      <x:c r="A904" s="84" t="str">
        <x:f>'Raw Sales'!A904</x:f>
        <x:v>ORD-2024-01594</x:v>
      </x:c>
      <x:c r="B904" s="85" t="n">
        <x:f>'Raw Sales'!B904</x:f>
        <x:v>45606</x:v>
      </x:c>
      <x:c r="C904" s="84" t="n">
        <x:f>YEAR(B904)</x:f>
        <x:v>2024</x:v>
      </x:c>
      <x:c r="D904" s="91" t="n">
        <x:f>DATE(YEAR(B904),MONTH(B904),1)</x:f>
        <x:v>45597</x:v>
      </x:c>
      <x:c r="E904" s="84" t="str">
        <x:f>TEXT(B904,"mmm")</x:f>
        <x:v>Nov</x:v>
      </x:c>
      <x:c r="F904" s="84" t="str">
        <x:f>'Raw Sales'!C904</x:f>
        <x:v>CUST-0617</x:v>
      </x:c>
      <x:c r="G904" s="84" t="str">
        <x:f>PROPER(TRIM('Raw Sales'!D904))</x:f>
        <x:v>Layla Hall</x:v>
      </x:c>
      <x:c r="H904" s="84" t="str">
        <x:f>IF(TRIM('Raw Sales'!E904)="","Unknown",PROPER(TRIM('Raw Sales'!E904)))</x:f>
        <x:v>Consumer</x:v>
      </x:c>
      <x:c r="I904" s="84" t="str">
        <x:f>PROPER(TRIM('Raw Sales'!F904))</x:f>
        <x:v>Southeast</x:v>
      </x:c>
      <x:c r="J904" s="84" t="str">
        <x:f>PROPER(TRIM('Raw Sales'!G904))</x:f>
        <x:v>Nashville</x:v>
      </x:c>
      <x:c r="K904" s="84" t="str">
        <x:f>PROPER(TRIM('Raw Sales'!H904))</x:f>
        <x:v>Retail Store</x:v>
      </x:c>
      <x:c r="L904" s="84" t="str">
        <x:f>'Raw Sales'!I904</x:f>
        <x:v>ELEC-002</x:v>
      </x:c>
      <x:c r="M904" s="84" t="str">
        <x:f>IFERROR(VLOOKUP(L904,'Reference Data'!$A$5:$F$40,2,FALSE),"Unknown Product")</x:f>
        <x:v>Smartwatch</x:v>
      </x:c>
      <x:c r="N904" s="84" t="str">
        <x:f>IFERROR(VLOOKUP(L904,'Reference Data'!$A$5:$F$40,3,FALSE),"Unknown")</x:f>
        <x:v>Electronics</x:v>
      </x:c>
      <x:c r="O904" s="84" t="str">
        <x:f>IFERROR(VLOOKUP(L904,'Reference Data'!$A$5:$F$40,4,FALSE),"Unknown")</x:f>
        <x:v>Wearables</x:v>
      </x:c>
      <x:c r="P904" s="92" t="n">
        <x:f>IFERROR(VLOOKUP(L904,'Reference Data'!$A$5:$F$40,5,FALSE),0)</x:f>
        <x:v>159</x:v>
      </x:c>
      <x:c r="Q904" s="92" t="n">
        <x:f>IFERROR(VLOOKUP(L904,'Reference Data'!$A$5:$F$40,6,FALSE),0)</x:f>
        <x:v>92</x:v>
      </x:c>
      <x:c r="R904" s="84" t="n">
        <x:f>'Raw Sales'!J904</x:f>
        <x:v>1</x:v>
      </x:c>
      <x:c r="S904" s="87" t="n">
        <x:f>'Raw Sales'!K904</x:f>
        <x:v>0.2</x:v>
      </x:c>
      <x:c r="T904" s="93" t="n">
        <x:f>P904*R904</x:f>
        <x:v>159</x:v>
      </x:c>
      <x:c r="U904" s="93" t="n">
        <x:f>T904*S904</x:f>
        <x:v>31.8</x:v>
      </x:c>
      <x:c r="V904" s="93" t="str">
        <x:f>PROPER(TRIM('Raw Sales'!L904))</x:f>
        <x:v>Completed</x:v>
      </x:c>
      <x:c r="W904" s="93" t="n">
        <x:f>IF(V904="Returned",0,T904-U904)</x:f>
        <x:v>127.2</x:v>
      </x:c>
      <x:c r="X904" s="93" t="n">
        <x:f>IF(V904="Returned",Q904*R904*10%,Q904*R904)</x:f>
        <x:v>92</x:v>
      </x:c>
      <x:c r="Y904" s="93" t="n">
        <x:f>W904-X904</x:f>
        <x:v>35.2</x:v>
      </x:c>
      <x:c r="Z904" s="94" t="n">
        <x:f>IFERROR(Y904/W904,0)</x:f>
        <x:v>0.27672955974842767</x:v>
      </x:c>
      <x:c r="AA904" s="84" t="str">
        <x:f>PROPER(TRIM('Raw Sales'!M904))</x:f>
        <x:v>Debit Card</x:v>
      </x:c>
      <x:c r="AB904" s="84" t="str">
        <x:f>PROPER(TRIM('Raw Sales'!N904))</x:f>
        <x:v>Ava Mitchell</x:v>
      </x:c>
      <x:c r="AC904" s="85" t="n">
        <x:f>'Raw Sales'!O904</x:f>
        <x:v>45607</x:v>
      </x:c>
      <x:c r="AD904" s="84" t="n">
        <x:f>AC904-B904</x:f>
        <x:v>1</x:v>
      </x:c>
      <x:c r="AE904" s="84" t="str">
        <x:f>IF(COUNTIF($A$5:A904,A904)&gt;1,"Duplicate","Keep")</x:f>
        <x:v>Keep</x:v>
      </x:c>
      <x:c r="AF904" s="84" t="str">
        <x:f>IF(OR(R904&lt;=0,AC904&lt;B904,H904="Unknown",M904="Unknown Product"),"Review","Valid")</x:f>
        <x:v>Valid</x:v>
      </x:c>
      <x:c r="AG904" s="84" t="n">
        <x:f>IF(AND(AE904="Keep",AF904="Valid"),1,0)</x:f>
        <x:v>1</x:v>
      </x:c>
      <x:c r="AH904" s="84" t="n">
        <x:f>IF(AND(AG904=1,OR('Dashboard'!$B$4="All",I904='Dashboard'!$B$4),OR('Dashboard'!$E$4="All",N904='Dashboard'!$E$4),OR('Dashboard'!$H$4="All",K904='Dashboard'!$H$4),OR('Dashboard'!$K$4="All",C904='Dashboard'!$K$4)),1,0)</x:f>
        <x:v>1</x:v>
      </x:c>
      <x:c r="AI904" s="84" t="n">
        <x:f>IF(AND(AG904=1,OR('Dashboard'!$B$4="All",I904='Dashboard'!$B$4),OR('Dashboard'!$E$4="All",N904='Dashboard'!$E$4),OR('Dashboard'!$H$4="All",K904='Dashboard'!$H$4)),1,0)</x:f>
        <x:v>1</x:v>
      </x:c>
    </x:row>
    <x:row r="905">
      <x:c r="A905" s="84" t="str">
        <x:f>'Raw Sales'!A905</x:f>
        <x:v>ORD-2024-00261</x:v>
      </x:c>
      <x:c r="B905" s="85" t="n">
        <x:f>'Raw Sales'!B905</x:f>
        <x:v>45607</x:v>
      </x:c>
      <x:c r="C905" s="84" t="n">
        <x:f>YEAR(B905)</x:f>
        <x:v>2024</x:v>
      </x:c>
      <x:c r="D905" s="91" t="n">
        <x:f>DATE(YEAR(B905),MONTH(B905),1)</x:f>
        <x:v>45597</x:v>
      </x:c>
      <x:c r="E905" s="84" t="str">
        <x:f>TEXT(B905,"mmm")</x:f>
        <x:v>Nov</x:v>
      </x:c>
      <x:c r="F905" s="84" t="str">
        <x:f>'Raw Sales'!C905</x:f>
        <x:v>CUST-0538</x:v>
      </x:c>
      <x:c r="G905" s="84" t="str">
        <x:f>PROPER(TRIM('Raw Sales'!D905))</x:f>
        <x:v>Elena Ortiz</x:v>
      </x:c>
      <x:c r="H905" s="84" t="str">
        <x:f>IF(TRIM('Raw Sales'!E905)="","Unknown",PROPER(TRIM('Raw Sales'!E905)))</x:f>
        <x:v>Consumer</x:v>
      </x:c>
      <x:c r="I905" s="84" t="str">
        <x:f>PROPER(TRIM('Raw Sales'!F905))</x:f>
        <x:v>West</x:v>
      </x:c>
      <x:c r="J905" s="84" t="str">
        <x:f>PROPER(TRIM('Raw Sales'!G905))</x:f>
        <x:v>Seattle</x:v>
      </x:c>
      <x:c r="K905" s="84" t="str">
        <x:f>PROPER(TRIM('Raw Sales'!H905))</x:f>
        <x:v>Online</x:v>
      </x:c>
      <x:c r="L905" s="84" t="str">
        <x:f>'Raw Sales'!I905</x:f>
        <x:v>ELEC-001</x:v>
      </x:c>
      <x:c r="M905" s="84" t="str">
        <x:f>IFERROR(VLOOKUP(L905,'Reference Data'!$A$5:$F$40,2,FALSE),"Unknown Product")</x:f>
        <x:v>Wireless Earbuds</x:v>
      </x:c>
      <x:c r="N905" s="84" t="str">
        <x:f>IFERROR(VLOOKUP(L905,'Reference Data'!$A$5:$F$40,3,FALSE),"Unknown")</x:f>
        <x:v>Electronics</x:v>
      </x:c>
      <x:c r="O905" s="84" t="str">
        <x:f>IFERROR(VLOOKUP(L905,'Reference Data'!$A$5:$F$40,4,FALSE),"Unknown")</x:f>
        <x:v>Audio</x:v>
      </x:c>
      <x:c r="P905" s="92" t="n">
        <x:f>IFERROR(VLOOKUP(L905,'Reference Data'!$A$5:$F$40,5,FALSE),0)</x:f>
        <x:v>69</x:v>
      </x:c>
      <x:c r="Q905" s="92" t="n">
        <x:f>IFERROR(VLOOKUP(L905,'Reference Data'!$A$5:$F$40,6,FALSE),0)</x:f>
        <x:v>36</x:v>
      </x:c>
      <x:c r="R905" s="84" t="n">
        <x:f>'Raw Sales'!J905</x:f>
        <x:v>1</x:v>
      </x:c>
      <x:c r="S905" s="87" t="n">
        <x:f>'Raw Sales'!K905</x:f>
        <x:v>0.15</x:v>
      </x:c>
      <x:c r="T905" s="93" t="n">
        <x:f>P905*R905</x:f>
        <x:v>69</x:v>
      </x:c>
      <x:c r="U905" s="93" t="n">
        <x:f>T905*S905</x:f>
        <x:v>10.35</x:v>
      </x:c>
      <x:c r="V905" s="93" t="str">
        <x:f>PROPER(TRIM('Raw Sales'!L905))</x:f>
        <x:v>Completed</x:v>
      </x:c>
      <x:c r="W905" s="93" t="n">
        <x:f>IF(V905="Returned",0,T905-U905)</x:f>
        <x:v>58.65</x:v>
      </x:c>
      <x:c r="X905" s="93" t="n">
        <x:f>IF(V905="Returned",Q905*R905*10%,Q905*R905)</x:f>
        <x:v>36</x:v>
      </x:c>
      <x:c r="Y905" s="93" t="n">
        <x:f>W905-X905</x:f>
        <x:v>22.65</x:v>
      </x:c>
      <x:c r="Z905" s="94" t="n">
        <x:f>IFERROR(Y905/W905,0)</x:f>
        <x:v>0.38618925831202044</x:v>
      </x:c>
      <x:c r="AA905" s="84" t="str">
        <x:f>PROPER(TRIM('Raw Sales'!M905))</x:f>
        <x:v>Paypal</x:v>
      </x:c>
      <x:c r="AB905" s="84" t="str">
        <x:f>PROPER(TRIM('Raw Sales'!N905))</x:f>
        <x:v>Nora Kim</x:v>
      </x:c>
      <x:c r="AC905" s="85" t="n">
        <x:f>'Raw Sales'!O905</x:f>
        <x:v>45611</x:v>
      </x:c>
      <x:c r="AD905" s="84" t="n">
        <x:f>AC905-B905</x:f>
        <x:v>4</x:v>
      </x:c>
      <x:c r="AE905" s="84" t="str">
        <x:f>IF(COUNTIF($A$5:A905,A905)&gt;1,"Duplicate","Keep")</x:f>
        <x:v>Keep</x:v>
      </x:c>
      <x:c r="AF905" s="84" t="str">
        <x:f>IF(OR(R905&lt;=0,AC905&lt;B905,H905="Unknown",M905="Unknown Product"),"Review","Valid")</x:f>
        <x:v>Valid</x:v>
      </x:c>
      <x:c r="AG905" s="84" t="n">
        <x:f>IF(AND(AE905="Keep",AF905="Valid"),1,0)</x:f>
        <x:v>1</x:v>
      </x:c>
      <x:c r="AH905" s="84" t="n">
        <x:f>IF(AND(AG905=1,OR('Dashboard'!$B$4="All",I905='Dashboard'!$B$4),OR('Dashboard'!$E$4="All",N905='Dashboard'!$E$4),OR('Dashboard'!$H$4="All",K905='Dashboard'!$H$4),OR('Dashboard'!$K$4="All",C905='Dashboard'!$K$4)),1,0)</x:f>
        <x:v>1</x:v>
      </x:c>
      <x:c r="AI905" s="84" t="n">
        <x:f>IF(AND(AG905=1,OR('Dashboard'!$B$4="All",I905='Dashboard'!$B$4),OR('Dashboard'!$E$4="All",N905='Dashboard'!$E$4),OR('Dashboard'!$H$4="All",K905='Dashboard'!$H$4)),1,0)</x:f>
        <x:v>1</x:v>
      </x:c>
    </x:row>
    <x:row r="906">
      <x:c r="A906" s="84" t="str">
        <x:f>'Raw Sales'!A906</x:f>
        <x:v>ORD-2024-00504</x:v>
      </x:c>
      <x:c r="B906" s="85" t="n">
        <x:f>'Raw Sales'!B906</x:f>
        <x:v>45607</x:v>
      </x:c>
      <x:c r="C906" s="84" t="n">
        <x:f>YEAR(B906)</x:f>
        <x:v>2024</x:v>
      </x:c>
      <x:c r="D906" s="91" t="n">
        <x:f>DATE(YEAR(B906),MONTH(B906),1)</x:f>
        <x:v>45597</x:v>
      </x:c>
      <x:c r="E906" s="84" t="str">
        <x:f>TEXT(B906,"mmm")</x:f>
        <x:v>Nov</x:v>
      </x:c>
      <x:c r="F906" s="84" t="str">
        <x:f>'Raw Sales'!C906</x:f>
        <x:v>CUST-0103</x:v>
      </x:c>
      <x:c r="G906" s="84" t="str">
        <x:f>PROPER(TRIM('Raw Sales'!D906))</x:f>
        <x:v>Layla Garcia</x:v>
      </x:c>
      <x:c r="H906" s="84" t="str">
        <x:f>IF(TRIM('Raw Sales'!E906)="","Unknown",PROPER(TRIM('Raw Sales'!E906)))</x:f>
        <x:v>Consumer</x:v>
      </x:c>
      <x:c r="I906" s="84" t="str">
        <x:f>PROPER(TRIM('Raw Sales'!F906))</x:f>
        <x:v>Southeast</x:v>
      </x:c>
      <x:c r="J906" s="84" t="str">
        <x:f>PROPER(TRIM('Raw Sales'!G906))</x:f>
        <x:v>Atlanta</x:v>
      </x:c>
      <x:c r="K906" s="84" t="str">
        <x:f>PROPER(TRIM('Raw Sales'!H906))</x:f>
        <x:v>Retail Store</x:v>
      </x:c>
      <x:c r="L906" s="84" t="str">
        <x:f>'Raw Sales'!I906</x:f>
        <x:v>ELEC-006</x:v>
      </x:c>
      <x:c r="M906" s="84" t="str">
        <x:f>IFERROR(VLOOKUP(L906,'Reference Data'!$A$5:$F$40,2,FALSE),"Unknown Product")</x:f>
        <x:v>Portable SSD</x:v>
      </x:c>
      <x:c r="N906" s="84" t="str">
        <x:f>IFERROR(VLOOKUP(L906,'Reference Data'!$A$5:$F$40,3,FALSE),"Unknown")</x:f>
        <x:v>Electronics</x:v>
      </x:c>
      <x:c r="O906" s="84" t="str">
        <x:f>IFERROR(VLOOKUP(L906,'Reference Data'!$A$5:$F$40,4,FALSE),"Unknown")</x:f>
        <x:v>Storage</x:v>
      </x:c>
      <x:c r="P906" s="92" t="n">
        <x:f>IFERROR(VLOOKUP(L906,'Reference Data'!$A$5:$F$40,5,FALSE),0)</x:f>
        <x:v>129</x:v>
      </x:c>
      <x:c r="Q906" s="92" t="n">
        <x:f>IFERROR(VLOOKUP(L906,'Reference Data'!$A$5:$F$40,6,FALSE),0)</x:f>
        <x:v>75</x:v>
      </x:c>
      <x:c r="R906" s="84" t="n">
        <x:f>'Raw Sales'!J906</x:f>
        <x:v>1</x:v>
      </x:c>
      <x:c r="S906" s="87" t="n">
        <x:f>'Raw Sales'!K906</x:f>
        <x:v>0</x:v>
      </x:c>
      <x:c r="T906" s="93" t="n">
        <x:f>P906*R906</x:f>
        <x:v>129</x:v>
      </x:c>
      <x:c r="U906" s="93" t="n">
        <x:f>T906*S906</x:f>
        <x:v>0</x:v>
      </x:c>
      <x:c r="V906" s="93" t="str">
        <x:f>PROPER(TRIM('Raw Sales'!L906))</x:f>
        <x:v>Completed</x:v>
      </x:c>
      <x:c r="W906" s="93" t="n">
        <x:f>IF(V906="Returned",0,T906-U906)</x:f>
        <x:v>129</x:v>
      </x:c>
      <x:c r="X906" s="93" t="n">
        <x:f>IF(V906="Returned",Q906*R906*10%,Q906*R906)</x:f>
        <x:v>75</x:v>
      </x:c>
      <x:c r="Y906" s="93" t="n">
        <x:f>W906-X906</x:f>
        <x:v>54</x:v>
      </x:c>
      <x:c r="Z906" s="94" t="n">
        <x:f>IFERROR(Y906/W906,0)</x:f>
        <x:v>0.4186046511627907</x:v>
      </x:c>
      <x:c r="AA906" s="84" t="str">
        <x:f>PROPER(TRIM('Raw Sales'!M906))</x:f>
        <x:v>Cash</x:v>
      </x:c>
      <x:c r="AB906" s="84" t="str">
        <x:f>PROPER(TRIM('Raw Sales'!N906))</x:f>
        <x:v>Noah Reed</x:v>
      </x:c>
      <x:c r="AC906" s="85" t="n">
        <x:f>'Raw Sales'!O906</x:f>
        <x:v>45607</x:v>
      </x:c>
      <x:c r="AD906" s="84" t="n">
        <x:f>AC906-B906</x:f>
        <x:v>0</x:v>
      </x:c>
      <x:c r="AE906" s="84" t="str">
        <x:f>IF(COUNTIF($A$5:A906,A906)&gt;1,"Duplicate","Keep")</x:f>
        <x:v>Keep</x:v>
      </x:c>
      <x:c r="AF906" s="84" t="str">
        <x:f>IF(OR(R906&lt;=0,AC906&lt;B906,H906="Unknown",M906="Unknown Product"),"Review","Valid")</x:f>
        <x:v>Valid</x:v>
      </x:c>
      <x:c r="AG906" s="84" t="n">
        <x:f>IF(AND(AE906="Keep",AF906="Valid"),1,0)</x:f>
        <x:v>1</x:v>
      </x:c>
      <x:c r="AH906" s="84" t="n">
        <x:f>IF(AND(AG906=1,OR('Dashboard'!$B$4="All",I906='Dashboard'!$B$4),OR('Dashboard'!$E$4="All",N906='Dashboard'!$E$4),OR('Dashboard'!$H$4="All",K906='Dashboard'!$H$4),OR('Dashboard'!$K$4="All",C906='Dashboard'!$K$4)),1,0)</x:f>
        <x:v>1</x:v>
      </x:c>
      <x:c r="AI906" s="84" t="n">
        <x:f>IF(AND(AG906=1,OR('Dashboard'!$B$4="All",I906='Dashboard'!$B$4),OR('Dashboard'!$E$4="All",N906='Dashboard'!$E$4),OR('Dashboard'!$H$4="All",K906='Dashboard'!$H$4)),1,0)</x:f>
        <x:v>1</x:v>
      </x:c>
    </x:row>
    <x:row r="907">
      <x:c r="A907" s="84" t="str">
        <x:f>'Raw Sales'!A907</x:f>
        <x:v>ORD-2024-00938</x:v>
      </x:c>
      <x:c r="B907" s="85" t="n">
        <x:f>'Raw Sales'!B907</x:f>
        <x:v>45607</x:v>
      </x:c>
      <x:c r="C907" s="84" t="n">
        <x:f>YEAR(B907)</x:f>
        <x:v>2024</x:v>
      </x:c>
      <x:c r="D907" s="91" t="n">
        <x:f>DATE(YEAR(B907),MONTH(B907),1)</x:f>
        <x:v>45597</x:v>
      </x:c>
      <x:c r="E907" s="84" t="str">
        <x:f>TEXT(B907,"mmm")</x:f>
        <x:v>Nov</x:v>
      </x:c>
      <x:c r="F907" s="84" t="str">
        <x:f>'Raw Sales'!C907</x:f>
        <x:v>CUST-0248</x:v>
      </x:c>
      <x:c r="G907" s="84" t="str">
        <x:f>PROPER(TRIM('Raw Sales'!D907))</x:f>
        <x:v>Chloe Khan</x:v>
      </x:c>
      <x:c r="H907" s="84" t="str">
        <x:f>IF(TRIM('Raw Sales'!E907)="","Unknown",PROPER(TRIM('Raw Sales'!E907)))</x:f>
        <x:v>Corporate</x:v>
      </x:c>
      <x:c r="I907" s="84" t="str">
        <x:f>PROPER(TRIM('Raw Sales'!F907))</x:f>
        <x:v>Midwest</x:v>
      </x:c>
      <x:c r="J907" s="84" t="str">
        <x:f>PROPER(TRIM('Raw Sales'!G907))</x:f>
        <x:v>Chicago</x:v>
      </x:c>
      <x:c r="K907" s="84" t="str">
        <x:f>PROPER(TRIM('Raw Sales'!H907))</x:f>
        <x:v>Retail Store</x:v>
      </x:c>
      <x:c r="L907" s="84" t="str">
        <x:f>'Raw Sales'!I907</x:f>
        <x:v>ELEC-006</x:v>
      </x:c>
      <x:c r="M907" s="84" t="str">
        <x:f>IFERROR(VLOOKUP(L907,'Reference Data'!$A$5:$F$40,2,FALSE),"Unknown Product")</x:f>
        <x:v>Portable SSD</x:v>
      </x:c>
      <x:c r="N907" s="84" t="str">
        <x:f>IFERROR(VLOOKUP(L907,'Reference Data'!$A$5:$F$40,3,FALSE),"Unknown")</x:f>
        <x:v>Electronics</x:v>
      </x:c>
      <x:c r="O907" s="84" t="str">
        <x:f>IFERROR(VLOOKUP(L907,'Reference Data'!$A$5:$F$40,4,FALSE),"Unknown")</x:f>
        <x:v>Storage</x:v>
      </x:c>
      <x:c r="P907" s="92" t="n">
        <x:f>IFERROR(VLOOKUP(L907,'Reference Data'!$A$5:$F$40,5,FALSE),0)</x:f>
        <x:v>129</x:v>
      </x:c>
      <x:c r="Q907" s="92" t="n">
        <x:f>IFERROR(VLOOKUP(L907,'Reference Data'!$A$5:$F$40,6,FALSE),0)</x:f>
        <x:v>75</x:v>
      </x:c>
      <x:c r="R907" s="84" t="n">
        <x:f>'Raw Sales'!J907</x:f>
        <x:v>4</x:v>
      </x:c>
      <x:c r="S907" s="87" t="n">
        <x:f>'Raw Sales'!K907</x:f>
        <x:v>0.05</x:v>
      </x:c>
      <x:c r="T907" s="93" t="n">
        <x:f>P907*R907</x:f>
        <x:v>516</x:v>
      </x:c>
      <x:c r="U907" s="93" t="n">
        <x:f>T907*S907</x:f>
        <x:v>25.8</x:v>
      </x:c>
      <x:c r="V907" s="93" t="str">
        <x:f>PROPER(TRIM('Raw Sales'!L907))</x:f>
        <x:v>Completed</x:v>
      </x:c>
      <x:c r="W907" s="93" t="n">
        <x:f>IF(V907="Returned",0,T907-U907)</x:f>
        <x:v>490.2</x:v>
      </x:c>
      <x:c r="X907" s="93" t="n">
        <x:f>IF(V907="Returned",Q907*R907*10%,Q907*R907)</x:f>
        <x:v>300</x:v>
      </x:c>
      <x:c r="Y907" s="93" t="n">
        <x:f>W907-X907</x:f>
        <x:v>190.2</x:v>
      </x:c>
      <x:c r="Z907" s="94" t="n">
        <x:f>IFERROR(Y907/W907,0)</x:f>
        <x:v>0.3880048959608323</x:v>
      </x:c>
      <x:c r="AA907" s="84" t="str">
        <x:f>PROPER(TRIM('Raw Sales'!M907))</x:f>
        <x:v>Mobile Wallet</x:v>
      </x:c>
      <x:c r="AB907" s="84" t="str">
        <x:f>PROPER(TRIM('Raw Sales'!N907))</x:f>
        <x:v>Lucas Grant</x:v>
      </x:c>
      <x:c r="AC907" s="85" t="n">
        <x:f>'Raw Sales'!O907</x:f>
        <x:v>45607</x:v>
      </x:c>
      <x:c r="AD907" s="84" t="n">
        <x:f>AC907-B907</x:f>
        <x:v>0</x:v>
      </x:c>
      <x:c r="AE907" s="84" t="str">
        <x:f>IF(COUNTIF($A$5:A907,A907)&gt;1,"Duplicate","Keep")</x:f>
        <x:v>Keep</x:v>
      </x:c>
      <x:c r="AF907" s="84" t="str">
        <x:f>IF(OR(R907&lt;=0,AC907&lt;B907,H907="Unknown",M907="Unknown Product"),"Review","Valid")</x:f>
        <x:v>Valid</x:v>
      </x:c>
      <x:c r="AG907" s="84" t="n">
        <x:f>IF(AND(AE907="Keep",AF907="Valid"),1,0)</x:f>
        <x:v>1</x:v>
      </x:c>
      <x:c r="AH907" s="84" t="n">
        <x:f>IF(AND(AG907=1,OR('Dashboard'!$B$4="All",I907='Dashboard'!$B$4),OR('Dashboard'!$E$4="All",N907='Dashboard'!$E$4),OR('Dashboard'!$H$4="All",K907='Dashboard'!$H$4),OR('Dashboard'!$K$4="All",C907='Dashboard'!$K$4)),1,0)</x:f>
        <x:v>1</x:v>
      </x:c>
      <x:c r="AI907" s="84" t="n">
        <x:f>IF(AND(AG907=1,OR('Dashboard'!$B$4="All",I907='Dashboard'!$B$4),OR('Dashboard'!$E$4="All",N907='Dashboard'!$E$4),OR('Dashboard'!$H$4="All",K907='Dashboard'!$H$4)),1,0)</x:f>
        <x:v>1</x:v>
      </x:c>
    </x:row>
    <x:row r="908">
      <x:c r="A908" s="84" t="str">
        <x:f>'Raw Sales'!A908</x:f>
        <x:v>ORD-2024-01939</x:v>
      </x:c>
      <x:c r="B908" s="85" t="n">
        <x:f>'Raw Sales'!B908</x:f>
        <x:v>45607</x:v>
      </x:c>
      <x:c r="C908" s="84" t="n">
        <x:f>YEAR(B908)</x:f>
        <x:v>2024</x:v>
      </x:c>
      <x:c r="D908" s="91" t="n">
        <x:f>DATE(YEAR(B908),MONTH(B908),1)</x:f>
        <x:v>45597</x:v>
      </x:c>
      <x:c r="E908" s="84" t="str">
        <x:f>TEXT(B908,"mmm")</x:f>
        <x:v>Nov</x:v>
      </x:c>
      <x:c r="F908" s="84" t="str">
        <x:f>'Raw Sales'!C908</x:f>
        <x:v>CUST-0486</x:v>
      </x:c>
      <x:c r="G908" s="84" t="str">
        <x:f>PROPER(TRIM('Raw Sales'!D908))</x:f>
        <x:v>Zara Evans</x:v>
      </x:c>
      <x:c r="H908" s="84" t="str">
        <x:f>IF(TRIM('Raw Sales'!E908)="","Unknown",PROPER(TRIM('Raw Sales'!E908)))</x:f>
        <x:v>Consumer</x:v>
      </x:c>
      <x:c r="I908" s="84" t="str">
        <x:f>PROPER(TRIM('Raw Sales'!F908))</x:f>
        <x:v>Southeast</x:v>
      </x:c>
      <x:c r="J908" s="84" t="str">
        <x:f>PROPER(TRIM('Raw Sales'!G908))</x:f>
        <x:v>Nashville</x:v>
      </x:c>
      <x:c r="K908" s="84" t="str">
        <x:f>PROPER(TRIM('Raw Sales'!H908))</x:f>
        <x:v>Online</x:v>
      </x:c>
      <x:c r="L908" s="84" t="str">
        <x:f>'Raw Sales'!I908</x:f>
        <x:v>ELEC-004</x:v>
      </x:c>
      <x:c r="M908" s="84" t="str">
        <x:f>IFERROR(VLOOKUP(L908,'Reference Data'!$A$5:$F$40,2,FALSE),"Unknown Product")</x:f>
        <x:v>Power Bank</x:v>
      </x:c>
      <x:c r="N908" s="84" t="str">
        <x:f>IFERROR(VLOOKUP(L908,'Reference Data'!$A$5:$F$40,3,FALSE),"Unknown")</x:f>
        <x:v>Electronics</x:v>
      </x:c>
      <x:c r="O908" s="84" t="str">
        <x:f>IFERROR(VLOOKUP(L908,'Reference Data'!$A$5:$F$40,4,FALSE),"Unknown")</x:f>
        <x:v>Mobile Accessories</x:v>
      </x:c>
      <x:c r="P908" s="92" t="n">
        <x:f>IFERROR(VLOOKUP(L908,'Reference Data'!$A$5:$F$40,5,FALSE),0)</x:f>
        <x:v>39</x:v>
      </x:c>
      <x:c r="Q908" s="92" t="n">
        <x:f>IFERROR(VLOOKUP(L908,'Reference Data'!$A$5:$F$40,6,FALSE),0)</x:f>
        <x:v>18</x:v>
      </x:c>
      <x:c r="R908" s="84" t="n">
        <x:f>'Raw Sales'!J908</x:f>
        <x:v>4</x:v>
      </x:c>
      <x:c r="S908" s="87" t="n">
        <x:f>'Raw Sales'!K908</x:f>
        <x:v>0.1</x:v>
      </x:c>
      <x:c r="T908" s="93" t="n">
        <x:f>P908*R908</x:f>
        <x:v>156</x:v>
      </x:c>
      <x:c r="U908" s="93" t="n">
        <x:f>T908*S908</x:f>
        <x:v>15.600000000000001</x:v>
      </x:c>
      <x:c r="V908" s="93" t="str">
        <x:f>PROPER(TRIM('Raw Sales'!L908))</x:f>
        <x:v>Completed</x:v>
      </x:c>
      <x:c r="W908" s="93" t="n">
        <x:f>IF(V908="Returned",0,T908-U908)</x:f>
        <x:v>140.4</x:v>
      </x:c>
      <x:c r="X908" s="93" t="n">
        <x:f>IF(V908="Returned",Q908*R908*10%,Q908*R908)</x:f>
        <x:v>72</x:v>
      </x:c>
      <x:c r="Y908" s="93" t="n">
        <x:f>W908-X908</x:f>
        <x:v>68.4</x:v>
      </x:c>
      <x:c r="Z908" s="94" t="n">
        <x:f>IFERROR(Y908/W908,0)</x:f>
        <x:v>0.4871794871794872</x:v>
      </x:c>
      <x:c r="AA908" s="84" t="str">
        <x:f>PROPER(TRIM('Raw Sales'!M908))</x:f>
        <x:v>Credit Card</x:v>
      </x:c>
      <x:c r="AB908" s="84" t="str">
        <x:f>PROPER(TRIM('Raw Sales'!N908))</x:f>
        <x:v>Ava Mitchell</x:v>
      </x:c>
      <x:c r="AC908" s="85" t="n">
        <x:f>'Raw Sales'!O908</x:f>
        <x:v>45611</x:v>
      </x:c>
      <x:c r="AD908" s="84" t="n">
        <x:f>AC908-B908</x:f>
        <x:v>4</x:v>
      </x:c>
      <x:c r="AE908" s="84" t="str">
        <x:f>IF(COUNTIF($A$5:A908,A908)&gt;1,"Duplicate","Keep")</x:f>
        <x:v>Keep</x:v>
      </x:c>
      <x:c r="AF908" s="84" t="str">
        <x:f>IF(OR(R908&lt;=0,AC908&lt;B908,H908="Unknown",M908="Unknown Product"),"Review","Valid")</x:f>
        <x:v>Valid</x:v>
      </x:c>
      <x:c r="AG908" s="84" t="n">
        <x:f>IF(AND(AE908="Keep",AF908="Valid"),1,0)</x:f>
        <x:v>1</x:v>
      </x:c>
      <x:c r="AH908" s="84" t="n">
        <x:f>IF(AND(AG908=1,OR('Dashboard'!$B$4="All",I908='Dashboard'!$B$4),OR('Dashboard'!$E$4="All",N908='Dashboard'!$E$4),OR('Dashboard'!$H$4="All",K908='Dashboard'!$H$4),OR('Dashboard'!$K$4="All",C908='Dashboard'!$K$4)),1,0)</x:f>
        <x:v>1</x:v>
      </x:c>
      <x:c r="AI908" s="84" t="n">
        <x:f>IF(AND(AG908=1,OR('Dashboard'!$B$4="All",I908='Dashboard'!$B$4),OR('Dashboard'!$E$4="All",N908='Dashboard'!$E$4),OR('Dashboard'!$H$4="All",K908='Dashboard'!$H$4)),1,0)</x:f>
        <x:v>1</x:v>
      </x:c>
    </x:row>
    <x:row r="909">
      <x:c r="A909" s="84" t="str">
        <x:f>'Raw Sales'!A909</x:f>
        <x:v>ORD-2024-02349</x:v>
      </x:c>
      <x:c r="B909" s="85" t="n">
        <x:f>'Raw Sales'!B909</x:f>
        <x:v>45607</x:v>
      </x:c>
      <x:c r="C909" s="84" t="n">
        <x:f>YEAR(B909)</x:f>
        <x:v>2024</x:v>
      </x:c>
      <x:c r="D909" s="91" t="n">
        <x:f>DATE(YEAR(B909),MONTH(B909),1)</x:f>
        <x:v>45597</x:v>
      </x:c>
      <x:c r="E909" s="84" t="str">
        <x:f>TEXT(B909,"mmm")</x:f>
        <x:v>Nov</x:v>
      </x:c>
      <x:c r="F909" s="84" t="str">
        <x:f>'Raw Sales'!C909</x:f>
        <x:v>CUST-0412</x:v>
      </x:c>
      <x:c r="G909" s="84" t="str">
        <x:f>PROPER(TRIM('Raw Sales'!D909))</x:f>
        <x:v>Nina Baker</x:v>
      </x:c>
      <x:c r="H909" s="84" t="str">
        <x:f>IF(TRIM('Raw Sales'!E909)="","Unknown",PROPER(TRIM('Raw Sales'!E909)))</x:f>
        <x:v>Corporate</x:v>
      </x:c>
      <x:c r="I909" s="84" t="str">
        <x:f>PROPER(TRIM('Raw Sales'!F909))</x:f>
        <x:v>Southeast</x:v>
      </x:c>
      <x:c r="J909" s="84" t="str">
        <x:f>PROPER(TRIM('Raw Sales'!G909))</x:f>
        <x:v>Nashville</x:v>
      </x:c>
      <x:c r="K909" s="84" t="str">
        <x:f>PROPER(TRIM('Raw Sales'!H909))</x:f>
        <x:v>Retail Store</x:v>
      </x:c>
      <x:c r="L909" s="84" t="str">
        <x:f>'Raw Sales'!I909</x:f>
        <x:v>ELEC-004</x:v>
      </x:c>
      <x:c r="M909" s="84" t="str">
        <x:f>IFERROR(VLOOKUP(L909,'Reference Data'!$A$5:$F$40,2,FALSE),"Unknown Product")</x:f>
        <x:v>Power Bank</x:v>
      </x:c>
      <x:c r="N909" s="84" t="str">
        <x:f>IFERROR(VLOOKUP(L909,'Reference Data'!$A$5:$F$40,3,FALSE),"Unknown")</x:f>
        <x:v>Electronics</x:v>
      </x:c>
      <x:c r="O909" s="84" t="str">
        <x:f>IFERROR(VLOOKUP(L909,'Reference Data'!$A$5:$F$40,4,FALSE),"Unknown")</x:f>
        <x:v>Mobile Accessories</x:v>
      </x:c>
      <x:c r="P909" s="92" t="n">
        <x:f>IFERROR(VLOOKUP(L909,'Reference Data'!$A$5:$F$40,5,FALSE),0)</x:f>
        <x:v>39</x:v>
      </x:c>
      <x:c r="Q909" s="92" t="n">
        <x:f>IFERROR(VLOOKUP(L909,'Reference Data'!$A$5:$F$40,6,FALSE),0)</x:f>
        <x:v>18</x:v>
      </x:c>
      <x:c r="R909" s="84" t="n">
        <x:f>'Raw Sales'!J909</x:f>
        <x:v>4</x:v>
      </x:c>
      <x:c r="S909" s="87" t="n">
        <x:f>'Raw Sales'!K909</x:f>
        <x:v>0.1</x:v>
      </x:c>
      <x:c r="T909" s="93" t="n">
        <x:f>P909*R909</x:f>
        <x:v>156</x:v>
      </x:c>
      <x:c r="U909" s="93" t="n">
        <x:f>T909*S909</x:f>
        <x:v>15.600000000000001</x:v>
      </x:c>
      <x:c r="V909" s="93" t="str">
        <x:f>PROPER(TRIM('Raw Sales'!L909))</x:f>
        <x:v>Completed</x:v>
      </x:c>
      <x:c r="W909" s="93" t="n">
        <x:f>IF(V909="Returned",0,T909-U909)</x:f>
        <x:v>140.4</x:v>
      </x:c>
      <x:c r="X909" s="93" t="n">
        <x:f>IF(V909="Returned",Q909*R909*10%,Q909*R909)</x:f>
        <x:v>72</x:v>
      </x:c>
      <x:c r="Y909" s="93" t="n">
        <x:f>W909-X909</x:f>
        <x:v>68.4</x:v>
      </x:c>
      <x:c r="Z909" s="94" t="n">
        <x:f>IFERROR(Y909/W909,0)</x:f>
        <x:v>0.4871794871794872</x:v>
      </x:c>
      <x:c r="AA909" s="84" t="str">
        <x:f>PROPER(TRIM('Raw Sales'!M909))</x:f>
        <x:v>Credit Card</x:v>
      </x:c>
      <x:c r="AB909" s="84" t="str">
        <x:f>PROPER(TRIM('Raw Sales'!N909))</x:f>
        <x:v>Liam Parker</x:v>
      </x:c>
      <x:c r="AC909" s="85" t="n">
        <x:f>'Raw Sales'!O909</x:f>
        <x:v>45607</x:v>
      </x:c>
      <x:c r="AD909" s="84" t="n">
        <x:f>AC909-B909</x:f>
        <x:v>0</x:v>
      </x:c>
      <x:c r="AE909" s="84" t="str">
        <x:f>IF(COUNTIF($A$5:A909,A909)&gt;1,"Duplicate","Keep")</x:f>
        <x:v>Keep</x:v>
      </x:c>
      <x:c r="AF909" s="84" t="str">
        <x:f>IF(OR(R909&lt;=0,AC909&lt;B909,H909="Unknown",M909="Unknown Product"),"Review","Valid")</x:f>
        <x:v>Valid</x:v>
      </x:c>
      <x:c r="AG909" s="84" t="n">
        <x:f>IF(AND(AE909="Keep",AF909="Valid"),1,0)</x:f>
        <x:v>1</x:v>
      </x:c>
      <x:c r="AH909" s="84" t="n">
        <x:f>IF(AND(AG909=1,OR('Dashboard'!$B$4="All",I909='Dashboard'!$B$4),OR('Dashboard'!$E$4="All",N909='Dashboard'!$E$4),OR('Dashboard'!$H$4="All",K909='Dashboard'!$H$4),OR('Dashboard'!$K$4="All",C909='Dashboard'!$K$4)),1,0)</x:f>
        <x:v>1</x:v>
      </x:c>
      <x:c r="AI909" s="84" t="n">
        <x:f>IF(AND(AG909=1,OR('Dashboard'!$B$4="All",I909='Dashboard'!$B$4),OR('Dashboard'!$E$4="All",N909='Dashboard'!$E$4),OR('Dashboard'!$H$4="All",K909='Dashboard'!$H$4)),1,0)</x:f>
        <x:v>1</x:v>
      </x:c>
    </x:row>
    <x:row r="910">
      <x:c r="A910" s="84" t="str">
        <x:f>'Raw Sales'!A910</x:f>
        <x:v>ORD-2024-00471</x:v>
      </x:c>
      <x:c r="B910" s="85" t="n">
        <x:f>'Raw Sales'!B910</x:f>
        <x:v>45608</x:v>
      </x:c>
      <x:c r="C910" s="84" t="n">
        <x:f>YEAR(B910)</x:f>
        <x:v>2024</x:v>
      </x:c>
      <x:c r="D910" s="91" t="n">
        <x:f>DATE(YEAR(B910),MONTH(B910),1)</x:f>
        <x:v>45597</x:v>
      </x:c>
      <x:c r="E910" s="84" t="str">
        <x:f>TEXT(B910,"mmm")</x:f>
        <x:v>Nov</x:v>
      </x:c>
      <x:c r="F910" s="84" t="str">
        <x:f>'Raw Sales'!C910</x:f>
        <x:v>CUST-0119</x:v>
      </x:c>
      <x:c r="G910" s="84" t="str">
        <x:f>PROPER(TRIM('Raw Sales'!D910))</x:f>
        <x:v>Grace Nelson</x:v>
      </x:c>
      <x:c r="H910" s="84" t="str">
        <x:f>IF(TRIM('Raw Sales'!E910)="","Unknown",PROPER(TRIM('Raw Sales'!E910)))</x:f>
        <x:v>Small Business</x:v>
      </x:c>
      <x:c r="I910" s="84" t="str">
        <x:f>PROPER(TRIM('Raw Sales'!F910))</x:f>
        <x:v>West</x:v>
      </x:c>
      <x:c r="J910" s="84" t="str">
        <x:f>PROPER(TRIM('Raw Sales'!G910))</x:f>
        <x:v>Denver</x:v>
      </x:c>
      <x:c r="K910" s="84" t="str">
        <x:f>PROPER(TRIM('Raw Sales'!H910))</x:f>
        <x:v>Online</x:v>
      </x:c>
      <x:c r="L910" s="84" t="str">
        <x:f>'Raw Sales'!I910</x:f>
        <x:v>ELEC-002</x:v>
      </x:c>
      <x:c r="M910" s="84" t="str">
        <x:f>IFERROR(VLOOKUP(L910,'Reference Data'!$A$5:$F$40,2,FALSE),"Unknown Product")</x:f>
        <x:v>Smartwatch</x:v>
      </x:c>
      <x:c r="N910" s="84" t="str">
        <x:f>IFERROR(VLOOKUP(L910,'Reference Data'!$A$5:$F$40,3,FALSE),"Unknown")</x:f>
        <x:v>Electronics</x:v>
      </x:c>
      <x:c r="O910" s="84" t="str">
        <x:f>IFERROR(VLOOKUP(L910,'Reference Data'!$A$5:$F$40,4,FALSE),"Unknown")</x:f>
        <x:v>Wearables</x:v>
      </x:c>
      <x:c r="P910" s="92" t="n">
        <x:f>IFERROR(VLOOKUP(L910,'Reference Data'!$A$5:$F$40,5,FALSE),0)</x:f>
        <x:v>159</x:v>
      </x:c>
      <x:c r="Q910" s="92" t="n">
        <x:f>IFERROR(VLOOKUP(L910,'Reference Data'!$A$5:$F$40,6,FALSE),0)</x:f>
        <x:v>92</x:v>
      </x:c>
      <x:c r="R910" s="84" t="n">
        <x:f>'Raw Sales'!J910</x:f>
        <x:v>1</x:v>
      </x:c>
      <x:c r="S910" s="87" t="n">
        <x:f>'Raw Sales'!K910</x:f>
        <x:v>0.2</x:v>
      </x:c>
      <x:c r="T910" s="93" t="n">
        <x:f>P910*R910</x:f>
        <x:v>159</x:v>
      </x:c>
      <x:c r="U910" s="93" t="n">
        <x:f>T910*S910</x:f>
        <x:v>31.8</x:v>
      </x:c>
      <x:c r="V910" s="93" t="str">
        <x:f>PROPER(TRIM('Raw Sales'!L910))</x:f>
        <x:v>Completed</x:v>
      </x:c>
      <x:c r="W910" s="93" t="n">
        <x:f>IF(V910="Returned",0,T910-U910)</x:f>
        <x:v>127.2</x:v>
      </x:c>
      <x:c r="X910" s="93" t="n">
        <x:f>IF(V910="Returned",Q910*R910*10%,Q910*R910)</x:f>
        <x:v>92</x:v>
      </x:c>
      <x:c r="Y910" s="93" t="n">
        <x:f>W910-X910</x:f>
        <x:v>35.2</x:v>
      </x:c>
      <x:c r="Z910" s="94" t="n">
        <x:f>IFERROR(Y910/W910,0)</x:f>
        <x:v>0.27672955974842767</x:v>
      </x:c>
      <x:c r="AA910" s="84" t="str">
        <x:f>PROPER(TRIM('Raw Sales'!M910))</x:f>
        <x:v>Debit Card</x:v>
      </x:c>
      <x:c r="AB910" s="84" t="str">
        <x:f>PROPER(TRIM('Raw Sales'!N910))</x:f>
        <x:v>Leo Martinez</x:v>
      </x:c>
      <x:c r="AC910" s="85" t="n">
        <x:f>'Raw Sales'!O910</x:f>
        <x:v>45613</x:v>
      </x:c>
      <x:c r="AD910" s="84" t="n">
        <x:f>AC910-B910</x:f>
        <x:v>5</x:v>
      </x:c>
      <x:c r="AE910" s="84" t="str">
        <x:f>IF(COUNTIF($A$5:A910,A910)&gt;1,"Duplicate","Keep")</x:f>
        <x:v>Keep</x:v>
      </x:c>
      <x:c r="AF910" s="84" t="str">
        <x:f>IF(OR(R910&lt;=0,AC910&lt;B910,H910="Unknown",M910="Unknown Product"),"Review","Valid")</x:f>
        <x:v>Valid</x:v>
      </x:c>
      <x:c r="AG910" s="84" t="n">
        <x:f>IF(AND(AE910="Keep",AF910="Valid"),1,0)</x:f>
        <x:v>1</x:v>
      </x:c>
      <x:c r="AH910" s="84" t="n">
        <x:f>IF(AND(AG910=1,OR('Dashboard'!$B$4="All",I910='Dashboard'!$B$4),OR('Dashboard'!$E$4="All",N910='Dashboard'!$E$4),OR('Dashboard'!$H$4="All",K910='Dashboard'!$H$4),OR('Dashboard'!$K$4="All",C910='Dashboard'!$K$4)),1,0)</x:f>
        <x:v>1</x:v>
      </x:c>
      <x:c r="AI910" s="84" t="n">
        <x:f>IF(AND(AG910=1,OR('Dashboard'!$B$4="All",I910='Dashboard'!$B$4),OR('Dashboard'!$E$4="All",N910='Dashboard'!$E$4),OR('Dashboard'!$H$4="All",K910='Dashboard'!$H$4)),1,0)</x:f>
        <x:v>1</x:v>
      </x:c>
    </x:row>
    <x:row r="911">
      <x:c r="A911" s="84" t="str">
        <x:f>'Raw Sales'!A911</x:f>
        <x:v>ORD-2024-00811</x:v>
      </x:c>
      <x:c r="B911" s="85" t="n">
        <x:f>'Raw Sales'!B911</x:f>
        <x:v>45608</x:v>
      </x:c>
      <x:c r="C911" s="84" t="n">
        <x:f>YEAR(B911)</x:f>
        <x:v>2024</x:v>
      </x:c>
      <x:c r="D911" s="91" t="n">
        <x:f>DATE(YEAR(B911),MONTH(B911),1)</x:f>
        <x:v>45597</x:v>
      </x:c>
      <x:c r="E911" s="84" t="str">
        <x:f>TEXT(B911,"mmm")</x:f>
        <x:v>Nov</x:v>
      </x:c>
      <x:c r="F911" s="84" t="str">
        <x:f>'Raw Sales'!C911</x:f>
        <x:v>CUST-0405</x:v>
      </x:c>
      <x:c r="G911" s="84" t="str">
        <x:f>PROPER(TRIM('Raw Sales'!D911))</x:f>
        <x:v>Daniel Irwin</x:v>
      </x:c>
      <x:c r="H911" s="84" t="str">
        <x:f>IF(TRIM('Raw Sales'!E911)="","Unknown",PROPER(TRIM('Raw Sales'!E911)))</x:f>
        <x:v>Corporate</x:v>
      </x:c>
      <x:c r="I911" s="84" t="str">
        <x:f>PROPER(TRIM('Raw Sales'!F911))</x:f>
        <x:v>West</x:v>
      </x:c>
      <x:c r="J911" s="84" t="str">
        <x:f>PROPER(TRIM('Raw Sales'!G911))</x:f>
        <x:v>Seattle</x:v>
      </x:c>
      <x:c r="K911" s="84" t="str">
        <x:f>PROPER(TRIM('Raw Sales'!H911))</x:f>
        <x:v>Online</x:v>
      </x:c>
      <x:c r="L911" s="84" t="str">
        <x:f>'Raw Sales'!I911</x:f>
        <x:v>CARE-002</x:v>
      </x:c>
      <x:c r="M911" s="84" t="str">
        <x:f>IFERROR(VLOOKUP(L911,'Reference Data'!$A$5:$F$40,2,FALSE),"Unknown Product")</x:f>
        <x:v>Rechargeable Trimmer</x:v>
      </x:c>
      <x:c r="N911" s="84" t="str">
        <x:f>IFERROR(VLOOKUP(L911,'Reference Data'!$A$5:$F$40,3,FALSE),"Unknown")</x:f>
        <x:v>Personal Care</x:v>
      </x:c>
      <x:c r="O911" s="84" t="str">
        <x:f>IFERROR(VLOOKUP(L911,'Reference Data'!$A$5:$F$40,4,FALSE),"Unknown")</x:f>
        <x:v>Grooming</x:v>
      </x:c>
      <x:c r="P911" s="92" t="n">
        <x:f>IFERROR(VLOOKUP(L911,'Reference Data'!$A$5:$F$40,5,FALSE),0)</x:f>
        <x:v>45</x:v>
      </x:c>
      <x:c r="Q911" s="92" t="n">
        <x:f>IFERROR(VLOOKUP(L911,'Reference Data'!$A$5:$F$40,6,FALSE),0)</x:f>
        <x:v>19</x:v>
      </x:c>
      <x:c r="R911" s="84" t="n">
        <x:f>'Raw Sales'!J911</x:f>
        <x:v>2</x:v>
      </x:c>
      <x:c r="S911" s="87" t="n">
        <x:f>'Raw Sales'!K911</x:f>
        <x:v>0.2</x:v>
      </x:c>
      <x:c r="T911" s="93" t="n">
        <x:f>P911*R911</x:f>
        <x:v>90</x:v>
      </x:c>
      <x:c r="U911" s="93" t="n">
        <x:f>T911*S911</x:f>
        <x:v>18</x:v>
      </x:c>
      <x:c r="V911" s="93" t="str">
        <x:f>PROPER(TRIM('Raw Sales'!L911))</x:f>
        <x:v>Completed</x:v>
      </x:c>
      <x:c r="W911" s="93" t="n">
        <x:f>IF(V911="Returned",0,T911-U911)</x:f>
        <x:v>72</x:v>
      </x:c>
      <x:c r="X911" s="93" t="n">
        <x:f>IF(V911="Returned",Q911*R911*10%,Q911*R911)</x:f>
        <x:v>38</x:v>
      </x:c>
      <x:c r="Y911" s="93" t="n">
        <x:f>W911-X911</x:f>
        <x:v>34</x:v>
      </x:c>
      <x:c r="Z911" s="94" t="n">
        <x:f>IFERROR(Y911/W911,0)</x:f>
        <x:v>0.4722222222222222</x:v>
      </x:c>
      <x:c r="AA911" s="84" t="str">
        <x:f>PROPER(TRIM('Raw Sales'!M911))</x:f>
        <x:v>Credit Card</x:v>
      </x:c>
      <x:c r="AB911" s="84" t="str">
        <x:f>PROPER(TRIM('Raw Sales'!N911))</x:f>
        <x:v>Nora Kim</x:v>
      </x:c>
      <x:c r="AC911" s="85" t="n">
        <x:f>'Raw Sales'!O911</x:f>
        <x:v>45612</x:v>
      </x:c>
      <x:c r="AD911" s="84" t="n">
        <x:f>AC911-B911</x:f>
        <x:v>4</x:v>
      </x:c>
      <x:c r="AE911" s="84" t="str">
        <x:f>IF(COUNTIF($A$5:A911,A911)&gt;1,"Duplicate","Keep")</x:f>
        <x:v>Keep</x:v>
      </x:c>
      <x:c r="AF911" s="84" t="str">
        <x:f>IF(OR(R911&lt;=0,AC911&lt;B911,H911="Unknown",M911="Unknown Product"),"Review","Valid")</x:f>
        <x:v>Valid</x:v>
      </x:c>
      <x:c r="AG911" s="84" t="n">
        <x:f>IF(AND(AE911="Keep",AF911="Valid"),1,0)</x:f>
        <x:v>1</x:v>
      </x:c>
      <x:c r="AH911" s="84" t="n">
        <x:f>IF(AND(AG911=1,OR('Dashboard'!$B$4="All",I911='Dashboard'!$B$4),OR('Dashboard'!$E$4="All",N911='Dashboard'!$E$4),OR('Dashboard'!$H$4="All",K911='Dashboard'!$H$4),OR('Dashboard'!$K$4="All",C911='Dashboard'!$K$4)),1,0)</x:f>
        <x:v>1</x:v>
      </x:c>
      <x:c r="AI911" s="84" t="n">
        <x:f>IF(AND(AG911=1,OR('Dashboard'!$B$4="All",I911='Dashboard'!$B$4),OR('Dashboard'!$E$4="All",N911='Dashboard'!$E$4),OR('Dashboard'!$H$4="All",K911='Dashboard'!$H$4)),1,0)</x:f>
        <x:v>1</x:v>
      </x:c>
    </x:row>
    <x:row r="912">
      <x:c r="A912" s="84" t="str">
        <x:f>'Raw Sales'!A912</x:f>
        <x:v>ORD-2024-01422</x:v>
      </x:c>
      <x:c r="B912" s="85" t="n">
        <x:f>'Raw Sales'!B912</x:f>
        <x:v>45608</x:v>
      </x:c>
      <x:c r="C912" s="84" t="n">
        <x:f>YEAR(B912)</x:f>
        <x:v>2024</x:v>
      </x:c>
      <x:c r="D912" s="91" t="n">
        <x:f>DATE(YEAR(B912),MONTH(B912),1)</x:f>
        <x:v>45597</x:v>
      </x:c>
      <x:c r="E912" s="84" t="str">
        <x:f>TEXT(B912,"mmm")</x:f>
        <x:v>Nov</x:v>
      </x:c>
      <x:c r="F912" s="84" t="str">
        <x:f>'Raw Sales'!C912</x:f>
        <x:v>CUST-0293</x:v>
      </x:c>
      <x:c r="G912" s="84" t="str">
        <x:f>PROPER(TRIM('Raw Sales'!D912))</x:f>
        <x:v>Marcus Johnson</x:v>
      </x:c>
      <x:c r="H912" s="84" t="str">
        <x:f>IF(TRIM('Raw Sales'!E912)="","Unknown",PROPER(TRIM('Raw Sales'!E912)))</x:f>
        <x:v>Consumer</x:v>
      </x:c>
      <x:c r="I912" s="84" t="str">
        <x:f>PROPER(TRIM('Raw Sales'!F912))</x:f>
        <x:v>West</x:v>
      </x:c>
      <x:c r="J912" s="84" t="str">
        <x:f>PROPER(TRIM('Raw Sales'!G912))</x:f>
        <x:v>Denver</x:v>
      </x:c>
      <x:c r="K912" s="84" t="str">
        <x:f>PROPER(TRIM('Raw Sales'!H912))</x:f>
        <x:v>Retail Store</x:v>
      </x:c>
      <x:c r="L912" s="84" t="str">
        <x:f>'Raw Sales'!I912</x:f>
        <x:v>FITN-004</x:v>
      </x:c>
      <x:c r="M912" s="84" t="str">
        <x:f>IFERROR(VLOOKUP(L912,'Reference Data'!$A$5:$F$40,2,FALSE),"Unknown Product")</x:f>
        <x:v>Fitness Tracker</x:v>
      </x:c>
      <x:c r="N912" s="84" t="str">
        <x:f>IFERROR(VLOOKUP(L912,'Reference Data'!$A$5:$F$40,3,FALSE),"Unknown")</x:f>
        <x:v>Fitness</x:v>
      </x:c>
      <x:c r="O912" s="84" t="str">
        <x:f>IFERROR(VLOOKUP(L912,'Reference Data'!$A$5:$F$40,4,FALSE),"Unknown")</x:f>
        <x:v>Wearables</x:v>
      </x:c>
      <x:c r="P912" s="92" t="n">
        <x:f>IFERROR(VLOOKUP(L912,'Reference Data'!$A$5:$F$40,5,FALSE),0)</x:f>
        <x:v>89</x:v>
      </x:c>
      <x:c r="Q912" s="92" t="n">
        <x:f>IFERROR(VLOOKUP(L912,'Reference Data'!$A$5:$F$40,6,FALSE),0)</x:f>
        <x:v>44</x:v>
      </x:c>
      <x:c r="R912" s="84" t="n">
        <x:f>'Raw Sales'!J912</x:f>
        <x:v>1</x:v>
      </x:c>
      <x:c r="S912" s="87" t="n">
        <x:f>'Raw Sales'!K912</x:f>
        <x:v>0.15</x:v>
      </x:c>
      <x:c r="T912" s="93" t="n">
        <x:f>P912*R912</x:f>
        <x:v>89</x:v>
      </x:c>
      <x:c r="U912" s="93" t="n">
        <x:f>T912*S912</x:f>
        <x:v>13.35</x:v>
      </x:c>
      <x:c r="V912" s="93" t="str">
        <x:f>PROPER(TRIM('Raw Sales'!L912))</x:f>
        <x:v>Completed</x:v>
      </x:c>
      <x:c r="W912" s="93" t="n">
        <x:f>IF(V912="Returned",0,T912-U912)</x:f>
        <x:v>75.65</x:v>
      </x:c>
      <x:c r="X912" s="93" t="n">
        <x:f>IF(V912="Returned",Q912*R912*10%,Q912*R912)</x:f>
        <x:v>44</x:v>
      </x:c>
      <x:c r="Y912" s="93" t="n">
        <x:f>W912-X912</x:f>
        <x:v>31.650000000000006</x:v>
      </x:c>
      <x:c r="Z912" s="94" t="n">
        <x:f>IFERROR(Y912/W912,0)</x:f>
        <x:v>0.4183740912095176</x:v>
      </x:c>
      <x:c r="AA912" s="84" t="str">
        <x:f>PROPER(TRIM('Raw Sales'!M912))</x:f>
        <x:v>Credit Card</x:v>
      </x:c>
      <x:c r="AB912" s="84" t="str">
        <x:f>PROPER(TRIM('Raw Sales'!N912))</x:f>
        <x:v>Mia Chen</x:v>
      </x:c>
      <x:c r="AC912" s="85" t="n">
        <x:f>'Raw Sales'!O912</x:f>
        <x:v>45608</x:v>
      </x:c>
      <x:c r="AD912" s="84" t="n">
        <x:f>AC912-B912</x:f>
        <x:v>0</x:v>
      </x:c>
      <x:c r="AE912" s="84" t="str">
        <x:f>IF(COUNTIF($A$5:A912,A912)&gt;1,"Duplicate","Keep")</x:f>
        <x:v>Keep</x:v>
      </x:c>
      <x:c r="AF912" s="84" t="str">
        <x:f>IF(OR(R912&lt;=0,AC912&lt;B912,H912="Unknown",M912="Unknown Product"),"Review","Valid")</x:f>
        <x:v>Valid</x:v>
      </x:c>
      <x:c r="AG912" s="84" t="n">
        <x:f>IF(AND(AE912="Keep",AF912="Valid"),1,0)</x:f>
        <x:v>1</x:v>
      </x:c>
      <x:c r="AH912" s="84" t="n">
        <x:f>IF(AND(AG912=1,OR('Dashboard'!$B$4="All",I912='Dashboard'!$B$4),OR('Dashboard'!$E$4="All",N912='Dashboard'!$E$4),OR('Dashboard'!$H$4="All",K912='Dashboard'!$H$4),OR('Dashboard'!$K$4="All",C912='Dashboard'!$K$4)),1,0)</x:f>
        <x:v>1</x:v>
      </x:c>
      <x:c r="AI912" s="84" t="n">
        <x:f>IF(AND(AG912=1,OR('Dashboard'!$B$4="All",I912='Dashboard'!$B$4),OR('Dashboard'!$E$4="All",N912='Dashboard'!$E$4),OR('Dashboard'!$H$4="All",K912='Dashboard'!$H$4)),1,0)</x:f>
        <x:v>1</x:v>
      </x:c>
    </x:row>
    <x:row r="913">
      <x:c r="A913" s="84" t="str">
        <x:f>'Raw Sales'!A913</x:f>
        <x:v>ORD-2024-01452</x:v>
      </x:c>
      <x:c r="B913" s="85" t="n">
        <x:f>'Raw Sales'!B913</x:f>
        <x:v>45608</x:v>
      </x:c>
      <x:c r="C913" s="84" t="n">
        <x:f>YEAR(B913)</x:f>
        <x:v>2024</x:v>
      </x:c>
      <x:c r="D913" s="91" t="n">
        <x:f>DATE(YEAR(B913),MONTH(B913),1)</x:f>
        <x:v>45597</x:v>
      </x:c>
      <x:c r="E913" s="84" t="str">
        <x:f>TEXT(B913,"mmm")</x:f>
        <x:v>Nov</x:v>
      </x:c>
      <x:c r="F913" s="84" t="str">
        <x:f>'Raw Sales'!C913</x:f>
        <x:v>CUST-0192</x:v>
      </x:c>
      <x:c r="G913" s="84" t="str">
        <x:f>PROPER(TRIM('Raw Sales'!D913))</x:f>
        <x:v>Caleb Young</x:v>
      </x:c>
      <x:c r="H913" s="84" t="str">
        <x:f>IF(TRIM('Raw Sales'!E913)="","Unknown",PROPER(TRIM('Raw Sales'!E913)))</x:f>
        <x:v>Corporate</x:v>
      </x:c>
      <x:c r="I913" s="84" t="str">
        <x:f>PROPER(TRIM('Raw Sales'!F913))</x:f>
        <x:v>West</x:v>
      </x:c>
      <x:c r="J913" s="84" t="str">
        <x:f>PROPER(TRIM('Raw Sales'!G913))</x:f>
        <x:v>Seattle</x:v>
      </x:c>
      <x:c r="K913" s="84" t="str">
        <x:f>PROPER(TRIM('Raw Sales'!H913))</x:f>
        <x:v>Online</x:v>
      </x:c>
      <x:c r="L913" s="84" t="str">
        <x:f>'Raw Sales'!I913</x:f>
        <x:v>HOME-006</x:v>
      </x:c>
      <x:c r="M913" s="84" t="str">
        <x:f>IFERROR(VLOOKUP(L913,'Reference Data'!$A$5:$F$40,2,FALSE),"Unknown Product")</x:f>
        <x:v>Food Storage Set</x:v>
      </x:c>
      <x:c r="N913" s="84" t="str">
        <x:f>IFERROR(VLOOKUP(L913,'Reference Data'!$A$5:$F$40,3,FALSE),"Unknown")</x:f>
        <x:v>Home &amp; Kitchen</x:v>
      </x:c>
      <x:c r="O913" s="84" t="str">
        <x:f>IFERROR(VLOOKUP(L913,'Reference Data'!$A$5:$F$40,4,FALSE),"Unknown")</x:f>
        <x:v>Kitchenware</x:v>
      </x:c>
      <x:c r="P913" s="92" t="n">
        <x:f>IFERROR(VLOOKUP(L913,'Reference Data'!$A$5:$F$40,5,FALSE),0)</x:f>
        <x:v>34</x:v>
      </x:c>
      <x:c r="Q913" s="92" t="n">
        <x:f>IFERROR(VLOOKUP(L913,'Reference Data'!$A$5:$F$40,6,FALSE),0)</x:f>
        <x:v>15</x:v>
      </x:c>
      <x:c r="R913" s="84" t="n">
        <x:f>'Raw Sales'!J913</x:f>
        <x:v>3</x:v>
      </x:c>
      <x:c r="S913" s="87" t="n">
        <x:f>'Raw Sales'!K913</x:f>
        <x:v>0.1</x:v>
      </x:c>
      <x:c r="T913" s="93" t="n">
        <x:f>P913*R913</x:f>
        <x:v>102</x:v>
      </x:c>
      <x:c r="U913" s="93" t="n">
        <x:f>T913*S913</x:f>
        <x:v>10.200000000000001</x:v>
      </x:c>
      <x:c r="V913" s="93" t="str">
        <x:f>PROPER(TRIM('Raw Sales'!L913))</x:f>
        <x:v>Completed</x:v>
      </x:c>
      <x:c r="W913" s="93" t="n">
        <x:f>IF(V913="Returned",0,T913-U913)</x:f>
        <x:v>91.8</x:v>
      </x:c>
      <x:c r="X913" s="93" t="n">
        <x:f>IF(V913="Returned",Q913*R913*10%,Q913*R913)</x:f>
        <x:v>45</x:v>
      </x:c>
      <x:c r="Y913" s="93" t="n">
        <x:f>W913-X913</x:f>
        <x:v>46.8</x:v>
      </x:c>
      <x:c r="Z913" s="94" t="n">
        <x:f>IFERROR(Y913/W913,0)</x:f>
        <x:v>0.5098039215686274</x:v>
      </x:c>
      <x:c r="AA913" s="84" t="str">
        <x:f>PROPER(TRIM('Raw Sales'!M913))</x:f>
        <x:v>Credit Card</x:v>
      </x:c>
      <x:c r="AB913" s="84" t="str">
        <x:f>PROPER(TRIM('Raw Sales'!N913))</x:f>
        <x:v>Mia Chen</x:v>
      </x:c>
      <x:c r="AC913" s="85" t="n">
        <x:f>'Raw Sales'!O913</x:f>
        <x:v>45614</x:v>
      </x:c>
      <x:c r="AD913" s="84" t="n">
        <x:f>AC913-B913</x:f>
        <x:v>6</x:v>
      </x:c>
      <x:c r="AE913" s="84" t="str">
        <x:f>IF(COUNTIF($A$5:A913,A913)&gt;1,"Duplicate","Keep")</x:f>
        <x:v>Keep</x:v>
      </x:c>
      <x:c r="AF913" s="84" t="str">
        <x:f>IF(OR(R913&lt;=0,AC913&lt;B913,H913="Unknown",M913="Unknown Product"),"Review","Valid")</x:f>
        <x:v>Valid</x:v>
      </x:c>
      <x:c r="AG913" s="84" t="n">
        <x:f>IF(AND(AE913="Keep",AF913="Valid"),1,0)</x:f>
        <x:v>1</x:v>
      </x:c>
      <x:c r="AH913" s="84" t="n">
        <x:f>IF(AND(AG913=1,OR('Dashboard'!$B$4="All",I913='Dashboard'!$B$4),OR('Dashboard'!$E$4="All",N913='Dashboard'!$E$4),OR('Dashboard'!$H$4="All",K913='Dashboard'!$H$4),OR('Dashboard'!$K$4="All",C913='Dashboard'!$K$4)),1,0)</x:f>
        <x:v>1</x:v>
      </x:c>
      <x:c r="AI913" s="84" t="n">
        <x:f>IF(AND(AG913=1,OR('Dashboard'!$B$4="All",I913='Dashboard'!$B$4),OR('Dashboard'!$E$4="All",N913='Dashboard'!$E$4),OR('Dashboard'!$H$4="All",K913='Dashboard'!$H$4)),1,0)</x:f>
        <x:v>1</x:v>
      </x:c>
    </x:row>
    <x:row r="914">
      <x:c r="A914" s="84" t="str">
        <x:f>'Raw Sales'!A914</x:f>
        <x:v>ORD-2024-01596</x:v>
      </x:c>
      <x:c r="B914" s="85" t="n">
        <x:f>'Raw Sales'!B914</x:f>
        <x:v>45608</x:v>
      </x:c>
      <x:c r="C914" s="84" t="n">
        <x:f>YEAR(B914)</x:f>
        <x:v>2024</x:v>
      </x:c>
      <x:c r="D914" s="91" t="n">
        <x:f>DATE(YEAR(B914),MONTH(B914),1)</x:f>
        <x:v>45597</x:v>
      </x:c>
      <x:c r="E914" s="84" t="str">
        <x:f>TEXT(B914,"mmm")</x:f>
        <x:v>Nov</x:v>
      </x:c>
      <x:c r="F914" s="84" t="str">
        <x:f>'Raw Sales'!C914</x:f>
        <x:v>CUST-0263</x:v>
      </x:c>
      <x:c r="G914" s="84" t="str">
        <x:f>PROPER(TRIM('Raw Sales'!D914))</x:f>
        <x:v>Theo Smith</x:v>
      </x:c>
      <x:c r="H914" s="84" t="str">
        <x:f>IF(TRIM('Raw Sales'!E914)="","Unknown",PROPER(TRIM('Raw Sales'!E914)))</x:f>
        <x:v>Consumer</x:v>
      </x:c>
      <x:c r="I914" s="84" t="str">
        <x:f>PROPER(TRIM('Raw Sales'!F914))</x:f>
        <x:v>West</x:v>
      </x:c>
      <x:c r="J914" s="84" t="str">
        <x:f>PROPER(TRIM('Raw Sales'!G914))</x:f>
        <x:v>Seattle</x:v>
      </x:c>
      <x:c r="K914" s="84" t="str">
        <x:f>PROPER(TRIM('Raw Sales'!H914))</x:f>
        <x:v>Online</x:v>
      </x:c>
      <x:c r="L914" s="84" t="str">
        <x:f>'Raw Sales'!I914</x:f>
        <x:v>OFFC-002</x:v>
      </x:c>
      <x:c r="M914" s="84" t="str">
        <x:f>IFERROR(VLOOKUP(L914,'Reference Data'!$A$5:$F$40,2,FALSE),"Unknown Product")</x:f>
        <x:v>Standing Desk</x:v>
      </x:c>
      <x:c r="N914" s="84" t="str">
        <x:f>IFERROR(VLOOKUP(L914,'Reference Data'!$A$5:$F$40,3,FALSE),"Unknown")</x:f>
        <x:v>Office</x:v>
      </x:c>
      <x:c r="O914" s="84" t="str">
        <x:f>IFERROR(VLOOKUP(L914,'Reference Data'!$A$5:$F$40,4,FALSE),"Unknown")</x:f>
        <x:v>Furniture</x:v>
      </x:c>
      <x:c r="P914" s="92" t="n">
        <x:f>IFERROR(VLOOKUP(L914,'Reference Data'!$A$5:$F$40,5,FALSE),0)</x:f>
        <x:v>399</x:v>
      </x:c>
      <x:c r="Q914" s="92" t="n">
        <x:f>IFERROR(VLOOKUP(L914,'Reference Data'!$A$5:$F$40,6,FALSE),0)</x:f>
        <x:v>235</x:v>
      </x:c>
      <x:c r="R914" s="84" t="n">
        <x:f>'Raw Sales'!J914</x:f>
        <x:v>2</x:v>
      </x:c>
      <x:c r="S914" s="87" t="n">
        <x:f>'Raw Sales'!K914</x:f>
        <x:v>0.1</x:v>
      </x:c>
      <x:c r="T914" s="93" t="n">
        <x:f>P914*R914</x:f>
        <x:v>798</x:v>
      </x:c>
      <x:c r="U914" s="93" t="n">
        <x:f>T914*S914</x:f>
        <x:v>79.80000000000001</x:v>
      </x:c>
      <x:c r="V914" s="93" t="str">
        <x:f>PROPER(TRIM('Raw Sales'!L914))</x:f>
        <x:v>Completed</x:v>
      </x:c>
      <x:c r="W914" s="93" t="n">
        <x:f>IF(V914="Returned",0,T914-U914)</x:f>
        <x:v>718.2</x:v>
      </x:c>
      <x:c r="X914" s="93" t="n">
        <x:f>IF(V914="Returned",Q914*R914*10%,Q914*R914)</x:f>
        <x:v>470</x:v>
      </x:c>
      <x:c r="Y914" s="93" t="n">
        <x:f>W914-X914</x:f>
        <x:v>248.20000000000005</x:v>
      </x:c>
      <x:c r="Z914" s="94" t="n">
        <x:f>IFERROR(Y914/W914,0)</x:f>
        <x:v>0.3455861876914509</x:v>
      </x:c>
      <x:c r="AA914" s="84" t="str">
        <x:f>PROPER(TRIM('Raw Sales'!M914))</x:f>
        <x:v>Mobile Wallet</x:v>
      </x:c>
      <x:c r="AB914" s="84" t="str">
        <x:f>PROPER(TRIM('Raw Sales'!N914))</x:f>
        <x:v>Nora Kim</x:v>
      </x:c>
      <x:c r="AC914" s="85" t="n">
        <x:f>'Raw Sales'!O914</x:f>
        <x:v>45613</x:v>
      </x:c>
      <x:c r="AD914" s="84" t="n">
        <x:f>AC914-B914</x:f>
        <x:v>5</x:v>
      </x:c>
      <x:c r="AE914" s="84" t="str">
        <x:f>IF(COUNTIF($A$5:A914,A914)&gt;1,"Duplicate","Keep")</x:f>
        <x:v>Keep</x:v>
      </x:c>
      <x:c r="AF914" s="84" t="str">
        <x:f>IF(OR(R914&lt;=0,AC914&lt;B914,H914="Unknown",M914="Unknown Product"),"Review","Valid")</x:f>
        <x:v>Valid</x:v>
      </x:c>
      <x:c r="AG914" s="84" t="n">
        <x:f>IF(AND(AE914="Keep",AF914="Valid"),1,0)</x:f>
        <x:v>1</x:v>
      </x:c>
      <x:c r="AH914" s="84" t="n">
        <x:f>IF(AND(AG914=1,OR('Dashboard'!$B$4="All",I914='Dashboard'!$B$4),OR('Dashboard'!$E$4="All",N914='Dashboard'!$E$4),OR('Dashboard'!$H$4="All",K914='Dashboard'!$H$4),OR('Dashboard'!$K$4="All",C914='Dashboard'!$K$4)),1,0)</x:f>
        <x:v>1</x:v>
      </x:c>
      <x:c r="AI914" s="84" t="n">
        <x:f>IF(AND(AG914=1,OR('Dashboard'!$B$4="All",I914='Dashboard'!$B$4),OR('Dashboard'!$E$4="All",N914='Dashboard'!$E$4),OR('Dashboard'!$H$4="All",K914='Dashboard'!$H$4)),1,0)</x:f>
        <x:v>1</x:v>
      </x:c>
    </x:row>
    <x:row r="915">
      <x:c r="A915" s="84" t="str">
        <x:f>'Raw Sales'!A915</x:f>
        <x:v>ORD-2024-01843</x:v>
      </x:c>
      <x:c r="B915" s="85" t="n">
        <x:f>'Raw Sales'!B915</x:f>
        <x:v>45608</x:v>
      </x:c>
      <x:c r="C915" s="84" t="n">
        <x:f>YEAR(B915)</x:f>
        <x:v>2024</x:v>
      </x:c>
      <x:c r="D915" s="91" t="n">
        <x:f>DATE(YEAR(B915),MONTH(B915),1)</x:f>
        <x:v>45597</x:v>
      </x:c>
      <x:c r="E915" s="84" t="str">
        <x:f>TEXT(B915,"mmm")</x:f>
        <x:v>Nov</x:v>
      </x:c>
      <x:c r="F915" s="84" t="str">
        <x:f>'Raw Sales'!C915</x:f>
        <x:v>CUST-0399</x:v>
      </x:c>
      <x:c r="G915" s="84" t="str">
        <x:f>PROPER(TRIM('Raw Sales'!D915))</x:f>
        <x:v>Aiden Foster</x:v>
      </x:c>
      <x:c r="H915" s="84" t="str">
        <x:f>IF(TRIM('Raw Sales'!E915)="","Unknown",PROPER(TRIM('Raw Sales'!E915)))</x:f>
        <x:v>Consumer</x:v>
      </x:c>
      <x:c r="I915" s="84" t="str">
        <x:f>PROPER(TRIM('Raw Sales'!F915))</x:f>
        <x:v>Midwest</x:v>
      </x:c>
      <x:c r="J915" s="84" t="str">
        <x:f>PROPER(TRIM('Raw Sales'!G915))</x:f>
        <x:v>Detroit</x:v>
      </x:c>
      <x:c r="K915" s="84" t="str">
        <x:f>PROPER(TRIM('Raw Sales'!H915))</x:f>
        <x:v>Retail Store</x:v>
      </x:c>
      <x:c r="L915" s="84" t="str">
        <x:f>'Raw Sales'!I915</x:f>
        <x:v>ACCS-003</x:v>
      </x:c>
      <x:c r="M915" s="84" t="str">
        <x:f>IFERROR(VLOOKUP(L915,'Reference Data'!$A$5:$F$40,2,FALSE),"Unknown Product")</x:f>
        <x:v>Polarized Sunglasses</x:v>
      </x:c>
      <x:c r="N915" s="84" t="str">
        <x:f>IFERROR(VLOOKUP(L915,'Reference Data'!$A$5:$F$40,3,FALSE),"Unknown")</x:f>
        <x:v>Accessories</x:v>
      </x:c>
      <x:c r="O915" s="84" t="str">
        <x:f>IFERROR(VLOOKUP(L915,'Reference Data'!$A$5:$F$40,4,FALSE),"Unknown")</x:f>
        <x:v>Eyewear</x:v>
      </x:c>
      <x:c r="P915" s="92" t="n">
        <x:f>IFERROR(VLOOKUP(L915,'Reference Data'!$A$5:$F$40,5,FALSE),0)</x:f>
        <x:v>59</x:v>
      </x:c>
      <x:c r="Q915" s="92" t="n">
        <x:f>IFERROR(VLOOKUP(L915,'Reference Data'!$A$5:$F$40,6,FALSE),0)</x:f>
        <x:v>17</x:v>
      </x:c>
      <x:c r="R915" s="84" t="n">
        <x:f>'Raw Sales'!J915</x:f>
        <x:v>1</x:v>
      </x:c>
      <x:c r="S915" s="87" t="n">
        <x:f>'Raw Sales'!K915</x:f>
        <x:v>0</x:v>
      </x:c>
      <x:c r="T915" s="93" t="n">
        <x:f>P915*R915</x:f>
        <x:v>59</x:v>
      </x:c>
      <x:c r="U915" s="93" t="n">
        <x:f>T915*S915</x:f>
        <x:v>0</x:v>
      </x:c>
      <x:c r="V915" s="93" t="str">
        <x:f>PROPER(TRIM('Raw Sales'!L915))</x:f>
        <x:v>Completed</x:v>
      </x:c>
      <x:c r="W915" s="93" t="n">
        <x:f>IF(V915="Returned",0,T915-U915)</x:f>
        <x:v>59</x:v>
      </x:c>
      <x:c r="X915" s="93" t="n">
        <x:f>IF(V915="Returned",Q915*R915*10%,Q915*R915)</x:f>
        <x:v>17</x:v>
      </x:c>
      <x:c r="Y915" s="93" t="n">
        <x:f>W915-X915</x:f>
        <x:v>42</x:v>
      </x:c>
      <x:c r="Z915" s="94" t="n">
        <x:f>IFERROR(Y915/W915,0)</x:f>
        <x:v>0.711864406779661</x:v>
      </x:c>
      <x:c r="AA915" s="84" t="str">
        <x:f>PROPER(TRIM('Raw Sales'!M915))</x:f>
        <x:v>Credit Card</x:v>
      </x:c>
      <x:c r="AB915" s="84" t="str">
        <x:f>PROPER(TRIM('Raw Sales'!N915))</x:f>
        <x:v>Emma Hayes</x:v>
      </x:c>
      <x:c r="AC915" s="85" t="n">
        <x:f>'Raw Sales'!O915</x:f>
        <x:v>45608</x:v>
      </x:c>
      <x:c r="AD915" s="84" t="n">
        <x:f>AC915-B915</x:f>
        <x:v>0</x:v>
      </x:c>
      <x:c r="AE915" s="84" t="str">
        <x:f>IF(COUNTIF($A$5:A915,A915)&gt;1,"Duplicate","Keep")</x:f>
        <x:v>Keep</x:v>
      </x:c>
      <x:c r="AF915" s="84" t="str">
        <x:f>IF(OR(R915&lt;=0,AC915&lt;B915,H915="Unknown",M915="Unknown Product"),"Review","Valid")</x:f>
        <x:v>Valid</x:v>
      </x:c>
      <x:c r="AG915" s="84" t="n">
        <x:f>IF(AND(AE915="Keep",AF915="Valid"),1,0)</x:f>
        <x:v>1</x:v>
      </x:c>
      <x:c r="AH915" s="84" t="n">
        <x:f>IF(AND(AG915=1,OR('Dashboard'!$B$4="All",I915='Dashboard'!$B$4),OR('Dashboard'!$E$4="All",N915='Dashboard'!$E$4),OR('Dashboard'!$H$4="All",K915='Dashboard'!$H$4),OR('Dashboard'!$K$4="All",C915='Dashboard'!$K$4)),1,0)</x:f>
        <x:v>1</x:v>
      </x:c>
      <x:c r="AI915" s="84" t="n">
        <x:f>IF(AND(AG915=1,OR('Dashboard'!$B$4="All",I915='Dashboard'!$B$4),OR('Dashboard'!$E$4="All",N915='Dashboard'!$E$4),OR('Dashboard'!$H$4="All",K915='Dashboard'!$H$4)),1,0)</x:f>
        <x:v>1</x:v>
      </x:c>
    </x:row>
    <x:row r="916">
      <x:c r="A916" s="84" t="str">
        <x:f>'Raw Sales'!A916</x:f>
        <x:v>ORD-2024-01902</x:v>
      </x:c>
      <x:c r="B916" s="85" t="n">
        <x:f>'Raw Sales'!B916</x:f>
        <x:v>45608</x:v>
      </x:c>
      <x:c r="C916" s="84" t="n">
        <x:f>YEAR(B916)</x:f>
        <x:v>2024</x:v>
      </x:c>
      <x:c r="D916" s="91" t="n">
        <x:f>DATE(YEAR(B916),MONTH(B916),1)</x:f>
        <x:v>45597</x:v>
      </x:c>
      <x:c r="E916" s="84" t="str">
        <x:f>TEXT(B916,"mmm")</x:f>
        <x:v>Nov</x:v>
      </x:c>
      <x:c r="F916" s="84" t="str">
        <x:f>'Raw Sales'!C916</x:f>
        <x:v>CUST-0520</x:v>
      </x:c>
      <x:c r="G916" s="84" t="str">
        <x:f>PROPER(TRIM('Raw Sales'!D916))</x:f>
        <x:v>Theo Quinn</x:v>
      </x:c>
      <x:c r="H916" s="84" t="str">
        <x:f>IF(TRIM('Raw Sales'!E916)="","Unknown",PROPER(TRIM('Raw Sales'!E916)))</x:f>
        <x:v>Consumer</x:v>
      </x:c>
      <x:c r="I916" s="84" t="str">
        <x:f>PROPER(TRIM('Raw Sales'!F916))</x:f>
        <x:v>Northeast</x:v>
      </x:c>
      <x:c r="J916" s="84" t="str">
        <x:f>PROPER(TRIM('Raw Sales'!G916))</x:f>
        <x:v>Boston</x:v>
      </x:c>
      <x:c r="K916" s="84" t="str">
        <x:f>PROPER(TRIM('Raw Sales'!H916))</x:f>
        <x:v>Retail Store</x:v>
      </x:c>
      <x:c r="L916" s="84" t="str">
        <x:f>'Raw Sales'!I916</x:f>
        <x:v>ACCS-003</x:v>
      </x:c>
      <x:c r="M916" s="84" t="str">
        <x:f>IFERROR(VLOOKUP(L916,'Reference Data'!$A$5:$F$40,2,FALSE),"Unknown Product")</x:f>
        <x:v>Polarized Sunglasses</x:v>
      </x:c>
      <x:c r="N916" s="84" t="str">
        <x:f>IFERROR(VLOOKUP(L916,'Reference Data'!$A$5:$F$40,3,FALSE),"Unknown")</x:f>
        <x:v>Accessories</x:v>
      </x:c>
      <x:c r="O916" s="84" t="str">
        <x:f>IFERROR(VLOOKUP(L916,'Reference Data'!$A$5:$F$40,4,FALSE),"Unknown")</x:f>
        <x:v>Eyewear</x:v>
      </x:c>
      <x:c r="P916" s="92" t="n">
        <x:f>IFERROR(VLOOKUP(L916,'Reference Data'!$A$5:$F$40,5,FALSE),0)</x:f>
        <x:v>59</x:v>
      </x:c>
      <x:c r="Q916" s="92" t="n">
        <x:f>IFERROR(VLOOKUP(L916,'Reference Data'!$A$5:$F$40,6,FALSE),0)</x:f>
        <x:v>17</x:v>
      </x:c>
      <x:c r="R916" s="84" t="n">
        <x:f>'Raw Sales'!J916</x:f>
        <x:v>1</x:v>
      </x:c>
      <x:c r="S916" s="87" t="n">
        <x:f>'Raw Sales'!K916</x:f>
        <x:v>0.15</x:v>
      </x:c>
      <x:c r="T916" s="93" t="n">
        <x:f>P916*R916</x:f>
        <x:v>59</x:v>
      </x:c>
      <x:c r="U916" s="93" t="n">
        <x:f>T916*S916</x:f>
        <x:v>8.85</x:v>
      </x:c>
      <x:c r="V916" s="93" t="str">
        <x:f>PROPER(TRIM('Raw Sales'!L916))</x:f>
        <x:v>Completed</x:v>
      </x:c>
      <x:c r="W916" s="93" t="n">
        <x:f>IF(V916="Returned",0,T916-U916)</x:f>
        <x:v>50.15</x:v>
      </x:c>
      <x:c r="X916" s="93" t="n">
        <x:f>IF(V916="Returned",Q916*R916*10%,Q916*R916)</x:f>
        <x:v>17</x:v>
      </x:c>
      <x:c r="Y916" s="93" t="n">
        <x:f>W916-X916</x:f>
        <x:v>33.15</x:v>
      </x:c>
      <x:c r="Z916" s="94" t="n">
        <x:f>IFERROR(Y916/W916,0)</x:f>
        <x:v>0.6610169491525424</x:v>
      </x:c>
      <x:c r="AA916" s="84" t="str">
        <x:f>PROPER(TRIM('Raw Sales'!M916))</x:f>
        <x:v>Credit Card</x:v>
      </x:c>
      <x:c r="AB916" s="84" t="str">
        <x:f>PROPER(TRIM('Raw Sales'!N916))</x:f>
        <x:v>Maya Brooks</x:v>
      </x:c>
      <x:c r="AC916" s="85" t="n">
        <x:f>'Raw Sales'!O916</x:f>
        <x:v>45608</x:v>
      </x:c>
      <x:c r="AD916" s="84" t="n">
        <x:f>AC916-B916</x:f>
        <x:v>0</x:v>
      </x:c>
      <x:c r="AE916" s="84" t="str">
        <x:f>IF(COUNTIF($A$5:A916,A916)&gt;1,"Duplicate","Keep")</x:f>
        <x:v>Keep</x:v>
      </x:c>
      <x:c r="AF916" s="84" t="str">
        <x:f>IF(OR(R916&lt;=0,AC916&lt;B916,H916="Unknown",M916="Unknown Product"),"Review","Valid")</x:f>
        <x:v>Valid</x:v>
      </x:c>
      <x:c r="AG916" s="84" t="n">
        <x:f>IF(AND(AE916="Keep",AF916="Valid"),1,0)</x:f>
        <x:v>1</x:v>
      </x:c>
      <x:c r="AH916" s="84" t="n">
        <x:f>IF(AND(AG916=1,OR('Dashboard'!$B$4="All",I916='Dashboard'!$B$4),OR('Dashboard'!$E$4="All",N916='Dashboard'!$E$4),OR('Dashboard'!$H$4="All",K916='Dashboard'!$H$4),OR('Dashboard'!$K$4="All",C916='Dashboard'!$K$4)),1,0)</x:f>
        <x:v>1</x:v>
      </x:c>
      <x:c r="AI916" s="84" t="n">
        <x:f>IF(AND(AG916=1,OR('Dashboard'!$B$4="All",I916='Dashboard'!$B$4),OR('Dashboard'!$E$4="All",N916='Dashboard'!$E$4),OR('Dashboard'!$H$4="All",K916='Dashboard'!$H$4)),1,0)</x:f>
        <x:v>1</x:v>
      </x:c>
    </x:row>
    <x:row r="917">
      <x:c r="A917" s="84" t="str">
        <x:f>'Raw Sales'!A917</x:f>
        <x:v>ORD-2024-00919</x:v>
      </x:c>
      <x:c r="B917" s="85" t="n">
        <x:f>'Raw Sales'!B917</x:f>
        <x:v>45609</x:v>
      </x:c>
      <x:c r="C917" s="84" t="n">
        <x:f>YEAR(B917)</x:f>
        <x:v>2024</x:v>
      </x:c>
      <x:c r="D917" s="91" t="n">
        <x:f>DATE(YEAR(B917),MONTH(B917),1)</x:f>
        <x:v>45597</x:v>
      </x:c>
      <x:c r="E917" s="84" t="str">
        <x:f>TEXT(B917,"mmm")</x:f>
        <x:v>Nov</x:v>
      </x:c>
      <x:c r="F917" s="84" t="str">
        <x:f>'Raw Sales'!C917</x:f>
        <x:v>CUST-0244</x:v>
      </x:c>
      <x:c r="G917" s="84" t="str">
        <x:f>PROPER(TRIM('Raw Sales'!D917))</x:f>
        <x:v>Caleb Nelson</x:v>
      </x:c>
      <x:c r="H917" s="84" t="str">
        <x:f>IF(TRIM('Raw Sales'!E917)="","Unknown",PROPER(TRIM('Raw Sales'!E917)))</x:f>
        <x:v>Small Business</x:v>
      </x:c>
      <x:c r="I917" s="84" t="str">
        <x:f>PROPER(TRIM('Raw Sales'!F917))</x:f>
        <x:v>Midwest</x:v>
      </x:c>
      <x:c r="J917" s="84" t="str">
        <x:f>PROPER(TRIM('Raw Sales'!G917))</x:f>
        <x:v>Detroit</x:v>
      </x:c>
      <x:c r="K917" s="84" t="str">
        <x:f>PROPER(TRIM('Raw Sales'!H917))</x:f>
        <x:v>Retail Store</x:v>
      </x:c>
      <x:c r="L917" s="84" t="str">
        <x:f>'Raw Sales'!I917</x:f>
        <x:v>HOME-005</x:v>
      </x:c>
      <x:c r="M917" s="84" t="str">
        <x:f>IFERROR(VLOOKUP(L917,'Reference Data'!$A$5:$F$40,2,FALSE),"Unknown Product")</x:f>
        <x:v>Cordless Vacuum</x:v>
      </x:c>
      <x:c r="N917" s="84" t="str">
        <x:f>IFERROR(VLOOKUP(L917,'Reference Data'!$A$5:$F$40,3,FALSE),"Unknown")</x:f>
        <x:v>Home &amp; Kitchen</x:v>
      </x:c>
      <x:c r="O917" s="84" t="str">
        <x:f>IFERROR(VLOOKUP(L917,'Reference Data'!$A$5:$F$40,4,FALSE),"Unknown")</x:f>
        <x:v>Cleaning</x:v>
      </x:c>
      <x:c r="P917" s="92" t="n">
        <x:f>IFERROR(VLOOKUP(L917,'Reference Data'!$A$5:$F$40,5,FALSE),0)</x:f>
        <x:v>179</x:v>
      </x:c>
      <x:c r="Q917" s="92" t="n">
        <x:f>IFERROR(VLOOKUP(L917,'Reference Data'!$A$5:$F$40,6,FALSE),0)</x:f>
        <x:v>102</x:v>
      </x:c>
      <x:c r="R917" s="84" t="n">
        <x:f>'Raw Sales'!J917</x:f>
        <x:v>1</x:v>
      </x:c>
      <x:c r="S917" s="87" t="n">
        <x:f>'Raw Sales'!K917</x:f>
        <x:v>0.05</x:v>
      </x:c>
      <x:c r="T917" s="93" t="n">
        <x:f>P917*R917</x:f>
        <x:v>179</x:v>
      </x:c>
      <x:c r="U917" s="93" t="n">
        <x:f>T917*S917</x:f>
        <x:v>8.950000000000001</x:v>
      </x:c>
      <x:c r="V917" s="93" t="str">
        <x:f>PROPER(TRIM('Raw Sales'!L917))</x:f>
        <x:v>Completed</x:v>
      </x:c>
      <x:c r="W917" s="93" t="n">
        <x:f>IF(V917="Returned",0,T917-U917)</x:f>
        <x:v>170.05</x:v>
      </x:c>
      <x:c r="X917" s="93" t="n">
        <x:f>IF(V917="Returned",Q917*R917*10%,Q917*R917)</x:f>
        <x:v>102</x:v>
      </x:c>
      <x:c r="Y917" s="93" t="n">
        <x:f>W917-X917</x:f>
        <x:v>68.05000000000001</x:v>
      </x:c>
      <x:c r="Z917" s="94" t="n">
        <x:f>IFERROR(Y917/W917,0)</x:f>
        <x:v>0.4001764187003823</x:v>
      </x:c>
      <x:c r="AA917" s="84" t="str">
        <x:f>PROPER(TRIM('Raw Sales'!M917))</x:f>
        <x:v>Credit Card</x:v>
      </x:c>
      <x:c r="AB917" s="84" t="str">
        <x:f>PROPER(TRIM('Raw Sales'!N917))</x:f>
        <x:v>Lucas Grant</x:v>
      </x:c>
      <x:c r="AC917" s="85" t="n">
        <x:f>'Raw Sales'!O917</x:f>
        <x:v>45609</x:v>
      </x:c>
      <x:c r="AD917" s="84" t="n">
        <x:f>AC917-B917</x:f>
        <x:v>0</x:v>
      </x:c>
      <x:c r="AE917" s="84" t="str">
        <x:f>IF(COUNTIF($A$5:A917,A917)&gt;1,"Duplicate","Keep")</x:f>
        <x:v>Keep</x:v>
      </x:c>
      <x:c r="AF917" s="84" t="str">
        <x:f>IF(OR(R917&lt;=0,AC917&lt;B917,H917="Unknown",M917="Unknown Product"),"Review","Valid")</x:f>
        <x:v>Valid</x:v>
      </x:c>
      <x:c r="AG917" s="84" t="n">
        <x:f>IF(AND(AE917="Keep",AF917="Valid"),1,0)</x:f>
        <x:v>1</x:v>
      </x:c>
      <x:c r="AH917" s="84" t="n">
        <x:f>IF(AND(AG917=1,OR('Dashboard'!$B$4="All",I917='Dashboard'!$B$4),OR('Dashboard'!$E$4="All",N917='Dashboard'!$E$4),OR('Dashboard'!$H$4="All",K917='Dashboard'!$H$4),OR('Dashboard'!$K$4="All",C917='Dashboard'!$K$4)),1,0)</x:f>
        <x:v>1</x:v>
      </x:c>
      <x:c r="AI917" s="84" t="n">
        <x:f>IF(AND(AG917=1,OR('Dashboard'!$B$4="All",I917='Dashboard'!$B$4),OR('Dashboard'!$E$4="All",N917='Dashboard'!$E$4),OR('Dashboard'!$H$4="All",K917='Dashboard'!$H$4)),1,0)</x:f>
        <x:v>1</x:v>
      </x:c>
    </x:row>
    <x:row r="918">
      <x:c r="A918" s="84" t="str">
        <x:f>'Raw Sales'!A918</x:f>
        <x:v>ORD-2024-01721</x:v>
      </x:c>
      <x:c r="B918" s="85" t="n">
        <x:f>'Raw Sales'!B918</x:f>
        <x:v>45609</x:v>
      </x:c>
      <x:c r="C918" s="84" t="n">
        <x:f>YEAR(B918)</x:f>
        <x:v>2024</x:v>
      </x:c>
      <x:c r="D918" s="91" t="n">
        <x:f>DATE(YEAR(B918),MONTH(B918),1)</x:f>
        <x:v>45597</x:v>
      </x:c>
      <x:c r="E918" s="84" t="str">
        <x:f>TEXT(B918,"mmm")</x:f>
        <x:v>Nov</x:v>
      </x:c>
      <x:c r="F918" s="84" t="str">
        <x:f>'Raw Sales'!C918</x:f>
        <x:v>CUST-0122</x:v>
      </x:c>
      <x:c r="G918" s="84" t="str">
        <x:f>PROPER(TRIM('Raw Sales'!D918))</x:f>
        <x:v>Priya Young</x:v>
      </x:c>
      <x:c r="H918" s="84" t="str">
        <x:f>IF(TRIM('Raw Sales'!E918)="","Unknown",PROPER(TRIM('Raw Sales'!E918)))</x:f>
        <x:v>Small Business</x:v>
      </x:c>
      <x:c r="I918" s="84" t="str">
        <x:f>PROPER(TRIM('Raw Sales'!F918))</x:f>
        <x:v>West</x:v>
      </x:c>
      <x:c r="J918" s="84" t="str">
        <x:f>PROPER(TRIM('Raw Sales'!G918))</x:f>
        <x:v>Los Angeles</x:v>
      </x:c>
      <x:c r="K918" s="84" t="str">
        <x:f>PROPER(TRIM('Raw Sales'!H918))</x:f>
        <x:v>Retail Store</x:v>
      </x:c>
      <x:c r="L918" s="84" t="str">
        <x:f>'Raw Sales'!I918</x:f>
        <x:v>CARE-006</x:v>
      </x:c>
      <x:c r="M918" s="84" t="str">
        <x:f>IFERROR(VLOOKUP(L918,'Reference Data'!$A$5:$F$40,2,FALSE),"Unknown Product")</x:f>
        <x:v>Percussion Massage Gun</x:v>
      </x:c>
      <x:c r="N918" s="84" t="str">
        <x:f>IFERROR(VLOOKUP(L918,'Reference Data'!$A$5:$F$40,3,FALSE),"Unknown")</x:f>
        <x:v>Personal Care</x:v>
      </x:c>
      <x:c r="O918" s="84" t="str">
        <x:f>IFERROR(VLOOKUP(L918,'Reference Data'!$A$5:$F$40,4,FALSE),"Unknown")</x:f>
        <x:v>Wellness</x:v>
      </x:c>
      <x:c r="P918" s="92" t="n">
        <x:f>IFERROR(VLOOKUP(L918,'Reference Data'!$A$5:$F$40,5,FALSE),0)</x:f>
        <x:v>129</x:v>
      </x:c>
      <x:c r="Q918" s="92" t="n">
        <x:f>IFERROR(VLOOKUP(L918,'Reference Data'!$A$5:$F$40,6,FALSE),0)</x:f>
        <x:v>70</x:v>
      </x:c>
      <x:c r="R918" s="84" t="n">
        <x:f>'Raw Sales'!J918</x:f>
        <x:v>1</x:v>
      </x:c>
      <x:c r="S918" s="87" t="n">
        <x:f>'Raw Sales'!K918</x:f>
        <x:v>0.05</x:v>
      </x:c>
      <x:c r="T918" s="93" t="n">
        <x:f>P918*R918</x:f>
        <x:v>129</x:v>
      </x:c>
      <x:c r="U918" s="93" t="n">
        <x:f>T918*S918</x:f>
        <x:v>6.45</x:v>
      </x:c>
      <x:c r="V918" s="93" t="str">
        <x:f>PROPER(TRIM('Raw Sales'!L918))</x:f>
        <x:v>Completed</x:v>
      </x:c>
      <x:c r="W918" s="93" t="n">
        <x:f>IF(V918="Returned",0,T918-U918)</x:f>
        <x:v>122.55</x:v>
      </x:c>
      <x:c r="X918" s="93" t="n">
        <x:f>IF(V918="Returned",Q918*R918*10%,Q918*R918)</x:f>
        <x:v>70</x:v>
      </x:c>
      <x:c r="Y918" s="93" t="n">
        <x:f>W918-X918</x:f>
        <x:v>52.55</x:v>
      </x:c>
      <x:c r="Z918" s="94" t="n">
        <x:f>IFERROR(Y918/W918,0)</x:f>
        <x:v>0.4288045695634435</x:v>
      </x:c>
      <x:c r="AA918" s="84" t="str">
        <x:f>PROPER(TRIM('Raw Sales'!M918))</x:f>
        <x:v>Debit Card</x:v>
      </x:c>
      <x:c r="AB918" s="84" t="str">
        <x:f>PROPER(TRIM('Raw Sales'!N918))</x:f>
        <x:v>Leo Martinez</x:v>
      </x:c>
      <x:c r="AC918" s="85" t="n">
        <x:f>'Raw Sales'!O918</x:f>
        <x:v>45609</x:v>
      </x:c>
      <x:c r="AD918" s="84" t="n">
        <x:f>AC918-B918</x:f>
        <x:v>0</x:v>
      </x:c>
      <x:c r="AE918" s="84" t="str">
        <x:f>IF(COUNTIF($A$5:A918,A918)&gt;1,"Duplicate","Keep")</x:f>
        <x:v>Keep</x:v>
      </x:c>
      <x:c r="AF918" s="84" t="str">
        <x:f>IF(OR(R918&lt;=0,AC918&lt;B918,H918="Unknown",M918="Unknown Product"),"Review","Valid")</x:f>
        <x:v>Valid</x:v>
      </x:c>
      <x:c r="AG918" s="84" t="n">
        <x:f>IF(AND(AE918="Keep",AF918="Valid"),1,0)</x:f>
        <x:v>1</x:v>
      </x:c>
      <x:c r="AH918" s="84" t="n">
        <x:f>IF(AND(AG918=1,OR('Dashboard'!$B$4="All",I918='Dashboard'!$B$4),OR('Dashboard'!$E$4="All",N918='Dashboard'!$E$4),OR('Dashboard'!$H$4="All",K918='Dashboard'!$H$4),OR('Dashboard'!$K$4="All",C918='Dashboard'!$K$4)),1,0)</x:f>
        <x:v>1</x:v>
      </x:c>
      <x:c r="AI918" s="84" t="n">
        <x:f>IF(AND(AG918=1,OR('Dashboard'!$B$4="All",I918='Dashboard'!$B$4),OR('Dashboard'!$E$4="All",N918='Dashboard'!$E$4),OR('Dashboard'!$H$4="All",K918='Dashboard'!$H$4)),1,0)</x:f>
        <x:v>1</x:v>
      </x:c>
    </x:row>
    <x:row r="919">
      <x:c r="A919" s="84" t="str">
        <x:f>'Raw Sales'!A919</x:f>
        <x:v>ORD-2024-01772</x:v>
      </x:c>
      <x:c r="B919" s="85" t="n">
        <x:f>'Raw Sales'!B919</x:f>
        <x:v>45609</x:v>
      </x:c>
      <x:c r="C919" s="84" t="n">
        <x:f>YEAR(B919)</x:f>
        <x:v>2024</x:v>
      </x:c>
      <x:c r="D919" s="91" t="n">
        <x:f>DATE(YEAR(B919),MONTH(B919),1)</x:f>
        <x:v>45597</x:v>
      </x:c>
      <x:c r="E919" s="84" t="str">
        <x:f>TEXT(B919,"mmm")</x:f>
        <x:v>Nov</x:v>
      </x:c>
      <x:c r="F919" s="84" t="str">
        <x:f>'Raw Sales'!C919</x:f>
        <x:v>CUST-0315</x:v>
      </x:c>
      <x:c r="G919" s="84" t="str">
        <x:f>PROPER(TRIM('Raw Sales'!D919))</x:f>
        <x:v>Caleb Lewis</x:v>
      </x:c>
      <x:c r="H919" s="84" t="str">
        <x:f>IF(TRIM('Raw Sales'!E919)="","Unknown",PROPER(TRIM('Raw Sales'!E919)))</x:f>
        <x:v>Small Business</x:v>
      </x:c>
      <x:c r="I919" s="84" t="str">
        <x:f>PROPER(TRIM('Raw Sales'!F919))</x:f>
        <x:v>West</x:v>
      </x:c>
      <x:c r="J919" s="84" t="str">
        <x:f>PROPER(TRIM('Raw Sales'!G919))</x:f>
        <x:v>Seattle</x:v>
      </x:c>
      <x:c r="K919" s="84" t="str">
        <x:f>PROPER(TRIM('Raw Sales'!H919))</x:f>
        <x:v>Marketplace</x:v>
      </x:c>
      <x:c r="L919" s="84" t="str">
        <x:f>'Raw Sales'!I919</x:f>
        <x:v>FITN-006</x:v>
      </x:c>
      <x:c r="M919" s="84" t="str">
        <x:f>IFERROR(VLOOKUP(L919,'Reference Data'!$A$5:$F$40,2,FALSE),"Unknown Product")</x:f>
        <x:v>Foam Roller</x:v>
      </x:c>
      <x:c r="N919" s="84" t="str">
        <x:f>IFERROR(VLOOKUP(L919,'Reference Data'!$A$5:$F$40,3,FALSE),"Unknown")</x:f>
        <x:v>Fitness</x:v>
      </x:c>
      <x:c r="O919" s="84" t="str">
        <x:f>IFERROR(VLOOKUP(L919,'Reference Data'!$A$5:$F$40,4,FALSE),"Unknown")</x:f>
        <x:v>Recovery</x:v>
      </x:c>
      <x:c r="P919" s="92" t="n">
        <x:f>IFERROR(VLOOKUP(L919,'Reference Data'!$A$5:$F$40,5,FALSE),0)</x:f>
        <x:v>31</x:v>
      </x:c>
      <x:c r="Q919" s="92" t="n">
        <x:f>IFERROR(VLOOKUP(L919,'Reference Data'!$A$5:$F$40,6,FALSE),0)</x:f>
        <x:v>12</x:v>
      </x:c>
      <x:c r="R919" s="84" t="n">
        <x:f>'Raw Sales'!J919</x:f>
        <x:v>1</x:v>
      </x:c>
      <x:c r="S919" s="87" t="n">
        <x:f>'Raw Sales'!K919</x:f>
        <x:v>0.15</x:v>
      </x:c>
      <x:c r="T919" s="93" t="n">
        <x:f>P919*R919</x:f>
        <x:v>31</x:v>
      </x:c>
      <x:c r="U919" s="93" t="n">
        <x:f>T919*S919</x:f>
        <x:v>4.6499999999999995</x:v>
      </x:c>
      <x:c r="V919" s="93" t="str">
        <x:f>PROPER(TRIM('Raw Sales'!L919))</x:f>
        <x:v>Completed</x:v>
      </x:c>
      <x:c r="W919" s="93" t="n">
        <x:f>IF(V919="Returned",0,T919-U919)</x:f>
        <x:v>26.35</x:v>
      </x:c>
      <x:c r="X919" s="93" t="n">
        <x:f>IF(V919="Returned",Q919*R919*10%,Q919*R919)</x:f>
        <x:v>12</x:v>
      </x:c>
      <x:c r="Y919" s="93" t="n">
        <x:f>W919-X919</x:f>
        <x:v>14.350000000000001</x:v>
      </x:c>
      <x:c r="Z919" s="94" t="n">
        <x:f>IFERROR(Y919/W919,0)</x:f>
        <x:v>0.5445920303605314</x:v>
      </x:c>
      <x:c r="AA919" s="84" t="str">
        <x:f>PROPER(TRIM('Raw Sales'!M919))</x:f>
        <x:v>Debit Card</x:v>
      </x:c>
      <x:c r="AB919" s="84" t="str">
        <x:f>PROPER(TRIM('Raw Sales'!N919))</x:f>
        <x:v>Mia Chen</x:v>
      </x:c>
      <x:c r="AC919" s="85" t="n">
        <x:f>'Raw Sales'!O919</x:f>
        <x:v>45612</x:v>
      </x:c>
      <x:c r="AD919" s="84" t="n">
        <x:f>AC919-B919</x:f>
        <x:v>3</x:v>
      </x:c>
      <x:c r="AE919" s="84" t="str">
        <x:f>IF(COUNTIF($A$5:A919,A919)&gt;1,"Duplicate","Keep")</x:f>
        <x:v>Keep</x:v>
      </x:c>
      <x:c r="AF919" s="84" t="str">
        <x:f>IF(OR(R919&lt;=0,AC919&lt;B919,H919="Unknown",M919="Unknown Product"),"Review","Valid")</x:f>
        <x:v>Valid</x:v>
      </x:c>
      <x:c r="AG919" s="84" t="n">
        <x:f>IF(AND(AE919="Keep",AF919="Valid"),1,0)</x:f>
        <x:v>1</x:v>
      </x:c>
      <x:c r="AH919" s="84" t="n">
        <x:f>IF(AND(AG919=1,OR('Dashboard'!$B$4="All",I919='Dashboard'!$B$4),OR('Dashboard'!$E$4="All",N919='Dashboard'!$E$4),OR('Dashboard'!$H$4="All",K919='Dashboard'!$H$4),OR('Dashboard'!$K$4="All",C919='Dashboard'!$K$4)),1,0)</x:f>
        <x:v>1</x:v>
      </x:c>
      <x:c r="AI919" s="84" t="n">
        <x:f>IF(AND(AG919=1,OR('Dashboard'!$B$4="All",I919='Dashboard'!$B$4),OR('Dashboard'!$E$4="All",N919='Dashboard'!$E$4),OR('Dashboard'!$H$4="All",K919='Dashboard'!$H$4)),1,0)</x:f>
        <x:v>1</x:v>
      </x:c>
    </x:row>
    <x:row r="920">
      <x:c r="A920" s="84" t="str">
        <x:f>'Raw Sales'!A920</x:f>
        <x:v>ORD-2024-01322</x:v>
      </x:c>
      <x:c r="B920" s="85" t="n">
        <x:f>'Raw Sales'!B920</x:f>
        <x:v>45610</x:v>
      </x:c>
      <x:c r="C920" s="84" t="n">
        <x:f>YEAR(B920)</x:f>
        <x:v>2024</x:v>
      </x:c>
      <x:c r="D920" s="91" t="n">
        <x:f>DATE(YEAR(B920),MONTH(B920),1)</x:f>
        <x:v>45597</x:v>
      </x:c>
      <x:c r="E920" s="84" t="str">
        <x:f>TEXT(B920,"mmm")</x:f>
        <x:v>Nov</x:v>
      </x:c>
      <x:c r="F920" s="84" t="str">
        <x:f>'Raw Sales'!C920</x:f>
        <x:v>CUST-0039</x:v>
      </x:c>
      <x:c r="G920" s="84" t="str">
        <x:f>PROPER(TRIM('Raw Sales'!D920))</x:f>
        <x:v>Amelia Patel</x:v>
      </x:c>
      <x:c r="H920" s="84" t="str">
        <x:f>IF(TRIM('Raw Sales'!E920)="","Unknown",PROPER(TRIM('Raw Sales'!E920)))</x:f>
        <x:v>Consumer</x:v>
      </x:c>
      <x:c r="I920" s="84" t="str">
        <x:f>PROPER(TRIM('Raw Sales'!F920))</x:f>
        <x:v>West</x:v>
      </x:c>
      <x:c r="J920" s="84" t="str">
        <x:f>PROPER(TRIM('Raw Sales'!G920))</x:f>
        <x:v>Denver</x:v>
      </x:c>
      <x:c r="K920" s="84" t="str">
        <x:f>PROPER(TRIM('Raw Sales'!H920))</x:f>
        <x:v>Online</x:v>
      </x:c>
      <x:c r="L920" s="84" t="str">
        <x:f>'Raw Sales'!I920</x:f>
        <x:v>ELEC-003</x:v>
      </x:c>
      <x:c r="M920" s="84" t="str">
        <x:f>IFERROR(VLOOKUP(L920,'Reference Data'!$A$5:$F$40,2,FALSE),"Unknown Product")</x:f>
        <x:v>Bluetooth Speaker</x:v>
      </x:c>
      <x:c r="N920" s="84" t="str">
        <x:f>IFERROR(VLOOKUP(L920,'Reference Data'!$A$5:$F$40,3,FALSE),"Unknown")</x:f>
        <x:v>Electronics</x:v>
      </x:c>
      <x:c r="O920" s="84" t="str">
        <x:f>IFERROR(VLOOKUP(L920,'Reference Data'!$A$5:$F$40,4,FALSE),"Unknown")</x:f>
        <x:v>Audio</x:v>
      </x:c>
      <x:c r="P920" s="92" t="n">
        <x:f>IFERROR(VLOOKUP(L920,'Reference Data'!$A$5:$F$40,5,FALSE),0)</x:f>
        <x:v>89</x:v>
      </x:c>
      <x:c r="Q920" s="92" t="n">
        <x:f>IFERROR(VLOOKUP(L920,'Reference Data'!$A$5:$F$40,6,FALSE),0)</x:f>
        <x:v>44</x:v>
      </x:c>
      <x:c r="R920" s="84" t="n">
        <x:f>'Raw Sales'!J920</x:f>
        <x:v>1</x:v>
      </x:c>
      <x:c r="S920" s="87" t="n">
        <x:f>'Raw Sales'!K920</x:f>
        <x:v>0</x:v>
      </x:c>
      <x:c r="T920" s="93" t="n">
        <x:f>P920*R920</x:f>
        <x:v>89</x:v>
      </x:c>
      <x:c r="U920" s="93" t="n">
        <x:f>T920*S920</x:f>
        <x:v>0</x:v>
      </x:c>
      <x:c r="V920" s="93" t="str">
        <x:f>PROPER(TRIM('Raw Sales'!L920))</x:f>
        <x:v>Completed</x:v>
      </x:c>
      <x:c r="W920" s="93" t="n">
        <x:f>IF(V920="Returned",0,T920-U920)</x:f>
        <x:v>89</x:v>
      </x:c>
      <x:c r="X920" s="93" t="n">
        <x:f>IF(V920="Returned",Q920*R920*10%,Q920*R920)</x:f>
        <x:v>44</x:v>
      </x:c>
      <x:c r="Y920" s="93" t="n">
        <x:f>W920-X920</x:f>
        <x:v>45</x:v>
      </x:c>
      <x:c r="Z920" s="94" t="n">
        <x:f>IFERROR(Y920/W920,0)</x:f>
        <x:v>0.5056179775280899</x:v>
      </x:c>
      <x:c r="AA920" s="84" t="str">
        <x:f>PROPER(TRIM('Raw Sales'!M920))</x:f>
        <x:v>Debit Card</x:v>
      </x:c>
      <x:c r="AB920" s="84" t="str">
        <x:f>PROPER(TRIM('Raw Sales'!N920))</x:f>
        <x:v>Nora Kim</x:v>
      </x:c>
      <x:c r="AC920" s="85" t="n">
        <x:f>'Raw Sales'!O920</x:f>
        <x:v>45614</x:v>
      </x:c>
      <x:c r="AD920" s="84" t="n">
        <x:f>AC920-B920</x:f>
        <x:v>4</x:v>
      </x:c>
      <x:c r="AE920" s="84" t="str">
        <x:f>IF(COUNTIF($A$5:A920,A920)&gt;1,"Duplicate","Keep")</x:f>
        <x:v>Keep</x:v>
      </x:c>
      <x:c r="AF920" s="84" t="str">
        <x:f>IF(OR(R920&lt;=0,AC920&lt;B920,H920="Unknown",M920="Unknown Product"),"Review","Valid")</x:f>
        <x:v>Valid</x:v>
      </x:c>
      <x:c r="AG920" s="84" t="n">
        <x:f>IF(AND(AE920="Keep",AF920="Valid"),1,0)</x:f>
        <x:v>1</x:v>
      </x:c>
      <x:c r="AH920" s="84" t="n">
        <x:f>IF(AND(AG920=1,OR('Dashboard'!$B$4="All",I920='Dashboard'!$B$4),OR('Dashboard'!$E$4="All",N920='Dashboard'!$E$4),OR('Dashboard'!$H$4="All",K920='Dashboard'!$H$4),OR('Dashboard'!$K$4="All",C920='Dashboard'!$K$4)),1,0)</x:f>
        <x:v>1</x:v>
      </x:c>
      <x:c r="AI920" s="84" t="n">
        <x:f>IF(AND(AG920=1,OR('Dashboard'!$B$4="All",I920='Dashboard'!$B$4),OR('Dashboard'!$E$4="All",N920='Dashboard'!$E$4),OR('Dashboard'!$H$4="All",K920='Dashboard'!$H$4)),1,0)</x:f>
        <x:v>1</x:v>
      </x:c>
    </x:row>
    <x:row r="921">
      <x:c r="A921" s="84" t="str">
        <x:f>'Raw Sales'!A921</x:f>
        <x:v>ORD-2024-01628</x:v>
      </x:c>
      <x:c r="B921" s="85" t="n">
        <x:f>'Raw Sales'!B921</x:f>
        <x:v>45610</x:v>
      </x:c>
      <x:c r="C921" s="84" t="n">
        <x:f>YEAR(B921)</x:f>
        <x:v>2024</x:v>
      </x:c>
      <x:c r="D921" s="91" t="n">
        <x:f>DATE(YEAR(B921),MONTH(B921),1)</x:f>
        <x:v>45597</x:v>
      </x:c>
      <x:c r="E921" s="84" t="str">
        <x:f>TEXT(B921,"mmm")</x:f>
        <x:v>Nov</x:v>
      </x:c>
      <x:c r="F921" s="84" t="str">
        <x:f>'Raw Sales'!C921</x:f>
        <x:v>CUST-0336</x:v>
      </x:c>
      <x:c r="G921" s="84" t="str">
        <x:f>PROPER(TRIM('Raw Sales'!D921))</x:f>
        <x:v>Jonah Garcia</x:v>
      </x:c>
      <x:c r="H921" s="84" t="str">
        <x:f>IF(TRIM('Raw Sales'!E921)="","Unknown",PROPER(TRIM('Raw Sales'!E921)))</x:f>
        <x:v>Consumer</x:v>
      </x:c>
      <x:c r="I921" s="84" t="str">
        <x:f>PROPER(TRIM('Raw Sales'!F921))</x:f>
        <x:v>West</x:v>
      </x:c>
      <x:c r="J921" s="84" t="str">
        <x:f>PROPER(TRIM('Raw Sales'!G921))</x:f>
        <x:v>Phoenix</x:v>
      </x:c>
      <x:c r="K921" s="84" t="str">
        <x:f>PROPER(TRIM('Raw Sales'!H921))</x:f>
        <x:v>Retail Store</x:v>
      </x:c>
      <x:c r="L921" s="84" t="str">
        <x:f>'Raw Sales'!I921</x:f>
        <x:v>ELEC-005</x:v>
      </x:c>
      <x:c r="M921" s="84" t="str">
        <x:f>IFERROR(VLOOKUP(L921,'Reference Data'!$A$5:$F$40,2,FALSE),"Unknown Product")</x:f>
        <x:v>HD Webcam</x:v>
      </x:c>
      <x:c r="N921" s="84" t="str">
        <x:f>IFERROR(VLOOKUP(L921,'Reference Data'!$A$5:$F$40,3,FALSE),"Unknown")</x:f>
        <x:v>Electronics</x:v>
      </x:c>
      <x:c r="O921" s="84" t="str">
        <x:f>IFERROR(VLOOKUP(L921,'Reference Data'!$A$5:$F$40,4,FALSE),"Unknown")</x:f>
        <x:v>Computer Accessories</x:v>
      </x:c>
      <x:c r="P921" s="92" t="n">
        <x:f>IFERROR(VLOOKUP(L921,'Reference Data'!$A$5:$F$40,5,FALSE),0)</x:f>
        <x:v>79</x:v>
      </x:c>
      <x:c r="Q921" s="92" t="n">
        <x:f>IFERROR(VLOOKUP(L921,'Reference Data'!$A$5:$F$40,6,FALSE),0)</x:f>
        <x:v>37</x:v>
      </x:c>
      <x:c r="R921" s="84" t="n">
        <x:f>'Raw Sales'!J921</x:f>
        <x:v>1</x:v>
      </x:c>
      <x:c r="S921" s="87" t="n">
        <x:f>'Raw Sales'!K921</x:f>
        <x:v>0.1</x:v>
      </x:c>
      <x:c r="T921" s="93" t="n">
        <x:f>P921*R921</x:f>
        <x:v>79</x:v>
      </x:c>
      <x:c r="U921" s="93" t="n">
        <x:f>T921*S921</x:f>
        <x:v>7.9</x:v>
      </x:c>
      <x:c r="V921" s="93" t="str">
        <x:f>PROPER(TRIM('Raw Sales'!L921))</x:f>
        <x:v>Completed</x:v>
      </x:c>
      <x:c r="W921" s="93" t="n">
        <x:f>IF(V921="Returned",0,T921-U921)</x:f>
        <x:v>71.1</x:v>
      </x:c>
      <x:c r="X921" s="93" t="n">
        <x:f>IF(V921="Returned",Q921*R921*10%,Q921*R921)</x:f>
        <x:v>37</x:v>
      </x:c>
      <x:c r="Y921" s="93" t="n">
        <x:f>W921-X921</x:f>
        <x:v>34.099999999999994</x:v>
      </x:c>
      <x:c r="Z921" s="94" t="n">
        <x:f>IFERROR(Y921/W921,0)</x:f>
        <x:v>0.4796061884669479</x:v>
      </x:c>
      <x:c r="AA921" s="84" t="str">
        <x:f>PROPER(TRIM('Raw Sales'!M921))</x:f>
        <x:v>Credit Card</x:v>
      </x:c>
      <x:c r="AB921" s="84" t="str">
        <x:f>PROPER(TRIM('Raw Sales'!N921))</x:f>
        <x:v>Mia Chen</x:v>
      </x:c>
      <x:c r="AC921" s="85" t="n">
        <x:f>'Raw Sales'!O921</x:f>
        <x:v>45610</x:v>
      </x:c>
      <x:c r="AD921" s="84" t="n">
        <x:f>AC921-B921</x:f>
        <x:v>0</x:v>
      </x:c>
      <x:c r="AE921" s="84" t="str">
        <x:f>IF(COUNTIF($A$5:A921,A921)&gt;1,"Duplicate","Keep")</x:f>
        <x:v>Keep</x:v>
      </x:c>
      <x:c r="AF921" s="84" t="str">
        <x:f>IF(OR(R921&lt;=0,AC921&lt;B921,H921="Unknown",M921="Unknown Product"),"Review","Valid")</x:f>
        <x:v>Valid</x:v>
      </x:c>
      <x:c r="AG921" s="84" t="n">
        <x:f>IF(AND(AE921="Keep",AF921="Valid"),1,0)</x:f>
        <x:v>1</x:v>
      </x:c>
      <x:c r="AH921" s="84" t="n">
        <x:f>IF(AND(AG921=1,OR('Dashboard'!$B$4="All",I921='Dashboard'!$B$4),OR('Dashboard'!$E$4="All",N921='Dashboard'!$E$4),OR('Dashboard'!$H$4="All",K921='Dashboard'!$H$4),OR('Dashboard'!$K$4="All",C921='Dashboard'!$K$4)),1,0)</x:f>
        <x:v>1</x:v>
      </x:c>
      <x:c r="AI921" s="84" t="n">
        <x:f>IF(AND(AG921=1,OR('Dashboard'!$B$4="All",I921='Dashboard'!$B$4),OR('Dashboard'!$E$4="All",N921='Dashboard'!$E$4),OR('Dashboard'!$H$4="All",K921='Dashboard'!$H$4)),1,0)</x:f>
        <x:v>1</x:v>
      </x:c>
    </x:row>
    <x:row r="922">
      <x:c r="A922" s="84" t="str">
        <x:f>'Raw Sales'!A922</x:f>
        <x:v>ORD-2024-01892</x:v>
      </x:c>
      <x:c r="B922" s="85" t="n">
        <x:f>'Raw Sales'!B922</x:f>
        <x:v>45610</x:v>
      </x:c>
      <x:c r="C922" s="84" t="n">
        <x:f>YEAR(B922)</x:f>
        <x:v>2024</x:v>
      </x:c>
      <x:c r="D922" s="91" t="n">
        <x:f>DATE(YEAR(B922),MONTH(B922),1)</x:f>
        <x:v>45597</x:v>
      </x:c>
      <x:c r="E922" s="84" t="str">
        <x:f>TEXT(B922,"mmm")</x:f>
        <x:v>Nov</x:v>
      </x:c>
      <x:c r="F922" s="84" t="str">
        <x:f>'Raw Sales'!C922</x:f>
        <x:v>CUST-0436</x:v>
      </x:c>
      <x:c r="G922" s="84" t="str">
        <x:f>PROPER(TRIM('Raw Sales'!D922))</x:f>
        <x:v>Nathan Hall</x:v>
      </x:c>
      <x:c r="H922" s="84" t="str">
        <x:f>IF(TRIM('Raw Sales'!E922)="","Unknown",PROPER(TRIM('Raw Sales'!E922)))</x:f>
        <x:v>Consumer</x:v>
      </x:c>
      <x:c r="I922" s="84" t="str">
        <x:f>PROPER(TRIM('Raw Sales'!F922))</x:f>
        <x:v>West</x:v>
      </x:c>
      <x:c r="J922" s="84" t="str">
        <x:f>PROPER(TRIM('Raw Sales'!G922))</x:f>
        <x:v>Phoenix</x:v>
      </x:c>
      <x:c r="K922" s="84" t="str">
        <x:f>PROPER(TRIM('Raw Sales'!H922))</x:f>
        <x:v>Marketplace</x:v>
      </x:c>
      <x:c r="L922" s="84" t="str">
        <x:f>'Raw Sales'!I922</x:f>
        <x:v>ACCS-003</x:v>
      </x:c>
      <x:c r="M922" s="84" t="str">
        <x:f>IFERROR(VLOOKUP(L922,'Reference Data'!$A$5:$F$40,2,FALSE),"Unknown Product")</x:f>
        <x:v>Polarized Sunglasses</x:v>
      </x:c>
      <x:c r="N922" s="84" t="str">
        <x:f>IFERROR(VLOOKUP(L922,'Reference Data'!$A$5:$F$40,3,FALSE),"Unknown")</x:f>
        <x:v>Accessories</x:v>
      </x:c>
      <x:c r="O922" s="84" t="str">
        <x:f>IFERROR(VLOOKUP(L922,'Reference Data'!$A$5:$F$40,4,FALSE),"Unknown")</x:f>
        <x:v>Eyewear</x:v>
      </x:c>
      <x:c r="P922" s="92" t="n">
        <x:f>IFERROR(VLOOKUP(L922,'Reference Data'!$A$5:$F$40,5,FALSE),0)</x:f>
        <x:v>59</x:v>
      </x:c>
      <x:c r="Q922" s="92" t="n">
        <x:f>IFERROR(VLOOKUP(L922,'Reference Data'!$A$5:$F$40,6,FALSE),0)</x:f>
        <x:v>17</x:v>
      </x:c>
      <x:c r="R922" s="84" t="n">
        <x:f>'Raw Sales'!J922</x:f>
        <x:v>1</x:v>
      </x:c>
      <x:c r="S922" s="87" t="n">
        <x:f>'Raw Sales'!K922</x:f>
        <x:v>0.15</x:v>
      </x:c>
      <x:c r="T922" s="93" t="n">
        <x:f>P922*R922</x:f>
        <x:v>59</x:v>
      </x:c>
      <x:c r="U922" s="93" t="n">
        <x:f>T922*S922</x:f>
        <x:v>8.85</x:v>
      </x:c>
      <x:c r="V922" s="93" t="str">
        <x:f>PROPER(TRIM('Raw Sales'!L922))</x:f>
        <x:v>Completed</x:v>
      </x:c>
      <x:c r="W922" s="93" t="n">
        <x:f>IF(V922="Returned",0,T922-U922)</x:f>
        <x:v>50.15</x:v>
      </x:c>
      <x:c r="X922" s="93" t="n">
        <x:f>IF(V922="Returned",Q922*R922*10%,Q922*R922)</x:f>
        <x:v>17</x:v>
      </x:c>
      <x:c r="Y922" s="93" t="n">
        <x:f>W922-X922</x:f>
        <x:v>33.15</x:v>
      </x:c>
      <x:c r="Z922" s="94" t="n">
        <x:f>IFERROR(Y922/W922,0)</x:f>
        <x:v>0.6610169491525424</x:v>
      </x:c>
      <x:c r="AA922" s="84" t="str">
        <x:f>PROPER(TRIM('Raw Sales'!M922))</x:f>
        <x:v>Paypal</x:v>
      </x:c>
      <x:c r="AB922" s="84" t="str">
        <x:f>PROPER(TRIM('Raw Sales'!N922))</x:f>
        <x:v>Leo Martinez</x:v>
      </x:c>
      <x:c r="AC922" s="85" t="n">
        <x:f>'Raw Sales'!O922</x:f>
        <x:v>45617</x:v>
      </x:c>
      <x:c r="AD922" s="84" t="n">
        <x:f>AC922-B922</x:f>
        <x:v>7</x:v>
      </x:c>
      <x:c r="AE922" s="84" t="str">
        <x:f>IF(COUNTIF($A$5:A922,A922)&gt;1,"Duplicate","Keep")</x:f>
        <x:v>Keep</x:v>
      </x:c>
      <x:c r="AF922" s="84" t="str">
        <x:f>IF(OR(R922&lt;=0,AC922&lt;B922,H922="Unknown",M922="Unknown Product"),"Review","Valid")</x:f>
        <x:v>Valid</x:v>
      </x:c>
      <x:c r="AG922" s="84" t="n">
        <x:f>IF(AND(AE922="Keep",AF922="Valid"),1,0)</x:f>
        <x:v>1</x:v>
      </x:c>
      <x:c r="AH922" s="84" t="n">
        <x:f>IF(AND(AG922=1,OR('Dashboard'!$B$4="All",I922='Dashboard'!$B$4),OR('Dashboard'!$E$4="All",N922='Dashboard'!$E$4),OR('Dashboard'!$H$4="All",K922='Dashboard'!$H$4),OR('Dashboard'!$K$4="All",C922='Dashboard'!$K$4)),1,0)</x:f>
        <x:v>1</x:v>
      </x:c>
      <x:c r="AI922" s="84" t="n">
        <x:f>IF(AND(AG922=1,OR('Dashboard'!$B$4="All",I922='Dashboard'!$B$4),OR('Dashboard'!$E$4="All",N922='Dashboard'!$E$4),OR('Dashboard'!$H$4="All",K922='Dashboard'!$H$4)),1,0)</x:f>
        <x:v>1</x:v>
      </x:c>
    </x:row>
    <x:row r="923">
      <x:c r="A923" s="84" t="str">
        <x:f>'Raw Sales'!A923</x:f>
        <x:v>ORD-2024-02067</x:v>
      </x:c>
      <x:c r="B923" s="85" t="n">
        <x:f>'Raw Sales'!B923</x:f>
        <x:v>45610</x:v>
      </x:c>
      <x:c r="C923" s="84" t="n">
        <x:f>YEAR(B923)</x:f>
        <x:v>2024</x:v>
      </x:c>
      <x:c r="D923" s="91" t="n">
        <x:f>DATE(YEAR(B923),MONTH(B923),1)</x:f>
        <x:v>45597</x:v>
      </x:c>
      <x:c r="E923" s="84" t="str">
        <x:f>TEXT(B923,"mmm")</x:f>
        <x:v>Nov</x:v>
      </x:c>
      <x:c r="F923" s="84" t="str">
        <x:f>'Raw Sales'!C923</x:f>
        <x:v>CUST-0367</x:v>
      </x:c>
      <x:c r="G923" s="84" t="str">
        <x:f>PROPER(TRIM('Raw Sales'!D923))</x:f>
        <x:v>Zara Young</x:v>
      </x:c>
      <x:c r="H923" s="84" t="str">
        <x:f>IF(TRIM('Raw Sales'!E923)="","Unknown",PROPER(TRIM('Raw Sales'!E923)))</x:f>
        <x:v>Consumer</x:v>
      </x:c>
      <x:c r="I923" s="84" t="str">
        <x:f>PROPER(TRIM('Raw Sales'!F923))</x:f>
        <x:v>Northeast</x:v>
      </x:c>
      <x:c r="J923" s="84" t="str">
        <x:f>PROPER(TRIM('Raw Sales'!G923))</x:f>
        <x:v>New York</x:v>
      </x:c>
      <x:c r="K923" s="84" t="str">
        <x:f>PROPER(TRIM('Raw Sales'!H923))</x:f>
        <x:v>Retail Store</x:v>
      </x:c>
      <x:c r="L923" s="84" t="str">
        <x:f>'Raw Sales'!I923</x:f>
        <x:v>ELEC-002</x:v>
      </x:c>
      <x:c r="M923" s="84" t="str">
        <x:f>IFERROR(VLOOKUP(L923,'Reference Data'!$A$5:$F$40,2,FALSE),"Unknown Product")</x:f>
        <x:v>Smartwatch</x:v>
      </x:c>
      <x:c r="N923" s="84" t="str">
        <x:f>IFERROR(VLOOKUP(L923,'Reference Data'!$A$5:$F$40,3,FALSE),"Unknown")</x:f>
        <x:v>Electronics</x:v>
      </x:c>
      <x:c r="O923" s="84" t="str">
        <x:f>IFERROR(VLOOKUP(L923,'Reference Data'!$A$5:$F$40,4,FALSE),"Unknown")</x:f>
        <x:v>Wearables</x:v>
      </x:c>
      <x:c r="P923" s="92" t="n">
        <x:f>IFERROR(VLOOKUP(L923,'Reference Data'!$A$5:$F$40,5,FALSE),0)</x:f>
        <x:v>159</x:v>
      </x:c>
      <x:c r="Q923" s="92" t="n">
        <x:f>IFERROR(VLOOKUP(L923,'Reference Data'!$A$5:$F$40,6,FALSE),0)</x:f>
        <x:v>92</x:v>
      </x:c>
      <x:c r="R923" s="84" t="n">
        <x:f>'Raw Sales'!J923</x:f>
        <x:v>1</x:v>
      </x:c>
      <x:c r="S923" s="87" t="n">
        <x:f>'Raw Sales'!K923</x:f>
        <x:v>0.1</x:v>
      </x:c>
      <x:c r="T923" s="93" t="n">
        <x:f>P923*R923</x:f>
        <x:v>159</x:v>
      </x:c>
      <x:c r="U923" s="93" t="n">
        <x:f>T923*S923</x:f>
        <x:v>15.9</x:v>
      </x:c>
      <x:c r="V923" s="93" t="str">
        <x:f>PROPER(TRIM('Raw Sales'!L923))</x:f>
        <x:v>Completed</x:v>
      </x:c>
      <x:c r="W923" s="93" t="n">
        <x:f>IF(V923="Returned",0,T923-U923)</x:f>
        <x:v>143.1</x:v>
      </x:c>
      <x:c r="X923" s="93" t="n">
        <x:f>IF(V923="Returned",Q923*R923*10%,Q923*R923)</x:f>
        <x:v>92</x:v>
      </x:c>
      <x:c r="Y923" s="93" t="n">
        <x:f>W923-X923</x:f>
        <x:v>51.099999999999994</x:v>
      </x:c>
      <x:c r="Z923" s="94" t="n">
        <x:f>IFERROR(Y923/W923,0)</x:f>
        <x:v>0.35709294199860236</x:v>
      </x:c>
      <x:c r="AA923" s="84" t="str">
        <x:f>PROPER(TRIM('Raw Sales'!M923))</x:f>
        <x:v>Mobile Wallet</x:v>
      </x:c>
      <x:c r="AB923" s="84" t="str">
        <x:f>PROPER(TRIM('Raw Sales'!N923))</x:f>
        <x:v>Sofia Bennett</x:v>
      </x:c>
      <x:c r="AC923" s="85" t="n">
        <x:f>'Raw Sales'!O923</x:f>
        <x:v>45610</x:v>
      </x:c>
      <x:c r="AD923" s="84" t="n">
        <x:f>AC923-B923</x:f>
        <x:v>0</x:v>
      </x:c>
      <x:c r="AE923" s="84" t="str">
        <x:f>IF(COUNTIF($A$5:A923,A923)&gt;1,"Duplicate","Keep")</x:f>
        <x:v>Keep</x:v>
      </x:c>
      <x:c r="AF923" s="84" t="str">
        <x:f>IF(OR(R923&lt;=0,AC923&lt;B923,H923="Unknown",M923="Unknown Product"),"Review","Valid")</x:f>
        <x:v>Valid</x:v>
      </x:c>
      <x:c r="AG923" s="84" t="n">
        <x:f>IF(AND(AE923="Keep",AF923="Valid"),1,0)</x:f>
        <x:v>1</x:v>
      </x:c>
      <x:c r="AH923" s="84" t="n">
        <x:f>IF(AND(AG923=1,OR('Dashboard'!$B$4="All",I923='Dashboard'!$B$4),OR('Dashboard'!$E$4="All",N923='Dashboard'!$E$4),OR('Dashboard'!$H$4="All",K923='Dashboard'!$H$4),OR('Dashboard'!$K$4="All",C923='Dashboard'!$K$4)),1,0)</x:f>
        <x:v>1</x:v>
      </x:c>
      <x:c r="AI923" s="84" t="n">
        <x:f>IF(AND(AG923=1,OR('Dashboard'!$B$4="All",I923='Dashboard'!$B$4),OR('Dashboard'!$E$4="All",N923='Dashboard'!$E$4),OR('Dashboard'!$H$4="All",K923='Dashboard'!$H$4)),1,0)</x:f>
        <x:v>1</x:v>
      </x:c>
    </x:row>
    <x:row r="924">
      <x:c r="A924" s="84" t="str">
        <x:f>'Raw Sales'!A924</x:f>
        <x:v>ORD-2024-02158</x:v>
      </x:c>
      <x:c r="B924" s="85" t="n">
        <x:f>'Raw Sales'!B924</x:f>
        <x:v>45611</x:v>
      </x:c>
      <x:c r="C924" s="84" t="n">
        <x:f>YEAR(B924)</x:f>
        <x:v>2024</x:v>
      </x:c>
      <x:c r="D924" s="91" t="n">
        <x:f>DATE(YEAR(B924),MONTH(B924),1)</x:f>
        <x:v>45597</x:v>
      </x:c>
      <x:c r="E924" s="84" t="str">
        <x:f>TEXT(B924,"mmm")</x:f>
        <x:v>Nov</x:v>
      </x:c>
      <x:c r="F924" s="84" t="str">
        <x:f>'Raw Sales'!C924</x:f>
        <x:v>CUST-0636</x:v>
      </x:c>
      <x:c r="G924" s="84" t="str">
        <x:f>PROPER(TRIM('Raw Sales'!D924))</x:f>
        <x:v>Nina Baker</x:v>
      </x:c>
      <x:c r="H924" s="84" t="str">
        <x:f>IF(TRIM('Raw Sales'!E924)="","Unknown",PROPER(TRIM('Raw Sales'!E924)))</x:f>
        <x:v>Small Business</x:v>
      </x:c>
      <x:c r="I924" s="84" t="str">
        <x:f>PROPER(TRIM('Raw Sales'!F924))</x:f>
        <x:v>Midwest</x:v>
      </x:c>
      <x:c r="J924" s="84" t="str">
        <x:f>PROPER(TRIM('Raw Sales'!G924))</x:f>
        <x:v>Chicago</x:v>
      </x:c>
      <x:c r="K924" s="84" t="str">
        <x:f>PROPER(TRIM('Raw Sales'!H924))</x:f>
        <x:v>Online</x:v>
      </x:c>
      <x:c r="L924" s="84" t="str">
        <x:f>'Raw Sales'!I924</x:f>
        <x:v>ACCS-001</x:v>
      </x:c>
      <x:c r="M924" s="84" t="str">
        <x:f>IFERROR(VLOOKUP(L924,'Reference Data'!$A$5:$F$40,2,FALSE),"Unknown Product")</x:f>
        <x:v>Canvas Tote Bag</x:v>
      </x:c>
      <x:c r="N924" s="84" t="str">
        <x:f>IFERROR(VLOOKUP(L924,'Reference Data'!$A$5:$F$40,3,FALSE),"Unknown")</x:f>
        <x:v>Accessories</x:v>
      </x:c>
      <x:c r="O924" s="84" t="str">
        <x:f>IFERROR(VLOOKUP(L924,'Reference Data'!$A$5:$F$40,4,FALSE),"Unknown")</x:f>
        <x:v>Bags</x:v>
      </x:c>
      <x:c r="P924" s="92" t="n">
        <x:f>IFERROR(VLOOKUP(L924,'Reference Data'!$A$5:$F$40,5,FALSE),0)</x:f>
        <x:v>39</x:v>
      </x:c>
      <x:c r="Q924" s="92" t="n">
        <x:f>IFERROR(VLOOKUP(L924,'Reference Data'!$A$5:$F$40,6,FALSE),0)</x:f>
        <x:v>14</x:v>
      </x:c>
      <x:c r="R924" s="84" t="n">
        <x:f>'Raw Sales'!J924</x:f>
        <x:v>1</x:v>
      </x:c>
      <x:c r="S924" s="87" t="n">
        <x:f>'Raw Sales'!K924</x:f>
        <x:v>0</x:v>
      </x:c>
      <x:c r="T924" s="93" t="n">
        <x:f>P924*R924</x:f>
        <x:v>39</x:v>
      </x:c>
      <x:c r="U924" s="93" t="n">
        <x:f>T924*S924</x:f>
        <x:v>0</x:v>
      </x:c>
      <x:c r="V924" s="93" t="str">
        <x:f>PROPER(TRIM('Raw Sales'!L924))</x:f>
        <x:v>Completed</x:v>
      </x:c>
      <x:c r="W924" s="93" t="n">
        <x:f>IF(V924="Returned",0,T924-U924)</x:f>
        <x:v>39</x:v>
      </x:c>
      <x:c r="X924" s="93" t="n">
        <x:f>IF(V924="Returned",Q924*R924*10%,Q924*R924)</x:f>
        <x:v>14</x:v>
      </x:c>
      <x:c r="Y924" s="93" t="n">
        <x:f>W924-X924</x:f>
        <x:v>25</x:v>
      </x:c>
      <x:c r="Z924" s="94" t="n">
        <x:f>IFERROR(Y924/W924,0)</x:f>
        <x:v>0.6410256410256411</x:v>
      </x:c>
      <x:c r="AA924" s="84" t="str">
        <x:f>PROPER(TRIM('Raw Sales'!M924))</x:f>
        <x:v>Paypal</x:v>
      </x:c>
      <x:c r="AB924" s="84" t="str">
        <x:f>PROPER(TRIM('Raw Sales'!N924))</x:f>
        <x:v>Emma Hayes</x:v>
      </x:c>
      <x:c r="AC924" s="85" t="n">
        <x:f>'Raw Sales'!O924</x:f>
        <x:v>45614</x:v>
      </x:c>
      <x:c r="AD924" s="84" t="n">
        <x:f>AC924-B924</x:f>
        <x:v>3</x:v>
      </x:c>
      <x:c r="AE924" s="84" t="str">
        <x:f>IF(COUNTIF($A$5:A924,A924)&gt;1,"Duplicate","Keep")</x:f>
        <x:v>Keep</x:v>
      </x:c>
      <x:c r="AF924" s="84" t="str">
        <x:f>IF(OR(R924&lt;=0,AC924&lt;B924,H924="Unknown",M924="Unknown Product"),"Review","Valid")</x:f>
        <x:v>Valid</x:v>
      </x:c>
      <x:c r="AG924" s="84" t="n">
        <x:f>IF(AND(AE924="Keep",AF924="Valid"),1,0)</x:f>
        <x:v>1</x:v>
      </x:c>
      <x:c r="AH924" s="84" t="n">
        <x:f>IF(AND(AG924=1,OR('Dashboard'!$B$4="All",I924='Dashboard'!$B$4),OR('Dashboard'!$E$4="All",N924='Dashboard'!$E$4),OR('Dashboard'!$H$4="All",K924='Dashboard'!$H$4),OR('Dashboard'!$K$4="All",C924='Dashboard'!$K$4)),1,0)</x:f>
        <x:v>1</x:v>
      </x:c>
      <x:c r="AI924" s="84" t="n">
        <x:f>IF(AND(AG924=1,OR('Dashboard'!$B$4="All",I924='Dashboard'!$B$4),OR('Dashboard'!$E$4="All",N924='Dashboard'!$E$4),OR('Dashboard'!$H$4="All",K924='Dashboard'!$H$4)),1,0)</x:f>
        <x:v>1</x:v>
      </x:c>
    </x:row>
    <x:row r="925">
      <x:c r="A925" s="84" t="str">
        <x:f>'Raw Sales'!A925</x:f>
        <x:v>ORD-2024-00171</x:v>
      </x:c>
      <x:c r="B925" s="85" t="n">
        <x:f>'Raw Sales'!B925</x:f>
        <x:v>45612</x:v>
      </x:c>
      <x:c r="C925" s="84" t="n">
        <x:f>YEAR(B925)</x:f>
        <x:v>2024</x:v>
      </x:c>
      <x:c r="D925" s="91" t="n">
        <x:f>DATE(YEAR(B925),MONTH(B925),1)</x:f>
        <x:v>45597</x:v>
      </x:c>
      <x:c r="E925" s="84" t="str">
        <x:f>TEXT(B925,"mmm")</x:f>
        <x:v>Nov</x:v>
      </x:c>
      <x:c r="F925" s="84" t="str">
        <x:f>'Raw Sales'!C925</x:f>
        <x:v>CUST-0139</x:v>
      </x:c>
      <x:c r="G925" s="84" t="str">
        <x:f>PROPER(TRIM('Raw Sales'!D925))</x:f>
        <x:v>William Evans</x:v>
      </x:c>
      <x:c r="H925" s="84" t="str">
        <x:f>IF(TRIM('Raw Sales'!E925)="","Unknown",PROPER(TRIM('Raw Sales'!E925)))</x:f>
        <x:v>Consumer</x:v>
      </x:c>
      <x:c r="I925" s="84" t="str">
        <x:f>PROPER(TRIM('Raw Sales'!F925))</x:f>
        <x:v>West</x:v>
      </x:c>
      <x:c r="J925" s="84" t="str">
        <x:f>PROPER(TRIM('Raw Sales'!G925))</x:f>
        <x:v>Seattle</x:v>
      </x:c>
      <x:c r="K925" s="84" t="str">
        <x:f>PROPER(TRIM('Raw Sales'!H925))</x:f>
        <x:v>Online</x:v>
      </x:c>
      <x:c r="L925" s="84" t="str">
        <x:f>'Raw Sales'!I925</x:f>
        <x:v>HOME-006</x:v>
      </x:c>
      <x:c r="M925" s="84" t="str">
        <x:f>IFERROR(VLOOKUP(L925,'Reference Data'!$A$5:$F$40,2,FALSE),"Unknown Product")</x:f>
        <x:v>Food Storage Set</x:v>
      </x:c>
      <x:c r="N925" s="84" t="str">
        <x:f>IFERROR(VLOOKUP(L925,'Reference Data'!$A$5:$F$40,3,FALSE),"Unknown")</x:f>
        <x:v>Home &amp; Kitchen</x:v>
      </x:c>
      <x:c r="O925" s="84" t="str">
        <x:f>IFERROR(VLOOKUP(L925,'Reference Data'!$A$5:$F$40,4,FALSE),"Unknown")</x:f>
        <x:v>Kitchenware</x:v>
      </x:c>
      <x:c r="P925" s="92" t="n">
        <x:f>IFERROR(VLOOKUP(L925,'Reference Data'!$A$5:$F$40,5,FALSE),0)</x:f>
        <x:v>34</x:v>
      </x:c>
      <x:c r="Q925" s="92" t="n">
        <x:f>IFERROR(VLOOKUP(L925,'Reference Data'!$A$5:$F$40,6,FALSE),0)</x:f>
        <x:v>15</x:v>
      </x:c>
      <x:c r="R925" s="84" t="n">
        <x:f>'Raw Sales'!J925</x:f>
        <x:v>2</x:v>
      </x:c>
      <x:c r="S925" s="87" t="n">
        <x:f>'Raw Sales'!K925</x:f>
        <x:v>0.1</x:v>
      </x:c>
      <x:c r="T925" s="93" t="n">
        <x:f>P925*R925</x:f>
        <x:v>68</x:v>
      </x:c>
      <x:c r="U925" s="93" t="n">
        <x:f>T925*S925</x:f>
        <x:v>6.800000000000001</x:v>
      </x:c>
      <x:c r="V925" s="93" t="str">
        <x:f>PROPER(TRIM('Raw Sales'!L925))</x:f>
        <x:v>Completed</x:v>
      </x:c>
      <x:c r="W925" s="93" t="n">
        <x:f>IF(V925="Returned",0,T925-U925)</x:f>
        <x:v>61.2</x:v>
      </x:c>
      <x:c r="X925" s="93" t="n">
        <x:f>IF(V925="Returned",Q925*R925*10%,Q925*R925)</x:f>
        <x:v>30</x:v>
      </x:c>
      <x:c r="Y925" s="93" t="n">
        <x:f>W925-X925</x:f>
        <x:v>31.200000000000003</x:v>
      </x:c>
      <x:c r="Z925" s="94" t="n">
        <x:f>IFERROR(Y925/W925,0)</x:f>
        <x:v>0.5098039215686275</x:v>
      </x:c>
      <x:c r="AA925" s="84" t="str">
        <x:f>PROPER(TRIM('Raw Sales'!M925))</x:f>
        <x:v>Paypal</x:v>
      </x:c>
      <x:c r="AB925" s="84" t="str">
        <x:f>PROPER(TRIM('Raw Sales'!N925))</x:f>
        <x:v>Leo Martinez</x:v>
      </x:c>
      <x:c r="AC925" s="85" t="n">
        <x:f>'Raw Sales'!O925</x:f>
        <x:v>45616</x:v>
      </x:c>
      <x:c r="AD925" s="84" t="n">
        <x:f>AC925-B925</x:f>
        <x:v>4</x:v>
      </x:c>
      <x:c r="AE925" s="84" t="str">
        <x:f>IF(COUNTIF($A$5:A925,A925)&gt;1,"Duplicate","Keep")</x:f>
        <x:v>Keep</x:v>
      </x:c>
      <x:c r="AF925" s="84" t="str">
        <x:f>IF(OR(R925&lt;=0,AC925&lt;B925,H925="Unknown",M925="Unknown Product"),"Review","Valid")</x:f>
        <x:v>Valid</x:v>
      </x:c>
      <x:c r="AG925" s="84" t="n">
        <x:f>IF(AND(AE925="Keep",AF925="Valid"),1,0)</x:f>
        <x:v>1</x:v>
      </x:c>
      <x:c r="AH925" s="84" t="n">
        <x:f>IF(AND(AG925=1,OR('Dashboard'!$B$4="All",I925='Dashboard'!$B$4),OR('Dashboard'!$E$4="All",N925='Dashboard'!$E$4),OR('Dashboard'!$H$4="All",K925='Dashboard'!$H$4),OR('Dashboard'!$K$4="All",C925='Dashboard'!$K$4)),1,0)</x:f>
        <x:v>1</x:v>
      </x:c>
      <x:c r="AI925" s="84" t="n">
        <x:f>IF(AND(AG925=1,OR('Dashboard'!$B$4="All",I925='Dashboard'!$B$4),OR('Dashboard'!$E$4="All",N925='Dashboard'!$E$4),OR('Dashboard'!$H$4="All",K925='Dashboard'!$H$4)),1,0)</x:f>
        <x:v>1</x:v>
      </x:c>
    </x:row>
    <x:row r="926">
      <x:c r="A926" s="84" t="str">
        <x:f>'Raw Sales'!A926</x:f>
        <x:v>ORD-2024-00501</x:v>
      </x:c>
      <x:c r="B926" s="85" t="n">
        <x:f>'Raw Sales'!B926</x:f>
        <x:v>45612</x:v>
      </x:c>
      <x:c r="C926" s="84" t="n">
        <x:f>YEAR(B926)</x:f>
        <x:v>2024</x:v>
      </x:c>
      <x:c r="D926" s="91" t="n">
        <x:f>DATE(YEAR(B926),MONTH(B926),1)</x:f>
        <x:v>45597</x:v>
      </x:c>
      <x:c r="E926" s="84" t="str">
        <x:f>TEXT(B926,"mmm")</x:f>
        <x:v>Nov</x:v>
      </x:c>
      <x:c r="F926" s="84" t="str">
        <x:f>'Raw Sales'!C926</x:f>
        <x:v>CUST-0121</x:v>
      </x:c>
      <x:c r="G926" s="84" t="str">
        <x:f>PROPER(TRIM('Raw Sales'!D926))</x:f>
        <x:v>Zara Patel</x:v>
      </x:c>
      <x:c r="H926" s="84" t="str">
        <x:f>IF(TRIM('Raw Sales'!E926)="","Unknown",PROPER(TRIM('Raw Sales'!E926)))</x:f>
        <x:v>Corporate</x:v>
      </x:c>
      <x:c r="I926" s="84" t="str">
        <x:f>PROPER(TRIM('Raw Sales'!F926))</x:f>
        <x:v>West</x:v>
      </x:c>
      <x:c r="J926" s="84" t="str">
        <x:f>PROPER(TRIM('Raw Sales'!G926))</x:f>
        <x:v>Denver</x:v>
      </x:c>
      <x:c r="K926" s="84" t="str">
        <x:f>PROPER(TRIM('Raw Sales'!H926))</x:f>
        <x:v>Online</x:v>
      </x:c>
      <x:c r="L926" s="84" t="str">
        <x:f>'Raw Sales'!I926</x:f>
        <x:v>OFFC-004</x:v>
      </x:c>
      <x:c r="M926" s="84" t="str">
        <x:f>IFERROR(VLOOKUP(L926,'Reference Data'!$A$5:$F$40,2,FALSE),"Unknown Product")</x:f>
        <x:v>Premium Notebook Pack</x:v>
      </x:c>
      <x:c r="N926" s="84" t="str">
        <x:f>IFERROR(VLOOKUP(L926,'Reference Data'!$A$5:$F$40,3,FALSE),"Unknown")</x:f>
        <x:v>Office</x:v>
      </x:c>
      <x:c r="O926" s="84" t="str">
        <x:f>IFERROR(VLOOKUP(L926,'Reference Data'!$A$5:$F$40,4,FALSE),"Unknown")</x:f>
        <x:v>Stationery</x:v>
      </x:c>
      <x:c r="P926" s="92" t="n">
        <x:f>IFERROR(VLOOKUP(L926,'Reference Data'!$A$5:$F$40,5,FALSE),0)</x:f>
        <x:v>18</x:v>
      </x:c>
      <x:c r="Q926" s="92" t="n">
        <x:f>IFERROR(VLOOKUP(L926,'Reference Data'!$A$5:$F$40,6,FALSE),0)</x:f>
        <x:v>6.5</x:v>
      </x:c>
      <x:c r="R926" s="84" t="n">
        <x:f>'Raw Sales'!J926</x:f>
        <x:v>3</x:v>
      </x:c>
      <x:c r="S926" s="87" t="n">
        <x:f>'Raw Sales'!K926</x:f>
        <x:v>0</x:v>
      </x:c>
      <x:c r="T926" s="93" t="n">
        <x:f>P926*R926</x:f>
        <x:v>54</x:v>
      </x:c>
      <x:c r="U926" s="93" t="n">
        <x:f>T926*S926</x:f>
        <x:v>0</x:v>
      </x:c>
      <x:c r="V926" s="93" t="str">
        <x:f>PROPER(TRIM('Raw Sales'!L926))</x:f>
        <x:v>Completed</x:v>
      </x:c>
      <x:c r="W926" s="93" t="n">
        <x:f>IF(V926="Returned",0,T926-U926)</x:f>
        <x:v>54</x:v>
      </x:c>
      <x:c r="X926" s="93" t="n">
        <x:f>IF(V926="Returned",Q926*R926*10%,Q926*R926)</x:f>
        <x:v>19.5</x:v>
      </x:c>
      <x:c r="Y926" s="93" t="n">
        <x:f>W926-X926</x:f>
        <x:v>34.5</x:v>
      </x:c>
      <x:c r="Z926" s="94" t="n">
        <x:f>IFERROR(Y926/W926,0)</x:f>
        <x:v>0.6388888888888888</x:v>
      </x:c>
      <x:c r="AA926" s="84" t="str">
        <x:f>PROPER(TRIM('Raw Sales'!M926))</x:f>
        <x:v>Credit Card</x:v>
      </x:c>
      <x:c r="AB926" s="84" t="str">
        <x:f>PROPER(TRIM('Raw Sales'!N926))</x:f>
        <x:v>Nora Kim</x:v>
      </x:c>
      <x:c r="AC926" s="85" t="n">
        <x:f>'Raw Sales'!O926</x:f>
        <x:v>45616</x:v>
      </x:c>
      <x:c r="AD926" s="84" t="n">
        <x:f>AC926-B926</x:f>
        <x:v>4</x:v>
      </x:c>
      <x:c r="AE926" s="84" t="str">
        <x:f>IF(COUNTIF($A$5:A926,A926)&gt;1,"Duplicate","Keep")</x:f>
        <x:v>Keep</x:v>
      </x:c>
      <x:c r="AF926" s="84" t="str">
        <x:f>IF(OR(R926&lt;=0,AC926&lt;B926,H926="Unknown",M926="Unknown Product"),"Review","Valid")</x:f>
        <x:v>Valid</x:v>
      </x:c>
      <x:c r="AG926" s="84" t="n">
        <x:f>IF(AND(AE926="Keep",AF926="Valid"),1,0)</x:f>
        <x:v>1</x:v>
      </x:c>
      <x:c r="AH926" s="84" t="n">
        <x:f>IF(AND(AG926=1,OR('Dashboard'!$B$4="All",I926='Dashboard'!$B$4),OR('Dashboard'!$E$4="All",N926='Dashboard'!$E$4),OR('Dashboard'!$H$4="All",K926='Dashboard'!$H$4),OR('Dashboard'!$K$4="All",C926='Dashboard'!$K$4)),1,0)</x:f>
        <x:v>1</x:v>
      </x:c>
      <x:c r="AI926" s="84" t="n">
        <x:f>IF(AND(AG926=1,OR('Dashboard'!$B$4="All",I926='Dashboard'!$B$4),OR('Dashboard'!$E$4="All",N926='Dashboard'!$E$4),OR('Dashboard'!$H$4="All",K926='Dashboard'!$H$4)),1,0)</x:f>
        <x:v>1</x:v>
      </x:c>
    </x:row>
    <x:row r="927">
      <x:c r="A927" s="84" t="str">
        <x:f>'Raw Sales'!A927</x:f>
        <x:v>ORD-2024-00815</x:v>
      </x:c>
      <x:c r="B927" s="85" t="n">
        <x:f>'Raw Sales'!B927</x:f>
        <x:v>45612</x:v>
      </x:c>
      <x:c r="C927" s="84" t="n">
        <x:f>YEAR(B927)</x:f>
        <x:v>2024</x:v>
      </x:c>
      <x:c r="D927" s="91" t="n">
        <x:f>DATE(YEAR(B927),MONTH(B927),1)</x:f>
        <x:v>45597</x:v>
      </x:c>
      <x:c r="E927" s="84" t="str">
        <x:f>TEXT(B927,"mmm")</x:f>
        <x:v>Nov</x:v>
      </x:c>
      <x:c r="F927" s="84" t="str">
        <x:f>'Raw Sales'!C927</x:f>
        <x:v>CUST-0387</x:v>
      </x:c>
      <x:c r="G927" s="84" t="str">
        <x:f>PROPER(TRIM('Raw Sales'!D927))</x:f>
        <x:v>Samuel Evans</x:v>
      </x:c>
      <x:c r="H927" s="84" t="str">
        <x:f>IF(TRIM('Raw Sales'!E927)="","Unknown",PROPER(TRIM('Raw Sales'!E927)))</x:f>
        <x:v>Small Business</x:v>
      </x:c>
      <x:c r="I927" s="84" t="str">
        <x:f>PROPER(TRIM('Raw Sales'!F927))</x:f>
        <x:v>West</x:v>
      </x:c>
      <x:c r="J927" s="84" t="str">
        <x:f>PROPER(TRIM('Raw Sales'!G927))</x:f>
        <x:v>Denver</x:v>
      </x:c>
      <x:c r="K927" s="84" t="str">
        <x:f>PROPER(TRIM('Raw Sales'!H927))</x:f>
        <x:v>Retail Store</x:v>
      </x:c>
      <x:c r="L927" s="84" t="str">
        <x:f>'Raw Sales'!I927</x:f>
        <x:v>OFFC-004</x:v>
      </x:c>
      <x:c r="M927" s="84" t="str">
        <x:f>IFERROR(VLOOKUP(L927,'Reference Data'!$A$5:$F$40,2,FALSE),"Unknown Product")</x:f>
        <x:v>Premium Notebook Pack</x:v>
      </x:c>
      <x:c r="N927" s="84" t="str">
        <x:f>IFERROR(VLOOKUP(L927,'Reference Data'!$A$5:$F$40,3,FALSE),"Unknown")</x:f>
        <x:v>Office</x:v>
      </x:c>
      <x:c r="O927" s="84" t="str">
        <x:f>IFERROR(VLOOKUP(L927,'Reference Data'!$A$5:$F$40,4,FALSE),"Unknown")</x:f>
        <x:v>Stationery</x:v>
      </x:c>
      <x:c r="P927" s="92" t="n">
        <x:f>IFERROR(VLOOKUP(L927,'Reference Data'!$A$5:$F$40,5,FALSE),0)</x:f>
        <x:v>18</x:v>
      </x:c>
      <x:c r="Q927" s="92" t="n">
        <x:f>IFERROR(VLOOKUP(L927,'Reference Data'!$A$5:$F$40,6,FALSE),0)</x:f>
        <x:v>6.5</x:v>
      </x:c>
      <x:c r="R927" s="84" t="n">
        <x:f>'Raw Sales'!J927</x:f>
        <x:v>4</x:v>
      </x:c>
      <x:c r="S927" s="87" t="n">
        <x:f>'Raw Sales'!K927</x:f>
        <x:v>0.05</x:v>
      </x:c>
      <x:c r="T927" s="93" t="n">
        <x:f>P927*R927</x:f>
        <x:v>72</x:v>
      </x:c>
      <x:c r="U927" s="93" t="n">
        <x:f>T927*S927</x:f>
        <x:v>3.6</x:v>
      </x:c>
      <x:c r="V927" s="93" t="str">
        <x:f>PROPER(TRIM('Raw Sales'!L927))</x:f>
        <x:v>Completed</x:v>
      </x:c>
      <x:c r="W927" s="93" t="n">
        <x:f>IF(V927="Returned",0,T927-U927)</x:f>
        <x:v>68.4</x:v>
      </x:c>
      <x:c r="X927" s="93" t="n">
        <x:f>IF(V927="Returned",Q927*R927*10%,Q927*R927)</x:f>
        <x:v>26</x:v>
      </x:c>
      <x:c r="Y927" s="93" t="n">
        <x:f>W927-X927</x:f>
        <x:v>42.400000000000006</x:v>
      </x:c>
      <x:c r="Z927" s="94" t="n">
        <x:f>IFERROR(Y927/W927,0)</x:f>
        <x:v>0.6198830409356726</x:v>
      </x:c>
      <x:c r="AA927" s="84" t="str">
        <x:f>PROPER(TRIM('Raw Sales'!M927))</x:f>
        <x:v>Credit Card</x:v>
      </x:c>
      <x:c r="AB927" s="84" t="str">
        <x:f>PROPER(TRIM('Raw Sales'!N927))</x:f>
        <x:v>Leo Martinez</x:v>
      </x:c>
      <x:c r="AC927" s="85" t="n">
        <x:f>'Raw Sales'!O927</x:f>
        <x:v>45612</x:v>
      </x:c>
      <x:c r="AD927" s="84" t="n">
        <x:f>AC927-B927</x:f>
        <x:v>0</x:v>
      </x:c>
      <x:c r="AE927" s="84" t="str">
        <x:f>IF(COUNTIF($A$5:A927,A927)&gt;1,"Duplicate","Keep")</x:f>
        <x:v>Keep</x:v>
      </x:c>
      <x:c r="AF927" s="84" t="str">
        <x:f>IF(OR(R927&lt;=0,AC927&lt;B927,H927="Unknown",M927="Unknown Product"),"Review","Valid")</x:f>
        <x:v>Valid</x:v>
      </x:c>
      <x:c r="AG927" s="84" t="n">
        <x:f>IF(AND(AE927="Keep",AF927="Valid"),1,0)</x:f>
        <x:v>1</x:v>
      </x:c>
      <x:c r="AH927" s="84" t="n">
        <x:f>IF(AND(AG927=1,OR('Dashboard'!$B$4="All",I927='Dashboard'!$B$4),OR('Dashboard'!$E$4="All",N927='Dashboard'!$E$4),OR('Dashboard'!$H$4="All",K927='Dashboard'!$H$4),OR('Dashboard'!$K$4="All",C927='Dashboard'!$K$4)),1,0)</x:f>
        <x:v>1</x:v>
      </x:c>
      <x:c r="AI927" s="84" t="n">
        <x:f>IF(AND(AG927=1,OR('Dashboard'!$B$4="All",I927='Dashboard'!$B$4),OR('Dashboard'!$E$4="All",N927='Dashboard'!$E$4),OR('Dashboard'!$H$4="All",K927='Dashboard'!$H$4)),1,0)</x:f>
        <x:v>1</x:v>
      </x:c>
    </x:row>
    <x:row r="928">
      <x:c r="A928" s="84" t="str">
        <x:f>'Raw Sales'!A928</x:f>
        <x:v>ORD-2024-01005</x:v>
      </x:c>
      <x:c r="B928" s="85" t="n">
        <x:f>'Raw Sales'!B928</x:f>
        <x:v>45612</x:v>
      </x:c>
      <x:c r="C928" s="84" t="n">
        <x:f>YEAR(B928)</x:f>
        <x:v>2024</x:v>
      </x:c>
      <x:c r="D928" s="91" t="n">
        <x:f>DATE(YEAR(B928),MONTH(B928),1)</x:f>
        <x:v>45597</x:v>
      </x:c>
      <x:c r="E928" s="84" t="str">
        <x:f>TEXT(B928,"mmm")</x:f>
        <x:v>Nov</x:v>
      </x:c>
      <x:c r="F928" s="84" t="str">
        <x:f>'Raw Sales'!C928</x:f>
        <x:v>CUST-0532</x:v>
      </x:c>
      <x:c r="G928" s="84" t="str">
        <x:f>PROPER(TRIM('Raw Sales'!D928))</x:f>
        <x:v>Elena Hall</x:v>
      </x:c>
      <x:c r="H928" s="84" t="str">
        <x:f>IF(TRIM('Raw Sales'!E928)="","Unknown",PROPER(TRIM('Raw Sales'!E928)))</x:f>
        <x:v>Small Business</x:v>
      </x:c>
      <x:c r="I928" s="84" t="str">
        <x:f>PROPER(TRIM('Raw Sales'!F928))</x:f>
        <x:v>Southeast</x:v>
      </x:c>
      <x:c r="J928" s="84" t="str">
        <x:f>PROPER(TRIM('Raw Sales'!G928))</x:f>
        <x:v>Charlotte</x:v>
      </x:c>
      <x:c r="K928" s="84" t="str">
        <x:f>PROPER(TRIM('Raw Sales'!H928))</x:f>
        <x:v>Online</x:v>
      </x:c>
      <x:c r="L928" s="84" t="str">
        <x:f>'Raw Sales'!I928</x:f>
        <x:v>ELEC-006</x:v>
      </x:c>
      <x:c r="M928" s="84" t="str">
        <x:f>IFERROR(VLOOKUP(L928,'Reference Data'!$A$5:$F$40,2,FALSE),"Unknown Product")</x:f>
        <x:v>Portable SSD</x:v>
      </x:c>
      <x:c r="N928" s="84" t="str">
        <x:f>IFERROR(VLOOKUP(L928,'Reference Data'!$A$5:$F$40,3,FALSE),"Unknown")</x:f>
        <x:v>Electronics</x:v>
      </x:c>
      <x:c r="O928" s="84" t="str">
        <x:f>IFERROR(VLOOKUP(L928,'Reference Data'!$A$5:$F$40,4,FALSE),"Unknown")</x:f>
        <x:v>Storage</x:v>
      </x:c>
      <x:c r="P928" s="92" t="n">
        <x:f>IFERROR(VLOOKUP(L928,'Reference Data'!$A$5:$F$40,5,FALSE),0)</x:f>
        <x:v>129</x:v>
      </x:c>
      <x:c r="Q928" s="92" t="n">
        <x:f>IFERROR(VLOOKUP(L928,'Reference Data'!$A$5:$F$40,6,FALSE),0)</x:f>
        <x:v>75</x:v>
      </x:c>
      <x:c r="R928" s="84" t="n">
        <x:f>'Raw Sales'!J928</x:f>
        <x:v>2</x:v>
      </x:c>
      <x:c r="S928" s="87" t="n">
        <x:f>'Raw Sales'!K928</x:f>
        <x:v>0</x:v>
      </x:c>
      <x:c r="T928" s="93" t="n">
        <x:f>P928*R928</x:f>
        <x:v>258</x:v>
      </x:c>
      <x:c r="U928" s="93" t="n">
        <x:f>T928*S928</x:f>
        <x:v>0</x:v>
      </x:c>
      <x:c r="V928" s="93" t="str">
        <x:f>PROPER(TRIM('Raw Sales'!L928))</x:f>
        <x:v>Completed</x:v>
      </x:c>
      <x:c r="W928" s="93" t="n">
        <x:f>IF(V928="Returned",0,T928-U928)</x:f>
        <x:v>258</x:v>
      </x:c>
      <x:c r="X928" s="93" t="n">
        <x:f>IF(V928="Returned",Q928*R928*10%,Q928*R928)</x:f>
        <x:v>150</x:v>
      </x:c>
      <x:c r="Y928" s="93" t="n">
        <x:f>W928-X928</x:f>
        <x:v>108</x:v>
      </x:c>
      <x:c r="Z928" s="94" t="n">
        <x:f>IFERROR(Y928/W928,0)</x:f>
        <x:v>0.4186046511627907</x:v>
      </x:c>
      <x:c r="AA928" s="84" t="str">
        <x:f>PROPER(TRIM('Raw Sales'!M928))</x:f>
        <x:v>Debit Card</x:v>
      </x:c>
      <x:c r="AB928" s="84" t="str">
        <x:f>PROPER(TRIM('Raw Sales'!N928))</x:f>
        <x:v>Liam Parker</x:v>
      </x:c>
      <x:c r="AC928" s="85" t="n">
        <x:f>'Raw Sales'!O928</x:f>
        <x:v>45616</x:v>
      </x:c>
      <x:c r="AD928" s="84" t="n">
        <x:f>AC928-B928</x:f>
        <x:v>4</x:v>
      </x:c>
      <x:c r="AE928" s="84" t="str">
        <x:f>IF(COUNTIF($A$5:A928,A928)&gt;1,"Duplicate","Keep")</x:f>
        <x:v>Keep</x:v>
      </x:c>
      <x:c r="AF928" s="84" t="str">
        <x:f>IF(OR(R928&lt;=0,AC928&lt;B928,H928="Unknown",M928="Unknown Product"),"Review","Valid")</x:f>
        <x:v>Valid</x:v>
      </x:c>
      <x:c r="AG928" s="84" t="n">
        <x:f>IF(AND(AE928="Keep",AF928="Valid"),1,0)</x:f>
        <x:v>1</x:v>
      </x:c>
      <x:c r="AH928" s="84" t="n">
        <x:f>IF(AND(AG928=1,OR('Dashboard'!$B$4="All",I928='Dashboard'!$B$4),OR('Dashboard'!$E$4="All",N928='Dashboard'!$E$4),OR('Dashboard'!$H$4="All",K928='Dashboard'!$H$4),OR('Dashboard'!$K$4="All",C928='Dashboard'!$K$4)),1,0)</x:f>
        <x:v>1</x:v>
      </x:c>
      <x:c r="AI928" s="84" t="n">
        <x:f>IF(AND(AG928=1,OR('Dashboard'!$B$4="All",I928='Dashboard'!$B$4),OR('Dashboard'!$E$4="All",N928='Dashboard'!$E$4),OR('Dashboard'!$H$4="All",K928='Dashboard'!$H$4)),1,0)</x:f>
        <x:v>1</x:v>
      </x:c>
    </x:row>
    <x:row r="929">
      <x:c r="A929" s="84" t="str">
        <x:f>'Raw Sales'!A929</x:f>
        <x:v>ORD-2024-01295</x:v>
      </x:c>
      <x:c r="B929" s="85" t="n">
        <x:f>'Raw Sales'!B929</x:f>
        <x:v>45612</x:v>
      </x:c>
      <x:c r="C929" s="84" t="n">
        <x:f>YEAR(B929)</x:f>
        <x:v>2024</x:v>
      </x:c>
      <x:c r="D929" s="91" t="n">
        <x:f>DATE(YEAR(B929),MONTH(B929),1)</x:f>
        <x:v>45597</x:v>
      </x:c>
      <x:c r="E929" s="84" t="str">
        <x:f>TEXT(B929,"mmm")</x:f>
        <x:v>Nov</x:v>
      </x:c>
      <x:c r="F929" s="84" t="str">
        <x:f>'Raw Sales'!C929</x:f>
        <x:v>CUST-0329</x:v>
      </x:c>
      <x:c r="G929" s="84" t="str">
        <x:f>PROPER(TRIM('Raw Sales'!D929))</x:f>
        <x:v>Theo Nelson</x:v>
      </x:c>
      <x:c r="H929" s="84" t="str">
        <x:f>IF(TRIM('Raw Sales'!E929)="","Unknown",PROPER(TRIM('Raw Sales'!E929)))</x:f>
        <x:v>Consumer</x:v>
      </x:c>
      <x:c r="I929" s="84" t="str">
        <x:f>PROPER(TRIM('Raw Sales'!F929))</x:f>
        <x:v>Southeast</x:v>
      </x:c>
      <x:c r="J929" s="84" t="str">
        <x:f>PROPER(TRIM('Raw Sales'!G929))</x:f>
        <x:v>Atlanta</x:v>
      </x:c>
      <x:c r="K929" s="84" t="str">
        <x:f>PROPER(TRIM('Raw Sales'!H929))</x:f>
        <x:v>Online</x:v>
      </x:c>
      <x:c r="L929" s="84" t="str">
        <x:f>'Raw Sales'!I929</x:f>
        <x:v>ELEC-006</x:v>
      </x:c>
      <x:c r="M929" s="84" t="str">
        <x:f>IFERROR(VLOOKUP(L929,'Reference Data'!$A$5:$F$40,2,FALSE),"Unknown Product")</x:f>
        <x:v>Portable SSD</x:v>
      </x:c>
      <x:c r="N929" s="84" t="str">
        <x:f>IFERROR(VLOOKUP(L929,'Reference Data'!$A$5:$F$40,3,FALSE),"Unknown")</x:f>
        <x:v>Electronics</x:v>
      </x:c>
      <x:c r="O929" s="84" t="str">
        <x:f>IFERROR(VLOOKUP(L929,'Reference Data'!$A$5:$F$40,4,FALSE),"Unknown")</x:f>
        <x:v>Storage</x:v>
      </x:c>
      <x:c r="P929" s="92" t="n">
        <x:f>IFERROR(VLOOKUP(L929,'Reference Data'!$A$5:$F$40,5,FALSE),0)</x:f>
        <x:v>129</x:v>
      </x:c>
      <x:c r="Q929" s="92" t="n">
        <x:f>IFERROR(VLOOKUP(L929,'Reference Data'!$A$5:$F$40,6,FALSE),0)</x:f>
        <x:v>75</x:v>
      </x:c>
      <x:c r="R929" s="84" t="n">
        <x:f>'Raw Sales'!J929</x:f>
        <x:v>3</x:v>
      </x:c>
      <x:c r="S929" s="87" t="n">
        <x:f>'Raw Sales'!K929</x:f>
        <x:v>0.2</x:v>
      </x:c>
      <x:c r="T929" s="93" t="n">
        <x:f>P929*R929</x:f>
        <x:v>387</x:v>
      </x:c>
      <x:c r="U929" s="93" t="n">
        <x:f>T929*S929</x:f>
        <x:v>77.4</x:v>
      </x:c>
      <x:c r="V929" s="93" t="str">
        <x:f>PROPER(TRIM('Raw Sales'!L929))</x:f>
        <x:v>Completed</x:v>
      </x:c>
      <x:c r="W929" s="93" t="n">
        <x:f>IF(V929="Returned",0,T929-U929)</x:f>
        <x:v>309.6</x:v>
      </x:c>
      <x:c r="X929" s="93" t="n">
        <x:f>IF(V929="Returned",Q929*R929*10%,Q929*R929)</x:f>
        <x:v>225</x:v>
      </x:c>
      <x:c r="Y929" s="93" t="n">
        <x:f>W929-X929</x:f>
        <x:v>84.60000000000002</x:v>
      </x:c>
      <x:c r="Z929" s="94" t="n">
        <x:f>IFERROR(Y929/W929,0)</x:f>
        <x:v>0.2732558139534884</x:v>
      </x:c>
      <x:c r="AA929" s="84" t="str">
        <x:f>PROPER(TRIM('Raw Sales'!M929))</x:f>
        <x:v>Credit Card</x:v>
      </x:c>
      <x:c r="AB929" s="84" t="str">
        <x:f>PROPER(TRIM('Raw Sales'!N929))</x:f>
        <x:v>Ava Mitchell</x:v>
      </x:c>
      <x:c r="AC929" s="85" t="n">
        <x:f>'Raw Sales'!O929</x:f>
        <x:v>45615</x:v>
      </x:c>
      <x:c r="AD929" s="84" t="n">
        <x:f>AC929-B929</x:f>
        <x:v>3</x:v>
      </x:c>
      <x:c r="AE929" s="84" t="str">
        <x:f>IF(COUNTIF($A$5:A929,A929)&gt;1,"Duplicate","Keep")</x:f>
        <x:v>Keep</x:v>
      </x:c>
      <x:c r="AF929" s="84" t="str">
        <x:f>IF(OR(R929&lt;=0,AC929&lt;B929,H929="Unknown",M929="Unknown Product"),"Review","Valid")</x:f>
        <x:v>Valid</x:v>
      </x:c>
      <x:c r="AG929" s="84" t="n">
        <x:f>IF(AND(AE929="Keep",AF929="Valid"),1,0)</x:f>
        <x:v>1</x:v>
      </x:c>
      <x:c r="AH929" s="84" t="n">
        <x:f>IF(AND(AG929=1,OR('Dashboard'!$B$4="All",I929='Dashboard'!$B$4),OR('Dashboard'!$E$4="All",N929='Dashboard'!$E$4),OR('Dashboard'!$H$4="All",K929='Dashboard'!$H$4),OR('Dashboard'!$K$4="All",C929='Dashboard'!$K$4)),1,0)</x:f>
        <x:v>1</x:v>
      </x:c>
      <x:c r="AI929" s="84" t="n">
        <x:f>IF(AND(AG929=1,OR('Dashboard'!$B$4="All",I929='Dashboard'!$B$4),OR('Dashboard'!$E$4="All",N929='Dashboard'!$E$4),OR('Dashboard'!$H$4="All",K929='Dashboard'!$H$4)),1,0)</x:f>
        <x:v>1</x:v>
      </x:c>
    </x:row>
    <x:row r="930">
      <x:c r="A930" s="84" t="str">
        <x:f>'Raw Sales'!A930</x:f>
        <x:v>ORD-2024-01931</x:v>
      </x:c>
      <x:c r="B930" s="85" t="n">
        <x:f>'Raw Sales'!B930</x:f>
        <x:v>45612</x:v>
      </x:c>
      <x:c r="C930" s="84" t="n">
        <x:f>YEAR(B930)</x:f>
        <x:v>2024</x:v>
      </x:c>
      <x:c r="D930" s="91" t="n">
        <x:f>DATE(YEAR(B930),MONTH(B930),1)</x:f>
        <x:v>45597</x:v>
      </x:c>
      <x:c r="E930" s="84" t="str">
        <x:f>TEXT(B930,"mmm")</x:f>
        <x:v>Nov</x:v>
      </x:c>
      <x:c r="F930" s="84" t="str">
        <x:f>'Raw Sales'!C930</x:f>
        <x:v>CUST-0318</x:v>
      </x:c>
      <x:c r="G930" s="84" t="str">
        <x:f>PROPER(TRIM('Raw Sales'!D930))</x:f>
        <x:v>Theo Baker</x:v>
      </x:c>
      <x:c r="H930" s="84" t="str">
        <x:f>IF(TRIM('Raw Sales'!E930)="","Unknown",PROPER(TRIM('Raw Sales'!E930)))</x:f>
        <x:v>Consumer</x:v>
      </x:c>
      <x:c r="I930" s="84" t="str">
        <x:f>PROPER(TRIM('Raw Sales'!F930))</x:f>
        <x:v>Midwest</x:v>
      </x:c>
      <x:c r="J930" s="84" t="str">
        <x:f>PROPER(TRIM('Raw Sales'!G930))</x:f>
        <x:v>Detroit</x:v>
      </x:c>
      <x:c r="K930" s="84" t="str">
        <x:f>PROPER(TRIM('Raw Sales'!H930))</x:f>
        <x:v>Retail Store</x:v>
      </x:c>
      <x:c r="L930" s="84" t="str">
        <x:f>'Raw Sales'!I930</x:f>
        <x:v>OFFC-005</x:v>
      </x:c>
      <x:c r="M930" s="84" t="str">
        <x:f>IFERROR(VLOOKUP(L930,'Reference Data'!$A$5:$F$40,2,FALSE),"Unknown Product")</x:f>
        <x:v>Wireless Keyboard</x:v>
      </x:c>
      <x:c r="N930" s="84" t="str">
        <x:f>IFERROR(VLOOKUP(L930,'Reference Data'!$A$5:$F$40,3,FALSE),"Unknown")</x:f>
        <x:v>Office</x:v>
      </x:c>
      <x:c r="O930" s="84" t="str">
        <x:f>IFERROR(VLOOKUP(L930,'Reference Data'!$A$5:$F$40,4,FALSE),"Unknown")</x:f>
        <x:v>Computer Accessories</x:v>
      </x:c>
      <x:c r="P930" s="92" t="n">
        <x:f>IFERROR(VLOOKUP(L930,'Reference Data'!$A$5:$F$40,5,FALSE),0)</x:f>
        <x:v>59</x:v>
      </x:c>
      <x:c r="Q930" s="92" t="n">
        <x:f>IFERROR(VLOOKUP(L930,'Reference Data'!$A$5:$F$40,6,FALSE),0)</x:f>
        <x:v>28</x:v>
      </x:c>
      <x:c r="R930" s="84" t="n">
        <x:f>'Raw Sales'!J930</x:f>
        <x:v>1</x:v>
      </x:c>
      <x:c r="S930" s="87" t="n">
        <x:f>'Raw Sales'!K930</x:f>
        <x:v>0.15</x:v>
      </x:c>
      <x:c r="T930" s="93" t="n">
        <x:f>P930*R930</x:f>
        <x:v>59</x:v>
      </x:c>
      <x:c r="U930" s="93" t="n">
        <x:f>T930*S930</x:f>
        <x:v>8.85</x:v>
      </x:c>
      <x:c r="V930" s="93" t="str">
        <x:f>PROPER(TRIM('Raw Sales'!L930))</x:f>
        <x:v>Completed</x:v>
      </x:c>
      <x:c r="W930" s="93" t="n">
        <x:f>IF(V930="Returned",0,T930-U930)</x:f>
        <x:v>50.15</x:v>
      </x:c>
      <x:c r="X930" s="93" t="n">
        <x:f>IF(V930="Returned",Q930*R930*10%,Q930*R930)</x:f>
        <x:v>28</x:v>
      </x:c>
      <x:c r="Y930" s="93" t="n">
        <x:f>W930-X930</x:f>
        <x:v>22.15</x:v>
      </x:c>
      <x:c r="Z930" s="94" t="n">
        <x:f>IFERROR(Y930/W930,0)</x:f>
        <x:v>0.44167497507477566</x:v>
      </x:c>
      <x:c r="AA930" s="84" t="str">
        <x:f>PROPER(TRIM('Raw Sales'!M930))</x:f>
        <x:v>Credit Card</x:v>
      </x:c>
      <x:c r="AB930" s="84" t="str">
        <x:f>PROPER(TRIM('Raw Sales'!N930))</x:f>
        <x:v>Lucas Grant</x:v>
      </x:c>
      <x:c r="AC930" s="85" t="n">
        <x:f>'Raw Sales'!O930</x:f>
        <x:v>45613</x:v>
      </x:c>
      <x:c r="AD930" s="84" t="n">
        <x:f>AC930-B930</x:f>
        <x:v>1</x:v>
      </x:c>
      <x:c r="AE930" s="84" t="str">
        <x:f>IF(COUNTIF($A$5:A930,A930)&gt;1,"Duplicate","Keep")</x:f>
        <x:v>Keep</x:v>
      </x:c>
      <x:c r="AF930" s="84" t="str">
        <x:f>IF(OR(R930&lt;=0,AC930&lt;B930,H930="Unknown",M930="Unknown Product"),"Review","Valid")</x:f>
        <x:v>Valid</x:v>
      </x:c>
      <x:c r="AG930" s="84" t="n">
        <x:f>IF(AND(AE930="Keep",AF930="Valid"),1,0)</x:f>
        <x:v>1</x:v>
      </x:c>
      <x:c r="AH930" s="84" t="n">
        <x:f>IF(AND(AG930=1,OR('Dashboard'!$B$4="All",I930='Dashboard'!$B$4),OR('Dashboard'!$E$4="All",N930='Dashboard'!$E$4),OR('Dashboard'!$H$4="All",K930='Dashboard'!$H$4),OR('Dashboard'!$K$4="All",C930='Dashboard'!$K$4)),1,0)</x:f>
        <x:v>1</x:v>
      </x:c>
      <x:c r="AI930" s="84" t="n">
        <x:f>IF(AND(AG930=1,OR('Dashboard'!$B$4="All",I930='Dashboard'!$B$4),OR('Dashboard'!$E$4="All",N930='Dashboard'!$E$4),OR('Dashboard'!$H$4="All",K930='Dashboard'!$H$4)),1,0)</x:f>
        <x:v>1</x:v>
      </x:c>
    </x:row>
    <x:row r="931">
      <x:c r="A931" s="84" t="str">
        <x:f>'Raw Sales'!A931</x:f>
        <x:v>ORD-2024-01539</x:v>
      </x:c>
      <x:c r="B931" s="85" t="n">
        <x:f>'Raw Sales'!B931</x:f>
        <x:v>45613</x:v>
      </x:c>
      <x:c r="C931" s="84" t="n">
        <x:f>YEAR(B931)</x:f>
        <x:v>2024</x:v>
      </x:c>
      <x:c r="D931" s="91" t="n">
        <x:f>DATE(YEAR(B931),MONTH(B931),1)</x:f>
        <x:v>45597</x:v>
      </x:c>
      <x:c r="E931" s="84" t="str">
        <x:f>TEXT(B931,"mmm")</x:f>
        <x:v>Nov</x:v>
      </x:c>
      <x:c r="F931" s="84" t="str">
        <x:f>'Raw Sales'!C931</x:f>
        <x:v>CUST-0583</x:v>
      </x:c>
      <x:c r="G931" s="84" t="str">
        <x:f>PROPER(TRIM('Raw Sales'!D931))</x:f>
        <x:v>Nina Irwin</x:v>
      </x:c>
      <x:c r="H931" s="84" t="str">
        <x:f>IF(TRIM('Raw Sales'!E931)="","Unknown",PROPER(TRIM('Raw Sales'!E931)))</x:f>
        <x:v>Consumer</x:v>
      </x:c>
      <x:c r="I931" s="84" t="str">
        <x:f>PROPER(TRIM('Raw Sales'!F931))</x:f>
        <x:v>Southeast</x:v>
      </x:c>
      <x:c r="J931" s="84" t="str">
        <x:f>PROPER(TRIM('Raw Sales'!G931))</x:f>
        <x:v>Charlotte</x:v>
      </x:c>
      <x:c r="K931" s="84" t="str">
        <x:f>PROPER(TRIM('Raw Sales'!H931))</x:f>
        <x:v>Marketplace</x:v>
      </x:c>
      <x:c r="L931" s="84" t="str">
        <x:f>'Raw Sales'!I931</x:f>
        <x:v>HOME-003</x:v>
      </x:c>
      <x:c r="M931" s="84" t="str">
        <x:f>IFERROR(VLOOKUP(L931,'Reference Data'!$A$5:$F$40,2,FALSE),"Unknown Product")</x:f>
        <x:v>Countertop Blender</x:v>
      </x:c>
      <x:c r="N931" s="84" t="str">
        <x:f>IFERROR(VLOOKUP(L931,'Reference Data'!$A$5:$F$40,3,FALSE),"Unknown")</x:f>
        <x:v>Home &amp; Kitchen</x:v>
      </x:c>
      <x:c r="O931" s="84" t="str">
        <x:f>IFERROR(VLOOKUP(L931,'Reference Data'!$A$5:$F$40,4,FALSE),"Unknown")</x:f>
        <x:v>Small Appliances</x:v>
      </x:c>
      <x:c r="P931" s="92" t="n">
        <x:f>IFERROR(VLOOKUP(L931,'Reference Data'!$A$5:$F$40,5,FALSE),0)</x:f>
        <x:v>89</x:v>
      </x:c>
      <x:c r="Q931" s="92" t="n">
        <x:f>IFERROR(VLOOKUP(L931,'Reference Data'!$A$5:$F$40,6,FALSE),0)</x:f>
        <x:v>46</x:v>
      </x:c>
      <x:c r="R931" s="84" t="n">
        <x:f>'Raw Sales'!J931</x:f>
        <x:v>2</x:v>
      </x:c>
      <x:c r="S931" s="87" t="n">
        <x:f>'Raw Sales'!K931</x:f>
        <x:v>0.2</x:v>
      </x:c>
      <x:c r="T931" s="93" t="n">
        <x:f>P931*R931</x:f>
        <x:v>178</x:v>
      </x:c>
      <x:c r="U931" s="93" t="n">
        <x:f>T931*S931</x:f>
        <x:v>35.6</x:v>
      </x:c>
      <x:c r="V931" s="93" t="str">
        <x:f>PROPER(TRIM('Raw Sales'!L931))</x:f>
        <x:v>Completed</x:v>
      </x:c>
      <x:c r="W931" s="93" t="n">
        <x:f>IF(V931="Returned",0,T931-U931)</x:f>
        <x:v>142.4</x:v>
      </x:c>
      <x:c r="X931" s="93" t="n">
        <x:f>IF(V931="Returned",Q931*R931*10%,Q931*R931)</x:f>
        <x:v>92</x:v>
      </x:c>
      <x:c r="Y931" s="93" t="n">
        <x:f>W931-X931</x:f>
        <x:v>50.400000000000006</x:v>
      </x:c>
      <x:c r="Z931" s="94" t="n">
        <x:f>IFERROR(Y931/W931,0)</x:f>
        <x:v>0.35393258426966295</x:v>
      </x:c>
      <x:c r="AA931" s="84" t="str">
        <x:f>PROPER(TRIM('Raw Sales'!M931))</x:f>
        <x:v>Mobile Wallet</x:v>
      </x:c>
      <x:c r="AB931" s="84" t="str">
        <x:f>PROPER(TRIM('Raw Sales'!N931))</x:f>
        <x:v>Ava Mitchell</x:v>
      </x:c>
      <x:c r="AC931" s="85" t="n">
        <x:f>'Raw Sales'!O931</x:f>
        <x:v>45619</x:v>
      </x:c>
      <x:c r="AD931" s="84" t="n">
        <x:f>AC931-B931</x:f>
        <x:v>6</x:v>
      </x:c>
      <x:c r="AE931" s="84" t="str">
        <x:f>IF(COUNTIF($A$5:A931,A931)&gt;1,"Duplicate","Keep")</x:f>
        <x:v>Keep</x:v>
      </x:c>
      <x:c r="AF931" s="84" t="str">
        <x:f>IF(OR(R931&lt;=0,AC931&lt;B931,H931="Unknown",M931="Unknown Product"),"Review","Valid")</x:f>
        <x:v>Valid</x:v>
      </x:c>
      <x:c r="AG931" s="84" t="n">
        <x:f>IF(AND(AE931="Keep",AF931="Valid"),1,0)</x:f>
        <x:v>1</x:v>
      </x:c>
      <x:c r="AH931" s="84" t="n">
        <x:f>IF(AND(AG931=1,OR('Dashboard'!$B$4="All",I931='Dashboard'!$B$4),OR('Dashboard'!$E$4="All",N931='Dashboard'!$E$4),OR('Dashboard'!$H$4="All",K931='Dashboard'!$H$4),OR('Dashboard'!$K$4="All",C931='Dashboard'!$K$4)),1,0)</x:f>
        <x:v>1</x:v>
      </x:c>
      <x:c r="AI931" s="84" t="n">
        <x:f>IF(AND(AG931=1,OR('Dashboard'!$B$4="All",I931='Dashboard'!$B$4),OR('Dashboard'!$E$4="All",N931='Dashboard'!$E$4),OR('Dashboard'!$H$4="All",K931='Dashboard'!$H$4)),1,0)</x:f>
        <x:v>1</x:v>
      </x:c>
    </x:row>
    <x:row r="932">
      <x:c r="A932" s="84" t="str">
        <x:f>'Raw Sales'!A932</x:f>
        <x:v>ORD-2024-02130</x:v>
      </x:c>
      <x:c r="B932" s="85" t="n">
        <x:f>'Raw Sales'!B932</x:f>
        <x:v>45613</x:v>
      </x:c>
      <x:c r="C932" s="84" t="n">
        <x:f>YEAR(B932)</x:f>
        <x:v>2024</x:v>
      </x:c>
      <x:c r="D932" s="91" t="n">
        <x:f>DATE(YEAR(B932),MONTH(B932),1)</x:f>
        <x:v>45597</x:v>
      </x:c>
      <x:c r="E932" s="84" t="str">
        <x:f>TEXT(B932,"mmm")</x:f>
        <x:v>Nov</x:v>
      </x:c>
      <x:c r="F932" s="84" t="str">
        <x:f>'Raw Sales'!C932</x:f>
        <x:v>CUST-0588</x:v>
      </x:c>
      <x:c r="G932" s="84" t="str">
        <x:f>PROPER(TRIM('Raw Sales'!D932))</x:f>
        <x:v>Nathan Johnson</x:v>
      </x:c>
      <x:c r="H932" s="84" t="str">
        <x:f>IF(TRIM('Raw Sales'!E932)="","Unknown",PROPER(TRIM('Raw Sales'!E932)))</x:f>
        <x:v>Consumer</x:v>
      </x:c>
      <x:c r="I932" s="84" t="str">
        <x:f>PROPER(TRIM('Raw Sales'!F932))</x:f>
        <x:v>Midwest</x:v>
      </x:c>
      <x:c r="J932" s="84" t="str">
        <x:f>PROPER(TRIM('Raw Sales'!G932))</x:f>
        <x:v>Detroit</x:v>
      </x:c>
      <x:c r="K932" s="84" t="str">
        <x:f>PROPER(TRIM('Raw Sales'!H932))</x:f>
        <x:v>Retail Store</x:v>
      </x:c>
      <x:c r="L932" s="84" t="str">
        <x:f>'Raw Sales'!I932</x:f>
        <x:v>ACCS-006</x:v>
      </x:c>
      <x:c r="M932" s="84" t="str">
        <x:f>IFERROR(VLOOKUP(L932,'Reference Data'!$A$5:$F$40,2,FALSE),"Unknown Product")</x:f>
        <x:v>Insulated Lunch Bag</x:v>
      </x:c>
      <x:c r="N932" s="84" t="str">
        <x:f>IFERROR(VLOOKUP(L932,'Reference Data'!$A$5:$F$40,3,FALSE),"Unknown")</x:f>
        <x:v>Accessories</x:v>
      </x:c>
      <x:c r="O932" s="84" t="str">
        <x:f>IFERROR(VLOOKUP(L932,'Reference Data'!$A$5:$F$40,4,FALSE),"Unknown")</x:f>
        <x:v>Bags</x:v>
      </x:c>
      <x:c r="P932" s="92" t="n">
        <x:f>IFERROR(VLOOKUP(L932,'Reference Data'!$A$5:$F$40,5,FALSE),0)</x:f>
        <x:v>29</x:v>
      </x:c>
      <x:c r="Q932" s="92" t="n">
        <x:f>IFERROR(VLOOKUP(L932,'Reference Data'!$A$5:$F$40,6,FALSE),0)</x:f>
        <x:v>10</x:v>
      </x:c>
      <x:c r="R932" s="84" t="n">
        <x:f>'Raw Sales'!J932</x:f>
        <x:v>1</x:v>
      </x:c>
      <x:c r="S932" s="87" t="n">
        <x:f>'Raw Sales'!K932</x:f>
        <x:v>0.05</x:v>
      </x:c>
      <x:c r="T932" s="93" t="n">
        <x:f>P932*R932</x:f>
        <x:v>29</x:v>
      </x:c>
      <x:c r="U932" s="93" t="n">
        <x:f>T932*S932</x:f>
        <x:v>1.4500000000000002</x:v>
      </x:c>
      <x:c r="V932" s="93" t="str">
        <x:f>PROPER(TRIM('Raw Sales'!L932))</x:f>
        <x:v>Completed</x:v>
      </x:c>
      <x:c r="W932" s="93" t="n">
        <x:f>IF(V932="Returned",0,T932-U932)</x:f>
        <x:v>27.55</x:v>
      </x:c>
      <x:c r="X932" s="93" t="n">
        <x:f>IF(V932="Returned",Q932*R932*10%,Q932*R932)</x:f>
        <x:v>10</x:v>
      </x:c>
      <x:c r="Y932" s="93" t="n">
        <x:f>W932-X932</x:f>
        <x:v>17.55</x:v>
      </x:c>
      <x:c r="Z932" s="94" t="n">
        <x:f>IFERROR(Y932/W932,0)</x:f>
        <x:v>0.6370235934664247</x:v>
      </x:c>
      <x:c r="AA932" s="84" t="str">
        <x:f>PROPER(TRIM('Raw Sales'!M932))</x:f>
        <x:v>Debit Card</x:v>
      </x:c>
      <x:c r="AB932" s="84" t="str">
        <x:f>PROPER(TRIM('Raw Sales'!N932))</x:f>
        <x:v>Zoe Turner</x:v>
      </x:c>
      <x:c r="AC932" s="85" t="n">
        <x:f>'Raw Sales'!O932</x:f>
        <x:v>45614</x:v>
      </x:c>
      <x:c r="AD932" s="84" t="n">
        <x:f>AC932-B932</x:f>
        <x:v>1</x:v>
      </x:c>
      <x:c r="AE932" s="84" t="str">
        <x:f>IF(COUNTIF($A$5:A932,A932)&gt;1,"Duplicate","Keep")</x:f>
        <x:v>Keep</x:v>
      </x:c>
      <x:c r="AF932" s="84" t="str">
        <x:f>IF(OR(R932&lt;=0,AC932&lt;B932,H932="Unknown",M932="Unknown Product"),"Review","Valid")</x:f>
        <x:v>Valid</x:v>
      </x:c>
      <x:c r="AG932" s="84" t="n">
        <x:f>IF(AND(AE932="Keep",AF932="Valid"),1,0)</x:f>
        <x:v>1</x:v>
      </x:c>
      <x:c r="AH932" s="84" t="n">
        <x:f>IF(AND(AG932=1,OR('Dashboard'!$B$4="All",I932='Dashboard'!$B$4),OR('Dashboard'!$E$4="All",N932='Dashboard'!$E$4),OR('Dashboard'!$H$4="All",K932='Dashboard'!$H$4),OR('Dashboard'!$K$4="All",C932='Dashboard'!$K$4)),1,0)</x:f>
        <x:v>1</x:v>
      </x:c>
      <x:c r="AI932" s="84" t="n">
        <x:f>IF(AND(AG932=1,OR('Dashboard'!$B$4="All",I932='Dashboard'!$B$4),OR('Dashboard'!$E$4="All",N932='Dashboard'!$E$4),OR('Dashboard'!$H$4="All",K932='Dashboard'!$H$4)),1,0)</x:f>
        <x:v>1</x:v>
      </x:c>
    </x:row>
    <x:row r="933">
      <x:c r="A933" s="84" t="str">
        <x:f>'Raw Sales'!A933</x:f>
        <x:v>ORD-2024-00144</x:v>
      </x:c>
      <x:c r="B933" s="85" t="n">
        <x:f>'Raw Sales'!B933</x:f>
        <x:v>45614</x:v>
      </x:c>
      <x:c r="C933" s="84" t="n">
        <x:f>YEAR(B933)</x:f>
        <x:v>2024</x:v>
      </x:c>
      <x:c r="D933" s="91" t="n">
        <x:f>DATE(YEAR(B933),MONTH(B933),1)</x:f>
        <x:v>45597</x:v>
      </x:c>
      <x:c r="E933" s="84" t="str">
        <x:f>TEXT(B933,"mmm")</x:f>
        <x:v>Nov</x:v>
      </x:c>
      <x:c r="F933" s="84" t="str">
        <x:f>'Raw Sales'!C933</x:f>
        <x:v>CUST-0517</x:v>
      </x:c>
      <x:c r="G933" s="84" t="str">
        <x:f>PROPER(TRIM('Raw Sales'!D933))</x:f>
        <x:v>Layla Irwin</x:v>
      </x:c>
      <x:c r="H933" s="84" t="str">
        <x:f>IF(TRIM('Raw Sales'!E933)="","Unknown",PROPER(TRIM('Raw Sales'!E933)))</x:f>
        <x:v>Corporate</x:v>
      </x:c>
      <x:c r="I933" s="84" t="str">
        <x:f>PROPER(TRIM('Raw Sales'!F933))</x:f>
        <x:v>Northeast</x:v>
      </x:c>
      <x:c r="J933" s="84" t="str">
        <x:f>PROPER(TRIM('Raw Sales'!G933))</x:f>
        <x:v>Newark</x:v>
      </x:c>
      <x:c r="K933" s="84" t="str">
        <x:f>PROPER(TRIM('Raw Sales'!H933))</x:f>
        <x:v>Marketplace</x:v>
      </x:c>
      <x:c r="L933" s="84" t="str">
        <x:f>'Raw Sales'!I933</x:f>
        <x:v>HOME-004</x:v>
      </x:c>
      <x:c r="M933" s="84" t="str">
        <x:f>IFERROR(VLOOKUP(L933,'Reference Data'!$A$5:$F$40,2,FALSE),"Unknown Product")</x:f>
        <x:v>Coffee Maker</x:v>
      </x:c>
      <x:c r="N933" s="84" t="str">
        <x:f>IFERROR(VLOOKUP(L933,'Reference Data'!$A$5:$F$40,3,FALSE),"Unknown")</x:f>
        <x:v>Home &amp; Kitchen</x:v>
      </x:c>
      <x:c r="O933" s="84" t="str">
        <x:f>IFERROR(VLOOKUP(L933,'Reference Data'!$A$5:$F$40,4,FALSE),"Unknown")</x:f>
        <x:v>Small Appliances</x:v>
      </x:c>
      <x:c r="P933" s="92" t="n">
        <x:f>IFERROR(VLOOKUP(L933,'Reference Data'!$A$5:$F$40,5,FALSE),0)</x:f>
        <x:v>99</x:v>
      </x:c>
      <x:c r="Q933" s="92" t="n">
        <x:f>IFERROR(VLOOKUP(L933,'Reference Data'!$A$5:$F$40,6,FALSE),0)</x:f>
        <x:v>51</x:v>
      </x:c>
      <x:c r="R933" s="84" t="n">
        <x:f>'Raw Sales'!J933</x:f>
        <x:v>2</x:v>
      </x:c>
      <x:c r="S933" s="87" t="n">
        <x:f>'Raw Sales'!K933</x:f>
        <x:v>0.05</x:v>
      </x:c>
      <x:c r="T933" s="93" t="n">
        <x:f>P933*R933</x:f>
        <x:v>198</x:v>
      </x:c>
      <x:c r="U933" s="93" t="n">
        <x:f>T933*S933</x:f>
        <x:v>9.9</x:v>
      </x:c>
      <x:c r="V933" s="93" t="str">
        <x:f>PROPER(TRIM('Raw Sales'!L933))</x:f>
        <x:v>Completed</x:v>
      </x:c>
      <x:c r="W933" s="93" t="n">
        <x:f>IF(V933="Returned",0,T933-U933)</x:f>
        <x:v>188.1</x:v>
      </x:c>
      <x:c r="X933" s="93" t="n">
        <x:f>IF(V933="Returned",Q933*R933*10%,Q933*R933)</x:f>
        <x:v>102</x:v>
      </x:c>
      <x:c r="Y933" s="93" t="n">
        <x:f>W933-X933</x:f>
        <x:v>86.1</x:v>
      </x:c>
      <x:c r="Z933" s="94" t="n">
        <x:f>IFERROR(Y933/W933,0)</x:f>
        <x:v>0.4577352472089314</x:v>
      </x:c>
      <x:c r="AA933" s="84" t="str">
        <x:f>PROPER(TRIM('Raw Sales'!M933))</x:f>
        <x:v>Credit Card</x:v>
      </x:c>
      <x:c r="AB933" s="84" t="str">
        <x:f>PROPER(TRIM('Raw Sales'!N933))</x:f>
        <x:v>Sofia Bennett</x:v>
      </x:c>
      <x:c r="AC933" s="85" t="n">
        <x:f>'Raw Sales'!O933</x:f>
        <x:v>45620</x:v>
      </x:c>
      <x:c r="AD933" s="84" t="n">
        <x:f>AC933-B933</x:f>
        <x:v>6</x:v>
      </x:c>
      <x:c r="AE933" s="84" t="str">
        <x:f>IF(COUNTIF($A$5:A933,A933)&gt;1,"Duplicate","Keep")</x:f>
        <x:v>Keep</x:v>
      </x:c>
      <x:c r="AF933" s="84" t="str">
        <x:f>IF(OR(R933&lt;=0,AC933&lt;B933,H933="Unknown",M933="Unknown Product"),"Review","Valid")</x:f>
        <x:v>Valid</x:v>
      </x:c>
      <x:c r="AG933" s="84" t="n">
        <x:f>IF(AND(AE933="Keep",AF933="Valid"),1,0)</x:f>
        <x:v>1</x:v>
      </x:c>
      <x:c r="AH933" s="84" t="n">
        <x:f>IF(AND(AG933=1,OR('Dashboard'!$B$4="All",I933='Dashboard'!$B$4),OR('Dashboard'!$E$4="All",N933='Dashboard'!$E$4),OR('Dashboard'!$H$4="All",K933='Dashboard'!$H$4),OR('Dashboard'!$K$4="All",C933='Dashboard'!$K$4)),1,0)</x:f>
        <x:v>1</x:v>
      </x:c>
      <x:c r="AI933" s="84" t="n">
        <x:f>IF(AND(AG933=1,OR('Dashboard'!$B$4="All",I933='Dashboard'!$B$4),OR('Dashboard'!$E$4="All",N933='Dashboard'!$E$4),OR('Dashboard'!$H$4="All",K933='Dashboard'!$H$4)),1,0)</x:f>
        <x:v>1</x:v>
      </x:c>
    </x:row>
    <x:row r="934">
      <x:c r="A934" s="84" t="str">
        <x:f>'Raw Sales'!A934</x:f>
        <x:v>ORD-2024-00146</x:v>
      </x:c>
      <x:c r="B934" s="85" t="n">
        <x:f>'Raw Sales'!B934</x:f>
        <x:v>45614</x:v>
      </x:c>
      <x:c r="C934" s="84" t="n">
        <x:f>YEAR(B934)</x:f>
        <x:v>2024</x:v>
      </x:c>
      <x:c r="D934" s="91" t="n">
        <x:f>DATE(YEAR(B934),MONTH(B934),1)</x:f>
        <x:v>45597</x:v>
      </x:c>
      <x:c r="E934" s="84" t="str">
        <x:f>TEXT(B934,"mmm")</x:f>
        <x:v>Nov</x:v>
      </x:c>
      <x:c r="F934" s="84" t="str">
        <x:f>'Raw Sales'!C934</x:f>
        <x:v>CUST-0566</x:v>
      </x:c>
      <x:c r="G934" s="84" t="str">
        <x:f>PROPER(TRIM('Raw Sales'!D934))</x:f>
        <x:v>Jonah Quinn</x:v>
      </x:c>
      <x:c r="H934" s="84" t="str">
        <x:f>IF(TRIM('Raw Sales'!E934)="","Unknown",PROPER(TRIM('Raw Sales'!E934)))</x:f>
        <x:v>Small Business</x:v>
      </x:c>
      <x:c r="I934" s="84" t="str">
        <x:f>PROPER(TRIM('Raw Sales'!F934))</x:f>
        <x:v>Northeast</x:v>
      </x:c>
      <x:c r="J934" s="84" t="str">
        <x:f>PROPER(TRIM('Raw Sales'!G934))</x:f>
        <x:v>New York</x:v>
      </x:c>
      <x:c r="K934" s="84" t="str">
        <x:f>PROPER(TRIM('Raw Sales'!H934))</x:f>
        <x:v>Retail Store</x:v>
      </x:c>
      <x:c r="L934" s="84" t="str">
        <x:f>'Raw Sales'!I934</x:f>
        <x:v>ACCS-003</x:v>
      </x:c>
      <x:c r="M934" s="84" t="str">
        <x:f>IFERROR(VLOOKUP(L934,'Reference Data'!$A$5:$F$40,2,FALSE),"Unknown Product")</x:f>
        <x:v>Polarized Sunglasses</x:v>
      </x:c>
      <x:c r="N934" s="84" t="str">
        <x:f>IFERROR(VLOOKUP(L934,'Reference Data'!$A$5:$F$40,3,FALSE),"Unknown")</x:f>
        <x:v>Accessories</x:v>
      </x:c>
      <x:c r="O934" s="84" t="str">
        <x:f>IFERROR(VLOOKUP(L934,'Reference Data'!$A$5:$F$40,4,FALSE),"Unknown")</x:f>
        <x:v>Eyewear</x:v>
      </x:c>
      <x:c r="P934" s="92" t="n">
        <x:f>IFERROR(VLOOKUP(L934,'Reference Data'!$A$5:$F$40,5,FALSE),0)</x:f>
        <x:v>59</x:v>
      </x:c>
      <x:c r="Q934" s="92" t="n">
        <x:f>IFERROR(VLOOKUP(L934,'Reference Data'!$A$5:$F$40,6,FALSE),0)</x:f>
        <x:v>17</x:v>
      </x:c>
      <x:c r="R934" s="84" t="n">
        <x:f>'Raw Sales'!J934</x:f>
        <x:v>1</x:v>
      </x:c>
      <x:c r="S934" s="87" t="n">
        <x:f>'Raw Sales'!K934</x:f>
        <x:v>0.1</x:v>
      </x:c>
      <x:c r="T934" s="93" t="n">
        <x:f>P934*R934</x:f>
        <x:v>59</x:v>
      </x:c>
      <x:c r="U934" s="93" t="n">
        <x:f>T934*S934</x:f>
        <x:v>5.9</x:v>
      </x:c>
      <x:c r="V934" s="93" t="str">
        <x:f>PROPER(TRIM('Raw Sales'!L934))</x:f>
        <x:v>Completed</x:v>
      </x:c>
      <x:c r="W934" s="93" t="n">
        <x:f>IF(V934="Returned",0,T934-U934)</x:f>
        <x:v>53.1</x:v>
      </x:c>
      <x:c r="X934" s="93" t="n">
        <x:f>IF(V934="Returned",Q934*R934*10%,Q934*R934)</x:f>
        <x:v>17</x:v>
      </x:c>
      <x:c r="Y934" s="93" t="n">
        <x:f>W934-X934</x:f>
        <x:v>36.1</x:v>
      </x:c>
      <x:c r="Z934" s="94" t="n">
        <x:f>IFERROR(Y934/W934,0)</x:f>
        <x:v>0.67984934086629</x:v>
      </x:c>
      <x:c r="AA934" s="84" t="str">
        <x:f>PROPER(TRIM('Raw Sales'!M934))</x:f>
        <x:v>Cash</x:v>
      </x:c>
      <x:c r="AB934" s="84" t="str">
        <x:f>PROPER(TRIM('Raw Sales'!N934))</x:f>
        <x:v>Sofia Bennett</x:v>
      </x:c>
      <x:c r="AC934" s="85" t="n">
        <x:f>'Raw Sales'!O934</x:f>
        <x:v>45614</x:v>
      </x:c>
      <x:c r="AD934" s="84" t="n">
        <x:f>AC934-B934</x:f>
        <x:v>0</x:v>
      </x:c>
      <x:c r="AE934" s="84" t="str">
        <x:f>IF(COUNTIF($A$5:A934,A934)&gt;1,"Duplicate","Keep")</x:f>
        <x:v>Keep</x:v>
      </x:c>
      <x:c r="AF934" s="84" t="str">
        <x:f>IF(OR(R934&lt;=0,AC934&lt;B934,H934="Unknown",M934="Unknown Product"),"Review","Valid")</x:f>
        <x:v>Valid</x:v>
      </x:c>
      <x:c r="AG934" s="84" t="n">
        <x:f>IF(AND(AE934="Keep",AF934="Valid"),1,0)</x:f>
        <x:v>1</x:v>
      </x:c>
      <x:c r="AH934" s="84" t="n">
        <x:f>IF(AND(AG934=1,OR('Dashboard'!$B$4="All",I934='Dashboard'!$B$4),OR('Dashboard'!$E$4="All",N934='Dashboard'!$E$4),OR('Dashboard'!$H$4="All",K934='Dashboard'!$H$4),OR('Dashboard'!$K$4="All",C934='Dashboard'!$K$4)),1,0)</x:f>
        <x:v>1</x:v>
      </x:c>
      <x:c r="AI934" s="84" t="n">
        <x:f>IF(AND(AG934=1,OR('Dashboard'!$B$4="All",I934='Dashboard'!$B$4),OR('Dashboard'!$E$4="All",N934='Dashboard'!$E$4),OR('Dashboard'!$H$4="All",K934='Dashboard'!$H$4)),1,0)</x:f>
        <x:v>1</x:v>
      </x:c>
    </x:row>
    <x:row r="935">
      <x:c r="A935" s="84" t="str">
        <x:f>'Raw Sales'!A935</x:f>
        <x:v>ORD-2024-00172</x:v>
      </x:c>
      <x:c r="B935" s="85" t="n">
        <x:f>'Raw Sales'!B935</x:f>
        <x:v>45614</x:v>
      </x:c>
      <x:c r="C935" s="84" t="n">
        <x:f>YEAR(B935)</x:f>
        <x:v>2024</x:v>
      </x:c>
      <x:c r="D935" s="91" t="n">
        <x:f>DATE(YEAR(B935),MONTH(B935),1)</x:f>
        <x:v>45597</x:v>
      </x:c>
      <x:c r="E935" s="84" t="str">
        <x:f>TEXT(B935,"mmm")</x:f>
        <x:v>Nov</x:v>
      </x:c>
      <x:c r="F935" s="84" t="str">
        <x:f>'Raw Sales'!C935</x:f>
        <x:v>CUST-0330</x:v>
      </x:c>
      <x:c r="G935" s="84" t="str">
        <x:f>PROPER(TRIM('Raw Sales'!D935))</x:f>
        <x:v>Daniel Carter</x:v>
      </x:c>
      <x:c r="H935" s="84" t="str">
        <x:f>IF(TRIM('Raw Sales'!E935)="","Unknown",PROPER(TRIM('Raw Sales'!E935)))</x:f>
        <x:v>Corporate</x:v>
      </x:c>
      <x:c r="I935" s="84" t="str">
        <x:f>PROPER(TRIM('Raw Sales'!F935))</x:f>
        <x:v>Southeast</x:v>
      </x:c>
      <x:c r="J935" s="84" t="str">
        <x:f>PROPER(TRIM('Raw Sales'!G935))</x:f>
        <x:v>Nashville</x:v>
      </x:c>
      <x:c r="K935" s="84" t="str">
        <x:f>PROPER(TRIM('Raw Sales'!H935))</x:f>
        <x:v>Marketplace</x:v>
      </x:c>
      <x:c r="L935" s="84" t="str">
        <x:f>'Raw Sales'!I935</x:f>
        <x:v>FITN-003</x:v>
      </x:c>
      <x:c r="M935" s="84" t="str">
        <x:f>IFERROR(VLOOKUP(L935,'Reference Data'!$A$5:$F$40,2,FALSE),"Unknown Product")</x:f>
        <x:v>Resistance Band Set</x:v>
      </x:c>
      <x:c r="N935" s="84" t="str">
        <x:f>IFERROR(VLOOKUP(L935,'Reference Data'!$A$5:$F$40,3,FALSE),"Unknown")</x:f>
        <x:v>Fitness</x:v>
      </x:c>
      <x:c r="O935" s="84" t="str">
        <x:f>IFERROR(VLOOKUP(L935,'Reference Data'!$A$5:$F$40,4,FALSE),"Unknown")</x:f>
        <x:v>Strength</x:v>
      </x:c>
      <x:c r="P935" s="92" t="n">
        <x:f>IFERROR(VLOOKUP(L935,'Reference Data'!$A$5:$F$40,5,FALSE),0)</x:f>
        <x:v>24</x:v>
      </x:c>
      <x:c r="Q935" s="92" t="n">
        <x:f>IFERROR(VLOOKUP(L935,'Reference Data'!$A$5:$F$40,6,FALSE),0)</x:f>
        <x:v>8</x:v>
      </x:c>
      <x:c r="R935" s="84" t="n">
        <x:f>'Raw Sales'!J935</x:f>
        <x:v>2</x:v>
      </x:c>
      <x:c r="S935" s="87" t="n">
        <x:f>'Raw Sales'!K935</x:f>
        <x:v>0.1</x:v>
      </x:c>
      <x:c r="T935" s="93" t="n">
        <x:f>P935*R935</x:f>
        <x:v>48</x:v>
      </x:c>
      <x:c r="U935" s="93" t="n">
        <x:f>T935*S935</x:f>
        <x:v>4.800000000000001</x:v>
      </x:c>
      <x:c r="V935" s="93" t="str">
        <x:f>PROPER(TRIM('Raw Sales'!L935))</x:f>
        <x:v>Completed</x:v>
      </x:c>
      <x:c r="W935" s="93" t="n">
        <x:f>IF(V935="Returned",0,T935-U935)</x:f>
        <x:v>43.2</x:v>
      </x:c>
      <x:c r="X935" s="93" t="n">
        <x:f>IF(V935="Returned",Q935*R935*10%,Q935*R935)</x:f>
        <x:v>16</x:v>
      </x:c>
      <x:c r="Y935" s="93" t="n">
        <x:f>W935-X935</x:f>
        <x:v>27.200000000000003</x:v>
      </x:c>
      <x:c r="Z935" s="94" t="n">
        <x:f>IFERROR(Y935/W935,0)</x:f>
        <x:v>0.6296296296296297</x:v>
      </x:c>
      <x:c r="AA935" s="84" t="str">
        <x:f>PROPER(TRIM('Raw Sales'!M935))</x:f>
        <x:v>Debit Card</x:v>
      </x:c>
      <x:c r="AB935" s="84" t="str">
        <x:f>PROPER(TRIM('Raw Sales'!N935))</x:f>
        <x:v>Ava Mitchell</x:v>
      </x:c>
      <x:c r="AC935" s="85" t="n">
        <x:f>'Raw Sales'!O935</x:f>
        <x:v>45618</x:v>
      </x:c>
      <x:c r="AD935" s="84" t="n">
        <x:f>AC935-B935</x:f>
        <x:v>4</x:v>
      </x:c>
      <x:c r="AE935" s="84" t="str">
        <x:f>IF(COUNTIF($A$5:A935,A935)&gt;1,"Duplicate","Keep")</x:f>
        <x:v>Keep</x:v>
      </x:c>
      <x:c r="AF935" s="84" t="str">
        <x:f>IF(OR(R935&lt;=0,AC935&lt;B935,H935="Unknown",M935="Unknown Product"),"Review","Valid")</x:f>
        <x:v>Valid</x:v>
      </x:c>
      <x:c r="AG935" s="84" t="n">
        <x:f>IF(AND(AE935="Keep",AF935="Valid"),1,0)</x:f>
        <x:v>1</x:v>
      </x:c>
      <x:c r="AH935" s="84" t="n">
        <x:f>IF(AND(AG935=1,OR('Dashboard'!$B$4="All",I935='Dashboard'!$B$4),OR('Dashboard'!$E$4="All",N935='Dashboard'!$E$4),OR('Dashboard'!$H$4="All",K935='Dashboard'!$H$4),OR('Dashboard'!$K$4="All",C935='Dashboard'!$K$4)),1,0)</x:f>
        <x:v>1</x:v>
      </x:c>
      <x:c r="AI935" s="84" t="n">
        <x:f>IF(AND(AG935=1,OR('Dashboard'!$B$4="All",I935='Dashboard'!$B$4),OR('Dashboard'!$E$4="All",N935='Dashboard'!$E$4),OR('Dashboard'!$H$4="All",K935='Dashboard'!$H$4)),1,0)</x:f>
        <x:v>1</x:v>
      </x:c>
    </x:row>
    <x:row r="936">
      <x:c r="A936" s="84" t="str">
        <x:f>'Raw Sales'!A936</x:f>
        <x:v>ORD-2024-00253</x:v>
      </x:c>
      <x:c r="B936" s="85" t="n">
        <x:f>'Raw Sales'!B936</x:f>
        <x:v>45614</x:v>
      </x:c>
      <x:c r="C936" s="84" t="n">
        <x:f>YEAR(B936)</x:f>
        <x:v>2024</x:v>
      </x:c>
      <x:c r="D936" s="91" t="n">
        <x:f>DATE(YEAR(B936),MONTH(B936),1)</x:f>
        <x:v>45597</x:v>
      </x:c>
      <x:c r="E936" s="84" t="str">
        <x:f>TEXT(B936,"mmm")</x:f>
        <x:v>Nov</x:v>
      </x:c>
      <x:c r="F936" s="84" t="str">
        <x:f>'Raw Sales'!C936</x:f>
        <x:v>CUST-0140</x:v>
      </x:c>
      <x:c r="G936" s="84" t="str">
        <x:f>PROPER(TRIM('Raw Sales'!D936))</x:f>
        <x:v>William Irwin</x:v>
      </x:c>
      <x:c r="H936" s="84" t="str">
        <x:f>IF(TRIM('Raw Sales'!E936)="","Unknown",PROPER(TRIM('Raw Sales'!E936)))</x:f>
        <x:v>Corporate</x:v>
      </x:c>
      <x:c r="I936" s="84" t="str">
        <x:f>PROPER(TRIM('Raw Sales'!F936))</x:f>
        <x:v>Midwest</x:v>
      </x:c>
      <x:c r="J936" s="84" t="str">
        <x:f>PROPER(TRIM('Raw Sales'!G936))</x:f>
        <x:v>Detroit</x:v>
      </x:c>
      <x:c r="K936" s="84" t="str">
        <x:f>PROPER(TRIM('Raw Sales'!H936))</x:f>
        <x:v>Marketplace</x:v>
      </x:c>
      <x:c r="L936" s="84" t="str">
        <x:f>'Raw Sales'!I936</x:f>
        <x:v>ELEC-001</x:v>
      </x:c>
      <x:c r="M936" s="84" t="str">
        <x:f>IFERROR(VLOOKUP(L936,'Reference Data'!$A$5:$F$40,2,FALSE),"Unknown Product")</x:f>
        <x:v>Wireless Earbuds</x:v>
      </x:c>
      <x:c r="N936" s="84" t="str">
        <x:f>IFERROR(VLOOKUP(L936,'Reference Data'!$A$5:$F$40,3,FALSE),"Unknown")</x:f>
        <x:v>Electronics</x:v>
      </x:c>
      <x:c r="O936" s="84" t="str">
        <x:f>IFERROR(VLOOKUP(L936,'Reference Data'!$A$5:$F$40,4,FALSE),"Unknown")</x:f>
        <x:v>Audio</x:v>
      </x:c>
      <x:c r="P936" s="92" t="n">
        <x:f>IFERROR(VLOOKUP(L936,'Reference Data'!$A$5:$F$40,5,FALSE),0)</x:f>
        <x:v>69</x:v>
      </x:c>
      <x:c r="Q936" s="92" t="n">
        <x:f>IFERROR(VLOOKUP(L936,'Reference Data'!$A$5:$F$40,6,FALSE),0)</x:f>
        <x:v>36</x:v>
      </x:c>
      <x:c r="R936" s="84" t="n">
        <x:f>'Raw Sales'!J936</x:f>
        <x:v>4</x:v>
      </x:c>
      <x:c r="S936" s="87" t="n">
        <x:f>'Raw Sales'!K936</x:f>
        <x:v>0</x:v>
      </x:c>
      <x:c r="T936" s="93" t="n">
        <x:f>P936*R936</x:f>
        <x:v>276</x:v>
      </x:c>
      <x:c r="U936" s="93" t="n">
        <x:f>T936*S936</x:f>
        <x:v>0</x:v>
      </x:c>
      <x:c r="V936" s="93" t="str">
        <x:f>PROPER(TRIM('Raw Sales'!L936))</x:f>
        <x:v>Completed</x:v>
      </x:c>
      <x:c r="W936" s="93" t="n">
        <x:f>IF(V936="Returned",0,T936-U936)</x:f>
        <x:v>276</x:v>
      </x:c>
      <x:c r="X936" s="93" t="n">
        <x:f>IF(V936="Returned",Q936*R936*10%,Q936*R936)</x:f>
        <x:v>144</x:v>
      </x:c>
      <x:c r="Y936" s="93" t="n">
        <x:f>W936-X936</x:f>
        <x:v>132</x:v>
      </x:c>
      <x:c r="Z936" s="94" t="n">
        <x:f>IFERROR(Y936/W936,0)</x:f>
        <x:v>0.4782608695652174</x:v>
      </x:c>
      <x:c r="AA936" s="84" t="str">
        <x:f>PROPER(TRIM('Raw Sales'!M936))</x:f>
        <x:v>Paypal</x:v>
      </x:c>
      <x:c r="AB936" s="84" t="str">
        <x:f>PROPER(TRIM('Raw Sales'!N936))</x:f>
        <x:v>Emma Hayes</x:v>
      </x:c>
      <x:c r="AC936" s="85" t="n">
        <x:f>'Raw Sales'!O936</x:f>
        <x:v>45619</x:v>
      </x:c>
      <x:c r="AD936" s="84" t="n">
        <x:f>AC936-B936</x:f>
        <x:v>5</x:v>
      </x:c>
      <x:c r="AE936" s="84" t="str">
        <x:f>IF(COUNTIF($A$5:A936,A936)&gt;1,"Duplicate","Keep")</x:f>
        <x:v>Keep</x:v>
      </x:c>
      <x:c r="AF936" s="84" t="str">
        <x:f>IF(OR(R936&lt;=0,AC936&lt;B936,H936="Unknown",M936="Unknown Product"),"Review","Valid")</x:f>
        <x:v>Valid</x:v>
      </x:c>
      <x:c r="AG936" s="84" t="n">
        <x:f>IF(AND(AE936="Keep",AF936="Valid"),1,0)</x:f>
        <x:v>1</x:v>
      </x:c>
      <x:c r="AH936" s="84" t="n">
        <x:f>IF(AND(AG936=1,OR('Dashboard'!$B$4="All",I936='Dashboard'!$B$4),OR('Dashboard'!$E$4="All",N936='Dashboard'!$E$4),OR('Dashboard'!$H$4="All",K936='Dashboard'!$H$4),OR('Dashboard'!$K$4="All",C936='Dashboard'!$K$4)),1,0)</x:f>
        <x:v>1</x:v>
      </x:c>
      <x:c r="AI936" s="84" t="n">
        <x:f>IF(AND(AG936=1,OR('Dashboard'!$B$4="All",I936='Dashboard'!$B$4),OR('Dashboard'!$E$4="All",N936='Dashboard'!$E$4),OR('Dashboard'!$H$4="All",K936='Dashboard'!$H$4)),1,0)</x:f>
        <x:v>1</x:v>
      </x:c>
    </x:row>
    <x:row r="937">
      <x:c r="A937" s="84" t="str">
        <x:f>'Raw Sales'!A937</x:f>
        <x:v>ORD-2024-00452</x:v>
      </x:c>
      <x:c r="B937" s="85" t="n">
        <x:f>'Raw Sales'!B937</x:f>
        <x:v>45614</x:v>
      </x:c>
      <x:c r="C937" s="84" t="n">
        <x:f>YEAR(B937)</x:f>
        <x:v>2024</x:v>
      </x:c>
      <x:c r="D937" s="91" t="n">
        <x:f>DATE(YEAR(B937),MONTH(B937),1)</x:f>
        <x:v>45597</x:v>
      </x:c>
      <x:c r="E937" s="84" t="str">
        <x:f>TEXT(B937,"mmm")</x:f>
        <x:v>Nov</x:v>
      </x:c>
      <x:c r="F937" s="84" t="str">
        <x:f>'Raw Sales'!C937</x:f>
        <x:v>CUST-0229</x:v>
      </x:c>
      <x:c r="G937" s="84" t="str">
        <x:f>PROPER(TRIM('Raw Sales'!D937))</x:f>
        <x:v>Maya Evans</x:v>
      </x:c>
      <x:c r="H937" s="84" t="str">
        <x:f>IF(TRIM('Raw Sales'!E937)="","Unknown",PROPER(TRIM('Raw Sales'!E937)))</x:f>
        <x:v>Small Business</x:v>
      </x:c>
      <x:c r="I937" s="84" t="str">
        <x:f>PROPER(TRIM('Raw Sales'!F937))</x:f>
        <x:v>Southeast</x:v>
      </x:c>
      <x:c r="J937" s="84" t="str">
        <x:f>PROPER(TRIM('Raw Sales'!G937))</x:f>
        <x:v>Miami</x:v>
      </x:c>
      <x:c r="K937" s="84" t="str">
        <x:f>PROPER(TRIM('Raw Sales'!H937))</x:f>
        <x:v>Retail Store</x:v>
      </x:c>
      <x:c r="L937" s="84" t="str">
        <x:f>'Raw Sales'!I937</x:f>
        <x:v>HOME-002</x:v>
      </x:c>
      <x:c r="M937" s="84" t="str">
        <x:f>IFERROR(VLOOKUP(L937,'Reference Data'!$A$5:$F$40,2,FALSE),"Unknown Product")</x:f>
        <x:v>Electric Kettle</x:v>
      </x:c>
      <x:c r="N937" s="84" t="str">
        <x:f>IFERROR(VLOOKUP(L937,'Reference Data'!$A$5:$F$40,3,FALSE),"Unknown")</x:f>
        <x:v>Home &amp; Kitchen</x:v>
      </x:c>
      <x:c r="O937" s="84" t="str">
        <x:f>IFERROR(VLOOKUP(L937,'Reference Data'!$A$5:$F$40,4,FALSE),"Unknown")</x:f>
        <x:v>Small Appliances</x:v>
      </x:c>
      <x:c r="P937" s="92" t="n">
        <x:f>IFERROR(VLOOKUP(L937,'Reference Data'!$A$5:$F$40,5,FALSE),0)</x:f>
        <x:v>49</x:v>
      </x:c>
      <x:c r="Q937" s="92" t="n">
        <x:f>IFERROR(VLOOKUP(L937,'Reference Data'!$A$5:$F$40,6,FALSE),0)</x:f>
        <x:v>23</x:v>
      </x:c>
      <x:c r="R937" s="84" t="n">
        <x:f>'Raw Sales'!J937</x:f>
        <x:v>1</x:v>
      </x:c>
      <x:c r="S937" s="87" t="n">
        <x:f>'Raw Sales'!K937</x:f>
        <x:v>0.15</x:v>
      </x:c>
      <x:c r="T937" s="93" t="n">
        <x:f>P937*R937</x:f>
        <x:v>49</x:v>
      </x:c>
      <x:c r="U937" s="93" t="n">
        <x:f>T937*S937</x:f>
        <x:v>7.35</x:v>
      </x:c>
      <x:c r="V937" s="93" t="str">
        <x:f>PROPER(TRIM('Raw Sales'!L937))</x:f>
        <x:v>Completed</x:v>
      </x:c>
      <x:c r="W937" s="93" t="n">
        <x:f>IF(V937="Returned",0,T937-U937)</x:f>
        <x:v>41.65</x:v>
      </x:c>
      <x:c r="X937" s="93" t="n">
        <x:f>IF(V937="Returned",Q937*R937*10%,Q937*R937)</x:f>
        <x:v>23</x:v>
      </x:c>
      <x:c r="Y937" s="93" t="n">
        <x:f>W937-X937</x:f>
        <x:v>18.65</x:v>
      </x:c>
      <x:c r="Z937" s="94" t="n">
        <x:f>IFERROR(Y937/W937,0)</x:f>
        <x:v>0.44777911164465783</x:v>
      </x:c>
      <x:c r="AA937" s="84" t="str">
        <x:f>PROPER(TRIM('Raw Sales'!M937))</x:f>
        <x:v>Credit Card</x:v>
      </x:c>
      <x:c r="AB937" s="84" t="str">
        <x:f>PROPER(TRIM('Raw Sales'!N937))</x:f>
        <x:v>Ava Mitchell</x:v>
      </x:c>
      <x:c r="AC937" s="85" t="n">
        <x:f>'Raw Sales'!O937</x:f>
        <x:v>45615</x:v>
      </x:c>
      <x:c r="AD937" s="84" t="n">
        <x:f>AC937-B937</x:f>
        <x:v>1</x:v>
      </x:c>
      <x:c r="AE937" s="84" t="str">
        <x:f>IF(COUNTIF($A$5:A937,A937)&gt;1,"Duplicate","Keep")</x:f>
        <x:v>Keep</x:v>
      </x:c>
      <x:c r="AF937" s="84" t="str">
        <x:f>IF(OR(R937&lt;=0,AC937&lt;B937,H937="Unknown",M937="Unknown Product"),"Review","Valid")</x:f>
        <x:v>Valid</x:v>
      </x:c>
      <x:c r="AG937" s="84" t="n">
        <x:f>IF(AND(AE937="Keep",AF937="Valid"),1,0)</x:f>
        <x:v>1</x:v>
      </x:c>
      <x:c r="AH937" s="84" t="n">
        <x:f>IF(AND(AG937=1,OR('Dashboard'!$B$4="All",I937='Dashboard'!$B$4),OR('Dashboard'!$E$4="All",N937='Dashboard'!$E$4),OR('Dashboard'!$H$4="All",K937='Dashboard'!$H$4),OR('Dashboard'!$K$4="All",C937='Dashboard'!$K$4)),1,0)</x:f>
        <x:v>1</x:v>
      </x:c>
      <x:c r="AI937" s="84" t="n">
        <x:f>IF(AND(AG937=1,OR('Dashboard'!$B$4="All",I937='Dashboard'!$B$4),OR('Dashboard'!$E$4="All",N937='Dashboard'!$E$4),OR('Dashboard'!$H$4="All",K937='Dashboard'!$H$4)),1,0)</x:f>
        <x:v>1</x:v>
      </x:c>
    </x:row>
    <x:row r="938">
      <x:c r="A938" s="84" t="str">
        <x:f>'Raw Sales'!A938</x:f>
        <x:v>ORD-2024-00461</x:v>
      </x:c>
      <x:c r="B938" s="85" t="n">
        <x:f>'Raw Sales'!B938</x:f>
        <x:v>45614</x:v>
      </x:c>
      <x:c r="C938" s="84" t="n">
        <x:f>YEAR(B938)</x:f>
        <x:v>2024</x:v>
      </x:c>
      <x:c r="D938" s="91" t="n">
        <x:f>DATE(YEAR(B938),MONTH(B938),1)</x:f>
        <x:v>45597</x:v>
      </x:c>
      <x:c r="E938" s="84" t="str">
        <x:f>TEXT(B938,"mmm")</x:f>
        <x:v>Nov</x:v>
      </x:c>
      <x:c r="F938" s="84" t="str">
        <x:f>'Raw Sales'!C938</x:f>
        <x:v>CUST-0383</x:v>
      </x:c>
      <x:c r="G938" s="84" t="str">
        <x:f>PROPER(TRIM('Raw Sales'!D938))</x:f>
        <x:v>Maya Adams</x:v>
      </x:c>
      <x:c r="H938" s="84" t="str">
        <x:f>IF(TRIM('Raw Sales'!E938)="","Unknown",PROPER(TRIM('Raw Sales'!E938)))</x:f>
        <x:v>Consumer</x:v>
      </x:c>
      <x:c r="I938" s="84" t="str">
        <x:f>PROPER(TRIM('Raw Sales'!F938))</x:f>
        <x:v>Southeast</x:v>
      </x:c>
      <x:c r="J938" s="84" t="str">
        <x:f>PROPER(TRIM('Raw Sales'!G938))</x:f>
        <x:v>Nashville</x:v>
      </x:c>
      <x:c r="K938" s="84" t="str">
        <x:f>PROPER(TRIM('Raw Sales'!H938))</x:f>
        <x:v>Online</x:v>
      </x:c>
      <x:c r="L938" s="84" t="str">
        <x:f>'Raw Sales'!I938</x:f>
        <x:v>HOME-004</x:v>
      </x:c>
      <x:c r="M938" s="84" t="str">
        <x:f>IFERROR(VLOOKUP(L938,'Reference Data'!$A$5:$F$40,2,FALSE),"Unknown Product")</x:f>
        <x:v>Coffee Maker</x:v>
      </x:c>
      <x:c r="N938" s="84" t="str">
        <x:f>IFERROR(VLOOKUP(L938,'Reference Data'!$A$5:$F$40,3,FALSE),"Unknown")</x:f>
        <x:v>Home &amp; Kitchen</x:v>
      </x:c>
      <x:c r="O938" s="84" t="str">
        <x:f>IFERROR(VLOOKUP(L938,'Reference Data'!$A$5:$F$40,4,FALSE),"Unknown")</x:f>
        <x:v>Small Appliances</x:v>
      </x:c>
      <x:c r="P938" s="92" t="n">
        <x:f>IFERROR(VLOOKUP(L938,'Reference Data'!$A$5:$F$40,5,FALSE),0)</x:f>
        <x:v>99</x:v>
      </x:c>
      <x:c r="Q938" s="92" t="n">
        <x:f>IFERROR(VLOOKUP(L938,'Reference Data'!$A$5:$F$40,6,FALSE),0)</x:f>
        <x:v>51</x:v>
      </x:c>
      <x:c r="R938" s="84" t="n">
        <x:f>'Raw Sales'!J938</x:f>
        <x:v>1</x:v>
      </x:c>
      <x:c r="S938" s="87" t="n">
        <x:f>'Raw Sales'!K938</x:f>
        <x:v>0.2</x:v>
      </x:c>
      <x:c r="T938" s="93" t="n">
        <x:f>P938*R938</x:f>
        <x:v>99</x:v>
      </x:c>
      <x:c r="U938" s="93" t="n">
        <x:f>T938*S938</x:f>
        <x:v>19.8</x:v>
      </x:c>
      <x:c r="V938" s="93" t="str">
        <x:f>PROPER(TRIM('Raw Sales'!L938))</x:f>
        <x:v>Completed</x:v>
      </x:c>
      <x:c r="W938" s="93" t="n">
        <x:f>IF(V938="Returned",0,T938-U938)</x:f>
        <x:v>79.2</x:v>
      </x:c>
      <x:c r="X938" s="93" t="n">
        <x:f>IF(V938="Returned",Q938*R938*10%,Q938*R938)</x:f>
        <x:v>51</x:v>
      </x:c>
      <x:c r="Y938" s="93" t="n">
        <x:f>W938-X938</x:f>
        <x:v>28.200000000000003</x:v>
      </x:c>
      <x:c r="Z938" s="94" t="n">
        <x:f>IFERROR(Y938/W938,0)</x:f>
        <x:v>0.3560606060606061</x:v>
      </x:c>
      <x:c r="AA938" s="84" t="str">
        <x:f>PROPER(TRIM('Raw Sales'!M938))</x:f>
        <x:v>Mobile Wallet</x:v>
      </x:c>
      <x:c r="AB938" s="84" t="str">
        <x:f>PROPER(TRIM('Raw Sales'!N938))</x:f>
        <x:v>Liam Parker</x:v>
      </x:c>
      <x:c r="AC938" s="85" t="n">
        <x:f>'Raw Sales'!O938</x:f>
        <x:v>45619</x:v>
      </x:c>
      <x:c r="AD938" s="84" t="n">
        <x:f>AC938-B938</x:f>
        <x:v>5</x:v>
      </x:c>
      <x:c r="AE938" s="84" t="str">
        <x:f>IF(COUNTIF($A$5:A938,A938)&gt;1,"Duplicate","Keep")</x:f>
        <x:v>Keep</x:v>
      </x:c>
      <x:c r="AF938" s="84" t="str">
        <x:f>IF(OR(R938&lt;=0,AC938&lt;B938,H938="Unknown",M938="Unknown Product"),"Review","Valid")</x:f>
        <x:v>Valid</x:v>
      </x:c>
      <x:c r="AG938" s="84" t="n">
        <x:f>IF(AND(AE938="Keep",AF938="Valid"),1,0)</x:f>
        <x:v>1</x:v>
      </x:c>
      <x:c r="AH938" s="84" t="n">
        <x:f>IF(AND(AG938=1,OR('Dashboard'!$B$4="All",I938='Dashboard'!$B$4),OR('Dashboard'!$E$4="All",N938='Dashboard'!$E$4),OR('Dashboard'!$H$4="All",K938='Dashboard'!$H$4),OR('Dashboard'!$K$4="All",C938='Dashboard'!$K$4)),1,0)</x:f>
        <x:v>1</x:v>
      </x:c>
      <x:c r="AI938" s="84" t="n">
        <x:f>IF(AND(AG938=1,OR('Dashboard'!$B$4="All",I938='Dashboard'!$B$4),OR('Dashboard'!$E$4="All",N938='Dashboard'!$E$4),OR('Dashboard'!$H$4="All",K938='Dashboard'!$H$4)),1,0)</x:f>
        <x:v>1</x:v>
      </x:c>
    </x:row>
    <x:row r="939">
      <x:c r="A939" s="84" t="str">
        <x:f>'Raw Sales'!A939</x:f>
        <x:v>ORD-2024-00584</x:v>
      </x:c>
      <x:c r="B939" s="85" t="n">
        <x:f>'Raw Sales'!B939</x:f>
        <x:v>45614</x:v>
      </x:c>
      <x:c r="C939" s="84" t="n">
        <x:f>YEAR(B939)</x:f>
        <x:v>2024</x:v>
      </x:c>
      <x:c r="D939" s="91" t="n">
        <x:f>DATE(YEAR(B939),MONTH(B939),1)</x:f>
        <x:v>45597</x:v>
      </x:c>
      <x:c r="E939" s="84" t="str">
        <x:f>TEXT(B939,"mmm")</x:f>
        <x:v>Nov</x:v>
      </x:c>
      <x:c r="F939" s="84" t="str">
        <x:f>'Raw Sales'!C939</x:f>
        <x:v>CUST-0375</x:v>
      </x:c>
      <x:c r="G939" s="84" t="str">
        <x:f>PROPER(TRIM('Raw Sales'!D939))</x:f>
        <x:v>Grace Baker</x:v>
      </x:c>
      <x:c r="H939" s="84" t="str">
        <x:f>IF(TRIM('Raw Sales'!E939)="","Unknown",PROPER(TRIM('Raw Sales'!E939)))</x:f>
        <x:v>Consumer</x:v>
      </x:c>
      <x:c r="I939" s="84" t="str">
        <x:f>PROPER(TRIM('Raw Sales'!F939))</x:f>
        <x:v>Midwest</x:v>
      </x:c>
      <x:c r="J939" s="84" t="str">
        <x:f>PROPER(TRIM('Raw Sales'!G939))</x:f>
        <x:v>Minneapolis</x:v>
      </x:c>
      <x:c r="K939" s="84" t="str">
        <x:f>PROPER(TRIM('Raw Sales'!H939))</x:f>
        <x:v>Online</x:v>
      </x:c>
      <x:c r="L939" s="84" t="str">
        <x:f>'Raw Sales'!I939</x:f>
        <x:v>ACCS-002</x:v>
      </x:c>
      <x:c r="M939" s="84" t="str">
        <x:f>IFERROR(VLOOKUP(L939,'Reference Data'!$A$5:$F$40,2,FALSE),"Unknown Product")</x:f>
        <x:v>Travel Backpack</x:v>
      </x:c>
      <x:c r="N939" s="84" t="str">
        <x:f>IFERROR(VLOOKUP(L939,'Reference Data'!$A$5:$F$40,3,FALSE),"Unknown")</x:f>
        <x:v>Accessories</x:v>
      </x:c>
      <x:c r="O939" s="84" t="str">
        <x:f>IFERROR(VLOOKUP(L939,'Reference Data'!$A$5:$F$40,4,FALSE),"Unknown")</x:f>
        <x:v>Bags</x:v>
      </x:c>
      <x:c r="P939" s="92" t="n">
        <x:f>IFERROR(VLOOKUP(L939,'Reference Data'!$A$5:$F$40,5,FALSE),0)</x:f>
        <x:v>89</x:v>
      </x:c>
      <x:c r="Q939" s="92" t="n">
        <x:f>IFERROR(VLOOKUP(L939,'Reference Data'!$A$5:$F$40,6,FALSE),0)</x:f>
        <x:v>36</x:v>
      </x:c>
      <x:c r="R939" s="84" t="n">
        <x:f>'Raw Sales'!J939</x:f>
        <x:v>1</x:v>
      </x:c>
      <x:c r="S939" s="87" t="n">
        <x:f>'Raw Sales'!K939</x:f>
        <x:v>0.1</x:v>
      </x:c>
      <x:c r="T939" s="93" t="n">
        <x:f>P939*R939</x:f>
        <x:v>89</x:v>
      </x:c>
      <x:c r="U939" s="93" t="n">
        <x:f>T939*S939</x:f>
        <x:v>8.9</x:v>
      </x:c>
      <x:c r="V939" s="93" t="str">
        <x:f>PROPER(TRIM('Raw Sales'!L939))</x:f>
        <x:v>Completed</x:v>
      </x:c>
      <x:c r="W939" s="93" t="n">
        <x:f>IF(V939="Returned",0,T939-U939)</x:f>
        <x:v>80.1</x:v>
      </x:c>
      <x:c r="X939" s="93" t="n">
        <x:f>IF(V939="Returned",Q939*R939*10%,Q939*R939)</x:f>
        <x:v>36</x:v>
      </x:c>
      <x:c r="Y939" s="93" t="n">
        <x:f>W939-X939</x:f>
        <x:v>44.099999999999994</x:v>
      </x:c>
      <x:c r="Z939" s="94" t="n">
        <x:f>IFERROR(Y939/W939,0)</x:f>
        <x:v>0.550561797752809</x:v>
      </x:c>
      <x:c r="AA939" s="84" t="str">
        <x:f>PROPER(TRIM('Raw Sales'!M939))</x:f>
        <x:v>Mobile Wallet</x:v>
      </x:c>
      <x:c r="AB939" s="84" t="str">
        <x:f>PROPER(TRIM('Raw Sales'!N939))</x:f>
        <x:v>Lucas Grant</x:v>
      </x:c>
      <x:c r="AC939" s="85" t="n">
        <x:f>'Raw Sales'!O939</x:f>
        <x:v>45617</x:v>
      </x:c>
      <x:c r="AD939" s="84" t="n">
        <x:f>AC939-B939</x:f>
        <x:v>3</x:v>
      </x:c>
      <x:c r="AE939" s="84" t="str">
        <x:f>IF(COUNTIF($A$5:A939,A939)&gt;1,"Duplicate","Keep")</x:f>
        <x:v>Keep</x:v>
      </x:c>
      <x:c r="AF939" s="84" t="str">
        <x:f>IF(OR(R939&lt;=0,AC939&lt;B939,H939="Unknown",M939="Unknown Product"),"Review","Valid")</x:f>
        <x:v>Valid</x:v>
      </x:c>
      <x:c r="AG939" s="84" t="n">
        <x:f>IF(AND(AE939="Keep",AF939="Valid"),1,0)</x:f>
        <x:v>1</x:v>
      </x:c>
      <x:c r="AH939" s="84" t="n">
        <x:f>IF(AND(AG939=1,OR('Dashboard'!$B$4="All",I939='Dashboard'!$B$4),OR('Dashboard'!$E$4="All",N939='Dashboard'!$E$4),OR('Dashboard'!$H$4="All",K939='Dashboard'!$H$4),OR('Dashboard'!$K$4="All",C939='Dashboard'!$K$4)),1,0)</x:f>
        <x:v>1</x:v>
      </x:c>
      <x:c r="AI939" s="84" t="n">
        <x:f>IF(AND(AG939=1,OR('Dashboard'!$B$4="All",I939='Dashboard'!$B$4),OR('Dashboard'!$E$4="All",N939='Dashboard'!$E$4),OR('Dashboard'!$H$4="All",K939='Dashboard'!$H$4)),1,0)</x:f>
        <x:v>1</x:v>
      </x:c>
    </x:row>
    <x:row r="940">
      <x:c r="A940" s="84" t="str">
        <x:f>'Raw Sales'!A940</x:f>
        <x:v>ORD-2024-00895</x:v>
      </x:c>
      <x:c r="B940" s="85" t="n">
        <x:f>'Raw Sales'!B940</x:f>
        <x:v>45614</x:v>
      </x:c>
      <x:c r="C940" s="84" t="n">
        <x:f>YEAR(B940)</x:f>
        <x:v>2024</x:v>
      </x:c>
      <x:c r="D940" s="91" t="n">
        <x:f>DATE(YEAR(B940),MONTH(B940),1)</x:f>
        <x:v>45597</x:v>
      </x:c>
      <x:c r="E940" s="84" t="str">
        <x:f>TEXT(B940,"mmm")</x:f>
        <x:v>Nov</x:v>
      </x:c>
      <x:c r="F940" s="84" t="str">
        <x:f>'Raw Sales'!C940</x:f>
        <x:v>CUST-0237</x:v>
      </x:c>
      <x:c r="G940" s="84" t="str">
        <x:f>PROPER(TRIM('Raw Sales'!D940))</x:f>
        <x:v>Chloe Garcia</x:v>
      </x:c>
      <x:c r="H940" s="84" t="str">
        <x:f>IF(TRIM('Raw Sales'!E940)="","Unknown",PROPER(TRIM('Raw Sales'!E940)))</x:f>
        <x:v>Small Business</x:v>
      </x:c>
      <x:c r="I940" s="84" t="str">
        <x:f>PROPER(TRIM('Raw Sales'!F940))</x:f>
        <x:v>Midwest</x:v>
      </x:c>
      <x:c r="J940" s="84" t="str">
        <x:f>PROPER(TRIM('Raw Sales'!G940))</x:f>
        <x:v>Detroit</x:v>
      </x:c>
      <x:c r="K940" s="84" t="str">
        <x:f>PROPER(TRIM('Raw Sales'!H940))</x:f>
        <x:v>Marketplace</x:v>
      </x:c>
      <x:c r="L940" s="84" t="str">
        <x:f>'Raw Sales'!I940</x:f>
        <x:v>ELEC-001</x:v>
      </x:c>
      <x:c r="M940" s="84" t="str">
        <x:f>IFERROR(VLOOKUP(L940,'Reference Data'!$A$5:$F$40,2,FALSE),"Unknown Product")</x:f>
        <x:v>Wireless Earbuds</x:v>
      </x:c>
      <x:c r="N940" s="84" t="str">
        <x:f>IFERROR(VLOOKUP(L940,'Reference Data'!$A$5:$F$40,3,FALSE),"Unknown")</x:f>
        <x:v>Electronics</x:v>
      </x:c>
      <x:c r="O940" s="84" t="str">
        <x:f>IFERROR(VLOOKUP(L940,'Reference Data'!$A$5:$F$40,4,FALSE),"Unknown")</x:f>
        <x:v>Audio</x:v>
      </x:c>
      <x:c r="P940" s="92" t="n">
        <x:f>IFERROR(VLOOKUP(L940,'Reference Data'!$A$5:$F$40,5,FALSE),0)</x:f>
        <x:v>69</x:v>
      </x:c>
      <x:c r="Q940" s="92" t="n">
        <x:f>IFERROR(VLOOKUP(L940,'Reference Data'!$A$5:$F$40,6,FALSE),0)</x:f>
        <x:v>36</x:v>
      </x:c>
      <x:c r="R940" s="84" t="n">
        <x:f>'Raw Sales'!J940</x:f>
        <x:v>1</x:v>
      </x:c>
      <x:c r="S940" s="87" t="n">
        <x:f>'Raw Sales'!K940</x:f>
        <x:v>0.2</x:v>
      </x:c>
      <x:c r="T940" s="93" t="n">
        <x:f>P940*R940</x:f>
        <x:v>69</x:v>
      </x:c>
      <x:c r="U940" s="93" t="n">
        <x:f>T940*S940</x:f>
        <x:v>13.8</x:v>
      </x:c>
      <x:c r="V940" s="93" t="str">
        <x:f>PROPER(TRIM('Raw Sales'!L940))</x:f>
        <x:v>Completed</x:v>
      </x:c>
      <x:c r="W940" s="93" t="n">
        <x:f>IF(V940="Returned",0,T940-U940)</x:f>
        <x:v>55.2</x:v>
      </x:c>
      <x:c r="X940" s="93" t="n">
        <x:f>IF(V940="Returned",Q940*R940*10%,Q940*R940)</x:f>
        <x:v>36</x:v>
      </x:c>
      <x:c r="Y940" s="93" t="n">
        <x:f>W940-X940</x:f>
        <x:v>19.200000000000003</x:v>
      </x:c>
      <x:c r="Z940" s="94" t="n">
        <x:f>IFERROR(Y940/W940,0)</x:f>
        <x:v>0.3478260869565218</x:v>
      </x:c>
      <x:c r="AA940" s="84" t="str">
        <x:f>PROPER(TRIM('Raw Sales'!M940))</x:f>
        <x:v>Debit Card</x:v>
      </x:c>
      <x:c r="AB940" s="84" t="str">
        <x:f>PROPER(TRIM('Raw Sales'!N940))</x:f>
        <x:v>Emma Hayes</x:v>
      </x:c>
      <x:c r="AC940" s="85" t="n">
        <x:f>'Raw Sales'!O940</x:f>
        <x:v>45618</x:v>
      </x:c>
      <x:c r="AD940" s="84" t="n">
        <x:f>AC940-B940</x:f>
        <x:v>4</x:v>
      </x:c>
      <x:c r="AE940" s="84" t="str">
        <x:f>IF(COUNTIF($A$5:A940,A940)&gt;1,"Duplicate","Keep")</x:f>
        <x:v>Keep</x:v>
      </x:c>
      <x:c r="AF940" s="84" t="str">
        <x:f>IF(OR(R940&lt;=0,AC940&lt;B940,H940="Unknown",M940="Unknown Product"),"Review","Valid")</x:f>
        <x:v>Valid</x:v>
      </x:c>
      <x:c r="AG940" s="84" t="n">
        <x:f>IF(AND(AE940="Keep",AF940="Valid"),1,0)</x:f>
        <x:v>1</x:v>
      </x:c>
      <x:c r="AH940" s="84" t="n">
        <x:f>IF(AND(AG940=1,OR('Dashboard'!$B$4="All",I940='Dashboard'!$B$4),OR('Dashboard'!$E$4="All",N940='Dashboard'!$E$4),OR('Dashboard'!$H$4="All",K940='Dashboard'!$H$4),OR('Dashboard'!$K$4="All",C940='Dashboard'!$K$4)),1,0)</x:f>
        <x:v>1</x:v>
      </x:c>
      <x:c r="AI940" s="84" t="n">
        <x:f>IF(AND(AG940=1,OR('Dashboard'!$B$4="All",I940='Dashboard'!$B$4),OR('Dashboard'!$E$4="All",N940='Dashboard'!$E$4),OR('Dashboard'!$H$4="All",K940='Dashboard'!$H$4)),1,0)</x:f>
        <x:v>1</x:v>
      </x:c>
    </x:row>
    <x:row r="941">
      <x:c r="A941" s="84" t="str">
        <x:f>'Raw Sales'!A941</x:f>
        <x:v>ORD-2024-01485</x:v>
      </x:c>
      <x:c r="B941" s="85" t="n">
        <x:f>'Raw Sales'!B941</x:f>
        <x:v>45614</x:v>
      </x:c>
      <x:c r="C941" s="84" t="n">
        <x:f>YEAR(B941)</x:f>
        <x:v>2024</x:v>
      </x:c>
      <x:c r="D941" s="91" t="n">
        <x:f>DATE(YEAR(B941),MONTH(B941),1)</x:f>
        <x:v>45597</x:v>
      </x:c>
      <x:c r="E941" s="84" t="str">
        <x:f>TEXT(B941,"mmm")</x:f>
        <x:v>Nov</x:v>
      </x:c>
      <x:c r="F941" s="84" t="str">
        <x:f>'Raw Sales'!C941</x:f>
        <x:v>CUST-0467</x:v>
      </x:c>
      <x:c r="G941" s="84" t="str">
        <x:f>PROPER(TRIM('Raw Sales'!D941))</x:f>
        <x:v>Owen Khan</x:v>
      </x:c>
      <x:c r="H941" s="84" t="str">
        <x:f>IF(TRIM('Raw Sales'!E941)="","Unknown",PROPER(TRIM('Raw Sales'!E941)))</x:f>
        <x:v>Consumer</x:v>
      </x:c>
      <x:c r="I941" s="84" t="str">
        <x:f>PROPER(TRIM('Raw Sales'!F941))</x:f>
        <x:v>Northeast</x:v>
      </x:c>
      <x:c r="J941" s="84" t="str">
        <x:f>PROPER(TRIM('Raw Sales'!G941))</x:f>
        <x:v>New York</x:v>
      </x:c>
      <x:c r="K941" s="84" t="str">
        <x:f>PROPER(TRIM('Raw Sales'!H941))</x:f>
        <x:v>Online</x:v>
      </x:c>
      <x:c r="L941" s="84" t="str">
        <x:f>'Raw Sales'!I941</x:f>
        <x:v>FITN-003</x:v>
      </x:c>
      <x:c r="M941" s="84" t="str">
        <x:f>IFERROR(VLOOKUP(L941,'Reference Data'!$A$5:$F$40,2,FALSE),"Unknown Product")</x:f>
        <x:v>Resistance Band Set</x:v>
      </x:c>
      <x:c r="N941" s="84" t="str">
        <x:f>IFERROR(VLOOKUP(L941,'Reference Data'!$A$5:$F$40,3,FALSE),"Unknown")</x:f>
        <x:v>Fitness</x:v>
      </x:c>
      <x:c r="O941" s="84" t="str">
        <x:f>IFERROR(VLOOKUP(L941,'Reference Data'!$A$5:$F$40,4,FALSE),"Unknown")</x:f>
        <x:v>Strength</x:v>
      </x:c>
      <x:c r="P941" s="92" t="n">
        <x:f>IFERROR(VLOOKUP(L941,'Reference Data'!$A$5:$F$40,5,FALSE),0)</x:f>
        <x:v>24</x:v>
      </x:c>
      <x:c r="Q941" s="92" t="n">
        <x:f>IFERROR(VLOOKUP(L941,'Reference Data'!$A$5:$F$40,6,FALSE),0)</x:f>
        <x:v>8</x:v>
      </x:c>
      <x:c r="R941" s="84" t="n">
        <x:f>'Raw Sales'!J941</x:f>
        <x:v>2</x:v>
      </x:c>
      <x:c r="S941" s="87" t="n">
        <x:f>'Raw Sales'!K941</x:f>
        <x:v>0</x:v>
      </x:c>
      <x:c r="T941" s="93" t="n">
        <x:f>P941*R941</x:f>
        <x:v>48</x:v>
      </x:c>
      <x:c r="U941" s="93" t="n">
        <x:f>T941*S941</x:f>
        <x:v>0</x:v>
      </x:c>
      <x:c r="V941" s="93" t="str">
        <x:f>PROPER(TRIM('Raw Sales'!L941))</x:f>
        <x:v>Completed</x:v>
      </x:c>
      <x:c r="W941" s="93" t="n">
        <x:f>IF(V941="Returned",0,T941-U941)</x:f>
        <x:v>48</x:v>
      </x:c>
      <x:c r="X941" s="93" t="n">
        <x:f>IF(V941="Returned",Q941*R941*10%,Q941*R941)</x:f>
        <x:v>16</x:v>
      </x:c>
      <x:c r="Y941" s="93" t="n">
        <x:f>W941-X941</x:f>
        <x:v>32</x:v>
      </x:c>
      <x:c r="Z941" s="94" t="n">
        <x:f>IFERROR(Y941/W941,0)</x:f>
        <x:v>0.6666666666666666</x:v>
      </x:c>
      <x:c r="AA941" s="84" t="str">
        <x:f>PROPER(TRIM('Raw Sales'!M941))</x:f>
        <x:v>Credit Card</x:v>
      </x:c>
      <x:c r="AB941" s="84" t="str">
        <x:f>PROPER(TRIM('Raw Sales'!N941))</x:f>
        <x:v>Ethan Cole</x:v>
      </x:c>
      <x:c r="AC941" s="85" t="n">
        <x:f>'Raw Sales'!O941</x:f>
        <x:v>45617</x:v>
      </x:c>
      <x:c r="AD941" s="84" t="n">
        <x:f>AC941-B941</x:f>
        <x:v>3</x:v>
      </x:c>
      <x:c r="AE941" s="84" t="str">
        <x:f>IF(COUNTIF($A$5:A941,A941)&gt;1,"Duplicate","Keep")</x:f>
        <x:v>Keep</x:v>
      </x:c>
      <x:c r="AF941" s="84" t="str">
        <x:f>IF(OR(R941&lt;=0,AC941&lt;B941,H941="Unknown",M941="Unknown Product"),"Review","Valid")</x:f>
        <x:v>Valid</x:v>
      </x:c>
      <x:c r="AG941" s="84" t="n">
        <x:f>IF(AND(AE941="Keep",AF941="Valid"),1,0)</x:f>
        <x:v>1</x:v>
      </x:c>
      <x:c r="AH941" s="84" t="n">
        <x:f>IF(AND(AG941=1,OR('Dashboard'!$B$4="All",I941='Dashboard'!$B$4),OR('Dashboard'!$E$4="All",N941='Dashboard'!$E$4),OR('Dashboard'!$H$4="All",K941='Dashboard'!$H$4),OR('Dashboard'!$K$4="All",C941='Dashboard'!$K$4)),1,0)</x:f>
        <x:v>1</x:v>
      </x:c>
      <x:c r="AI941" s="84" t="n">
        <x:f>IF(AND(AG941=1,OR('Dashboard'!$B$4="All",I941='Dashboard'!$B$4),OR('Dashboard'!$E$4="All",N941='Dashboard'!$E$4),OR('Dashboard'!$H$4="All",K941='Dashboard'!$H$4)),1,0)</x:f>
        <x:v>1</x:v>
      </x:c>
    </x:row>
    <x:row r="942">
      <x:c r="A942" s="84" t="str">
        <x:f>'Raw Sales'!A942</x:f>
        <x:v>ORD-2024-01797</x:v>
      </x:c>
      <x:c r="B942" s="85" t="n">
        <x:f>'Raw Sales'!B942</x:f>
        <x:v>45614</x:v>
      </x:c>
      <x:c r="C942" s="84" t="n">
        <x:f>YEAR(B942)</x:f>
        <x:v>2024</x:v>
      </x:c>
      <x:c r="D942" s="91" t="n">
        <x:f>DATE(YEAR(B942),MONTH(B942),1)</x:f>
        <x:v>45597</x:v>
      </x:c>
      <x:c r="E942" s="84" t="str">
        <x:f>TEXT(B942,"mmm")</x:f>
        <x:v>Nov</x:v>
      </x:c>
      <x:c r="F942" s="84" t="str">
        <x:f>'Raw Sales'!C942</x:f>
        <x:v>CUST-0044</x:v>
      </x:c>
      <x:c r="G942" s="84" t="str">
        <x:f>PROPER(TRIM('Raw Sales'!D942))</x:f>
        <x:v>Grace Nelson</x:v>
      </x:c>
      <x:c r="H942" s="84" t="str">
        <x:f>IF(TRIM('Raw Sales'!E942)="","Unknown",PROPER(TRIM('Raw Sales'!E942)))</x:f>
        <x:v>Small Business</x:v>
      </x:c>
      <x:c r="I942" s="84" t="str">
        <x:f>PROPER(TRIM('Raw Sales'!F942))</x:f>
        <x:v>Northeast</x:v>
      </x:c>
      <x:c r="J942" s="84" t="str">
        <x:f>PROPER(TRIM('Raw Sales'!G942))</x:f>
        <x:v>New York</x:v>
      </x:c>
      <x:c r="K942" s="84" t="str">
        <x:f>PROPER(TRIM('Raw Sales'!H942))</x:f>
        <x:v>Retail Store</x:v>
      </x:c>
      <x:c r="L942" s="84" t="str">
        <x:f>'Raw Sales'!I942</x:f>
        <x:v>CARE-003</x:v>
      </x:c>
      <x:c r="M942" s="84" t="str">
        <x:f>IFERROR(VLOOKUP(L942,'Reference Data'!$A$5:$F$40,2,FALSE),"Unknown Product")</x:f>
        <x:v>Facial Cleanser</x:v>
      </x:c>
      <x:c r="N942" s="84" t="str">
        <x:f>IFERROR(VLOOKUP(L942,'Reference Data'!$A$5:$F$40,3,FALSE),"Unknown")</x:f>
        <x:v>Personal Care</x:v>
      </x:c>
      <x:c r="O942" s="84" t="str">
        <x:f>IFERROR(VLOOKUP(L942,'Reference Data'!$A$5:$F$40,4,FALSE),"Unknown")</x:f>
        <x:v>Skin Care</x:v>
      </x:c>
      <x:c r="P942" s="92" t="n">
        <x:f>IFERROR(VLOOKUP(L942,'Reference Data'!$A$5:$F$40,5,FALSE),0)</x:f>
        <x:v>18</x:v>
      </x:c>
      <x:c r="Q942" s="92" t="n">
        <x:f>IFERROR(VLOOKUP(L942,'Reference Data'!$A$5:$F$40,6,FALSE),0)</x:f>
        <x:v>6</x:v>
      </x:c>
      <x:c r="R942" s="84" t="n">
        <x:f>'Raw Sales'!J942</x:f>
        <x:v>2</x:v>
      </x:c>
      <x:c r="S942" s="87" t="n">
        <x:f>'Raw Sales'!K942</x:f>
        <x:v>0.1</x:v>
      </x:c>
      <x:c r="T942" s="93" t="n">
        <x:f>P942*R942</x:f>
        <x:v>36</x:v>
      </x:c>
      <x:c r="U942" s="93" t="n">
        <x:f>T942*S942</x:f>
        <x:v>3.6</x:v>
      </x:c>
      <x:c r="V942" s="93" t="str">
        <x:f>PROPER(TRIM('Raw Sales'!L942))</x:f>
        <x:v>Completed</x:v>
      </x:c>
      <x:c r="W942" s="93" t="n">
        <x:f>IF(V942="Returned",0,T942-U942)</x:f>
        <x:v>32.4</x:v>
      </x:c>
      <x:c r="X942" s="93" t="n">
        <x:f>IF(V942="Returned",Q942*R942*10%,Q942*R942)</x:f>
        <x:v>12</x:v>
      </x:c>
      <x:c r="Y942" s="93" t="n">
        <x:f>W942-X942</x:f>
        <x:v>20.4</x:v>
      </x:c>
      <x:c r="Z942" s="94" t="n">
        <x:f>IFERROR(Y942/W942,0)</x:f>
        <x:v>0.6296296296296297</x:v>
      </x:c>
      <x:c r="AA942" s="84" t="str">
        <x:f>PROPER(TRIM('Raw Sales'!M942))</x:f>
        <x:v>Credit Card</x:v>
      </x:c>
      <x:c r="AB942" s="84" t="str">
        <x:f>PROPER(TRIM('Raw Sales'!N942))</x:f>
        <x:v>Sofia Bennett</x:v>
      </x:c>
      <x:c r="AC942" s="85" t="n">
        <x:f>'Raw Sales'!O942</x:f>
        <x:v>45614</x:v>
      </x:c>
      <x:c r="AD942" s="84" t="n">
        <x:f>AC942-B942</x:f>
        <x:v>0</x:v>
      </x:c>
      <x:c r="AE942" s="84" t="str">
        <x:f>IF(COUNTIF($A$5:A942,A942)&gt;1,"Duplicate","Keep")</x:f>
        <x:v>Keep</x:v>
      </x:c>
      <x:c r="AF942" s="84" t="str">
        <x:f>IF(OR(R942&lt;=0,AC942&lt;B942,H942="Unknown",M942="Unknown Product"),"Review","Valid")</x:f>
        <x:v>Valid</x:v>
      </x:c>
      <x:c r="AG942" s="84" t="n">
        <x:f>IF(AND(AE942="Keep",AF942="Valid"),1,0)</x:f>
        <x:v>1</x:v>
      </x:c>
      <x:c r="AH942" s="84" t="n">
        <x:f>IF(AND(AG942=1,OR('Dashboard'!$B$4="All",I942='Dashboard'!$B$4),OR('Dashboard'!$E$4="All",N942='Dashboard'!$E$4),OR('Dashboard'!$H$4="All",K942='Dashboard'!$H$4),OR('Dashboard'!$K$4="All",C942='Dashboard'!$K$4)),1,0)</x:f>
        <x:v>1</x:v>
      </x:c>
      <x:c r="AI942" s="84" t="n">
        <x:f>IF(AND(AG942=1,OR('Dashboard'!$B$4="All",I942='Dashboard'!$B$4),OR('Dashboard'!$E$4="All",N942='Dashboard'!$E$4),OR('Dashboard'!$H$4="All",K942='Dashboard'!$H$4)),1,0)</x:f>
        <x:v>1</x:v>
      </x:c>
    </x:row>
    <x:row r="943">
      <x:c r="A943" s="84" t="str">
        <x:f>'Raw Sales'!A943</x:f>
        <x:v>ORD-2024-01799</x:v>
      </x:c>
      <x:c r="B943" s="85" t="n">
        <x:f>'Raw Sales'!B943</x:f>
        <x:v>45614</x:v>
      </x:c>
      <x:c r="C943" s="84" t="n">
        <x:f>YEAR(B943)</x:f>
        <x:v>2024</x:v>
      </x:c>
      <x:c r="D943" s="91" t="n">
        <x:f>DATE(YEAR(B943),MONTH(B943),1)</x:f>
        <x:v>45597</x:v>
      </x:c>
      <x:c r="E943" s="84" t="str">
        <x:f>TEXT(B943,"mmm")</x:f>
        <x:v>Nov</x:v>
      </x:c>
      <x:c r="F943" s="84" t="str">
        <x:f>'Raw Sales'!C943</x:f>
        <x:v>CUST-0208</x:v>
      </x:c>
      <x:c r="G943" s="84" t="str">
        <x:f>PROPER(TRIM('Raw Sales'!D943))</x:f>
        <x:v>Layla Patel</x:v>
      </x:c>
      <x:c r="H943" s="84" t="str">
        <x:f>IF(TRIM('Raw Sales'!E943)="","Unknown",PROPER(TRIM('Raw Sales'!E943)))</x:f>
        <x:v>Consumer</x:v>
      </x:c>
      <x:c r="I943" s="84" t="str">
        <x:f>PROPER(TRIM('Raw Sales'!F943))</x:f>
        <x:v>West</x:v>
      </x:c>
      <x:c r="J943" s="84" t="str">
        <x:f>PROPER(TRIM('Raw Sales'!G943))</x:f>
        <x:v>Los Angeles</x:v>
      </x:c>
      <x:c r="K943" s="84" t="str">
        <x:f>PROPER(TRIM('Raw Sales'!H943))</x:f>
        <x:v>Online</x:v>
      </x:c>
      <x:c r="L943" s="84" t="str">
        <x:f>'Raw Sales'!I943</x:f>
        <x:v>CARE-002</x:v>
      </x:c>
      <x:c r="M943" s="84" t="str">
        <x:f>IFERROR(VLOOKUP(L943,'Reference Data'!$A$5:$F$40,2,FALSE),"Unknown Product")</x:f>
        <x:v>Rechargeable Trimmer</x:v>
      </x:c>
      <x:c r="N943" s="84" t="str">
        <x:f>IFERROR(VLOOKUP(L943,'Reference Data'!$A$5:$F$40,3,FALSE),"Unknown")</x:f>
        <x:v>Personal Care</x:v>
      </x:c>
      <x:c r="O943" s="84" t="str">
        <x:f>IFERROR(VLOOKUP(L943,'Reference Data'!$A$5:$F$40,4,FALSE),"Unknown")</x:f>
        <x:v>Grooming</x:v>
      </x:c>
      <x:c r="P943" s="92" t="n">
        <x:f>IFERROR(VLOOKUP(L943,'Reference Data'!$A$5:$F$40,5,FALSE),0)</x:f>
        <x:v>45</x:v>
      </x:c>
      <x:c r="Q943" s="92" t="n">
        <x:f>IFERROR(VLOOKUP(L943,'Reference Data'!$A$5:$F$40,6,FALSE),0)</x:f>
        <x:v>19</x:v>
      </x:c>
      <x:c r="R943" s="84" t="n">
        <x:f>'Raw Sales'!J943</x:f>
        <x:v>3</x:v>
      </x:c>
      <x:c r="S943" s="87" t="n">
        <x:f>'Raw Sales'!K943</x:f>
        <x:v>0</x:v>
      </x:c>
      <x:c r="T943" s="93" t="n">
        <x:f>P943*R943</x:f>
        <x:v>135</x:v>
      </x:c>
      <x:c r="U943" s="93" t="n">
        <x:f>T943*S943</x:f>
        <x:v>0</x:v>
      </x:c>
      <x:c r="V943" s="93" t="str">
        <x:f>PROPER(TRIM('Raw Sales'!L943))</x:f>
        <x:v>Completed</x:v>
      </x:c>
      <x:c r="W943" s="93" t="n">
        <x:f>IF(V943="Returned",0,T943-U943)</x:f>
        <x:v>135</x:v>
      </x:c>
      <x:c r="X943" s="93" t="n">
        <x:f>IF(V943="Returned",Q943*R943*10%,Q943*R943)</x:f>
        <x:v>57</x:v>
      </x:c>
      <x:c r="Y943" s="93" t="n">
        <x:f>W943-X943</x:f>
        <x:v>78</x:v>
      </x:c>
      <x:c r="Z943" s="94" t="n">
        <x:f>IFERROR(Y943/W943,0)</x:f>
        <x:v>0.5777777777777777</x:v>
      </x:c>
      <x:c r="AA943" s="84" t="str">
        <x:f>PROPER(TRIM('Raw Sales'!M943))</x:f>
        <x:v>Credit Card</x:v>
      </x:c>
      <x:c r="AB943" s="84" t="str">
        <x:f>PROPER(TRIM('Raw Sales'!N943))</x:f>
        <x:v>Mia Chen</x:v>
      </x:c>
      <x:c r="AC943" s="85" t="n">
        <x:f>'Raw Sales'!O943</x:f>
        <x:v>45619</x:v>
      </x:c>
      <x:c r="AD943" s="84" t="n">
        <x:f>AC943-B943</x:f>
        <x:v>5</x:v>
      </x:c>
      <x:c r="AE943" s="84" t="str">
        <x:f>IF(COUNTIF($A$5:A943,A943)&gt;1,"Duplicate","Keep")</x:f>
        <x:v>Keep</x:v>
      </x:c>
      <x:c r="AF943" s="84" t="str">
        <x:f>IF(OR(R943&lt;=0,AC943&lt;B943,H943="Unknown",M943="Unknown Product"),"Review","Valid")</x:f>
        <x:v>Valid</x:v>
      </x:c>
      <x:c r="AG943" s="84" t="n">
        <x:f>IF(AND(AE943="Keep",AF943="Valid"),1,0)</x:f>
        <x:v>1</x:v>
      </x:c>
      <x:c r="AH943" s="84" t="n">
        <x:f>IF(AND(AG943=1,OR('Dashboard'!$B$4="All",I943='Dashboard'!$B$4),OR('Dashboard'!$E$4="All",N943='Dashboard'!$E$4),OR('Dashboard'!$H$4="All",K943='Dashboard'!$H$4),OR('Dashboard'!$K$4="All",C943='Dashboard'!$K$4)),1,0)</x:f>
        <x:v>1</x:v>
      </x:c>
      <x:c r="AI943" s="84" t="n">
        <x:f>IF(AND(AG943=1,OR('Dashboard'!$B$4="All",I943='Dashboard'!$B$4),OR('Dashboard'!$E$4="All",N943='Dashboard'!$E$4),OR('Dashboard'!$H$4="All",K943='Dashboard'!$H$4)),1,0)</x:f>
        <x:v>1</x:v>
      </x:c>
    </x:row>
    <x:row r="944">
      <x:c r="A944" s="84" t="str">
        <x:f>'Raw Sales'!A944</x:f>
        <x:v>ORD-2024-01932</x:v>
      </x:c>
      <x:c r="B944" s="85" t="n">
        <x:f>'Raw Sales'!B944</x:f>
        <x:v>45614</x:v>
      </x:c>
      <x:c r="C944" s="84" t="n">
        <x:f>YEAR(B944)</x:f>
        <x:v>2024</x:v>
      </x:c>
      <x:c r="D944" s="91" t="n">
        <x:f>DATE(YEAR(B944),MONTH(B944),1)</x:f>
        <x:v>45597</x:v>
      </x:c>
      <x:c r="E944" s="84" t="str">
        <x:f>TEXT(B944,"mmm")</x:f>
        <x:v>Nov</x:v>
      </x:c>
      <x:c r="F944" s="84" t="str">
        <x:f>'Raw Sales'!C944</x:f>
        <x:v>CUST-0059</x:v>
      </x:c>
      <x:c r="G944" s="84" t="str">
        <x:f>PROPER(TRIM('Raw Sales'!D944))</x:f>
        <x:v>Samuel Lewis</x:v>
      </x:c>
      <x:c r="H944" s="84" t="str">
        <x:f>IF(TRIM('Raw Sales'!E944)="","Unknown",PROPER(TRIM('Raw Sales'!E944)))</x:f>
        <x:v>Consumer</x:v>
      </x:c>
      <x:c r="I944" s="84" t="str">
        <x:f>PROPER(TRIM('Raw Sales'!F944))</x:f>
        <x:v>Midwest</x:v>
      </x:c>
      <x:c r="J944" s="84" t="str">
        <x:f>PROPER(TRIM('Raw Sales'!G944))</x:f>
        <x:v>Minneapolis</x:v>
      </x:c>
      <x:c r="K944" s="84" t="str">
        <x:f>PROPER(TRIM('Raw Sales'!H944))</x:f>
        <x:v>Online</x:v>
      </x:c>
      <x:c r="L944" s="84" t="str">
        <x:f>'Raw Sales'!I944</x:f>
        <x:v>OFFC-001</x:v>
      </x:c>
      <x:c r="M944" s="84" t="str">
        <x:f>IFERROR(VLOOKUP(L944,'Reference Data'!$A$5:$F$40,2,FALSE),"Unknown Product")</x:f>
        <x:v>Ergonomic Chair</x:v>
      </x:c>
      <x:c r="N944" s="84" t="str">
        <x:f>IFERROR(VLOOKUP(L944,'Reference Data'!$A$5:$F$40,3,FALSE),"Unknown")</x:f>
        <x:v>Office</x:v>
      </x:c>
      <x:c r="O944" s="84" t="str">
        <x:f>IFERROR(VLOOKUP(L944,'Reference Data'!$A$5:$F$40,4,FALSE),"Unknown")</x:f>
        <x:v>Furniture</x:v>
      </x:c>
      <x:c r="P944" s="92" t="n">
        <x:f>IFERROR(VLOOKUP(L944,'Reference Data'!$A$5:$F$40,5,FALSE),0)</x:f>
        <x:v>249</x:v>
      </x:c>
      <x:c r="Q944" s="92" t="n">
        <x:f>IFERROR(VLOOKUP(L944,'Reference Data'!$A$5:$F$40,6,FALSE),0)</x:f>
        <x:v>145</x:v>
      </x:c>
      <x:c r="R944" s="84" t="n">
        <x:f>'Raw Sales'!J944</x:f>
        <x:v>1</x:v>
      </x:c>
      <x:c r="S944" s="87" t="n">
        <x:f>'Raw Sales'!K944</x:f>
        <x:v>0.1</x:v>
      </x:c>
      <x:c r="T944" s="93" t="n">
        <x:f>P944*R944</x:f>
        <x:v>249</x:v>
      </x:c>
      <x:c r="U944" s="93" t="n">
        <x:f>T944*S944</x:f>
        <x:v>24.900000000000002</x:v>
      </x:c>
      <x:c r="V944" s="93" t="str">
        <x:f>PROPER(TRIM('Raw Sales'!L944))</x:f>
        <x:v>Completed</x:v>
      </x:c>
      <x:c r="W944" s="93" t="n">
        <x:f>IF(V944="Returned",0,T944-U944)</x:f>
        <x:v>224.1</x:v>
      </x:c>
      <x:c r="X944" s="93" t="n">
        <x:f>IF(V944="Returned",Q944*R944*10%,Q944*R944)</x:f>
        <x:v>145</x:v>
      </x:c>
      <x:c r="Y944" s="93" t="n">
        <x:f>W944-X944</x:f>
        <x:v>79.1</x:v>
      </x:c>
      <x:c r="Z944" s="94" t="n">
        <x:f>IFERROR(Y944/W944,0)</x:f>
        <x:v>0.35296742525658187</x:v>
      </x:c>
      <x:c r="AA944" s="84" t="str">
        <x:f>PROPER(TRIM('Raw Sales'!M944))</x:f>
        <x:v>Debit Card</x:v>
      </x:c>
      <x:c r="AB944" s="84" t="str">
        <x:f>PROPER(TRIM('Raw Sales'!N944))</x:f>
        <x:v>Zoe Turner</x:v>
      </x:c>
      <x:c r="AC944" s="85" t="n">
        <x:f>'Raw Sales'!O944</x:f>
        <x:v>45617</x:v>
      </x:c>
      <x:c r="AD944" s="84" t="n">
        <x:f>AC944-B944</x:f>
        <x:v>3</x:v>
      </x:c>
      <x:c r="AE944" s="84" t="str">
        <x:f>IF(COUNTIF($A$5:A944,A944)&gt;1,"Duplicate","Keep")</x:f>
        <x:v>Keep</x:v>
      </x:c>
      <x:c r="AF944" s="84" t="str">
        <x:f>IF(OR(R944&lt;=0,AC944&lt;B944,H944="Unknown",M944="Unknown Product"),"Review","Valid")</x:f>
        <x:v>Valid</x:v>
      </x:c>
      <x:c r="AG944" s="84" t="n">
        <x:f>IF(AND(AE944="Keep",AF944="Valid"),1,0)</x:f>
        <x:v>1</x:v>
      </x:c>
      <x:c r="AH944" s="84" t="n">
        <x:f>IF(AND(AG944=1,OR('Dashboard'!$B$4="All",I944='Dashboard'!$B$4),OR('Dashboard'!$E$4="All",N944='Dashboard'!$E$4),OR('Dashboard'!$H$4="All",K944='Dashboard'!$H$4),OR('Dashboard'!$K$4="All",C944='Dashboard'!$K$4)),1,0)</x:f>
        <x:v>1</x:v>
      </x:c>
      <x:c r="AI944" s="84" t="n">
        <x:f>IF(AND(AG944=1,OR('Dashboard'!$B$4="All",I944='Dashboard'!$B$4),OR('Dashboard'!$E$4="All",N944='Dashboard'!$E$4),OR('Dashboard'!$H$4="All",K944='Dashboard'!$H$4)),1,0)</x:f>
        <x:v>1</x:v>
      </x:c>
    </x:row>
    <x:row r="945">
      <x:c r="A945" s="84" t="str">
        <x:f>'Raw Sales'!A945</x:f>
        <x:v>ORD-2024-00024</x:v>
      </x:c>
      <x:c r="B945" s="85" t="n">
        <x:f>'Raw Sales'!B945</x:f>
        <x:v>45615</x:v>
      </x:c>
      <x:c r="C945" s="84" t="n">
        <x:f>YEAR(B945)</x:f>
        <x:v>2024</x:v>
      </x:c>
      <x:c r="D945" s="91" t="n">
        <x:f>DATE(YEAR(B945),MONTH(B945),1)</x:f>
        <x:v>45597</x:v>
      </x:c>
      <x:c r="E945" s="84" t="str">
        <x:f>TEXT(B945,"mmm")</x:f>
        <x:v>Nov</x:v>
      </x:c>
      <x:c r="F945" s="84" t="str">
        <x:f>'Raw Sales'!C945</x:f>
        <x:v>CUST-0056</x:v>
      </x:c>
      <x:c r="G945" s="84" t="str">
        <x:f>PROPER(TRIM('Raw Sales'!D945))</x:f>
        <x:v>Priya Baker</x:v>
      </x:c>
      <x:c r="H945" s="84" t="str">
        <x:f>IF(TRIM('Raw Sales'!E945)="","Unknown",PROPER(TRIM('Raw Sales'!E945)))</x:f>
        <x:v>Consumer</x:v>
      </x:c>
      <x:c r="I945" s="84" t="str">
        <x:f>PROPER(TRIM('Raw Sales'!F945))</x:f>
        <x:v>Southeast</x:v>
      </x:c>
      <x:c r="J945" s="84" t="str">
        <x:f>PROPER(TRIM('Raw Sales'!G945))</x:f>
        <x:v>Charlotte</x:v>
      </x:c>
      <x:c r="K945" s="84" t="str">
        <x:f>PROPER(TRIM('Raw Sales'!H945))</x:f>
        <x:v>Online</x:v>
      </x:c>
      <x:c r="L945" s="84" t="str">
        <x:f>'Raw Sales'!I945</x:f>
        <x:v>OFFC-004</x:v>
      </x:c>
      <x:c r="M945" s="84" t="str">
        <x:f>IFERROR(VLOOKUP(L945,'Reference Data'!$A$5:$F$40,2,FALSE),"Unknown Product")</x:f>
        <x:v>Premium Notebook Pack</x:v>
      </x:c>
      <x:c r="N945" s="84" t="str">
        <x:f>IFERROR(VLOOKUP(L945,'Reference Data'!$A$5:$F$40,3,FALSE),"Unknown")</x:f>
        <x:v>Office</x:v>
      </x:c>
      <x:c r="O945" s="84" t="str">
        <x:f>IFERROR(VLOOKUP(L945,'Reference Data'!$A$5:$F$40,4,FALSE),"Unknown")</x:f>
        <x:v>Stationery</x:v>
      </x:c>
      <x:c r="P945" s="92" t="n">
        <x:f>IFERROR(VLOOKUP(L945,'Reference Data'!$A$5:$F$40,5,FALSE),0)</x:f>
        <x:v>18</x:v>
      </x:c>
      <x:c r="Q945" s="92" t="n">
        <x:f>IFERROR(VLOOKUP(L945,'Reference Data'!$A$5:$F$40,6,FALSE),0)</x:f>
        <x:v>6.5</x:v>
      </x:c>
      <x:c r="R945" s="84" t="n">
        <x:f>'Raw Sales'!J945</x:f>
        <x:v>1</x:v>
      </x:c>
      <x:c r="S945" s="87" t="n">
        <x:f>'Raw Sales'!K945</x:f>
        <x:v>0</x:v>
      </x:c>
      <x:c r="T945" s="93" t="n">
        <x:f>P945*R945</x:f>
        <x:v>18</x:v>
      </x:c>
      <x:c r="U945" s="93" t="n">
        <x:f>T945*S945</x:f>
        <x:v>0</x:v>
      </x:c>
      <x:c r="V945" s="93" t="str">
        <x:f>PROPER(TRIM('Raw Sales'!L945))</x:f>
        <x:v>Completed</x:v>
      </x:c>
      <x:c r="W945" s="93" t="n">
        <x:f>IF(V945="Returned",0,T945-U945)</x:f>
        <x:v>18</x:v>
      </x:c>
      <x:c r="X945" s="93" t="n">
        <x:f>IF(V945="Returned",Q945*R945*10%,Q945*R945)</x:f>
        <x:v>6.5</x:v>
      </x:c>
      <x:c r="Y945" s="93" t="n">
        <x:f>W945-X945</x:f>
        <x:v>11.5</x:v>
      </x:c>
      <x:c r="Z945" s="94" t="n">
        <x:f>IFERROR(Y945/W945,0)</x:f>
        <x:v>0.6388888888888888</x:v>
      </x:c>
      <x:c r="AA945" s="84" t="str">
        <x:f>PROPER(TRIM('Raw Sales'!M945))</x:f>
        <x:v>Paypal</x:v>
      </x:c>
      <x:c r="AB945" s="84" t="str">
        <x:f>PROPER(TRIM('Raw Sales'!N945))</x:f>
        <x:v>Ava Mitchell</x:v>
      </x:c>
      <x:c r="AC945" s="85" t="n">
        <x:f>'Raw Sales'!O945</x:f>
        <x:v>45620</x:v>
      </x:c>
      <x:c r="AD945" s="84" t="n">
        <x:f>AC945-B945</x:f>
        <x:v>5</x:v>
      </x:c>
      <x:c r="AE945" s="84" t="str">
        <x:f>IF(COUNTIF($A$5:A945,A945)&gt;1,"Duplicate","Keep")</x:f>
        <x:v>Keep</x:v>
      </x:c>
      <x:c r="AF945" s="84" t="str">
        <x:f>IF(OR(R945&lt;=0,AC945&lt;B945,H945="Unknown",M945="Unknown Product"),"Review","Valid")</x:f>
        <x:v>Valid</x:v>
      </x:c>
      <x:c r="AG945" s="84" t="n">
        <x:f>IF(AND(AE945="Keep",AF945="Valid"),1,0)</x:f>
        <x:v>1</x:v>
      </x:c>
      <x:c r="AH945" s="84" t="n">
        <x:f>IF(AND(AG945=1,OR('Dashboard'!$B$4="All",I945='Dashboard'!$B$4),OR('Dashboard'!$E$4="All",N945='Dashboard'!$E$4),OR('Dashboard'!$H$4="All",K945='Dashboard'!$H$4),OR('Dashboard'!$K$4="All",C945='Dashboard'!$K$4)),1,0)</x:f>
        <x:v>1</x:v>
      </x:c>
      <x:c r="AI945" s="84" t="n">
        <x:f>IF(AND(AG945=1,OR('Dashboard'!$B$4="All",I945='Dashboard'!$B$4),OR('Dashboard'!$E$4="All",N945='Dashboard'!$E$4),OR('Dashboard'!$H$4="All",K945='Dashboard'!$H$4)),1,0)</x:f>
        <x:v>1</x:v>
      </x:c>
    </x:row>
    <x:row r="946">
      <x:c r="A946" s="84" t="str">
        <x:f>'Raw Sales'!A946</x:f>
        <x:v>ORD-2024-00582</x:v>
      </x:c>
      <x:c r="B946" s="85" t="n">
        <x:f>'Raw Sales'!B946</x:f>
        <x:v>45615</x:v>
      </x:c>
      <x:c r="C946" s="84" t="n">
        <x:f>YEAR(B946)</x:f>
        <x:v>2024</x:v>
      </x:c>
      <x:c r="D946" s="91" t="n">
        <x:f>DATE(YEAR(B946),MONTH(B946),1)</x:f>
        <x:v>45597</x:v>
      </x:c>
      <x:c r="E946" s="84" t="str">
        <x:f>TEXT(B946,"mmm")</x:f>
        <x:v>Nov</x:v>
      </x:c>
      <x:c r="F946" s="84" t="str">
        <x:f>'Raw Sales'!C946</x:f>
        <x:v>CUST-0583</x:v>
      </x:c>
      <x:c r="G946" s="84" t="str">
        <x:f>PROPER(TRIM('Raw Sales'!D946))</x:f>
        <x:v>Nina Irwin</x:v>
      </x:c>
      <x:c r="H946" s="84" t="str">
        <x:f>IF(TRIM('Raw Sales'!E946)="","Unknown",PROPER(TRIM('Raw Sales'!E946)))</x:f>
        <x:v>Consumer</x:v>
      </x:c>
      <x:c r="I946" s="84" t="str">
        <x:f>PROPER(TRIM('Raw Sales'!F946))</x:f>
        <x:v>Southeast</x:v>
      </x:c>
      <x:c r="J946" s="84" t="str">
        <x:f>PROPER(TRIM('Raw Sales'!G946))</x:f>
        <x:v>Charlotte</x:v>
      </x:c>
      <x:c r="K946" s="84" t="str">
        <x:f>PROPER(TRIM('Raw Sales'!H946))</x:f>
        <x:v>Online</x:v>
      </x:c>
      <x:c r="L946" s="84" t="str">
        <x:f>'Raw Sales'!I946</x:f>
        <x:v>HOME-006</x:v>
      </x:c>
      <x:c r="M946" s="84" t="str">
        <x:f>IFERROR(VLOOKUP(L946,'Reference Data'!$A$5:$F$40,2,FALSE),"Unknown Product")</x:f>
        <x:v>Food Storage Set</x:v>
      </x:c>
      <x:c r="N946" s="84" t="str">
        <x:f>IFERROR(VLOOKUP(L946,'Reference Data'!$A$5:$F$40,3,FALSE),"Unknown")</x:f>
        <x:v>Home &amp; Kitchen</x:v>
      </x:c>
      <x:c r="O946" s="84" t="str">
        <x:f>IFERROR(VLOOKUP(L946,'Reference Data'!$A$5:$F$40,4,FALSE),"Unknown")</x:f>
        <x:v>Kitchenware</x:v>
      </x:c>
      <x:c r="P946" s="92" t="n">
        <x:f>IFERROR(VLOOKUP(L946,'Reference Data'!$A$5:$F$40,5,FALSE),0)</x:f>
        <x:v>34</x:v>
      </x:c>
      <x:c r="Q946" s="92" t="n">
        <x:f>IFERROR(VLOOKUP(L946,'Reference Data'!$A$5:$F$40,6,FALSE),0)</x:f>
        <x:v>15</x:v>
      </x:c>
      <x:c r="R946" s="84" t="n">
        <x:f>'Raw Sales'!J946</x:f>
        <x:v>1</x:v>
      </x:c>
      <x:c r="S946" s="87" t="n">
        <x:f>'Raw Sales'!K946</x:f>
        <x:v>0</x:v>
      </x:c>
      <x:c r="T946" s="93" t="n">
        <x:f>P946*R946</x:f>
        <x:v>34</x:v>
      </x:c>
      <x:c r="U946" s="93" t="n">
        <x:f>T946*S946</x:f>
        <x:v>0</x:v>
      </x:c>
      <x:c r="V946" s="93" t="str">
        <x:f>PROPER(TRIM('Raw Sales'!L946))</x:f>
        <x:v>Completed</x:v>
      </x:c>
      <x:c r="W946" s="93" t="n">
        <x:f>IF(V946="Returned",0,T946-U946)</x:f>
        <x:v>34</x:v>
      </x:c>
      <x:c r="X946" s="93" t="n">
        <x:f>IF(V946="Returned",Q946*R946*10%,Q946*R946)</x:f>
        <x:v>15</x:v>
      </x:c>
      <x:c r="Y946" s="93" t="n">
        <x:f>W946-X946</x:f>
        <x:v>19</x:v>
      </x:c>
      <x:c r="Z946" s="94" t="n">
        <x:f>IFERROR(Y946/W946,0)</x:f>
        <x:v>0.5588235294117647</x:v>
      </x:c>
      <x:c r="AA946" s="84" t="str">
        <x:f>PROPER(TRIM('Raw Sales'!M946))</x:f>
        <x:v>Paypal</x:v>
      </x:c>
      <x:c r="AB946" s="84" t="str">
        <x:f>PROPER(TRIM('Raw Sales'!N946))</x:f>
        <x:v>Noah Reed</x:v>
      </x:c>
      <x:c r="AC946" s="85" t="n">
        <x:f>'Raw Sales'!O946</x:f>
        <x:v>45619</x:v>
      </x:c>
      <x:c r="AD946" s="84" t="n">
        <x:f>AC946-B946</x:f>
        <x:v>4</x:v>
      </x:c>
      <x:c r="AE946" s="84" t="str">
        <x:f>IF(COUNTIF($A$5:A946,A946)&gt;1,"Duplicate","Keep")</x:f>
        <x:v>Keep</x:v>
      </x:c>
      <x:c r="AF946" s="84" t="str">
        <x:f>IF(OR(R946&lt;=0,AC946&lt;B946,H946="Unknown",M946="Unknown Product"),"Review","Valid")</x:f>
        <x:v>Valid</x:v>
      </x:c>
      <x:c r="AG946" s="84" t="n">
        <x:f>IF(AND(AE946="Keep",AF946="Valid"),1,0)</x:f>
        <x:v>1</x:v>
      </x:c>
      <x:c r="AH946" s="84" t="n">
        <x:f>IF(AND(AG946=1,OR('Dashboard'!$B$4="All",I946='Dashboard'!$B$4),OR('Dashboard'!$E$4="All",N946='Dashboard'!$E$4),OR('Dashboard'!$H$4="All",K946='Dashboard'!$H$4),OR('Dashboard'!$K$4="All",C946='Dashboard'!$K$4)),1,0)</x:f>
        <x:v>1</x:v>
      </x:c>
      <x:c r="AI946" s="84" t="n">
        <x:f>IF(AND(AG946=1,OR('Dashboard'!$B$4="All",I946='Dashboard'!$B$4),OR('Dashboard'!$E$4="All",N946='Dashboard'!$E$4),OR('Dashboard'!$H$4="All",K946='Dashboard'!$H$4)),1,0)</x:f>
        <x:v>1</x:v>
      </x:c>
    </x:row>
    <x:row r="947">
      <x:c r="A947" s="84" t="str">
        <x:f>'Raw Sales'!A947</x:f>
        <x:v>ORD-2024-01420</x:v>
      </x:c>
      <x:c r="B947" s="85" t="n">
        <x:f>'Raw Sales'!B947</x:f>
        <x:v>45615</x:v>
      </x:c>
      <x:c r="C947" s="84" t="n">
        <x:f>YEAR(B947)</x:f>
        <x:v>2024</x:v>
      </x:c>
      <x:c r="D947" s="91" t="n">
        <x:f>DATE(YEAR(B947),MONTH(B947),1)</x:f>
        <x:v>45597</x:v>
      </x:c>
      <x:c r="E947" s="84" t="str">
        <x:f>TEXT(B947,"mmm")</x:f>
        <x:v>Nov</x:v>
      </x:c>
      <x:c r="F947" s="84" t="str">
        <x:f>'Raw Sales'!C947</x:f>
        <x:v>CUST-0083</x:v>
      </x:c>
      <x:c r="G947" s="84" t="str">
        <x:f>PROPER(TRIM('Raw Sales'!D947))</x:f>
        <x:v>Theo Davis</x:v>
      </x:c>
      <x:c r="H947" s="84" t="str">
        <x:f>IF(TRIM('Raw Sales'!E947)="","Unknown",PROPER(TRIM('Raw Sales'!E947)))</x:f>
        <x:v>Consumer</x:v>
      </x:c>
      <x:c r="I947" s="84" t="str">
        <x:f>PROPER(TRIM('Raw Sales'!F947))</x:f>
        <x:v>West</x:v>
      </x:c>
      <x:c r="J947" s="84" t="str">
        <x:f>PROPER(TRIM('Raw Sales'!G947))</x:f>
        <x:v>Phoenix</x:v>
      </x:c>
      <x:c r="K947" s="84" t="str">
        <x:f>PROPER(TRIM('Raw Sales'!H947))</x:f>
        <x:v>Retail Store</x:v>
      </x:c>
      <x:c r="L947" s="84" t="str">
        <x:f>'Raw Sales'!I947</x:f>
        <x:v>ELEC-003</x:v>
      </x:c>
      <x:c r="M947" s="84" t="str">
        <x:f>IFERROR(VLOOKUP(L947,'Reference Data'!$A$5:$F$40,2,FALSE),"Unknown Product")</x:f>
        <x:v>Bluetooth Speaker</x:v>
      </x:c>
      <x:c r="N947" s="84" t="str">
        <x:f>IFERROR(VLOOKUP(L947,'Reference Data'!$A$5:$F$40,3,FALSE),"Unknown")</x:f>
        <x:v>Electronics</x:v>
      </x:c>
      <x:c r="O947" s="84" t="str">
        <x:f>IFERROR(VLOOKUP(L947,'Reference Data'!$A$5:$F$40,4,FALSE),"Unknown")</x:f>
        <x:v>Audio</x:v>
      </x:c>
      <x:c r="P947" s="92" t="n">
        <x:f>IFERROR(VLOOKUP(L947,'Reference Data'!$A$5:$F$40,5,FALSE),0)</x:f>
        <x:v>89</x:v>
      </x:c>
      <x:c r="Q947" s="92" t="n">
        <x:f>IFERROR(VLOOKUP(L947,'Reference Data'!$A$5:$F$40,6,FALSE),0)</x:f>
        <x:v>44</x:v>
      </x:c>
      <x:c r="R947" s="84" t="n">
        <x:f>'Raw Sales'!J947</x:f>
        <x:v>3</x:v>
      </x:c>
      <x:c r="S947" s="87" t="n">
        <x:f>'Raw Sales'!K947</x:f>
        <x:v>0.15</x:v>
      </x:c>
      <x:c r="T947" s="93" t="n">
        <x:f>P947*R947</x:f>
        <x:v>267</x:v>
      </x:c>
      <x:c r="U947" s="93" t="n">
        <x:f>T947*S947</x:f>
        <x:v>40.05</x:v>
      </x:c>
      <x:c r="V947" s="93" t="str">
        <x:f>PROPER(TRIM('Raw Sales'!L947))</x:f>
        <x:v>Completed</x:v>
      </x:c>
      <x:c r="W947" s="93" t="n">
        <x:f>IF(V947="Returned",0,T947-U947)</x:f>
        <x:v>226.95</x:v>
      </x:c>
      <x:c r="X947" s="93" t="n">
        <x:f>IF(V947="Returned",Q947*R947*10%,Q947*R947)</x:f>
        <x:v>132</x:v>
      </x:c>
      <x:c r="Y947" s="93" t="n">
        <x:f>W947-X947</x:f>
        <x:v>94.94999999999999</x:v>
      </x:c>
      <x:c r="Z947" s="94" t="n">
        <x:f>IFERROR(Y947/W947,0)</x:f>
        <x:v>0.41837409120951746</x:v>
      </x:c>
      <x:c r="AA947" s="84" t="str">
        <x:f>PROPER(TRIM('Raw Sales'!M947))</x:f>
        <x:v>Credit Card</x:v>
      </x:c>
      <x:c r="AB947" s="84" t="str">
        <x:f>PROPER(TRIM('Raw Sales'!N947))</x:f>
        <x:v>Nora Kim</x:v>
      </x:c>
      <x:c r="AC947" s="85" t="n">
        <x:f>'Raw Sales'!O947</x:f>
        <x:v>45615</x:v>
      </x:c>
      <x:c r="AD947" s="84" t="n">
        <x:f>AC947-B947</x:f>
        <x:v>0</x:v>
      </x:c>
      <x:c r="AE947" s="84" t="str">
        <x:f>IF(COUNTIF($A$5:A947,A947)&gt;1,"Duplicate","Keep")</x:f>
        <x:v>Keep</x:v>
      </x:c>
      <x:c r="AF947" s="84" t="str">
        <x:f>IF(OR(R947&lt;=0,AC947&lt;B947,H947="Unknown",M947="Unknown Product"),"Review","Valid")</x:f>
        <x:v>Valid</x:v>
      </x:c>
      <x:c r="AG947" s="84" t="n">
        <x:f>IF(AND(AE947="Keep",AF947="Valid"),1,0)</x:f>
        <x:v>1</x:v>
      </x:c>
      <x:c r="AH947" s="84" t="n">
        <x:f>IF(AND(AG947=1,OR('Dashboard'!$B$4="All",I947='Dashboard'!$B$4),OR('Dashboard'!$E$4="All",N947='Dashboard'!$E$4),OR('Dashboard'!$H$4="All",K947='Dashboard'!$H$4),OR('Dashboard'!$K$4="All",C947='Dashboard'!$K$4)),1,0)</x:f>
        <x:v>1</x:v>
      </x:c>
      <x:c r="AI947" s="84" t="n">
        <x:f>IF(AND(AG947=1,OR('Dashboard'!$B$4="All",I947='Dashboard'!$B$4),OR('Dashboard'!$E$4="All",N947='Dashboard'!$E$4),OR('Dashboard'!$H$4="All",K947='Dashboard'!$H$4)),1,0)</x:f>
        <x:v>1</x:v>
      </x:c>
    </x:row>
    <x:row r="948">
      <x:c r="A948" s="84" t="str">
        <x:f>'Raw Sales'!A948</x:f>
        <x:v>ORD-2024-02170</x:v>
      </x:c>
      <x:c r="B948" s="85" t="n">
        <x:f>'Raw Sales'!B948</x:f>
        <x:v>45615</x:v>
      </x:c>
      <x:c r="C948" s="84" t="n">
        <x:f>YEAR(B948)</x:f>
        <x:v>2024</x:v>
      </x:c>
      <x:c r="D948" s="91" t="n">
        <x:f>DATE(YEAR(B948),MONTH(B948),1)</x:f>
        <x:v>45597</x:v>
      </x:c>
      <x:c r="E948" s="84" t="str">
        <x:f>TEXT(B948,"mmm")</x:f>
        <x:v>Nov</x:v>
      </x:c>
      <x:c r="F948" s="84" t="str">
        <x:f>'Raw Sales'!C948</x:f>
        <x:v>CUST-0640</x:v>
      </x:c>
      <x:c r="G948" s="84" t="str">
        <x:f>PROPER(TRIM('Raw Sales'!D948))</x:f>
        <x:v>Maya Patel</x:v>
      </x:c>
      <x:c r="H948" s="84" t="str">
        <x:f>IF(TRIM('Raw Sales'!E948)="","Unknown",PROPER(TRIM('Raw Sales'!E948)))</x:f>
        <x:v>Corporate</x:v>
      </x:c>
      <x:c r="I948" s="84" t="str">
        <x:f>PROPER(TRIM('Raw Sales'!F948))</x:f>
        <x:v>Midwest</x:v>
      </x:c>
      <x:c r="J948" s="84" t="str">
        <x:f>PROPER(TRIM('Raw Sales'!G948))</x:f>
        <x:v>Columbus</x:v>
      </x:c>
      <x:c r="K948" s="84" t="str">
        <x:f>PROPER(TRIM('Raw Sales'!H948))</x:f>
        <x:v>Retail Store</x:v>
      </x:c>
      <x:c r="L948" s="84" t="str">
        <x:f>'Raw Sales'!I948</x:f>
        <x:v>CARE-006</x:v>
      </x:c>
      <x:c r="M948" s="84" t="str">
        <x:f>IFERROR(VLOOKUP(L948,'Reference Data'!$A$5:$F$40,2,FALSE),"Unknown Product")</x:f>
        <x:v>Percussion Massage Gun</x:v>
      </x:c>
      <x:c r="N948" s="84" t="str">
        <x:f>IFERROR(VLOOKUP(L948,'Reference Data'!$A$5:$F$40,3,FALSE),"Unknown")</x:f>
        <x:v>Personal Care</x:v>
      </x:c>
      <x:c r="O948" s="84" t="str">
        <x:f>IFERROR(VLOOKUP(L948,'Reference Data'!$A$5:$F$40,4,FALSE),"Unknown")</x:f>
        <x:v>Wellness</x:v>
      </x:c>
      <x:c r="P948" s="92" t="n">
        <x:f>IFERROR(VLOOKUP(L948,'Reference Data'!$A$5:$F$40,5,FALSE),0)</x:f>
        <x:v>129</x:v>
      </x:c>
      <x:c r="Q948" s="92" t="n">
        <x:f>IFERROR(VLOOKUP(L948,'Reference Data'!$A$5:$F$40,6,FALSE),0)</x:f>
        <x:v>70</x:v>
      </x:c>
      <x:c r="R948" s="84" t="n">
        <x:f>'Raw Sales'!J948</x:f>
        <x:v>6</x:v>
      </x:c>
      <x:c r="S948" s="87" t="n">
        <x:f>'Raw Sales'!K948</x:f>
        <x:v>0.1</x:v>
      </x:c>
      <x:c r="T948" s="93" t="n">
        <x:f>P948*R948</x:f>
        <x:v>774</x:v>
      </x:c>
      <x:c r="U948" s="93" t="n">
        <x:f>T948*S948</x:f>
        <x:v>77.4</x:v>
      </x:c>
      <x:c r="V948" s="93" t="str">
        <x:f>PROPER(TRIM('Raw Sales'!L948))</x:f>
        <x:v>Completed</x:v>
      </x:c>
      <x:c r="W948" s="93" t="n">
        <x:f>IF(V948="Returned",0,T948-U948)</x:f>
        <x:v>696.6</x:v>
      </x:c>
      <x:c r="X948" s="93" t="n">
        <x:f>IF(V948="Returned",Q948*R948*10%,Q948*R948)</x:f>
        <x:v>420</x:v>
      </x:c>
      <x:c r="Y948" s="93" t="n">
        <x:f>W948-X948</x:f>
        <x:v>276.6</x:v>
      </x:c>
      <x:c r="Z948" s="94" t="n">
        <x:f>IFERROR(Y948/W948,0)</x:f>
        <x:v>0.3970714900947459</x:v>
      </x:c>
      <x:c r="AA948" s="84" t="str">
        <x:f>PROPER(TRIM('Raw Sales'!M948))</x:f>
        <x:v>Debit Card</x:v>
      </x:c>
      <x:c r="AB948" s="84" t="str">
        <x:f>PROPER(TRIM('Raw Sales'!N948))</x:f>
        <x:v>Zoe Turner</x:v>
      </x:c>
      <x:c r="AC948" s="85" t="n">
        <x:f>'Raw Sales'!O948</x:f>
        <x:v>45615</x:v>
      </x:c>
      <x:c r="AD948" s="84" t="n">
        <x:f>AC948-B948</x:f>
        <x:v>0</x:v>
      </x:c>
      <x:c r="AE948" s="84" t="str">
        <x:f>IF(COUNTIF($A$5:A948,A948)&gt;1,"Duplicate","Keep")</x:f>
        <x:v>Keep</x:v>
      </x:c>
      <x:c r="AF948" s="84" t="str">
        <x:f>IF(OR(R948&lt;=0,AC948&lt;B948,H948="Unknown",M948="Unknown Product"),"Review","Valid")</x:f>
        <x:v>Valid</x:v>
      </x:c>
      <x:c r="AG948" s="84" t="n">
        <x:f>IF(AND(AE948="Keep",AF948="Valid"),1,0)</x:f>
        <x:v>1</x:v>
      </x:c>
      <x:c r="AH948" s="84" t="n">
        <x:f>IF(AND(AG948=1,OR('Dashboard'!$B$4="All",I948='Dashboard'!$B$4),OR('Dashboard'!$E$4="All",N948='Dashboard'!$E$4),OR('Dashboard'!$H$4="All",K948='Dashboard'!$H$4),OR('Dashboard'!$K$4="All",C948='Dashboard'!$K$4)),1,0)</x:f>
        <x:v>1</x:v>
      </x:c>
      <x:c r="AI948" s="84" t="n">
        <x:f>IF(AND(AG948=1,OR('Dashboard'!$B$4="All",I948='Dashboard'!$B$4),OR('Dashboard'!$E$4="All",N948='Dashboard'!$E$4),OR('Dashboard'!$H$4="All",K948='Dashboard'!$H$4)),1,0)</x:f>
        <x:v>1</x:v>
      </x:c>
    </x:row>
    <x:row r="949">
      <x:c r="A949" s="84" t="str">
        <x:f>'Raw Sales'!A949</x:f>
        <x:v>ORD-2024-00456</x:v>
      </x:c>
      <x:c r="B949" s="85" t="n">
        <x:f>'Raw Sales'!B949</x:f>
        <x:v>45616</x:v>
      </x:c>
      <x:c r="C949" s="84" t="n">
        <x:f>YEAR(B949)</x:f>
        <x:v>2024</x:v>
      </x:c>
      <x:c r="D949" s="91" t="n">
        <x:f>DATE(YEAR(B949),MONTH(B949),1)</x:f>
        <x:v>45597</x:v>
      </x:c>
      <x:c r="E949" s="84" t="str">
        <x:f>TEXT(B949,"mmm")</x:f>
        <x:v>Nov</x:v>
      </x:c>
      <x:c r="F949" s="84" t="str">
        <x:f>'Raw Sales'!C949</x:f>
        <x:v>CUST-0181</x:v>
      </x:c>
      <x:c r="G949" s="84" t="str">
        <x:f>PROPER(TRIM('Raw Sales'!D949))</x:f>
        <x:v>Chloe Baker</x:v>
      </x:c>
      <x:c r="H949" s="84" t="str">
        <x:f>IF(TRIM('Raw Sales'!E949)="","Unknown",PROPER(TRIM('Raw Sales'!E949)))</x:f>
        <x:v>Corporate</x:v>
      </x:c>
      <x:c r="I949" s="84" t="str">
        <x:f>PROPER(TRIM('Raw Sales'!F949))</x:f>
        <x:v>Northeast</x:v>
      </x:c>
      <x:c r="J949" s="84" t="str">
        <x:f>PROPER(TRIM('Raw Sales'!G949))</x:f>
        <x:v>Boston</x:v>
      </x:c>
      <x:c r="K949" s="84" t="str">
        <x:f>PROPER(TRIM('Raw Sales'!H949))</x:f>
        <x:v>Retail Store</x:v>
      </x:c>
      <x:c r="L949" s="84" t="str">
        <x:f>'Raw Sales'!I949</x:f>
        <x:v>ELEC-006</x:v>
      </x:c>
      <x:c r="M949" s="84" t="str">
        <x:f>IFERROR(VLOOKUP(L949,'Reference Data'!$A$5:$F$40,2,FALSE),"Unknown Product")</x:f>
        <x:v>Portable SSD</x:v>
      </x:c>
      <x:c r="N949" s="84" t="str">
        <x:f>IFERROR(VLOOKUP(L949,'Reference Data'!$A$5:$F$40,3,FALSE),"Unknown")</x:f>
        <x:v>Electronics</x:v>
      </x:c>
      <x:c r="O949" s="84" t="str">
        <x:f>IFERROR(VLOOKUP(L949,'Reference Data'!$A$5:$F$40,4,FALSE),"Unknown")</x:f>
        <x:v>Storage</x:v>
      </x:c>
      <x:c r="P949" s="92" t="n">
        <x:f>IFERROR(VLOOKUP(L949,'Reference Data'!$A$5:$F$40,5,FALSE),0)</x:f>
        <x:v>129</x:v>
      </x:c>
      <x:c r="Q949" s="92" t="n">
        <x:f>IFERROR(VLOOKUP(L949,'Reference Data'!$A$5:$F$40,6,FALSE),0)</x:f>
        <x:v>75</x:v>
      </x:c>
      <x:c r="R949" s="84" t="n">
        <x:f>'Raw Sales'!J949</x:f>
        <x:v>2</x:v>
      </x:c>
      <x:c r="S949" s="87" t="n">
        <x:f>'Raw Sales'!K949</x:f>
        <x:v>0.05</x:v>
      </x:c>
      <x:c r="T949" s="93" t="n">
        <x:f>P949*R949</x:f>
        <x:v>258</x:v>
      </x:c>
      <x:c r="U949" s="93" t="n">
        <x:f>T949*S949</x:f>
        <x:v>12.9</x:v>
      </x:c>
      <x:c r="V949" s="93" t="str">
        <x:f>PROPER(TRIM('Raw Sales'!L949))</x:f>
        <x:v>Completed</x:v>
      </x:c>
      <x:c r="W949" s="93" t="n">
        <x:f>IF(V949="Returned",0,T949-U949)</x:f>
        <x:v>245.1</x:v>
      </x:c>
      <x:c r="X949" s="93" t="n">
        <x:f>IF(V949="Returned",Q949*R949*10%,Q949*R949)</x:f>
        <x:v>150</x:v>
      </x:c>
      <x:c r="Y949" s="93" t="n">
        <x:f>W949-X949</x:f>
        <x:v>95.1</x:v>
      </x:c>
      <x:c r="Z949" s="94" t="n">
        <x:f>IFERROR(Y949/W949,0)</x:f>
        <x:v>0.3880048959608323</x:v>
      </x:c>
      <x:c r="AA949" s="84" t="str">
        <x:f>PROPER(TRIM('Raw Sales'!M949))</x:f>
        <x:v>Mobile Wallet</x:v>
      </x:c>
      <x:c r="AB949" s="84" t="str">
        <x:f>PROPER(TRIM('Raw Sales'!N949))</x:f>
        <x:v>Maya Brooks</x:v>
      </x:c>
      <x:c r="AC949" s="85" t="n">
        <x:f>'Raw Sales'!O949</x:f>
        <x:v>45616</x:v>
      </x:c>
      <x:c r="AD949" s="84" t="n">
        <x:f>AC949-B949</x:f>
        <x:v>0</x:v>
      </x:c>
      <x:c r="AE949" s="84" t="str">
        <x:f>IF(COUNTIF($A$5:A949,A949)&gt;1,"Duplicate","Keep")</x:f>
        <x:v>Keep</x:v>
      </x:c>
      <x:c r="AF949" s="84" t="str">
        <x:f>IF(OR(R949&lt;=0,AC949&lt;B949,H949="Unknown",M949="Unknown Product"),"Review","Valid")</x:f>
        <x:v>Valid</x:v>
      </x:c>
      <x:c r="AG949" s="84" t="n">
        <x:f>IF(AND(AE949="Keep",AF949="Valid"),1,0)</x:f>
        <x:v>1</x:v>
      </x:c>
      <x:c r="AH949" s="84" t="n">
        <x:f>IF(AND(AG949=1,OR('Dashboard'!$B$4="All",I949='Dashboard'!$B$4),OR('Dashboard'!$E$4="All",N949='Dashboard'!$E$4),OR('Dashboard'!$H$4="All",K949='Dashboard'!$H$4),OR('Dashboard'!$K$4="All",C949='Dashboard'!$K$4)),1,0)</x:f>
        <x:v>1</x:v>
      </x:c>
      <x:c r="AI949" s="84" t="n">
        <x:f>IF(AND(AG949=1,OR('Dashboard'!$B$4="All",I949='Dashboard'!$B$4),OR('Dashboard'!$E$4="All",N949='Dashboard'!$E$4),OR('Dashboard'!$H$4="All",K949='Dashboard'!$H$4)),1,0)</x:f>
        <x:v>1</x:v>
      </x:c>
    </x:row>
    <x:row r="950">
      <x:c r="A950" s="84" t="str">
        <x:f>'Raw Sales'!A950</x:f>
        <x:v>ORD-2024-00465</x:v>
      </x:c>
      <x:c r="B950" s="85" t="n">
        <x:f>'Raw Sales'!B950</x:f>
        <x:v>45616</x:v>
      </x:c>
      <x:c r="C950" s="84" t="n">
        <x:f>YEAR(B950)</x:f>
        <x:v>2024</x:v>
      </x:c>
      <x:c r="D950" s="91" t="n">
        <x:f>DATE(YEAR(B950),MONTH(B950),1)</x:f>
        <x:v>45597</x:v>
      </x:c>
      <x:c r="E950" s="84" t="str">
        <x:f>TEXT(B950,"mmm")</x:f>
        <x:v>Nov</x:v>
      </x:c>
      <x:c r="F950" s="84" t="str">
        <x:f>'Raw Sales'!C950</x:f>
        <x:v>CUST-0432</x:v>
      </x:c>
      <x:c r="G950" s="84" t="str">
        <x:f>PROPER(TRIM('Raw Sales'!D950))</x:f>
        <x:v>Caleb Young</x:v>
      </x:c>
      <x:c r="H950" s="84" t="str">
        <x:f>IF(TRIM('Raw Sales'!E950)="","Unknown",PROPER(TRIM('Raw Sales'!E950)))</x:f>
        <x:v>Consumer</x:v>
      </x:c>
      <x:c r="I950" s="84" t="str">
        <x:f>PROPER(TRIM('Raw Sales'!F950))</x:f>
        <x:v>Northeast</x:v>
      </x:c>
      <x:c r="J950" s="84" t="str">
        <x:f>PROPER(TRIM('Raw Sales'!G950))</x:f>
        <x:v>New York</x:v>
      </x:c>
      <x:c r="K950" s="84" t="str">
        <x:f>PROPER(TRIM('Raw Sales'!H950))</x:f>
        <x:v>Online</x:v>
      </x:c>
      <x:c r="L950" s="84" t="str">
        <x:f>'Raw Sales'!I950</x:f>
        <x:v>CARE-001</x:v>
      </x:c>
      <x:c r="M950" s="84" t="str">
        <x:f>IFERROR(VLOOKUP(L950,'Reference Data'!$A$5:$F$40,2,FALSE),"Unknown Product")</x:f>
        <x:v>Ionic Hair Dryer</x:v>
      </x:c>
      <x:c r="N950" s="84" t="str">
        <x:f>IFERROR(VLOOKUP(L950,'Reference Data'!$A$5:$F$40,3,FALSE),"Unknown")</x:f>
        <x:v>Personal Care</x:v>
      </x:c>
      <x:c r="O950" s="84" t="str">
        <x:f>IFERROR(VLOOKUP(L950,'Reference Data'!$A$5:$F$40,4,FALSE),"Unknown")</x:f>
        <x:v>Hair Care</x:v>
      </x:c>
      <x:c r="P950" s="92" t="n">
        <x:f>IFERROR(VLOOKUP(L950,'Reference Data'!$A$5:$F$40,5,FALSE),0)</x:f>
        <x:v>54</x:v>
      </x:c>
      <x:c r="Q950" s="92" t="n">
        <x:f>IFERROR(VLOOKUP(L950,'Reference Data'!$A$5:$F$40,6,FALSE),0)</x:f>
        <x:v>25</x:v>
      </x:c>
      <x:c r="R950" s="84" t="n">
        <x:f>'Raw Sales'!J950</x:f>
        <x:v>3</x:v>
      </x:c>
      <x:c r="S950" s="87" t="n">
        <x:f>'Raw Sales'!K950</x:f>
        <x:v>0</x:v>
      </x:c>
      <x:c r="T950" s="93" t="n">
        <x:f>P950*R950</x:f>
        <x:v>162</x:v>
      </x:c>
      <x:c r="U950" s="93" t="n">
        <x:f>T950*S950</x:f>
        <x:v>0</x:v>
      </x:c>
      <x:c r="V950" s="93" t="str">
        <x:f>PROPER(TRIM('Raw Sales'!L950))</x:f>
        <x:v>Completed</x:v>
      </x:c>
      <x:c r="W950" s="93" t="n">
        <x:f>IF(V950="Returned",0,T950-U950)</x:f>
        <x:v>162</x:v>
      </x:c>
      <x:c r="X950" s="93" t="n">
        <x:f>IF(V950="Returned",Q950*R950*10%,Q950*R950)</x:f>
        <x:v>75</x:v>
      </x:c>
      <x:c r="Y950" s="93" t="n">
        <x:f>W950-X950</x:f>
        <x:v>87</x:v>
      </x:c>
      <x:c r="Z950" s="94" t="n">
        <x:f>IFERROR(Y950/W950,0)</x:f>
        <x:v>0.5370370370370371</x:v>
      </x:c>
      <x:c r="AA950" s="84" t="str">
        <x:f>PROPER(TRIM('Raw Sales'!M950))</x:f>
        <x:v>Debit Card</x:v>
      </x:c>
      <x:c r="AB950" s="84" t="str">
        <x:f>PROPER(TRIM('Raw Sales'!N950))</x:f>
        <x:v>Sofia Bennett</x:v>
      </x:c>
      <x:c r="AC950" s="85" t="n">
        <x:f>'Raw Sales'!O950</x:f>
        <x:v>45619</x:v>
      </x:c>
      <x:c r="AD950" s="84" t="n">
        <x:f>AC950-B950</x:f>
        <x:v>3</x:v>
      </x:c>
      <x:c r="AE950" s="84" t="str">
        <x:f>IF(COUNTIF($A$5:A950,A950)&gt;1,"Duplicate","Keep")</x:f>
        <x:v>Keep</x:v>
      </x:c>
      <x:c r="AF950" s="84" t="str">
        <x:f>IF(OR(R950&lt;=0,AC950&lt;B950,H950="Unknown",M950="Unknown Product"),"Review","Valid")</x:f>
        <x:v>Valid</x:v>
      </x:c>
      <x:c r="AG950" s="84" t="n">
        <x:f>IF(AND(AE950="Keep",AF950="Valid"),1,0)</x:f>
        <x:v>1</x:v>
      </x:c>
      <x:c r="AH950" s="84" t="n">
        <x:f>IF(AND(AG950=1,OR('Dashboard'!$B$4="All",I950='Dashboard'!$B$4),OR('Dashboard'!$E$4="All",N950='Dashboard'!$E$4),OR('Dashboard'!$H$4="All",K950='Dashboard'!$H$4),OR('Dashboard'!$K$4="All",C950='Dashboard'!$K$4)),1,0)</x:f>
        <x:v>1</x:v>
      </x:c>
      <x:c r="AI950" s="84" t="n">
        <x:f>IF(AND(AG950=1,OR('Dashboard'!$B$4="All",I950='Dashboard'!$B$4),OR('Dashboard'!$E$4="All",N950='Dashboard'!$E$4),OR('Dashboard'!$H$4="All",K950='Dashboard'!$H$4)),1,0)</x:f>
        <x:v>1</x:v>
      </x:c>
    </x:row>
    <x:row r="951">
      <x:c r="A951" s="84" t="str">
        <x:f>'Raw Sales'!A951</x:f>
        <x:v>ORD-2024-01079</x:v>
      </x:c>
      <x:c r="B951" s="85" t="n">
        <x:f>'Raw Sales'!B951</x:f>
        <x:v>45616</x:v>
      </x:c>
      <x:c r="C951" s="84" t="n">
        <x:f>YEAR(B951)</x:f>
        <x:v>2024</x:v>
      </x:c>
      <x:c r="D951" s="91" t="n">
        <x:f>DATE(YEAR(B951),MONTH(B951),1)</x:f>
        <x:v>45597</x:v>
      </x:c>
      <x:c r="E951" s="84" t="str">
        <x:f>TEXT(B951,"mmm")</x:f>
        <x:v>Nov</x:v>
      </x:c>
      <x:c r="F951" s="84" t="str">
        <x:f>'Raw Sales'!C951</x:f>
        <x:v>CUST-0074</x:v>
      </x:c>
      <x:c r="G951" s="84" t="str">
        <x:f>PROPER(TRIM('Raw Sales'!D951))</x:f>
        <x:v>Grace Taylor</x:v>
      </x:c>
      <x:c r="H951" s="84" t="str">
        <x:f>IF(TRIM('Raw Sales'!E951)="","Unknown",PROPER(TRIM('Raw Sales'!E951)))</x:f>
        <x:v>Consumer</x:v>
      </x:c>
      <x:c r="I951" s="84" t="str">
        <x:f>PROPER(TRIM('Raw Sales'!F951))</x:f>
        <x:v>West</x:v>
      </x:c>
      <x:c r="J951" s="84" t="str">
        <x:f>PROPER(TRIM('Raw Sales'!G951))</x:f>
        <x:v>Seattle</x:v>
      </x:c>
      <x:c r="K951" s="84" t="str">
        <x:f>PROPER(TRIM('Raw Sales'!H951))</x:f>
        <x:v>Marketplace</x:v>
      </x:c>
      <x:c r="L951" s="84" t="str">
        <x:f>'Raw Sales'!I951</x:f>
        <x:v>CARE-001</x:v>
      </x:c>
      <x:c r="M951" s="84" t="str">
        <x:f>IFERROR(VLOOKUP(L951,'Reference Data'!$A$5:$F$40,2,FALSE),"Unknown Product")</x:f>
        <x:v>Ionic Hair Dryer</x:v>
      </x:c>
      <x:c r="N951" s="84" t="str">
        <x:f>IFERROR(VLOOKUP(L951,'Reference Data'!$A$5:$F$40,3,FALSE),"Unknown")</x:f>
        <x:v>Personal Care</x:v>
      </x:c>
      <x:c r="O951" s="84" t="str">
        <x:f>IFERROR(VLOOKUP(L951,'Reference Data'!$A$5:$F$40,4,FALSE),"Unknown")</x:f>
        <x:v>Hair Care</x:v>
      </x:c>
      <x:c r="P951" s="92" t="n">
        <x:f>IFERROR(VLOOKUP(L951,'Reference Data'!$A$5:$F$40,5,FALSE),0)</x:f>
        <x:v>54</x:v>
      </x:c>
      <x:c r="Q951" s="92" t="n">
        <x:f>IFERROR(VLOOKUP(L951,'Reference Data'!$A$5:$F$40,6,FALSE),0)</x:f>
        <x:v>25</x:v>
      </x:c>
      <x:c r="R951" s="84" t="n">
        <x:f>'Raw Sales'!J951</x:f>
        <x:v>2</x:v>
      </x:c>
      <x:c r="S951" s="87" t="n">
        <x:f>'Raw Sales'!K951</x:f>
        <x:v>0</x:v>
      </x:c>
      <x:c r="T951" s="93" t="n">
        <x:f>P951*R951</x:f>
        <x:v>108</x:v>
      </x:c>
      <x:c r="U951" s="93" t="n">
        <x:f>T951*S951</x:f>
        <x:v>0</x:v>
      </x:c>
      <x:c r="V951" s="93" t="str">
        <x:f>PROPER(TRIM('Raw Sales'!L951))</x:f>
        <x:v>Completed</x:v>
      </x:c>
      <x:c r="W951" s="93" t="n">
        <x:f>IF(V951="Returned",0,T951-U951)</x:f>
        <x:v>108</x:v>
      </x:c>
      <x:c r="X951" s="93" t="n">
        <x:f>IF(V951="Returned",Q951*R951*10%,Q951*R951)</x:f>
        <x:v>50</x:v>
      </x:c>
      <x:c r="Y951" s="93" t="n">
        <x:f>W951-X951</x:f>
        <x:v>58</x:v>
      </x:c>
      <x:c r="Z951" s="94" t="n">
        <x:f>IFERROR(Y951/W951,0)</x:f>
        <x:v>0.5370370370370371</x:v>
      </x:c>
      <x:c r="AA951" s="84" t="str">
        <x:f>PROPER(TRIM('Raw Sales'!M951))</x:f>
        <x:v>Credit Card</x:v>
      </x:c>
      <x:c r="AB951" s="84" t="str">
        <x:f>PROPER(TRIM('Raw Sales'!N951))</x:f>
        <x:v>Mia Chen</x:v>
      </x:c>
      <x:c r="AC951" s="85" t="n">
        <x:f>'Raw Sales'!O951</x:f>
        <x:v>45621</x:v>
      </x:c>
      <x:c r="AD951" s="84" t="n">
        <x:f>AC951-B951</x:f>
        <x:v>5</x:v>
      </x:c>
      <x:c r="AE951" s="84" t="str">
        <x:f>IF(COUNTIF($A$5:A951,A951)&gt;1,"Duplicate","Keep")</x:f>
        <x:v>Keep</x:v>
      </x:c>
      <x:c r="AF951" s="84" t="str">
        <x:f>IF(OR(R951&lt;=0,AC951&lt;B951,H951="Unknown",M951="Unknown Product"),"Review","Valid")</x:f>
        <x:v>Valid</x:v>
      </x:c>
      <x:c r="AG951" s="84" t="n">
        <x:f>IF(AND(AE951="Keep",AF951="Valid"),1,0)</x:f>
        <x:v>1</x:v>
      </x:c>
      <x:c r="AH951" s="84" t="n">
        <x:f>IF(AND(AG951=1,OR('Dashboard'!$B$4="All",I951='Dashboard'!$B$4),OR('Dashboard'!$E$4="All",N951='Dashboard'!$E$4),OR('Dashboard'!$H$4="All",K951='Dashboard'!$H$4),OR('Dashboard'!$K$4="All",C951='Dashboard'!$K$4)),1,0)</x:f>
        <x:v>1</x:v>
      </x:c>
      <x:c r="AI951" s="84" t="n">
        <x:f>IF(AND(AG951=1,OR('Dashboard'!$B$4="All",I951='Dashboard'!$B$4),OR('Dashboard'!$E$4="All",N951='Dashboard'!$E$4),OR('Dashboard'!$H$4="All",K951='Dashboard'!$H$4)),1,0)</x:f>
        <x:v>1</x:v>
      </x:c>
    </x:row>
    <x:row r="952">
      <x:c r="A952" s="84" t="str">
        <x:f>'Raw Sales'!A952</x:f>
        <x:v>ORD-2024-01277</x:v>
      </x:c>
      <x:c r="B952" s="85" t="n">
        <x:f>'Raw Sales'!B952</x:f>
        <x:v>45616</x:v>
      </x:c>
      <x:c r="C952" s="84" t="n">
        <x:f>YEAR(B952)</x:f>
        <x:v>2024</x:v>
      </x:c>
      <x:c r="D952" s="91" t="n">
        <x:f>DATE(YEAR(B952),MONTH(B952),1)</x:f>
        <x:v>45597</x:v>
      </x:c>
      <x:c r="E952" s="84" t="str">
        <x:f>TEXT(B952,"mmm")</x:f>
        <x:v>Nov</x:v>
      </x:c>
      <x:c r="F952" s="84" t="str">
        <x:f>'Raw Sales'!C952</x:f>
        <x:v>CUST-0119</x:v>
      </x:c>
      <x:c r="G952" s="84" t="str">
        <x:f>PROPER(TRIM('Raw Sales'!D952))</x:f>
        <x:v>Grace Nelson</x:v>
      </x:c>
      <x:c r="H952" s="84" t="str">
        <x:f>IF(TRIM('Raw Sales'!E952)="","Unknown",PROPER(TRIM('Raw Sales'!E952)))</x:f>
        <x:v>Small Business</x:v>
      </x:c>
      <x:c r="I952" s="84" t="str">
        <x:f>PROPER(TRIM('Raw Sales'!F952))</x:f>
        <x:v>West</x:v>
      </x:c>
      <x:c r="J952" s="84" t="str">
        <x:f>PROPER(TRIM('Raw Sales'!G952))</x:f>
        <x:v>Denver</x:v>
      </x:c>
      <x:c r="K952" s="84" t="str">
        <x:f>PROPER(TRIM('Raw Sales'!H952))</x:f>
        <x:v>Marketplace</x:v>
      </x:c>
      <x:c r="L952" s="84" t="str">
        <x:f>'Raw Sales'!I952</x:f>
        <x:v>FITN-004</x:v>
      </x:c>
      <x:c r="M952" s="84" t="str">
        <x:f>IFERROR(VLOOKUP(L952,'Reference Data'!$A$5:$F$40,2,FALSE),"Unknown Product")</x:f>
        <x:v>Fitness Tracker</x:v>
      </x:c>
      <x:c r="N952" s="84" t="str">
        <x:f>IFERROR(VLOOKUP(L952,'Reference Data'!$A$5:$F$40,3,FALSE),"Unknown")</x:f>
        <x:v>Fitness</x:v>
      </x:c>
      <x:c r="O952" s="84" t="str">
        <x:f>IFERROR(VLOOKUP(L952,'Reference Data'!$A$5:$F$40,4,FALSE),"Unknown")</x:f>
        <x:v>Wearables</x:v>
      </x:c>
      <x:c r="P952" s="92" t="n">
        <x:f>IFERROR(VLOOKUP(L952,'Reference Data'!$A$5:$F$40,5,FALSE),0)</x:f>
        <x:v>89</x:v>
      </x:c>
      <x:c r="Q952" s="92" t="n">
        <x:f>IFERROR(VLOOKUP(L952,'Reference Data'!$A$5:$F$40,6,FALSE),0)</x:f>
        <x:v>44</x:v>
      </x:c>
      <x:c r="R952" s="84" t="n">
        <x:f>'Raw Sales'!J952</x:f>
        <x:v>1</x:v>
      </x:c>
      <x:c r="S952" s="87" t="n">
        <x:f>'Raw Sales'!K952</x:f>
        <x:v>0.15</x:v>
      </x:c>
      <x:c r="T952" s="93" t="n">
        <x:f>P952*R952</x:f>
        <x:v>89</x:v>
      </x:c>
      <x:c r="U952" s="93" t="n">
        <x:f>T952*S952</x:f>
        <x:v>13.35</x:v>
      </x:c>
      <x:c r="V952" s="93" t="str">
        <x:f>PROPER(TRIM('Raw Sales'!L952))</x:f>
        <x:v>Completed</x:v>
      </x:c>
      <x:c r="W952" s="93" t="n">
        <x:f>IF(V952="Returned",0,T952-U952)</x:f>
        <x:v>75.65</x:v>
      </x:c>
      <x:c r="X952" s="93" t="n">
        <x:f>IF(V952="Returned",Q952*R952*10%,Q952*R952)</x:f>
        <x:v>44</x:v>
      </x:c>
      <x:c r="Y952" s="93" t="n">
        <x:f>W952-X952</x:f>
        <x:v>31.650000000000006</x:v>
      </x:c>
      <x:c r="Z952" s="94" t="n">
        <x:f>IFERROR(Y952/W952,0)</x:f>
        <x:v>0.4183740912095176</x:v>
      </x:c>
      <x:c r="AA952" s="84" t="str">
        <x:f>PROPER(TRIM('Raw Sales'!M952))</x:f>
        <x:v>Credit Card</x:v>
      </x:c>
      <x:c r="AB952" s="84" t="str">
        <x:f>PROPER(TRIM('Raw Sales'!N952))</x:f>
        <x:v>Nora Kim</x:v>
      </x:c>
      <x:c r="AC952" s="85" t="n">
        <x:f>'Raw Sales'!O952</x:f>
        <x:v>45621</x:v>
      </x:c>
      <x:c r="AD952" s="84" t="n">
        <x:f>AC952-B952</x:f>
        <x:v>5</x:v>
      </x:c>
      <x:c r="AE952" s="84" t="str">
        <x:f>IF(COUNTIF($A$5:A952,A952)&gt;1,"Duplicate","Keep")</x:f>
        <x:v>Keep</x:v>
      </x:c>
      <x:c r="AF952" s="84" t="str">
        <x:f>IF(OR(R952&lt;=0,AC952&lt;B952,H952="Unknown",M952="Unknown Product"),"Review","Valid")</x:f>
        <x:v>Valid</x:v>
      </x:c>
      <x:c r="AG952" s="84" t="n">
        <x:f>IF(AND(AE952="Keep",AF952="Valid"),1,0)</x:f>
        <x:v>1</x:v>
      </x:c>
      <x:c r="AH952" s="84" t="n">
        <x:f>IF(AND(AG952=1,OR('Dashboard'!$B$4="All",I952='Dashboard'!$B$4),OR('Dashboard'!$E$4="All",N952='Dashboard'!$E$4),OR('Dashboard'!$H$4="All",K952='Dashboard'!$H$4),OR('Dashboard'!$K$4="All",C952='Dashboard'!$K$4)),1,0)</x:f>
        <x:v>1</x:v>
      </x:c>
      <x:c r="AI952" s="84" t="n">
        <x:f>IF(AND(AG952=1,OR('Dashboard'!$B$4="All",I952='Dashboard'!$B$4),OR('Dashboard'!$E$4="All",N952='Dashboard'!$E$4),OR('Dashboard'!$H$4="All",K952='Dashboard'!$H$4)),1,0)</x:f>
        <x:v>1</x:v>
      </x:c>
    </x:row>
    <x:row r="953">
      <x:c r="A953" s="84" t="str">
        <x:f>'Raw Sales'!A953</x:f>
        <x:v>ORD-2024-01599</x:v>
      </x:c>
      <x:c r="B953" s="85" t="n">
        <x:f>'Raw Sales'!B953</x:f>
        <x:v>45616</x:v>
      </x:c>
      <x:c r="C953" s="84" t="n">
        <x:f>YEAR(B953)</x:f>
        <x:v>2024</x:v>
      </x:c>
      <x:c r="D953" s="91" t="n">
        <x:f>DATE(YEAR(B953),MONTH(B953),1)</x:f>
        <x:v>45597</x:v>
      </x:c>
      <x:c r="E953" s="84" t="str">
        <x:f>TEXT(B953,"mmm")</x:f>
        <x:v>Nov</x:v>
      </x:c>
      <x:c r="F953" s="84" t="str">
        <x:f>'Raw Sales'!C953</x:f>
        <x:v>CUST-0461</x:v>
      </x:c>
      <x:c r="G953" s="84" t="str">
        <x:f>PROPER(TRIM('Raw Sales'!D953))</x:f>
        <x:v>Nina Irwin</x:v>
      </x:c>
      <x:c r="H953" s="84" t="str">
        <x:f>IF(TRIM('Raw Sales'!E953)="","Unknown",PROPER(TRIM('Raw Sales'!E953)))</x:f>
        <x:v>Corporate</x:v>
      </x:c>
      <x:c r="I953" s="84" t="str">
        <x:f>PROPER(TRIM('Raw Sales'!F953))</x:f>
        <x:v>Southeast</x:v>
      </x:c>
      <x:c r="J953" s="84" t="str">
        <x:f>PROPER(TRIM('Raw Sales'!G953))</x:f>
        <x:v>Miami</x:v>
      </x:c>
      <x:c r="K953" s="84" t="str">
        <x:f>PROPER(TRIM('Raw Sales'!H953))</x:f>
        <x:v>Retail Store</x:v>
      </x:c>
      <x:c r="L953" s="84" t="str">
        <x:f>'Raw Sales'!I953</x:f>
        <x:v>HOME-004</x:v>
      </x:c>
      <x:c r="M953" s="84" t="str">
        <x:f>IFERROR(VLOOKUP(L953,'Reference Data'!$A$5:$F$40,2,FALSE),"Unknown Product")</x:f>
        <x:v>Coffee Maker</x:v>
      </x:c>
      <x:c r="N953" s="84" t="str">
        <x:f>IFERROR(VLOOKUP(L953,'Reference Data'!$A$5:$F$40,3,FALSE),"Unknown")</x:f>
        <x:v>Home &amp; Kitchen</x:v>
      </x:c>
      <x:c r="O953" s="84" t="str">
        <x:f>IFERROR(VLOOKUP(L953,'Reference Data'!$A$5:$F$40,4,FALSE),"Unknown")</x:f>
        <x:v>Small Appliances</x:v>
      </x:c>
      <x:c r="P953" s="92" t="n">
        <x:f>IFERROR(VLOOKUP(L953,'Reference Data'!$A$5:$F$40,5,FALSE),0)</x:f>
        <x:v>99</x:v>
      </x:c>
      <x:c r="Q953" s="92" t="n">
        <x:f>IFERROR(VLOOKUP(L953,'Reference Data'!$A$5:$F$40,6,FALSE),0)</x:f>
        <x:v>51</x:v>
      </x:c>
      <x:c r="R953" s="84" t="n">
        <x:f>'Raw Sales'!J953</x:f>
        <x:v>2</x:v>
      </x:c>
      <x:c r="S953" s="87" t="n">
        <x:f>'Raw Sales'!K953</x:f>
        <x:v>0.15</x:v>
      </x:c>
      <x:c r="T953" s="93" t="n">
        <x:f>P953*R953</x:f>
        <x:v>198</x:v>
      </x:c>
      <x:c r="U953" s="93" t="n">
        <x:f>T953*S953</x:f>
        <x:v>29.7</x:v>
      </x:c>
      <x:c r="V953" s="93" t="str">
        <x:f>PROPER(TRIM('Raw Sales'!L953))</x:f>
        <x:v>Completed</x:v>
      </x:c>
      <x:c r="W953" s="93" t="n">
        <x:f>IF(V953="Returned",0,T953-U953)</x:f>
        <x:v>168.3</x:v>
      </x:c>
      <x:c r="X953" s="93" t="n">
        <x:f>IF(V953="Returned",Q953*R953*10%,Q953*R953)</x:f>
        <x:v>102</x:v>
      </x:c>
      <x:c r="Y953" s="93" t="n">
        <x:f>W953-X953</x:f>
        <x:v>66.30000000000001</x:v>
      </x:c>
      <x:c r="Z953" s="94" t="n">
        <x:f>IFERROR(Y953/W953,0)</x:f>
        <x:v>0.393939393939394</x:v>
      </x:c>
      <x:c r="AA953" s="84" t="str">
        <x:f>PROPER(TRIM('Raw Sales'!M953))</x:f>
        <x:v>Debit Card</x:v>
      </x:c>
      <x:c r="AB953" s="84" t="str">
        <x:f>PROPER(TRIM('Raw Sales'!N953))</x:f>
        <x:v>Noah Reed</x:v>
      </x:c>
      <x:c r="AC953" s="85" t="n">
        <x:f>'Raw Sales'!O953</x:f>
        <x:v>45617</x:v>
      </x:c>
      <x:c r="AD953" s="84" t="n">
        <x:f>AC953-B953</x:f>
        <x:v>1</x:v>
      </x:c>
      <x:c r="AE953" s="84" t="str">
        <x:f>IF(COUNTIF($A$5:A953,A953)&gt;1,"Duplicate","Keep")</x:f>
        <x:v>Keep</x:v>
      </x:c>
      <x:c r="AF953" s="84" t="str">
        <x:f>IF(OR(R953&lt;=0,AC953&lt;B953,H953="Unknown",M953="Unknown Product"),"Review","Valid")</x:f>
        <x:v>Valid</x:v>
      </x:c>
      <x:c r="AG953" s="84" t="n">
        <x:f>IF(AND(AE953="Keep",AF953="Valid"),1,0)</x:f>
        <x:v>1</x:v>
      </x:c>
      <x:c r="AH953" s="84" t="n">
        <x:f>IF(AND(AG953=1,OR('Dashboard'!$B$4="All",I953='Dashboard'!$B$4),OR('Dashboard'!$E$4="All",N953='Dashboard'!$E$4),OR('Dashboard'!$H$4="All",K953='Dashboard'!$H$4),OR('Dashboard'!$K$4="All",C953='Dashboard'!$K$4)),1,0)</x:f>
        <x:v>1</x:v>
      </x:c>
      <x:c r="AI953" s="84" t="n">
        <x:f>IF(AND(AG953=1,OR('Dashboard'!$B$4="All",I953='Dashboard'!$B$4),OR('Dashboard'!$E$4="All",N953='Dashboard'!$E$4),OR('Dashboard'!$H$4="All",K953='Dashboard'!$H$4)),1,0)</x:f>
        <x:v>1</x:v>
      </x:c>
    </x:row>
    <x:row r="954">
      <x:c r="A954" s="84" t="str">
        <x:f>'Raw Sales'!A954</x:f>
        <x:v>ORD-2024-02237</x:v>
      </x:c>
      <x:c r="B954" s="85" t="n">
        <x:f>'Raw Sales'!B954</x:f>
        <x:v>45616</x:v>
      </x:c>
      <x:c r="C954" s="84" t="n">
        <x:f>YEAR(B954)</x:f>
        <x:v>2024</x:v>
      </x:c>
      <x:c r="D954" s="91" t="n">
        <x:f>DATE(YEAR(B954),MONTH(B954),1)</x:f>
        <x:v>45597</x:v>
      </x:c>
      <x:c r="E954" s="84" t="str">
        <x:f>TEXT(B954,"mmm")</x:f>
        <x:v>Nov</x:v>
      </x:c>
      <x:c r="F954" s="84" t="str">
        <x:f>'Raw Sales'!C954</x:f>
        <x:v>CUST-0156</x:v>
      </x:c>
      <x:c r="G954" s="84" t="str">
        <x:f>PROPER(TRIM('Raw Sales'!D954))</x:f>
        <x:v>Nina Ortiz</x:v>
      </x:c>
      <x:c r="H954" s="84" t="str">
        <x:f>IF(TRIM('Raw Sales'!E954)="","Unknown",PROPER(TRIM('Raw Sales'!E954)))</x:f>
        <x:v>Consumer</x:v>
      </x:c>
      <x:c r="I954" s="84" t="str">
        <x:f>PROPER(TRIM('Raw Sales'!F954))</x:f>
        <x:v>Southeast</x:v>
      </x:c>
      <x:c r="J954" s="84" t="str">
        <x:f>PROPER(TRIM('Raw Sales'!G954))</x:f>
        <x:v>Charlotte</x:v>
      </x:c>
      <x:c r="K954" s="84" t="str">
        <x:f>PROPER(TRIM('Raw Sales'!H954))</x:f>
        <x:v>Retail Store</x:v>
      </x:c>
      <x:c r="L954" s="84" t="str">
        <x:f>'Raw Sales'!I954</x:f>
        <x:v>FITN-001</x:v>
      </x:c>
      <x:c r="M954" s="84" t="str">
        <x:f>IFERROR(VLOOKUP(L954,'Reference Data'!$A$5:$F$40,2,FALSE),"Unknown Product")</x:f>
        <x:v>Yoga Mat</x:v>
      </x:c>
      <x:c r="N954" s="84" t="str">
        <x:f>IFERROR(VLOOKUP(L954,'Reference Data'!$A$5:$F$40,3,FALSE),"Unknown")</x:f>
        <x:v>Fitness</x:v>
      </x:c>
      <x:c r="O954" s="84" t="str">
        <x:f>IFERROR(VLOOKUP(L954,'Reference Data'!$A$5:$F$40,4,FALSE),"Unknown")</x:f>
        <x:v>Yoga</x:v>
      </x:c>
      <x:c r="P954" s="92" t="n">
        <x:f>IFERROR(VLOOKUP(L954,'Reference Data'!$A$5:$F$40,5,FALSE),0)</x:f>
        <x:v>35</x:v>
      </x:c>
      <x:c r="Q954" s="92" t="n">
        <x:f>IFERROR(VLOOKUP(L954,'Reference Data'!$A$5:$F$40,6,FALSE),0)</x:f>
        <x:v>13</x:v>
      </x:c>
      <x:c r="R954" s="84" t="n">
        <x:f>'Raw Sales'!J954</x:f>
        <x:v>2</x:v>
      </x:c>
      <x:c r="S954" s="87" t="n">
        <x:f>'Raw Sales'!K954</x:f>
        <x:v>0.15</x:v>
      </x:c>
      <x:c r="T954" s="93" t="n">
        <x:f>P954*R954</x:f>
        <x:v>70</x:v>
      </x:c>
      <x:c r="U954" s="93" t="n">
        <x:f>T954*S954</x:f>
        <x:v>10.5</x:v>
      </x:c>
      <x:c r="V954" s="93" t="str">
        <x:f>PROPER(TRIM('Raw Sales'!L954))</x:f>
        <x:v>Completed</x:v>
      </x:c>
      <x:c r="W954" s="93" t="n">
        <x:f>IF(V954="Returned",0,T954-U954)</x:f>
        <x:v>59.5</x:v>
      </x:c>
      <x:c r="X954" s="93" t="n">
        <x:f>IF(V954="Returned",Q954*R954*10%,Q954*R954)</x:f>
        <x:v>26</x:v>
      </x:c>
      <x:c r="Y954" s="93" t="n">
        <x:f>W954-X954</x:f>
        <x:v>33.5</x:v>
      </x:c>
      <x:c r="Z954" s="94" t="n">
        <x:f>IFERROR(Y954/W954,0)</x:f>
        <x:v>0.5630252100840336</x:v>
      </x:c>
      <x:c r="AA954" s="84" t="str">
        <x:f>PROPER(TRIM('Raw Sales'!M954))</x:f>
        <x:v>Cash</x:v>
      </x:c>
      <x:c r="AB954" s="84" t="str">
        <x:f>PROPER(TRIM('Raw Sales'!N954))</x:f>
        <x:v>Ava Mitchell</x:v>
      </x:c>
      <x:c r="AC954" s="85" t="n">
        <x:f>'Raw Sales'!O954</x:f>
        <x:v>45616</x:v>
      </x:c>
      <x:c r="AD954" s="84" t="n">
        <x:f>AC954-B954</x:f>
        <x:v>0</x:v>
      </x:c>
      <x:c r="AE954" s="84" t="str">
        <x:f>IF(COUNTIF($A$5:A954,A954)&gt;1,"Duplicate","Keep")</x:f>
        <x:v>Keep</x:v>
      </x:c>
      <x:c r="AF954" s="84" t="str">
        <x:f>IF(OR(R954&lt;=0,AC954&lt;B954,H954="Unknown",M954="Unknown Product"),"Review","Valid")</x:f>
        <x:v>Valid</x:v>
      </x:c>
      <x:c r="AG954" s="84" t="n">
        <x:f>IF(AND(AE954="Keep",AF954="Valid"),1,0)</x:f>
        <x:v>1</x:v>
      </x:c>
      <x:c r="AH954" s="84" t="n">
        <x:f>IF(AND(AG954=1,OR('Dashboard'!$B$4="All",I954='Dashboard'!$B$4),OR('Dashboard'!$E$4="All",N954='Dashboard'!$E$4),OR('Dashboard'!$H$4="All",K954='Dashboard'!$H$4),OR('Dashboard'!$K$4="All",C954='Dashboard'!$K$4)),1,0)</x:f>
        <x:v>1</x:v>
      </x:c>
      <x:c r="AI954" s="84" t="n">
        <x:f>IF(AND(AG954=1,OR('Dashboard'!$B$4="All",I954='Dashboard'!$B$4),OR('Dashboard'!$E$4="All",N954='Dashboard'!$E$4),OR('Dashboard'!$H$4="All",K954='Dashboard'!$H$4)),1,0)</x:f>
        <x:v>1</x:v>
      </x:c>
    </x:row>
    <x:row r="955">
      <x:c r="A955" s="84" t="str">
        <x:f>'Raw Sales'!A955</x:f>
        <x:v>ORD-2024-02322</x:v>
      </x:c>
      <x:c r="B955" s="85" t="n">
        <x:f>'Raw Sales'!B955</x:f>
        <x:v>45616</x:v>
      </x:c>
      <x:c r="C955" s="84" t="n">
        <x:f>YEAR(B955)</x:f>
        <x:v>2024</x:v>
      </x:c>
      <x:c r="D955" s="91" t="n">
        <x:f>DATE(YEAR(B955),MONTH(B955),1)</x:f>
        <x:v>45597</x:v>
      </x:c>
      <x:c r="E955" s="84" t="str">
        <x:f>TEXT(B955,"mmm")</x:f>
        <x:v>Nov</x:v>
      </x:c>
      <x:c r="F955" s="84" t="str">
        <x:f>'Raw Sales'!C955</x:f>
        <x:v>CUST-0103</x:v>
      </x:c>
      <x:c r="G955" s="84" t="str">
        <x:f>PROPER(TRIM('Raw Sales'!D955))</x:f>
        <x:v>Layla Garcia</x:v>
      </x:c>
      <x:c r="H955" s="84" t="str">
        <x:f>IF(TRIM('Raw Sales'!E955)="","Unknown",PROPER(TRIM('Raw Sales'!E955)))</x:f>
        <x:v>Consumer</x:v>
      </x:c>
      <x:c r="I955" s="84" t="str">
        <x:f>PROPER(TRIM('Raw Sales'!F955))</x:f>
        <x:v>Southeast</x:v>
      </x:c>
      <x:c r="J955" s="84" t="str">
        <x:f>PROPER(TRIM('Raw Sales'!G955))</x:f>
        <x:v>Atlanta</x:v>
      </x:c>
      <x:c r="K955" s="84" t="str">
        <x:f>PROPER(TRIM('Raw Sales'!H955))</x:f>
        <x:v>Retail Store</x:v>
      </x:c>
      <x:c r="L955" s="84" t="str">
        <x:f>'Raw Sales'!I955</x:f>
        <x:v>HOME-004</x:v>
      </x:c>
      <x:c r="M955" s="84" t="str">
        <x:f>IFERROR(VLOOKUP(L955,'Reference Data'!$A$5:$F$40,2,FALSE),"Unknown Product")</x:f>
        <x:v>Coffee Maker</x:v>
      </x:c>
      <x:c r="N955" s="84" t="str">
        <x:f>IFERROR(VLOOKUP(L955,'Reference Data'!$A$5:$F$40,3,FALSE),"Unknown")</x:f>
        <x:v>Home &amp; Kitchen</x:v>
      </x:c>
      <x:c r="O955" s="84" t="str">
        <x:f>IFERROR(VLOOKUP(L955,'Reference Data'!$A$5:$F$40,4,FALSE),"Unknown")</x:f>
        <x:v>Small Appliances</x:v>
      </x:c>
      <x:c r="P955" s="92" t="n">
        <x:f>IFERROR(VLOOKUP(L955,'Reference Data'!$A$5:$F$40,5,FALSE),0)</x:f>
        <x:v>99</x:v>
      </x:c>
      <x:c r="Q955" s="92" t="n">
        <x:f>IFERROR(VLOOKUP(L955,'Reference Data'!$A$5:$F$40,6,FALSE),0)</x:f>
        <x:v>51</x:v>
      </x:c>
      <x:c r="R955" s="84" t="n">
        <x:f>'Raw Sales'!J955</x:f>
        <x:v>3</x:v>
      </x:c>
      <x:c r="S955" s="87" t="n">
        <x:f>'Raw Sales'!K955</x:f>
        <x:v>0.2</x:v>
      </x:c>
      <x:c r="T955" s="93" t="n">
        <x:f>P955*R955</x:f>
        <x:v>297</x:v>
      </x:c>
      <x:c r="U955" s="93" t="n">
        <x:f>T955*S955</x:f>
        <x:v>59.400000000000006</x:v>
      </x:c>
      <x:c r="V955" s="93" t="str">
        <x:f>PROPER(TRIM('Raw Sales'!L955))</x:f>
        <x:v>Completed</x:v>
      </x:c>
      <x:c r="W955" s="93" t="n">
        <x:f>IF(V955="Returned",0,T955-U955)</x:f>
        <x:v>237.6</x:v>
      </x:c>
      <x:c r="X955" s="93" t="n">
        <x:f>IF(V955="Returned",Q955*R955*10%,Q955*R955)</x:f>
        <x:v>153</x:v>
      </x:c>
      <x:c r="Y955" s="93" t="n">
        <x:f>W955-X955</x:f>
        <x:v>84.6</x:v>
      </x:c>
      <x:c r="Z955" s="94" t="n">
        <x:f>IFERROR(Y955/W955,0)</x:f>
        <x:v>0.356060606060606</x:v>
      </x:c>
      <x:c r="AA955" s="84" t="str">
        <x:f>PROPER(TRIM('Raw Sales'!M955))</x:f>
        <x:v>Mobile Wallet</x:v>
      </x:c>
      <x:c r="AB955" s="84" t="str">
        <x:f>PROPER(TRIM('Raw Sales'!N955))</x:f>
        <x:v>Noah Reed</x:v>
      </x:c>
      <x:c r="AC955" s="85" t="n">
        <x:f>'Raw Sales'!O955</x:f>
        <x:v>45616</x:v>
      </x:c>
      <x:c r="AD955" s="84" t="n">
        <x:f>AC955-B955</x:f>
        <x:v>0</x:v>
      </x:c>
      <x:c r="AE955" s="84" t="str">
        <x:f>IF(COUNTIF($A$5:A955,A955)&gt;1,"Duplicate","Keep")</x:f>
        <x:v>Keep</x:v>
      </x:c>
      <x:c r="AF955" s="84" t="str">
        <x:f>IF(OR(R955&lt;=0,AC955&lt;B955,H955="Unknown",M955="Unknown Product"),"Review","Valid")</x:f>
        <x:v>Valid</x:v>
      </x:c>
      <x:c r="AG955" s="84" t="n">
        <x:f>IF(AND(AE955="Keep",AF955="Valid"),1,0)</x:f>
        <x:v>1</x:v>
      </x:c>
      <x:c r="AH955" s="84" t="n">
        <x:f>IF(AND(AG955=1,OR('Dashboard'!$B$4="All",I955='Dashboard'!$B$4),OR('Dashboard'!$E$4="All",N955='Dashboard'!$E$4),OR('Dashboard'!$H$4="All",K955='Dashboard'!$H$4),OR('Dashboard'!$K$4="All",C955='Dashboard'!$K$4)),1,0)</x:f>
        <x:v>1</x:v>
      </x:c>
      <x:c r="AI955" s="84" t="n">
        <x:f>IF(AND(AG955=1,OR('Dashboard'!$B$4="All",I955='Dashboard'!$B$4),OR('Dashboard'!$E$4="All",N955='Dashboard'!$E$4),OR('Dashboard'!$H$4="All",K955='Dashboard'!$H$4)),1,0)</x:f>
        <x:v>1</x:v>
      </x:c>
    </x:row>
    <x:row r="956">
      <x:c r="A956" s="84" t="str">
        <x:f>'Raw Sales'!A956</x:f>
        <x:v>ORD-2024-00352</x:v>
      </x:c>
      <x:c r="B956" s="85" t="n">
        <x:f>'Raw Sales'!B956</x:f>
        <x:v>45617</x:v>
      </x:c>
      <x:c r="C956" s="84" t="n">
        <x:f>YEAR(B956)</x:f>
        <x:v>2024</x:v>
      </x:c>
      <x:c r="D956" s="91" t="n">
        <x:f>DATE(YEAR(B956),MONTH(B956),1)</x:f>
        <x:v>45597</x:v>
      </x:c>
      <x:c r="E956" s="84" t="str">
        <x:f>TEXT(B956,"mmm")</x:f>
        <x:v>Nov</x:v>
      </x:c>
      <x:c r="F956" s="84" t="str">
        <x:f>'Raw Sales'!C956</x:f>
        <x:v>CUST-0386</x:v>
      </x:c>
      <x:c r="G956" s="84" t="str">
        <x:f>PROPER(TRIM('Raw Sales'!D956))</x:f>
        <x:v>Marcus Foster</x:v>
      </x:c>
      <x:c r="H956" s="84" t="str">
        <x:f>IF(TRIM('Raw Sales'!E956)="","Unknown",PROPER(TRIM('Raw Sales'!E956)))</x:f>
        <x:v>Small Business</x:v>
      </x:c>
      <x:c r="I956" s="84" t="str">
        <x:f>PROPER(TRIM('Raw Sales'!F956))</x:f>
        <x:v>Southeast</x:v>
      </x:c>
      <x:c r="J956" s="84" t="str">
        <x:f>PROPER(TRIM('Raw Sales'!G956))</x:f>
        <x:v>Miami</x:v>
      </x:c>
      <x:c r="K956" s="84" t="str">
        <x:f>PROPER(TRIM('Raw Sales'!H956))</x:f>
        <x:v>Marketplace</x:v>
      </x:c>
      <x:c r="L956" s="84" t="str">
        <x:f>'Raw Sales'!I956</x:f>
        <x:v>CARE-003</x:v>
      </x:c>
      <x:c r="M956" s="84" t="str">
        <x:f>IFERROR(VLOOKUP(L956,'Reference Data'!$A$5:$F$40,2,FALSE),"Unknown Product")</x:f>
        <x:v>Facial Cleanser</x:v>
      </x:c>
      <x:c r="N956" s="84" t="str">
        <x:f>IFERROR(VLOOKUP(L956,'Reference Data'!$A$5:$F$40,3,FALSE),"Unknown")</x:f>
        <x:v>Personal Care</x:v>
      </x:c>
      <x:c r="O956" s="84" t="str">
        <x:f>IFERROR(VLOOKUP(L956,'Reference Data'!$A$5:$F$40,4,FALSE),"Unknown")</x:f>
        <x:v>Skin Care</x:v>
      </x:c>
      <x:c r="P956" s="92" t="n">
        <x:f>IFERROR(VLOOKUP(L956,'Reference Data'!$A$5:$F$40,5,FALSE),0)</x:f>
        <x:v>18</x:v>
      </x:c>
      <x:c r="Q956" s="92" t="n">
        <x:f>IFERROR(VLOOKUP(L956,'Reference Data'!$A$5:$F$40,6,FALSE),0)</x:f>
        <x:v>6</x:v>
      </x:c>
      <x:c r="R956" s="84" t="n">
        <x:f>'Raw Sales'!J956</x:f>
        <x:v>1</x:v>
      </x:c>
      <x:c r="S956" s="87" t="n">
        <x:f>'Raw Sales'!K956</x:f>
        <x:v>0.05</x:v>
      </x:c>
      <x:c r="T956" s="93" t="n">
        <x:f>P956*R956</x:f>
        <x:v>18</x:v>
      </x:c>
      <x:c r="U956" s="93" t="n">
        <x:f>T956*S956</x:f>
        <x:v>0.9</x:v>
      </x:c>
      <x:c r="V956" s="93" t="str">
        <x:f>PROPER(TRIM('Raw Sales'!L956))</x:f>
        <x:v>Completed</x:v>
      </x:c>
      <x:c r="W956" s="93" t="n">
        <x:f>IF(V956="Returned",0,T956-U956)</x:f>
        <x:v>17.1</x:v>
      </x:c>
      <x:c r="X956" s="93" t="n">
        <x:f>IF(V956="Returned",Q956*R956*10%,Q956*R956)</x:f>
        <x:v>6</x:v>
      </x:c>
      <x:c r="Y956" s="93" t="n">
        <x:f>W956-X956</x:f>
        <x:v>11.100000000000001</x:v>
      </x:c>
      <x:c r="Z956" s="94" t="n">
        <x:f>IFERROR(Y956/W956,0)</x:f>
        <x:v>0.6491228070175439</x:v>
      </x:c>
      <x:c r="AA956" s="84" t="str">
        <x:f>PROPER(TRIM('Raw Sales'!M956))</x:f>
        <x:v>Credit Card</x:v>
      </x:c>
      <x:c r="AB956" s="84" t="str">
        <x:f>PROPER(TRIM('Raw Sales'!N956))</x:f>
        <x:v>Liam Parker</x:v>
      </x:c>
      <x:c r="AC956" s="85" t="n">
        <x:f>'Raw Sales'!O956</x:f>
        <x:v>45624</x:v>
      </x:c>
      <x:c r="AD956" s="84" t="n">
        <x:f>AC956-B956</x:f>
        <x:v>7</x:v>
      </x:c>
      <x:c r="AE956" s="84" t="str">
        <x:f>IF(COUNTIF($A$5:A956,A956)&gt;1,"Duplicate","Keep")</x:f>
        <x:v>Keep</x:v>
      </x:c>
      <x:c r="AF956" s="84" t="str">
        <x:f>IF(OR(R956&lt;=0,AC956&lt;B956,H956="Unknown",M956="Unknown Product"),"Review","Valid")</x:f>
        <x:v>Valid</x:v>
      </x:c>
      <x:c r="AG956" s="84" t="n">
        <x:f>IF(AND(AE956="Keep",AF956="Valid"),1,0)</x:f>
        <x:v>1</x:v>
      </x:c>
      <x:c r="AH956" s="84" t="n">
        <x:f>IF(AND(AG956=1,OR('Dashboard'!$B$4="All",I956='Dashboard'!$B$4),OR('Dashboard'!$E$4="All",N956='Dashboard'!$E$4),OR('Dashboard'!$H$4="All",K956='Dashboard'!$H$4),OR('Dashboard'!$K$4="All",C956='Dashboard'!$K$4)),1,0)</x:f>
        <x:v>1</x:v>
      </x:c>
      <x:c r="AI956" s="84" t="n">
        <x:f>IF(AND(AG956=1,OR('Dashboard'!$B$4="All",I956='Dashboard'!$B$4),OR('Dashboard'!$E$4="All",N956='Dashboard'!$E$4),OR('Dashboard'!$H$4="All",K956='Dashboard'!$H$4)),1,0)</x:f>
        <x:v>1</x:v>
      </x:c>
    </x:row>
    <x:row r="957">
      <x:c r="A957" s="84" t="str">
        <x:f>'Raw Sales'!A957</x:f>
        <x:v>ORD-2024-00464</x:v>
      </x:c>
      <x:c r="B957" s="85" t="n">
        <x:f>'Raw Sales'!B957</x:f>
        <x:v>45617</x:v>
      </x:c>
      <x:c r="C957" s="84" t="n">
        <x:f>YEAR(B957)</x:f>
        <x:v>2024</x:v>
      </x:c>
      <x:c r="D957" s="91" t="n">
        <x:f>DATE(YEAR(B957),MONTH(B957),1)</x:f>
        <x:v>45597</x:v>
      </x:c>
      <x:c r="E957" s="84" t="str">
        <x:f>TEXT(B957,"mmm")</x:f>
        <x:v>Nov</x:v>
      </x:c>
      <x:c r="F957" s="84" t="str">
        <x:f>'Raw Sales'!C957</x:f>
        <x:v>CUST-0194</x:v>
      </x:c>
      <x:c r="G957" s="84" t="str">
        <x:f>PROPER(TRIM('Raw Sales'!D957))</x:f>
        <x:v>Samuel Roberts</x:v>
      </x:c>
      <x:c r="H957" s="84" t="str">
        <x:f>IF(TRIM('Raw Sales'!E957)="","Unknown",PROPER(TRIM('Raw Sales'!E957)))</x:f>
        <x:v>Small Business</x:v>
      </x:c>
      <x:c r="I957" s="84" t="str">
        <x:f>PROPER(TRIM('Raw Sales'!F957))</x:f>
        <x:v>Southeast</x:v>
      </x:c>
      <x:c r="J957" s="84" t="str">
        <x:f>PROPER(TRIM('Raw Sales'!G957))</x:f>
        <x:v>Atlanta</x:v>
      </x:c>
      <x:c r="K957" s="84" t="str">
        <x:f>PROPER(TRIM('Raw Sales'!H957))</x:f>
        <x:v>Online</x:v>
      </x:c>
      <x:c r="L957" s="84" t="str">
        <x:f>'Raw Sales'!I957</x:f>
        <x:v>ELEC-006</x:v>
      </x:c>
      <x:c r="M957" s="84" t="str">
        <x:f>IFERROR(VLOOKUP(L957,'Reference Data'!$A$5:$F$40,2,FALSE),"Unknown Product")</x:f>
        <x:v>Portable SSD</x:v>
      </x:c>
      <x:c r="N957" s="84" t="str">
        <x:f>IFERROR(VLOOKUP(L957,'Reference Data'!$A$5:$F$40,3,FALSE),"Unknown")</x:f>
        <x:v>Electronics</x:v>
      </x:c>
      <x:c r="O957" s="84" t="str">
        <x:f>IFERROR(VLOOKUP(L957,'Reference Data'!$A$5:$F$40,4,FALSE),"Unknown")</x:f>
        <x:v>Storage</x:v>
      </x:c>
      <x:c r="P957" s="92" t="n">
        <x:f>IFERROR(VLOOKUP(L957,'Reference Data'!$A$5:$F$40,5,FALSE),0)</x:f>
        <x:v>129</x:v>
      </x:c>
      <x:c r="Q957" s="92" t="n">
        <x:f>IFERROR(VLOOKUP(L957,'Reference Data'!$A$5:$F$40,6,FALSE),0)</x:f>
        <x:v>75</x:v>
      </x:c>
      <x:c r="R957" s="84" t="n">
        <x:f>'Raw Sales'!J957</x:f>
        <x:v>1</x:v>
      </x:c>
      <x:c r="S957" s="87" t="n">
        <x:f>'Raw Sales'!K957</x:f>
        <x:v>0.15</x:v>
      </x:c>
      <x:c r="T957" s="93" t="n">
        <x:f>P957*R957</x:f>
        <x:v>129</x:v>
      </x:c>
      <x:c r="U957" s="93" t="n">
        <x:f>T957*S957</x:f>
        <x:v>19.349999999999998</x:v>
      </x:c>
      <x:c r="V957" s="93" t="str">
        <x:f>PROPER(TRIM('Raw Sales'!L957))</x:f>
        <x:v>Completed</x:v>
      </x:c>
      <x:c r="W957" s="93" t="n">
        <x:f>IF(V957="Returned",0,T957-U957)</x:f>
        <x:v>109.65</x:v>
      </x:c>
      <x:c r="X957" s="93" t="n">
        <x:f>IF(V957="Returned",Q957*R957*10%,Q957*R957)</x:f>
        <x:v>75</x:v>
      </x:c>
      <x:c r="Y957" s="93" t="n">
        <x:f>W957-X957</x:f>
        <x:v>34.650000000000006</x:v>
      </x:c>
      <x:c r="Z957" s="94" t="n">
        <x:f>IFERROR(Y957/W957,0)</x:f>
        <x:v>0.31600547195622436</x:v>
      </x:c>
      <x:c r="AA957" s="84" t="str">
        <x:f>PROPER(TRIM('Raw Sales'!M957))</x:f>
        <x:v>Credit Card</x:v>
      </x:c>
      <x:c r="AB957" s="84" t="str">
        <x:f>PROPER(TRIM('Raw Sales'!N957))</x:f>
        <x:v>Liam Parker</x:v>
      </x:c>
      <x:c r="AC957" s="85" t="n">
        <x:f>'Raw Sales'!O957</x:f>
        <x:v>45620</x:v>
      </x:c>
      <x:c r="AD957" s="84" t="n">
        <x:f>AC957-B957</x:f>
        <x:v>3</x:v>
      </x:c>
      <x:c r="AE957" s="84" t="str">
        <x:f>IF(COUNTIF($A$5:A957,A957)&gt;1,"Duplicate","Keep")</x:f>
        <x:v>Keep</x:v>
      </x:c>
      <x:c r="AF957" s="84" t="str">
        <x:f>IF(OR(R957&lt;=0,AC957&lt;B957,H957="Unknown",M957="Unknown Product"),"Review","Valid")</x:f>
        <x:v>Valid</x:v>
      </x:c>
      <x:c r="AG957" s="84" t="n">
        <x:f>IF(AND(AE957="Keep",AF957="Valid"),1,0)</x:f>
        <x:v>1</x:v>
      </x:c>
      <x:c r="AH957" s="84" t="n">
        <x:f>IF(AND(AG957=1,OR('Dashboard'!$B$4="All",I957='Dashboard'!$B$4),OR('Dashboard'!$E$4="All",N957='Dashboard'!$E$4),OR('Dashboard'!$H$4="All",K957='Dashboard'!$H$4),OR('Dashboard'!$K$4="All",C957='Dashboard'!$K$4)),1,0)</x:f>
        <x:v>1</x:v>
      </x:c>
      <x:c r="AI957" s="84" t="n">
        <x:f>IF(AND(AG957=1,OR('Dashboard'!$B$4="All",I957='Dashboard'!$B$4),OR('Dashboard'!$E$4="All",N957='Dashboard'!$E$4),OR('Dashboard'!$H$4="All",K957='Dashboard'!$H$4)),1,0)</x:f>
        <x:v>1</x:v>
      </x:c>
    </x:row>
    <x:row r="958">
      <x:c r="A958" s="84" t="str">
        <x:f>'Raw Sales'!A958</x:f>
        <x:v>ORD-2024-00691</x:v>
      </x:c>
      <x:c r="B958" s="85" t="n">
        <x:f>'Raw Sales'!B958</x:f>
        <x:v>45617</x:v>
      </x:c>
      <x:c r="C958" s="84" t="n">
        <x:f>YEAR(B958)</x:f>
        <x:v>2024</x:v>
      </x:c>
      <x:c r="D958" s="91" t="n">
        <x:f>DATE(YEAR(B958),MONTH(B958),1)</x:f>
        <x:v>45597</x:v>
      </x:c>
      <x:c r="E958" s="84" t="str">
        <x:f>TEXT(B958,"mmm")</x:f>
        <x:v>Nov</x:v>
      </x:c>
      <x:c r="F958" s="84" t="str">
        <x:f>'Raw Sales'!C958</x:f>
        <x:v>CUST-0196</x:v>
      </x:c>
      <x:c r="G958" s="84" t="str">
        <x:f>PROPER(TRIM('Raw Sales'!D958))</x:f>
        <x:v>Nina Baker</x:v>
      </x:c>
      <x:c r="H958" s="84" t="str">
        <x:f>IF(TRIM('Raw Sales'!E958)="","Unknown",PROPER(TRIM('Raw Sales'!E958)))</x:f>
        <x:v>Consumer</x:v>
      </x:c>
      <x:c r="I958" s="84" t="str">
        <x:f>PROPER(TRIM('Raw Sales'!F958))</x:f>
        <x:v>Northeast</x:v>
      </x:c>
      <x:c r="J958" s="84" t="str">
        <x:f>PROPER(TRIM('Raw Sales'!G958))</x:f>
        <x:v>Boston</x:v>
      </x:c>
      <x:c r="K958" s="84" t="str">
        <x:f>PROPER(TRIM('Raw Sales'!H958))</x:f>
        <x:v>Online</x:v>
      </x:c>
      <x:c r="L958" s="84" t="str">
        <x:f>'Raw Sales'!I958</x:f>
        <x:v>HOME-001</x:v>
      </x:c>
      <x:c r="M958" s="84" t="str">
        <x:f>IFERROR(VLOOKUP(L958,'Reference Data'!$A$5:$F$40,2,FALSE),"Unknown Product")</x:f>
        <x:v>Air Fryer</x:v>
      </x:c>
      <x:c r="N958" s="84" t="str">
        <x:f>IFERROR(VLOOKUP(L958,'Reference Data'!$A$5:$F$40,3,FALSE),"Unknown")</x:f>
        <x:v>Home &amp; Kitchen</x:v>
      </x:c>
      <x:c r="O958" s="84" t="str">
        <x:f>IFERROR(VLOOKUP(L958,'Reference Data'!$A$5:$F$40,4,FALSE),"Unknown")</x:f>
        <x:v>Small Appliances</x:v>
      </x:c>
      <x:c r="P958" s="92" t="n">
        <x:f>IFERROR(VLOOKUP(L958,'Reference Data'!$A$5:$F$40,5,FALSE),0)</x:f>
        <x:v>119</x:v>
      </x:c>
      <x:c r="Q958" s="92" t="n">
        <x:f>IFERROR(VLOOKUP(L958,'Reference Data'!$A$5:$F$40,6,FALSE),0)</x:f>
        <x:v>68</x:v>
      </x:c>
      <x:c r="R958" s="84" t="n">
        <x:f>'Raw Sales'!J958</x:f>
        <x:v>2</x:v>
      </x:c>
      <x:c r="S958" s="87" t="n">
        <x:f>'Raw Sales'!K958</x:f>
        <x:v>0.15</x:v>
      </x:c>
      <x:c r="T958" s="93" t="n">
        <x:f>P958*R958</x:f>
        <x:v>238</x:v>
      </x:c>
      <x:c r="U958" s="93" t="n">
        <x:f>T958*S958</x:f>
        <x:v>35.699999999999996</x:v>
      </x:c>
      <x:c r="V958" s="93" t="str">
        <x:f>PROPER(TRIM('Raw Sales'!L958))</x:f>
        <x:v>Completed</x:v>
      </x:c>
      <x:c r="W958" s="93" t="n">
        <x:f>IF(V958="Returned",0,T958-U958)</x:f>
        <x:v>202.3</x:v>
      </x:c>
      <x:c r="X958" s="93" t="n">
        <x:f>IF(V958="Returned",Q958*R958*10%,Q958*R958)</x:f>
        <x:v>136</x:v>
      </x:c>
      <x:c r="Y958" s="93" t="n">
        <x:f>W958-X958</x:f>
        <x:v>66.30000000000001</x:v>
      </x:c>
      <x:c r="Z958" s="94" t="n">
        <x:f>IFERROR(Y958/W958,0)</x:f>
        <x:v>0.32773109243697485</x:v>
      </x:c>
      <x:c r="AA958" s="84" t="str">
        <x:f>PROPER(TRIM('Raw Sales'!M958))</x:f>
        <x:v>Credit Card</x:v>
      </x:c>
      <x:c r="AB958" s="84" t="str">
        <x:f>PROPER(TRIM('Raw Sales'!N958))</x:f>
        <x:v>Maya Brooks</x:v>
      </x:c>
      <x:c r="AC958" s="85" t="n">
        <x:f>'Raw Sales'!O958</x:f>
        <x:v>45620</x:v>
      </x:c>
      <x:c r="AD958" s="84" t="n">
        <x:f>AC958-B958</x:f>
        <x:v>3</x:v>
      </x:c>
      <x:c r="AE958" s="84" t="str">
        <x:f>IF(COUNTIF($A$5:A958,A958)&gt;1,"Duplicate","Keep")</x:f>
        <x:v>Keep</x:v>
      </x:c>
      <x:c r="AF958" s="84" t="str">
        <x:f>IF(OR(R958&lt;=0,AC958&lt;B958,H958="Unknown",M958="Unknown Product"),"Review","Valid")</x:f>
        <x:v>Valid</x:v>
      </x:c>
      <x:c r="AG958" s="84" t="n">
        <x:f>IF(AND(AE958="Keep",AF958="Valid"),1,0)</x:f>
        <x:v>1</x:v>
      </x:c>
      <x:c r="AH958" s="84" t="n">
        <x:f>IF(AND(AG958=1,OR('Dashboard'!$B$4="All",I958='Dashboard'!$B$4),OR('Dashboard'!$E$4="All",N958='Dashboard'!$E$4),OR('Dashboard'!$H$4="All",K958='Dashboard'!$H$4),OR('Dashboard'!$K$4="All",C958='Dashboard'!$K$4)),1,0)</x:f>
        <x:v>1</x:v>
      </x:c>
      <x:c r="AI958" s="84" t="n">
        <x:f>IF(AND(AG958=1,OR('Dashboard'!$B$4="All",I958='Dashboard'!$B$4),OR('Dashboard'!$E$4="All",N958='Dashboard'!$E$4),OR('Dashboard'!$H$4="All",K958='Dashboard'!$H$4)),1,0)</x:f>
        <x:v>1</x:v>
      </x:c>
    </x:row>
    <x:row r="959">
      <x:c r="A959" s="84" t="str">
        <x:f>'Raw Sales'!A959</x:f>
        <x:v>ORD-2024-02345</x:v>
      </x:c>
      <x:c r="B959" s="85" t="n">
        <x:f>'Raw Sales'!B959</x:f>
        <x:v>45617</x:v>
      </x:c>
      <x:c r="C959" s="84" t="n">
        <x:f>YEAR(B959)</x:f>
        <x:v>2024</x:v>
      </x:c>
      <x:c r="D959" s="91" t="n">
        <x:f>DATE(YEAR(B959),MONTH(B959),1)</x:f>
        <x:v>45597</x:v>
      </x:c>
      <x:c r="E959" s="84" t="str">
        <x:f>TEXT(B959,"mmm")</x:f>
        <x:v>Nov</x:v>
      </x:c>
      <x:c r="F959" s="84" t="str">
        <x:f>'Raw Sales'!C959</x:f>
        <x:v>CUST-0051</x:v>
      </x:c>
      <x:c r="G959" s="84" t="str">
        <x:f>PROPER(TRIM('Raw Sales'!D959))</x:f>
        <x:v>Marcus Moore</x:v>
      </x:c>
      <x:c r="H959" s="84" t="str">
        <x:f>IF(TRIM('Raw Sales'!E959)="","Unknown",PROPER(TRIM('Raw Sales'!E959)))</x:f>
        <x:v>Consumer</x:v>
      </x:c>
      <x:c r="I959" s="84" t="str">
        <x:f>PROPER(TRIM('Raw Sales'!F959))</x:f>
        <x:v>West</x:v>
      </x:c>
      <x:c r="J959" s="84" t="str">
        <x:f>PROPER(TRIM('Raw Sales'!G959))</x:f>
        <x:v>Seattle</x:v>
      </x:c>
      <x:c r="K959" s="84" t="str">
        <x:f>PROPER(TRIM('Raw Sales'!H959))</x:f>
        <x:v>Marketplace</x:v>
      </x:c>
      <x:c r="L959" s="84" t="str">
        <x:f>'Raw Sales'!I959</x:f>
        <x:v>CARE-002</x:v>
      </x:c>
      <x:c r="M959" s="84" t="str">
        <x:f>IFERROR(VLOOKUP(L959,'Reference Data'!$A$5:$F$40,2,FALSE),"Unknown Product")</x:f>
        <x:v>Rechargeable Trimmer</x:v>
      </x:c>
      <x:c r="N959" s="84" t="str">
        <x:f>IFERROR(VLOOKUP(L959,'Reference Data'!$A$5:$F$40,3,FALSE),"Unknown")</x:f>
        <x:v>Personal Care</x:v>
      </x:c>
      <x:c r="O959" s="84" t="str">
        <x:f>IFERROR(VLOOKUP(L959,'Reference Data'!$A$5:$F$40,4,FALSE),"Unknown")</x:f>
        <x:v>Grooming</x:v>
      </x:c>
      <x:c r="P959" s="92" t="n">
        <x:f>IFERROR(VLOOKUP(L959,'Reference Data'!$A$5:$F$40,5,FALSE),0)</x:f>
        <x:v>45</x:v>
      </x:c>
      <x:c r="Q959" s="92" t="n">
        <x:f>IFERROR(VLOOKUP(L959,'Reference Data'!$A$5:$F$40,6,FALSE),0)</x:f>
        <x:v>19</x:v>
      </x:c>
      <x:c r="R959" s="84" t="n">
        <x:f>'Raw Sales'!J959</x:f>
        <x:v>4</x:v>
      </x:c>
      <x:c r="S959" s="87" t="n">
        <x:f>'Raw Sales'!K959</x:f>
        <x:v>0</x:v>
      </x:c>
      <x:c r="T959" s="93" t="n">
        <x:f>P959*R959</x:f>
        <x:v>180</x:v>
      </x:c>
      <x:c r="U959" s="93" t="n">
        <x:f>T959*S959</x:f>
        <x:v>0</x:v>
      </x:c>
      <x:c r="V959" s="93" t="str">
        <x:f>PROPER(TRIM('Raw Sales'!L959))</x:f>
        <x:v>Completed</x:v>
      </x:c>
      <x:c r="W959" s="93" t="n">
        <x:f>IF(V959="Returned",0,T959-U959)</x:f>
        <x:v>180</x:v>
      </x:c>
      <x:c r="X959" s="93" t="n">
        <x:f>IF(V959="Returned",Q959*R959*10%,Q959*R959)</x:f>
        <x:v>76</x:v>
      </x:c>
      <x:c r="Y959" s="93" t="n">
        <x:f>W959-X959</x:f>
        <x:v>104</x:v>
      </x:c>
      <x:c r="Z959" s="94" t="n">
        <x:f>IFERROR(Y959/W959,0)</x:f>
        <x:v>0.5777777777777777</x:v>
      </x:c>
      <x:c r="AA959" s="84" t="str">
        <x:f>PROPER(TRIM('Raw Sales'!M959))</x:f>
        <x:v>Paypal</x:v>
      </x:c>
      <x:c r="AB959" s="84" t="str">
        <x:f>PROPER(TRIM('Raw Sales'!N959))</x:f>
        <x:v>Mia Chen</x:v>
      </x:c>
      <x:c r="AC959" s="85" t="n">
        <x:f>'Raw Sales'!O959</x:f>
        <x:v>45620</x:v>
      </x:c>
      <x:c r="AD959" s="84" t="n">
        <x:f>AC959-B959</x:f>
        <x:v>3</x:v>
      </x:c>
      <x:c r="AE959" s="84" t="str">
        <x:f>IF(COUNTIF($A$5:A959,A959)&gt;1,"Duplicate","Keep")</x:f>
        <x:v>Keep</x:v>
      </x:c>
      <x:c r="AF959" s="84" t="str">
        <x:f>IF(OR(R959&lt;=0,AC959&lt;B959,H959="Unknown",M959="Unknown Product"),"Review","Valid")</x:f>
        <x:v>Valid</x:v>
      </x:c>
      <x:c r="AG959" s="84" t="n">
        <x:f>IF(AND(AE959="Keep",AF959="Valid"),1,0)</x:f>
        <x:v>1</x:v>
      </x:c>
      <x:c r="AH959" s="84" t="n">
        <x:f>IF(AND(AG959=1,OR('Dashboard'!$B$4="All",I959='Dashboard'!$B$4),OR('Dashboard'!$E$4="All",N959='Dashboard'!$E$4),OR('Dashboard'!$H$4="All",K959='Dashboard'!$H$4),OR('Dashboard'!$K$4="All",C959='Dashboard'!$K$4)),1,0)</x:f>
        <x:v>1</x:v>
      </x:c>
      <x:c r="AI959" s="84" t="n">
        <x:f>IF(AND(AG959=1,OR('Dashboard'!$B$4="All",I959='Dashboard'!$B$4),OR('Dashboard'!$E$4="All",N959='Dashboard'!$E$4),OR('Dashboard'!$H$4="All",K959='Dashboard'!$H$4)),1,0)</x:f>
        <x:v>1</x:v>
      </x:c>
    </x:row>
    <x:row r="960">
      <x:c r="A960" s="84" t="str">
        <x:f>'Raw Sales'!A960</x:f>
        <x:v>ORD-2024-00973</x:v>
      </x:c>
      <x:c r="B960" s="85" t="n">
        <x:f>'Raw Sales'!B960</x:f>
        <x:v>45618</x:v>
      </x:c>
      <x:c r="C960" s="84" t="n">
        <x:f>YEAR(B960)</x:f>
        <x:v>2024</x:v>
      </x:c>
      <x:c r="D960" s="91" t="n">
        <x:f>DATE(YEAR(B960),MONTH(B960),1)</x:f>
        <x:v>45597</x:v>
      </x:c>
      <x:c r="E960" s="84" t="str">
        <x:f>TEXT(B960,"mmm")</x:f>
        <x:v>Nov</x:v>
      </x:c>
      <x:c r="F960" s="84" t="str">
        <x:f>'Raw Sales'!C960</x:f>
        <x:v>CUST-0120</x:v>
      </x:c>
      <x:c r="G960" s="84" t="str">
        <x:f>PROPER(TRIM('Raw Sales'!D960))</x:f>
        <x:v>Aiden Foster</x:v>
      </x:c>
      <x:c r="H960" s="84" t="str">
        <x:f>IF(TRIM('Raw Sales'!E960)="","Unknown",PROPER(TRIM('Raw Sales'!E960)))</x:f>
        <x:v>Consumer</x:v>
      </x:c>
      <x:c r="I960" s="84" t="str">
        <x:f>PROPER(TRIM('Raw Sales'!F960))</x:f>
        <x:v>Midwest</x:v>
      </x:c>
      <x:c r="J960" s="84" t="str">
        <x:f>PROPER(TRIM('Raw Sales'!G960))</x:f>
        <x:v>Minneapolis</x:v>
      </x:c>
      <x:c r="K960" s="84" t="str">
        <x:f>PROPER(TRIM('Raw Sales'!H960))</x:f>
        <x:v>Online</x:v>
      </x:c>
      <x:c r="L960" s="84" t="str">
        <x:f>'Raw Sales'!I960</x:f>
        <x:v>ELEC-006</x:v>
      </x:c>
      <x:c r="M960" s="84" t="str">
        <x:f>IFERROR(VLOOKUP(L960,'Reference Data'!$A$5:$F$40,2,FALSE),"Unknown Product")</x:f>
        <x:v>Portable SSD</x:v>
      </x:c>
      <x:c r="N960" s="84" t="str">
        <x:f>IFERROR(VLOOKUP(L960,'Reference Data'!$A$5:$F$40,3,FALSE),"Unknown")</x:f>
        <x:v>Electronics</x:v>
      </x:c>
      <x:c r="O960" s="84" t="str">
        <x:f>IFERROR(VLOOKUP(L960,'Reference Data'!$A$5:$F$40,4,FALSE),"Unknown")</x:f>
        <x:v>Storage</x:v>
      </x:c>
      <x:c r="P960" s="92" t="n">
        <x:f>IFERROR(VLOOKUP(L960,'Reference Data'!$A$5:$F$40,5,FALSE),0)</x:f>
        <x:v>129</x:v>
      </x:c>
      <x:c r="Q960" s="92" t="n">
        <x:f>IFERROR(VLOOKUP(L960,'Reference Data'!$A$5:$F$40,6,FALSE),0)</x:f>
        <x:v>75</x:v>
      </x:c>
      <x:c r="R960" s="84" t="n">
        <x:f>'Raw Sales'!J960</x:f>
        <x:v>2</x:v>
      </x:c>
      <x:c r="S960" s="87" t="n">
        <x:f>'Raw Sales'!K960</x:f>
        <x:v>0</x:v>
      </x:c>
      <x:c r="T960" s="93" t="n">
        <x:f>P960*R960</x:f>
        <x:v>258</x:v>
      </x:c>
      <x:c r="U960" s="93" t="n">
        <x:f>T960*S960</x:f>
        <x:v>0</x:v>
      </x:c>
      <x:c r="V960" s="93" t="str">
        <x:f>PROPER(TRIM('Raw Sales'!L960))</x:f>
        <x:v>Completed</x:v>
      </x:c>
      <x:c r="W960" s="93" t="n">
        <x:f>IF(V960="Returned",0,T960-U960)</x:f>
        <x:v>258</x:v>
      </x:c>
      <x:c r="X960" s="93" t="n">
        <x:f>IF(V960="Returned",Q960*R960*10%,Q960*R960)</x:f>
        <x:v>150</x:v>
      </x:c>
      <x:c r="Y960" s="93" t="n">
        <x:f>W960-X960</x:f>
        <x:v>108</x:v>
      </x:c>
      <x:c r="Z960" s="94" t="n">
        <x:f>IFERROR(Y960/W960,0)</x:f>
        <x:v>0.4186046511627907</x:v>
      </x:c>
      <x:c r="AA960" s="84" t="str">
        <x:f>PROPER(TRIM('Raw Sales'!M960))</x:f>
        <x:v>Debit Card</x:v>
      </x:c>
      <x:c r="AB960" s="84" t="str">
        <x:f>PROPER(TRIM('Raw Sales'!N960))</x:f>
        <x:v>Lucas Grant</x:v>
      </x:c>
      <x:c r="AC960" s="85" t="n">
        <x:f>'Raw Sales'!O960</x:f>
        <x:v>45621</x:v>
      </x:c>
      <x:c r="AD960" s="84" t="n">
        <x:f>AC960-B960</x:f>
        <x:v>3</x:v>
      </x:c>
      <x:c r="AE960" s="84" t="str">
        <x:f>IF(COUNTIF($A$5:A960,A960)&gt;1,"Duplicate","Keep")</x:f>
        <x:v>Keep</x:v>
      </x:c>
      <x:c r="AF960" s="84" t="str">
        <x:f>IF(OR(R960&lt;=0,AC960&lt;B960,H960="Unknown",M960="Unknown Product"),"Review","Valid")</x:f>
        <x:v>Valid</x:v>
      </x:c>
      <x:c r="AG960" s="84" t="n">
        <x:f>IF(AND(AE960="Keep",AF960="Valid"),1,0)</x:f>
        <x:v>1</x:v>
      </x:c>
      <x:c r="AH960" s="84" t="n">
        <x:f>IF(AND(AG960=1,OR('Dashboard'!$B$4="All",I960='Dashboard'!$B$4),OR('Dashboard'!$E$4="All",N960='Dashboard'!$E$4),OR('Dashboard'!$H$4="All",K960='Dashboard'!$H$4),OR('Dashboard'!$K$4="All",C960='Dashboard'!$K$4)),1,0)</x:f>
        <x:v>1</x:v>
      </x:c>
      <x:c r="AI960" s="84" t="n">
        <x:f>IF(AND(AG960=1,OR('Dashboard'!$B$4="All",I960='Dashboard'!$B$4),OR('Dashboard'!$E$4="All",N960='Dashboard'!$E$4),OR('Dashboard'!$H$4="All",K960='Dashboard'!$H$4)),1,0)</x:f>
        <x:v>1</x:v>
      </x:c>
    </x:row>
    <x:row r="961">
      <x:c r="A961" s="84" t="str">
        <x:f>'Raw Sales'!A961</x:f>
        <x:v>ORD-2024-01263</x:v>
      </x:c>
      <x:c r="B961" s="85" t="n">
        <x:f>'Raw Sales'!B961</x:f>
        <x:v>45618</x:v>
      </x:c>
      <x:c r="C961" s="84" t="n">
        <x:f>YEAR(B961)</x:f>
        <x:v>2024</x:v>
      </x:c>
      <x:c r="D961" s="91" t="n">
        <x:f>DATE(YEAR(B961),MONTH(B961),1)</x:f>
        <x:v>45597</x:v>
      </x:c>
      <x:c r="E961" s="84" t="str">
        <x:f>TEXT(B961,"mmm")</x:f>
        <x:v>Nov</x:v>
      </x:c>
      <x:c r="F961" s="84" t="str">
        <x:f>'Raw Sales'!C961</x:f>
        <x:v>CUST-0421</x:v>
      </x:c>
      <x:c r="G961" s="84" t="str">
        <x:f>PROPER(TRIM('Raw Sales'!D961))</x:f>
        <x:v>Daniel Hall</x:v>
      </x:c>
      <x:c r="H961" s="84" t="str">
        <x:f>IF(TRIM('Raw Sales'!E961)="","Unknown",PROPER(TRIM('Raw Sales'!E961)))</x:f>
        <x:v>Consumer</x:v>
      </x:c>
      <x:c r="I961" s="84" t="str">
        <x:f>PROPER(TRIM('Raw Sales'!F961))</x:f>
        <x:v>Northeast</x:v>
      </x:c>
      <x:c r="J961" s="84" t="str">
        <x:f>PROPER(TRIM('Raw Sales'!G961))</x:f>
        <x:v>New York</x:v>
      </x:c>
      <x:c r="K961" s="84" t="str">
        <x:f>PROPER(TRIM('Raw Sales'!H961))</x:f>
        <x:v>Online</x:v>
      </x:c>
      <x:c r="L961" s="84" t="str">
        <x:f>'Raw Sales'!I961</x:f>
        <x:v>OFFC-004</x:v>
      </x:c>
      <x:c r="M961" s="84" t="str">
        <x:f>IFERROR(VLOOKUP(L961,'Reference Data'!$A$5:$F$40,2,FALSE),"Unknown Product")</x:f>
        <x:v>Premium Notebook Pack</x:v>
      </x:c>
      <x:c r="N961" s="84" t="str">
        <x:f>IFERROR(VLOOKUP(L961,'Reference Data'!$A$5:$F$40,3,FALSE),"Unknown")</x:f>
        <x:v>Office</x:v>
      </x:c>
      <x:c r="O961" s="84" t="str">
        <x:f>IFERROR(VLOOKUP(L961,'Reference Data'!$A$5:$F$40,4,FALSE),"Unknown")</x:f>
        <x:v>Stationery</x:v>
      </x:c>
      <x:c r="P961" s="92" t="n">
        <x:f>IFERROR(VLOOKUP(L961,'Reference Data'!$A$5:$F$40,5,FALSE),0)</x:f>
        <x:v>18</x:v>
      </x:c>
      <x:c r="Q961" s="92" t="n">
        <x:f>IFERROR(VLOOKUP(L961,'Reference Data'!$A$5:$F$40,6,FALSE),0)</x:f>
        <x:v>6.5</x:v>
      </x:c>
      <x:c r="R961" s="84" t="n">
        <x:f>'Raw Sales'!J961</x:f>
        <x:v>1</x:v>
      </x:c>
      <x:c r="S961" s="87" t="n">
        <x:f>'Raw Sales'!K961</x:f>
        <x:v>0.2</x:v>
      </x:c>
      <x:c r="T961" s="93" t="n">
        <x:f>P961*R961</x:f>
        <x:v>18</x:v>
      </x:c>
      <x:c r="U961" s="93" t="n">
        <x:f>T961*S961</x:f>
        <x:v>3.6</x:v>
      </x:c>
      <x:c r="V961" s="93" t="str">
        <x:f>PROPER(TRIM('Raw Sales'!L961))</x:f>
        <x:v>Completed</x:v>
      </x:c>
      <x:c r="W961" s="93" t="n">
        <x:f>IF(V961="Returned",0,T961-U961)</x:f>
        <x:v>14.4</x:v>
      </x:c>
      <x:c r="X961" s="93" t="n">
        <x:f>IF(V961="Returned",Q961*R961*10%,Q961*R961)</x:f>
        <x:v>6.5</x:v>
      </x:c>
      <x:c r="Y961" s="93" t="n">
        <x:f>W961-X961</x:f>
        <x:v>7.9</x:v>
      </x:c>
      <x:c r="Z961" s="94" t="n">
        <x:f>IFERROR(Y961/W961,0)</x:f>
        <x:v>0.5486111111111112</x:v>
      </x:c>
      <x:c r="AA961" s="84" t="str">
        <x:f>PROPER(TRIM('Raw Sales'!M961))</x:f>
        <x:v>Mobile Wallet</x:v>
      </x:c>
      <x:c r="AB961" s="84" t="str">
        <x:f>PROPER(TRIM('Raw Sales'!N961))</x:f>
        <x:v>Ethan Cole</x:v>
      </x:c>
      <x:c r="AC961" s="85" t="n">
        <x:f>'Raw Sales'!O961</x:f>
        <x:v>45622</x:v>
      </x:c>
      <x:c r="AD961" s="84" t="n">
        <x:f>AC961-B961</x:f>
        <x:v>4</x:v>
      </x:c>
      <x:c r="AE961" s="84" t="str">
        <x:f>IF(COUNTIF($A$5:A961,A961)&gt;1,"Duplicate","Keep")</x:f>
        <x:v>Keep</x:v>
      </x:c>
      <x:c r="AF961" s="84" t="str">
        <x:f>IF(OR(R961&lt;=0,AC961&lt;B961,H961="Unknown",M961="Unknown Product"),"Review","Valid")</x:f>
        <x:v>Valid</x:v>
      </x:c>
      <x:c r="AG961" s="84" t="n">
        <x:f>IF(AND(AE961="Keep",AF961="Valid"),1,0)</x:f>
        <x:v>1</x:v>
      </x:c>
      <x:c r="AH961" s="84" t="n">
        <x:f>IF(AND(AG961=1,OR('Dashboard'!$B$4="All",I961='Dashboard'!$B$4),OR('Dashboard'!$E$4="All",N961='Dashboard'!$E$4),OR('Dashboard'!$H$4="All",K961='Dashboard'!$H$4),OR('Dashboard'!$K$4="All",C961='Dashboard'!$K$4)),1,0)</x:f>
        <x:v>1</x:v>
      </x:c>
      <x:c r="AI961" s="84" t="n">
        <x:f>IF(AND(AG961=1,OR('Dashboard'!$B$4="All",I961='Dashboard'!$B$4),OR('Dashboard'!$E$4="All",N961='Dashboard'!$E$4),OR('Dashboard'!$H$4="All",K961='Dashboard'!$H$4)),1,0)</x:f>
        <x:v>1</x:v>
      </x:c>
    </x:row>
    <x:row r="962">
      <x:c r="A962" s="84" t="str">
        <x:f>'Raw Sales'!A962</x:f>
        <x:v>ORD-2024-00222</x:v>
      </x:c>
      <x:c r="B962" s="85" t="n">
        <x:f>'Raw Sales'!B962</x:f>
        <x:v>45619</x:v>
      </x:c>
      <x:c r="C962" s="84" t="n">
        <x:f>YEAR(B962)</x:f>
        <x:v>2024</x:v>
      </x:c>
      <x:c r="D962" s="91" t="n">
        <x:f>DATE(YEAR(B962),MONTH(B962),1)</x:f>
        <x:v>45597</x:v>
      </x:c>
      <x:c r="E962" s="84" t="str">
        <x:f>TEXT(B962,"mmm")</x:f>
        <x:v>Nov</x:v>
      </x:c>
      <x:c r="F962" s="84" t="str">
        <x:f>'Raw Sales'!C962</x:f>
        <x:v>CUST-0232</x:v>
      </x:c>
      <x:c r="G962" s="84" t="str">
        <x:f>PROPER(TRIM('Raw Sales'!D962))</x:f>
        <x:v>Layla Smith</x:v>
      </x:c>
      <x:c r="H962" s="84" t="str">
        <x:f>IF(TRIM('Raw Sales'!E962)="","Unknown",PROPER(TRIM('Raw Sales'!E962)))</x:f>
        <x:v>Consumer</x:v>
      </x:c>
      <x:c r="I962" s="84" t="str">
        <x:f>PROPER(TRIM('Raw Sales'!F962))</x:f>
        <x:v>Southeast</x:v>
      </x:c>
      <x:c r="J962" s="84" t="str">
        <x:f>PROPER(TRIM('Raw Sales'!G962))</x:f>
        <x:v>Atlanta</x:v>
      </x:c>
      <x:c r="K962" s="84" t="str">
        <x:f>PROPER(TRIM('Raw Sales'!H962))</x:f>
        <x:v>Marketplace</x:v>
      </x:c>
      <x:c r="L962" s="84" t="str">
        <x:f>'Raw Sales'!I962</x:f>
        <x:v>ELEC-003</x:v>
      </x:c>
      <x:c r="M962" s="84" t="str">
        <x:f>IFERROR(VLOOKUP(L962,'Reference Data'!$A$5:$F$40,2,FALSE),"Unknown Product")</x:f>
        <x:v>Bluetooth Speaker</x:v>
      </x:c>
      <x:c r="N962" s="84" t="str">
        <x:f>IFERROR(VLOOKUP(L962,'Reference Data'!$A$5:$F$40,3,FALSE),"Unknown")</x:f>
        <x:v>Electronics</x:v>
      </x:c>
      <x:c r="O962" s="84" t="str">
        <x:f>IFERROR(VLOOKUP(L962,'Reference Data'!$A$5:$F$40,4,FALSE),"Unknown")</x:f>
        <x:v>Audio</x:v>
      </x:c>
      <x:c r="P962" s="92" t="n">
        <x:f>IFERROR(VLOOKUP(L962,'Reference Data'!$A$5:$F$40,5,FALSE),0)</x:f>
        <x:v>89</x:v>
      </x:c>
      <x:c r="Q962" s="92" t="n">
        <x:f>IFERROR(VLOOKUP(L962,'Reference Data'!$A$5:$F$40,6,FALSE),0)</x:f>
        <x:v>44</x:v>
      </x:c>
      <x:c r="R962" s="84" t="n">
        <x:f>'Raw Sales'!J962</x:f>
        <x:v>1</x:v>
      </x:c>
      <x:c r="S962" s="87" t="n">
        <x:f>'Raw Sales'!K962</x:f>
        <x:v>0.2</x:v>
      </x:c>
      <x:c r="T962" s="93" t="n">
        <x:f>P962*R962</x:f>
        <x:v>89</x:v>
      </x:c>
      <x:c r="U962" s="93" t="n">
        <x:f>T962*S962</x:f>
        <x:v>17.8</x:v>
      </x:c>
      <x:c r="V962" s="93" t="str">
        <x:f>PROPER(TRIM('Raw Sales'!L962))</x:f>
        <x:v>Completed</x:v>
      </x:c>
      <x:c r="W962" s="93" t="n">
        <x:f>IF(V962="Returned",0,T962-U962)</x:f>
        <x:v>71.2</x:v>
      </x:c>
      <x:c r="X962" s="93" t="n">
        <x:f>IF(V962="Returned",Q962*R962*10%,Q962*R962)</x:f>
        <x:v>44</x:v>
      </x:c>
      <x:c r="Y962" s="93" t="n">
        <x:f>W962-X962</x:f>
        <x:v>27.200000000000003</x:v>
      </x:c>
      <x:c r="Z962" s="94" t="n">
        <x:f>IFERROR(Y962/W962,0)</x:f>
        <x:v>0.3820224719101124</x:v>
      </x:c>
      <x:c r="AA962" s="84" t="str">
        <x:f>PROPER(TRIM('Raw Sales'!M962))</x:f>
        <x:v>Debit Card</x:v>
      </x:c>
      <x:c r="AB962" s="84" t="str">
        <x:f>PROPER(TRIM('Raw Sales'!N962))</x:f>
        <x:v>Liam Parker</x:v>
      </x:c>
      <x:c r="AC962" s="85" t="n">
        <x:f>'Raw Sales'!O962</x:f>
        <x:v>45624</x:v>
      </x:c>
      <x:c r="AD962" s="84" t="n">
        <x:f>AC962-B962</x:f>
        <x:v>5</x:v>
      </x:c>
      <x:c r="AE962" s="84" t="str">
        <x:f>IF(COUNTIF($A$5:A962,A962)&gt;1,"Duplicate","Keep")</x:f>
        <x:v>Keep</x:v>
      </x:c>
      <x:c r="AF962" s="84" t="str">
        <x:f>IF(OR(R962&lt;=0,AC962&lt;B962,H962="Unknown",M962="Unknown Product"),"Review","Valid")</x:f>
        <x:v>Valid</x:v>
      </x:c>
      <x:c r="AG962" s="84" t="n">
        <x:f>IF(AND(AE962="Keep",AF962="Valid"),1,0)</x:f>
        <x:v>1</x:v>
      </x:c>
      <x:c r="AH962" s="84" t="n">
        <x:f>IF(AND(AG962=1,OR('Dashboard'!$B$4="All",I962='Dashboard'!$B$4),OR('Dashboard'!$E$4="All",N962='Dashboard'!$E$4),OR('Dashboard'!$H$4="All",K962='Dashboard'!$H$4),OR('Dashboard'!$K$4="All",C962='Dashboard'!$K$4)),1,0)</x:f>
        <x:v>1</x:v>
      </x:c>
      <x:c r="AI962" s="84" t="n">
        <x:f>IF(AND(AG962=1,OR('Dashboard'!$B$4="All",I962='Dashboard'!$B$4),OR('Dashboard'!$E$4="All",N962='Dashboard'!$E$4),OR('Dashboard'!$H$4="All",K962='Dashboard'!$H$4)),1,0)</x:f>
        <x:v>1</x:v>
      </x:c>
    </x:row>
    <x:row r="963">
      <x:c r="A963" s="84" t="str">
        <x:f>'Raw Sales'!A963</x:f>
        <x:v>ORD-2024-01900</x:v>
      </x:c>
      <x:c r="B963" s="85" t="n">
        <x:f>'Raw Sales'!B963</x:f>
        <x:v>45619</x:v>
      </x:c>
      <x:c r="C963" s="84" t="n">
        <x:f>YEAR(B963)</x:f>
        <x:v>2024</x:v>
      </x:c>
      <x:c r="D963" s="91" t="n">
        <x:f>DATE(YEAR(B963),MONTH(B963),1)</x:f>
        <x:v>45597</x:v>
      </x:c>
      <x:c r="E963" s="84" t="str">
        <x:f>TEXT(B963,"mmm")</x:f>
        <x:v>Nov</x:v>
      </x:c>
      <x:c r="F963" s="84" t="str">
        <x:f>'Raw Sales'!C963</x:f>
        <x:v>CUST-0204</x:v>
      </x:c>
      <x:c r="G963" s="84" t="str">
        <x:f>PROPER(TRIM('Raw Sales'!D963))</x:f>
        <x:v>Jasmine Nelson</x:v>
      </x:c>
      <x:c r="H963" s="84" t="str">
        <x:f>IF(TRIM('Raw Sales'!E963)="","Unknown",PROPER(TRIM('Raw Sales'!E963)))</x:f>
        <x:v>Consumer</x:v>
      </x:c>
      <x:c r="I963" s="84" t="str">
        <x:f>PROPER(TRIM('Raw Sales'!F963))</x:f>
        <x:v>Midwest</x:v>
      </x:c>
      <x:c r="J963" s="84" t="str">
        <x:f>PROPER(TRIM('Raw Sales'!G963))</x:f>
        <x:v>Minneapolis</x:v>
      </x:c>
      <x:c r="K963" s="84" t="str">
        <x:f>PROPER(TRIM('Raw Sales'!H963))</x:f>
        <x:v>Marketplace</x:v>
      </x:c>
      <x:c r="L963" s="84" t="str">
        <x:f>'Raw Sales'!I963</x:f>
        <x:v>ACCS-002</x:v>
      </x:c>
      <x:c r="M963" s="84" t="str">
        <x:f>IFERROR(VLOOKUP(L963,'Reference Data'!$A$5:$F$40,2,FALSE),"Unknown Product")</x:f>
        <x:v>Travel Backpack</x:v>
      </x:c>
      <x:c r="N963" s="84" t="str">
        <x:f>IFERROR(VLOOKUP(L963,'Reference Data'!$A$5:$F$40,3,FALSE),"Unknown")</x:f>
        <x:v>Accessories</x:v>
      </x:c>
      <x:c r="O963" s="84" t="str">
        <x:f>IFERROR(VLOOKUP(L963,'Reference Data'!$A$5:$F$40,4,FALSE),"Unknown")</x:f>
        <x:v>Bags</x:v>
      </x:c>
      <x:c r="P963" s="92" t="n">
        <x:f>IFERROR(VLOOKUP(L963,'Reference Data'!$A$5:$F$40,5,FALSE),0)</x:f>
        <x:v>89</x:v>
      </x:c>
      <x:c r="Q963" s="92" t="n">
        <x:f>IFERROR(VLOOKUP(L963,'Reference Data'!$A$5:$F$40,6,FALSE),0)</x:f>
        <x:v>36</x:v>
      </x:c>
      <x:c r="R963" s="84" t="n">
        <x:f>'Raw Sales'!J963</x:f>
        <x:v>2</x:v>
      </x:c>
      <x:c r="S963" s="87" t="n">
        <x:f>'Raw Sales'!K963</x:f>
        <x:v>0</x:v>
      </x:c>
      <x:c r="T963" s="93" t="n">
        <x:f>P963*R963</x:f>
        <x:v>178</x:v>
      </x:c>
      <x:c r="U963" s="93" t="n">
        <x:f>T963*S963</x:f>
        <x:v>0</x:v>
      </x:c>
      <x:c r="V963" s="93" t="str">
        <x:f>PROPER(TRIM('Raw Sales'!L963))</x:f>
        <x:v>Completed</x:v>
      </x:c>
      <x:c r="W963" s="93" t="n">
        <x:f>IF(V963="Returned",0,T963-U963)</x:f>
        <x:v>178</x:v>
      </x:c>
      <x:c r="X963" s="93" t="n">
        <x:f>IF(V963="Returned",Q963*R963*10%,Q963*R963)</x:f>
        <x:v>72</x:v>
      </x:c>
      <x:c r="Y963" s="93" t="n">
        <x:f>W963-X963</x:f>
        <x:v>106</x:v>
      </x:c>
      <x:c r="Z963" s="94" t="n">
        <x:f>IFERROR(Y963/W963,0)</x:f>
        <x:v>0.5955056179775281</x:v>
      </x:c>
      <x:c r="AA963" s="84" t="str">
        <x:f>PROPER(TRIM('Raw Sales'!M963))</x:f>
        <x:v>Credit Card</x:v>
      </x:c>
      <x:c r="AB963" s="84" t="str">
        <x:f>PROPER(TRIM('Raw Sales'!N963))</x:f>
        <x:v>Lucas Grant</x:v>
      </x:c>
      <x:c r="AC963" s="85" t="n">
        <x:f>'Raw Sales'!O963</x:f>
        <x:v>45623</x:v>
      </x:c>
      <x:c r="AD963" s="84" t="n">
        <x:f>AC963-B963</x:f>
        <x:v>4</x:v>
      </x:c>
      <x:c r="AE963" s="84" t="str">
        <x:f>IF(COUNTIF($A$5:A963,A963)&gt;1,"Duplicate","Keep")</x:f>
        <x:v>Keep</x:v>
      </x:c>
      <x:c r="AF963" s="84" t="str">
        <x:f>IF(OR(R963&lt;=0,AC963&lt;B963,H963="Unknown",M963="Unknown Product"),"Review","Valid")</x:f>
        <x:v>Valid</x:v>
      </x:c>
      <x:c r="AG963" s="84" t="n">
        <x:f>IF(AND(AE963="Keep",AF963="Valid"),1,0)</x:f>
        <x:v>1</x:v>
      </x:c>
      <x:c r="AH963" s="84" t="n">
        <x:f>IF(AND(AG963=1,OR('Dashboard'!$B$4="All",I963='Dashboard'!$B$4),OR('Dashboard'!$E$4="All",N963='Dashboard'!$E$4),OR('Dashboard'!$H$4="All",K963='Dashboard'!$H$4),OR('Dashboard'!$K$4="All",C963='Dashboard'!$K$4)),1,0)</x:f>
        <x:v>1</x:v>
      </x:c>
      <x:c r="AI963" s="84" t="n">
        <x:f>IF(AND(AG963=1,OR('Dashboard'!$B$4="All",I963='Dashboard'!$B$4),OR('Dashboard'!$E$4="All",N963='Dashboard'!$E$4),OR('Dashboard'!$H$4="All",K963='Dashboard'!$H$4)),1,0)</x:f>
        <x:v>1</x:v>
      </x:c>
    </x:row>
    <x:row r="964">
      <x:c r="A964" s="84" t="str">
        <x:f>'Raw Sales'!A964</x:f>
        <x:v>ORD-2024-02165</x:v>
      </x:c>
      <x:c r="B964" s="85" t="n">
        <x:f>'Raw Sales'!B964</x:f>
        <x:v>45619</x:v>
      </x:c>
      <x:c r="C964" s="84" t="n">
        <x:f>YEAR(B964)</x:f>
        <x:v>2024</x:v>
      </x:c>
      <x:c r="D964" s="91" t="n">
        <x:f>DATE(YEAR(B964),MONTH(B964),1)</x:f>
        <x:v>45597</x:v>
      </x:c>
      <x:c r="E964" s="84" t="str">
        <x:f>TEXT(B964,"mmm")</x:f>
        <x:v>Nov</x:v>
      </x:c>
      <x:c r="F964" s="84" t="str">
        <x:f>'Raw Sales'!C964</x:f>
        <x:v>CUST-0432</x:v>
      </x:c>
      <x:c r="G964" s="84" t="str">
        <x:f>PROPER(TRIM('Raw Sales'!D964))</x:f>
        <x:v>Caleb Young</x:v>
      </x:c>
      <x:c r="H964" s="84" t="str">
        <x:f>IF(TRIM('Raw Sales'!E964)="","Unknown",PROPER(TRIM('Raw Sales'!E964)))</x:f>
        <x:v>Consumer</x:v>
      </x:c>
      <x:c r="I964" s="84" t="str">
        <x:f>PROPER(TRIM('Raw Sales'!F964))</x:f>
        <x:v>Northeast</x:v>
      </x:c>
      <x:c r="J964" s="84" t="str">
        <x:f>PROPER(TRIM('Raw Sales'!G964))</x:f>
        <x:v>New York</x:v>
      </x:c>
      <x:c r="K964" s="84" t="str">
        <x:f>PROPER(TRIM('Raw Sales'!H964))</x:f>
        <x:v>Retail Store</x:v>
      </x:c>
      <x:c r="L964" s="84" t="str">
        <x:f>'Raw Sales'!I964</x:f>
        <x:v>FITN-005</x:v>
      </x:c>
      <x:c r="M964" s="84" t="str">
        <x:f>IFERROR(VLOOKUP(L964,'Reference Data'!$A$5:$F$40,2,FALSE),"Unknown Product")</x:f>
        <x:v>Sports Water Bottle</x:v>
      </x:c>
      <x:c r="N964" s="84" t="str">
        <x:f>IFERROR(VLOOKUP(L964,'Reference Data'!$A$5:$F$40,3,FALSE),"Unknown")</x:f>
        <x:v>Fitness</x:v>
      </x:c>
      <x:c r="O964" s="84" t="str">
        <x:f>IFERROR(VLOOKUP(L964,'Reference Data'!$A$5:$F$40,4,FALSE),"Unknown")</x:f>
        <x:v>Accessories</x:v>
      </x:c>
      <x:c r="P964" s="92" t="n">
        <x:f>IFERROR(VLOOKUP(L964,'Reference Data'!$A$5:$F$40,5,FALSE),0)</x:f>
        <x:v>22</x:v>
      </x:c>
      <x:c r="Q964" s="92" t="n">
        <x:f>IFERROR(VLOOKUP(L964,'Reference Data'!$A$5:$F$40,6,FALSE),0)</x:f>
        <x:v>7</x:v>
      </x:c>
      <x:c r="R964" s="84" t="n">
        <x:f>'Raw Sales'!J964</x:f>
        <x:v>1</x:v>
      </x:c>
      <x:c r="S964" s="87" t="n">
        <x:f>'Raw Sales'!K964</x:f>
        <x:v>0.05</x:v>
      </x:c>
      <x:c r="T964" s="93" t="n">
        <x:f>P964*R964</x:f>
        <x:v>22</x:v>
      </x:c>
      <x:c r="U964" s="93" t="n">
        <x:f>T964*S964</x:f>
        <x:v>1.1</x:v>
      </x:c>
      <x:c r="V964" s="93" t="str">
        <x:f>PROPER(TRIM('Raw Sales'!L964))</x:f>
        <x:v>Completed</x:v>
      </x:c>
      <x:c r="W964" s="93" t="n">
        <x:f>IF(V964="Returned",0,T964-U964)</x:f>
        <x:v>20.9</x:v>
      </x:c>
      <x:c r="X964" s="93" t="n">
        <x:f>IF(V964="Returned",Q964*R964*10%,Q964*R964)</x:f>
        <x:v>7</x:v>
      </x:c>
      <x:c r="Y964" s="93" t="n">
        <x:f>W964-X964</x:f>
        <x:v>13.899999999999999</x:v>
      </x:c>
      <x:c r="Z964" s="94" t="n">
        <x:f>IFERROR(Y964/W964,0)</x:f>
        <x:v>0.6650717703349283</x:v>
      </x:c>
      <x:c r="AA964" s="84" t="str">
        <x:f>PROPER(TRIM('Raw Sales'!M964))</x:f>
        <x:v>Credit Card</x:v>
      </x:c>
      <x:c r="AB964" s="84" t="str">
        <x:f>PROPER(TRIM('Raw Sales'!N964))</x:f>
        <x:v>Ethan Cole</x:v>
      </x:c>
      <x:c r="AC964" s="85" t="n">
        <x:f>'Raw Sales'!O964</x:f>
        <x:v>45619</x:v>
      </x:c>
      <x:c r="AD964" s="84" t="n">
        <x:f>AC964-B964</x:f>
        <x:v>0</x:v>
      </x:c>
      <x:c r="AE964" s="84" t="str">
        <x:f>IF(COUNTIF($A$5:A964,A964)&gt;1,"Duplicate","Keep")</x:f>
        <x:v>Keep</x:v>
      </x:c>
      <x:c r="AF964" s="84" t="str">
        <x:f>IF(OR(R964&lt;=0,AC964&lt;B964,H964="Unknown",M964="Unknown Product"),"Review","Valid")</x:f>
        <x:v>Valid</x:v>
      </x:c>
      <x:c r="AG964" s="84" t="n">
        <x:f>IF(AND(AE964="Keep",AF964="Valid"),1,0)</x:f>
        <x:v>1</x:v>
      </x:c>
      <x:c r="AH964" s="84" t="n">
        <x:f>IF(AND(AG964=1,OR('Dashboard'!$B$4="All",I964='Dashboard'!$B$4),OR('Dashboard'!$E$4="All",N964='Dashboard'!$E$4),OR('Dashboard'!$H$4="All",K964='Dashboard'!$H$4),OR('Dashboard'!$K$4="All",C964='Dashboard'!$K$4)),1,0)</x:f>
        <x:v>1</x:v>
      </x:c>
      <x:c r="AI964" s="84" t="n">
        <x:f>IF(AND(AG964=1,OR('Dashboard'!$B$4="All",I964='Dashboard'!$B$4),OR('Dashboard'!$E$4="All",N964='Dashboard'!$E$4),OR('Dashboard'!$H$4="All",K964='Dashboard'!$H$4)),1,0)</x:f>
        <x:v>1</x:v>
      </x:c>
    </x:row>
    <x:row r="965">
      <x:c r="A965" s="84" t="str">
        <x:f>'Raw Sales'!A965</x:f>
        <x:v>ORD-2024-00717</x:v>
      </x:c>
      <x:c r="B965" s="85" t="n">
        <x:f>'Raw Sales'!B965</x:f>
        <x:v>45620</x:v>
      </x:c>
      <x:c r="C965" s="84" t="n">
        <x:f>YEAR(B965)</x:f>
        <x:v>2024</x:v>
      </x:c>
      <x:c r="D965" s="91" t="n">
        <x:f>DATE(YEAR(B965),MONTH(B965),1)</x:f>
        <x:v>45597</x:v>
      </x:c>
      <x:c r="E965" s="84" t="str">
        <x:f>TEXT(B965,"mmm")</x:f>
        <x:v>Nov</x:v>
      </x:c>
      <x:c r="F965" s="84" t="str">
        <x:f>'Raw Sales'!C965</x:f>
        <x:v>CUST-0306</x:v>
      </x:c>
      <x:c r="G965" s="84" t="str">
        <x:f>PROPER(TRIM('Raw Sales'!D965))</x:f>
        <x:v>Sara Garcia</x:v>
      </x:c>
      <x:c r="H965" s="84" t="str">
        <x:f>IF(TRIM('Raw Sales'!E965)="","Unknown",PROPER(TRIM('Raw Sales'!E965)))</x:f>
        <x:v>Consumer</x:v>
      </x:c>
      <x:c r="I965" s="84" t="str">
        <x:f>PROPER(TRIM('Raw Sales'!F965))</x:f>
        <x:v>Southeast</x:v>
      </x:c>
      <x:c r="J965" s="84" t="str">
        <x:f>PROPER(TRIM('Raw Sales'!G965))</x:f>
        <x:v>Atlanta</x:v>
      </x:c>
      <x:c r="K965" s="84" t="str">
        <x:f>PROPER(TRIM('Raw Sales'!H965))</x:f>
        <x:v>Marketplace</x:v>
      </x:c>
      <x:c r="L965" s="84" t="str">
        <x:f>'Raw Sales'!I965</x:f>
        <x:v>OFFC-006</x:v>
      </x:c>
      <x:c r="M965" s="84" t="str">
        <x:f>IFERROR(VLOOKUP(L965,'Reference Data'!$A$5:$F$40,2,FALSE),"Unknown Product")</x:f>
        <x:v>Monitor Stand</x:v>
      </x:c>
      <x:c r="N965" s="84" t="str">
        <x:f>IFERROR(VLOOKUP(L965,'Reference Data'!$A$5:$F$40,3,FALSE),"Unknown")</x:f>
        <x:v>Office</x:v>
      </x:c>
      <x:c r="O965" s="84" t="str">
        <x:f>IFERROR(VLOOKUP(L965,'Reference Data'!$A$5:$F$40,4,FALSE),"Unknown")</x:f>
        <x:v>Desk Accessories</x:v>
      </x:c>
      <x:c r="P965" s="92" t="n">
        <x:f>IFERROR(VLOOKUP(L965,'Reference Data'!$A$5:$F$40,5,FALSE),0)</x:f>
        <x:v>49</x:v>
      </x:c>
      <x:c r="Q965" s="92" t="n">
        <x:f>IFERROR(VLOOKUP(L965,'Reference Data'!$A$5:$F$40,6,FALSE),0)</x:f>
        <x:v>21</x:v>
      </x:c>
      <x:c r="R965" s="84" t="n">
        <x:f>'Raw Sales'!J965</x:f>
        <x:v>1</x:v>
      </x:c>
      <x:c r="S965" s="87" t="n">
        <x:f>'Raw Sales'!K965</x:f>
        <x:v>0</x:v>
      </x:c>
      <x:c r="T965" s="93" t="n">
        <x:f>P965*R965</x:f>
        <x:v>49</x:v>
      </x:c>
      <x:c r="U965" s="93" t="n">
        <x:f>T965*S965</x:f>
        <x:v>0</x:v>
      </x:c>
      <x:c r="V965" s="93" t="str">
        <x:f>PROPER(TRIM('Raw Sales'!L965))</x:f>
        <x:v>Completed</x:v>
      </x:c>
      <x:c r="W965" s="93" t="n">
        <x:f>IF(V965="Returned",0,T965-U965)</x:f>
        <x:v>49</x:v>
      </x:c>
      <x:c r="X965" s="93" t="n">
        <x:f>IF(V965="Returned",Q965*R965*10%,Q965*R965)</x:f>
        <x:v>21</x:v>
      </x:c>
      <x:c r="Y965" s="93" t="n">
        <x:f>W965-X965</x:f>
        <x:v>28</x:v>
      </x:c>
      <x:c r="Z965" s="94" t="n">
        <x:f>IFERROR(Y965/W965,0)</x:f>
        <x:v>0.5714285714285714</x:v>
      </x:c>
      <x:c r="AA965" s="84" t="str">
        <x:f>PROPER(TRIM('Raw Sales'!M965))</x:f>
        <x:v>Credit Card</x:v>
      </x:c>
      <x:c r="AB965" s="84" t="str">
        <x:f>PROPER(TRIM('Raw Sales'!N965))</x:f>
        <x:v>Noah Reed</x:v>
      </x:c>
      <x:c r="AC965" s="85" t="n">
        <x:f>'Raw Sales'!O965</x:f>
        <x:v>45625</x:v>
      </x:c>
      <x:c r="AD965" s="84" t="n">
        <x:f>AC965-B965</x:f>
        <x:v>5</x:v>
      </x:c>
      <x:c r="AE965" s="84" t="str">
        <x:f>IF(COUNTIF($A$5:A965,A965)&gt;1,"Duplicate","Keep")</x:f>
        <x:v>Keep</x:v>
      </x:c>
      <x:c r="AF965" s="84" t="str">
        <x:f>IF(OR(R965&lt;=0,AC965&lt;B965,H965="Unknown",M965="Unknown Product"),"Review","Valid")</x:f>
        <x:v>Valid</x:v>
      </x:c>
      <x:c r="AG965" s="84" t="n">
        <x:f>IF(AND(AE965="Keep",AF965="Valid"),1,0)</x:f>
        <x:v>1</x:v>
      </x:c>
      <x:c r="AH965" s="84" t="n">
        <x:f>IF(AND(AG965=1,OR('Dashboard'!$B$4="All",I965='Dashboard'!$B$4),OR('Dashboard'!$E$4="All",N965='Dashboard'!$E$4),OR('Dashboard'!$H$4="All",K965='Dashboard'!$H$4),OR('Dashboard'!$K$4="All",C965='Dashboard'!$K$4)),1,0)</x:f>
        <x:v>1</x:v>
      </x:c>
      <x:c r="AI965" s="84" t="n">
        <x:f>IF(AND(AG965=1,OR('Dashboard'!$B$4="All",I965='Dashboard'!$B$4),OR('Dashboard'!$E$4="All",N965='Dashboard'!$E$4),OR('Dashboard'!$H$4="All",K965='Dashboard'!$H$4)),1,0)</x:f>
        <x:v>1</x:v>
      </x:c>
    </x:row>
    <x:row r="966">
      <x:c r="A966" s="84" t="str">
        <x:f>'Raw Sales'!A966</x:f>
        <x:v>ORD-2024-01028</x:v>
      </x:c>
      <x:c r="B966" s="85" t="n">
        <x:f>'Raw Sales'!B966</x:f>
        <x:v>45620</x:v>
      </x:c>
      <x:c r="C966" s="84" t="n">
        <x:f>YEAR(B966)</x:f>
        <x:v>2024</x:v>
      </x:c>
      <x:c r="D966" s="91" t="n">
        <x:f>DATE(YEAR(B966),MONTH(B966),1)</x:f>
        <x:v>45597</x:v>
      </x:c>
      <x:c r="E966" s="84" t="str">
        <x:f>TEXT(B966,"mmm")</x:f>
        <x:v>Nov</x:v>
      </x:c>
      <x:c r="F966" s="84" t="str">
        <x:f>'Raw Sales'!C966</x:f>
        <x:v>CUST-0127</x:v>
      </x:c>
      <x:c r="G966" s="84" t="str">
        <x:f>PROPER(TRIM('Raw Sales'!D966))</x:f>
        <x:v>Elias Nelson</x:v>
      </x:c>
      <x:c r="H966" s="84" t="str">
        <x:f>IF(TRIM('Raw Sales'!E966)="","Unknown",PROPER(TRIM('Raw Sales'!E966)))</x:f>
        <x:v>Corporate</x:v>
      </x:c>
      <x:c r="I966" s="84" t="str">
        <x:f>PROPER(TRIM('Raw Sales'!F966))</x:f>
        <x:v>West</x:v>
      </x:c>
      <x:c r="J966" s="84" t="str">
        <x:f>PROPER(TRIM('Raw Sales'!G966))</x:f>
        <x:v>Seattle</x:v>
      </x:c>
      <x:c r="K966" s="84" t="str">
        <x:f>PROPER(TRIM('Raw Sales'!H966))</x:f>
        <x:v>Online</x:v>
      </x:c>
      <x:c r="L966" s="84" t="str">
        <x:f>'Raw Sales'!I966</x:f>
        <x:v>ELEC-002</x:v>
      </x:c>
      <x:c r="M966" s="84" t="str">
        <x:f>IFERROR(VLOOKUP(L966,'Reference Data'!$A$5:$F$40,2,FALSE),"Unknown Product")</x:f>
        <x:v>Smartwatch</x:v>
      </x:c>
      <x:c r="N966" s="84" t="str">
        <x:f>IFERROR(VLOOKUP(L966,'Reference Data'!$A$5:$F$40,3,FALSE),"Unknown")</x:f>
        <x:v>Electronics</x:v>
      </x:c>
      <x:c r="O966" s="84" t="str">
        <x:f>IFERROR(VLOOKUP(L966,'Reference Data'!$A$5:$F$40,4,FALSE),"Unknown")</x:f>
        <x:v>Wearables</x:v>
      </x:c>
      <x:c r="P966" s="92" t="n">
        <x:f>IFERROR(VLOOKUP(L966,'Reference Data'!$A$5:$F$40,5,FALSE),0)</x:f>
        <x:v>159</x:v>
      </x:c>
      <x:c r="Q966" s="92" t="n">
        <x:f>IFERROR(VLOOKUP(L966,'Reference Data'!$A$5:$F$40,6,FALSE),0)</x:f>
        <x:v>92</x:v>
      </x:c>
      <x:c r="R966" s="84" t="n">
        <x:f>'Raw Sales'!J966</x:f>
        <x:v>2</x:v>
      </x:c>
      <x:c r="S966" s="87" t="n">
        <x:f>'Raw Sales'!K966</x:f>
        <x:v>0.2</x:v>
      </x:c>
      <x:c r="T966" s="93" t="n">
        <x:f>P966*R966</x:f>
        <x:v>318</x:v>
      </x:c>
      <x:c r="U966" s="93" t="n">
        <x:f>T966*S966</x:f>
        <x:v>63.6</x:v>
      </x:c>
      <x:c r="V966" s="93" t="str">
        <x:f>PROPER(TRIM('Raw Sales'!L966))</x:f>
        <x:v>Completed</x:v>
      </x:c>
      <x:c r="W966" s="93" t="n">
        <x:f>IF(V966="Returned",0,T966-U966)</x:f>
        <x:v>254.4</x:v>
      </x:c>
      <x:c r="X966" s="93" t="n">
        <x:f>IF(V966="Returned",Q966*R966*10%,Q966*R966)</x:f>
        <x:v>184</x:v>
      </x:c>
      <x:c r="Y966" s="93" t="n">
        <x:f>W966-X966</x:f>
        <x:v>70.4</x:v>
      </x:c>
      <x:c r="Z966" s="94" t="n">
        <x:f>IFERROR(Y966/W966,0)</x:f>
        <x:v>0.27672955974842767</x:v>
      </x:c>
      <x:c r="AA966" s="84" t="str">
        <x:f>PROPER(TRIM('Raw Sales'!M966))</x:f>
        <x:v>Paypal</x:v>
      </x:c>
      <x:c r="AB966" s="84" t="str">
        <x:f>PROPER(TRIM('Raw Sales'!N966))</x:f>
        <x:v>Mia Chen</x:v>
      </x:c>
      <x:c r="AC966" s="85" t="n">
        <x:f>'Raw Sales'!O966</x:f>
        <x:v>45626</x:v>
      </x:c>
      <x:c r="AD966" s="84" t="n">
        <x:f>AC966-B966</x:f>
        <x:v>6</x:v>
      </x:c>
      <x:c r="AE966" s="84" t="str">
        <x:f>IF(COUNTIF($A$5:A966,A966)&gt;1,"Duplicate","Keep")</x:f>
        <x:v>Keep</x:v>
      </x:c>
      <x:c r="AF966" s="84" t="str">
        <x:f>IF(OR(R966&lt;=0,AC966&lt;B966,H966="Unknown",M966="Unknown Product"),"Review","Valid")</x:f>
        <x:v>Valid</x:v>
      </x:c>
      <x:c r="AG966" s="84" t="n">
        <x:f>IF(AND(AE966="Keep",AF966="Valid"),1,0)</x:f>
        <x:v>1</x:v>
      </x:c>
      <x:c r="AH966" s="84" t="n">
        <x:f>IF(AND(AG966=1,OR('Dashboard'!$B$4="All",I966='Dashboard'!$B$4),OR('Dashboard'!$E$4="All",N966='Dashboard'!$E$4),OR('Dashboard'!$H$4="All",K966='Dashboard'!$H$4),OR('Dashboard'!$K$4="All",C966='Dashboard'!$K$4)),1,0)</x:f>
        <x:v>1</x:v>
      </x:c>
      <x:c r="AI966" s="84" t="n">
        <x:f>IF(AND(AG966=1,OR('Dashboard'!$B$4="All",I966='Dashboard'!$B$4),OR('Dashboard'!$E$4="All",N966='Dashboard'!$E$4),OR('Dashboard'!$H$4="All",K966='Dashboard'!$H$4)),1,0)</x:f>
        <x:v>1</x:v>
      </x:c>
    </x:row>
    <x:row r="967">
      <x:c r="A967" s="84" t="str">
        <x:f>'Raw Sales'!A967</x:f>
        <x:v>ORD-2024-01463</x:v>
      </x:c>
      <x:c r="B967" s="85" t="n">
        <x:f>'Raw Sales'!B967</x:f>
        <x:v>45620</x:v>
      </x:c>
      <x:c r="C967" s="84" t="n">
        <x:f>YEAR(B967)</x:f>
        <x:v>2024</x:v>
      </x:c>
      <x:c r="D967" s="91" t="n">
        <x:f>DATE(YEAR(B967),MONTH(B967),1)</x:f>
        <x:v>45597</x:v>
      </x:c>
      <x:c r="E967" s="84" t="str">
        <x:f>TEXT(B967,"mmm")</x:f>
        <x:v>Nov</x:v>
      </x:c>
      <x:c r="F967" s="84" t="str">
        <x:f>'Raw Sales'!C967</x:f>
        <x:v>CUST-0024</x:v>
      </x:c>
      <x:c r="G967" s="84" t="str">
        <x:f>PROPER(TRIM('Raw Sales'!D967))</x:f>
        <x:v>Zara Quinn</x:v>
      </x:c>
      <x:c r="H967" s="84" t="str">
        <x:f>IF(TRIM('Raw Sales'!E967)="","Unknown",PROPER(TRIM('Raw Sales'!E967)))</x:f>
        <x:v>Consumer</x:v>
      </x:c>
      <x:c r="I967" s="84" t="str">
        <x:f>PROPER(TRIM('Raw Sales'!F967))</x:f>
        <x:v>Midwest</x:v>
      </x:c>
      <x:c r="J967" s="84" t="str">
        <x:f>PROPER(TRIM('Raw Sales'!G967))</x:f>
        <x:v>Columbus</x:v>
      </x:c>
      <x:c r="K967" s="84" t="str">
        <x:f>PROPER(TRIM('Raw Sales'!H967))</x:f>
        <x:v>Retail Store</x:v>
      </x:c>
      <x:c r="L967" s="84" t="str">
        <x:f>'Raw Sales'!I967</x:f>
        <x:v>OFFC-004</x:v>
      </x:c>
      <x:c r="M967" s="84" t="str">
        <x:f>IFERROR(VLOOKUP(L967,'Reference Data'!$A$5:$F$40,2,FALSE),"Unknown Product")</x:f>
        <x:v>Premium Notebook Pack</x:v>
      </x:c>
      <x:c r="N967" s="84" t="str">
        <x:f>IFERROR(VLOOKUP(L967,'Reference Data'!$A$5:$F$40,3,FALSE),"Unknown")</x:f>
        <x:v>Office</x:v>
      </x:c>
      <x:c r="O967" s="84" t="str">
        <x:f>IFERROR(VLOOKUP(L967,'Reference Data'!$A$5:$F$40,4,FALSE),"Unknown")</x:f>
        <x:v>Stationery</x:v>
      </x:c>
      <x:c r="P967" s="92" t="n">
        <x:f>IFERROR(VLOOKUP(L967,'Reference Data'!$A$5:$F$40,5,FALSE),0)</x:f>
        <x:v>18</x:v>
      </x:c>
      <x:c r="Q967" s="92" t="n">
        <x:f>IFERROR(VLOOKUP(L967,'Reference Data'!$A$5:$F$40,6,FALSE),0)</x:f>
        <x:v>6.5</x:v>
      </x:c>
      <x:c r="R967" s="84" t="n">
        <x:f>'Raw Sales'!J967</x:f>
        <x:v>1</x:v>
      </x:c>
      <x:c r="S967" s="87" t="n">
        <x:f>'Raw Sales'!K967</x:f>
        <x:v>0.15</x:v>
      </x:c>
      <x:c r="T967" s="93" t="n">
        <x:f>P967*R967</x:f>
        <x:v>18</x:v>
      </x:c>
      <x:c r="U967" s="93" t="n">
        <x:f>T967*S967</x:f>
        <x:v>2.6999999999999997</x:v>
      </x:c>
      <x:c r="V967" s="93" t="str">
        <x:f>PROPER(TRIM('Raw Sales'!L967))</x:f>
        <x:v>Completed</x:v>
      </x:c>
      <x:c r="W967" s="93" t="n">
        <x:f>IF(V967="Returned",0,T967-U967)</x:f>
        <x:v>15.3</x:v>
      </x:c>
      <x:c r="X967" s="93" t="n">
        <x:f>IF(V967="Returned",Q967*R967*10%,Q967*R967)</x:f>
        <x:v>6.5</x:v>
      </x:c>
      <x:c r="Y967" s="93" t="n">
        <x:f>W967-X967</x:f>
        <x:v>8.8</x:v>
      </x:c>
      <x:c r="Z967" s="94" t="n">
        <x:f>IFERROR(Y967/W967,0)</x:f>
        <x:v>0.5751633986928105</x:v>
      </x:c>
      <x:c r="AA967" s="84" t="str">
        <x:f>PROPER(TRIM('Raw Sales'!M967))</x:f>
        <x:v>Mobile Wallet</x:v>
      </x:c>
      <x:c r="AB967" s="84" t="str">
        <x:f>PROPER(TRIM('Raw Sales'!N967))</x:f>
        <x:v>Zoe Turner</x:v>
      </x:c>
      <x:c r="AC967" s="85" t="n">
        <x:f>'Raw Sales'!O967</x:f>
        <x:v>45620</x:v>
      </x:c>
      <x:c r="AD967" s="84" t="n">
        <x:f>AC967-B967</x:f>
        <x:v>0</x:v>
      </x:c>
      <x:c r="AE967" s="84" t="str">
        <x:f>IF(COUNTIF($A$5:A967,A967)&gt;1,"Duplicate","Keep")</x:f>
        <x:v>Keep</x:v>
      </x:c>
      <x:c r="AF967" s="84" t="str">
        <x:f>IF(OR(R967&lt;=0,AC967&lt;B967,H967="Unknown",M967="Unknown Product"),"Review","Valid")</x:f>
        <x:v>Valid</x:v>
      </x:c>
      <x:c r="AG967" s="84" t="n">
        <x:f>IF(AND(AE967="Keep",AF967="Valid"),1,0)</x:f>
        <x:v>1</x:v>
      </x:c>
      <x:c r="AH967" s="84" t="n">
        <x:f>IF(AND(AG967=1,OR('Dashboard'!$B$4="All",I967='Dashboard'!$B$4),OR('Dashboard'!$E$4="All",N967='Dashboard'!$E$4),OR('Dashboard'!$H$4="All",K967='Dashboard'!$H$4),OR('Dashboard'!$K$4="All",C967='Dashboard'!$K$4)),1,0)</x:f>
        <x:v>1</x:v>
      </x:c>
      <x:c r="AI967" s="84" t="n">
        <x:f>IF(AND(AG967=1,OR('Dashboard'!$B$4="All",I967='Dashboard'!$B$4),OR('Dashboard'!$E$4="All",N967='Dashboard'!$E$4),OR('Dashboard'!$H$4="All",K967='Dashboard'!$H$4)),1,0)</x:f>
        <x:v>1</x:v>
      </x:c>
    </x:row>
    <x:row r="968">
      <x:c r="A968" s="84" t="str">
        <x:f>'Raw Sales'!A968</x:f>
        <x:v>ORD-2024-01495</x:v>
      </x:c>
      <x:c r="B968" s="85" t="n">
        <x:f>'Raw Sales'!B968</x:f>
        <x:v>45620</x:v>
      </x:c>
      <x:c r="C968" s="84" t="n">
        <x:f>YEAR(B968)</x:f>
        <x:v>2024</x:v>
      </x:c>
      <x:c r="D968" s="91" t="n">
        <x:f>DATE(YEAR(B968),MONTH(B968),1)</x:f>
        <x:v>45597</x:v>
      </x:c>
      <x:c r="E968" s="84" t="str">
        <x:f>TEXT(B968,"mmm")</x:f>
        <x:v>Nov</x:v>
      </x:c>
      <x:c r="F968" s="84" t="str">
        <x:f>'Raw Sales'!C968</x:f>
        <x:v>CUST-0154</x:v>
      </x:c>
      <x:c r="G968" s="84" t="str">
        <x:f>PROPER(TRIM('Raw Sales'!D968))</x:f>
        <x:v>Priya Moore</x:v>
      </x:c>
      <x:c r="H968" s="84" t="str">
        <x:f>IF(TRIM('Raw Sales'!E968)="","Unknown",PROPER(TRIM('Raw Sales'!E968)))</x:f>
        <x:v>Consumer</x:v>
      </x:c>
      <x:c r="I968" s="84" t="str">
        <x:f>PROPER(TRIM('Raw Sales'!F968))</x:f>
        <x:v>West</x:v>
      </x:c>
      <x:c r="J968" s="84" t="str">
        <x:f>PROPER(TRIM('Raw Sales'!G968))</x:f>
        <x:v>Denver</x:v>
      </x:c>
      <x:c r="K968" s="84" t="str">
        <x:f>PROPER(TRIM('Raw Sales'!H968))</x:f>
        <x:v>Retail Store</x:v>
      </x:c>
      <x:c r="L968" s="84" t="str">
        <x:f>'Raw Sales'!I968</x:f>
        <x:v>ACCS-001</x:v>
      </x:c>
      <x:c r="M968" s="84" t="str">
        <x:f>IFERROR(VLOOKUP(L968,'Reference Data'!$A$5:$F$40,2,FALSE),"Unknown Product")</x:f>
        <x:v>Canvas Tote Bag</x:v>
      </x:c>
      <x:c r="N968" s="84" t="str">
        <x:f>IFERROR(VLOOKUP(L968,'Reference Data'!$A$5:$F$40,3,FALSE),"Unknown")</x:f>
        <x:v>Accessories</x:v>
      </x:c>
      <x:c r="O968" s="84" t="str">
        <x:f>IFERROR(VLOOKUP(L968,'Reference Data'!$A$5:$F$40,4,FALSE),"Unknown")</x:f>
        <x:v>Bags</x:v>
      </x:c>
      <x:c r="P968" s="92" t="n">
        <x:f>IFERROR(VLOOKUP(L968,'Reference Data'!$A$5:$F$40,5,FALSE),0)</x:f>
        <x:v>39</x:v>
      </x:c>
      <x:c r="Q968" s="92" t="n">
        <x:f>IFERROR(VLOOKUP(L968,'Reference Data'!$A$5:$F$40,6,FALSE),0)</x:f>
        <x:v>14</x:v>
      </x:c>
      <x:c r="R968" s="84" t="n">
        <x:f>'Raw Sales'!J968</x:f>
        <x:v>2</x:v>
      </x:c>
      <x:c r="S968" s="87" t="n">
        <x:f>'Raw Sales'!K968</x:f>
        <x:v>0</x:v>
      </x:c>
      <x:c r="T968" s="93" t="n">
        <x:f>P968*R968</x:f>
        <x:v>78</x:v>
      </x:c>
      <x:c r="U968" s="93" t="n">
        <x:f>T968*S968</x:f>
        <x:v>0</x:v>
      </x:c>
      <x:c r="V968" s="93" t="str">
        <x:f>PROPER(TRIM('Raw Sales'!L968))</x:f>
        <x:v>Completed</x:v>
      </x:c>
      <x:c r="W968" s="93" t="n">
        <x:f>IF(V968="Returned",0,T968-U968)</x:f>
        <x:v>78</x:v>
      </x:c>
      <x:c r="X968" s="93" t="n">
        <x:f>IF(V968="Returned",Q968*R968*10%,Q968*R968)</x:f>
        <x:v>28</x:v>
      </x:c>
      <x:c r="Y968" s="93" t="n">
        <x:f>W968-X968</x:f>
        <x:v>50</x:v>
      </x:c>
      <x:c r="Z968" s="94" t="n">
        <x:f>IFERROR(Y968/W968,0)</x:f>
        <x:v>0.6410256410256411</x:v>
      </x:c>
      <x:c r="AA968" s="84" t="str">
        <x:f>PROPER(TRIM('Raw Sales'!M968))</x:f>
        <x:v>Debit Card</x:v>
      </x:c>
      <x:c r="AB968" s="84" t="str">
        <x:f>PROPER(TRIM('Raw Sales'!N968))</x:f>
        <x:v>Nora Kim</x:v>
      </x:c>
      <x:c r="AC968" s="85" t="n">
        <x:f>'Raw Sales'!O968</x:f>
        <x:v>45620</x:v>
      </x:c>
      <x:c r="AD968" s="84" t="n">
        <x:f>AC968-B968</x:f>
        <x:v>0</x:v>
      </x:c>
      <x:c r="AE968" s="84" t="str">
        <x:f>IF(COUNTIF($A$5:A968,A968)&gt;1,"Duplicate","Keep")</x:f>
        <x:v>Keep</x:v>
      </x:c>
      <x:c r="AF968" s="84" t="str">
        <x:f>IF(OR(R968&lt;=0,AC968&lt;B968,H968="Unknown",M968="Unknown Product"),"Review","Valid")</x:f>
        <x:v>Valid</x:v>
      </x:c>
      <x:c r="AG968" s="84" t="n">
        <x:f>IF(AND(AE968="Keep",AF968="Valid"),1,0)</x:f>
        <x:v>1</x:v>
      </x:c>
      <x:c r="AH968" s="84" t="n">
        <x:f>IF(AND(AG968=1,OR('Dashboard'!$B$4="All",I968='Dashboard'!$B$4),OR('Dashboard'!$E$4="All",N968='Dashboard'!$E$4),OR('Dashboard'!$H$4="All",K968='Dashboard'!$H$4),OR('Dashboard'!$K$4="All",C968='Dashboard'!$K$4)),1,0)</x:f>
        <x:v>1</x:v>
      </x:c>
      <x:c r="AI968" s="84" t="n">
        <x:f>IF(AND(AG968=1,OR('Dashboard'!$B$4="All",I968='Dashboard'!$B$4),OR('Dashboard'!$E$4="All",N968='Dashboard'!$E$4),OR('Dashboard'!$H$4="All",K968='Dashboard'!$H$4)),1,0)</x:f>
        <x:v>1</x:v>
      </x:c>
    </x:row>
    <x:row r="969">
      <x:c r="A969" s="84" t="str">
        <x:f>'Raw Sales'!A969</x:f>
        <x:v>ORD-2024-01654</x:v>
      </x:c>
      <x:c r="B969" s="85" t="n">
        <x:f>'Raw Sales'!B969</x:f>
        <x:v>45620</x:v>
      </x:c>
      <x:c r="C969" s="84" t="n">
        <x:f>YEAR(B969)</x:f>
        <x:v>2024</x:v>
      </x:c>
      <x:c r="D969" s="91" t="n">
        <x:f>DATE(YEAR(B969),MONTH(B969),1)</x:f>
        <x:v>45597</x:v>
      </x:c>
      <x:c r="E969" s="84" t="str">
        <x:f>TEXT(B969,"mmm")</x:f>
        <x:v>Nov</x:v>
      </x:c>
      <x:c r="F969" s="84" t="str">
        <x:f>'Raw Sales'!C969</x:f>
        <x:v>CUST-0064</x:v>
      </x:c>
      <x:c r="G969" s="84" t="str">
        <x:f>PROPER(TRIM('Raw Sales'!D969))</x:f>
        <x:v>Nina Walker</x:v>
      </x:c>
      <x:c r="H969" s="84" t="str">
        <x:f>IF(TRIM('Raw Sales'!E969)="","Unknown",PROPER(TRIM('Raw Sales'!E969)))</x:f>
        <x:v>Consumer</x:v>
      </x:c>
      <x:c r="I969" s="84" t="str">
        <x:f>PROPER(TRIM('Raw Sales'!F969))</x:f>
        <x:v>Midwest</x:v>
      </x:c>
      <x:c r="J969" s="84" t="str">
        <x:f>PROPER(TRIM('Raw Sales'!G969))</x:f>
        <x:v>Columbus</x:v>
      </x:c>
      <x:c r="K969" s="84" t="str">
        <x:f>PROPER(TRIM('Raw Sales'!H969))</x:f>
        <x:v>Online</x:v>
      </x:c>
      <x:c r="L969" s="84" t="str">
        <x:f>'Raw Sales'!I969</x:f>
        <x:v>HOME-005</x:v>
      </x:c>
      <x:c r="M969" s="84" t="str">
        <x:f>IFERROR(VLOOKUP(L969,'Reference Data'!$A$5:$F$40,2,FALSE),"Unknown Product")</x:f>
        <x:v>Cordless Vacuum</x:v>
      </x:c>
      <x:c r="N969" s="84" t="str">
        <x:f>IFERROR(VLOOKUP(L969,'Reference Data'!$A$5:$F$40,3,FALSE),"Unknown")</x:f>
        <x:v>Home &amp; Kitchen</x:v>
      </x:c>
      <x:c r="O969" s="84" t="str">
        <x:f>IFERROR(VLOOKUP(L969,'Reference Data'!$A$5:$F$40,4,FALSE),"Unknown")</x:f>
        <x:v>Cleaning</x:v>
      </x:c>
      <x:c r="P969" s="92" t="n">
        <x:f>IFERROR(VLOOKUP(L969,'Reference Data'!$A$5:$F$40,5,FALSE),0)</x:f>
        <x:v>179</x:v>
      </x:c>
      <x:c r="Q969" s="92" t="n">
        <x:f>IFERROR(VLOOKUP(L969,'Reference Data'!$A$5:$F$40,6,FALSE),0)</x:f>
        <x:v>102</x:v>
      </x:c>
      <x:c r="R969" s="84" t="n">
        <x:f>'Raw Sales'!J969</x:f>
        <x:v>1</x:v>
      </x:c>
      <x:c r="S969" s="87" t="n">
        <x:f>'Raw Sales'!K969</x:f>
        <x:v>0.2</x:v>
      </x:c>
      <x:c r="T969" s="93" t="n">
        <x:f>P969*R969</x:f>
        <x:v>179</x:v>
      </x:c>
      <x:c r="U969" s="93" t="n">
        <x:f>T969*S969</x:f>
        <x:v>35.800000000000004</x:v>
      </x:c>
      <x:c r="V969" s="93" t="str">
        <x:f>PROPER(TRIM('Raw Sales'!L969))</x:f>
        <x:v>Completed</x:v>
      </x:c>
      <x:c r="W969" s="93" t="n">
        <x:f>IF(V969="Returned",0,T969-U969)</x:f>
        <x:v>143.2</x:v>
      </x:c>
      <x:c r="X969" s="93" t="n">
        <x:f>IF(V969="Returned",Q969*R969*10%,Q969*R969)</x:f>
        <x:v>102</x:v>
      </x:c>
      <x:c r="Y969" s="93" t="n">
        <x:f>W969-X969</x:f>
        <x:v>41.19999999999999</x:v>
      </x:c>
      <x:c r="Z969" s="94" t="n">
        <x:f>IFERROR(Y969/W969,0)</x:f>
        <x:v>0.28770949720670386</x:v>
      </x:c>
      <x:c r="AA969" s="84" t="str">
        <x:f>PROPER(TRIM('Raw Sales'!M969))</x:f>
        <x:v>Credit Card</x:v>
      </x:c>
      <x:c r="AB969" s="84" t="str">
        <x:f>PROPER(TRIM('Raw Sales'!N969))</x:f>
        <x:v>Emma Hayes</x:v>
      </x:c>
      <x:c r="AC969" s="85" t="n">
        <x:f>'Raw Sales'!O969</x:f>
        <x:v>45624</x:v>
      </x:c>
      <x:c r="AD969" s="84" t="n">
        <x:f>AC969-B969</x:f>
        <x:v>4</x:v>
      </x:c>
      <x:c r="AE969" s="84" t="str">
        <x:f>IF(COUNTIF($A$5:A969,A969)&gt;1,"Duplicate","Keep")</x:f>
        <x:v>Keep</x:v>
      </x:c>
      <x:c r="AF969" s="84" t="str">
        <x:f>IF(OR(R969&lt;=0,AC969&lt;B969,H969="Unknown",M969="Unknown Product"),"Review","Valid")</x:f>
        <x:v>Valid</x:v>
      </x:c>
      <x:c r="AG969" s="84" t="n">
        <x:f>IF(AND(AE969="Keep",AF969="Valid"),1,0)</x:f>
        <x:v>1</x:v>
      </x:c>
      <x:c r="AH969" s="84" t="n">
        <x:f>IF(AND(AG969=1,OR('Dashboard'!$B$4="All",I969='Dashboard'!$B$4),OR('Dashboard'!$E$4="All",N969='Dashboard'!$E$4),OR('Dashboard'!$H$4="All",K969='Dashboard'!$H$4),OR('Dashboard'!$K$4="All",C969='Dashboard'!$K$4)),1,0)</x:f>
        <x:v>1</x:v>
      </x:c>
      <x:c r="AI969" s="84" t="n">
        <x:f>IF(AND(AG969=1,OR('Dashboard'!$B$4="All",I969='Dashboard'!$B$4),OR('Dashboard'!$E$4="All",N969='Dashboard'!$E$4),OR('Dashboard'!$H$4="All",K969='Dashboard'!$H$4)),1,0)</x:f>
        <x:v>1</x:v>
      </x:c>
    </x:row>
    <x:row r="970">
      <x:c r="A970" s="84" t="str">
        <x:f>'Raw Sales'!A970</x:f>
        <x:v>ORD-2024-00532</x:v>
      </x:c>
      <x:c r="B970" s="85" t="n">
        <x:f>'Raw Sales'!B970</x:f>
        <x:v>45621</x:v>
      </x:c>
      <x:c r="C970" s="84" t="n">
        <x:f>YEAR(B970)</x:f>
        <x:v>2024</x:v>
      </x:c>
      <x:c r="D970" s="91" t="n">
        <x:f>DATE(YEAR(B970),MONTH(B970),1)</x:f>
        <x:v>45597</x:v>
      </x:c>
      <x:c r="E970" s="84" t="str">
        <x:f>TEXT(B970,"mmm")</x:f>
        <x:v>Nov</x:v>
      </x:c>
      <x:c r="F970" s="84" t="str">
        <x:f>'Raw Sales'!C970</x:f>
        <x:v>CUST-0184</x:v>
      </x:c>
      <x:c r="G970" s="84" t="str">
        <x:f>PROPER(TRIM('Raw Sales'!D970))</x:f>
        <x:v>Elena Patel</x:v>
      </x:c>
      <x:c r="H970" s="84" t="str">
        <x:f>IF(TRIM('Raw Sales'!E970)="","Unknown",PROPER(TRIM('Raw Sales'!E970)))</x:f>
        <x:v>Consumer</x:v>
      </x:c>
      <x:c r="I970" s="84" t="str">
        <x:f>PROPER(TRIM('Raw Sales'!F970))</x:f>
        <x:v>Southeast</x:v>
      </x:c>
      <x:c r="J970" s="84" t="str">
        <x:f>PROPER(TRIM('Raw Sales'!G970))</x:f>
        <x:v>Miami</x:v>
      </x:c>
      <x:c r="K970" s="84" t="str">
        <x:f>PROPER(TRIM('Raw Sales'!H970))</x:f>
        <x:v>Marketplace</x:v>
      </x:c>
      <x:c r="L970" s="84" t="str">
        <x:f>'Raw Sales'!I970</x:f>
        <x:v>OFFC-006</x:v>
      </x:c>
      <x:c r="M970" s="84" t="str">
        <x:f>IFERROR(VLOOKUP(L970,'Reference Data'!$A$5:$F$40,2,FALSE),"Unknown Product")</x:f>
        <x:v>Monitor Stand</x:v>
      </x:c>
      <x:c r="N970" s="84" t="str">
        <x:f>IFERROR(VLOOKUP(L970,'Reference Data'!$A$5:$F$40,3,FALSE),"Unknown")</x:f>
        <x:v>Office</x:v>
      </x:c>
      <x:c r="O970" s="84" t="str">
        <x:f>IFERROR(VLOOKUP(L970,'Reference Data'!$A$5:$F$40,4,FALSE),"Unknown")</x:f>
        <x:v>Desk Accessories</x:v>
      </x:c>
      <x:c r="P970" s="92" t="n">
        <x:f>IFERROR(VLOOKUP(L970,'Reference Data'!$A$5:$F$40,5,FALSE),0)</x:f>
        <x:v>49</x:v>
      </x:c>
      <x:c r="Q970" s="92" t="n">
        <x:f>IFERROR(VLOOKUP(L970,'Reference Data'!$A$5:$F$40,6,FALSE),0)</x:f>
        <x:v>21</x:v>
      </x:c>
      <x:c r="R970" s="84" t="n">
        <x:f>'Raw Sales'!J970</x:f>
        <x:v>1</x:v>
      </x:c>
      <x:c r="S970" s="87" t="n">
        <x:f>'Raw Sales'!K970</x:f>
        <x:v>0.05</x:v>
      </x:c>
      <x:c r="T970" s="93" t="n">
        <x:f>P970*R970</x:f>
        <x:v>49</x:v>
      </x:c>
      <x:c r="U970" s="93" t="n">
        <x:f>T970*S970</x:f>
        <x:v>2.45</x:v>
      </x:c>
      <x:c r="V970" s="93" t="str">
        <x:f>PROPER(TRIM('Raw Sales'!L970))</x:f>
        <x:v>Returned</x:v>
      </x:c>
      <x:c r="W970" s="93" t="n">
        <x:f>IF(V970="Returned",0,T970-U970)</x:f>
        <x:v>0</x:v>
      </x:c>
      <x:c r="X970" s="93" t="n">
        <x:f>IF(V970="Returned",Q970*R970*10%,Q970*R970)</x:f>
        <x:v>2.1</x:v>
      </x:c>
      <x:c r="Y970" s="93" t="n">
        <x:f>W970-X970</x:f>
        <x:v>-2.1</x:v>
      </x:c>
      <x:c r="Z970" s="94" t="n">
        <x:f>IFERROR(Y970/W970,0)</x:f>
        <x:v>0</x:v>
      </x:c>
      <x:c r="AA970" s="84" t="str">
        <x:f>PROPER(TRIM('Raw Sales'!M970))</x:f>
        <x:v>Credit Card</x:v>
      </x:c>
      <x:c r="AB970" s="84" t="str">
        <x:f>PROPER(TRIM('Raw Sales'!N970))</x:f>
        <x:v>Liam Parker</x:v>
      </x:c>
      <x:c r="AC970" s="85" t="n">
        <x:f>'Raw Sales'!O970</x:f>
        <x:v>45627</x:v>
      </x:c>
      <x:c r="AD970" s="84" t="n">
        <x:f>AC970-B970</x:f>
        <x:v>6</x:v>
      </x:c>
      <x:c r="AE970" s="84" t="str">
        <x:f>IF(COUNTIF($A$5:A970,A970)&gt;1,"Duplicate","Keep")</x:f>
        <x:v>Keep</x:v>
      </x:c>
      <x:c r="AF970" s="84" t="str">
        <x:f>IF(OR(R970&lt;=0,AC970&lt;B970,H970="Unknown",M970="Unknown Product"),"Review","Valid")</x:f>
        <x:v>Valid</x:v>
      </x:c>
      <x:c r="AG970" s="84" t="n">
        <x:f>IF(AND(AE970="Keep",AF970="Valid"),1,0)</x:f>
        <x:v>1</x:v>
      </x:c>
      <x:c r="AH970" s="84" t="n">
        <x:f>IF(AND(AG970=1,OR('Dashboard'!$B$4="All",I970='Dashboard'!$B$4),OR('Dashboard'!$E$4="All",N970='Dashboard'!$E$4),OR('Dashboard'!$H$4="All",K970='Dashboard'!$H$4),OR('Dashboard'!$K$4="All",C970='Dashboard'!$K$4)),1,0)</x:f>
        <x:v>1</x:v>
      </x:c>
      <x:c r="AI970" s="84" t="n">
        <x:f>IF(AND(AG970=1,OR('Dashboard'!$B$4="All",I970='Dashboard'!$B$4),OR('Dashboard'!$E$4="All",N970='Dashboard'!$E$4),OR('Dashboard'!$H$4="All",K970='Dashboard'!$H$4)),1,0)</x:f>
        <x:v>1</x:v>
      </x:c>
    </x:row>
    <x:row r="971">
      <x:c r="A971" s="84" t="str">
        <x:f>'Raw Sales'!A971</x:f>
        <x:v>ORD-2024-01267</x:v>
      </x:c>
      <x:c r="B971" s="85" t="n">
        <x:f>'Raw Sales'!B971</x:f>
        <x:v>45621</x:v>
      </x:c>
      <x:c r="C971" s="84" t="n">
        <x:f>YEAR(B971)</x:f>
        <x:v>2024</x:v>
      </x:c>
      <x:c r="D971" s="91" t="n">
        <x:f>DATE(YEAR(B971),MONTH(B971),1)</x:f>
        <x:v>45597</x:v>
      </x:c>
      <x:c r="E971" s="84" t="str">
        <x:f>TEXT(B971,"mmm")</x:f>
        <x:v>Nov</x:v>
      </x:c>
      <x:c r="F971" s="84" t="str">
        <x:f>'Raw Sales'!C971</x:f>
        <x:v>CUST-0450</x:v>
      </x:c>
      <x:c r="G971" s="84" t="str">
        <x:f>PROPER(TRIM('Raw Sales'!D971))</x:f>
        <x:v>Samuel Garcia</x:v>
      </x:c>
      <x:c r="H971" s="84" t="str">
        <x:f>IF(TRIM('Raw Sales'!E971)="","Unknown",PROPER(TRIM('Raw Sales'!E971)))</x:f>
        <x:v>Small Business</x:v>
      </x:c>
      <x:c r="I971" s="84" t="str">
        <x:f>PROPER(TRIM('Raw Sales'!F971))</x:f>
        <x:v>West</x:v>
      </x:c>
      <x:c r="J971" s="84" t="str">
        <x:f>PROPER(TRIM('Raw Sales'!G971))</x:f>
        <x:v>Seattle</x:v>
      </x:c>
      <x:c r="K971" s="84" t="str">
        <x:f>PROPER(TRIM('Raw Sales'!H971))</x:f>
        <x:v>Online</x:v>
      </x:c>
      <x:c r="L971" s="84" t="str">
        <x:f>'Raw Sales'!I971</x:f>
        <x:v>ELEC-002</x:v>
      </x:c>
      <x:c r="M971" s="84" t="str">
        <x:f>IFERROR(VLOOKUP(L971,'Reference Data'!$A$5:$F$40,2,FALSE),"Unknown Product")</x:f>
        <x:v>Smartwatch</x:v>
      </x:c>
      <x:c r="N971" s="84" t="str">
        <x:f>IFERROR(VLOOKUP(L971,'Reference Data'!$A$5:$F$40,3,FALSE),"Unknown")</x:f>
        <x:v>Electronics</x:v>
      </x:c>
      <x:c r="O971" s="84" t="str">
        <x:f>IFERROR(VLOOKUP(L971,'Reference Data'!$A$5:$F$40,4,FALSE),"Unknown")</x:f>
        <x:v>Wearables</x:v>
      </x:c>
      <x:c r="P971" s="92" t="n">
        <x:f>IFERROR(VLOOKUP(L971,'Reference Data'!$A$5:$F$40,5,FALSE),0)</x:f>
        <x:v>159</x:v>
      </x:c>
      <x:c r="Q971" s="92" t="n">
        <x:f>IFERROR(VLOOKUP(L971,'Reference Data'!$A$5:$F$40,6,FALSE),0)</x:f>
        <x:v>92</x:v>
      </x:c>
      <x:c r="R971" s="84" t="n">
        <x:f>'Raw Sales'!J971</x:f>
        <x:v>1</x:v>
      </x:c>
      <x:c r="S971" s="87" t="n">
        <x:f>'Raw Sales'!K971</x:f>
        <x:v>0.1</x:v>
      </x:c>
      <x:c r="T971" s="93" t="n">
        <x:f>P971*R971</x:f>
        <x:v>159</x:v>
      </x:c>
      <x:c r="U971" s="93" t="n">
        <x:f>T971*S971</x:f>
        <x:v>15.9</x:v>
      </x:c>
      <x:c r="V971" s="93" t="str">
        <x:f>PROPER(TRIM('Raw Sales'!L971))</x:f>
        <x:v>Completed</x:v>
      </x:c>
      <x:c r="W971" s="93" t="n">
        <x:f>IF(V971="Returned",0,T971-U971)</x:f>
        <x:v>143.1</x:v>
      </x:c>
      <x:c r="X971" s="93" t="n">
        <x:f>IF(V971="Returned",Q971*R971*10%,Q971*R971)</x:f>
        <x:v>92</x:v>
      </x:c>
      <x:c r="Y971" s="93" t="n">
        <x:f>W971-X971</x:f>
        <x:v>51.099999999999994</x:v>
      </x:c>
      <x:c r="Z971" s="94" t="n">
        <x:f>IFERROR(Y971/W971,0)</x:f>
        <x:v>0.35709294199860236</x:v>
      </x:c>
      <x:c r="AA971" s="84" t="str">
        <x:f>PROPER(TRIM('Raw Sales'!M971))</x:f>
        <x:v>Credit Card</x:v>
      </x:c>
      <x:c r="AB971" s="84" t="str">
        <x:f>PROPER(TRIM('Raw Sales'!N971))</x:f>
        <x:v>Nora Kim</x:v>
      </x:c>
      <x:c r="AC971" s="85" t="n">
        <x:f>'Raw Sales'!O971</x:f>
        <x:v>45624</x:v>
      </x:c>
      <x:c r="AD971" s="84" t="n">
        <x:f>AC971-B971</x:f>
        <x:v>3</x:v>
      </x:c>
      <x:c r="AE971" s="84" t="str">
        <x:f>IF(COUNTIF($A$5:A971,A971)&gt;1,"Duplicate","Keep")</x:f>
        <x:v>Keep</x:v>
      </x:c>
      <x:c r="AF971" s="84" t="str">
        <x:f>IF(OR(R971&lt;=0,AC971&lt;B971,H971="Unknown",M971="Unknown Product"),"Review","Valid")</x:f>
        <x:v>Valid</x:v>
      </x:c>
      <x:c r="AG971" s="84" t="n">
        <x:f>IF(AND(AE971="Keep",AF971="Valid"),1,0)</x:f>
        <x:v>1</x:v>
      </x:c>
      <x:c r="AH971" s="84" t="n">
        <x:f>IF(AND(AG971=1,OR('Dashboard'!$B$4="All",I971='Dashboard'!$B$4),OR('Dashboard'!$E$4="All",N971='Dashboard'!$E$4),OR('Dashboard'!$H$4="All",K971='Dashboard'!$H$4),OR('Dashboard'!$K$4="All",C971='Dashboard'!$K$4)),1,0)</x:f>
        <x:v>1</x:v>
      </x:c>
      <x:c r="AI971" s="84" t="n">
        <x:f>IF(AND(AG971=1,OR('Dashboard'!$B$4="All",I971='Dashboard'!$B$4),OR('Dashboard'!$E$4="All",N971='Dashboard'!$E$4),OR('Dashboard'!$H$4="All",K971='Dashboard'!$H$4)),1,0)</x:f>
        <x:v>1</x:v>
      </x:c>
    </x:row>
    <x:row r="972">
      <x:c r="A972" s="84" t="str">
        <x:f>'Raw Sales'!A972</x:f>
        <x:v>ORD-2024-01270</x:v>
      </x:c>
      <x:c r="B972" s="85" t="n">
        <x:f>'Raw Sales'!B972</x:f>
        <x:v>45621</x:v>
      </x:c>
      <x:c r="C972" s="84" t="n">
        <x:f>YEAR(B972)</x:f>
        <x:v>2024</x:v>
      </x:c>
      <x:c r="D972" s="91" t="n">
        <x:f>DATE(YEAR(B972),MONTH(B972),1)</x:f>
        <x:v>45597</x:v>
      </x:c>
      <x:c r="E972" s="84" t="str">
        <x:f>TEXT(B972,"mmm")</x:f>
        <x:v>Nov</x:v>
      </x:c>
      <x:c r="F972" s="84" t="str">
        <x:f>'Raw Sales'!C972</x:f>
        <x:v>CUST-0183</x:v>
      </x:c>
      <x:c r="G972" s="84" t="str">
        <x:f>PROPER(TRIM('Raw Sales'!D972))</x:f>
        <x:v>Jasmine Taylor</x:v>
      </x:c>
      <x:c r="H972" s="84" t="str">
        <x:f>IF(TRIM('Raw Sales'!E972)="","Unknown",PROPER(TRIM('Raw Sales'!E972)))</x:f>
        <x:v>Corporate</x:v>
      </x:c>
      <x:c r="I972" s="84" t="str">
        <x:f>PROPER(TRIM('Raw Sales'!F972))</x:f>
        <x:v>West</x:v>
      </x:c>
      <x:c r="J972" s="84" t="str">
        <x:f>PROPER(TRIM('Raw Sales'!G972))</x:f>
        <x:v>Denver</x:v>
      </x:c>
      <x:c r="K972" s="84" t="str">
        <x:f>PROPER(TRIM('Raw Sales'!H972))</x:f>
        <x:v>Online</x:v>
      </x:c>
      <x:c r="L972" s="84" t="str">
        <x:f>'Raw Sales'!I972</x:f>
        <x:v>HOME-003</x:v>
      </x:c>
      <x:c r="M972" s="84" t="str">
        <x:f>IFERROR(VLOOKUP(L972,'Reference Data'!$A$5:$F$40,2,FALSE),"Unknown Product")</x:f>
        <x:v>Countertop Blender</x:v>
      </x:c>
      <x:c r="N972" s="84" t="str">
        <x:f>IFERROR(VLOOKUP(L972,'Reference Data'!$A$5:$F$40,3,FALSE),"Unknown")</x:f>
        <x:v>Home &amp; Kitchen</x:v>
      </x:c>
      <x:c r="O972" s="84" t="str">
        <x:f>IFERROR(VLOOKUP(L972,'Reference Data'!$A$5:$F$40,4,FALSE),"Unknown")</x:f>
        <x:v>Small Appliances</x:v>
      </x:c>
      <x:c r="P972" s="92" t="n">
        <x:f>IFERROR(VLOOKUP(L972,'Reference Data'!$A$5:$F$40,5,FALSE),0)</x:f>
        <x:v>89</x:v>
      </x:c>
      <x:c r="Q972" s="92" t="n">
        <x:f>IFERROR(VLOOKUP(L972,'Reference Data'!$A$5:$F$40,6,FALSE),0)</x:f>
        <x:v>46</x:v>
      </x:c>
      <x:c r="R972" s="84" t="n">
        <x:f>'Raw Sales'!J972</x:f>
        <x:v>3</x:v>
      </x:c>
      <x:c r="S972" s="87" t="n">
        <x:f>'Raw Sales'!K972</x:f>
        <x:v>0.05</x:v>
      </x:c>
      <x:c r="T972" s="93" t="n">
        <x:f>P972*R972</x:f>
        <x:v>267</x:v>
      </x:c>
      <x:c r="U972" s="93" t="n">
        <x:f>T972*S972</x:f>
        <x:v>13.350000000000001</x:v>
      </x:c>
      <x:c r="V972" s="93" t="str">
        <x:f>PROPER(TRIM('Raw Sales'!L972))</x:f>
        <x:v>Completed</x:v>
      </x:c>
      <x:c r="W972" s="93" t="n">
        <x:f>IF(V972="Returned",0,T972-U972)</x:f>
        <x:v>253.65</x:v>
      </x:c>
      <x:c r="X972" s="93" t="n">
        <x:f>IF(V972="Returned",Q972*R972*10%,Q972*R972)</x:f>
        <x:v>138</x:v>
      </x:c>
      <x:c r="Y972" s="93" t="n">
        <x:f>W972-X972</x:f>
        <x:v>115.65</x:v>
      </x:c>
      <x:c r="Z972" s="94" t="n">
        <x:f>IFERROR(Y972/W972,0)</x:f>
        <x:v>0.4559432288586635</x:v>
      </x:c>
      <x:c r="AA972" s="84" t="str">
        <x:f>PROPER(TRIM('Raw Sales'!M972))</x:f>
        <x:v>Debit Card</x:v>
      </x:c>
      <x:c r="AB972" s="84" t="str">
        <x:f>PROPER(TRIM('Raw Sales'!N972))</x:f>
        <x:v>Mia Chen</x:v>
      </x:c>
      <x:c r="AC972" s="85" t="n">
        <x:f>'Raw Sales'!O972</x:f>
        <x:v>45624</x:v>
      </x:c>
      <x:c r="AD972" s="84" t="n">
        <x:f>AC972-B972</x:f>
        <x:v>3</x:v>
      </x:c>
      <x:c r="AE972" s="84" t="str">
        <x:f>IF(COUNTIF($A$5:A972,A972)&gt;1,"Duplicate","Keep")</x:f>
        <x:v>Keep</x:v>
      </x:c>
      <x:c r="AF972" s="84" t="str">
        <x:f>IF(OR(R972&lt;=0,AC972&lt;B972,H972="Unknown",M972="Unknown Product"),"Review","Valid")</x:f>
        <x:v>Valid</x:v>
      </x:c>
      <x:c r="AG972" s="84" t="n">
        <x:f>IF(AND(AE972="Keep",AF972="Valid"),1,0)</x:f>
        <x:v>1</x:v>
      </x:c>
      <x:c r="AH972" s="84" t="n">
        <x:f>IF(AND(AG972=1,OR('Dashboard'!$B$4="All",I972='Dashboard'!$B$4),OR('Dashboard'!$E$4="All",N972='Dashboard'!$E$4),OR('Dashboard'!$H$4="All",K972='Dashboard'!$H$4),OR('Dashboard'!$K$4="All",C972='Dashboard'!$K$4)),1,0)</x:f>
        <x:v>1</x:v>
      </x:c>
      <x:c r="AI972" s="84" t="n">
        <x:f>IF(AND(AG972=1,OR('Dashboard'!$B$4="All",I972='Dashboard'!$B$4),OR('Dashboard'!$E$4="All",N972='Dashboard'!$E$4),OR('Dashboard'!$H$4="All",K972='Dashboard'!$H$4)),1,0)</x:f>
        <x:v>1</x:v>
      </x:c>
    </x:row>
    <x:row r="973">
      <x:c r="A973" s="84" t="str">
        <x:f>'Raw Sales'!A973</x:f>
        <x:v>ORD-2024-01498</x:v>
      </x:c>
      <x:c r="B973" s="85" t="n">
        <x:f>'Raw Sales'!B973</x:f>
        <x:v>45621</x:v>
      </x:c>
      <x:c r="C973" s="84" t="n">
        <x:f>YEAR(B973)</x:f>
        <x:v>2024</x:v>
      </x:c>
      <x:c r="D973" s="91" t="n">
        <x:f>DATE(YEAR(B973),MONTH(B973),1)</x:f>
        <x:v>45597</x:v>
      </x:c>
      <x:c r="E973" s="84" t="str">
        <x:f>TEXT(B973,"mmm")</x:f>
        <x:v>Nov</x:v>
      </x:c>
      <x:c r="F973" s="84" t="str">
        <x:f>'Raw Sales'!C973</x:f>
        <x:v>CUST-0509</x:v>
      </x:c>
      <x:c r="G973" s="84" t="str">
        <x:f>PROPER(TRIM('Raw Sales'!D973))</x:f>
        <x:v>Daniel Moore</x:v>
      </x:c>
      <x:c r="H973" s="84" t="str">
        <x:f>IF(TRIM('Raw Sales'!E973)="","Unknown",PROPER(TRIM('Raw Sales'!E973)))</x:f>
        <x:v>Corporate</x:v>
      </x:c>
      <x:c r="I973" s="84" t="str">
        <x:f>PROPER(TRIM('Raw Sales'!F973))</x:f>
        <x:v>Southeast</x:v>
      </x:c>
      <x:c r="J973" s="84" t="str">
        <x:f>PROPER(TRIM('Raw Sales'!G973))</x:f>
        <x:v>Atlanta</x:v>
      </x:c>
      <x:c r="K973" s="84" t="str">
        <x:f>PROPER(TRIM('Raw Sales'!H973))</x:f>
        <x:v>Retail Store</x:v>
      </x:c>
      <x:c r="L973" s="84" t="str">
        <x:f>'Raw Sales'!I973</x:f>
        <x:v>ACCS-001</x:v>
      </x:c>
      <x:c r="M973" s="84" t="str">
        <x:f>IFERROR(VLOOKUP(L973,'Reference Data'!$A$5:$F$40,2,FALSE),"Unknown Product")</x:f>
        <x:v>Canvas Tote Bag</x:v>
      </x:c>
      <x:c r="N973" s="84" t="str">
        <x:f>IFERROR(VLOOKUP(L973,'Reference Data'!$A$5:$F$40,3,FALSE),"Unknown")</x:f>
        <x:v>Accessories</x:v>
      </x:c>
      <x:c r="O973" s="84" t="str">
        <x:f>IFERROR(VLOOKUP(L973,'Reference Data'!$A$5:$F$40,4,FALSE),"Unknown")</x:f>
        <x:v>Bags</x:v>
      </x:c>
      <x:c r="P973" s="92" t="n">
        <x:f>IFERROR(VLOOKUP(L973,'Reference Data'!$A$5:$F$40,5,FALSE),0)</x:f>
        <x:v>39</x:v>
      </x:c>
      <x:c r="Q973" s="92" t="n">
        <x:f>IFERROR(VLOOKUP(L973,'Reference Data'!$A$5:$F$40,6,FALSE),0)</x:f>
        <x:v>14</x:v>
      </x:c>
      <x:c r="R973" s="84" t="n">
        <x:f>'Raw Sales'!J973</x:f>
        <x:v>4</x:v>
      </x:c>
      <x:c r="S973" s="87" t="n">
        <x:f>'Raw Sales'!K973</x:f>
        <x:v>0</x:v>
      </x:c>
      <x:c r="T973" s="93" t="n">
        <x:f>P973*R973</x:f>
        <x:v>156</x:v>
      </x:c>
      <x:c r="U973" s="93" t="n">
        <x:f>T973*S973</x:f>
        <x:v>0</x:v>
      </x:c>
      <x:c r="V973" s="93" t="str">
        <x:f>PROPER(TRIM('Raw Sales'!L973))</x:f>
        <x:v>Completed</x:v>
      </x:c>
      <x:c r="W973" s="93" t="n">
        <x:f>IF(V973="Returned",0,T973-U973)</x:f>
        <x:v>156</x:v>
      </x:c>
      <x:c r="X973" s="93" t="n">
        <x:f>IF(V973="Returned",Q973*R973*10%,Q973*R973)</x:f>
        <x:v>56</x:v>
      </x:c>
      <x:c r="Y973" s="93" t="n">
        <x:f>W973-X973</x:f>
        <x:v>100</x:v>
      </x:c>
      <x:c r="Z973" s="94" t="n">
        <x:f>IFERROR(Y973/W973,0)</x:f>
        <x:v>0.6410256410256411</x:v>
      </x:c>
      <x:c r="AA973" s="84" t="str">
        <x:f>PROPER(TRIM('Raw Sales'!M973))</x:f>
        <x:v>Credit Card</x:v>
      </x:c>
      <x:c r="AB973" s="84" t="str">
        <x:f>PROPER(TRIM('Raw Sales'!N973))</x:f>
        <x:v>Liam Parker</x:v>
      </x:c>
      <x:c r="AC973" s="85" t="n">
        <x:f>'Raw Sales'!O973</x:f>
        <x:v>45622</x:v>
      </x:c>
      <x:c r="AD973" s="84" t="n">
        <x:f>AC973-B973</x:f>
        <x:v>1</x:v>
      </x:c>
      <x:c r="AE973" s="84" t="str">
        <x:f>IF(COUNTIF($A$5:A973,A973)&gt;1,"Duplicate","Keep")</x:f>
        <x:v>Keep</x:v>
      </x:c>
      <x:c r="AF973" s="84" t="str">
        <x:f>IF(OR(R973&lt;=0,AC973&lt;B973,H973="Unknown",M973="Unknown Product"),"Review","Valid")</x:f>
        <x:v>Valid</x:v>
      </x:c>
      <x:c r="AG973" s="84" t="n">
        <x:f>IF(AND(AE973="Keep",AF973="Valid"),1,0)</x:f>
        <x:v>1</x:v>
      </x:c>
      <x:c r="AH973" s="84" t="n">
        <x:f>IF(AND(AG973=1,OR('Dashboard'!$B$4="All",I973='Dashboard'!$B$4),OR('Dashboard'!$E$4="All",N973='Dashboard'!$E$4),OR('Dashboard'!$H$4="All",K973='Dashboard'!$H$4),OR('Dashboard'!$K$4="All",C973='Dashboard'!$K$4)),1,0)</x:f>
        <x:v>1</x:v>
      </x:c>
      <x:c r="AI973" s="84" t="n">
        <x:f>IF(AND(AG973=1,OR('Dashboard'!$B$4="All",I973='Dashboard'!$B$4),OR('Dashboard'!$E$4="All",N973='Dashboard'!$E$4),OR('Dashboard'!$H$4="All",K973='Dashboard'!$H$4)),1,0)</x:f>
        <x:v>1</x:v>
      </x:c>
    </x:row>
    <x:row r="974">
      <x:c r="A974" s="84" t="str">
        <x:f>'Raw Sales'!A974</x:f>
        <x:v>ORD-2024-00241</x:v>
      </x:c>
      <x:c r="B974" s="85" t="n">
        <x:f>'Raw Sales'!B974</x:f>
        <x:v>45622</x:v>
      </x:c>
      <x:c r="C974" s="84" t="n">
        <x:f>YEAR(B974)</x:f>
        <x:v>2024</x:v>
      </x:c>
      <x:c r="D974" s="91" t="n">
        <x:f>DATE(YEAR(B974),MONTH(B974),1)</x:f>
        <x:v>45597</x:v>
      </x:c>
      <x:c r="E974" s="84" t="str">
        <x:f>TEXT(B974,"mmm")</x:f>
        <x:v>Nov</x:v>
      </x:c>
      <x:c r="F974" s="84" t="str">
        <x:f>'Raw Sales'!C974</x:f>
        <x:v>CUST-0393</x:v>
      </x:c>
      <x:c r="G974" s="84" t="str">
        <x:f>PROPER(TRIM('Raw Sales'!D974))</x:f>
        <x:v>Owen Carter</x:v>
      </x:c>
      <x:c r="H974" s="84" t="str">
        <x:f>IF(TRIM('Raw Sales'!E974)="","Unknown",PROPER(TRIM('Raw Sales'!E974)))</x:f>
        <x:v>Consumer</x:v>
      </x:c>
      <x:c r="I974" s="84" t="str">
        <x:f>PROPER(TRIM('Raw Sales'!F974))</x:f>
        <x:v>Midwest</x:v>
      </x:c>
      <x:c r="J974" s="84" t="str">
        <x:f>PROPER(TRIM('Raw Sales'!G974))</x:f>
        <x:v>Columbus</x:v>
      </x:c>
      <x:c r="K974" s="84" t="str">
        <x:f>PROPER(TRIM('Raw Sales'!H974))</x:f>
        <x:v>Online</x:v>
      </x:c>
      <x:c r="L974" s="84" t="str">
        <x:f>'Raw Sales'!I974</x:f>
        <x:v>CARE-003</x:v>
      </x:c>
      <x:c r="M974" s="84" t="str">
        <x:f>IFERROR(VLOOKUP(L974,'Reference Data'!$A$5:$F$40,2,FALSE),"Unknown Product")</x:f>
        <x:v>Facial Cleanser</x:v>
      </x:c>
      <x:c r="N974" s="84" t="str">
        <x:f>IFERROR(VLOOKUP(L974,'Reference Data'!$A$5:$F$40,3,FALSE),"Unknown")</x:f>
        <x:v>Personal Care</x:v>
      </x:c>
      <x:c r="O974" s="84" t="str">
        <x:f>IFERROR(VLOOKUP(L974,'Reference Data'!$A$5:$F$40,4,FALSE),"Unknown")</x:f>
        <x:v>Skin Care</x:v>
      </x:c>
      <x:c r="P974" s="92" t="n">
        <x:f>IFERROR(VLOOKUP(L974,'Reference Data'!$A$5:$F$40,5,FALSE),0)</x:f>
        <x:v>18</x:v>
      </x:c>
      <x:c r="Q974" s="92" t="n">
        <x:f>IFERROR(VLOOKUP(L974,'Reference Data'!$A$5:$F$40,6,FALSE),0)</x:f>
        <x:v>6</x:v>
      </x:c>
      <x:c r="R974" s="84" t="n">
        <x:f>'Raw Sales'!J974</x:f>
        <x:v>1</x:v>
      </x:c>
      <x:c r="S974" s="87" t="n">
        <x:f>'Raw Sales'!K974</x:f>
        <x:v>0</x:v>
      </x:c>
      <x:c r="T974" s="93" t="n">
        <x:f>P974*R974</x:f>
        <x:v>18</x:v>
      </x:c>
      <x:c r="U974" s="93" t="n">
        <x:f>T974*S974</x:f>
        <x:v>0</x:v>
      </x:c>
      <x:c r="V974" s="93" t="str">
        <x:f>PROPER(TRIM('Raw Sales'!L974))</x:f>
        <x:v>Completed</x:v>
      </x:c>
      <x:c r="W974" s="93" t="n">
        <x:f>IF(V974="Returned",0,T974-U974)</x:f>
        <x:v>18</x:v>
      </x:c>
      <x:c r="X974" s="93" t="n">
        <x:f>IF(V974="Returned",Q974*R974*10%,Q974*R974)</x:f>
        <x:v>6</x:v>
      </x:c>
      <x:c r="Y974" s="93" t="n">
        <x:f>W974-X974</x:f>
        <x:v>12</x:v>
      </x:c>
      <x:c r="Z974" s="94" t="n">
        <x:f>IFERROR(Y974/W974,0)</x:f>
        <x:v>0.6666666666666666</x:v>
      </x:c>
      <x:c r="AA974" s="84" t="str">
        <x:f>PROPER(TRIM('Raw Sales'!M974))</x:f>
        <x:v>Credit Card</x:v>
      </x:c>
      <x:c r="AB974" s="84" t="str">
        <x:f>PROPER(TRIM('Raw Sales'!N974))</x:f>
        <x:v>Lucas Grant</x:v>
      </x:c>
      <x:c r="AC974" s="85" t="n">
        <x:f>'Raw Sales'!O974</x:f>
        <x:v>45624</x:v>
      </x:c>
      <x:c r="AD974" s="84" t="n">
        <x:f>AC974-B974</x:f>
        <x:v>2</x:v>
      </x:c>
      <x:c r="AE974" s="84" t="str">
        <x:f>IF(COUNTIF($A$5:A974,A974)&gt;1,"Duplicate","Keep")</x:f>
        <x:v>Keep</x:v>
      </x:c>
      <x:c r="AF974" s="84" t="str">
        <x:f>IF(OR(R974&lt;=0,AC974&lt;B974,H974="Unknown",M974="Unknown Product"),"Review","Valid")</x:f>
        <x:v>Valid</x:v>
      </x:c>
      <x:c r="AG974" s="84" t="n">
        <x:f>IF(AND(AE974="Keep",AF974="Valid"),1,0)</x:f>
        <x:v>1</x:v>
      </x:c>
      <x:c r="AH974" s="84" t="n">
        <x:f>IF(AND(AG974=1,OR('Dashboard'!$B$4="All",I974='Dashboard'!$B$4),OR('Dashboard'!$E$4="All",N974='Dashboard'!$E$4),OR('Dashboard'!$H$4="All",K974='Dashboard'!$H$4),OR('Dashboard'!$K$4="All",C974='Dashboard'!$K$4)),1,0)</x:f>
        <x:v>1</x:v>
      </x:c>
      <x:c r="AI974" s="84" t="n">
        <x:f>IF(AND(AG974=1,OR('Dashboard'!$B$4="All",I974='Dashboard'!$B$4),OR('Dashboard'!$E$4="All",N974='Dashboard'!$E$4),OR('Dashboard'!$H$4="All",K974='Dashboard'!$H$4)),1,0)</x:f>
        <x:v>1</x:v>
      </x:c>
    </x:row>
    <x:row r="975">
      <x:c r="A975" s="84" t="str">
        <x:f>'Raw Sales'!A975</x:f>
        <x:v>ORD-2024-01040</x:v>
      </x:c>
      <x:c r="B975" s="85" t="n">
        <x:f>'Raw Sales'!B975</x:f>
        <x:v>45622</x:v>
      </x:c>
      <x:c r="C975" s="84" t="n">
        <x:f>YEAR(B975)</x:f>
        <x:v>2024</x:v>
      </x:c>
      <x:c r="D975" s="91" t="n">
        <x:f>DATE(YEAR(B975),MONTH(B975),1)</x:f>
        <x:v>45597</x:v>
      </x:c>
      <x:c r="E975" s="84" t="str">
        <x:f>TEXT(B975,"mmm")</x:f>
        <x:v>Nov</x:v>
      </x:c>
      <x:c r="F975" s="84" t="str">
        <x:f>'Raw Sales'!C975</x:f>
        <x:v>CUST-0152</x:v>
      </x:c>
      <x:c r="G975" s="84" t="str">
        <x:f>PROPER(TRIM('Raw Sales'!D975))</x:f>
        <x:v>Aiden Ortiz</x:v>
      </x:c>
      <x:c r="H975" s="84" t="str">
        <x:f>IF(TRIM('Raw Sales'!E975)="","Unknown",PROPER(TRIM('Raw Sales'!E975)))</x:f>
        <x:v>Consumer</x:v>
      </x:c>
      <x:c r="I975" s="84" t="str">
        <x:f>PROPER(TRIM('Raw Sales'!F975))</x:f>
        <x:v>West</x:v>
      </x:c>
      <x:c r="J975" s="84" t="str">
        <x:f>PROPER(TRIM('Raw Sales'!G975))</x:f>
        <x:v>Denver</x:v>
      </x:c>
      <x:c r="K975" s="84" t="str">
        <x:f>PROPER(TRIM('Raw Sales'!H975))</x:f>
        <x:v>Online</x:v>
      </x:c>
      <x:c r="L975" s="84" t="str">
        <x:f>'Raw Sales'!I975</x:f>
        <x:v>HOME-005</x:v>
      </x:c>
      <x:c r="M975" s="84" t="str">
        <x:f>IFERROR(VLOOKUP(L975,'Reference Data'!$A$5:$F$40,2,FALSE),"Unknown Product")</x:f>
        <x:v>Cordless Vacuum</x:v>
      </x:c>
      <x:c r="N975" s="84" t="str">
        <x:f>IFERROR(VLOOKUP(L975,'Reference Data'!$A$5:$F$40,3,FALSE),"Unknown")</x:f>
        <x:v>Home &amp; Kitchen</x:v>
      </x:c>
      <x:c r="O975" s="84" t="str">
        <x:f>IFERROR(VLOOKUP(L975,'Reference Data'!$A$5:$F$40,4,FALSE),"Unknown")</x:f>
        <x:v>Cleaning</x:v>
      </x:c>
      <x:c r="P975" s="92" t="n">
        <x:f>IFERROR(VLOOKUP(L975,'Reference Data'!$A$5:$F$40,5,FALSE),0)</x:f>
        <x:v>179</x:v>
      </x:c>
      <x:c r="Q975" s="92" t="n">
        <x:f>IFERROR(VLOOKUP(L975,'Reference Data'!$A$5:$F$40,6,FALSE),0)</x:f>
        <x:v>102</x:v>
      </x:c>
      <x:c r="R975" s="84" t="n">
        <x:f>'Raw Sales'!J975</x:f>
        <x:v>1</x:v>
      </x:c>
      <x:c r="S975" s="87" t="n">
        <x:f>'Raw Sales'!K975</x:f>
        <x:v>0.15</x:v>
      </x:c>
      <x:c r="T975" s="93" t="n">
        <x:f>P975*R975</x:f>
        <x:v>179</x:v>
      </x:c>
      <x:c r="U975" s="93" t="n">
        <x:f>T975*S975</x:f>
        <x:v>26.849999999999998</x:v>
      </x:c>
      <x:c r="V975" s="93" t="str">
        <x:f>PROPER(TRIM('Raw Sales'!L975))</x:f>
        <x:v>Completed</x:v>
      </x:c>
      <x:c r="W975" s="93" t="n">
        <x:f>IF(V975="Returned",0,T975-U975)</x:f>
        <x:v>152.15</x:v>
      </x:c>
      <x:c r="X975" s="93" t="n">
        <x:f>IF(V975="Returned",Q975*R975*10%,Q975*R975)</x:f>
        <x:v>102</x:v>
      </x:c>
      <x:c r="Y975" s="93" t="n">
        <x:f>W975-X975</x:f>
        <x:v>50.150000000000006</x:v>
      </x:c>
      <x:c r="Z975" s="94" t="n">
        <x:f>IFERROR(Y975/W975,0)</x:f>
        <x:v>0.3296089385474861</x:v>
      </x:c>
      <x:c r="AA975" s="84" t="str">
        <x:f>PROPER(TRIM('Raw Sales'!M975))</x:f>
        <x:v>Mobile Wallet</x:v>
      </x:c>
      <x:c r="AB975" s="84" t="str">
        <x:f>PROPER(TRIM('Raw Sales'!N975))</x:f>
        <x:v>Leo Martinez</x:v>
      </x:c>
      <x:c r="AC975" s="85" t="n">
        <x:f>'Raw Sales'!O975</x:f>
        <x:v>45625</x:v>
      </x:c>
      <x:c r="AD975" s="84" t="n">
        <x:f>AC975-B975</x:f>
        <x:v>3</x:v>
      </x:c>
      <x:c r="AE975" s="84" t="str">
        <x:f>IF(COUNTIF($A$5:A975,A975)&gt;1,"Duplicate","Keep")</x:f>
        <x:v>Keep</x:v>
      </x:c>
      <x:c r="AF975" s="84" t="str">
        <x:f>IF(OR(R975&lt;=0,AC975&lt;B975,H975="Unknown",M975="Unknown Product"),"Review","Valid")</x:f>
        <x:v>Valid</x:v>
      </x:c>
      <x:c r="AG975" s="84" t="n">
        <x:f>IF(AND(AE975="Keep",AF975="Valid"),1,0)</x:f>
        <x:v>1</x:v>
      </x:c>
      <x:c r="AH975" s="84" t="n">
        <x:f>IF(AND(AG975=1,OR('Dashboard'!$B$4="All",I975='Dashboard'!$B$4),OR('Dashboard'!$E$4="All",N975='Dashboard'!$E$4),OR('Dashboard'!$H$4="All",K975='Dashboard'!$H$4),OR('Dashboard'!$K$4="All",C975='Dashboard'!$K$4)),1,0)</x:f>
        <x:v>1</x:v>
      </x:c>
      <x:c r="AI975" s="84" t="n">
        <x:f>IF(AND(AG975=1,OR('Dashboard'!$B$4="All",I975='Dashboard'!$B$4),OR('Dashboard'!$E$4="All",N975='Dashboard'!$E$4),OR('Dashboard'!$H$4="All",K975='Dashboard'!$H$4)),1,0)</x:f>
        <x:v>1</x:v>
      </x:c>
    </x:row>
    <x:row r="976">
      <x:c r="A976" s="84" t="str">
        <x:f>'Raw Sales'!A976</x:f>
        <x:v>ORD-2024-01686</x:v>
      </x:c>
      <x:c r="B976" s="85" t="n">
        <x:f>'Raw Sales'!B976</x:f>
        <x:v>45622</x:v>
      </x:c>
      <x:c r="C976" s="84" t="n">
        <x:f>YEAR(B976)</x:f>
        <x:v>2024</x:v>
      </x:c>
      <x:c r="D976" s="91" t="n">
        <x:f>DATE(YEAR(B976),MONTH(B976),1)</x:f>
        <x:v>45597</x:v>
      </x:c>
      <x:c r="E976" s="84" t="str">
        <x:f>TEXT(B976,"mmm")</x:f>
        <x:v>Nov</x:v>
      </x:c>
      <x:c r="F976" s="84" t="str">
        <x:f>'Raw Sales'!C976</x:f>
        <x:v>CUST-0463</x:v>
      </x:c>
      <x:c r="G976" s="84" t="str">
        <x:f>PROPER(TRIM('Raw Sales'!D976))</x:f>
        <x:v>Aiden Lewis</x:v>
      </x:c>
      <x:c r="H976" s="84" t="str">
        <x:f>IF(TRIM('Raw Sales'!E976)="","Unknown",PROPER(TRIM('Raw Sales'!E976)))</x:f>
        <x:v>Consumer</x:v>
      </x:c>
      <x:c r="I976" s="84" t="str">
        <x:f>PROPER(TRIM('Raw Sales'!F976))</x:f>
        <x:v>Northeast</x:v>
      </x:c>
      <x:c r="J976" s="84" t="str">
        <x:f>PROPER(TRIM('Raw Sales'!G976))</x:f>
        <x:v>Newark</x:v>
      </x:c>
      <x:c r="K976" s="84" t="str">
        <x:f>PROPER(TRIM('Raw Sales'!H976))</x:f>
        <x:v>Retail Store</x:v>
      </x:c>
      <x:c r="L976" s="84" t="str">
        <x:f>'Raw Sales'!I976</x:f>
        <x:v>OFFC-005</x:v>
      </x:c>
      <x:c r="M976" s="84" t="str">
        <x:f>IFERROR(VLOOKUP(L976,'Reference Data'!$A$5:$F$40,2,FALSE),"Unknown Product")</x:f>
        <x:v>Wireless Keyboard</x:v>
      </x:c>
      <x:c r="N976" s="84" t="str">
        <x:f>IFERROR(VLOOKUP(L976,'Reference Data'!$A$5:$F$40,3,FALSE),"Unknown")</x:f>
        <x:v>Office</x:v>
      </x:c>
      <x:c r="O976" s="84" t="str">
        <x:f>IFERROR(VLOOKUP(L976,'Reference Data'!$A$5:$F$40,4,FALSE),"Unknown")</x:f>
        <x:v>Computer Accessories</x:v>
      </x:c>
      <x:c r="P976" s="92" t="n">
        <x:f>IFERROR(VLOOKUP(L976,'Reference Data'!$A$5:$F$40,5,FALSE),0)</x:f>
        <x:v>59</x:v>
      </x:c>
      <x:c r="Q976" s="92" t="n">
        <x:f>IFERROR(VLOOKUP(L976,'Reference Data'!$A$5:$F$40,6,FALSE),0)</x:f>
        <x:v>28</x:v>
      </x:c>
      <x:c r="R976" s="84" t="n">
        <x:f>'Raw Sales'!J976</x:f>
        <x:v>1</x:v>
      </x:c>
      <x:c r="S976" s="87" t="n">
        <x:f>'Raw Sales'!K976</x:f>
        <x:v>0.1</x:v>
      </x:c>
      <x:c r="T976" s="93" t="n">
        <x:f>P976*R976</x:f>
        <x:v>59</x:v>
      </x:c>
      <x:c r="U976" s="93" t="n">
        <x:f>T976*S976</x:f>
        <x:v>5.9</x:v>
      </x:c>
      <x:c r="V976" s="93" t="str">
        <x:f>PROPER(TRIM('Raw Sales'!L976))</x:f>
        <x:v>Completed</x:v>
      </x:c>
      <x:c r="W976" s="93" t="n">
        <x:f>IF(V976="Returned",0,T976-U976)</x:f>
        <x:v>53.1</x:v>
      </x:c>
      <x:c r="X976" s="93" t="n">
        <x:f>IF(V976="Returned",Q976*R976*10%,Q976*R976)</x:f>
        <x:v>28</x:v>
      </x:c>
      <x:c r="Y976" s="93" t="n">
        <x:f>W976-X976</x:f>
        <x:v>25.1</x:v>
      </x:c>
      <x:c r="Z976" s="94" t="n">
        <x:f>IFERROR(Y976/W976,0)</x:f>
        <x:v>0.4726930320150659</x:v>
      </x:c>
      <x:c r="AA976" s="84" t="str">
        <x:f>PROPER(TRIM('Raw Sales'!M976))</x:f>
        <x:v>Credit Card</x:v>
      </x:c>
      <x:c r="AB976" s="84" t="str">
        <x:f>PROPER(TRIM('Raw Sales'!N976))</x:f>
        <x:v>Sofia Bennett</x:v>
      </x:c>
      <x:c r="AC976" s="85" t="n">
        <x:f>'Raw Sales'!O976</x:f>
        <x:v>45622</x:v>
      </x:c>
      <x:c r="AD976" s="84" t="n">
        <x:f>AC976-B976</x:f>
        <x:v>0</x:v>
      </x:c>
      <x:c r="AE976" s="84" t="str">
        <x:f>IF(COUNTIF($A$5:A976,A976)&gt;1,"Duplicate","Keep")</x:f>
        <x:v>Keep</x:v>
      </x:c>
      <x:c r="AF976" s="84" t="str">
        <x:f>IF(OR(R976&lt;=0,AC976&lt;B976,H976="Unknown",M976="Unknown Product"),"Review","Valid")</x:f>
        <x:v>Valid</x:v>
      </x:c>
      <x:c r="AG976" s="84" t="n">
        <x:f>IF(AND(AE976="Keep",AF976="Valid"),1,0)</x:f>
        <x:v>1</x:v>
      </x:c>
      <x:c r="AH976" s="84" t="n">
        <x:f>IF(AND(AG976=1,OR('Dashboard'!$B$4="All",I976='Dashboard'!$B$4),OR('Dashboard'!$E$4="All",N976='Dashboard'!$E$4),OR('Dashboard'!$H$4="All",K976='Dashboard'!$H$4),OR('Dashboard'!$K$4="All",C976='Dashboard'!$K$4)),1,0)</x:f>
        <x:v>1</x:v>
      </x:c>
      <x:c r="AI976" s="84" t="n">
        <x:f>IF(AND(AG976=1,OR('Dashboard'!$B$4="All",I976='Dashboard'!$B$4),OR('Dashboard'!$E$4="All",N976='Dashboard'!$E$4),OR('Dashboard'!$H$4="All",K976='Dashboard'!$H$4)),1,0)</x:f>
        <x:v>1</x:v>
      </x:c>
    </x:row>
    <x:row r="977">
      <x:c r="A977" s="84" t="str">
        <x:f>'Raw Sales'!A977</x:f>
        <x:v>ORD-2024-01545</x:v>
      </x:c>
      <x:c r="B977" s="85" t="n">
        <x:f>'Raw Sales'!B977</x:f>
        <x:v>45623</x:v>
      </x:c>
      <x:c r="C977" s="84" t="n">
        <x:f>YEAR(B977)</x:f>
        <x:v>2024</x:v>
      </x:c>
      <x:c r="D977" s="91" t="n">
        <x:f>DATE(YEAR(B977),MONTH(B977),1)</x:f>
        <x:v>45597</x:v>
      </x:c>
      <x:c r="E977" s="84" t="str">
        <x:f>TEXT(B977,"mmm")</x:f>
        <x:v>Nov</x:v>
      </x:c>
      <x:c r="F977" s="84" t="str">
        <x:f>'Raw Sales'!C977</x:f>
        <x:v>CUST-0487</x:v>
      </x:c>
      <x:c r="G977" s="84" t="str">
        <x:f>PROPER(TRIM('Raw Sales'!D977))</x:f>
        <x:v>Marcus Adams</x:v>
      </x:c>
      <x:c r="H977" s="84" t="str">
        <x:f>IF(TRIM('Raw Sales'!E977)="","Unknown",PROPER(TRIM('Raw Sales'!E977)))</x:f>
        <x:v>Consumer</x:v>
      </x:c>
      <x:c r="I977" s="84" t="str">
        <x:f>PROPER(TRIM('Raw Sales'!F977))</x:f>
        <x:v>Southeast</x:v>
      </x:c>
      <x:c r="J977" s="84" t="str">
        <x:f>PROPER(TRIM('Raw Sales'!G977))</x:f>
        <x:v>Atlanta</x:v>
      </x:c>
      <x:c r="K977" s="84" t="str">
        <x:f>PROPER(TRIM('Raw Sales'!H977))</x:f>
        <x:v>Retail Store</x:v>
      </x:c>
      <x:c r="L977" s="84" t="str">
        <x:f>'Raw Sales'!I977</x:f>
        <x:v>HOME-001</x:v>
      </x:c>
      <x:c r="M977" s="84" t="str">
        <x:f>IFERROR(VLOOKUP(L977,'Reference Data'!$A$5:$F$40,2,FALSE),"Unknown Product")</x:f>
        <x:v>Air Fryer</x:v>
      </x:c>
      <x:c r="N977" s="84" t="str">
        <x:f>IFERROR(VLOOKUP(L977,'Reference Data'!$A$5:$F$40,3,FALSE),"Unknown")</x:f>
        <x:v>Home &amp; Kitchen</x:v>
      </x:c>
      <x:c r="O977" s="84" t="str">
        <x:f>IFERROR(VLOOKUP(L977,'Reference Data'!$A$5:$F$40,4,FALSE),"Unknown")</x:f>
        <x:v>Small Appliances</x:v>
      </x:c>
      <x:c r="P977" s="92" t="n">
        <x:f>IFERROR(VLOOKUP(L977,'Reference Data'!$A$5:$F$40,5,FALSE),0)</x:f>
        <x:v>119</x:v>
      </x:c>
      <x:c r="Q977" s="92" t="n">
        <x:f>IFERROR(VLOOKUP(L977,'Reference Data'!$A$5:$F$40,6,FALSE),0)</x:f>
        <x:v>68</x:v>
      </x:c>
      <x:c r="R977" s="84" t="n">
        <x:f>'Raw Sales'!J977</x:f>
        <x:v>1</x:v>
      </x:c>
      <x:c r="S977" s="87" t="n">
        <x:f>'Raw Sales'!K977</x:f>
        <x:v>0</x:v>
      </x:c>
      <x:c r="T977" s="93" t="n">
        <x:f>P977*R977</x:f>
        <x:v>119</x:v>
      </x:c>
      <x:c r="U977" s="93" t="n">
        <x:f>T977*S977</x:f>
        <x:v>0</x:v>
      </x:c>
      <x:c r="V977" s="93" t="str">
        <x:f>PROPER(TRIM('Raw Sales'!L977))</x:f>
        <x:v>Completed</x:v>
      </x:c>
      <x:c r="W977" s="93" t="n">
        <x:f>IF(V977="Returned",0,T977-U977)</x:f>
        <x:v>119</x:v>
      </x:c>
      <x:c r="X977" s="93" t="n">
        <x:f>IF(V977="Returned",Q977*R977*10%,Q977*R977)</x:f>
        <x:v>68</x:v>
      </x:c>
      <x:c r="Y977" s="93" t="n">
        <x:f>W977-X977</x:f>
        <x:v>51</x:v>
      </x:c>
      <x:c r="Z977" s="94" t="n">
        <x:f>IFERROR(Y977/W977,0)</x:f>
        <x:v>0.42857142857142855</x:v>
      </x:c>
      <x:c r="AA977" s="84" t="str">
        <x:f>PROPER(TRIM('Raw Sales'!M977))</x:f>
        <x:v>Debit Card</x:v>
      </x:c>
      <x:c r="AB977" s="84" t="str">
        <x:f>PROPER(TRIM('Raw Sales'!N977))</x:f>
        <x:v>Liam Parker</x:v>
      </x:c>
      <x:c r="AC977" s="85" t="n">
        <x:f>'Raw Sales'!O977</x:f>
        <x:v>45623</x:v>
      </x:c>
      <x:c r="AD977" s="84" t="n">
        <x:f>AC977-B977</x:f>
        <x:v>0</x:v>
      </x:c>
      <x:c r="AE977" s="84" t="str">
        <x:f>IF(COUNTIF($A$5:A977,A977)&gt;1,"Duplicate","Keep")</x:f>
        <x:v>Keep</x:v>
      </x:c>
      <x:c r="AF977" s="84" t="str">
        <x:f>IF(OR(R977&lt;=0,AC977&lt;B977,H977="Unknown",M977="Unknown Product"),"Review","Valid")</x:f>
        <x:v>Valid</x:v>
      </x:c>
      <x:c r="AG977" s="84" t="n">
        <x:f>IF(AND(AE977="Keep",AF977="Valid"),1,0)</x:f>
        <x:v>1</x:v>
      </x:c>
      <x:c r="AH977" s="84" t="n">
        <x:f>IF(AND(AG977=1,OR('Dashboard'!$B$4="All",I977='Dashboard'!$B$4),OR('Dashboard'!$E$4="All",N977='Dashboard'!$E$4),OR('Dashboard'!$H$4="All",K977='Dashboard'!$H$4),OR('Dashboard'!$K$4="All",C977='Dashboard'!$K$4)),1,0)</x:f>
        <x:v>1</x:v>
      </x:c>
      <x:c r="AI977" s="84" t="n">
        <x:f>IF(AND(AG977=1,OR('Dashboard'!$B$4="All",I977='Dashboard'!$B$4),OR('Dashboard'!$E$4="All",N977='Dashboard'!$E$4),OR('Dashboard'!$H$4="All",K977='Dashboard'!$H$4)),1,0)</x:f>
        <x:v>1</x:v>
      </x:c>
    </x:row>
    <x:row r="978">
      <x:c r="A978" s="84" t="str">
        <x:f>'Raw Sales'!A978</x:f>
        <x:v>ORD-2024-00293</x:v>
      </x:c>
      <x:c r="B978" s="85" t="n">
        <x:f>'Raw Sales'!B978</x:f>
        <x:v>45624</x:v>
      </x:c>
      <x:c r="C978" s="84" t="n">
        <x:f>YEAR(B978)</x:f>
        <x:v>2024</x:v>
      </x:c>
      <x:c r="D978" s="91" t="n">
        <x:f>DATE(YEAR(B978),MONTH(B978),1)</x:f>
        <x:v>45597</x:v>
      </x:c>
      <x:c r="E978" s="84" t="str">
        <x:f>TEXT(B978,"mmm")</x:f>
        <x:v>Nov</x:v>
      </x:c>
      <x:c r="F978" s="84" t="str">
        <x:f>'Raw Sales'!C978</x:f>
        <x:v>CUST-0592</x:v>
      </x:c>
      <x:c r="G978" s="84" t="str">
        <x:f>PROPER(TRIM('Raw Sales'!D978))</x:f>
        <x:v>Theo Patel</x:v>
      </x:c>
      <x:c r="H978" s="84" t="str">
        <x:f>IF(TRIM('Raw Sales'!E978)="","Unknown",PROPER(TRIM('Raw Sales'!E978)))</x:f>
        <x:v>Corporate</x:v>
      </x:c>
      <x:c r="I978" s="84" t="str">
        <x:f>PROPER(TRIM('Raw Sales'!F978))</x:f>
        <x:v>Southeast</x:v>
      </x:c>
      <x:c r="J978" s="84" t="str">
        <x:f>PROPER(TRIM('Raw Sales'!G978))</x:f>
        <x:v>Nashville</x:v>
      </x:c>
      <x:c r="K978" s="84" t="str">
        <x:f>PROPER(TRIM('Raw Sales'!H978))</x:f>
        <x:v>Marketplace</x:v>
      </x:c>
      <x:c r="L978" s="84" t="str">
        <x:f>'Raw Sales'!I978</x:f>
        <x:v>CARE-002</x:v>
      </x:c>
      <x:c r="M978" s="84" t="str">
        <x:f>IFERROR(VLOOKUP(L978,'Reference Data'!$A$5:$F$40,2,FALSE),"Unknown Product")</x:f>
        <x:v>Rechargeable Trimmer</x:v>
      </x:c>
      <x:c r="N978" s="84" t="str">
        <x:f>IFERROR(VLOOKUP(L978,'Reference Data'!$A$5:$F$40,3,FALSE),"Unknown")</x:f>
        <x:v>Personal Care</x:v>
      </x:c>
      <x:c r="O978" s="84" t="str">
        <x:f>IFERROR(VLOOKUP(L978,'Reference Data'!$A$5:$F$40,4,FALSE),"Unknown")</x:f>
        <x:v>Grooming</x:v>
      </x:c>
      <x:c r="P978" s="92" t="n">
        <x:f>IFERROR(VLOOKUP(L978,'Reference Data'!$A$5:$F$40,5,FALSE),0)</x:f>
        <x:v>45</x:v>
      </x:c>
      <x:c r="Q978" s="92" t="n">
        <x:f>IFERROR(VLOOKUP(L978,'Reference Data'!$A$5:$F$40,6,FALSE),0)</x:f>
        <x:v>19</x:v>
      </x:c>
      <x:c r="R978" s="84" t="n">
        <x:f>'Raw Sales'!J978</x:f>
        <x:v>5</x:v>
      </x:c>
      <x:c r="S978" s="87" t="n">
        <x:f>'Raw Sales'!K978</x:f>
        <x:v>0.1</x:v>
      </x:c>
      <x:c r="T978" s="93" t="n">
        <x:f>P978*R978</x:f>
        <x:v>225</x:v>
      </x:c>
      <x:c r="U978" s="93" t="n">
        <x:f>T978*S978</x:f>
        <x:v>22.5</x:v>
      </x:c>
      <x:c r="V978" s="93" t="str">
        <x:f>PROPER(TRIM('Raw Sales'!L978))</x:f>
        <x:v>Completed</x:v>
      </x:c>
      <x:c r="W978" s="93" t="n">
        <x:f>IF(V978="Returned",0,T978-U978)</x:f>
        <x:v>202.5</x:v>
      </x:c>
      <x:c r="X978" s="93" t="n">
        <x:f>IF(V978="Returned",Q978*R978*10%,Q978*R978)</x:f>
        <x:v>95</x:v>
      </x:c>
      <x:c r="Y978" s="93" t="n">
        <x:f>W978-X978</x:f>
        <x:v>107.5</x:v>
      </x:c>
      <x:c r="Z978" s="94" t="n">
        <x:f>IFERROR(Y978/W978,0)</x:f>
        <x:v>0.5308641975308642</x:v>
      </x:c>
      <x:c r="AA978" s="84" t="str">
        <x:f>PROPER(TRIM('Raw Sales'!M978))</x:f>
        <x:v>Credit Card</x:v>
      </x:c>
      <x:c r="AB978" s="84" t="str">
        <x:f>PROPER(TRIM('Raw Sales'!N978))</x:f>
        <x:v>Noah Reed</x:v>
      </x:c>
      <x:c r="AC978" s="85" t="n">
        <x:f>'Raw Sales'!O978</x:f>
        <x:v>45627</x:v>
      </x:c>
      <x:c r="AD978" s="84" t="n">
        <x:f>AC978-B978</x:f>
        <x:v>3</x:v>
      </x:c>
      <x:c r="AE978" s="84" t="str">
        <x:f>IF(COUNTIF($A$5:A978,A978)&gt;1,"Duplicate","Keep")</x:f>
        <x:v>Keep</x:v>
      </x:c>
      <x:c r="AF978" s="84" t="str">
        <x:f>IF(OR(R978&lt;=0,AC978&lt;B978,H978="Unknown",M978="Unknown Product"),"Review","Valid")</x:f>
        <x:v>Valid</x:v>
      </x:c>
      <x:c r="AG978" s="84" t="n">
        <x:f>IF(AND(AE978="Keep",AF978="Valid"),1,0)</x:f>
        <x:v>1</x:v>
      </x:c>
      <x:c r="AH978" s="84" t="n">
        <x:f>IF(AND(AG978=1,OR('Dashboard'!$B$4="All",I978='Dashboard'!$B$4),OR('Dashboard'!$E$4="All",N978='Dashboard'!$E$4),OR('Dashboard'!$H$4="All",K978='Dashboard'!$H$4),OR('Dashboard'!$K$4="All",C978='Dashboard'!$K$4)),1,0)</x:f>
        <x:v>1</x:v>
      </x:c>
      <x:c r="AI978" s="84" t="n">
        <x:f>IF(AND(AG978=1,OR('Dashboard'!$B$4="All",I978='Dashboard'!$B$4),OR('Dashboard'!$E$4="All",N978='Dashboard'!$E$4),OR('Dashboard'!$H$4="All",K978='Dashboard'!$H$4)),1,0)</x:f>
        <x:v>1</x:v>
      </x:c>
    </x:row>
    <x:row r="979">
      <x:c r="A979" s="84" t="str">
        <x:f>'Raw Sales'!A979</x:f>
        <x:v>ORD-2024-00543</x:v>
      </x:c>
      <x:c r="B979" s="85" t="n">
        <x:f>'Raw Sales'!B979</x:f>
        <x:v>45624</x:v>
      </x:c>
      <x:c r="C979" s="84" t="n">
        <x:f>YEAR(B979)</x:f>
        <x:v>2024</x:v>
      </x:c>
      <x:c r="D979" s="91" t="n">
        <x:f>DATE(YEAR(B979),MONTH(B979),1)</x:f>
        <x:v>45597</x:v>
      </x:c>
      <x:c r="E979" s="84" t="str">
        <x:f>TEXT(B979,"mmm")</x:f>
        <x:v>Nov</x:v>
      </x:c>
      <x:c r="F979" s="84" t="str">
        <x:f>'Raw Sales'!C979</x:f>
        <x:v>CUST-0377</x:v>
      </x:c>
      <x:c r="G979" s="84" t="str">
        <x:f>PROPER(TRIM('Raw Sales'!D979))</x:f>
        <x:v>Owen Adams</x:v>
      </x:c>
      <x:c r="H979" s="84" t="str">
        <x:f>IF(TRIM('Raw Sales'!E979)="","Unknown",PROPER(TRIM('Raw Sales'!E979)))</x:f>
        <x:v>Consumer</x:v>
      </x:c>
      <x:c r="I979" s="84" t="str">
        <x:f>PROPER(TRIM('Raw Sales'!F979))</x:f>
        <x:v>Northeast</x:v>
      </x:c>
      <x:c r="J979" s="84" t="str">
        <x:f>PROPER(TRIM('Raw Sales'!G979))</x:f>
        <x:v>Boston</x:v>
      </x:c>
      <x:c r="K979" s="84" t="str">
        <x:f>PROPER(TRIM('Raw Sales'!H979))</x:f>
        <x:v>Retail Store</x:v>
      </x:c>
      <x:c r="L979" s="84" t="str">
        <x:f>'Raw Sales'!I979</x:f>
        <x:v>ELEC-005</x:v>
      </x:c>
      <x:c r="M979" s="84" t="str">
        <x:f>IFERROR(VLOOKUP(L979,'Reference Data'!$A$5:$F$40,2,FALSE),"Unknown Product")</x:f>
        <x:v>HD Webcam</x:v>
      </x:c>
      <x:c r="N979" s="84" t="str">
        <x:f>IFERROR(VLOOKUP(L979,'Reference Data'!$A$5:$F$40,3,FALSE),"Unknown")</x:f>
        <x:v>Electronics</x:v>
      </x:c>
      <x:c r="O979" s="84" t="str">
        <x:f>IFERROR(VLOOKUP(L979,'Reference Data'!$A$5:$F$40,4,FALSE),"Unknown")</x:f>
        <x:v>Computer Accessories</x:v>
      </x:c>
      <x:c r="P979" s="92" t="n">
        <x:f>IFERROR(VLOOKUP(L979,'Reference Data'!$A$5:$F$40,5,FALSE),0)</x:f>
        <x:v>79</x:v>
      </x:c>
      <x:c r="Q979" s="92" t="n">
        <x:f>IFERROR(VLOOKUP(L979,'Reference Data'!$A$5:$F$40,6,FALSE),0)</x:f>
        <x:v>37</x:v>
      </x:c>
      <x:c r="R979" s="84" t="n">
        <x:f>'Raw Sales'!J979</x:f>
        <x:v>1</x:v>
      </x:c>
      <x:c r="S979" s="87" t="n">
        <x:f>'Raw Sales'!K979</x:f>
        <x:v>0</x:v>
      </x:c>
      <x:c r="T979" s="93" t="n">
        <x:f>P979*R979</x:f>
        <x:v>79</x:v>
      </x:c>
      <x:c r="U979" s="93" t="n">
        <x:f>T979*S979</x:f>
        <x:v>0</x:v>
      </x:c>
      <x:c r="V979" s="93" t="str">
        <x:f>PROPER(TRIM('Raw Sales'!L979))</x:f>
        <x:v>Completed</x:v>
      </x:c>
      <x:c r="W979" s="93" t="n">
        <x:f>IF(V979="Returned",0,T979-U979)</x:f>
        <x:v>79</x:v>
      </x:c>
      <x:c r="X979" s="93" t="n">
        <x:f>IF(V979="Returned",Q979*R979*10%,Q979*R979)</x:f>
        <x:v>37</x:v>
      </x:c>
      <x:c r="Y979" s="93" t="n">
        <x:f>W979-X979</x:f>
        <x:v>42</x:v>
      </x:c>
      <x:c r="Z979" s="94" t="n">
        <x:f>IFERROR(Y979/W979,0)</x:f>
        <x:v>0.5316455696202531</x:v>
      </x:c>
      <x:c r="AA979" s="84" t="str">
        <x:f>PROPER(TRIM('Raw Sales'!M979))</x:f>
        <x:v>Debit Card</x:v>
      </x:c>
      <x:c r="AB979" s="84" t="str">
        <x:f>PROPER(TRIM('Raw Sales'!N979))</x:f>
        <x:v>Ethan Cole</x:v>
      </x:c>
      <x:c r="AC979" s="85" t="n">
        <x:f>'Raw Sales'!O979</x:f>
        <x:v>45624</x:v>
      </x:c>
      <x:c r="AD979" s="84" t="n">
        <x:f>AC979-B979</x:f>
        <x:v>0</x:v>
      </x:c>
      <x:c r="AE979" s="84" t="str">
        <x:f>IF(COUNTIF($A$5:A979,A979)&gt;1,"Duplicate","Keep")</x:f>
        <x:v>Keep</x:v>
      </x:c>
      <x:c r="AF979" s="84" t="str">
        <x:f>IF(OR(R979&lt;=0,AC979&lt;B979,H979="Unknown",M979="Unknown Product"),"Review","Valid")</x:f>
        <x:v>Valid</x:v>
      </x:c>
      <x:c r="AG979" s="84" t="n">
        <x:f>IF(AND(AE979="Keep",AF979="Valid"),1,0)</x:f>
        <x:v>1</x:v>
      </x:c>
      <x:c r="AH979" s="84" t="n">
        <x:f>IF(AND(AG979=1,OR('Dashboard'!$B$4="All",I979='Dashboard'!$B$4),OR('Dashboard'!$E$4="All",N979='Dashboard'!$E$4),OR('Dashboard'!$H$4="All",K979='Dashboard'!$H$4),OR('Dashboard'!$K$4="All",C979='Dashboard'!$K$4)),1,0)</x:f>
        <x:v>1</x:v>
      </x:c>
      <x:c r="AI979" s="84" t="n">
        <x:f>IF(AND(AG979=1,OR('Dashboard'!$B$4="All",I979='Dashboard'!$B$4),OR('Dashboard'!$E$4="All",N979='Dashboard'!$E$4),OR('Dashboard'!$H$4="All",K979='Dashboard'!$H$4)),1,0)</x:f>
        <x:v>1</x:v>
      </x:c>
    </x:row>
    <x:row r="980">
      <x:c r="A980" s="84" t="str">
        <x:f>'Raw Sales'!A980</x:f>
        <x:v>ORD-2024-00705</x:v>
      </x:c>
      <x:c r="B980" s="85" t="n">
        <x:f>'Raw Sales'!B980</x:f>
        <x:v>45624</x:v>
      </x:c>
      <x:c r="C980" s="84" t="n">
        <x:f>YEAR(B980)</x:f>
        <x:v>2024</x:v>
      </x:c>
      <x:c r="D980" s="91" t="n">
        <x:f>DATE(YEAR(B980),MONTH(B980),1)</x:f>
        <x:v>45597</x:v>
      </x:c>
      <x:c r="E980" s="84" t="str">
        <x:f>TEXT(B980,"mmm")</x:f>
        <x:v>Nov</x:v>
      </x:c>
      <x:c r="F980" s="84" t="str">
        <x:f>'Raw Sales'!C980</x:f>
        <x:v>CUST-0053</x:v>
      </x:c>
      <x:c r="G980" s="84" t="str">
        <x:f>PROPER(TRIM('Raw Sales'!D980))</x:f>
        <x:v>Theo Patel</x:v>
      </x:c>
      <x:c r="H980" s="84" t="str">
        <x:f>IF(TRIM('Raw Sales'!E980)="","Unknown",PROPER(TRIM('Raw Sales'!E980)))</x:f>
        <x:v>Small Business</x:v>
      </x:c>
      <x:c r="I980" s="84" t="str">
        <x:f>PROPER(TRIM('Raw Sales'!F980))</x:f>
        <x:v>West</x:v>
      </x:c>
      <x:c r="J980" s="84" t="str">
        <x:f>PROPER(TRIM('Raw Sales'!G980))</x:f>
        <x:v>Los Angeles</x:v>
      </x:c>
      <x:c r="K980" s="84" t="str">
        <x:f>PROPER(TRIM('Raw Sales'!H980))</x:f>
        <x:v>Marketplace</x:v>
      </x:c>
      <x:c r="L980" s="84" t="str">
        <x:f>'Raw Sales'!I980</x:f>
        <x:v>HOME-002</x:v>
      </x:c>
      <x:c r="M980" s="84" t="str">
        <x:f>IFERROR(VLOOKUP(L980,'Reference Data'!$A$5:$F$40,2,FALSE),"Unknown Product")</x:f>
        <x:v>Electric Kettle</x:v>
      </x:c>
      <x:c r="N980" s="84" t="str">
        <x:f>IFERROR(VLOOKUP(L980,'Reference Data'!$A$5:$F$40,3,FALSE),"Unknown")</x:f>
        <x:v>Home &amp; Kitchen</x:v>
      </x:c>
      <x:c r="O980" s="84" t="str">
        <x:f>IFERROR(VLOOKUP(L980,'Reference Data'!$A$5:$F$40,4,FALSE),"Unknown")</x:f>
        <x:v>Small Appliances</x:v>
      </x:c>
      <x:c r="P980" s="92" t="n">
        <x:f>IFERROR(VLOOKUP(L980,'Reference Data'!$A$5:$F$40,5,FALSE),0)</x:f>
        <x:v>49</x:v>
      </x:c>
      <x:c r="Q980" s="92" t="n">
        <x:f>IFERROR(VLOOKUP(L980,'Reference Data'!$A$5:$F$40,6,FALSE),0)</x:f>
        <x:v>23</x:v>
      </x:c>
      <x:c r="R980" s="84" t="n">
        <x:f>'Raw Sales'!J980</x:f>
        <x:v>1</x:v>
      </x:c>
      <x:c r="S980" s="87" t="n">
        <x:f>'Raw Sales'!K980</x:f>
        <x:v>0.2</x:v>
      </x:c>
      <x:c r="T980" s="93" t="n">
        <x:f>P980*R980</x:f>
        <x:v>49</x:v>
      </x:c>
      <x:c r="U980" s="93" t="n">
        <x:f>T980*S980</x:f>
        <x:v>9.8</x:v>
      </x:c>
      <x:c r="V980" s="93" t="str">
        <x:f>PROPER(TRIM('Raw Sales'!L980))</x:f>
        <x:v>Completed</x:v>
      </x:c>
      <x:c r="W980" s="93" t="n">
        <x:f>IF(V980="Returned",0,T980-U980)</x:f>
        <x:v>39.2</x:v>
      </x:c>
      <x:c r="X980" s="93" t="n">
        <x:f>IF(V980="Returned",Q980*R980*10%,Q980*R980)</x:f>
        <x:v>23</x:v>
      </x:c>
      <x:c r="Y980" s="93" t="n">
        <x:f>W980-X980</x:f>
        <x:v>16.200000000000003</x:v>
      </x:c>
      <x:c r="Z980" s="94" t="n">
        <x:f>IFERROR(Y980/W980,0)</x:f>
        <x:v>0.41326530612244905</x:v>
      </x:c>
      <x:c r="AA980" s="84" t="str">
        <x:f>PROPER(TRIM('Raw Sales'!M980))</x:f>
        <x:v>Mobile Wallet</x:v>
      </x:c>
      <x:c r="AB980" s="84" t="str">
        <x:f>PROPER(TRIM('Raw Sales'!N980))</x:f>
        <x:v>Nora Kim</x:v>
      </x:c>
      <x:c r="AC980" s="85" t="n">
        <x:f>'Raw Sales'!O980</x:f>
        <x:v>45629</x:v>
      </x:c>
      <x:c r="AD980" s="84" t="n">
        <x:f>AC980-B980</x:f>
        <x:v>5</x:v>
      </x:c>
      <x:c r="AE980" s="84" t="str">
        <x:f>IF(COUNTIF($A$5:A980,A980)&gt;1,"Duplicate","Keep")</x:f>
        <x:v>Keep</x:v>
      </x:c>
      <x:c r="AF980" s="84" t="str">
        <x:f>IF(OR(R980&lt;=0,AC980&lt;B980,H980="Unknown",M980="Unknown Product"),"Review","Valid")</x:f>
        <x:v>Valid</x:v>
      </x:c>
      <x:c r="AG980" s="84" t="n">
        <x:f>IF(AND(AE980="Keep",AF980="Valid"),1,0)</x:f>
        <x:v>1</x:v>
      </x:c>
      <x:c r="AH980" s="84" t="n">
        <x:f>IF(AND(AG980=1,OR('Dashboard'!$B$4="All",I980='Dashboard'!$B$4),OR('Dashboard'!$E$4="All",N980='Dashboard'!$E$4),OR('Dashboard'!$H$4="All",K980='Dashboard'!$H$4),OR('Dashboard'!$K$4="All",C980='Dashboard'!$K$4)),1,0)</x:f>
        <x:v>1</x:v>
      </x:c>
      <x:c r="AI980" s="84" t="n">
        <x:f>IF(AND(AG980=1,OR('Dashboard'!$B$4="All",I980='Dashboard'!$B$4),OR('Dashboard'!$E$4="All",N980='Dashboard'!$E$4),OR('Dashboard'!$H$4="All",K980='Dashboard'!$H$4)),1,0)</x:f>
        <x:v>1</x:v>
      </x:c>
    </x:row>
    <x:row r="981">
      <x:c r="A981" s="84" t="str">
        <x:f>'Raw Sales'!A981</x:f>
        <x:v>ORD-2024-00891</x:v>
      </x:c>
      <x:c r="B981" s="85" t="n">
        <x:f>'Raw Sales'!B981</x:f>
        <x:v>45624</x:v>
      </x:c>
      <x:c r="C981" s="84" t="n">
        <x:f>YEAR(B981)</x:f>
        <x:v>2024</x:v>
      </x:c>
      <x:c r="D981" s="91" t="n">
        <x:f>DATE(YEAR(B981),MONTH(B981),1)</x:f>
        <x:v>45597</x:v>
      </x:c>
      <x:c r="E981" s="84" t="str">
        <x:f>TEXT(B981,"mmm")</x:f>
        <x:v>Nov</x:v>
      </x:c>
      <x:c r="F981" s="84" t="str">
        <x:f>'Raw Sales'!C981</x:f>
        <x:v>CUST-0295</x:v>
      </x:c>
      <x:c r="G981" s="84" t="str">
        <x:f>PROPER(TRIM('Raw Sales'!D981))</x:f>
        <x:v>Nina Garcia</x:v>
      </x:c>
      <x:c r="H981" s="84" t="str">
        <x:f>IF(TRIM('Raw Sales'!E981)="","Unknown",PROPER(TRIM('Raw Sales'!E981)))</x:f>
        <x:v>Consumer</x:v>
      </x:c>
      <x:c r="I981" s="84" t="str">
        <x:f>PROPER(TRIM('Raw Sales'!F981))</x:f>
        <x:v>Northeast</x:v>
      </x:c>
      <x:c r="J981" s="84" t="str">
        <x:f>PROPER(TRIM('Raw Sales'!G981))</x:f>
        <x:v>Boston</x:v>
      </x:c>
      <x:c r="K981" s="84" t="str">
        <x:f>PROPER(TRIM('Raw Sales'!H981))</x:f>
        <x:v>Online</x:v>
      </x:c>
      <x:c r="L981" s="84" t="str">
        <x:f>'Raw Sales'!I981</x:f>
        <x:v>ACCS-003</x:v>
      </x:c>
      <x:c r="M981" s="84" t="str">
        <x:f>IFERROR(VLOOKUP(L981,'Reference Data'!$A$5:$F$40,2,FALSE),"Unknown Product")</x:f>
        <x:v>Polarized Sunglasses</x:v>
      </x:c>
      <x:c r="N981" s="84" t="str">
        <x:f>IFERROR(VLOOKUP(L981,'Reference Data'!$A$5:$F$40,3,FALSE),"Unknown")</x:f>
        <x:v>Accessories</x:v>
      </x:c>
      <x:c r="O981" s="84" t="str">
        <x:f>IFERROR(VLOOKUP(L981,'Reference Data'!$A$5:$F$40,4,FALSE),"Unknown")</x:f>
        <x:v>Eyewear</x:v>
      </x:c>
      <x:c r="P981" s="92" t="n">
        <x:f>IFERROR(VLOOKUP(L981,'Reference Data'!$A$5:$F$40,5,FALSE),0)</x:f>
        <x:v>59</x:v>
      </x:c>
      <x:c r="Q981" s="92" t="n">
        <x:f>IFERROR(VLOOKUP(L981,'Reference Data'!$A$5:$F$40,6,FALSE),0)</x:f>
        <x:v>17</x:v>
      </x:c>
      <x:c r="R981" s="84" t="n">
        <x:f>'Raw Sales'!J981</x:f>
        <x:v>2</x:v>
      </x:c>
      <x:c r="S981" s="87" t="n">
        <x:f>'Raw Sales'!K981</x:f>
        <x:v>0.05</x:v>
      </x:c>
      <x:c r="T981" s="93" t="n">
        <x:f>P981*R981</x:f>
        <x:v>118</x:v>
      </x:c>
      <x:c r="U981" s="93" t="n">
        <x:f>T981*S981</x:f>
        <x:v>5.9</x:v>
      </x:c>
      <x:c r="V981" s="93" t="str">
        <x:f>PROPER(TRIM('Raw Sales'!L981))</x:f>
        <x:v>Completed</x:v>
      </x:c>
      <x:c r="W981" s="93" t="n">
        <x:f>IF(V981="Returned",0,T981-U981)</x:f>
        <x:v>112.1</x:v>
      </x:c>
      <x:c r="X981" s="93" t="n">
        <x:f>IF(V981="Returned",Q981*R981*10%,Q981*R981)</x:f>
        <x:v>34</x:v>
      </x:c>
      <x:c r="Y981" s="93" t="n">
        <x:f>W981-X981</x:f>
        <x:v>78.1</x:v>
      </x:c>
      <x:c r="Z981" s="94" t="n">
        <x:f>IFERROR(Y981/W981,0)</x:f>
        <x:v>0.6966993755575379</x:v>
      </x:c>
      <x:c r="AA981" s="84" t="str">
        <x:f>PROPER(TRIM('Raw Sales'!M981))</x:f>
        <x:v>Paypal</x:v>
      </x:c>
      <x:c r="AB981" s="84" t="str">
        <x:f>PROPER(TRIM('Raw Sales'!N981))</x:f>
        <x:v>Ethan Cole</x:v>
      </x:c>
      <x:c r="AC981" s="85" t="n">
        <x:f>'Raw Sales'!O981</x:f>
        <x:v>45628</x:v>
      </x:c>
      <x:c r="AD981" s="84" t="n">
        <x:f>AC981-B981</x:f>
        <x:v>4</x:v>
      </x:c>
      <x:c r="AE981" s="84" t="str">
        <x:f>IF(COUNTIF($A$5:A981,A981)&gt;1,"Duplicate","Keep")</x:f>
        <x:v>Keep</x:v>
      </x:c>
      <x:c r="AF981" s="84" t="str">
        <x:f>IF(OR(R981&lt;=0,AC981&lt;B981,H981="Unknown",M981="Unknown Product"),"Review","Valid")</x:f>
        <x:v>Valid</x:v>
      </x:c>
      <x:c r="AG981" s="84" t="n">
        <x:f>IF(AND(AE981="Keep",AF981="Valid"),1,0)</x:f>
        <x:v>1</x:v>
      </x:c>
      <x:c r="AH981" s="84" t="n">
        <x:f>IF(AND(AG981=1,OR('Dashboard'!$B$4="All",I981='Dashboard'!$B$4),OR('Dashboard'!$E$4="All",N981='Dashboard'!$E$4),OR('Dashboard'!$H$4="All",K981='Dashboard'!$H$4),OR('Dashboard'!$K$4="All",C981='Dashboard'!$K$4)),1,0)</x:f>
        <x:v>1</x:v>
      </x:c>
      <x:c r="AI981" s="84" t="n">
        <x:f>IF(AND(AG981=1,OR('Dashboard'!$B$4="All",I981='Dashboard'!$B$4),OR('Dashboard'!$E$4="All",N981='Dashboard'!$E$4),OR('Dashboard'!$H$4="All",K981='Dashboard'!$H$4)),1,0)</x:f>
        <x:v>1</x:v>
      </x:c>
    </x:row>
    <x:row r="982">
      <x:c r="A982" s="84" t="str">
        <x:f>'Raw Sales'!A982</x:f>
        <x:v>ORD-2024-00968</x:v>
      </x:c>
      <x:c r="B982" s="85" t="n">
        <x:f>'Raw Sales'!B982</x:f>
        <x:v>45624</x:v>
      </x:c>
      <x:c r="C982" s="84" t="n">
        <x:f>YEAR(B982)</x:f>
        <x:v>2024</x:v>
      </x:c>
      <x:c r="D982" s="91" t="n">
        <x:f>DATE(YEAR(B982),MONTH(B982),1)</x:f>
        <x:v>45597</x:v>
      </x:c>
      <x:c r="E982" s="84" t="str">
        <x:f>TEXT(B982,"mmm")</x:f>
        <x:v>Nov</x:v>
      </x:c>
      <x:c r="F982" s="84" t="str">
        <x:f>'Raw Sales'!C982</x:f>
        <x:v>CUST-0601</x:v>
      </x:c>
      <x:c r="G982" s="84" t="str">
        <x:f>PROPER(TRIM('Raw Sales'!D982))</x:f>
        <x:v>Grace Taylor</x:v>
      </x:c>
      <x:c r="H982" s="84" t="str">
        <x:f>IF(TRIM('Raw Sales'!E982)="","Unknown",PROPER(TRIM('Raw Sales'!E982)))</x:f>
        <x:v>Small Business</x:v>
      </x:c>
      <x:c r="I982" s="84" t="str">
        <x:f>PROPER(TRIM('Raw Sales'!F982))</x:f>
        <x:v>Northeast</x:v>
      </x:c>
      <x:c r="J982" s="84" t="str">
        <x:f>PROPER(TRIM('Raw Sales'!G982))</x:f>
        <x:v>Philadelphia</x:v>
      </x:c>
      <x:c r="K982" s="84" t="str">
        <x:f>PROPER(TRIM('Raw Sales'!H982))</x:f>
        <x:v>Retail Store</x:v>
      </x:c>
      <x:c r="L982" s="84" t="str">
        <x:f>'Raw Sales'!I982</x:f>
        <x:v>CARE-003</x:v>
      </x:c>
      <x:c r="M982" s="84" t="str">
        <x:f>IFERROR(VLOOKUP(L982,'Reference Data'!$A$5:$F$40,2,FALSE),"Unknown Product")</x:f>
        <x:v>Facial Cleanser</x:v>
      </x:c>
      <x:c r="N982" s="84" t="str">
        <x:f>IFERROR(VLOOKUP(L982,'Reference Data'!$A$5:$F$40,3,FALSE),"Unknown")</x:f>
        <x:v>Personal Care</x:v>
      </x:c>
      <x:c r="O982" s="84" t="str">
        <x:f>IFERROR(VLOOKUP(L982,'Reference Data'!$A$5:$F$40,4,FALSE),"Unknown")</x:f>
        <x:v>Skin Care</x:v>
      </x:c>
      <x:c r="P982" s="92" t="n">
        <x:f>IFERROR(VLOOKUP(L982,'Reference Data'!$A$5:$F$40,5,FALSE),0)</x:f>
        <x:v>18</x:v>
      </x:c>
      <x:c r="Q982" s="92" t="n">
        <x:f>IFERROR(VLOOKUP(L982,'Reference Data'!$A$5:$F$40,6,FALSE),0)</x:f>
        <x:v>6</x:v>
      </x:c>
      <x:c r="R982" s="84" t="n">
        <x:f>'Raw Sales'!J982</x:f>
        <x:v>1</x:v>
      </x:c>
      <x:c r="S982" s="87" t="n">
        <x:f>'Raw Sales'!K982</x:f>
        <x:v>0.1</x:v>
      </x:c>
      <x:c r="T982" s="93" t="n">
        <x:f>P982*R982</x:f>
        <x:v>18</x:v>
      </x:c>
      <x:c r="U982" s="93" t="n">
        <x:f>T982*S982</x:f>
        <x:v>1.8</x:v>
      </x:c>
      <x:c r="V982" s="93" t="str">
        <x:f>PROPER(TRIM('Raw Sales'!L982))</x:f>
        <x:v>Completed</x:v>
      </x:c>
      <x:c r="W982" s="93" t="n">
        <x:f>IF(V982="Returned",0,T982-U982)</x:f>
        <x:v>16.2</x:v>
      </x:c>
      <x:c r="X982" s="93" t="n">
        <x:f>IF(V982="Returned",Q982*R982*10%,Q982*R982)</x:f>
        <x:v>6</x:v>
      </x:c>
      <x:c r="Y982" s="93" t="n">
        <x:f>W982-X982</x:f>
        <x:v>10.2</x:v>
      </x:c>
      <x:c r="Z982" s="94" t="n">
        <x:f>IFERROR(Y982/W982,0)</x:f>
        <x:v>0.6296296296296297</x:v>
      </x:c>
      <x:c r="AA982" s="84" t="str">
        <x:f>PROPER(TRIM('Raw Sales'!M982))</x:f>
        <x:v>Cash</x:v>
      </x:c>
      <x:c r="AB982" s="84" t="str">
        <x:f>PROPER(TRIM('Raw Sales'!N982))</x:f>
        <x:v>Maya Brooks</x:v>
      </x:c>
      <x:c r="AC982" s="85" t="n">
        <x:f>'Raw Sales'!O982</x:f>
        <x:v>45625</x:v>
      </x:c>
      <x:c r="AD982" s="84" t="n">
        <x:f>AC982-B982</x:f>
        <x:v>1</x:v>
      </x:c>
      <x:c r="AE982" s="84" t="str">
        <x:f>IF(COUNTIF($A$5:A982,A982)&gt;1,"Duplicate","Keep")</x:f>
        <x:v>Keep</x:v>
      </x:c>
      <x:c r="AF982" s="84" t="str">
        <x:f>IF(OR(R982&lt;=0,AC982&lt;B982,H982="Unknown",M982="Unknown Product"),"Review","Valid")</x:f>
        <x:v>Valid</x:v>
      </x:c>
      <x:c r="AG982" s="84" t="n">
        <x:f>IF(AND(AE982="Keep",AF982="Valid"),1,0)</x:f>
        <x:v>1</x:v>
      </x:c>
      <x:c r="AH982" s="84" t="n">
        <x:f>IF(AND(AG982=1,OR('Dashboard'!$B$4="All",I982='Dashboard'!$B$4),OR('Dashboard'!$E$4="All",N982='Dashboard'!$E$4),OR('Dashboard'!$H$4="All",K982='Dashboard'!$H$4),OR('Dashboard'!$K$4="All",C982='Dashboard'!$K$4)),1,0)</x:f>
        <x:v>1</x:v>
      </x:c>
      <x:c r="AI982" s="84" t="n">
        <x:f>IF(AND(AG982=1,OR('Dashboard'!$B$4="All",I982='Dashboard'!$B$4),OR('Dashboard'!$E$4="All",N982='Dashboard'!$E$4),OR('Dashboard'!$H$4="All",K982='Dashboard'!$H$4)),1,0)</x:f>
        <x:v>1</x:v>
      </x:c>
    </x:row>
    <x:row r="983">
      <x:c r="A983" s="84" t="str">
        <x:f>'Raw Sales'!A983</x:f>
        <x:v>ORD-2024-01086</x:v>
      </x:c>
      <x:c r="B983" s="85" t="n">
        <x:f>'Raw Sales'!B983</x:f>
        <x:v>45624</x:v>
      </x:c>
      <x:c r="C983" s="84" t="n">
        <x:f>YEAR(B983)</x:f>
        <x:v>2024</x:v>
      </x:c>
      <x:c r="D983" s="91" t="n">
        <x:f>DATE(YEAR(B983),MONTH(B983),1)</x:f>
        <x:v>45597</x:v>
      </x:c>
      <x:c r="E983" s="84" t="str">
        <x:f>TEXT(B983,"mmm")</x:f>
        <x:v>Nov</x:v>
      </x:c>
      <x:c r="F983" s="84" t="str">
        <x:f>'Raw Sales'!C983</x:f>
        <x:v>CUST-0336</x:v>
      </x:c>
      <x:c r="G983" s="84" t="str">
        <x:f>PROPER(TRIM('Raw Sales'!D983))</x:f>
        <x:v>Jonah Garcia</x:v>
      </x:c>
      <x:c r="H983" s="84" t="str">
        <x:f>IF(TRIM('Raw Sales'!E983)="","Unknown",PROPER(TRIM('Raw Sales'!E983)))</x:f>
        <x:v>Consumer</x:v>
      </x:c>
      <x:c r="I983" s="84" t="str">
        <x:f>PROPER(TRIM('Raw Sales'!F983))</x:f>
        <x:v>West</x:v>
      </x:c>
      <x:c r="J983" s="84" t="str">
        <x:f>PROPER(TRIM('Raw Sales'!G983))</x:f>
        <x:v>Phoenix</x:v>
      </x:c>
      <x:c r="K983" s="84" t="str">
        <x:f>PROPER(TRIM('Raw Sales'!H983))</x:f>
        <x:v>Online</x:v>
      </x:c>
      <x:c r="L983" s="84" t="str">
        <x:f>'Raw Sales'!I983</x:f>
        <x:v>ELEC-002</x:v>
      </x:c>
      <x:c r="M983" s="84" t="str">
        <x:f>IFERROR(VLOOKUP(L983,'Reference Data'!$A$5:$F$40,2,FALSE),"Unknown Product")</x:f>
        <x:v>Smartwatch</x:v>
      </x:c>
      <x:c r="N983" s="84" t="str">
        <x:f>IFERROR(VLOOKUP(L983,'Reference Data'!$A$5:$F$40,3,FALSE),"Unknown")</x:f>
        <x:v>Electronics</x:v>
      </x:c>
      <x:c r="O983" s="84" t="str">
        <x:f>IFERROR(VLOOKUP(L983,'Reference Data'!$A$5:$F$40,4,FALSE),"Unknown")</x:f>
        <x:v>Wearables</x:v>
      </x:c>
      <x:c r="P983" s="92" t="n">
        <x:f>IFERROR(VLOOKUP(L983,'Reference Data'!$A$5:$F$40,5,FALSE),0)</x:f>
        <x:v>159</x:v>
      </x:c>
      <x:c r="Q983" s="92" t="n">
        <x:f>IFERROR(VLOOKUP(L983,'Reference Data'!$A$5:$F$40,6,FALSE),0)</x:f>
        <x:v>92</x:v>
      </x:c>
      <x:c r="R983" s="84" t="n">
        <x:f>'Raw Sales'!J983</x:f>
        <x:v>1</x:v>
      </x:c>
      <x:c r="S983" s="87" t="n">
        <x:f>'Raw Sales'!K983</x:f>
        <x:v>0.15</x:v>
      </x:c>
      <x:c r="T983" s="93" t="n">
        <x:f>P983*R983</x:f>
        <x:v>159</x:v>
      </x:c>
      <x:c r="U983" s="93" t="n">
        <x:f>T983*S983</x:f>
        <x:v>23.849999999999998</x:v>
      </x:c>
      <x:c r="V983" s="93" t="str">
        <x:f>PROPER(TRIM('Raw Sales'!L983))</x:f>
        <x:v>Completed</x:v>
      </x:c>
      <x:c r="W983" s="93" t="n">
        <x:f>IF(V983="Returned",0,T983-U983)</x:f>
        <x:v>135.15</x:v>
      </x:c>
      <x:c r="X983" s="93" t="n">
        <x:f>IF(V983="Returned",Q983*R983*10%,Q983*R983)</x:f>
        <x:v>92</x:v>
      </x:c>
      <x:c r="Y983" s="93" t="n">
        <x:f>W983-X983</x:f>
        <x:v>43.150000000000006</x:v>
      </x:c>
      <x:c r="Z983" s="94" t="n">
        <x:f>IFERROR(Y983/W983,0)</x:f>
        <x:v>0.31927487976322605</x:v>
      </x:c>
      <x:c r="AA983" s="84" t="str">
        <x:f>PROPER(TRIM('Raw Sales'!M983))</x:f>
        <x:v>Credit Card</x:v>
      </x:c>
      <x:c r="AB983" s="84" t="str">
        <x:f>PROPER(TRIM('Raw Sales'!N983))</x:f>
        <x:v>Nora Kim</x:v>
      </x:c>
      <x:c r="AC983" s="85" t="n">
        <x:f>'Raw Sales'!O983</x:f>
        <x:v>45629</x:v>
      </x:c>
      <x:c r="AD983" s="84" t="n">
        <x:f>AC983-B983</x:f>
        <x:v>5</x:v>
      </x:c>
      <x:c r="AE983" s="84" t="str">
        <x:f>IF(COUNTIF($A$5:A983,A983)&gt;1,"Duplicate","Keep")</x:f>
        <x:v>Keep</x:v>
      </x:c>
      <x:c r="AF983" s="84" t="str">
        <x:f>IF(OR(R983&lt;=0,AC983&lt;B983,H983="Unknown",M983="Unknown Product"),"Review","Valid")</x:f>
        <x:v>Valid</x:v>
      </x:c>
      <x:c r="AG983" s="84" t="n">
        <x:f>IF(AND(AE983="Keep",AF983="Valid"),1,0)</x:f>
        <x:v>1</x:v>
      </x:c>
      <x:c r="AH983" s="84" t="n">
        <x:f>IF(AND(AG983=1,OR('Dashboard'!$B$4="All",I983='Dashboard'!$B$4),OR('Dashboard'!$E$4="All",N983='Dashboard'!$E$4),OR('Dashboard'!$H$4="All",K983='Dashboard'!$H$4),OR('Dashboard'!$K$4="All",C983='Dashboard'!$K$4)),1,0)</x:f>
        <x:v>1</x:v>
      </x:c>
      <x:c r="AI983" s="84" t="n">
        <x:f>IF(AND(AG983=1,OR('Dashboard'!$B$4="All",I983='Dashboard'!$B$4),OR('Dashboard'!$E$4="All",N983='Dashboard'!$E$4),OR('Dashboard'!$H$4="All",K983='Dashboard'!$H$4)),1,0)</x:f>
        <x:v>1</x:v>
      </x:c>
    </x:row>
    <x:row r="984">
      <x:c r="A984" s="84" t="str">
        <x:f>'Raw Sales'!A984</x:f>
        <x:v>ORD-2024-02360</x:v>
      </x:c>
      <x:c r="B984" s="85" t="n">
        <x:f>'Raw Sales'!B984</x:f>
        <x:v>45624</x:v>
      </x:c>
      <x:c r="C984" s="84" t="n">
        <x:f>YEAR(B984)</x:f>
        <x:v>2024</x:v>
      </x:c>
      <x:c r="D984" s="91" t="n">
        <x:f>DATE(YEAR(B984),MONTH(B984),1)</x:f>
        <x:v>45597</x:v>
      </x:c>
      <x:c r="E984" s="84" t="str">
        <x:f>TEXT(B984,"mmm")</x:f>
        <x:v>Nov</x:v>
      </x:c>
      <x:c r="F984" s="84" t="str">
        <x:f>'Raw Sales'!C984</x:f>
        <x:v>CUST-0516</x:v>
      </x:c>
      <x:c r="G984" s="84" t="str">
        <x:f>PROPER(TRIM('Raw Sales'!D984))</x:f>
        <x:v>Jasmine Ortiz</x:v>
      </x:c>
      <x:c r="H984" s="84" t="str">
        <x:f>IF(TRIM('Raw Sales'!E984)="","Unknown",PROPER(TRIM('Raw Sales'!E984)))</x:f>
        <x:v>Small Business</x:v>
      </x:c>
      <x:c r="I984" s="84" t="str">
        <x:f>PROPER(TRIM('Raw Sales'!F984))</x:f>
        <x:v>Southeast</x:v>
      </x:c>
      <x:c r="J984" s="84" t="str">
        <x:f>PROPER(TRIM('Raw Sales'!G984))</x:f>
        <x:v>Charlotte</x:v>
      </x:c>
      <x:c r="K984" s="84" t="str">
        <x:f>PROPER(TRIM('Raw Sales'!H984))</x:f>
        <x:v>Online</x:v>
      </x:c>
      <x:c r="L984" s="84" t="str">
        <x:f>'Raw Sales'!I984</x:f>
        <x:v>HOME-003</x:v>
      </x:c>
      <x:c r="M984" s="84" t="str">
        <x:f>IFERROR(VLOOKUP(L984,'Reference Data'!$A$5:$F$40,2,FALSE),"Unknown Product")</x:f>
        <x:v>Countertop Blender</x:v>
      </x:c>
      <x:c r="N984" s="84" t="str">
        <x:f>IFERROR(VLOOKUP(L984,'Reference Data'!$A$5:$F$40,3,FALSE),"Unknown")</x:f>
        <x:v>Home &amp; Kitchen</x:v>
      </x:c>
      <x:c r="O984" s="84" t="str">
        <x:f>IFERROR(VLOOKUP(L984,'Reference Data'!$A$5:$F$40,4,FALSE),"Unknown")</x:f>
        <x:v>Small Appliances</x:v>
      </x:c>
      <x:c r="P984" s="92" t="n">
        <x:f>IFERROR(VLOOKUP(L984,'Reference Data'!$A$5:$F$40,5,FALSE),0)</x:f>
        <x:v>89</x:v>
      </x:c>
      <x:c r="Q984" s="92" t="n">
        <x:f>IFERROR(VLOOKUP(L984,'Reference Data'!$A$5:$F$40,6,FALSE),0)</x:f>
        <x:v>46</x:v>
      </x:c>
      <x:c r="R984" s="84" t="n">
        <x:f>'Raw Sales'!J984</x:f>
        <x:v>1</x:v>
      </x:c>
      <x:c r="S984" s="87" t="n">
        <x:f>'Raw Sales'!K984</x:f>
        <x:v>0.1</x:v>
      </x:c>
      <x:c r="T984" s="93" t="n">
        <x:f>P984*R984</x:f>
        <x:v>89</x:v>
      </x:c>
      <x:c r="U984" s="93" t="n">
        <x:f>T984*S984</x:f>
        <x:v>8.9</x:v>
      </x:c>
      <x:c r="V984" s="93" t="str">
        <x:f>PROPER(TRIM('Raw Sales'!L984))</x:f>
        <x:v>Completed</x:v>
      </x:c>
      <x:c r="W984" s="93" t="n">
        <x:f>IF(V984="Returned",0,T984-U984)</x:f>
        <x:v>80.1</x:v>
      </x:c>
      <x:c r="X984" s="93" t="n">
        <x:f>IF(V984="Returned",Q984*R984*10%,Q984*R984)</x:f>
        <x:v>46</x:v>
      </x:c>
      <x:c r="Y984" s="93" t="n">
        <x:f>W984-X984</x:f>
        <x:v>34.099999999999994</x:v>
      </x:c>
      <x:c r="Z984" s="94" t="n">
        <x:f>IFERROR(Y984/W984,0)</x:f>
        <x:v>0.4257178526841448</x:v>
      </x:c>
      <x:c r="AA984" s="84" t="str">
        <x:f>PROPER(TRIM('Raw Sales'!M984))</x:f>
        <x:v>Credit Card</x:v>
      </x:c>
      <x:c r="AB984" s="84" t="str">
        <x:f>PROPER(TRIM('Raw Sales'!N984))</x:f>
        <x:v>Ava Mitchell</x:v>
      </x:c>
      <x:c r="AC984" s="85" t="n">
        <x:f>'Raw Sales'!O984</x:f>
        <x:v>45628</x:v>
      </x:c>
      <x:c r="AD984" s="84" t="n">
        <x:f>AC984-B984</x:f>
        <x:v>4</x:v>
      </x:c>
      <x:c r="AE984" s="84" t="str">
        <x:f>IF(COUNTIF($A$5:A984,A984)&gt;1,"Duplicate","Keep")</x:f>
        <x:v>Keep</x:v>
      </x:c>
      <x:c r="AF984" s="84" t="str">
        <x:f>IF(OR(R984&lt;=0,AC984&lt;B984,H984="Unknown",M984="Unknown Product"),"Review","Valid")</x:f>
        <x:v>Valid</x:v>
      </x:c>
      <x:c r="AG984" s="84" t="n">
        <x:f>IF(AND(AE984="Keep",AF984="Valid"),1,0)</x:f>
        <x:v>1</x:v>
      </x:c>
      <x:c r="AH984" s="84" t="n">
        <x:f>IF(AND(AG984=1,OR('Dashboard'!$B$4="All",I984='Dashboard'!$B$4),OR('Dashboard'!$E$4="All",N984='Dashboard'!$E$4),OR('Dashboard'!$H$4="All",K984='Dashboard'!$H$4),OR('Dashboard'!$K$4="All",C984='Dashboard'!$K$4)),1,0)</x:f>
        <x:v>1</x:v>
      </x:c>
      <x:c r="AI984" s="84" t="n">
        <x:f>IF(AND(AG984=1,OR('Dashboard'!$B$4="All",I984='Dashboard'!$B$4),OR('Dashboard'!$E$4="All",N984='Dashboard'!$E$4),OR('Dashboard'!$H$4="All",K984='Dashboard'!$H$4)),1,0)</x:f>
        <x:v>1</x:v>
      </x:c>
    </x:row>
    <x:row r="985">
      <x:c r="A985" s="84" t="str">
        <x:f>'Raw Sales'!A985</x:f>
        <x:v>ORD-2024-00067</x:v>
      </x:c>
      <x:c r="B985" s="85" t="n">
        <x:f>'Raw Sales'!B985</x:f>
        <x:v>45625</x:v>
      </x:c>
      <x:c r="C985" s="84" t="n">
        <x:f>YEAR(B985)</x:f>
        <x:v>2024</x:v>
      </x:c>
      <x:c r="D985" s="91" t="n">
        <x:f>DATE(YEAR(B985),MONTH(B985),1)</x:f>
        <x:v>45597</x:v>
      </x:c>
      <x:c r="E985" s="84" t="str">
        <x:f>TEXT(B985,"mmm")</x:f>
        <x:v>Nov</x:v>
      </x:c>
      <x:c r="F985" s="84" t="str">
        <x:f>'Raw Sales'!C985</x:f>
        <x:v>CUST-0032</x:v>
      </x:c>
      <x:c r="G985" s="84" t="str">
        <x:f>PROPER(TRIM('Raw Sales'!D985))</x:f>
        <x:v>Nina Johnson</x:v>
      </x:c>
      <x:c r="H985" s="84" t="str">
        <x:f>IF(TRIM('Raw Sales'!E985)="","Unknown",PROPER(TRIM('Raw Sales'!E985)))</x:f>
        <x:v>Consumer</x:v>
      </x:c>
      <x:c r="I985" s="84" t="str">
        <x:f>PROPER(TRIM('Raw Sales'!F985))</x:f>
        <x:v>Northeast</x:v>
      </x:c>
      <x:c r="J985" s="84" t="str">
        <x:f>PROPER(TRIM('Raw Sales'!G985))</x:f>
        <x:v>Philadelphia</x:v>
      </x:c>
      <x:c r="K985" s="84" t="str">
        <x:f>PROPER(TRIM('Raw Sales'!H985))</x:f>
        <x:v>Online</x:v>
      </x:c>
      <x:c r="L985" s="84" t="str">
        <x:f>'Raw Sales'!I985</x:f>
        <x:v>OFFC-005</x:v>
      </x:c>
      <x:c r="M985" s="84" t="str">
        <x:f>IFERROR(VLOOKUP(L985,'Reference Data'!$A$5:$F$40,2,FALSE),"Unknown Product")</x:f>
        <x:v>Wireless Keyboard</x:v>
      </x:c>
      <x:c r="N985" s="84" t="str">
        <x:f>IFERROR(VLOOKUP(L985,'Reference Data'!$A$5:$F$40,3,FALSE),"Unknown")</x:f>
        <x:v>Office</x:v>
      </x:c>
      <x:c r="O985" s="84" t="str">
        <x:f>IFERROR(VLOOKUP(L985,'Reference Data'!$A$5:$F$40,4,FALSE),"Unknown")</x:f>
        <x:v>Computer Accessories</x:v>
      </x:c>
      <x:c r="P985" s="92" t="n">
        <x:f>IFERROR(VLOOKUP(L985,'Reference Data'!$A$5:$F$40,5,FALSE),0)</x:f>
        <x:v>59</x:v>
      </x:c>
      <x:c r="Q985" s="92" t="n">
        <x:f>IFERROR(VLOOKUP(L985,'Reference Data'!$A$5:$F$40,6,FALSE),0)</x:f>
        <x:v>28</x:v>
      </x:c>
      <x:c r="R985" s="84" t="n">
        <x:f>'Raw Sales'!J985</x:f>
        <x:v>3</x:v>
      </x:c>
      <x:c r="S985" s="87" t="n">
        <x:f>'Raw Sales'!K985</x:f>
        <x:v>0.1</x:v>
      </x:c>
      <x:c r="T985" s="93" t="n">
        <x:f>P985*R985</x:f>
        <x:v>177</x:v>
      </x:c>
      <x:c r="U985" s="93" t="n">
        <x:f>T985*S985</x:f>
        <x:v>17.7</x:v>
      </x:c>
      <x:c r="V985" s="93" t="str">
        <x:f>PROPER(TRIM('Raw Sales'!L985))</x:f>
        <x:v>Completed</x:v>
      </x:c>
      <x:c r="W985" s="93" t="n">
        <x:f>IF(V985="Returned",0,T985-U985)</x:f>
        <x:v>159.3</x:v>
      </x:c>
      <x:c r="X985" s="93" t="n">
        <x:f>IF(V985="Returned",Q985*R985*10%,Q985*R985)</x:f>
        <x:v>84</x:v>
      </x:c>
      <x:c r="Y985" s="93" t="n">
        <x:f>W985-X985</x:f>
        <x:v>75.30000000000001</x:v>
      </x:c>
      <x:c r="Z985" s="94" t="n">
        <x:f>IFERROR(Y985/W985,0)</x:f>
        <x:v>0.47269303201506596</x:v>
      </x:c>
      <x:c r="AA985" s="84" t="str">
        <x:f>PROPER(TRIM('Raw Sales'!M985))</x:f>
        <x:v>Credit Card</x:v>
      </x:c>
      <x:c r="AB985" s="84" t="str">
        <x:f>PROPER(TRIM('Raw Sales'!N985))</x:f>
        <x:v>Sofia Bennett</x:v>
      </x:c>
      <x:c r="AC985" s="85" t="n">
        <x:f>'Raw Sales'!O985</x:f>
        <x:v>45627</x:v>
      </x:c>
      <x:c r="AD985" s="84" t="n">
        <x:f>AC985-B985</x:f>
        <x:v>2</x:v>
      </x:c>
      <x:c r="AE985" s="84" t="str">
        <x:f>IF(COUNTIF($A$5:A985,A985)&gt;1,"Duplicate","Keep")</x:f>
        <x:v>Keep</x:v>
      </x:c>
      <x:c r="AF985" s="84" t="str">
        <x:f>IF(OR(R985&lt;=0,AC985&lt;B985,H985="Unknown",M985="Unknown Product"),"Review","Valid")</x:f>
        <x:v>Valid</x:v>
      </x:c>
      <x:c r="AG985" s="84" t="n">
        <x:f>IF(AND(AE985="Keep",AF985="Valid"),1,0)</x:f>
        <x:v>1</x:v>
      </x:c>
      <x:c r="AH985" s="84" t="n">
        <x:f>IF(AND(AG985=1,OR('Dashboard'!$B$4="All",I985='Dashboard'!$B$4),OR('Dashboard'!$E$4="All",N985='Dashboard'!$E$4),OR('Dashboard'!$H$4="All",K985='Dashboard'!$H$4),OR('Dashboard'!$K$4="All",C985='Dashboard'!$K$4)),1,0)</x:f>
        <x:v>1</x:v>
      </x:c>
      <x:c r="AI985" s="84" t="n">
        <x:f>IF(AND(AG985=1,OR('Dashboard'!$B$4="All",I985='Dashboard'!$B$4),OR('Dashboard'!$E$4="All",N985='Dashboard'!$E$4),OR('Dashboard'!$H$4="All",K985='Dashboard'!$H$4)),1,0)</x:f>
        <x:v>1</x:v>
      </x:c>
    </x:row>
    <x:row r="986">
      <x:c r="A986" s="84" t="str">
        <x:f>'Raw Sales'!A986</x:f>
        <x:v>ORD-2024-00333</x:v>
      </x:c>
      <x:c r="B986" s="85" t="n">
        <x:f>'Raw Sales'!B986</x:f>
        <x:v>45625</x:v>
      </x:c>
      <x:c r="C986" s="84" t="n">
        <x:f>YEAR(B986)</x:f>
        <x:v>2024</x:v>
      </x:c>
      <x:c r="D986" s="91" t="n">
        <x:f>DATE(YEAR(B986),MONTH(B986),1)</x:f>
        <x:v>45597</x:v>
      </x:c>
      <x:c r="E986" s="84" t="str">
        <x:f>TEXT(B986,"mmm")</x:f>
        <x:v>Nov</x:v>
      </x:c>
      <x:c r="F986" s="84" t="str">
        <x:f>'Raw Sales'!C986</x:f>
        <x:v>CUST-0081</x:v>
      </x:c>
      <x:c r="G986" s="84" t="str">
        <x:f>PROPER(TRIM('Raw Sales'!D986))</x:f>
        <x:v>Grace Young</x:v>
      </x:c>
      <x:c r="H986" s="84" t="str">
        <x:f>IF(TRIM('Raw Sales'!E986)="","Unknown",PROPER(TRIM('Raw Sales'!E986)))</x:f>
        <x:v>Small Business</x:v>
      </x:c>
      <x:c r="I986" s="84" t="str">
        <x:f>PROPER(TRIM('Raw Sales'!F986))</x:f>
        <x:v>Northeast</x:v>
      </x:c>
      <x:c r="J986" s="84" t="str">
        <x:f>PROPER(TRIM('Raw Sales'!G986))</x:f>
        <x:v>New York</x:v>
      </x:c>
      <x:c r="K986" s="84" t="str">
        <x:f>PROPER(TRIM('Raw Sales'!H986))</x:f>
        <x:v>Online</x:v>
      </x:c>
      <x:c r="L986" s="84" t="str">
        <x:f>'Raw Sales'!I986</x:f>
        <x:v>OFFC-003</x:v>
      </x:c>
      <x:c r="M986" s="84" t="str">
        <x:f>IFERROR(VLOOKUP(L986,'Reference Data'!$A$5:$F$40,2,FALSE),"Unknown Product")</x:f>
        <x:v>LED Desk Lamp</x:v>
      </x:c>
      <x:c r="N986" s="84" t="str">
        <x:f>IFERROR(VLOOKUP(L986,'Reference Data'!$A$5:$F$40,3,FALSE),"Unknown")</x:f>
        <x:v>Office</x:v>
      </x:c>
      <x:c r="O986" s="84" t="str">
        <x:f>IFERROR(VLOOKUP(L986,'Reference Data'!$A$5:$F$40,4,FALSE),"Unknown")</x:f>
        <x:v>Desk Accessories</x:v>
      </x:c>
      <x:c r="P986" s="92" t="n">
        <x:f>IFERROR(VLOOKUP(L986,'Reference Data'!$A$5:$F$40,5,FALSE),0)</x:f>
        <x:v>45</x:v>
      </x:c>
      <x:c r="Q986" s="92" t="n">
        <x:f>IFERROR(VLOOKUP(L986,'Reference Data'!$A$5:$F$40,6,FALSE),0)</x:f>
        <x:v>20</x:v>
      </x:c>
      <x:c r="R986" s="84" t="n">
        <x:f>'Raw Sales'!J986</x:f>
        <x:v>3</x:v>
      </x:c>
      <x:c r="S986" s="87" t="n">
        <x:f>'Raw Sales'!K986</x:f>
        <x:v>0.15</x:v>
      </x:c>
      <x:c r="T986" s="93" t="n">
        <x:f>P986*R986</x:f>
        <x:v>135</x:v>
      </x:c>
      <x:c r="U986" s="93" t="n">
        <x:f>T986*S986</x:f>
        <x:v>20.25</x:v>
      </x:c>
      <x:c r="V986" s="93" t="str">
        <x:f>PROPER(TRIM('Raw Sales'!L986))</x:f>
        <x:v>Completed</x:v>
      </x:c>
      <x:c r="W986" s="93" t="n">
        <x:f>IF(V986="Returned",0,T986-U986)</x:f>
        <x:v>114.75</x:v>
      </x:c>
      <x:c r="X986" s="93" t="n">
        <x:f>IF(V986="Returned",Q986*R986*10%,Q986*R986)</x:f>
        <x:v>60</x:v>
      </x:c>
      <x:c r="Y986" s="93" t="n">
        <x:f>W986-X986</x:f>
        <x:v>54.75</x:v>
      </x:c>
      <x:c r="Z986" s="94" t="n">
        <x:f>IFERROR(Y986/W986,0)</x:f>
        <x:v>0.477124183006536</x:v>
      </x:c>
      <x:c r="AA986" s="84" t="str">
        <x:f>PROPER(TRIM('Raw Sales'!M986))</x:f>
        <x:v>Credit Card</x:v>
      </x:c>
      <x:c r="AB986" s="84" t="str">
        <x:f>PROPER(TRIM('Raw Sales'!N986))</x:f>
        <x:v>Sofia Bennett</x:v>
      </x:c>
      <x:c r="AC986" s="85" t="n">
        <x:f>'Raw Sales'!O986</x:f>
        <x:v>45630</x:v>
      </x:c>
      <x:c r="AD986" s="84" t="n">
        <x:f>AC986-B986</x:f>
        <x:v>5</x:v>
      </x:c>
      <x:c r="AE986" s="84" t="str">
        <x:f>IF(COUNTIF($A$5:A986,A986)&gt;1,"Duplicate","Keep")</x:f>
        <x:v>Keep</x:v>
      </x:c>
      <x:c r="AF986" s="84" t="str">
        <x:f>IF(OR(R986&lt;=0,AC986&lt;B986,H986="Unknown",M986="Unknown Product"),"Review","Valid")</x:f>
        <x:v>Valid</x:v>
      </x:c>
      <x:c r="AG986" s="84" t="n">
        <x:f>IF(AND(AE986="Keep",AF986="Valid"),1,0)</x:f>
        <x:v>1</x:v>
      </x:c>
      <x:c r="AH986" s="84" t="n">
        <x:f>IF(AND(AG986=1,OR('Dashboard'!$B$4="All",I986='Dashboard'!$B$4),OR('Dashboard'!$E$4="All",N986='Dashboard'!$E$4),OR('Dashboard'!$H$4="All",K986='Dashboard'!$H$4),OR('Dashboard'!$K$4="All",C986='Dashboard'!$K$4)),1,0)</x:f>
        <x:v>1</x:v>
      </x:c>
      <x:c r="AI986" s="84" t="n">
        <x:f>IF(AND(AG986=1,OR('Dashboard'!$B$4="All",I986='Dashboard'!$B$4),OR('Dashboard'!$E$4="All",N986='Dashboard'!$E$4),OR('Dashboard'!$H$4="All",K986='Dashboard'!$H$4)),1,0)</x:f>
        <x:v>1</x:v>
      </x:c>
    </x:row>
    <x:row r="987">
      <x:c r="A987" s="84" t="str">
        <x:f>'Raw Sales'!A987</x:f>
        <x:v>ORD-2024-00839</x:v>
      </x:c>
      <x:c r="B987" s="85" t="n">
        <x:f>'Raw Sales'!B987</x:f>
        <x:v>45625</x:v>
      </x:c>
      <x:c r="C987" s="84" t="n">
        <x:f>YEAR(B987)</x:f>
        <x:v>2024</x:v>
      </x:c>
      <x:c r="D987" s="91" t="n">
        <x:f>DATE(YEAR(B987),MONTH(B987),1)</x:f>
        <x:v>45597</x:v>
      </x:c>
      <x:c r="E987" s="84" t="str">
        <x:f>TEXT(B987,"mmm")</x:f>
        <x:v>Nov</x:v>
      </x:c>
      <x:c r="F987" s="84" t="str">
        <x:f>'Raw Sales'!C987</x:f>
        <x:v>CUST-0031</x:v>
      </x:c>
      <x:c r="G987" s="84" t="str">
        <x:f>PROPER(TRIM('Raw Sales'!D987))</x:f>
        <x:v>Theo Smith</x:v>
      </x:c>
      <x:c r="H987" s="84" t="str">
        <x:f>IF(TRIM('Raw Sales'!E987)="","Unknown",PROPER(TRIM('Raw Sales'!E987)))</x:f>
        <x:v>Consumer</x:v>
      </x:c>
      <x:c r="I987" s="84" t="str">
        <x:f>PROPER(TRIM('Raw Sales'!F987))</x:f>
        <x:v>Southeast</x:v>
      </x:c>
      <x:c r="J987" s="84" t="str">
        <x:f>PROPER(TRIM('Raw Sales'!G987))</x:f>
        <x:v>Atlanta</x:v>
      </x:c>
      <x:c r="K987" s="84" t="str">
        <x:f>PROPER(TRIM('Raw Sales'!H987))</x:f>
        <x:v>Online</x:v>
      </x:c>
      <x:c r="L987" s="84" t="str">
        <x:f>'Raw Sales'!I987</x:f>
        <x:v>ACCS-001</x:v>
      </x:c>
      <x:c r="M987" s="84" t="str">
        <x:f>IFERROR(VLOOKUP(L987,'Reference Data'!$A$5:$F$40,2,FALSE),"Unknown Product")</x:f>
        <x:v>Canvas Tote Bag</x:v>
      </x:c>
      <x:c r="N987" s="84" t="str">
        <x:f>IFERROR(VLOOKUP(L987,'Reference Data'!$A$5:$F$40,3,FALSE),"Unknown")</x:f>
        <x:v>Accessories</x:v>
      </x:c>
      <x:c r="O987" s="84" t="str">
        <x:f>IFERROR(VLOOKUP(L987,'Reference Data'!$A$5:$F$40,4,FALSE),"Unknown")</x:f>
        <x:v>Bags</x:v>
      </x:c>
      <x:c r="P987" s="92" t="n">
        <x:f>IFERROR(VLOOKUP(L987,'Reference Data'!$A$5:$F$40,5,FALSE),0)</x:f>
        <x:v>39</x:v>
      </x:c>
      <x:c r="Q987" s="92" t="n">
        <x:f>IFERROR(VLOOKUP(L987,'Reference Data'!$A$5:$F$40,6,FALSE),0)</x:f>
        <x:v>14</x:v>
      </x:c>
      <x:c r="R987" s="84" t="n">
        <x:f>'Raw Sales'!J987</x:f>
        <x:v>1</x:v>
      </x:c>
      <x:c r="S987" s="87" t="n">
        <x:f>'Raw Sales'!K987</x:f>
        <x:v>0.1</x:v>
      </x:c>
      <x:c r="T987" s="93" t="n">
        <x:f>P987*R987</x:f>
        <x:v>39</x:v>
      </x:c>
      <x:c r="U987" s="93" t="n">
        <x:f>T987*S987</x:f>
        <x:v>3.9000000000000004</x:v>
      </x:c>
      <x:c r="V987" s="93" t="str">
        <x:f>PROPER(TRIM('Raw Sales'!L987))</x:f>
        <x:v>Completed</x:v>
      </x:c>
      <x:c r="W987" s="93" t="n">
        <x:f>IF(V987="Returned",0,T987-U987)</x:f>
        <x:v>35.1</x:v>
      </x:c>
      <x:c r="X987" s="93" t="n">
        <x:f>IF(V987="Returned",Q987*R987*10%,Q987*R987)</x:f>
        <x:v>14</x:v>
      </x:c>
      <x:c r="Y987" s="93" t="n">
        <x:f>W987-X987</x:f>
        <x:v>21.1</x:v>
      </x:c>
      <x:c r="Z987" s="94" t="n">
        <x:f>IFERROR(Y987/W987,0)</x:f>
        <x:v>0.6011396011396012</x:v>
      </x:c>
      <x:c r="AA987" s="84" t="str">
        <x:f>PROPER(TRIM('Raw Sales'!M987))</x:f>
        <x:v>Debit Card</x:v>
      </x:c>
      <x:c r="AB987" s="84" t="str">
        <x:f>PROPER(TRIM('Raw Sales'!N987))</x:f>
        <x:v>Ava Mitchell</x:v>
      </x:c>
      <x:c r="AC987" s="85" t="n">
        <x:f>'Raw Sales'!O987</x:f>
        <x:v>45629</x:v>
      </x:c>
      <x:c r="AD987" s="84" t="n">
        <x:f>AC987-B987</x:f>
        <x:v>4</x:v>
      </x:c>
      <x:c r="AE987" s="84" t="str">
        <x:f>IF(COUNTIF($A$5:A987,A987)&gt;1,"Duplicate","Keep")</x:f>
        <x:v>Keep</x:v>
      </x:c>
      <x:c r="AF987" s="84" t="str">
        <x:f>IF(OR(R987&lt;=0,AC987&lt;B987,H987="Unknown",M987="Unknown Product"),"Review","Valid")</x:f>
        <x:v>Valid</x:v>
      </x:c>
      <x:c r="AG987" s="84" t="n">
        <x:f>IF(AND(AE987="Keep",AF987="Valid"),1,0)</x:f>
        <x:v>1</x:v>
      </x:c>
      <x:c r="AH987" s="84" t="n">
        <x:f>IF(AND(AG987=1,OR('Dashboard'!$B$4="All",I987='Dashboard'!$B$4),OR('Dashboard'!$E$4="All",N987='Dashboard'!$E$4),OR('Dashboard'!$H$4="All",K987='Dashboard'!$H$4),OR('Dashboard'!$K$4="All",C987='Dashboard'!$K$4)),1,0)</x:f>
        <x:v>1</x:v>
      </x:c>
      <x:c r="AI987" s="84" t="n">
        <x:f>IF(AND(AG987=1,OR('Dashboard'!$B$4="All",I987='Dashboard'!$B$4),OR('Dashboard'!$E$4="All",N987='Dashboard'!$E$4),OR('Dashboard'!$H$4="All",K987='Dashboard'!$H$4)),1,0)</x:f>
        <x:v>1</x:v>
      </x:c>
    </x:row>
    <x:row r="988">
      <x:c r="A988" s="84" t="str">
        <x:f>'Raw Sales'!A988</x:f>
        <x:v>ORD-2024-01438</x:v>
      </x:c>
      <x:c r="B988" s="85" t="n">
        <x:f>'Raw Sales'!B988</x:f>
        <x:v>45625</x:v>
      </x:c>
      <x:c r="C988" s="84" t="n">
        <x:f>YEAR(B988)</x:f>
        <x:v>2024</x:v>
      </x:c>
      <x:c r="D988" s="91" t="n">
        <x:f>DATE(YEAR(B988),MONTH(B988),1)</x:f>
        <x:v>45597</x:v>
      </x:c>
      <x:c r="E988" s="84" t="str">
        <x:f>TEXT(B988,"mmm")</x:f>
        <x:v>Nov</x:v>
      </x:c>
      <x:c r="F988" s="84" t="str">
        <x:f>'Raw Sales'!C988</x:f>
        <x:v>CUST-0076</x:v>
      </x:c>
      <x:c r="G988" s="84" t="str">
        <x:f>PROPER(TRIM('Raw Sales'!D988))</x:f>
        <x:v>Jonah Patel</x:v>
      </x:c>
      <x:c r="H988" s="84" t="str">
        <x:f>IF(TRIM('Raw Sales'!E988)="","Unknown",PROPER(TRIM('Raw Sales'!E988)))</x:f>
        <x:v>Small Business</x:v>
      </x:c>
      <x:c r="I988" s="84" t="str">
        <x:f>PROPER(TRIM('Raw Sales'!F988))</x:f>
        <x:v>Southeast</x:v>
      </x:c>
      <x:c r="J988" s="84" t="str">
        <x:f>PROPER(TRIM('Raw Sales'!G988))</x:f>
        <x:v>Charlotte</x:v>
      </x:c>
      <x:c r="K988" s="84" t="str">
        <x:f>PROPER(TRIM('Raw Sales'!H988))</x:f>
        <x:v>Retail Store</x:v>
      </x:c>
      <x:c r="L988" s="84" t="str">
        <x:f>'Raw Sales'!I988</x:f>
        <x:v>ELEC-003</x:v>
      </x:c>
      <x:c r="M988" s="84" t="str">
        <x:f>IFERROR(VLOOKUP(L988,'Reference Data'!$A$5:$F$40,2,FALSE),"Unknown Product")</x:f>
        <x:v>Bluetooth Speaker</x:v>
      </x:c>
      <x:c r="N988" s="84" t="str">
        <x:f>IFERROR(VLOOKUP(L988,'Reference Data'!$A$5:$F$40,3,FALSE),"Unknown")</x:f>
        <x:v>Electronics</x:v>
      </x:c>
      <x:c r="O988" s="84" t="str">
        <x:f>IFERROR(VLOOKUP(L988,'Reference Data'!$A$5:$F$40,4,FALSE),"Unknown")</x:f>
        <x:v>Audio</x:v>
      </x:c>
      <x:c r="P988" s="92" t="n">
        <x:f>IFERROR(VLOOKUP(L988,'Reference Data'!$A$5:$F$40,5,FALSE),0)</x:f>
        <x:v>89</x:v>
      </x:c>
      <x:c r="Q988" s="92" t="n">
        <x:f>IFERROR(VLOOKUP(L988,'Reference Data'!$A$5:$F$40,6,FALSE),0)</x:f>
        <x:v>44</x:v>
      </x:c>
      <x:c r="R988" s="84" t="n">
        <x:f>'Raw Sales'!J988</x:f>
        <x:v>3</x:v>
      </x:c>
      <x:c r="S988" s="87" t="n">
        <x:f>'Raw Sales'!K988</x:f>
        <x:v>0</x:v>
      </x:c>
      <x:c r="T988" s="93" t="n">
        <x:f>P988*R988</x:f>
        <x:v>267</x:v>
      </x:c>
      <x:c r="U988" s="93" t="n">
        <x:f>T988*S988</x:f>
        <x:v>0</x:v>
      </x:c>
      <x:c r="V988" s="93" t="str">
        <x:f>PROPER(TRIM('Raw Sales'!L988))</x:f>
        <x:v>Returned</x:v>
      </x:c>
      <x:c r="W988" s="93" t="n">
        <x:f>IF(V988="Returned",0,T988-U988)</x:f>
        <x:v>0</x:v>
      </x:c>
      <x:c r="X988" s="93" t="n">
        <x:f>IF(V988="Returned",Q988*R988*10%,Q988*R988)</x:f>
        <x:v>13.200000000000001</x:v>
      </x:c>
      <x:c r="Y988" s="93" t="n">
        <x:f>W988-X988</x:f>
        <x:v>-13.200000000000001</x:v>
      </x:c>
      <x:c r="Z988" s="94" t="n">
        <x:f>IFERROR(Y988/W988,0)</x:f>
        <x:v>0</x:v>
      </x:c>
      <x:c r="AA988" s="84" t="str">
        <x:f>PROPER(TRIM('Raw Sales'!M988))</x:f>
        <x:v>Cash</x:v>
      </x:c>
      <x:c r="AB988" s="84" t="str">
        <x:f>PROPER(TRIM('Raw Sales'!N988))</x:f>
        <x:v>Liam Parker</x:v>
      </x:c>
      <x:c r="AC988" s="85" t="n">
        <x:f>'Raw Sales'!O988</x:f>
        <x:v>45625</x:v>
      </x:c>
      <x:c r="AD988" s="84" t="n">
        <x:f>AC988-B988</x:f>
        <x:v>0</x:v>
      </x:c>
      <x:c r="AE988" s="84" t="str">
        <x:f>IF(COUNTIF($A$5:A988,A988)&gt;1,"Duplicate","Keep")</x:f>
        <x:v>Keep</x:v>
      </x:c>
      <x:c r="AF988" s="84" t="str">
        <x:f>IF(OR(R988&lt;=0,AC988&lt;B988,H988="Unknown",M988="Unknown Product"),"Review","Valid")</x:f>
        <x:v>Valid</x:v>
      </x:c>
      <x:c r="AG988" s="84" t="n">
        <x:f>IF(AND(AE988="Keep",AF988="Valid"),1,0)</x:f>
        <x:v>1</x:v>
      </x:c>
      <x:c r="AH988" s="84" t="n">
        <x:f>IF(AND(AG988=1,OR('Dashboard'!$B$4="All",I988='Dashboard'!$B$4),OR('Dashboard'!$E$4="All",N988='Dashboard'!$E$4),OR('Dashboard'!$H$4="All",K988='Dashboard'!$H$4),OR('Dashboard'!$K$4="All",C988='Dashboard'!$K$4)),1,0)</x:f>
        <x:v>1</x:v>
      </x:c>
      <x:c r="AI988" s="84" t="n">
        <x:f>IF(AND(AG988=1,OR('Dashboard'!$B$4="All",I988='Dashboard'!$B$4),OR('Dashboard'!$E$4="All",N988='Dashboard'!$E$4),OR('Dashboard'!$H$4="All",K988='Dashboard'!$H$4)),1,0)</x:f>
        <x:v>1</x:v>
      </x:c>
    </x:row>
    <x:row r="989">
      <x:c r="A989" s="84" t="str">
        <x:f>'Raw Sales'!A989</x:f>
        <x:v>ORD-2024-02063</x:v>
      </x:c>
      <x:c r="B989" s="85" t="n">
        <x:f>'Raw Sales'!B989</x:f>
        <x:v>45625</x:v>
      </x:c>
      <x:c r="C989" s="84" t="n">
        <x:f>YEAR(B989)</x:f>
        <x:v>2024</x:v>
      </x:c>
      <x:c r="D989" s="91" t="n">
        <x:f>DATE(YEAR(B989),MONTH(B989),1)</x:f>
        <x:v>45597</x:v>
      </x:c>
      <x:c r="E989" s="84" t="str">
        <x:f>TEXT(B989,"mmm")</x:f>
        <x:v>Nov</x:v>
      </x:c>
      <x:c r="F989" s="84" t="str">
        <x:f>'Raw Sales'!C989</x:f>
        <x:v>CUST-0047</x:v>
      </x:c>
      <x:c r="G989" s="84" t="str">
        <x:f>PROPER(TRIM('Raw Sales'!D989))</x:f>
        <x:v>Isaac Adams</x:v>
      </x:c>
      <x:c r="H989" s="84" t="str">
        <x:f>IF(TRIM('Raw Sales'!E989)="","Unknown",PROPER(TRIM('Raw Sales'!E989)))</x:f>
        <x:v>Consumer</x:v>
      </x:c>
      <x:c r="I989" s="84" t="str">
        <x:f>PROPER(TRIM('Raw Sales'!F989))</x:f>
        <x:v>Southeast</x:v>
      </x:c>
      <x:c r="J989" s="84" t="str">
        <x:f>PROPER(TRIM('Raw Sales'!G989))</x:f>
        <x:v>Nashville</x:v>
      </x:c>
      <x:c r="K989" s="84" t="str">
        <x:f>PROPER(TRIM('Raw Sales'!H989))</x:f>
        <x:v>Online</x:v>
      </x:c>
      <x:c r="L989" s="84" t="str">
        <x:f>'Raw Sales'!I989</x:f>
        <x:v>HOME-003</x:v>
      </x:c>
      <x:c r="M989" s="84" t="str">
        <x:f>IFERROR(VLOOKUP(L989,'Reference Data'!$A$5:$F$40,2,FALSE),"Unknown Product")</x:f>
        <x:v>Countertop Blender</x:v>
      </x:c>
      <x:c r="N989" s="84" t="str">
        <x:f>IFERROR(VLOOKUP(L989,'Reference Data'!$A$5:$F$40,3,FALSE),"Unknown")</x:f>
        <x:v>Home &amp; Kitchen</x:v>
      </x:c>
      <x:c r="O989" s="84" t="str">
        <x:f>IFERROR(VLOOKUP(L989,'Reference Data'!$A$5:$F$40,4,FALSE),"Unknown")</x:f>
        <x:v>Small Appliances</x:v>
      </x:c>
      <x:c r="P989" s="92" t="n">
        <x:f>IFERROR(VLOOKUP(L989,'Reference Data'!$A$5:$F$40,5,FALSE),0)</x:f>
        <x:v>89</x:v>
      </x:c>
      <x:c r="Q989" s="92" t="n">
        <x:f>IFERROR(VLOOKUP(L989,'Reference Data'!$A$5:$F$40,6,FALSE),0)</x:f>
        <x:v>46</x:v>
      </x:c>
      <x:c r="R989" s="84" t="n">
        <x:f>'Raw Sales'!J989</x:f>
        <x:v>2</x:v>
      </x:c>
      <x:c r="S989" s="87" t="n">
        <x:f>'Raw Sales'!K989</x:f>
        <x:v>0.15</x:v>
      </x:c>
      <x:c r="T989" s="93" t="n">
        <x:f>P989*R989</x:f>
        <x:v>178</x:v>
      </x:c>
      <x:c r="U989" s="93" t="n">
        <x:f>T989*S989</x:f>
        <x:v>26.7</x:v>
      </x:c>
      <x:c r="V989" s="93" t="str">
        <x:f>PROPER(TRIM('Raw Sales'!L989))</x:f>
        <x:v>Completed</x:v>
      </x:c>
      <x:c r="W989" s="93" t="n">
        <x:f>IF(V989="Returned",0,T989-U989)</x:f>
        <x:v>151.3</x:v>
      </x:c>
      <x:c r="X989" s="93" t="n">
        <x:f>IF(V989="Returned",Q989*R989*10%,Q989*R989)</x:f>
        <x:v>92</x:v>
      </x:c>
      <x:c r="Y989" s="93" t="n">
        <x:f>W989-X989</x:f>
        <x:v>59.30000000000001</x:v>
      </x:c>
      <x:c r="Z989" s="94" t="n">
        <x:f>IFERROR(Y989/W989,0)</x:f>
        <x:v>0.39193654990085924</x:v>
      </x:c>
      <x:c r="AA989" s="84" t="str">
        <x:f>PROPER(TRIM('Raw Sales'!M989))</x:f>
        <x:v>Credit Card</x:v>
      </x:c>
      <x:c r="AB989" s="84" t="str">
        <x:f>PROPER(TRIM('Raw Sales'!N989))</x:f>
        <x:v>Noah Reed</x:v>
      </x:c>
      <x:c r="AC989" s="85" t="n">
        <x:f>'Raw Sales'!O989</x:f>
        <x:v>45627</x:v>
      </x:c>
      <x:c r="AD989" s="84" t="n">
        <x:f>AC989-B989</x:f>
        <x:v>2</x:v>
      </x:c>
      <x:c r="AE989" s="84" t="str">
        <x:f>IF(COUNTIF($A$5:A989,A989)&gt;1,"Duplicate","Keep")</x:f>
        <x:v>Keep</x:v>
      </x:c>
      <x:c r="AF989" s="84" t="str">
        <x:f>IF(OR(R989&lt;=0,AC989&lt;B989,H989="Unknown",M989="Unknown Product"),"Review","Valid")</x:f>
        <x:v>Valid</x:v>
      </x:c>
      <x:c r="AG989" s="84" t="n">
        <x:f>IF(AND(AE989="Keep",AF989="Valid"),1,0)</x:f>
        <x:v>1</x:v>
      </x:c>
      <x:c r="AH989" s="84" t="n">
        <x:f>IF(AND(AG989=1,OR('Dashboard'!$B$4="All",I989='Dashboard'!$B$4),OR('Dashboard'!$E$4="All",N989='Dashboard'!$E$4),OR('Dashboard'!$H$4="All",K989='Dashboard'!$H$4),OR('Dashboard'!$K$4="All",C989='Dashboard'!$K$4)),1,0)</x:f>
        <x:v>1</x:v>
      </x:c>
      <x:c r="AI989" s="84" t="n">
        <x:f>IF(AND(AG989=1,OR('Dashboard'!$B$4="All",I989='Dashboard'!$B$4),OR('Dashboard'!$E$4="All",N989='Dashboard'!$E$4),OR('Dashboard'!$H$4="All",K989='Dashboard'!$H$4)),1,0)</x:f>
        <x:v>1</x:v>
      </x:c>
    </x:row>
    <x:row r="990">
      <x:c r="A990" s="84" t="str">
        <x:f>'Raw Sales'!A990</x:f>
        <x:v>ORD-2024-02281</x:v>
      </x:c>
      <x:c r="B990" s="85" t="n">
        <x:f>'Raw Sales'!B990</x:f>
        <x:v>45625</x:v>
      </x:c>
      <x:c r="C990" s="84" t="n">
        <x:f>YEAR(B990)</x:f>
        <x:v>2024</x:v>
      </x:c>
      <x:c r="D990" s="91" t="n">
        <x:f>DATE(YEAR(B990),MONTH(B990),1)</x:f>
        <x:v>45597</x:v>
      </x:c>
      <x:c r="E990" s="84" t="str">
        <x:f>TEXT(B990,"mmm")</x:f>
        <x:v>Nov</x:v>
      </x:c>
      <x:c r="F990" s="84" t="str">
        <x:f>'Raw Sales'!C990</x:f>
        <x:v>CUST-0129</x:v>
      </x:c>
      <x:c r="G990" s="84" t="str">
        <x:f>PROPER(TRIM('Raw Sales'!D990))</x:f>
        <x:v>Owen Walker</x:v>
      </x:c>
      <x:c r="H990" s="84" t="str">
        <x:f>IF(TRIM('Raw Sales'!E990)="","Unknown",PROPER(TRIM('Raw Sales'!E990)))</x:f>
        <x:v>Corporate</x:v>
      </x:c>
      <x:c r="I990" s="84" t="str">
        <x:f>PROPER(TRIM('Raw Sales'!F990))</x:f>
        <x:v>Midwest</x:v>
      </x:c>
      <x:c r="J990" s="84" t="str">
        <x:f>PROPER(TRIM('Raw Sales'!G990))</x:f>
        <x:v>Chicago</x:v>
      </x:c>
      <x:c r="K990" s="84" t="str">
        <x:f>PROPER(TRIM('Raw Sales'!H990))</x:f>
        <x:v>Retail Store</x:v>
      </x:c>
      <x:c r="L990" s="84" t="str">
        <x:f>'Raw Sales'!I990</x:f>
        <x:v>OFFC-005</x:v>
      </x:c>
      <x:c r="M990" s="84" t="str">
        <x:f>IFERROR(VLOOKUP(L990,'Reference Data'!$A$5:$F$40,2,FALSE),"Unknown Product")</x:f>
        <x:v>Wireless Keyboard</x:v>
      </x:c>
      <x:c r="N990" s="84" t="str">
        <x:f>IFERROR(VLOOKUP(L990,'Reference Data'!$A$5:$F$40,3,FALSE),"Unknown")</x:f>
        <x:v>Office</x:v>
      </x:c>
      <x:c r="O990" s="84" t="str">
        <x:f>IFERROR(VLOOKUP(L990,'Reference Data'!$A$5:$F$40,4,FALSE),"Unknown")</x:f>
        <x:v>Computer Accessories</x:v>
      </x:c>
      <x:c r="P990" s="92" t="n">
        <x:f>IFERROR(VLOOKUP(L990,'Reference Data'!$A$5:$F$40,5,FALSE),0)</x:f>
        <x:v>59</x:v>
      </x:c>
      <x:c r="Q990" s="92" t="n">
        <x:f>IFERROR(VLOOKUP(L990,'Reference Data'!$A$5:$F$40,6,FALSE),0)</x:f>
        <x:v>28</x:v>
      </x:c>
      <x:c r="R990" s="84" t="n">
        <x:f>'Raw Sales'!J990</x:f>
        <x:v>2</x:v>
      </x:c>
      <x:c r="S990" s="87" t="n">
        <x:f>'Raw Sales'!K990</x:f>
        <x:v>0.05</x:v>
      </x:c>
      <x:c r="T990" s="93" t="n">
        <x:f>P990*R990</x:f>
        <x:v>118</x:v>
      </x:c>
      <x:c r="U990" s="93" t="n">
        <x:f>T990*S990</x:f>
        <x:v>5.9</x:v>
      </x:c>
      <x:c r="V990" s="93" t="str">
        <x:f>PROPER(TRIM('Raw Sales'!L990))</x:f>
        <x:v>Completed</x:v>
      </x:c>
      <x:c r="W990" s="93" t="n">
        <x:f>IF(V990="Returned",0,T990-U990)</x:f>
        <x:v>112.1</x:v>
      </x:c>
      <x:c r="X990" s="93" t="n">
        <x:f>IF(V990="Returned",Q990*R990*10%,Q990*R990)</x:f>
        <x:v>56</x:v>
      </x:c>
      <x:c r="Y990" s="93" t="n">
        <x:f>W990-X990</x:f>
        <x:v>56.099999999999994</x:v>
      </x:c>
      <x:c r="Z990" s="94" t="n">
        <x:f>IFERROR(Y990/W990,0)</x:f>
        <x:v>0.5004460303300624</x:v>
      </x:c>
      <x:c r="AA990" s="84" t="str">
        <x:f>PROPER(TRIM('Raw Sales'!M990))</x:f>
        <x:v>Cash</x:v>
      </x:c>
      <x:c r="AB990" s="84" t="str">
        <x:f>PROPER(TRIM('Raw Sales'!N990))</x:f>
        <x:v>Zoe Turner</x:v>
      </x:c>
      <x:c r="AC990" s="85" t="n">
        <x:f>'Raw Sales'!O990</x:f>
        <x:v>45625</x:v>
      </x:c>
      <x:c r="AD990" s="84" t="n">
        <x:f>AC990-B990</x:f>
        <x:v>0</x:v>
      </x:c>
      <x:c r="AE990" s="84" t="str">
        <x:f>IF(COUNTIF($A$5:A990,A990)&gt;1,"Duplicate","Keep")</x:f>
        <x:v>Keep</x:v>
      </x:c>
      <x:c r="AF990" s="84" t="str">
        <x:f>IF(OR(R990&lt;=0,AC990&lt;B990,H990="Unknown",M990="Unknown Product"),"Review","Valid")</x:f>
        <x:v>Valid</x:v>
      </x:c>
      <x:c r="AG990" s="84" t="n">
        <x:f>IF(AND(AE990="Keep",AF990="Valid"),1,0)</x:f>
        <x:v>1</x:v>
      </x:c>
      <x:c r="AH990" s="84" t="n">
        <x:f>IF(AND(AG990=1,OR('Dashboard'!$B$4="All",I990='Dashboard'!$B$4),OR('Dashboard'!$E$4="All",N990='Dashboard'!$E$4),OR('Dashboard'!$H$4="All",K990='Dashboard'!$H$4),OR('Dashboard'!$K$4="All",C990='Dashboard'!$K$4)),1,0)</x:f>
        <x:v>1</x:v>
      </x:c>
      <x:c r="AI990" s="84" t="n">
        <x:f>IF(AND(AG990=1,OR('Dashboard'!$B$4="All",I990='Dashboard'!$B$4),OR('Dashboard'!$E$4="All",N990='Dashboard'!$E$4),OR('Dashboard'!$H$4="All",K990='Dashboard'!$H$4)),1,0)</x:f>
        <x:v>1</x:v>
      </x:c>
    </x:row>
    <x:row r="991">
      <x:c r="A991" s="84" t="str">
        <x:f>'Raw Sales'!A991</x:f>
        <x:v>ORD-2024-00048</x:v>
      </x:c>
      <x:c r="B991" s="85" t="n">
        <x:f>'Raw Sales'!B991</x:f>
        <x:v>45626</x:v>
      </x:c>
      <x:c r="C991" s="84" t="n">
        <x:f>YEAR(B991)</x:f>
        <x:v>2024</x:v>
      </x:c>
      <x:c r="D991" s="91" t="n">
        <x:f>DATE(YEAR(B991),MONTH(B991),1)</x:f>
        <x:v>45597</x:v>
      </x:c>
      <x:c r="E991" s="84" t="str">
        <x:f>TEXT(B991,"mmm")</x:f>
        <x:v>Nov</x:v>
      </x:c>
      <x:c r="F991" s="84" t="str">
        <x:f>'Raw Sales'!C991</x:f>
        <x:v>CUST-0626</x:v>
      </x:c>
      <x:c r="G991" s="84" t="str">
        <x:f>PROPER(TRIM('Raw Sales'!D991))</x:f>
        <x:v>Theo Irwin</x:v>
      </x:c>
      <x:c r="H991" s="84" t="str">
        <x:f>IF(TRIM('Raw Sales'!E991)="","Unknown",PROPER(TRIM('Raw Sales'!E991)))</x:f>
        <x:v>Corporate</x:v>
      </x:c>
      <x:c r="I991" s="84" t="str">
        <x:f>PROPER(TRIM('Raw Sales'!F991))</x:f>
        <x:v>Midwest</x:v>
      </x:c>
      <x:c r="J991" s="84" t="str">
        <x:f>PROPER(TRIM('Raw Sales'!G991))</x:f>
        <x:v>Minneapolis</x:v>
      </x:c>
      <x:c r="K991" s="84" t="str">
        <x:f>PROPER(TRIM('Raw Sales'!H991))</x:f>
        <x:v>Retail Store</x:v>
      </x:c>
      <x:c r="L991" s="84" t="str">
        <x:f>'Raw Sales'!I991</x:f>
        <x:v>FITN-004</x:v>
      </x:c>
      <x:c r="M991" s="84" t="str">
        <x:f>IFERROR(VLOOKUP(L991,'Reference Data'!$A$5:$F$40,2,FALSE),"Unknown Product")</x:f>
        <x:v>Fitness Tracker</x:v>
      </x:c>
      <x:c r="N991" s="84" t="str">
        <x:f>IFERROR(VLOOKUP(L991,'Reference Data'!$A$5:$F$40,3,FALSE),"Unknown")</x:f>
        <x:v>Fitness</x:v>
      </x:c>
      <x:c r="O991" s="84" t="str">
        <x:f>IFERROR(VLOOKUP(L991,'Reference Data'!$A$5:$F$40,4,FALSE),"Unknown")</x:f>
        <x:v>Wearables</x:v>
      </x:c>
      <x:c r="P991" s="92" t="n">
        <x:f>IFERROR(VLOOKUP(L991,'Reference Data'!$A$5:$F$40,5,FALSE),0)</x:f>
        <x:v>89</x:v>
      </x:c>
      <x:c r="Q991" s="92" t="n">
        <x:f>IFERROR(VLOOKUP(L991,'Reference Data'!$A$5:$F$40,6,FALSE),0)</x:f>
        <x:v>44</x:v>
      </x:c>
      <x:c r="R991" s="84" t="n">
        <x:f>'Raw Sales'!J991</x:f>
        <x:v>3</x:v>
      </x:c>
      <x:c r="S991" s="87" t="n">
        <x:f>'Raw Sales'!K991</x:f>
        <x:v>0.15</x:v>
      </x:c>
      <x:c r="T991" s="93" t="n">
        <x:f>P991*R991</x:f>
        <x:v>267</x:v>
      </x:c>
      <x:c r="U991" s="93" t="n">
        <x:f>T991*S991</x:f>
        <x:v>40.05</x:v>
      </x:c>
      <x:c r="V991" s="93" t="str">
        <x:f>PROPER(TRIM('Raw Sales'!L991))</x:f>
        <x:v>Completed</x:v>
      </x:c>
      <x:c r="W991" s="93" t="n">
        <x:f>IF(V991="Returned",0,T991-U991)</x:f>
        <x:v>226.95</x:v>
      </x:c>
      <x:c r="X991" s="93" t="n">
        <x:f>IF(V991="Returned",Q991*R991*10%,Q991*R991)</x:f>
        <x:v>132</x:v>
      </x:c>
      <x:c r="Y991" s="93" t="n">
        <x:f>W991-X991</x:f>
        <x:v>94.94999999999999</x:v>
      </x:c>
      <x:c r="Z991" s="94" t="n">
        <x:f>IFERROR(Y991/W991,0)</x:f>
        <x:v>0.41837409120951746</x:v>
      </x:c>
      <x:c r="AA991" s="84" t="str">
        <x:f>PROPER(TRIM('Raw Sales'!M991))</x:f>
        <x:v>Cash</x:v>
      </x:c>
      <x:c r="AB991" s="84" t="str">
        <x:f>PROPER(TRIM('Raw Sales'!N991))</x:f>
        <x:v>Zoe Turner</x:v>
      </x:c>
      <x:c r="AC991" s="85" t="n">
        <x:f>'Raw Sales'!O991</x:f>
        <x:v>45626</x:v>
      </x:c>
      <x:c r="AD991" s="84" t="n">
        <x:f>AC991-B991</x:f>
        <x:v>0</x:v>
      </x:c>
      <x:c r="AE991" s="84" t="str">
        <x:f>IF(COUNTIF($A$5:A991,A991)&gt;1,"Duplicate","Keep")</x:f>
        <x:v>Keep</x:v>
      </x:c>
      <x:c r="AF991" s="84" t="str">
        <x:f>IF(OR(R991&lt;=0,AC991&lt;B991,H991="Unknown",M991="Unknown Product"),"Review","Valid")</x:f>
        <x:v>Valid</x:v>
      </x:c>
      <x:c r="AG991" s="84" t="n">
        <x:f>IF(AND(AE991="Keep",AF991="Valid"),1,0)</x:f>
        <x:v>1</x:v>
      </x:c>
      <x:c r="AH991" s="84" t="n">
        <x:f>IF(AND(AG991=1,OR('Dashboard'!$B$4="All",I991='Dashboard'!$B$4),OR('Dashboard'!$E$4="All",N991='Dashboard'!$E$4),OR('Dashboard'!$H$4="All",K991='Dashboard'!$H$4),OR('Dashboard'!$K$4="All",C991='Dashboard'!$K$4)),1,0)</x:f>
        <x:v>1</x:v>
      </x:c>
      <x:c r="AI991" s="84" t="n">
        <x:f>IF(AND(AG991=1,OR('Dashboard'!$B$4="All",I991='Dashboard'!$B$4),OR('Dashboard'!$E$4="All",N991='Dashboard'!$E$4),OR('Dashboard'!$H$4="All",K991='Dashboard'!$H$4)),1,0)</x:f>
        <x:v>1</x:v>
      </x:c>
    </x:row>
    <x:row r="992">
      <x:c r="A992" s="84" t="str">
        <x:f>'Raw Sales'!A992</x:f>
        <x:v>ORD-2024-00807</x:v>
      </x:c>
      <x:c r="B992" s="85" t="n">
        <x:f>'Raw Sales'!B992</x:f>
        <x:v>45626</x:v>
      </x:c>
      <x:c r="C992" s="84" t="n">
        <x:f>YEAR(B992)</x:f>
        <x:v>2024</x:v>
      </x:c>
      <x:c r="D992" s="91" t="n">
        <x:f>DATE(YEAR(B992),MONTH(B992),1)</x:f>
        <x:v>45597</x:v>
      </x:c>
      <x:c r="E992" s="84" t="str">
        <x:f>TEXT(B992,"mmm")</x:f>
        <x:v>Nov</x:v>
      </x:c>
      <x:c r="F992" s="84" t="str">
        <x:f>'Raw Sales'!C992</x:f>
        <x:v>CUST-0404</x:v>
      </x:c>
      <x:c r="G992" s="84" t="str">
        <x:f>PROPER(TRIM('Raw Sales'!D992))</x:f>
        <x:v>Nina Baker</x:v>
      </x:c>
      <x:c r="H992" s="84" t="str">
        <x:f>IF(TRIM('Raw Sales'!E992)="","Unknown",PROPER(TRIM('Raw Sales'!E992)))</x:f>
        <x:v>Consumer</x:v>
      </x:c>
      <x:c r="I992" s="84" t="str">
        <x:f>PROPER(TRIM('Raw Sales'!F992))</x:f>
        <x:v>West</x:v>
      </x:c>
      <x:c r="J992" s="84" t="str">
        <x:f>PROPER(TRIM('Raw Sales'!G992))</x:f>
        <x:v>Los Angeles</x:v>
      </x:c>
      <x:c r="K992" s="84" t="str">
        <x:f>PROPER(TRIM('Raw Sales'!H992))</x:f>
        <x:v>Retail Store</x:v>
      </x:c>
      <x:c r="L992" s="84" t="str">
        <x:f>'Raw Sales'!I992</x:f>
        <x:v>ELEC-003</x:v>
      </x:c>
      <x:c r="M992" s="84" t="str">
        <x:f>IFERROR(VLOOKUP(L992,'Reference Data'!$A$5:$F$40,2,FALSE),"Unknown Product")</x:f>
        <x:v>Bluetooth Speaker</x:v>
      </x:c>
      <x:c r="N992" s="84" t="str">
        <x:f>IFERROR(VLOOKUP(L992,'Reference Data'!$A$5:$F$40,3,FALSE),"Unknown")</x:f>
        <x:v>Electronics</x:v>
      </x:c>
      <x:c r="O992" s="84" t="str">
        <x:f>IFERROR(VLOOKUP(L992,'Reference Data'!$A$5:$F$40,4,FALSE),"Unknown")</x:f>
        <x:v>Audio</x:v>
      </x:c>
      <x:c r="P992" s="92" t="n">
        <x:f>IFERROR(VLOOKUP(L992,'Reference Data'!$A$5:$F$40,5,FALSE),0)</x:f>
        <x:v>89</x:v>
      </x:c>
      <x:c r="Q992" s="92" t="n">
        <x:f>IFERROR(VLOOKUP(L992,'Reference Data'!$A$5:$F$40,6,FALSE),0)</x:f>
        <x:v>44</x:v>
      </x:c>
      <x:c r="R992" s="84" t="n">
        <x:f>'Raw Sales'!J992</x:f>
        <x:v>2</x:v>
      </x:c>
      <x:c r="S992" s="87" t="n">
        <x:f>'Raw Sales'!K992</x:f>
        <x:v>0.05</x:v>
      </x:c>
      <x:c r="T992" s="93" t="n">
        <x:f>P992*R992</x:f>
        <x:v>178</x:v>
      </x:c>
      <x:c r="U992" s="93" t="n">
        <x:f>T992*S992</x:f>
        <x:v>8.9</x:v>
      </x:c>
      <x:c r="V992" s="93" t="str">
        <x:f>PROPER(TRIM('Raw Sales'!L992))</x:f>
        <x:v>Completed</x:v>
      </x:c>
      <x:c r="W992" s="93" t="n">
        <x:f>IF(V992="Returned",0,T992-U992)</x:f>
        <x:v>169.1</x:v>
      </x:c>
      <x:c r="X992" s="93" t="n">
        <x:f>IF(V992="Returned",Q992*R992*10%,Q992*R992)</x:f>
        <x:v>88</x:v>
      </x:c>
      <x:c r="Y992" s="93" t="n">
        <x:f>W992-X992</x:f>
        <x:v>81.1</x:v>
      </x:c>
      <x:c r="Z992" s="94" t="n">
        <x:f>IFERROR(Y992/W992,0)</x:f>
        <x:v>0.47959787108219987</x:v>
      </x:c>
      <x:c r="AA992" s="84" t="str">
        <x:f>PROPER(TRIM('Raw Sales'!M992))</x:f>
        <x:v>Credit Card</x:v>
      </x:c>
      <x:c r="AB992" s="84" t="str">
        <x:f>PROPER(TRIM('Raw Sales'!N992))</x:f>
        <x:v>Mia Chen</x:v>
      </x:c>
      <x:c r="AC992" s="85" t="n">
        <x:f>'Raw Sales'!O992</x:f>
        <x:v>45626</x:v>
      </x:c>
      <x:c r="AD992" s="84" t="n">
        <x:f>AC992-B992</x:f>
        <x:v>0</x:v>
      </x:c>
      <x:c r="AE992" s="84" t="str">
        <x:f>IF(COUNTIF($A$5:A992,A992)&gt;1,"Duplicate","Keep")</x:f>
        <x:v>Keep</x:v>
      </x:c>
      <x:c r="AF992" s="84" t="str">
        <x:f>IF(OR(R992&lt;=0,AC992&lt;B992,H992="Unknown",M992="Unknown Product"),"Review","Valid")</x:f>
        <x:v>Valid</x:v>
      </x:c>
      <x:c r="AG992" s="84" t="n">
        <x:f>IF(AND(AE992="Keep",AF992="Valid"),1,0)</x:f>
        <x:v>1</x:v>
      </x:c>
      <x:c r="AH992" s="84" t="n">
        <x:f>IF(AND(AG992=1,OR('Dashboard'!$B$4="All",I992='Dashboard'!$B$4),OR('Dashboard'!$E$4="All",N992='Dashboard'!$E$4),OR('Dashboard'!$H$4="All",K992='Dashboard'!$H$4),OR('Dashboard'!$K$4="All",C992='Dashboard'!$K$4)),1,0)</x:f>
        <x:v>1</x:v>
      </x:c>
      <x:c r="AI992" s="84" t="n">
        <x:f>IF(AND(AG992=1,OR('Dashboard'!$B$4="All",I992='Dashboard'!$B$4),OR('Dashboard'!$E$4="All",N992='Dashboard'!$E$4),OR('Dashboard'!$H$4="All",K992='Dashboard'!$H$4)),1,0)</x:f>
        <x:v>1</x:v>
      </x:c>
    </x:row>
    <x:row r="993">
      <x:c r="A993" s="84" t="str">
        <x:f>'Raw Sales'!A993</x:f>
        <x:v>ORD-2024-01003</x:v>
      </x:c>
      <x:c r="B993" s="85" t="n">
        <x:f>'Raw Sales'!B993</x:f>
        <x:v>45626</x:v>
      </x:c>
      <x:c r="C993" s="84" t="n">
        <x:f>YEAR(B993)</x:f>
        <x:v>2024</x:v>
      </x:c>
      <x:c r="D993" s="91" t="n">
        <x:f>DATE(YEAR(B993),MONTH(B993),1)</x:f>
        <x:v>45597</x:v>
      </x:c>
      <x:c r="E993" s="84" t="str">
        <x:f>TEXT(B993,"mmm")</x:f>
        <x:v>Nov</x:v>
      </x:c>
      <x:c r="F993" s="84" t="str">
        <x:f>'Raw Sales'!C993</x:f>
        <x:v>CUST-0437</x:v>
      </x:c>
      <x:c r="G993" s="84" t="str">
        <x:f>PROPER(TRIM('Raw Sales'!D993))</x:f>
        <x:v>Nathan Garcia</x:v>
      </x:c>
      <x:c r="H993" s="84" t="str">
        <x:f>IF(TRIM('Raw Sales'!E993)="","Unknown",PROPER(TRIM('Raw Sales'!E993)))</x:f>
        <x:v>Corporate</x:v>
      </x:c>
      <x:c r="I993" s="84" t="str">
        <x:f>PROPER(TRIM('Raw Sales'!F993))</x:f>
        <x:v>Northeast</x:v>
      </x:c>
      <x:c r="J993" s="84" t="str">
        <x:f>PROPER(TRIM('Raw Sales'!G993))</x:f>
        <x:v>Philadelphia</x:v>
      </x:c>
      <x:c r="K993" s="84" t="str">
        <x:f>PROPER(TRIM('Raw Sales'!H993))</x:f>
        <x:v>Online</x:v>
      </x:c>
      <x:c r="L993" s="84" t="str">
        <x:f>'Raw Sales'!I993</x:f>
        <x:v>ACCS-006</x:v>
      </x:c>
      <x:c r="M993" s="84" t="str">
        <x:f>IFERROR(VLOOKUP(L993,'Reference Data'!$A$5:$F$40,2,FALSE),"Unknown Product")</x:f>
        <x:v>Insulated Lunch Bag</x:v>
      </x:c>
      <x:c r="N993" s="84" t="str">
        <x:f>IFERROR(VLOOKUP(L993,'Reference Data'!$A$5:$F$40,3,FALSE),"Unknown")</x:f>
        <x:v>Accessories</x:v>
      </x:c>
      <x:c r="O993" s="84" t="str">
        <x:f>IFERROR(VLOOKUP(L993,'Reference Data'!$A$5:$F$40,4,FALSE),"Unknown")</x:f>
        <x:v>Bags</x:v>
      </x:c>
      <x:c r="P993" s="92" t="n">
        <x:f>IFERROR(VLOOKUP(L993,'Reference Data'!$A$5:$F$40,5,FALSE),0)</x:f>
        <x:v>29</x:v>
      </x:c>
      <x:c r="Q993" s="92" t="n">
        <x:f>IFERROR(VLOOKUP(L993,'Reference Data'!$A$5:$F$40,6,FALSE),0)</x:f>
        <x:v>10</x:v>
      </x:c>
      <x:c r="R993" s="84" t="n">
        <x:f>'Raw Sales'!J993</x:f>
        <x:v>3</x:v>
      </x:c>
      <x:c r="S993" s="87" t="n">
        <x:f>'Raw Sales'!K993</x:f>
        <x:v>0.15</x:v>
      </x:c>
      <x:c r="T993" s="93" t="n">
        <x:f>P993*R993</x:f>
        <x:v>87</x:v>
      </x:c>
      <x:c r="U993" s="93" t="n">
        <x:f>T993*S993</x:f>
        <x:v>13.049999999999999</x:v>
      </x:c>
      <x:c r="V993" s="93" t="str">
        <x:f>PROPER(TRIM('Raw Sales'!L993))</x:f>
        <x:v>Completed</x:v>
      </x:c>
      <x:c r="W993" s="93" t="n">
        <x:f>IF(V993="Returned",0,T993-U993)</x:f>
        <x:v>73.95</x:v>
      </x:c>
      <x:c r="X993" s="93" t="n">
        <x:f>IF(V993="Returned",Q993*R993*10%,Q993*R993)</x:f>
        <x:v>30</x:v>
      </x:c>
      <x:c r="Y993" s="93" t="n">
        <x:f>W993-X993</x:f>
        <x:v>43.95</x:v>
      </x:c>
      <x:c r="Z993" s="94" t="n">
        <x:f>IFERROR(Y993/W993,0)</x:f>
        <x:v>0.5943204868154158</x:v>
      </x:c>
      <x:c r="AA993" s="84" t="str">
        <x:f>PROPER(TRIM('Raw Sales'!M993))</x:f>
        <x:v>Mobile Wallet</x:v>
      </x:c>
      <x:c r="AB993" s="84" t="str">
        <x:f>PROPER(TRIM('Raw Sales'!N993))</x:f>
        <x:v>Ethan Cole</x:v>
      </x:c>
      <x:c r="AC993" s="85" t="n">
        <x:f>'Raw Sales'!O993</x:f>
        <x:v>45630</x:v>
      </x:c>
      <x:c r="AD993" s="84" t="n">
        <x:f>AC993-B993</x:f>
        <x:v>4</x:v>
      </x:c>
      <x:c r="AE993" s="84" t="str">
        <x:f>IF(COUNTIF($A$5:A993,A993)&gt;1,"Duplicate","Keep")</x:f>
        <x:v>Keep</x:v>
      </x:c>
      <x:c r="AF993" s="84" t="str">
        <x:f>IF(OR(R993&lt;=0,AC993&lt;B993,H993="Unknown",M993="Unknown Product"),"Review","Valid")</x:f>
        <x:v>Valid</x:v>
      </x:c>
      <x:c r="AG993" s="84" t="n">
        <x:f>IF(AND(AE993="Keep",AF993="Valid"),1,0)</x:f>
        <x:v>1</x:v>
      </x:c>
      <x:c r="AH993" s="84" t="n">
        <x:f>IF(AND(AG993=1,OR('Dashboard'!$B$4="All",I993='Dashboard'!$B$4),OR('Dashboard'!$E$4="All",N993='Dashboard'!$E$4),OR('Dashboard'!$H$4="All",K993='Dashboard'!$H$4),OR('Dashboard'!$K$4="All",C993='Dashboard'!$K$4)),1,0)</x:f>
        <x:v>1</x:v>
      </x:c>
      <x:c r="AI993" s="84" t="n">
        <x:f>IF(AND(AG993=1,OR('Dashboard'!$B$4="All",I993='Dashboard'!$B$4),OR('Dashboard'!$E$4="All",N993='Dashboard'!$E$4),OR('Dashboard'!$H$4="All",K993='Dashboard'!$H$4)),1,0)</x:f>
        <x:v>1</x:v>
      </x:c>
    </x:row>
    <x:row r="994">
      <x:c r="A994" s="84" t="str">
        <x:f>'Raw Sales'!A994</x:f>
        <x:v>ORD-2024-01475</x:v>
      </x:c>
      <x:c r="B994" s="85" t="n">
        <x:f>'Raw Sales'!B994</x:f>
        <x:v>45626</x:v>
      </x:c>
      <x:c r="C994" s="84" t="n">
        <x:f>YEAR(B994)</x:f>
        <x:v>2024</x:v>
      </x:c>
      <x:c r="D994" s="91" t="n">
        <x:f>DATE(YEAR(B994),MONTH(B994),1)</x:f>
        <x:v>45597</x:v>
      </x:c>
      <x:c r="E994" s="84" t="str">
        <x:f>TEXT(B994,"mmm")</x:f>
        <x:v>Nov</x:v>
      </x:c>
      <x:c r="F994" s="84" t="str">
        <x:f>'Raw Sales'!C994</x:f>
        <x:v>CUST-0349</x:v>
      </x:c>
      <x:c r="G994" s="84" t="str">
        <x:f>PROPER(TRIM('Raw Sales'!D994))</x:f>
        <x:v>Amelia Lewis</x:v>
      </x:c>
      <x:c r="H994" s="84" t="str">
        <x:f>IF(TRIM('Raw Sales'!E994)="","Unknown",PROPER(TRIM('Raw Sales'!E994)))</x:f>
        <x:v>Small Business</x:v>
      </x:c>
      <x:c r="I994" s="84" t="str">
        <x:f>PROPER(TRIM('Raw Sales'!F994))</x:f>
        <x:v>Southeast</x:v>
      </x:c>
      <x:c r="J994" s="84" t="str">
        <x:f>PROPER(TRIM('Raw Sales'!G994))</x:f>
        <x:v>Miami</x:v>
      </x:c>
      <x:c r="K994" s="84" t="str">
        <x:f>PROPER(TRIM('Raw Sales'!H994))</x:f>
        <x:v>Retail Store</x:v>
      </x:c>
      <x:c r="L994" s="84" t="str">
        <x:f>'Raw Sales'!I994</x:f>
        <x:v>HOME-003</x:v>
      </x:c>
      <x:c r="M994" s="84" t="str">
        <x:f>IFERROR(VLOOKUP(L994,'Reference Data'!$A$5:$F$40,2,FALSE),"Unknown Product")</x:f>
        <x:v>Countertop Blender</x:v>
      </x:c>
      <x:c r="N994" s="84" t="str">
        <x:f>IFERROR(VLOOKUP(L994,'Reference Data'!$A$5:$F$40,3,FALSE),"Unknown")</x:f>
        <x:v>Home &amp; Kitchen</x:v>
      </x:c>
      <x:c r="O994" s="84" t="str">
        <x:f>IFERROR(VLOOKUP(L994,'Reference Data'!$A$5:$F$40,4,FALSE),"Unknown")</x:f>
        <x:v>Small Appliances</x:v>
      </x:c>
      <x:c r="P994" s="92" t="n">
        <x:f>IFERROR(VLOOKUP(L994,'Reference Data'!$A$5:$F$40,5,FALSE),0)</x:f>
        <x:v>89</x:v>
      </x:c>
      <x:c r="Q994" s="92" t="n">
        <x:f>IFERROR(VLOOKUP(L994,'Reference Data'!$A$5:$F$40,6,FALSE),0)</x:f>
        <x:v>46</x:v>
      </x:c>
      <x:c r="R994" s="84" t="n">
        <x:f>'Raw Sales'!J994</x:f>
        <x:v>4</x:v>
      </x:c>
      <x:c r="S994" s="87" t="n">
        <x:f>'Raw Sales'!K994</x:f>
        <x:v>0.1</x:v>
      </x:c>
      <x:c r="T994" s="93" t="n">
        <x:f>P994*R994</x:f>
        <x:v>356</x:v>
      </x:c>
      <x:c r="U994" s="93" t="n">
        <x:f>T994*S994</x:f>
        <x:v>35.6</x:v>
      </x:c>
      <x:c r="V994" s="93" t="str">
        <x:f>PROPER(TRIM('Raw Sales'!L994))</x:f>
        <x:v>Completed</x:v>
      </x:c>
      <x:c r="W994" s="93" t="n">
        <x:f>IF(V994="Returned",0,T994-U994)</x:f>
        <x:v>320.4</x:v>
      </x:c>
      <x:c r="X994" s="93" t="n">
        <x:f>IF(V994="Returned",Q994*R994*10%,Q994*R994)</x:f>
        <x:v>184</x:v>
      </x:c>
      <x:c r="Y994" s="93" t="n">
        <x:f>W994-X994</x:f>
        <x:v>136.39999999999998</x:v>
      </x:c>
      <x:c r="Z994" s="94" t="n">
        <x:f>IFERROR(Y994/W994,0)</x:f>
        <x:v>0.4257178526841448</x:v>
      </x:c>
      <x:c r="AA994" s="84" t="str">
        <x:f>PROPER(TRIM('Raw Sales'!M994))</x:f>
        <x:v>Cash</x:v>
      </x:c>
      <x:c r="AB994" s="84" t="str">
        <x:f>PROPER(TRIM('Raw Sales'!N994))</x:f>
        <x:v>Liam Parker</x:v>
      </x:c>
      <x:c r="AC994" s="85" t="n">
        <x:f>'Raw Sales'!O994</x:f>
        <x:v>45627</x:v>
      </x:c>
      <x:c r="AD994" s="84" t="n">
        <x:f>AC994-B994</x:f>
        <x:v>1</x:v>
      </x:c>
      <x:c r="AE994" s="84" t="str">
        <x:f>IF(COUNTIF($A$5:A994,A994)&gt;1,"Duplicate","Keep")</x:f>
        <x:v>Keep</x:v>
      </x:c>
      <x:c r="AF994" s="84" t="str">
        <x:f>IF(OR(R994&lt;=0,AC994&lt;B994,H994="Unknown",M994="Unknown Product"),"Review","Valid")</x:f>
        <x:v>Valid</x:v>
      </x:c>
      <x:c r="AG994" s="84" t="n">
        <x:f>IF(AND(AE994="Keep",AF994="Valid"),1,0)</x:f>
        <x:v>1</x:v>
      </x:c>
      <x:c r="AH994" s="84" t="n">
        <x:f>IF(AND(AG994=1,OR('Dashboard'!$B$4="All",I994='Dashboard'!$B$4),OR('Dashboard'!$E$4="All",N994='Dashboard'!$E$4),OR('Dashboard'!$H$4="All",K994='Dashboard'!$H$4),OR('Dashboard'!$K$4="All",C994='Dashboard'!$K$4)),1,0)</x:f>
        <x:v>1</x:v>
      </x:c>
      <x:c r="AI994" s="84" t="n">
        <x:f>IF(AND(AG994=1,OR('Dashboard'!$B$4="All",I994='Dashboard'!$B$4),OR('Dashboard'!$E$4="All",N994='Dashboard'!$E$4),OR('Dashboard'!$H$4="All",K994='Dashboard'!$H$4)),1,0)</x:f>
        <x:v>1</x:v>
      </x:c>
    </x:row>
    <x:row r="995">
      <x:c r="A995" s="84" t="str">
        <x:f>'Raw Sales'!A995</x:f>
        <x:v>ORD-2024-01999</x:v>
      </x:c>
      <x:c r="B995" s="85" t="n">
        <x:f>'Raw Sales'!B995</x:f>
        <x:v>45626</x:v>
      </x:c>
      <x:c r="C995" s="84" t="n">
        <x:f>YEAR(B995)</x:f>
        <x:v>2024</x:v>
      </x:c>
      <x:c r="D995" s="91" t="n">
        <x:f>DATE(YEAR(B995),MONTH(B995),1)</x:f>
        <x:v>45597</x:v>
      </x:c>
      <x:c r="E995" s="84" t="str">
        <x:f>TEXT(B995,"mmm")</x:f>
        <x:v>Nov</x:v>
      </x:c>
      <x:c r="F995" s="84" t="str">
        <x:f>'Raw Sales'!C995</x:f>
        <x:v>CUST-0357</x:v>
      </x:c>
      <x:c r="G995" s="84" t="str">
        <x:f>PROPER(TRIM('Raw Sales'!D995))</x:f>
        <x:v>Priya Baker</x:v>
      </x:c>
      <x:c r="H995" s="84" t="str">
        <x:f>IF(TRIM('Raw Sales'!E995)="","Unknown",PROPER(TRIM('Raw Sales'!E995)))</x:f>
        <x:v>Consumer</x:v>
      </x:c>
      <x:c r="I995" s="84" t="str">
        <x:f>PROPER(TRIM('Raw Sales'!F995))</x:f>
        <x:v>Southeast</x:v>
      </x:c>
      <x:c r="J995" s="84" t="str">
        <x:f>PROPER(TRIM('Raw Sales'!G995))</x:f>
        <x:v>Atlanta</x:v>
      </x:c>
      <x:c r="K995" s="84" t="str">
        <x:f>PROPER(TRIM('Raw Sales'!H995))</x:f>
        <x:v>Retail Store</x:v>
      </x:c>
      <x:c r="L995" s="84" t="str">
        <x:f>'Raw Sales'!I995</x:f>
        <x:v>ACCS-002</x:v>
      </x:c>
      <x:c r="M995" s="84" t="str">
        <x:f>IFERROR(VLOOKUP(L995,'Reference Data'!$A$5:$F$40,2,FALSE),"Unknown Product")</x:f>
        <x:v>Travel Backpack</x:v>
      </x:c>
      <x:c r="N995" s="84" t="str">
        <x:f>IFERROR(VLOOKUP(L995,'Reference Data'!$A$5:$F$40,3,FALSE),"Unknown")</x:f>
        <x:v>Accessories</x:v>
      </x:c>
      <x:c r="O995" s="84" t="str">
        <x:f>IFERROR(VLOOKUP(L995,'Reference Data'!$A$5:$F$40,4,FALSE),"Unknown")</x:f>
        <x:v>Bags</x:v>
      </x:c>
      <x:c r="P995" s="92" t="n">
        <x:f>IFERROR(VLOOKUP(L995,'Reference Data'!$A$5:$F$40,5,FALSE),0)</x:f>
        <x:v>89</x:v>
      </x:c>
      <x:c r="Q995" s="92" t="n">
        <x:f>IFERROR(VLOOKUP(L995,'Reference Data'!$A$5:$F$40,6,FALSE),0)</x:f>
        <x:v>36</x:v>
      </x:c>
      <x:c r="R995" s="84" t="n">
        <x:f>'Raw Sales'!J995</x:f>
        <x:v>1</x:v>
      </x:c>
      <x:c r="S995" s="87" t="n">
        <x:f>'Raw Sales'!K995</x:f>
        <x:v>0.2</x:v>
      </x:c>
      <x:c r="T995" s="93" t="n">
        <x:f>P995*R995</x:f>
        <x:v>89</x:v>
      </x:c>
      <x:c r="U995" s="93" t="n">
        <x:f>T995*S995</x:f>
        <x:v>17.8</x:v>
      </x:c>
      <x:c r="V995" s="93" t="str">
        <x:f>PROPER(TRIM('Raw Sales'!L995))</x:f>
        <x:v>Completed</x:v>
      </x:c>
      <x:c r="W995" s="93" t="n">
        <x:f>IF(V995="Returned",0,T995-U995)</x:f>
        <x:v>71.2</x:v>
      </x:c>
      <x:c r="X995" s="93" t="n">
        <x:f>IF(V995="Returned",Q995*R995*10%,Q995*R995)</x:f>
        <x:v>36</x:v>
      </x:c>
      <x:c r="Y995" s="93" t="n">
        <x:f>W995-X995</x:f>
        <x:v>35.2</x:v>
      </x:c>
      <x:c r="Z995" s="94" t="n">
        <x:f>IFERROR(Y995/W995,0)</x:f>
        <x:v>0.49438202247191015</x:v>
      </x:c>
      <x:c r="AA995" s="84" t="str">
        <x:f>PROPER(TRIM('Raw Sales'!M995))</x:f>
        <x:v>Debit Card</x:v>
      </x:c>
      <x:c r="AB995" s="84" t="str">
        <x:f>PROPER(TRIM('Raw Sales'!N995))</x:f>
        <x:v>Liam Parker</x:v>
      </x:c>
      <x:c r="AC995" s="85" t="n">
        <x:f>'Raw Sales'!O995</x:f>
        <x:v>45626</x:v>
      </x:c>
      <x:c r="AD995" s="84" t="n">
        <x:f>AC995-B995</x:f>
        <x:v>0</x:v>
      </x:c>
      <x:c r="AE995" s="84" t="str">
        <x:f>IF(COUNTIF($A$5:A995,A995)&gt;1,"Duplicate","Keep")</x:f>
        <x:v>Keep</x:v>
      </x:c>
      <x:c r="AF995" s="84" t="str">
        <x:f>IF(OR(R995&lt;=0,AC995&lt;B995,H995="Unknown",M995="Unknown Product"),"Review","Valid")</x:f>
        <x:v>Valid</x:v>
      </x:c>
      <x:c r="AG995" s="84" t="n">
        <x:f>IF(AND(AE995="Keep",AF995="Valid"),1,0)</x:f>
        <x:v>1</x:v>
      </x:c>
      <x:c r="AH995" s="84" t="n">
        <x:f>IF(AND(AG995=1,OR('Dashboard'!$B$4="All",I995='Dashboard'!$B$4),OR('Dashboard'!$E$4="All",N995='Dashboard'!$E$4),OR('Dashboard'!$H$4="All",K995='Dashboard'!$H$4),OR('Dashboard'!$K$4="All",C995='Dashboard'!$K$4)),1,0)</x:f>
        <x:v>1</x:v>
      </x:c>
      <x:c r="AI995" s="84" t="n">
        <x:f>IF(AND(AG995=1,OR('Dashboard'!$B$4="All",I995='Dashboard'!$B$4),OR('Dashboard'!$E$4="All",N995='Dashboard'!$E$4),OR('Dashboard'!$H$4="All",K995='Dashboard'!$H$4)),1,0)</x:f>
        <x:v>1</x:v>
      </x:c>
    </x:row>
    <x:row r="996">
      <x:c r="A996" s="84" t="str">
        <x:f>'Raw Sales'!A996</x:f>
        <x:v>ORD-2024-00626</x:v>
      </x:c>
      <x:c r="B996" s="85" t="n">
        <x:f>'Raw Sales'!B996</x:f>
        <x:v>45627</x:v>
      </x:c>
      <x:c r="C996" s="84" t="n">
        <x:f>YEAR(B996)</x:f>
        <x:v>2024</x:v>
      </x:c>
      <x:c r="D996" s="91" t="n">
        <x:f>DATE(YEAR(B996),MONTH(B996),1)</x:f>
        <x:v>45627</x:v>
      </x:c>
      <x:c r="E996" s="84" t="str">
        <x:f>TEXT(B996,"mmm")</x:f>
        <x:v>Dec</x:v>
      </x:c>
      <x:c r="F996" s="84" t="str">
        <x:f>'Raw Sales'!C996</x:f>
        <x:v>CUST-0304</x:v>
      </x:c>
      <x:c r="G996" s="84" t="str">
        <x:f>PROPER(TRIM('Raw Sales'!D996))</x:f>
        <x:v>Isaac Carter</x:v>
      </x:c>
      <x:c r="H996" s="84" t="str">
        <x:f>IF(TRIM('Raw Sales'!E996)="","Unknown",PROPER(TRIM('Raw Sales'!E996)))</x:f>
        <x:v>Corporate</x:v>
      </x:c>
      <x:c r="I996" s="84" t="str">
        <x:f>PROPER(TRIM('Raw Sales'!F996))</x:f>
        <x:v>Northeast</x:v>
      </x:c>
      <x:c r="J996" s="84" t="str">
        <x:f>PROPER(TRIM('Raw Sales'!G996))</x:f>
        <x:v>New York</x:v>
      </x:c>
      <x:c r="K996" s="84" t="str">
        <x:f>PROPER(TRIM('Raw Sales'!H996))</x:f>
        <x:v>Retail Store</x:v>
      </x:c>
      <x:c r="L996" s="84" t="str">
        <x:f>'Raw Sales'!I996</x:f>
        <x:v>FITN-004</x:v>
      </x:c>
      <x:c r="M996" s="84" t="str">
        <x:f>IFERROR(VLOOKUP(L996,'Reference Data'!$A$5:$F$40,2,FALSE),"Unknown Product")</x:f>
        <x:v>Fitness Tracker</x:v>
      </x:c>
      <x:c r="N996" s="84" t="str">
        <x:f>IFERROR(VLOOKUP(L996,'Reference Data'!$A$5:$F$40,3,FALSE),"Unknown")</x:f>
        <x:v>Fitness</x:v>
      </x:c>
      <x:c r="O996" s="84" t="str">
        <x:f>IFERROR(VLOOKUP(L996,'Reference Data'!$A$5:$F$40,4,FALSE),"Unknown")</x:f>
        <x:v>Wearables</x:v>
      </x:c>
      <x:c r="P996" s="92" t="n">
        <x:f>IFERROR(VLOOKUP(L996,'Reference Data'!$A$5:$F$40,5,FALSE),0)</x:f>
        <x:v>89</x:v>
      </x:c>
      <x:c r="Q996" s="92" t="n">
        <x:f>IFERROR(VLOOKUP(L996,'Reference Data'!$A$5:$F$40,6,FALSE),0)</x:f>
        <x:v>44</x:v>
      </x:c>
      <x:c r="R996" s="84" t="n">
        <x:f>'Raw Sales'!J996</x:f>
        <x:v>3</x:v>
      </x:c>
      <x:c r="S996" s="87" t="n">
        <x:f>'Raw Sales'!K996</x:f>
        <x:v>0</x:v>
      </x:c>
      <x:c r="T996" s="93" t="n">
        <x:f>P996*R996</x:f>
        <x:v>267</x:v>
      </x:c>
      <x:c r="U996" s="93" t="n">
        <x:f>T996*S996</x:f>
        <x:v>0</x:v>
      </x:c>
      <x:c r="V996" s="93" t="str">
        <x:f>PROPER(TRIM('Raw Sales'!L996))</x:f>
        <x:v>Completed</x:v>
      </x:c>
      <x:c r="W996" s="93" t="n">
        <x:f>IF(V996="Returned",0,T996-U996)</x:f>
        <x:v>267</x:v>
      </x:c>
      <x:c r="X996" s="93" t="n">
        <x:f>IF(V996="Returned",Q996*R996*10%,Q996*R996)</x:f>
        <x:v>132</x:v>
      </x:c>
      <x:c r="Y996" s="93" t="n">
        <x:f>W996-X996</x:f>
        <x:v>135</x:v>
      </x:c>
      <x:c r="Z996" s="94" t="n">
        <x:f>IFERROR(Y996/W996,0)</x:f>
        <x:v>0.5056179775280899</x:v>
      </x:c>
      <x:c r="AA996" s="84" t="str">
        <x:f>PROPER(TRIM('Raw Sales'!M996))</x:f>
        <x:v>Cash</x:v>
      </x:c>
      <x:c r="AB996" s="84" t="str">
        <x:f>PROPER(TRIM('Raw Sales'!N996))</x:f>
        <x:v>Maya Brooks</x:v>
      </x:c>
      <x:c r="AC996" s="85" t="n">
        <x:f>'Raw Sales'!O996</x:f>
        <x:v>45628</x:v>
      </x:c>
      <x:c r="AD996" s="84" t="n">
        <x:f>AC996-B996</x:f>
        <x:v>1</x:v>
      </x:c>
      <x:c r="AE996" s="84" t="str">
        <x:f>IF(COUNTIF($A$5:A996,A996)&gt;1,"Duplicate","Keep")</x:f>
        <x:v>Keep</x:v>
      </x:c>
      <x:c r="AF996" s="84" t="str">
        <x:f>IF(OR(R996&lt;=0,AC996&lt;B996,H996="Unknown",M996="Unknown Product"),"Review","Valid")</x:f>
        <x:v>Valid</x:v>
      </x:c>
      <x:c r="AG996" s="84" t="n">
        <x:f>IF(AND(AE996="Keep",AF996="Valid"),1,0)</x:f>
        <x:v>1</x:v>
      </x:c>
      <x:c r="AH996" s="84" t="n">
        <x:f>IF(AND(AG996=1,OR('Dashboard'!$B$4="All",I996='Dashboard'!$B$4),OR('Dashboard'!$E$4="All",N996='Dashboard'!$E$4),OR('Dashboard'!$H$4="All",K996='Dashboard'!$H$4),OR('Dashboard'!$K$4="All",C996='Dashboard'!$K$4)),1,0)</x:f>
        <x:v>1</x:v>
      </x:c>
      <x:c r="AI996" s="84" t="n">
        <x:f>IF(AND(AG996=1,OR('Dashboard'!$B$4="All",I996='Dashboard'!$B$4),OR('Dashboard'!$E$4="All",N996='Dashboard'!$E$4),OR('Dashboard'!$H$4="All",K996='Dashboard'!$H$4)),1,0)</x:f>
        <x:v>1</x:v>
      </x:c>
    </x:row>
    <x:row r="997">
      <x:c r="A997" s="84" t="str">
        <x:f>'Raw Sales'!A997</x:f>
        <x:v>ORD-2024-00870</x:v>
      </x:c>
      <x:c r="B997" s="85" t="n">
        <x:f>'Raw Sales'!B997</x:f>
        <x:v>45627</x:v>
      </x:c>
      <x:c r="C997" s="84" t="n">
        <x:f>YEAR(B997)</x:f>
        <x:v>2024</x:v>
      </x:c>
      <x:c r="D997" s="91" t="n">
        <x:f>DATE(YEAR(B997),MONTH(B997),1)</x:f>
        <x:v>45627</x:v>
      </x:c>
      <x:c r="E997" s="84" t="str">
        <x:f>TEXT(B997,"mmm")</x:f>
        <x:v>Dec</x:v>
      </x:c>
      <x:c r="F997" s="84" t="str">
        <x:f>'Raw Sales'!C997</x:f>
        <x:v>CUST-0453</x:v>
      </x:c>
      <x:c r="G997" s="84" t="str">
        <x:f>PROPER(TRIM('Raw Sales'!D997))</x:f>
        <x:v>Victoria Foster</x:v>
      </x:c>
      <x:c r="H997" s="84" t="str">
        <x:f>IF(TRIM('Raw Sales'!E997)="","Unknown",PROPER(TRIM('Raw Sales'!E997)))</x:f>
        <x:v>Consumer</x:v>
      </x:c>
      <x:c r="I997" s="84" t="str">
        <x:f>PROPER(TRIM('Raw Sales'!F997))</x:f>
        <x:v>Southeast</x:v>
      </x:c>
      <x:c r="J997" s="84" t="str">
        <x:f>PROPER(TRIM('Raw Sales'!G997))</x:f>
        <x:v>Atlanta</x:v>
      </x:c>
      <x:c r="K997" s="84" t="str">
        <x:f>PROPER(TRIM('Raw Sales'!H997))</x:f>
        <x:v>Marketplace</x:v>
      </x:c>
      <x:c r="L997" s="84" t="str">
        <x:f>'Raw Sales'!I997</x:f>
        <x:v>ACCS-002</x:v>
      </x:c>
      <x:c r="M997" s="84" t="str">
        <x:f>IFERROR(VLOOKUP(L997,'Reference Data'!$A$5:$F$40,2,FALSE),"Unknown Product")</x:f>
        <x:v>Travel Backpack</x:v>
      </x:c>
      <x:c r="N997" s="84" t="str">
        <x:f>IFERROR(VLOOKUP(L997,'Reference Data'!$A$5:$F$40,3,FALSE),"Unknown")</x:f>
        <x:v>Accessories</x:v>
      </x:c>
      <x:c r="O997" s="84" t="str">
        <x:f>IFERROR(VLOOKUP(L997,'Reference Data'!$A$5:$F$40,4,FALSE),"Unknown")</x:f>
        <x:v>Bags</x:v>
      </x:c>
      <x:c r="P997" s="92" t="n">
        <x:f>IFERROR(VLOOKUP(L997,'Reference Data'!$A$5:$F$40,5,FALSE),0)</x:f>
        <x:v>89</x:v>
      </x:c>
      <x:c r="Q997" s="92" t="n">
        <x:f>IFERROR(VLOOKUP(L997,'Reference Data'!$A$5:$F$40,6,FALSE),0)</x:f>
        <x:v>36</x:v>
      </x:c>
      <x:c r="R997" s="84" t="n">
        <x:f>'Raw Sales'!J997</x:f>
        <x:v>1</x:v>
      </x:c>
      <x:c r="S997" s="87" t="n">
        <x:f>'Raw Sales'!K997</x:f>
        <x:v>0.05</x:v>
      </x:c>
      <x:c r="T997" s="93" t="n">
        <x:f>P997*R997</x:f>
        <x:v>89</x:v>
      </x:c>
      <x:c r="U997" s="93" t="n">
        <x:f>T997*S997</x:f>
        <x:v>4.45</x:v>
      </x:c>
      <x:c r="V997" s="93" t="str">
        <x:f>PROPER(TRIM('Raw Sales'!L997))</x:f>
        <x:v>Completed</x:v>
      </x:c>
      <x:c r="W997" s="93" t="n">
        <x:f>IF(V997="Returned",0,T997-U997)</x:f>
        <x:v>84.55</x:v>
      </x:c>
      <x:c r="X997" s="93" t="n">
        <x:f>IF(V997="Returned",Q997*R997*10%,Q997*R997)</x:f>
        <x:v>36</x:v>
      </x:c>
      <x:c r="Y997" s="93" t="n">
        <x:f>W997-X997</x:f>
        <x:v>48.55</x:v>
      </x:c>
      <x:c r="Z997" s="94" t="n">
        <x:f>IFERROR(Y997/W997,0)</x:f>
        <x:v>0.5742164399763453</x:v>
      </x:c>
      <x:c r="AA997" s="84" t="str">
        <x:f>PROPER(TRIM('Raw Sales'!M997))</x:f>
        <x:v>Credit Card</x:v>
      </x:c>
      <x:c r="AB997" s="84" t="str">
        <x:f>PROPER(TRIM('Raw Sales'!N997))</x:f>
        <x:v>Ava Mitchell</x:v>
      </x:c>
      <x:c r="AC997" s="85" t="n">
        <x:f>'Raw Sales'!O997</x:f>
        <x:v>45630</x:v>
      </x:c>
      <x:c r="AD997" s="84" t="n">
        <x:f>AC997-B997</x:f>
        <x:v>3</x:v>
      </x:c>
      <x:c r="AE997" s="84" t="str">
        <x:f>IF(COUNTIF($A$5:A997,A997)&gt;1,"Duplicate","Keep")</x:f>
        <x:v>Keep</x:v>
      </x:c>
      <x:c r="AF997" s="84" t="str">
        <x:f>IF(OR(R997&lt;=0,AC997&lt;B997,H997="Unknown",M997="Unknown Product"),"Review","Valid")</x:f>
        <x:v>Valid</x:v>
      </x:c>
      <x:c r="AG997" s="84" t="n">
        <x:f>IF(AND(AE997="Keep",AF997="Valid"),1,0)</x:f>
        <x:v>1</x:v>
      </x:c>
      <x:c r="AH997" s="84" t="n">
        <x:f>IF(AND(AG997=1,OR('Dashboard'!$B$4="All",I997='Dashboard'!$B$4),OR('Dashboard'!$E$4="All",N997='Dashboard'!$E$4),OR('Dashboard'!$H$4="All",K997='Dashboard'!$H$4),OR('Dashboard'!$K$4="All",C997='Dashboard'!$K$4)),1,0)</x:f>
        <x:v>1</x:v>
      </x:c>
      <x:c r="AI997" s="84" t="n">
        <x:f>IF(AND(AG997=1,OR('Dashboard'!$B$4="All",I997='Dashboard'!$B$4),OR('Dashboard'!$E$4="All",N997='Dashboard'!$E$4),OR('Dashboard'!$H$4="All",K997='Dashboard'!$H$4)),1,0)</x:f>
        <x:v>1</x:v>
      </x:c>
    </x:row>
    <x:row r="998">
      <x:c r="A998" s="84" t="str">
        <x:f>'Raw Sales'!A998</x:f>
        <x:v>ORD-2024-02113</x:v>
      </x:c>
      <x:c r="B998" s="85" t="n">
        <x:f>'Raw Sales'!B998</x:f>
        <x:v>45627</x:v>
      </x:c>
      <x:c r="C998" s="84" t="n">
        <x:f>YEAR(B998)</x:f>
        <x:v>2024</x:v>
      </x:c>
      <x:c r="D998" s="91" t="n">
        <x:f>DATE(YEAR(B998),MONTH(B998),1)</x:f>
        <x:v>45627</x:v>
      </x:c>
      <x:c r="E998" s="84" t="str">
        <x:f>TEXT(B998,"mmm")</x:f>
        <x:v>Dec</x:v>
      </x:c>
      <x:c r="F998" s="84" t="str">
        <x:f>'Raw Sales'!C998</x:f>
        <x:v>CUST-0071</x:v>
      </x:c>
      <x:c r="G998" s="84" t="str">
        <x:f>PROPER(TRIM('Raw Sales'!D998))</x:f>
        <x:v>Owen Foster</x:v>
      </x:c>
      <x:c r="H998" s="84" t="str">
        <x:f>IF(TRIM('Raw Sales'!E998)="","Unknown",PROPER(TRIM('Raw Sales'!E998)))</x:f>
        <x:v>Consumer</x:v>
      </x:c>
      <x:c r="I998" s="84" t="str">
        <x:f>PROPER(TRIM('Raw Sales'!F998))</x:f>
        <x:v>Midwest</x:v>
      </x:c>
      <x:c r="J998" s="84" t="str">
        <x:f>PROPER(TRIM('Raw Sales'!G998))</x:f>
        <x:v>Detroit</x:v>
      </x:c>
      <x:c r="K998" s="84" t="str">
        <x:f>PROPER(TRIM('Raw Sales'!H998))</x:f>
        <x:v>Marketplace</x:v>
      </x:c>
      <x:c r="L998" s="84" t="str">
        <x:f>'Raw Sales'!I998</x:f>
        <x:v>OFFC-004</x:v>
      </x:c>
      <x:c r="M998" s="84" t="str">
        <x:f>IFERROR(VLOOKUP(L998,'Reference Data'!$A$5:$F$40,2,FALSE),"Unknown Product")</x:f>
        <x:v>Premium Notebook Pack</x:v>
      </x:c>
      <x:c r="N998" s="84" t="str">
        <x:f>IFERROR(VLOOKUP(L998,'Reference Data'!$A$5:$F$40,3,FALSE),"Unknown")</x:f>
        <x:v>Office</x:v>
      </x:c>
      <x:c r="O998" s="84" t="str">
        <x:f>IFERROR(VLOOKUP(L998,'Reference Data'!$A$5:$F$40,4,FALSE),"Unknown")</x:f>
        <x:v>Stationery</x:v>
      </x:c>
      <x:c r="P998" s="92" t="n">
        <x:f>IFERROR(VLOOKUP(L998,'Reference Data'!$A$5:$F$40,5,FALSE),0)</x:f>
        <x:v>18</x:v>
      </x:c>
      <x:c r="Q998" s="92" t="n">
        <x:f>IFERROR(VLOOKUP(L998,'Reference Data'!$A$5:$F$40,6,FALSE),0)</x:f>
        <x:v>6.5</x:v>
      </x:c>
      <x:c r="R998" s="84" t="n">
        <x:f>'Raw Sales'!J998</x:f>
        <x:v>3</x:v>
      </x:c>
      <x:c r="S998" s="87" t="n">
        <x:f>'Raw Sales'!K998</x:f>
        <x:v>0.1</x:v>
      </x:c>
      <x:c r="T998" s="93" t="n">
        <x:f>P998*R998</x:f>
        <x:v>54</x:v>
      </x:c>
      <x:c r="U998" s="93" t="n">
        <x:f>T998*S998</x:f>
        <x:v>5.4</x:v>
      </x:c>
      <x:c r="V998" s="93" t="str">
        <x:f>PROPER(TRIM('Raw Sales'!L998))</x:f>
        <x:v>Completed</x:v>
      </x:c>
      <x:c r="W998" s="93" t="n">
        <x:f>IF(V998="Returned",0,T998-U998)</x:f>
        <x:v>48.6</x:v>
      </x:c>
      <x:c r="X998" s="93" t="n">
        <x:f>IF(V998="Returned",Q998*R998*10%,Q998*R998)</x:f>
        <x:v>19.5</x:v>
      </x:c>
      <x:c r="Y998" s="93" t="n">
        <x:f>W998-X998</x:f>
        <x:v>29.1</x:v>
      </x:c>
      <x:c r="Z998" s="94" t="n">
        <x:f>IFERROR(Y998/W998,0)</x:f>
        <x:v>0.5987654320987654</x:v>
      </x:c>
      <x:c r="AA998" s="84" t="str">
        <x:f>PROPER(TRIM('Raw Sales'!M998))</x:f>
        <x:v>Paypal</x:v>
      </x:c>
      <x:c r="AB998" s="84" t="str">
        <x:f>PROPER(TRIM('Raw Sales'!N998))</x:f>
        <x:v>Zoe Turner</x:v>
      </x:c>
      <x:c r="AC998" s="85" t="n">
        <x:f>'Raw Sales'!O998</x:f>
        <x:v>45633</x:v>
      </x:c>
      <x:c r="AD998" s="84" t="n">
        <x:f>AC998-B998</x:f>
        <x:v>6</x:v>
      </x:c>
      <x:c r="AE998" s="84" t="str">
        <x:f>IF(COUNTIF($A$5:A998,A998)&gt;1,"Duplicate","Keep")</x:f>
        <x:v>Keep</x:v>
      </x:c>
      <x:c r="AF998" s="84" t="str">
        <x:f>IF(OR(R998&lt;=0,AC998&lt;B998,H998="Unknown",M998="Unknown Product"),"Review","Valid")</x:f>
        <x:v>Valid</x:v>
      </x:c>
      <x:c r="AG998" s="84" t="n">
        <x:f>IF(AND(AE998="Keep",AF998="Valid"),1,0)</x:f>
        <x:v>1</x:v>
      </x:c>
      <x:c r="AH998" s="84" t="n">
        <x:f>IF(AND(AG998=1,OR('Dashboard'!$B$4="All",I998='Dashboard'!$B$4),OR('Dashboard'!$E$4="All",N998='Dashboard'!$E$4),OR('Dashboard'!$H$4="All",K998='Dashboard'!$H$4),OR('Dashboard'!$K$4="All",C998='Dashboard'!$K$4)),1,0)</x:f>
        <x:v>1</x:v>
      </x:c>
      <x:c r="AI998" s="84" t="n">
        <x:f>IF(AND(AG998=1,OR('Dashboard'!$B$4="All",I998='Dashboard'!$B$4),OR('Dashboard'!$E$4="All",N998='Dashboard'!$E$4),OR('Dashboard'!$H$4="All",K998='Dashboard'!$H$4)),1,0)</x:f>
        <x:v>1</x:v>
      </x:c>
    </x:row>
    <x:row r="999">
      <x:c r="A999" s="84" t="str">
        <x:f>'Raw Sales'!A999</x:f>
        <x:v>ORD-2024-02168</x:v>
      </x:c>
      <x:c r="B999" s="85" t="n">
        <x:f>'Raw Sales'!B999</x:f>
        <x:v>45627</x:v>
      </x:c>
      <x:c r="C999" s="84" t="n">
        <x:f>YEAR(B999)</x:f>
        <x:v>2024</x:v>
      </x:c>
      <x:c r="D999" s="91" t="n">
        <x:f>DATE(YEAR(B999),MONTH(B999),1)</x:f>
        <x:v>45627</x:v>
      </x:c>
      <x:c r="E999" s="84" t="str">
        <x:f>TEXT(B999,"mmm")</x:f>
        <x:v>Dec</x:v>
      </x:c>
      <x:c r="F999" s="84" t="str">
        <x:f>'Raw Sales'!C999</x:f>
        <x:v>CUST-0335</x:v>
      </x:c>
      <x:c r="G999" s="84" t="str">
        <x:f>PROPER(TRIM('Raw Sales'!D999))</x:f>
        <x:v>Elias Roberts</x:v>
      </x:c>
      <x:c r="H999" s="84" t="str">
        <x:f>IF(TRIM('Raw Sales'!E999)="","Unknown",PROPER(TRIM('Raw Sales'!E999)))</x:f>
        <x:v>Consumer</x:v>
      </x:c>
      <x:c r="I999" s="84" t="str">
        <x:f>PROPER(TRIM('Raw Sales'!F999))</x:f>
        <x:v>West</x:v>
      </x:c>
      <x:c r="J999" s="84" t="str">
        <x:f>PROPER(TRIM('Raw Sales'!G999))</x:f>
        <x:v>Los Angeles</x:v>
      </x:c>
      <x:c r="K999" s="84" t="str">
        <x:f>PROPER(TRIM('Raw Sales'!H999))</x:f>
        <x:v>Online</x:v>
      </x:c>
      <x:c r="L999" s="84" t="str">
        <x:f>'Raw Sales'!I999</x:f>
        <x:v>HOME-006</x:v>
      </x:c>
      <x:c r="M999" s="84" t="str">
        <x:f>IFERROR(VLOOKUP(L999,'Reference Data'!$A$5:$F$40,2,FALSE),"Unknown Product")</x:f>
        <x:v>Food Storage Set</x:v>
      </x:c>
      <x:c r="N999" s="84" t="str">
        <x:f>IFERROR(VLOOKUP(L999,'Reference Data'!$A$5:$F$40,3,FALSE),"Unknown")</x:f>
        <x:v>Home &amp; Kitchen</x:v>
      </x:c>
      <x:c r="O999" s="84" t="str">
        <x:f>IFERROR(VLOOKUP(L999,'Reference Data'!$A$5:$F$40,4,FALSE),"Unknown")</x:f>
        <x:v>Kitchenware</x:v>
      </x:c>
      <x:c r="P999" s="92" t="n">
        <x:f>IFERROR(VLOOKUP(L999,'Reference Data'!$A$5:$F$40,5,FALSE),0)</x:f>
        <x:v>34</x:v>
      </x:c>
      <x:c r="Q999" s="92" t="n">
        <x:f>IFERROR(VLOOKUP(L999,'Reference Data'!$A$5:$F$40,6,FALSE),0)</x:f>
        <x:v>15</x:v>
      </x:c>
      <x:c r="R999" s="84" t="n">
        <x:f>'Raw Sales'!J999</x:f>
        <x:v>4</x:v>
      </x:c>
      <x:c r="S999" s="87" t="n">
        <x:f>'Raw Sales'!K999</x:f>
        <x:v>0</x:v>
      </x:c>
      <x:c r="T999" s="93" t="n">
        <x:f>P999*R999</x:f>
        <x:v>136</x:v>
      </x:c>
      <x:c r="U999" s="93" t="n">
        <x:f>T999*S999</x:f>
        <x:v>0</x:v>
      </x:c>
      <x:c r="V999" s="93" t="str">
        <x:f>PROPER(TRIM('Raw Sales'!L999))</x:f>
        <x:v>Completed</x:v>
      </x:c>
      <x:c r="W999" s="93" t="n">
        <x:f>IF(V999="Returned",0,T999-U999)</x:f>
        <x:v>136</x:v>
      </x:c>
      <x:c r="X999" s="93" t="n">
        <x:f>IF(V999="Returned",Q999*R999*10%,Q999*R999)</x:f>
        <x:v>60</x:v>
      </x:c>
      <x:c r="Y999" s="93" t="n">
        <x:f>W999-X999</x:f>
        <x:v>76</x:v>
      </x:c>
      <x:c r="Z999" s="94" t="n">
        <x:f>IFERROR(Y999/W999,0)</x:f>
        <x:v>0.5588235294117647</x:v>
      </x:c>
      <x:c r="AA999" s="84" t="str">
        <x:f>PROPER(TRIM('Raw Sales'!M999))</x:f>
        <x:v>Debit Card</x:v>
      </x:c>
      <x:c r="AB999" s="84" t="str">
        <x:f>PROPER(TRIM('Raw Sales'!N999))</x:f>
        <x:v>Nora Kim</x:v>
      </x:c>
      <x:c r="AC999" s="85" t="n">
        <x:f>'Raw Sales'!O999</x:f>
        <x:v>45632</x:v>
      </x:c>
      <x:c r="AD999" s="84" t="n">
        <x:f>AC999-B999</x:f>
        <x:v>5</x:v>
      </x:c>
      <x:c r="AE999" s="84" t="str">
        <x:f>IF(COUNTIF($A$5:A999,A999)&gt;1,"Duplicate","Keep")</x:f>
        <x:v>Keep</x:v>
      </x:c>
      <x:c r="AF999" s="84" t="str">
        <x:f>IF(OR(R999&lt;=0,AC999&lt;B999,H999="Unknown",M999="Unknown Product"),"Review","Valid")</x:f>
        <x:v>Valid</x:v>
      </x:c>
      <x:c r="AG999" s="84" t="n">
        <x:f>IF(AND(AE999="Keep",AF999="Valid"),1,0)</x:f>
        <x:v>1</x:v>
      </x:c>
      <x:c r="AH999" s="84" t="n">
        <x:f>IF(AND(AG999=1,OR('Dashboard'!$B$4="All",I999='Dashboard'!$B$4),OR('Dashboard'!$E$4="All",N999='Dashboard'!$E$4),OR('Dashboard'!$H$4="All",K999='Dashboard'!$H$4),OR('Dashboard'!$K$4="All",C999='Dashboard'!$K$4)),1,0)</x:f>
        <x:v>1</x:v>
      </x:c>
      <x:c r="AI999" s="84" t="n">
        <x:f>IF(AND(AG999=1,OR('Dashboard'!$B$4="All",I999='Dashboard'!$B$4),OR('Dashboard'!$E$4="All",N999='Dashboard'!$E$4),OR('Dashboard'!$H$4="All",K999='Dashboard'!$H$4)),1,0)</x:f>
        <x:v>1</x:v>
      </x:c>
    </x:row>
    <x:row r="1000">
      <x:c r="A1000" s="84" t="str">
        <x:f>'Raw Sales'!A1000</x:f>
        <x:v>ORD-2024-02316</x:v>
      </x:c>
      <x:c r="B1000" s="85" t="n">
        <x:f>'Raw Sales'!B1000</x:f>
        <x:v>45627</x:v>
      </x:c>
      <x:c r="C1000" s="84" t="n">
        <x:f>YEAR(B1000)</x:f>
        <x:v>2024</x:v>
      </x:c>
      <x:c r="D1000" s="91" t="n">
        <x:f>DATE(YEAR(B1000),MONTH(B1000),1)</x:f>
        <x:v>45627</x:v>
      </x:c>
      <x:c r="E1000" s="84" t="str">
        <x:f>TEXT(B1000,"mmm")</x:f>
        <x:v>Dec</x:v>
      </x:c>
      <x:c r="F1000" s="84" t="str">
        <x:f>'Raw Sales'!C1000</x:f>
        <x:v>CUST-0236</x:v>
      </x:c>
      <x:c r="G1000" s="84" t="str">
        <x:f>PROPER(TRIM('Raw Sales'!D1000))</x:f>
        <x:v>Chloe Ortiz</x:v>
      </x:c>
      <x:c r="H1000" s="84" t="str">
        <x:f>IF(TRIM('Raw Sales'!E1000)="","Unknown",PROPER(TRIM('Raw Sales'!E1000)))</x:f>
        <x:v>Consumer</x:v>
      </x:c>
      <x:c r="I1000" s="84" t="str">
        <x:f>PROPER(TRIM('Raw Sales'!F1000))</x:f>
        <x:v>Midwest</x:v>
      </x:c>
      <x:c r="J1000" s="84" t="str">
        <x:f>PROPER(TRIM('Raw Sales'!G1000))</x:f>
        <x:v>Minneapolis</x:v>
      </x:c>
      <x:c r="K1000" s="84" t="str">
        <x:f>PROPER(TRIM('Raw Sales'!H1000))</x:f>
        <x:v>Marketplace</x:v>
      </x:c>
      <x:c r="L1000" s="84" t="str">
        <x:f>'Raw Sales'!I1000</x:f>
        <x:v>ACCS-002</x:v>
      </x:c>
      <x:c r="M1000" s="84" t="str">
        <x:f>IFERROR(VLOOKUP(L1000,'Reference Data'!$A$5:$F$40,2,FALSE),"Unknown Product")</x:f>
        <x:v>Travel Backpack</x:v>
      </x:c>
      <x:c r="N1000" s="84" t="str">
        <x:f>IFERROR(VLOOKUP(L1000,'Reference Data'!$A$5:$F$40,3,FALSE),"Unknown")</x:f>
        <x:v>Accessories</x:v>
      </x:c>
      <x:c r="O1000" s="84" t="str">
        <x:f>IFERROR(VLOOKUP(L1000,'Reference Data'!$A$5:$F$40,4,FALSE),"Unknown")</x:f>
        <x:v>Bags</x:v>
      </x:c>
      <x:c r="P1000" s="92" t="n">
        <x:f>IFERROR(VLOOKUP(L1000,'Reference Data'!$A$5:$F$40,5,FALSE),0)</x:f>
        <x:v>89</x:v>
      </x:c>
      <x:c r="Q1000" s="92" t="n">
        <x:f>IFERROR(VLOOKUP(L1000,'Reference Data'!$A$5:$F$40,6,FALSE),0)</x:f>
        <x:v>36</x:v>
      </x:c>
      <x:c r="R1000" s="84" t="n">
        <x:f>'Raw Sales'!J1000</x:f>
        <x:v>2</x:v>
      </x:c>
      <x:c r="S1000" s="87" t="n">
        <x:f>'Raw Sales'!K1000</x:f>
        <x:v>0.15</x:v>
      </x:c>
      <x:c r="T1000" s="93" t="n">
        <x:f>P1000*R1000</x:f>
        <x:v>178</x:v>
      </x:c>
      <x:c r="U1000" s="93" t="n">
        <x:f>T1000*S1000</x:f>
        <x:v>26.7</x:v>
      </x:c>
      <x:c r="V1000" s="93" t="str">
        <x:f>PROPER(TRIM('Raw Sales'!L1000))</x:f>
        <x:v>Completed</x:v>
      </x:c>
      <x:c r="W1000" s="93" t="n">
        <x:f>IF(V1000="Returned",0,T1000-U1000)</x:f>
        <x:v>151.3</x:v>
      </x:c>
      <x:c r="X1000" s="93" t="n">
        <x:f>IF(V1000="Returned",Q1000*R1000*10%,Q1000*R1000)</x:f>
        <x:v>72</x:v>
      </x:c>
      <x:c r="Y1000" s="93" t="n">
        <x:f>W1000-X1000</x:f>
        <x:v>79.30000000000001</x:v>
      </x:c>
      <x:c r="Z1000" s="94" t="n">
        <x:f>IFERROR(Y1000/W1000,0)</x:f>
        <x:v>0.5241242564441507</x:v>
      </x:c>
      <x:c r="AA1000" s="84" t="str">
        <x:f>PROPER(TRIM('Raw Sales'!M1000))</x:f>
        <x:v>Credit Card</x:v>
      </x:c>
      <x:c r="AB1000" s="84" t="str">
        <x:f>PROPER(TRIM('Raw Sales'!N1000))</x:f>
        <x:v>Zoe Turner</x:v>
      </x:c>
      <x:c r="AC1000" s="85" t="n">
        <x:f>'Raw Sales'!O1000</x:f>
        <x:v>45632</x:v>
      </x:c>
      <x:c r="AD1000" s="84" t="n">
        <x:f>AC1000-B1000</x:f>
        <x:v>5</x:v>
      </x:c>
      <x:c r="AE1000" s="84" t="str">
        <x:f>IF(COUNTIF($A$5:A1000,A1000)&gt;1,"Duplicate","Keep")</x:f>
        <x:v>Keep</x:v>
      </x:c>
      <x:c r="AF1000" s="84" t="str">
        <x:f>IF(OR(R1000&lt;=0,AC1000&lt;B1000,H1000="Unknown",M1000="Unknown Product"),"Review","Valid")</x:f>
        <x:v>Valid</x:v>
      </x:c>
      <x:c r="AG1000" s="84" t="n">
        <x:f>IF(AND(AE1000="Keep",AF1000="Valid"),1,0)</x:f>
        <x:v>1</x:v>
      </x:c>
      <x:c r="AH1000" s="84" t="n">
        <x:f>IF(AND(AG1000=1,OR('Dashboard'!$B$4="All",I1000='Dashboard'!$B$4),OR('Dashboard'!$E$4="All",N1000='Dashboard'!$E$4),OR('Dashboard'!$H$4="All",K1000='Dashboard'!$H$4),OR('Dashboard'!$K$4="All",C1000='Dashboard'!$K$4)),1,0)</x:f>
        <x:v>1</x:v>
      </x:c>
      <x:c r="AI1000" s="84" t="n">
        <x:f>IF(AND(AG1000=1,OR('Dashboard'!$B$4="All",I1000='Dashboard'!$B$4),OR('Dashboard'!$E$4="All",N1000='Dashboard'!$E$4),OR('Dashboard'!$H$4="All",K1000='Dashboard'!$H$4)),1,0)</x:f>
        <x:v>1</x:v>
      </x:c>
    </x:row>
    <x:row r="1001">
      <x:c r="A1001" s="84" t="str">
        <x:f>'Raw Sales'!A1001</x:f>
        <x:v>ORD-2024-01046</x:v>
      </x:c>
      <x:c r="B1001" s="85" t="n">
        <x:f>'Raw Sales'!B1001</x:f>
        <x:v>45628</x:v>
      </x:c>
      <x:c r="C1001" s="84" t="n">
        <x:f>YEAR(B1001)</x:f>
        <x:v>2024</x:v>
      </x:c>
      <x:c r="D1001" s="91" t="n">
        <x:f>DATE(YEAR(B1001),MONTH(B1001),1)</x:f>
        <x:v>45627</x:v>
      </x:c>
      <x:c r="E1001" s="84" t="str">
        <x:f>TEXT(B1001,"mmm")</x:f>
        <x:v>Dec</x:v>
      </x:c>
      <x:c r="F1001" s="84" t="str">
        <x:f>'Raw Sales'!C1001</x:f>
        <x:v>CUST-0208</x:v>
      </x:c>
      <x:c r="G1001" s="84" t="str">
        <x:f>PROPER(TRIM('Raw Sales'!D1001))</x:f>
        <x:v>Layla Patel</x:v>
      </x:c>
      <x:c r="H1001" s="84" t="str">
        <x:f>IF(TRIM('Raw Sales'!E1001)="","Unknown",PROPER(TRIM('Raw Sales'!E1001)))</x:f>
        <x:v>Consumer</x:v>
      </x:c>
      <x:c r="I1001" s="84" t="str">
        <x:f>PROPER(TRIM('Raw Sales'!F1001))</x:f>
        <x:v>West</x:v>
      </x:c>
      <x:c r="J1001" s="84" t="str">
        <x:f>PROPER(TRIM('Raw Sales'!G1001))</x:f>
        <x:v>Los Angeles</x:v>
      </x:c>
      <x:c r="K1001" s="84" t="str">
        <x:f>PROPER(TRIM('Raw Sales'!H1001))</x:f>
        <x:v>Online</x:v>
      </x:c>
      <x:c r="L1001" s="84" t="str">
        <x:f>'Raw Sales'!I1001</x:f>
        <x:v>OFFC-001</x:v>
      </x:c>
      <x:c r="M1001" s="84" t="str">
        <x:f>IFERROR(VLOOKUP(L1001,'Reference Data'!$A$5:$F$40,2,FALSE),"Unknown Product")</x:f>
        <x:v>Ergonomic Chair</x:v>
      </x:c>
      <x:c r="N1001" s="84" t="str">
        <x:f>IFERROR(VLOOKUP(L1001,'Reference Data'!$A$5:$F$40,3,FALSE),"Unknown")</x:f>
        <x:v>Office</x:v>
      </x:c>
      <x:c r="O1001" s="84" t="str">
        <x:f>IFERROR(VLOOKUP(L1001,'Reference Data'!$A$5:$F$40,4,FALSE),"Unknown")</x:f>
        <x:v>Furniture</x:v>
      </x:c>
      <x:c r="P1001" s="92" t="n">
        <x:f>IFERROR(VLOOKUP(L1001,'Reference Data'!$A$5:$F$40,5,FALSE),0)</x:f>
        <x:v>249</x:v>
      </x:c>
      <x:c r="Q1001" s="92" t="n">
        <x:f>IFERROR(VLOOKUP(L1001,'Reference Data'!$A$5:$F$40,6,FALSE),0)</x:f>
        <x:v>145</x:v>
      </x:c>
      <x:c r="R1001" s="84" t="n">
        <x:f>'Raw Sales'!J1001</x:f>
        <x:v>1</x:v>
      </x:c>
      <x:c r="S1001" s="87" t="n">
        <x:f>'Raw Sales'!K1001</x:f>
        <x:v>0.05</x:v>
      </x:c>
      <x:c r="T1001" s="93" t="n">
        <x:f>P1001*R1001</x:f>
        <x:v>249</x:v>
      </x:c>
      <x:c r="U1001" s="93" t="n">
        <x:f>T1001*S1001</x:f>
        <x:v>12.450000000000001</x:v>
      </x:c>
      <x:c r="V1001" s="93" t="str">
        <x:f>PROPER(TRIM('Raw Sales'!L1001))</x:f>
        <x:v>Completed</x:v>
      </x:c>
      <x:c r="W1001" s="93" t="n">
        <x:f>IF(V1001="Returned",0,T1001-U1001)</x:f>
        <x:v>236.55</x:v>
      </x:c>
      <x:c r="X1001" s="93" t="n">
        <x:f>IF(V1001="Returned",Q1001*R1001*10%,Q1001*R1001)</x:f>
        <x:v>145</x:v>
      </x:c>
      <x:c r="Y1001" s="93" t="n">
        <x:f>W1001-X1001</x:f>
        <x:v>91.55000000000001</x:v>
      </x:c>
      <x:c r="Z1001" s="94" t="n">
        <x:f>IFERROR(Y1001/W1001,0)</x:f>
        <x:v>0.3870217712957092</x:v>
      </x:c>
      <x:c r="AA1001" s="84" t="str">
        <x:f>PROPER(TRIM('Raw Sales'!M1001))</x:f>
        <x:v>Mobile Wallet</x:v>
      </x:c>
      <x:c r="AB1001" s="84" t="str">
        <x:f>PROPER(TRIM('Raw Sales'!N1001))</x:f>
        <x:v>Leo Martinez</x:v>
      </x:c>
      <x:c r="AC1001" s="85" t="n">
        <x:f>'Raw Sales'!O1001</x:f>
        <x:v>45631</x:v>
      </x:c>
      <x:c r="AD1001" s="84" t="n">
        <x:f>AC1001-B1001</x:f>
        <x:v>3</x:v>
      </x:c>
      <x:c r="AE1001" s="84" t="str">
        <x:f>IF(COUNTIF($A$5:A1001,A1001)&gt;1,"Duplicate","Keep")</x:f>
        <x:v>Keep</x:v>
      </x:c>
      <x:c r="AF1001" s="84" t="str">
        <x:f>IF(OR(R1001&lt;=0,AC1001&lt;B1001,H1001="Unknown",M1001="Unknown Product"),"Review","Valid")</x:f>
        <x:v>Valid</x:v>
      </x:c>
      <x:c r="AG1001" s="84" t="n">
        <x:f>IF(AND(AE1001="Keep",AF1001="Valid"),1,0)</x:f>
        <x:v>1</x:v>
      </x:c>
      <x:c r="AH1001" s="84" t="n">
        <x:f>IF(AND(AG1001=1,OR('Dashboard'!$B$4="All",I1001='Dashboard'!$B$4),OR('Dashboard'!$E$4="All",N1001='Dashboard'!$E$4),OR('Dashboard'!$H$4="All",K1001='Dashboard'!$H$4),OR('Dashboard'!$K$4="All",C1001='Dashboard'!$K$4)),1,0)</x:f>
        <x:v>1</x:v>
      </x:c>
      <x:c r="AI1001" s="84" t="n">
        <x:f>IF(AND(AG1001=1,OR('Dashboard'!$B$4="All",I1001='Dashboard'!$B$4),OR('Dashboard'!$E$4="All",N1001='Dashboard'!$E$4),OR('Dashboard'!$H$4="All",K1001='Dashboard'!$H$4)),1,0)</x:f>
        <x:v>1</x:v>
      </x:c>
    </x:row>
    <x:row r="1002">
      <x:c r="A1002" s="84" t="str">
        <x:f>'Raw Sales'!A1002</x:f>
        <x:v>ORD-2024-01382</x:v>
      </x:c>
      <x:c r="B1002" s="85" t="n">
        <x:f>'Raw Sales'!B1002</x:f>
        <x:v>45628</x:v>
      </x:c>
      <x:c r="C1002" s="84" t="n">
        <x:f>YEAR(B1002)</x:f>
        <x:v>2024</x:v>
      </x:c>
      <x:c r="D1002" s="91" t="n">
        <x:f>DATE(YEAR(B1002),MONTH(B1002),1)</x:f>
        <x:v>45627</x:v>
      </x:c>
      <x:c r="E1002" s="84" t="str">
        <x:f>TEXT(B1002,"mmm")</x:f>
        <x:v>Dec</x:v>
      </x:c>
      <x:c r="F1002" s="84" t="str">
        <x:f>'Raw Sales'!C1002</x:f>
        <x:v>CUST-0297</x:v>
      </x:c>
      <x:c r="G1002" s="84" t="str">
        <x:f>PROPER(TRIM('Raw Sales'!D1002))</x:f>
        <x:v>Nathan Davis</x:v>
      </x:c>
      <x:c r="H1002" s="84" t="str">
        <x:f>IF(TRIM('Raw Sales'!E1002)="","Unknown",PROPER(TRIM('Raw Sales'!E1002)))</x:f>
        <x:v>Consumer</x:v>
      </x:c>
      <x:c r="I1002" s="84" t="str">
        <x:f>PROPER(TRIM('Raw Sales'!F1002))</x:f>
        <x:v>Midwest</x:v>
      </x:c>
      <x:c r="J1002" s="84" t="str">
        <x:f>PROPER(TRIM('Raw Sales'!G1002))</x:f>
        <x:v>Minneapolis</x:v>
      </x:c>
      <x:c r="K1002" s="84" t="str">
        <x:f>PROPER(TRIM('Raw Sales'!H1002))</x:f>
        <x:v>Online</x:v>
      </x:c>
      <x:c r="L1002" s="84" t="str">
        <x:f>'Raw Sales'!I1002</x:f>
        <x:v>OFFC-005</x:v>
      </x:c>
      <x:c r="M1002" s="84" t="str">
        <x:f>IFERROR(VLOOKUP(L1002,'Reference Data'!$A$5:$F$40,2,FALSE),"Unknown Product")</x:f>
        <x:v>Wireless Keyboard</x:v>
      </x:c>
      <x:c r="N1002" s="84" t="str">
        <x:f>IFERROR(VLOOKUP(L1002,'Reference Data'!$A$5:$F$40,3,FALSE),"Unknown")</x:f>
        <x:v>Office</x:v>
      </x:c>
      <x:c r="O1002" s="84" t="str">
        <x:f>IFERROR(VLOOKUP(L1002,'Reference Data'!$A$5:$F$40,4,FALSE),"Unknown")</x:f>
        <x:v>Computer Accessories</x:v>
      </x:c>
      <x:c r="P1002" s="92" t="n">
        <x:f>IFERROR(VLOOKUP(L1002,'Reference Data'!$A$5:$F$40,5,FALSE),0)</x:f>
        <x:v>59</x:v>
      </x:c>
      <x:c r="Q1002" s="92" t="n">
        <x:f>IFERROR(VLOOKUP(L1002,'Reference Data'!$A$5:$F$40,6,FALSE),0)</x:f>
        <x:v>28</x:v>
      </x:c>
      <x:c r="R1002" s="84" t="n">
        <x:f>'Raw Sales'!J1002</x:f>
        <x:v>2</x:v>
      </x:c>
      <x:c r="S1002" s="87" t="n">
        <x:f>'Raw Sales'!K1002</x:f>
        <x:v>0</x:v>
      </x:c>
      <x:c r="T1002" s="93" t="n">
        <x:f>P1002*R1002</x:f>
        <x:v>118</x:v>
      </x:c>
      <x:c r="U1002" s="93" t="n">
        <x:f>T1002*S1002</x:f>
        <x:v>0</x:v>
      </x:c>
      <x:c r="V1002" s="93" t="str">
        <x:f>PROPER(TRIM('Raw Sales'!L1002))</x:f>
        <x:v>Completed</x:v>
      </x:c>
      <x:c r="W1002" s="93" t="n">
        <x:f>IF(V1002="Returned",0,T1002-U1002)</x:f>
        <x:v>118</x:v>
      </x:c>
      <x:c r="X1002" s="93" t="n">
        <x:f>IF(V1002="Returned",Q1002*R1002*10%,Q1002*R1002)</x:f>
        <x:v>56</x:v>
      </x:c>
      <x:c r="Y1002" s="93" t="n">
        <x:f>W1002-X1002</x:f>
        <x:v>62</x:v>
      </x:c>
      <x:c r="Z1002" s="94" t="n">
        <x:f>IFERROR(Y1002/W1002,0)</x:f>
        <x:v>0.5254237288135594</x:v>
      </x:c>
      <x:c r="AA1002" s="84" t="str">
        <x:f>PROPER(TRIM('Raw Sales'!M1002))</x:f>
        <x:v>Mobile Wallet</x:v>
      </x:c>
      <x:c r="AB1002" s="84" t="str">
        <x:f>PROPER(TRIM('Raw Sales'!N1002))</x:f>
        <x:v>Lucas Grant</x:v>
      </x:c>
      <x:c r="AC1002" s="85" t="n">
        <x:f>'Raw Sales'!O1002</x:f>
        <x:v>45630</x:v>
      </x:c>
      <x:c r="AD1002" s="84" t="n">
        <x:f>AC1002-B1002</x:f>
        <x:v>2</x:v>
      </x:c>
      <x:c r="AE1002" s="84" t="str">
        <x:f>IF(COUNTIF($A$5:A1002,A1002)&gt;1,"Duplicate","Keep")</x:f>
        <x:v>Keep</x:v>
      </x:c>
      <x:c r="AF1002" s="84" t="str">
        <x:f>IF(OR(R1002&lt;=0,AC1002&lt;B1002,H1002="Unknown",M1002="Unknown Product"),"Review","Valid")</x:f>
        <x:v>Valid</x:v>
      </x:c>
      <x:c r="AG1002" s="84" t="n">
        <x:f>IF(AND(AE1002="Keep",AF1002="Valid"),1,0)</x:f>
        <x:v>1</x:v>
      </x:c>
      <x:c r="AH1002" s="84" t="n">
        <x:f>IF(AND(AG1002=1,OR('Dashboard'!$B$4="All",I1002='Dashboard'!$B$4),OR('Dashboard'!$E$4="All",N1002='Dashboard'!$E$4),OR('Dashboard'!$H$4="All",K1002='Dashboard'!$H$4),OR('Dashboard'!$K$4="All",C1002='Dashboard'!$K$4)),1,0)</x:f>
        <x:v>1</x:v>
      </x:c>
      <x:c r="AI1002" s="84" t="n">
        <x:f>IF(AND(AG1002=1,OR('Dashboard'!$B$4="All",I1002='Dashboard'!$B$4),OR('Dashboard'!$E$4="All",N1002='Dashboard'!$E$4),OR('Dashboard'!$H$4="All",K1002='Dashboard'!$H$4)),1,0)</x:f>
        <x:v>1</x:v>
      </x:c>
    </x:row>
    <x:row r="1003">
      <x:c r="A1003" s="84" t="str">
        <x:f>'Raw Sales'!A1003</x:f>
        <x:v>ORD-2024-01813</x:v>
      </x:c>
      <x:c r="B1003" s="85" t="n">
        <x:f>'Raw Sales'!B1003</x:f>
        <x:v>45628</x:v>
      </x:c>
      <x:c r="C1003" s="84" t="n">
        <x:f>YEAR(B1003)</x:f>
        <x:v>2024</x:v>
      </x:c>
      <x:c r="D1003" s="91" t="n">
        <x:f>DATE(YEAR(B1003),MONTH(B1003),1)</x:f>
        <x:v>45627</x:v>
      </x:c>
      <x:c r="E1003" s="84" t="str">
        <x:f>TEXT(B1003,"mmm")</x:f>
        <x:v>Dec</x:v>
      </x:c>
      <x:c r="F1003" s="84" t="str">
        <x:f>'Raw Sales'!C1003</x:f>
        <x:v>CUST-0301</x:v>
      </x:c>
      <x:c r="G1003" s="84" t="str">
        <x:f>PROPER(TRIM('Raw Sales'!D1003))</x:f>
        <x:v>Elias Smith</x:v>
      </x:c>
      <x:c r="H1003" s="84" t="str">
        <x:f>IF(TRIM('Raw Sales'!E1003)="","Unknown",PROPER(TRIM('Raw Sales'!E1003)))</x:f>
        <x:v>Consumer</x:v>
      </x:c>
      <x:c r="I1003" s="84" t="str">
        <x:f>PROPER(TRIM('Raw Sales'!F1003))</x:f>
        <x:v>Southeast</x:v>
      </x:c>
      <x:c r="J1003" s="84" t="str">
        <x:f>PROPER(TRIM('Raw Sales'!G1003))</x:f>
        <x:v>Charlotte</x:v>
      </x:c>
      <x:c r="K1003" s="84" t="str">
        <x:f>PROPER(TRIM('Raw Sales'!H1003))</x:f>
        <x:v>Marketplace</x:v>
      </x:c>
      <x:c r="L1003" s="84" t="str">
        <x:f>'Raw Sales'!I1003</x:f>
        <x:v>ACCS-004</x:v>
      </x:c>
      <x:c r="M1003" s="84" t="str">
        <x:f>IFERROR(VLOOKUP(L1003,'Reference Data'!$A$5:$F$40,2,FALSE),"Unknown Product")</x:f>
        <x:v>Leather Wallet</x:v>
      </x:c>
      <x:c r="N1003" s="84" t="str">
        <x:f>IFERROR(VLOOKUP(L1003,'Reference Data'!$A$5:$F$40,3,FALSE),"Unknown")</x:f>
        <x:v>Accessories</x:v>
      </x:c>
      <x:c r="O1003" s="84" t="str">
        <x:f>IFERROR(VLOOKUP(L1003,'Reference Data'!$A$5:$F$40,4,FALSE),"Unknown")</x:f>
        <x:v>Wallets</x:v>
      </x:c>
      <x:c r="P1003" s="92" t="n">
        <x:f>IFERROR(VLOOKUP(L1003,'Reference Data'!$A$5:$F$40,5,FALSE),0)</x:f>
        <x:v>49</x:v>
      </x:c>
      <x:c r="Q1003" s="92" t="n">
        <x:f>IFERROR(VLOOKUP(L1003,'Reference Data'!$A$5:$F$40,6,FALSE),0)</x:f>
        <x:v>18</x:v>
      </x:c>
      <x:c r="R1003" s="84" t="n">
        <x:f>'Raw Sales'!J1003</x:f>
        <x:v>2</x:v>
      </x:c>
      <x:c r="S1003" s="87" t="n">
        <x:f>'Raw Sales'!K1003</x:f>
        <x:v>0.15</x:v>
      </x:c>
      <x:c r="T1003" s="93" t="n">
        <x:f>P1003*R1003</x:f>
        <x:v>98</x:v>
      </x:c>
      <x:c r="U1003" s="93" t="n">
        <x:f>T1003*S1003</x:f>
        <x:v>14.7</x:v>
      </x:c>
      <x:c r="V1003" s="93" t="str">
        <x:f>PROPER(TRIM('Raw Sales'!L1003))</x:f>
        <x:v>Completed</x:v>
      </x:c>
      <x:c r="W1003" s="93" t="n">
        <x:f>IF(V1003="Returned",0,T1003-U1003)</x:f>
        <x:v>83.3</x:v>
      </x:c>
      <x:c r="X1003" s="93" t="n">
        <x:f>IF(V1003="Returned",Q1003*R1003*10%,Q1003*R1003)</x:f>
        <x:v>36</x:v>
      </x:c>
      <x:c r="Y1003" s="93" t="n">
        <x:f>W1003-X1003</x:f>
        <x:v>47.3</x:v>
      </x:c>
      <x:c r="Z1003" s="94" t="n">
        <x:f>IFERROR(Y1003/W1003,0)</x:f>
        <x:v>0.5678271308523409</x:v>
      </x:c>
      <x:c r="AA1003" s="84" t="str">
        <x:f>PROPER(TRIM('Raw Sales'!M1003))</x:f>
        <x:v>Credit Card</x:v>
      </x:c>
      <x:c r="AB1003" s="84" t="str">
        <x:f>PROPER(TRIM('Raw Sales'!N1003))</x:f>
        <x:v>Noah Reed</x:v>
      </x:c>
      <x:c r="AC1003" s="85" t="n">
        <x:f>'Raw Sales'!O1003</x:f>
        <x:v>45634</x:v>
      </x:c>
      <x:c r="AD1003" s="84" t="n">
        <x:f>AC1003-B1003</x:f>
        <x:v>6</x:v>
      </x:c>
      <x:c r="AE1003" s="84" t="str">
        <x:f>IF(COUNTIF($A$5:A1003,A1003)&gt;1,"Duplicate","Keep")</x:f>
        <x:v>Keep</x:v>
      </x:c>
      <x:c r="AF1003" s="84" t="str">
        <x:f>IF(OR(R1003&lt;=0,AC1003&lt;B1003,H1003="Unknown",M1003="Unknown Product"),"Review","Valid")</x:f>
        <x:v>Valid</x:v>
      </x:c>
      <x:c r="AG1003" s="84" t="n">
        <x:f>IF(AND(AE1003="Keep",AF1003="Valid"),1,0)</x:f>
        <x:v>1</x:v>
      </x:c>
      <x:c r="AH1003" s="84" t="n">
        <x:f>IF(AND(AG1003=1,OR('Dashboard'!$B$4="All",I1003='Dashboard'!$B$4),OR('Dashboard'!$E$4="All",N1003='Dashboard'!$E$4),OR('Dashboard'!$H$4="All",K1003='Dashboard'!$H$4),OR('Dashboard'!$K$4="All",C1003='Dashboard'!$K$4)),1,0)</x:f>
        <x:v>1</x:v>
      </x:c>
      <x:c r="AI1003" s="84" t="n">
        <x:f>IF(AND(AG1003=1,OR('Dashboard'!$B$4="All",I1003='Dashboard'!$B$4),OR('Dashboard'!$E$4="All",N1003='Dashboard'!$E$4),OR('Dashboard'!$H$4="All",K1003='Dashboard'!$H$4)),1,0)</x:f>
        <x:v>1</x:v>
      </x:c>
    </x:row>
    <x:row r="1004">
      <x:c r="A1004" s="84" t="str">
        <x:f>'Raw Sales'!A1004</x:f>
        <x:v>ORD-2024-02329</x:v>
      </x:c>
      <x:c r="B1004" s="85" t="n">
        <x:f>'Raw Sales'!B1004</x:f>
        <x:v>45629</x:v>
      </x:c>
      <x:c r="C1004" s="84" t="n">
        <x:f>YEAR(B1004)</x:f>
        <x:v>2024</x:v>
      </x:c>
      <x:c r="D1004" s="91" t="n">
        <x:f>DATE(YEAR(B1004),MONTH(B1004),1)</x:f>
        <x:v>45627</x:v>
      </x:c>
      <x:c r="E1004" s="84" t="str">
        <x:f>TEXT(B1004,"mmm")</x:f>
        <x:v>Dec</x:v>
      </x:c>
      <x:c r="F1004" s="84" t="str">
        <x:f>'Raw Sales'!C1004</x:f>
        <x:v>CUST-0516</x:v>
      </x:c>
      <x:c r="G1004" s="84" t="str">
        <x:f>PROPER(TRIM('Raw Sales'!D1004))</x:f>
        <x:v>Jasmine Ortiz</x:v>
      </x:c>
      <x:c r="H1004" s="84" t="str">
        <x:f>IF(TRIM('Raw Sales'!E1004)="","Unknown",PROPER(TRIM('Raw Sales'!E1004)))</x:f>
        <x:v>Small Business</x:v>
      </x:c>
      <x:c r="I1004" s="84" t="str">
        <x:f>PROPER(TRIM('Raw Sales'!F1004))</x:f>
        <x:v>Southeast</x:v>
      </x:c>
      <x:c r="J1004" s="84" t="str">
        <x:f>PROPER(TRIM('Raw Sales'!G1004))</x:f>
        <x:v>Charlotte</x:v>
      </x:c>
      <x:c r="K1004" s="84" t="str">
        <x:f>PROPER(TRIM('Raw Sales'!H1004))</x:f>
        <x:v>Marketplace</x:v>
      </x:c>
      <x:c r="L1004" s="84" t="str">
        <x:f>'Raw Sales'!I1004</x:f>
        <x:v>HOME-005</x:v>
      </x:c>
      <x:c r="M1004" s="84" t="str">
        <x:f>IFERROR(VLOOKUP(L1004,'Reference Data'!$A$5:$F$40,2,FALSE),"Unknown Product")</x:f>
        <x:v>Cordless Vacuum</x:v>
      </x:c>
      <x:c r="N1004" s="84" t="str">
        <x:f>IFERROR(VLOOKUP(L1004,'Reference Data'!$A$5:$F$40,3,FALSE),"Unknown")</x:f>
        <x:v>Home &amp; Kitchen</x:v>
      </x:c>
      <x:c r="O1004" s="84" t="str">
        <x:f>IFERROR(VLOOKUP(L1004,'Reference Data'!$A$5:$F$40,4,FALSE),"Unknown")</x:f>
        <x:v>Cleaning</x:v>
      </x:c>
      <x:c r="P1004" s="92" t="n">
        <x:f>IFERROR(VLOOKUP(L1004,'Reference Data'!$A$5:$F$40,5,FALSE),0)</x:f>
        <x:v>179</x:v>
      </x:c>
      <x:c r="Q1004" s="92" t="n">
        <x:f>IFERROR(VLOOKUP(L1004,'Reference Data'!$A$5:$F$40,6,FALSE),0)</x:f>
        <x:v>102</x:v>
      </x:c>
      <x:c r="R1004" s="84" t="n">
        <x:f>'Raw Sales'!J1004</x:f>
        <x:v>2</x:v>
      </x:c>
      <x:c r="S1004" s="87" t="n">
        <x:f>'Raw Sales'!K1004</x:f>
        <x:v>0.15</x:v>
      </x:c>
      <x:c r="T1004" s="93" t="n">
        <x:f>P1004*R1004</x:f>
        <x:v>358</x:v>
      </x:c>
      <x:c r="U1004" s="93" t="n">
        <x:f>T1004*S1004</x:f>
        <x:v>53.699999999999996</x:v>
      </x:c>
      <x:c r="V1004" s="93" t="str">
        <x:f>PROPER(TRIM('Raw Sales'!L1004))</x:f>
        <x:v>Completed</x:v>
      </x:c>
      <x:c r="W1004" s="93" t="n">
        <x:f>IF(V1004="Returned",0,T1004-U1004)</x:f>
        <x:v>304.3</x:v>
      </x:c>
      <x:c r="X1004" s="93" t="n">
        <x:f>IF(V1004="Returned",Q1004*R1004*10%,Q1004*R1004)</x:f>
        <x:v>204</x:v>
      </x:c>
      <x:c r="Y1004" s="93" t="n">
        <x:f>W1004-X1004</x:f>
        <x:v>100.30000000000001</x:v>
      </x:c>
      <x:c r="Z1004" s="94" t="n">
        <x:f>IFERROR(Y1004/W1004,0)</x:f>
        <x:v>0.3296089385474861</x:v>
      </x:c>
      <x:c r="AA1004" s="84" t="str">
        <x:f>PROPER(TRIM('Raw Sales'!M1004))</x:f>
        <x:v>Credit Card</x:v>
      </x:c>
      <x:c r="AB1004" s="84" t="str">
        <x:f>PROPER(TRIM('Raw Sales'!N1004))</x:f>
        <x:v>Noah Reed</x:v>
      </x:c>
      <x:c r="AC1004" s="85" t="n">
        <x:f>'Raw Sales'!O1004</x:f>
        <x:v>45633</x:v>
      </x:c>
      <x:c r="AD1004" s="84" t="n">
        <x:f>AC1004-B1004</x:f>
        <x:v>4</x:v>
      </x:c>
      <x:c r="AE1004" s="84" t="str">
        <x:f>IF(COUNTIF($A$5:A1004,A1004)&gt;1,"Duplicate","Keep")</x:f>
        <x:v>Keep</x:v>
      </x:c>
      <x:c r="AF1004" s="84" t="str">
        <x:f>IF(OR(R1004&lt;=0,AC1004&lt;B1004,H1004="Unknown",M1004="Unknown Product"),"Review","Valid")</x:f>
        <x:v>Valid</x:v>
      </x:c>
      <x:c r="AG1004" s="84" t="n">
        <x:f>IF(AND(AE1004="Keep",AF1004="Valid"),1,0)</x:f>
        <x:v>1</x:v>
      </x:c>
      <x:c r="AH1004" s="84" t="n">
        <x:f>IF(AND(AG1004=1,OR('Dashboard'!$B$4="All",I1004='Dashboard'!$B$4),OR('Dashboard'!$E$4="All",N1004='Dashboard'!$E$4),OR('Dashboard'!$H$4="All",K1004='Dashboard'!$H$4),OR('Dashboard'!$K$4="All",C1004='Dashboard'!$K$4)),1,0)</x:f>
        <x:v>1</x:v>
      </x:c>
      <x:c r="AI1004" s="84" t="n">
        <x:f>IF(AND(AG1004=1,OR('Dashboard'!$B$4="All",I1004='Dashboard'!$B$4),OR('Dashboard'!$E$4="All",N1004='Dashboard'!$E$4),OR('Dashboard'!$H$4="All",K1004='Dashboard'!$H$4)),1,0)</x:f>
        <x:v>1</x:v>
      </x:c>
    </x:row>
    <x:row r="1005">
      <x:c r="A1005" s="84" t="str">
        <x:f>'Raw Sales'!A1005</x:f>
        <x:v>ORD-2024-00296</x:v>
      </x:c>
      <x:c r="B1005" s="85" t="n">
        <x:f>'Raw Sales'!B1005</x:f>
        <x:v>45630</x:v>
      </x:c>
      <x:c r="C1005" s="84" t="n">
        <x:f>YEAR(B1005)</x:f>
        <x:v>2024</x:v>
      </x:c>
      <x:c r="D1005" s="91" t="n">
        <x:f>DATE(YEAR(B1005),MONTH(B1005),1)</x:f>
        <x:v>45627</x:v>
      </x:c>
      <x:c r="E1005" s="84" t="str">
        <x:f>TEXT(B1005,"mmm")</x:f>
        <x:v>Dec</x:v>
      </x:c>
      <x:c r="F1005" s="84" t="str">
        <x:f>'Raw Sales'!C1005</x:f>
        <x:v>CUST-0442</x:v>
      </x:c>
      <x:c r="G1005" s="84" t="str">
        <x:f>PROPER(TRIM('Raw Sales'!D1005))</x:f>
        <x:v>Elena Irwin</x:v>
      </x:c>
      <x:c r="H1005" s="84" t="str">
        <x:f>IF(TRIM('Raw Sales'!E1005)="","Unknown",PROPER(TRIM('Raw Sales'!E1005)))</x:f>
        <x:v>Consumer</x:v>
      </x:c>
      <x:c r="I1005" s="84" t="str">
        <x:f>PROPER(TRIM('Raw Sales'!F1005))</x:f>
        <x:v>Northeast</x:v>
      </x:c>
      <x:c r="J1005" s="84" t="str">
        <x:f>PROPER(TRIM('Raw Sales'!G1005))</x:f>
        <x:v>Boston</x:v>
      </x:c>
      <x:c r="K1005" s="84" t="str">
        <x:f>PROPER(TRIM('Raw Sales'!H1005))</x:f>
        <x:v>Retail Store</x:v>
      </x:c>
      <x:c r="L1005" s="84" t="str">
        <x:f>'Raw Sales'!I1005</x:f>
        <x:v>HOME-002</x:v>
      </x:c>
      <x:c r="M1005" s="84" t="str">
        <x:f>IFERROR(VLOOKUP(L1005,'Reference Data'!$A$5:$F$40,2,FALSE),"Unknown Product")</x:f>
        <x:v>Electric Kettle</x:v>
      </x:c>
      <x:c r="N1005" s="84" t="str">
        <x:f>IFERROR(VLOOKUP(L1005,'Reference Data'!$A$5:$F$40,3,FALSE),"Unknown")</x:f>
        <x:v>Home &amp; Kitchen</x:v>
      </x:c>
      <x:c r="O1005" s="84" t="str">
        <x:f>IFERROR(VLOOKUP(L1005,'Reference Data'!$A$5:$F$40,4,FALSE),"Unknown")</x:f>
        <x:v>Small Appliances</x:v>
      </x:c>
      <x:c r="P1005" s="92" t="n">
        <x:f>IFERROR(VLOOKUP(L1005,'Reference Data'!$A$5:$F$40,5,FALSE),0)</x:f>
        <x:v>49</x:v>
      </x:c>
      <x:c r="Q1005" s="92" t="n">
        <x:f>IFERROR(VLOOKUP(L1005,'Reference Data'!$A$5:$F$40,6,FALSE),0)</x:f>
        <x:v>23</x:v>
      </x:c>
      <x:c r="R1005" s="84" t="n">
        <x:f>'Raw Sales'!J1005</x:f>
        <x:v>2</x:v>
      </x:c>
      <x:c r="S1005" s="87" t="n">
        <x:f>'Raw Sales'!K1005</x:f>
        <x:v>0.1</x:v>
      </x:c>
      <x:c r="T1005" s="93" t="n">
        <x:f>P1005*R1005</x:f>
        <x:v>98</x:v>
      </x:c>
      <x:c r="U1005" s="93" t="n">
        <x:f>T1005*S1005</x:f>
        <x:v>9.8</x:v>
      </x:c>
      <x:c r="V1005" s="93" t="str">
        <x:f>PROPER(TRIM('Raw Sales'!L1005))</x:f>
        <x:v>Completed</x:v>
      </x:c>
      <x:c r="W1005" s="93" t="n">
        <x:f>IF(V1005="Returned",0,T1005-U1005)</x:f>
        <x:v>88.2</x:v>
      </x:c>
      <x:c r="X1005" s="93" t="n">
        <x:f>IF(V1005="Returned",Q1005*R1005*10%,Q1005*R1005)</x:f>
        <x:v>46</x:v>
      </x:c>
      <x:c r="Y1005" s="93" t="n">
        <x:f>W1005-X1005</x:f>
        <x:v>42.2</x:v>
      </x:c>
      <x:c r="Z1005" s="94" t="n">
        <x:f>IFERROR(Y1005/W1005,0)</x:f>
        <x:v>0.47845804988662133</x:v>
      </x:c>
      <x:c r="AA1005" s="84" t="str">
        <x:f>PROPER(TRIM('Raw Sales'!M1005))</x:f>
        <x:v>Debit Card</x:v>
      </x:c>
      <x:c r="AB1005" s="84" t="str">
        <x:f>PROPER(TRIM('Raw Sales'!N1005))</x:f>
        <x:v>Maya Brooks</x:v>
      </x:c>
      <x:c r="AC1005" s="85" t="n">
        <x:f>'Raw Sales'!O1005</x:f>
        <x:v>45630</x:v>
      </x:c>
      <x:c r="AD1005" s="84" t="n">
        <x:f>AC1005-B1005</x:f>
        <x:v>0</x:v>
      </x:c>
      <x:c r="AE1005" s="84" t="str">
        <x:f>IF(COUNTIF($A$5:A1005,A1005)&gt;1,"Duplicate","Keep")</x:f>
        <x:v>Keep</x:v>
      </x:c>
      <x:c r="AF1005" s="84" t="str">
        <x:f>IF(OR(R1005&lt;=0,AC1005&lt;B1005,H1005="Unknown",M1005="Unknown Product"),"Review","Valid")</x:f>
        <x:v>Valid</x:v>
      </x:c>
      <x:c r="AG1005" s="84" t="n">
        <x:f>IF(AND(AE1005="Keep",AF1005="Valid"),1,0)</x:f>
        <x:v>1</x:v>
      </x:c>
      <x:c r="AH1005" s="84" t="n">
        <x:f>IF(AND(AG1005=1,OR('Dashboard'!$B$4="All",I1005='Dashboard'!$B$4),OR('Dashboard'!$E$4="All",N1005='Dashboard'!$E$4),OR('Dashboard'!$H$4="All",K1005='Dashboard'!$H$4),OR('Dashboard'!$K$4="All",C1005='Dashboard'!$K$4)),1,0)</x:f>
        <x:v>1</x:v>
      </x:c>
      <x:c r="AI1005" s="84" t="n">
        <x:f>IF(AND(AG1005=1,OR('Dashboard'!$B$4="All",I1005='Dashboard'!$B$4),OR('Dashboard'!$E$4="All",N1005='Dashboard'!$E$4),OR('Dashboard'!$H$4="All",K1005='Dashboard'!$H$4)),1,0)</x:f>
        <x:v>1</x:v>
      </x:c>
    </x:row>
    <x:row r="1006">
      <x:c r="A1006" s="84" t="str">
        <x:f>'Raw Sales'!A1006</x:f>
        <x:v>ORD-2024-00681</x:v>
      </x:c>
      <x:c r="B1006" s="85" t="n">
        <x:f>'Raw Sales'!B1006</x:f>
        <x:v>45630</x:v>
      </x:c>
      <x:c r="C1006" s="84" t="n">
        <x:f>YEAR(B1006)</x:f>
        <x:v>2024</x:v>
      </x:c>
      <x:c r="D1006" s="91" t="n">
        <x:f>DATE(YEAR(B1006),MONTH(B1006),1)</x:f>
        <x:v>45627</x:v>
      </x:c>
      <x:c r="E1006" s="84" t="str">
        <x:f>TEXT(B1006,"mmm")</x:f>
        <x:v>Dec</x:v>
      </x:c>
      <x:c r="F1006" s="84" t="str">
        <x:f>'Raw Sales'!C1006</x:f>
        <x:v>CUST-0527</x:v>
      </x:c>
      <x:c r="G1006" s="84" t="str">
        <x:f>PROPER(TRIM('Raw Sales'!D1006))</x:f>
        <x:v>Theo Hall</x:v>
      </x:c>
      <x:c r="H1006" s="84" t="str">
        <x:f>IF(TRIM('Raw Sales'!E1006)="","Unknown",PROPER(TRIM('Raw Sales'!E1006)))</x:f>
        <x:v>Consumer</x:v>
      </x:c>
      <x:c r="I1006" s="84" t="str">
        <x:f>PROPER(TRIM('Raw Sales'!F1006))</x:f>
        <x:v>Southeast</x:v>
      </x:c>
      <x:c r="J1006" s="84" t="str">
        <x:f>PROPER(TRIM('Raw Sales'!G1006))</x:f>
        <x:v>Nashville</x:v>
      </x:c>
      <x:c r="K1006" s="84" t="str">
        <x:f>PROPER(TRIM('Raw Sales'!H1006))</x:f>
        <x:v>Online</x:v>
      </x:c>
      <x:c r="L1006" s="84" t="str">
        <x:f>'Raw Sales'!I1006</x:f>
        <x:v>ACCS-004</x:v>
      </x:c>
      <x:c r="M1006" s="84" t="str">
        <x:f>IFERROR(VLOOKUP(L1006,'Reference Data'!$A$5:$F$40,2,FALSE),"Unknown Product")</x:f>
        <x:v>Leather Wallet</x:v>
      </x:c>
      <x:c r="N1006" s="84" t="str">
        <x:f>IFERROR(VLOOKUP(L1006,'Reference Data'!$A$5:$F$40,3,FALSE),"Unknown")</x:f>
        <x:v>Accessories</x:v>
      </x:c>
      <x:c r="O1006" s="84" t="str">
        <x:f>IFERROR(VLOOKUP(L1006,'Reference Data'!$A$5:$F$40,4,FALSE),"Unknown")</x:f>
        <x:v>Wallets</x:v>
      </x:c>
      <x:c r="P1006" s="92" t="n">
        <x:f>IFERROR(VLOOKUP(L1006,'Reference Data'!$A$5:$F$40,5,FALSE),0)</x:f>
        <x:v>49</x:v>
      </x:c>
      <x:c r="Q1006" s="92" t="n">
        <x:f>IFERROR(VLOOKUP(L1006,'Reference Data'!$A$5:$F$40,6,FALSE),0)</x:f>
        <x:v>18</x:v>
      </x:c>
      <x:c r="R1006" s="84" t="n">
        <x:f>'Raw Sales'!J1006</x:f>
        <x:v>1</x:v>
      </x:c>
      <x:c r="S1006" s="87" t="n">
        <x:f>'Raw Sales'!K1006</x:f>
        <x:v>0.05</x:v>
      </x:c>
      <x:c r="T1006" s="93" t="n">
        <x:f>P1006*R1006</x:f>
        <x:v>49</x:v>
      </x:c>
      <x:c r="U1006" s="93" t="n">
        <x:f>T1006*S1006</x:f>
        <x:v>2.45</x:v>
      </x:c>
      <x:c r="V1006" s="93" t="str">
        <x:f>PROPER(TRIM('Raw Sales'!L1006))</x:f>
        <x:v>Completed</x:v>
      </x:c>
      <x:c r="W1006" s="93" t="n">
        <x:f>IF(V1006="Returned",0,T1006-U1006)</x:f>
        <x:v>46.55</x:v>
      </x:c>
      <x:c r="X1006" s="93" t="n">
        <x:f>IF(V1006="Returned",Q1006*R1006*10%,Q1006*R1006)</x:f>
        <x:v>18</x:v>
      </x:c>
      <x:c r="Y1006" s="93" t="n">
        <x:f>W1006-X1006</x:f>
        <x:v>28.549999999999997</x:v>
      </x:c>
      <x:c r="Z1006" s="94" t="n">
        <x:f>IFERROR(Y1006/W1006,0)</x:f>
        <x:v>0.6133190118152524</x:v>
      </x:c>
      <x:c r="AA1006" s="84" t="str">
        <x:f>PROPER(TRIM('Raw Sales'!M1006))</x:f>
        <x:v>Credit Card</x:v>
      </x:c>
      <x:c r="AB1006" s="84" t="str">
        <x:f>PROPER(TRIM('Raw Sales'!N1006))</x:f>
        <x:v>Ava Mitchell</x:v>
      </x:c>
      <x:c r="AC1006" s="85" t="n">
        <x:f>'Raw Sales'!O1006</x:f>
        <x:v>45633</x:v>
      </x:c>
      <x:c r="AD1006" s="84" t="n">
        <x:f>AC1006-B1006</x:f>
        <x:v>3</x:v>
      </x:c>
      <x:c r="AE1006" s="84" t="str">
        <x:f>IF(COUNTIF($A$5:A1006,A1006)&gt;1,"Duplicate","Keep")</x:f>
        <x:v>Keep</x:v>
      </x:c>
      <x:c r="AF1006" s="84" t="str">
        <x:f>IF(OR(R1006&lt;=0,AC1006&lt;B1006,H1006="Unknown",M1006="Unknown Product"),"Review","Valid")</x:f>
        <x:v>Valid</x:v>
      </x:c>
      <x:c r="AG1006" s="84" t="n">
        <x:f>IF(AND(AE1006="Keep",AF1006="Valid"),1,0)</x:f>
        <x:v>1</x:v>
      </x:c>
      <x:c r="AH1006" s="84" t="n">
        <x:f>IF(AND(AG1006=1,OR('Dashboard'!$B$4="All",I1006='Dashboard'!$B$4),OR('Dashboard'!$E$4="All",N1006='Dashboard'!$E$4),OR('Dashboard'!$H$4="All",K1006='Dashboard'!$H$4),OR('Dashboard'!$K$4="All",C1006='Dashboard'!$K$4)),1,0)</x:f>
        <x:v>1</x:v>
      </x:c>
      <x:c r="AI1006" s="84" t="n">
        <x:f>IF(AND(AG1006=1,OR('Dashboard'!$B$4="All",I1006='Dashboard'!$B$4),OR('Dashboard'!$E$4="All",N1006='Dashboard'!$E$4),OR('Dashboard'!$H$4="All",K1006='Dashboard'!$H$4)),1,0)</x:f>
        <x:v>1</x:v>
      </x:c>
    </x:row>
    <x:row r="1007">
      <x:c r="A1007" s="84" t="str">
        <x:f>'Raw Sales'!A1007</x:f>
        <x:v>ORD-2024-00863</x:v>
      </x:c>
      <x:c r="B1007" s="85" t="n">
        <x:f>'Raw Sales'!B1007</x:f>
        <x:v>45630</x:v>
      </x:c>
      <x:c r="C1007" s="84" t="n">
        <x:f>YEAR(B1007)</x:f>
        <x:v>2024</x:v>
      </x:c>
      <x:c r="D1007" s="91" t="n">
        <x:f>DATE(YEAR(B1007),MONTH(B1007),1)</x:f>
        <x:v>45627</x:v>
      </x:c>
      <x:c r="E1007" s="84" t="str">
        <x:f>TEXT(B1007,"mmm")</x:f>
        <x:v>Dec</x:v>
      </x:c>
      <x:c r="F1007" s="84" t="str">
        <x:f>'Raw Sales'!C1007</x:f>
        <x:v>CUST-0514</x:v>
      </x:c>
      <x:c r="G1007" s="84" t="str">
        <x:f>PROPER(TRIM('Raw Sales'!D1007))</x:f>
        <x:v>Caleb Young</x:v>
      </x:c>
      <x:c r="H1007" s="84" t="str">
        <x:f>IF(TRIM('Raw Sales'!E1007)="","Unknown",PROPER(TRIM('Raw Sales'!E1007)))</x:f>
        <x:v>Consumer</x:v>
      </x:c>
      <x:c r="I1007" s="84" t="str">
        <x:f>PROPER(TRIM('Raw Sales'!F1007))</x:f>
        <x:v>Northeast</x:v>
      </x:c>
      <x:c r="J1007" s="84" t="str">
        <x:f>PROPER(TRIM('Raw Sales'!G1007))</x:f>
        <x:v>Boston</x:v>
      </x:c>
      <x:c r="K1007" s="84" t="str">
        <x:f>PROPER(TRIM('Raw Sales'!H1007))</x:f>
        <x:v>Online</x:v>
      </x:c>
      <x:c r="L1007" s="84" t="str">
        <x:f>'Raw Sales'!I1007</x:f>
        <x:v>OFFC-006</x:v>
      </x:c>
      <x:c r="M1007" s="84" t="str">
        <x:f>IFERROR(VLOOKUP(L1007,'Reference Data'!$A$5:$F$40,2,FALSE),"Unknown Product")</x:f>
        <x:v>Monitor Stand</x:v>
      </x:c>
      <x:c r="N1007" s="84" t="str">
        <x:f>IFERROR(VLOOKUP(L1007,'Reference Data'!$A$5:$F$40,3,FALSE),"Unknown")</x:f>
        <x:v>Office</x:v>
      </x:c>
      <x:c r="O1007" s="84" t="str">
        <x:f>IFERROR(VLOOKUP(L1007,'Reference Data'!$A$5:$F$40,4,FALSE),"Unknown")</x:f>
        <x:v>Desk Accessories</x:v>
      </x:c>
      <x:c r="P1007" s="92" t="n">
        <x:f>IFERROR(VLOOKUP(L1007,'Reference Data'!$A$5:$F$40,5,FALSE),0)</x:f>
        <x:v>49</x:v>
      </x:c>
      <x:c r="Q1007" s="92" t="n">
        <x:f>IFERROR(VLOOKUP(L1007,'Reference Data'!$A$5:$F$40,6,FALSE),0)</x:f>
        <x:v>21</x:v>
      </x:c>
      <x:c r="R1007" s="84" t="n">
        <x:f>'Raw Sales'!J1007</x:f>
        <x:v>1</x:v>
      </x:c>
      <x:c r="S1007" s="87" t="n">
        <x:f>'Raw Sales'!K1007</x:f>
        <x:v>0.2</x:v>
      </x:c>
      <x:c r="T1007" s="93" t="n">
        <x:f>P1007*R1007</x:f>
        <x:v>49</x:v>
      </x:c>
      <x:c r="U1007" s="93" t="n">
        <x:f>T1007*S1007</x:f>
        <x:v>9.8</x:v>
      </x:c>
      <x:c r="V1007" s="93" t="str">
        <x:f>PROPER(TRIM('Raw Sales'!L1007))</x:f>
        <x:v>Completed</x:v>
      </x:c>
      <x:c r="W1007" s="93" t="n">
        <x:f>IF(V1007="Returned",0,T1007-U1007)</x:f>
        <x:v>39.2</x:v>
      </x:c>
      <x:c r="X1007" s="93" t="n">
        <x:f>IF(V1007="Returned",Q1007*R1007*10%,Q1007*R1007)</x:f>
        <x:v>21</x:v>
      </x:c>
      <x:c r="Y1007" s="93" t="n">
        <x:f>W1007-X1007</x:f>
        <x:v>18.200000000000003</x:v>
      </x:c>
      <x:c r="Z1007" s="94" t="n">
        <x:f>IFERROR(Y1007/W1007,0)</x:f>
        <x:v>0.4642857142857143</x:v>
      </x:c>
      <x:c r="AA1007" s="84" t="str">
        <x:f>PROPER(TRIM('Raw Sales'!M1007))</x:f>
        <x:v>Debit Card</x:v>
      </x:c>
      <x:c r="AB1007" s="84" t="str">
        <x:f>PROPER(TRIM('Raw Sales'!N1007))</x:f>
        <x:v>Sofia Bennett</x:v>
      </x:c>
      <x:c r="AC1007" s="85" t="n">
        <x:f>'Raw Sales'!O1007</x:f>
        <x:v>45634</x:v>
      </x:c>
      <x:c r="AD1007" s="84" t="n">
        <x:f>AC1007-B1007</x:f>
        <x:v>4</x:v>
      </x:c>
      <x:c r="AE1007" s="84" t="str">
        <x:f>IF(COUNTIF($A$5:A1007,A1007)&gt;1,"Duplicate","Keep")</x:f>
        <x:v>Keep</x:v>
      </x:c>
      <x:c r="AF1007" s="84" t="str">
        <x:f>IF(OR(R1007&lt;=0,AC1007&lt;B1007,H1007="Unknown",M1007="Unknown Product"),"Review","Valid")</x:f>
        <x:v>Valid</x:v>
      </x:c>
      <x:c r="AG1007" s="84" t="n">
        <x:f>IF(AND(AE1007="Keep",AF1007="Valid"),1,0)</x:f>
        <x:v>1</x:v>
      </x:c>
      <x:c r="AH1007" s="84" t="n">
        <x:f>IF(AND(AG1007=1,OR('Dashboard'!$B$4="All",I1007='Dashboard'!$B$4),OR('Dashboard'!$E$4="All",N1007='Dashboard'!$E$4),OR('Dashboard'!$H$4="All",K1007='Dashboard'!$H$4),OR('Dashboard'!$K$4="All",C1007='Dashboard'!$K$4)),1,0)</x:f>
        <x:v>1</x:v>
      </x:c>
      <x:c r="AI1007" s="84" t="n">
        <x:f>IF(AND(AG1007=1,OR('Dashboard'!$B$4="All",I1007='Dashboard'!$B$4),OR('Dashboard'!$E$4="All",N1007='Dashboard'!$E$4),OR('Dashboard'!$H$4="All",K1007='Dashboard'!$H$4)),1,0)</x:f>
        <x:v>1</x:v>
      </x:c>
    </x:row>
    <x:row r="1008">
      <x:c r="A1008" s="84" t="str">
        <x:f>'Raw Sales'!A1008</x:f>
        <x:v>ORD-2024-01019</x:v>
      </x:c>
      <x:c r="B1008" s="85" t="n">
        <x:f>'Raw Sales'!B1008</x:f>
        <x:v>45630</x:v>
      </x:c>
      <x:c r="C1008" s="84" t="n">
        <x:f>YEAR(B1008)</x:f>
        <x:v>2024</x:v>
      </x:c>
      <x:c r="D1008" s="91" t="n">
        <x:f>DATE(YEAR(B1008),MONTH(B1008),1)</x:f>
        <x:v>45627</x:v>
      </x:c>
      <x:c r="E1008" s="84" t="str">
        <x:f>TEXT(B1008,"mmm")</x:f>
        <x:v>Dec</x:v>
      </x:c>
      <x:c r="F1008" s="84" t="str">
        <x:f>'Raw Sales'!C1008</x:f>
        <x:v>CUST-0244</x:v>
      </x:c>
      <x:c r="G1008" s="84" t="str">
        <x:f>PROPER(TRIM('Raw Sales'!D1008))</x:f>
        <x:v>Caleb Nelson</x:v>
      </x:c>
      <x:c r="H1008" s="84" t="str">
        <x:f>IF(TRIM('Raw Sales'!E1008)="","Unknown",PROPER(TRIM('Raw Sales'!E1008)))</x:f>
        <x:v>Small Business</x:v>
      </x:c>
      <x:c r="I1008" s="84" t="str">
        <x:f>PROPER(TRIM('Raw Sales'!F1008))</x:f>
        <x:v>Midwest</x:v>
      </x:c>
      <x:c r="J1008" s="84" t="str">
        <x:f>PROPER(TRIM('Raw Sales'!G1008))</x:f>
        <x:v>Detroit</x:v>
      </x:c>
      <x:c r="K1008" s="84" t="str">
        <x:f>PROPER(TRIM('Raw Sales'!H1008))</x:f>
        <x:v>Online</x:v>
      </x:c>
      <x:c r="L1008" s="84" t="str">
        <x:f>'Raw Sales'!I1008</x:f>
        <x:v>ACCS-002</x:v>
      </x:c>
      <x:c r="M1008" s="84" t="str">
        <x:f>IFERROR(VLOOKUP(L1008,'Reference Data'!$A$5:$F$40,2,FALSE),"Unknown Product")</x:f>
        <x:v>Travel Backpack</x:v>
      </x:c>
      <x:c r="N1008" s="84" t="str">
        <x:f>IFERROR(VLOOKUP(L1008,'Reference Data'!$A$5:$F$40,3,FALSE),"Unknown")</x:f>
        <x:v>Accessories</x:v>
      </x:c>
      <x:c r="O1008" s="84" t="str">
        <x:f>IFERROR(VLOOKUP(L1008,'Reference Data'!$A$5:$F$40,4,FALSE),"Unknown")</x:f>
        <x:v>Bags</x:v>
      </x:c>
      <x:c r="P1008" s="92" t="n">
        <x:f>IFERROR(VLOOKUP(L1008,'Reference Data'!$A$5:$F$40,5,FALSE),0)</x:f>
        <x:v>89</x:v>
      </x:c>
      <x:c r="Q1008" s="92" t="n">
        <x:f>IFERROR(VLOOKUP(L1008,'Reference Data'!$A$5:$F$40,6,FALSE),0)</x:f>
        <x:v>36</x:v>
      </x:c>
      <x:c r="R1008" s="84" t="n">
        <x:f>'Raw Sales'!J1008</x:f>
        <x:v>1</x:v>
      </x:c>
      <x:c r="S1008" s="87" t="n">
        <x:f>'Raw Sales'!K1008</x:f>
        <x:v>0.05</x:v>
      </x:c>
      <x:c r="T1008" s="93" t="n">
        <x:f>P1008*R1008</x:f>
        <x:v>89</x:v>
      </x:c>
      <x:c r="U1008" s="93" t="n">
        <x:f>T1008*S1008</x:f>
        <x:v>4.45</x:v>
      </x:c>
      <x:c r="V1008" s="93" t="str">
        <x:f>PROPER(TRIM('Raw Sales'!L1008))</x:f>
        <x:v>Completed</x:v>
      </x:c>
      <x:c r="W1008" s="93" t="n">
        <x:f>IF(V1008="Returned",0,T1008-U1008)</x:f>
        <x:v>84.55</x:v>
      </x:c>
      <x:c r="X1008" s="93" t="n">
        <x:f>IF(V1008="Returned",Q1008*R1008*10%,Q1008*R1008)</x:f>
        <x:v>36</x:v>
      </x:c>
      <x:c r="Y1008" s="93" t="n">
        <x:f>W1008-X1008</x:f>
        <x:v>48.55</x:v>
      </x:c>
      <x:c r="Z1008" s="94" t="n">
        <x:f>IFERROR(Y1008/W1008,0)</x:f>
        <x:v>0.5742164399763453</x:v>
      </x:c>
      <x:c r="AA1008" s="84" t="str">
        <x:f>PROPER(TRIM('Raw Sales'!M1008))</x:f>
        <x:v>Credit Card</x:v>
      </x:c>
      <x:c r="AB1008" s="84" t="str">
        <x:f>PROPER(TRIM('Raw Sales'!N1008))</x:f>
        <x:v>Lucas Grant</x:v>
      </x:c>
      <x:c r="AC1008" s="85" t="n">
        <x:f>'Raw Sales'!O1008</x:f>
        <x:v>45634</x:v>
      </x:c>
      <x:c r="AD1008" s="84" t="n">
        <x:f>AC1008-B1008</x:f>
        <x:v>4</x:v>
      </x:c>
      <x:c r="AE1008" s="84" t="str">
        <x:f>IF(COUNTIF($A$5:A1008,A1008)&gt;1,"Duplicate","Keep")</x:f>
        <x:v>Keep</x:v>
      </x:c>
      <x:c r="AF1008" s="84" t="str">
        <x:f>IF(OR(R1008&lt;=0,AC1008&lt;B1008,H1008="Unknown",M1008="Unknown Product"),"Review","Valid")</x:f>
        <x:v>Valid</x:v>
      </x:c>
      <x:c r="AG1008" s="84" t="n">
        <x:f>IF(AND(AE1008="Keep",AF1008="Valid"),1,0)</x:f>
        <x:v>1</x:v>
      </x:c>
      <x:c r="AH1008" s="84" t="n">
        <x:f>IF(AND(AG1008=1,OR('Dashboard'!$B$4="All",I1008='Dashboard'!$B$4),OR('Dashboard'!$E$4="All",N1008='Dashboard'!$E$4),OR('Dashboard'!$H$4="All",K1008='Dashboard'!$H$4),OR('Dashboard'!$K$4="All",C1008='Dashboard'!$K$4)),1,0)</x:f>
        <x:v>1</x:v>
      </x:c>
      <x:c r="AI1008" s="84" t="n">
        <x:f>IF(AND(AG1008=1,OR('Dashboard'!$B$4="All",I1008='Dashboard'!$B$4),OR('Dashboard'!$E$4="All",N1008='Dashboard'!$E$4),OR('Dashboard'!$H$4="All",K1008='Dashboard'!$H$4)),1,0)</x:f>
        <x:v>1</x:v>
      </x:c>
    </x:row>
    <x:row r="1009">
      <x:c r="A1009" s="84" t="str">
        <x:f>'Raw Sales'!A1009</x:f>
        <x:v>ORD-2024-01205</x:v>
      </x:c>
      <x:c r="B1009" s="85" t="n">
        <x:f>'Raw Sales'!B1009</x:f>
        <x:v>45630</x:v>
      </x:c>
      <x:c r="C1009" s="84" t="n">
        <x:f>YEAR(B1009)</x:f>
        <x:v>2024</x:v>
      </x:c>
      <x:c r="D1009" s="91" t="n">
        <x:f>DATE(YEAR(B1009),MONTH(B1009),1)</x:f>
        <x:v>45627</x:v>
      </x:c>
      <x:c r="E1009" s="84" t="str">
        <x:f>TEXT(B1009,"mmm")</x:f>
        <x:v>Dec</x:v>
      </x:c>
      <x:c r="F1009" s="84" t="str">
        <x:f>'Raw Sales'!C1009</x:f>
        <x:v>CUST-0470</x:v>
      </x:c>
      <x:c r="G1009" s="84" t="str">
        <x:f>PROPER(TRIM('Raw Sales'!D1009))</x:f>
        <x:v>Jasmine Lewis</x:v>
      </x:c>
      <x:c r="H1009" s="84" t="str">
        <x:f>IF(TRIM('Raw Sales'!E1009)="","Unknown",PROPER(TRIM('Raw Sales'!E1009)))</x:f>
        <x:v>Corporate</x:v>
      </x:c>
      <x:c r="I1009" s="84" t="str">
        <x:f>PROPER(TRIM('Raw Sales'!F1009))</x:f>
        <x:v>Southeast</x:v>
      </x:c>
      <x:c r="J1009" s="84" t="str">
        <x:f>PROPER(TRIM('Raw Sales'!G1009))</x:f>
        <x:v>Miami</x:v>
      </x:c>
      <x:c r="K1009" s="84" t="str">
        <x:f>PROPER(TRIM('Raw Sales'!H1009))</x:f>
        <x:v>Marketplace</x:v>
      </x:c>
      <x:c r="L1009" s="84" t="str">
        <x:f>'Raw Sales'!I1009</x:f>
        <x:v>ACCS-006</x:v>
      </x:c>
      <x:c r="M1009" s="84" t="str">
        <x:f>IFERROR(VLOOKUP(L1009,'Reference Data'!$A$5:$F$40,2,FALSE),"Unknown Product")</x:f>
        <x:v>Insulated Lunch Bag</x:v>
      </x:c>
      <x:c r="N1009" s="84" t="str">
        <x:f>IFERROR(VLOOKUP(L1009,'Reference Data'!$A$5:$F$40,3,FALSE),"Unknown")</x:f>
        <x:v>Accessories</x:v>
      </x:c>
      <x:c r="O1009" s="84" t="str">
        <x:f>IFERROR(VLOOKUP(L1009,'Reference Data'!$A$5:$F$40,4,FALSE),"Unknown")</x:f>
        <x:v>Bags</x:v>
      </x:c>
      <x:c r="P1009" s="92" t="n">
        <x:f>IFERROR(VLOOKUP(L1009,'Reference Data'!$A$5:$F$40,5,FALSE),0)</x:f>
        <x:v>29</x:v>
      </x:c>
      <x:c r="Q1009" s="92" t="n">
        <x:f>IFERROR(VLOOKUP(L1009,'Reference Data'!$A$5:$F$40,6,FALSE),0)</x:f>
        <x:v>10</x:v>
      </x:c>
      <x:c r="R1009" s="84" t="n">
        <x:f>'Raw Sales'!J1009</x:f>
        <x:v>6</x:v>
      </x:c>
      <x:c r="S1009" s="87" t="n">
        <x:f>'Raw Sales'!K1009</x:f>
        <x:v>0</x:v>
      </x:c>
      <x:c r="T1009" s="93" t="n">
        <x:f>P1009*R1009</x:f>
        <x:v>174</x:v>
      </x:c>
      <x:c r="U1009" s="93" t="n">
        <x:f>T1009*S1009</x:f>
        <x:v>0</x:v>
      </x:c>
      <x:c r="V1009" s="93" t="str">
        <x:f>PROPER(TRIM('Raw Sales'!L1009))</x:f>
        <x:v>Completed</x:v>
      </x:c>
      <x:c r="W1009" s="93" t="n">
        <x:f>IF(V1009="Returned",0,T1009-U1009)</x:f>
        <x:v>174</x:v>
      </x:c>
      <x:c r="X1009" s="93" t="n">
        <x:f>IF(V1009="Returned",Q1009*R1009*10%,Q1009*R1009)</x:f>
        <x:v>60</x:v>
      </x:c>
      <x:c r="Y1009" s="93" t="n">
        <x:f>W1009-X1009</x:f>
        <x:v>114</x:v>
      </x:c>
      <x:c r="Z1009" s="94" t="n">
        <x:f>IFERROR(Y1009/W1009,0)</x:f>
        <x:v>0.6551724137931034</x:v>
      </x:c>
      <x:c r="AA1009" s="84" t="str">
        <x:f>PROPER(TRIM('Raw Sales'!M1009))</x:f>
        <x:v>Credit Card</x:v>
      </x:c>
      <x:c r="AB1009" s="84" t="str">
        <x:f>PROPER(TRIM('Raw Sales'!N1009))</x:f>
        <x:v>Ava Mitchell</x:v>
      </x:c>
      <x:c r="AC1009" s="85" t="n">
        <x:f>'Raw Sales'!O1009</x:f>
        <x:v>45635</x:v>
      </x:c>
      <x:c r="AD1009" s="84" t="n">
        <x:f>AC1009-B1009</x:f>
        <x:v>5</x:v>
      </x:c>
      <x:c r="AE1009" s="84" t="str">
        <x:f>IF(COUNTIF($A$5:A1009,A1009)&gt;1,"Duplicate","Keep")</x:f>
        <x:v>Keep</x:v>
      </x:c>
      <x:c r="AF1009" s="84" t="str">
        <x:f>IF(OR(R1009&lt;=0,AC1009&lt;B1009,H1009="Unknown",M1009="Unknown Product"),"Review","Valid")</x:f>
        <x:v>Valid</x:v>
      </x:c>
      <x:c r="AG1009" s="84" t="n">
        <x:f>IF(AND(AE1009="Keep",AF1009="Valid"),1,0)</x:f>
        <x:v>1</x:v>
      </x:c>
      <x:c r="AH1009" s="84" t="n">
        <x:f>IF(AND(AG1009=1,OR('Dashboard'!$B$4="All",I1009='Dashboard'!$B$4),OR('Dashboard'!$E$4="All",N1009='Dashboard'!$E$4),OR('Dashboard'!$H$4="All",K1009='Dashboard'!$H$4),OR('Dashboard'!$K$4="All",C1009='Dashboard'!$K$4)),1,0)</x:f>
        <x:v>1</x:v>
      </x:c>
      <x:c r="AI1009" s="84" t="n">
        <x:f>IF(AND(AG1009=1,OR('Dashboard'!$B$4="All",I1009='Dashboard'!$B$4),OR('Dashboard'!$E$4="All",N1009='Dashboard'!$E$4),OR('Dashboard'!$H$4="All",K1009='Dashboard'!$H$4)),1,0)</x:f>
        <x:v>1</x:v>
      </x:c>
    </x:row>
    <x:row r="1010">
      <x:c r="A1010" s="84" t="str">
        <x:f>'Raw Sales'!A1010</x:f>
        <x:v>ORD-2024-01428</x:v>
      </x:c>
      <x:c r="B1010" s="85" t="n">
        <x:f>'Raw Sales'!B1010</x:f>
        <x:v>45630</x:v>
      </x:c>
      <x:c r="C1010" s="84" t="n">
        <x:f>YEAR(B1010)</x:f>
        <x:v>2024</x:v>
      </x:c>
      <x:c r="D1010" s="91" t="n">
        <x:f>DATE(YEAR(B1010),MONTH(B1010),1)</x:f>
        <x:v>45627</x:v>
      </x:c>
      <x:c r="E1010" s="84" t="str">
        <x:f>TEXT(B1010,"mmm")</x:f>
        <x:v>Dec</x:v>
      </x:c>
      <x:c r="F1010" s="84" t="str">
        <x:f>'Raw Sales'!C1010</x:f>
        <x:v>CUST-0099</x:v>
      </x:c>
      <x:c r="G1010" s="84" t="str">
        <x:f>PROPER(TRIM('Raw Sales'!D1010))</x:f>
        <x:v>Maya Adams</x:v>
      </x:c>
      <x:c r="H1010" s="84" t="str">
        <x:f>IF(TRIM('Raw Sales'!E1010)="","Unknown",PROPER(TRIM('Raw Sales'!E1010)))</x:f>
        <x:v>Consumer</x:v>
      </x:c>
      <x:c r="I1010" s="84" t="str">
        <x:f>PROPER(TRIM('Raw Sales'!F1010))</x:f>
        <x:v>Southeast</x:v>
      </x:c>
      <x:c r="J1010" s="84" t="str">
        <x:f>PROPER(TRIM('Raw Sales'!G1010))</x:f>
        <x:v>Miami</x:v>
      </x:c>
      <x:c r="K1010" s="84" t="str">
        <x:f>PROPER(TRIM('Raw Sales'!H1010))</x:f>
        <x:v>Online</x:v>
      </x:c>
      <x:c r="L1010" s="84" t="str">
        <x:f>'Raw Sales'!I1010</x:f>
        <x:v>OFFC-006</x:v>
      </x:c>
      <x:c r="M1010" s="84" t="str">
        <x:f>IFERROR(VLOOKUP(L1010,'Reference Data'!$A$5:$F$40,2,FALSE),"Unknown Product")</x:f>
        <x:v>Monitor Stand</x:v>
      </x:c>
      <x:c r="N1010" s="84" t="str">
        <x:f>IFERROR(VLOOKUP(L1010,'Reference Data'!$A$5:$F$40,3,FALSE),"Unknown")</x:f>
        <x:v>Office</x:v>
      </x:c>
      <x:c r="O1010" s="84" t="str">
        <x:f>IFERROR(VLOOKUP(L1010,'Reference Data'!$A$5:$F$40,4,FALSE),"Unknown")</x:f>
        <x:v>Desk Accessories</x:v>
      </x:c>
      <x:c r="P1010" s="92" t="n">
        <x:f>IFERROR(VLOOKUP(L1010,'Reference Data'!$A$5:$F$40,5,FALSE),0)</x:f>
        <x:v>49</x:v>
      </x:c>
      <x:c r="Q1010" s="92" t="n">
        <x:f>IFERROR(VLOOKUP(L1010,'Reference Data'!$A$5:$F$40,6,FALSE),0)</x:f>
        <x:v>21</x:v>
      </x:c>
      <x:c r="R1010" s="84" t="n">
        <x:f>'Raw Sales'!J1010</x:f>
        <x:v>4</x:v>
      </x:c>
      <x:c r="S1010" s="87" t="n">
        <x:f>'Raw Sales'!K1010</x:f>
        <x:v>0.1</x:v>
      </x:c>
      <x:c r="T1010" s="93" t="n">
        <x:f>P1010*R1010</x:f>
        <x:v>196</x:v>
      </x:c>
      <x:c r="U1010" s="93" t="n">
        <x:f>T1010*S1010</x:f>
        <x:v>19.6</x:v>
      </x:c>
      <x:c r="V1010" s="93" t="str">
        <x:f>PROPER(TRIM('Raw Sales'!L1010))</x:f>
        <x:v>Completed</x:v>
      </x:c>
      <x:c r="W1010" s="93" t="n">
        <x:f>IF(V1010="Returned",0,T1010-U1010)</x:f>
        <x:v>176.4</x:v>
      </x:c>
      <x:c r="X1010" s="93" t="n">
        <x:f>IF(V1010="Returned",Q1010*R1010*10%,Q1010*R1010)</x:f>
        <x:v>84</x:v>
      </x:c>
      <x:c r="Y1010" s="93" t="n">
        <x:f>W1010-X1010</x:f>
        <x:v>92.4</x:v>
      </x:c>
      <x:c r="Z1010" s="94" t="n">
        <x:f>IFERROR(Y1010/W1010,0)</x:f>
        <x:v>0.5238095238095238</x:v>
      </x:c>
      <x:c r="AA1010" s="84" t="str">
        <x:f>PROPER(TRIM('Raw Sales'!M1010))</x:f>
        <x:v>Credit Card</x:v>
      </x:c>
      <x:c r="AB1010" s="84" t="str">
        <x:f>PROPER(TRIM('Raw Sales'!N1010))</x:f>
        <x:v>Liam Parker</x:v>
      </x:c>
      <x:c r="AC1010" s="85" t="n">
        <x:f>'Raw Sales'!O1010</x:f>
        <x:v>45636</x:v>
      </x:c>
      <x:c r="AD1010" s="84" t="n">
        <x:f>AC1010-B1010</x:f>
        <x:v>6</x:v>
      </x:c>
      <x:c r="AE1010" s="84" t="str">
        <x:f>IF(COUNTIF($A$5:A1010,A1010)&gt;1,"Duplicate","Keep")</x:f>
        <x:v>Keep</x:v>
      </x:c>
      <x:c r="AF1010" s="84" t="str">
        <x:f>IF(OR(R1010&lt;=0,AC1010&lt;B1010,H1010="Unknown",M1010="Unknown Product"),"Review","Valid")</x:f>
        <x:v>Valid</x:v>
      </x:c>
      <x:c r="AG1010" s="84" t="n">
        <x:f>IF(AND(AE1010="Keep",AF1010="Valid"),1,0)</x:f>
        <x:v>1</x:v>
      </x:c>
      <x:c r="AH1010" s="84" t="n">
        <x:f>IF(AND(AG1010=1,OR('Dashboard'!$B$4="All",I1010='Dashboard'!$B$4),OR('Dashboard'!$E$4="All",N1010='Dashboard'!$E$4),OR('Dashboard'!$H$4="All",K1010='Dashboard'!$H$4),OR('Dashboard'!$K$4="All",C1010='Dashboard'!$K$4)),1,0)</x:f>
        <x:v>1</x:v>
      </x:c>
      <x:c r="AI1010" s="84" t="n">
        <x:f>IF(AND(AG1010=1,OR('Dashboard'!$B$4="All",I1010='Dashboard'!$B$4),OR('Dashboard'!$E$4="All",N1010='Dashboard'!$E$4),OR('Dashboard'!$H$4="All",K1010='Dashboard'!$H$4)),1,0)</x:f>
        <x:v>1</x:v>
      </x:c>
    </x:row>
    <x:row r="1011">
      <x:c r="A1011" s="84" t="str">
        <x:f>'Raw Sales'!A1011</x:f>
        <x:v>ORD-2024-01845</x:v>
      </x:c>
      <x:c r="B1011" s="85" t="n">
        <x:f>'Raw Sales'!B1011</x:f>
        <x:v>45630</x:v>
      </x:c>
      <x:c r="C1011" s="84" t="n">
        <x:f>YEAR(B1011)</x:f>
        <x:v>2024</x:v>
      </x:c>
      <x:c r="D1011" s="91" t="n">
        <x:f>DATE(YEAR(B1011),MONTH(B1011),1)</x:f>
        <x:v>45627</x:v>
      </x:c>
      <x:c r="E1011" s="84" t="str">
        <x:f>TEXT(B1011,"mmm")</x:f>
        <x:v>Dec</x:v>
      </x:c>
      <x:c r="F1011" s="84" t="str">
        <x:f>'Raw Sales'!C1011</x:f>
        <x:v>CUST-0319</x:v>
      </x:c>
      <x:c r="G1011" s="84" t="str">
        <x:f>PROPER(TRIM('Raw Sales'!D1011))</x:f>
        <x:v>Amelia Young</x:v>
      </x:c>
      <x:c r="H1011" s="84" t="str">
        <x:f>IF(TRIM('Raw Sales'!E1011)="","Unknown",PROPER(TRIM('Raw Sales'!E1011)))</x:f>
        <x:v>Consumer</x:v>
      </x:c>
      <x:c r="I1011" s="84" t="str">
        <x:f>PROPER(TRIM('Raw Sales'!F1011))</x:f>
        <x:v>Southeast</x:v>
      </x:c>
      <x:c r="J1011" s="84" t="str">
        <x:f>PROPER(TRIM('Raw Sales'!G1011))</x:f>
        <x:v>Nashville</x:v>
      </x:c>
      <x:c r="K1011" s="84" t="str">
        <x:f>PROPER(TRIM('Raw Sales'!H1011))</x:f>
        <x:v>Marketplace</x:v>
      </x:c>
      <x:c r="L1011" s="84" t="str">
        <x:f>'Raw Sales'!I1011</x:f>
        <x:v>ELEC-006</x:v>
      </x:c>
      <x:c r="M1011" s="84" t="str">
        <x:f>IFERROR(VLOOKUP(L1011,'Reference Data'!$A$5:$F$40,2,FALSE),"Unknown Product")</x:f>
        <x:v>Portable SSD</x:v>
      </x:c>
      <x:c r="N1011" s="84" t="str">
        <x:f>IFERROR(VLOOKUP(L1011,'Reference Data'!$A$5:$F$40,3,FALSE),"Unknown")</x:f>
        <x:v>Electronics</x:v>
      </x:c>
      <x:c r="O1011" s="84" t="str">
        <x:f>IFERROR(VLOOKUP(L1011,'Reference Data'!$A$5:$F$40,4,FALSE),"Unknown")</x:f>
        <x:v>Storage</x:v>
      </x:c>
      <x:c r="P1011" s="92" t="n">
        <x:f>IFERROR(VLOOKUP(L1011,'Reference Data'!$A$5:$F$40,5,FALSE),0)</x:f>
        <x:v>129</x:v>
      </x:c>
      <x:c r="Q1011" s="92" t="n">
        <x:f>IFERROR(VLOOKUP(L1011,'Reference Data'!$A$5:$F$40,6,FALSE),0)</x:f>
        <x:v>75</x:v>
      </x:c>
      <x:c r="R1011" s="84" t="n">
        <x:f>'Raw Sales'!J1011</x:f>
        <x:v>3</x:v>
      </x:c>
      <x:c r="S1011" s="87" t="n">
        <x:f>'Raw Sales'!K1011</x:f>
        <x:v>0.1</x:v>
      </x:c>
      <x:c r="T1011" s="93" t="n">
        <x:f>P1011*R1011</x:f>
        <x:v>387</x:v>
      </x:c>
      <x:c r="U1011" s="93" t="n">
        <x:f>T1011*S1011</x:f>
        <x:v>38.7</x:v>
      </x:c>
      <x:c r="V1011" s="93" t="str">
        <x:f>PROPER(TRIM('Raw Sales'!L1011))</x:f>
        <x:v>Completed</x:v>
      </x:c>
      <x:c r="W1011" s="93" t="n">
        <x:f>IF(V1011="Returned",0,T1011-U1011)</x:f>
        <x:v>348.3</x:v>
      </x:c>
      <x:c r="X1011" s="93" t="n">
        <x:f>IF(V1011="Returned",Q1011*R1011*10%,Q1011*R1011)</x:f>
        <x:v>225</x:v>
      </x:c>
      <x:c r="Y1011" s="93" t="n">
        <x:f>W1011-X1011</x:f>
        <x:v>123.30000000000001</x:v>
      </x:c>
      <x:c r="Z1011" s="94" t="n">
        <x:f>IFERROR(Y1011/W1011,0)</x:f>
        <x:v>0.35400516795865633</x:v>
      </x:c>
      <x:c r="AA1011" s="84" t="str">
        <x:f>PROPER(TRIM('Raw Sales'!M1011))</x:f>
        <x:v>Debit Card</x:v>
      </x:c>
      <x:c r="AB1011" s="84" t="str">
        <x:f>PROPER(TRIM('Raw Sales'!N1011))</x:f>
        <x:v>Noah Reed</x:v>
      </x:c>
      <x:c r="AC1011" s="85" t="n">
        <x:f>'Raw Sales'!O1011</x:f>
        <x:v>45634</x:v>
      </x:c>
      <x:c r="AD1011" s="84" t="n">
        <x:f>AC1011-B1011</x:f>
        <x:v>4</x:v>
      </x:c>
      <x:c r="AE1011" s="84" t="str">
        <x:f>IF(COUNTIF($A$5:A1011,A1011)&gt;1,"Duplicate","Keep")</x:f>
        <x:v>Keep</x:v>
      </x:c>
      <x:c r="AF1011" s="84" t="str">
        <x:f>IF(OR(R1011&lt;=0,AC1011&lt;B1011,H1011="Unknown",M1011="Unknown Product"),"Review","Valid")</x:f>
        <x:v>Valid</x:v>
      </x:c>
      <x:c r="AG1011" s="84" t="n">
        <x:f>IF(AND(AE1011="Keep",AF1011="Valid"),1,0)</x:f>
        <x:v>1</x:v>
      </x:c>
      <x:c r="AH1011" s="84" t="n">
        <x:f>IF(AND(AG1011=1,OR('Dashboard'!$B$4="All",I1011='Dashboard'!$B$4),OR('Dashboard'!$E$4="All",N1011='Dashboard'!$E$4),OR('Dashboard'!$H$4="All",K1011='Dashboard'!$H$4),OR('Dashboard'!$K$4="All",C1011='Dashboard'!$K$4)),1,0)</x:f>
        <x:v>1</x:v>
      </x:c>
      <x:c r="AI1011" s="84" t="n">
        <x:f>IF(AND(AG1011=1,OR('Dashboard'!$B$4="All",I1011='Dashboard'!$B$4),OR('Dashboard'!$E$4="All",N1011='Dashboard'!$E$4),OR('Dashboard'!$H$4="All",K1011='Dashboard'!$H$4)),1,0)</x:f>
        <x:v>1</x:v>
      </x:c>
    </x:row>
    <x:row r="1012">
      <x:c r="A1012" s="84" t="str">
        <x:f>'Raw Sales'!A1012</x:f>
        <x:v>ORD-2024-01976</x:v>
      </x:c>
      <x:c r="B1012" s="85" t="n">
        <x:f>'Raw Sales'!B1012</x:f>
        <x:v>45630</x:v>
      </x:c>
      <x:c r="C1012" s="84" t="n">
        <x:f>YEAR(B1012)</x:f>
        <x:v>2024</x:v>
      </x:c>
      <x:c r="D1012" s="91" t="n">
        <x:f>DATE(YEAR(B1012),MONTH(B1012),1)</x:f>
        <x:v>45627</x:v>
      </x:c>
      <x:c r="E1012" s="84" t="str">
        <x:f>TEXT(B1012,"mmm")</x:f>
        <x:v>Dec</x:v>
      </x:c>
      <x:c r="F1012" s="84" t="str">
        <x:f>'Raw Sales'!C1012</x:f>
        <x:v>CUST-0093</x:v>
      </x:c>
      <x:c r="G1012" s="84" t="str">
        <x:f>PROPER(TRIM('Raw Sales'!D1012))</x:f>
        <x:v>Priya Lewis</x:v>
      </x:c>
      <x:c r="H1012" s="84" t="str">
        <x:f>IF(TRIM('Raw Sales'!E1012)="","Unknown",PROPER(TRIM('Raw Sales'!E1012)))</x:f>
        <x:v>Corporate</x:v>
      </x:c>
      <x:c r="I1012" s="84" t="str">
        <x:f>PROPER(TRIM('Raw Sales'!F1012))</x:f>
        <x:v>Southeast</x:v>
      </x:c>
      <x:c r="J1012" s="84" t="str">
        <x:f>PROPER(TRIM('Raw Sales'!G1012))</x:f>
        <x:v>Charlotte</x:v>
      </x:c>
      <x:c r="K1012" s="84" t="str">
        <x:f>PROPER(TRIM('Raw Sales'!H1012))</x:f>
        <x:v>Retail Store</x:v>
      </x:c>
      <x:c r="L1012" s="84" t="str">
        <x:f>'Raw Sales'!I1012</x:f>
        <x:v>ELEC-004</x:v>
      </x:c>
      <x:c r="M1012" s="84" t="str">
        <x:f>IFERROR(VLOOKUP(L1012,'Reference Data'!$A$5:$F$40,2,FALSE),"Unknown Product")</x:f>
        <x:v>Power Bank</x:v>
      </x:c>
      <x:c r="N1012" s="84" t="str">
        <x:f>IFERROR(VLOOKUP(L1012,'Reference Data'!$A$5:$F$40,3,FALSE),"Unknown")</x:f>
        <x:v>Electronics</x:v>
      </x:c>
      <x:c r="O1012" s="84" t="str">
        <x:f>IFERROR(VLOOKUP(L1012,'Reference Data'!$A$5:$F$40,4,FALSE),"Unknown")</x:f>
        <x:v>Mobile Accessories</x:v>
      </x:c>
      <x:c r="P1012" s="92" t="n">
        <x:f>IFERROR(VLOOKUP(L1012,'Reference Data'!$A$5:$F$40,5,FALSE),0)</x:f>
        <x:v>39</x:v>
      </x:c>
      <x:c r="Q1012" s="92" t="n">
        <x:f>IFERROR(VLOOKUP(L1012,'Reference Data'!$A$5:$F$40,6,FALSE),0)</x:f>
        <x:v>18</x:v>
      </x:c>
      <x:c r="R1012" s="84" t="n">
        <x:f>'Raw Sales'!J1012</x:f>
        <x:v>5</x:v>
      </x:c>
      <x:c r="S1012" s="87" t="n">
        <x:f>'Raw Sales'!K1012</x:f>
        <x:v>0.05</x:v>
      </x:c>
      <x:c r="T1012" s="93" t="n">
        <x:f>P1012*R1012</x:f>
        <x:v>195</x:v>
      </x:c>
      <x:c r="U1012" s="93" t="n">
        <x:f>T1012*S1012</x:f>
        <x:v>9.75</x:v>
      </x:c>
      <x:c r="V1012" s="93" t="str">
        <x:f>PROPER(TRIM('Raw Sales'!L1012))</x:f>
        <x:v>Completed</x:v>
      </x:c>
      <x:c r="W1012" s="93" t="n">
        <x:f>IF(V1012="Returned",0,T1012-U1012)</x:f>
        <x:v>185.25</x:v>
      </x:c>
      <x:c r="X1012" s="93" t="n">
        <x:f>IF(V1012="Returned",Q1012*R1012*10%,Q1012*R1012)</x:f>
        <x:v>90</x:v>
      </x:c>
      <x:c r="Y1012" s="93" t="n">
        <x:f>W1012-X1012</x:f>
        <x:v>95.25</x:v>
      </x:c>
      <x:c r="Z1012" s="94" t="n">
        <x:f>IFERROR(Y1012/W1012,0)</x:f>
        <x:v>0.5141700404858299</x:v>
      </x:c>
      <x:c r="AA1012" s="84" t="str">
        <x:f>PROPER(TRIM('Raw Sales'!M1012))</x:f>
        <x:v>Debit Card</x:v>
      </x:c>
      <x:c r="AB1012" s="84" t="str">
        <x:f>PROPER(TRIM('Raw Sales'!N1012))</x:f>
        <x:v>Liam Parker</x:v>
      </x:c>
      <x:c r="AC1012" s="85" t="n">
        <x:f>'Raw Sales'!O1012</x:f>
        <x:v>45630</x:v>
      </x:c>
      <x:c r="AD1012" s="84" t="n">
        <x:f>AC1012-B1012</x:f>
        <x:v>0</x:v>
      </x:c>
      <x:c r="AE1012" s="84" t="str">
        <x:f>IF(COUNTIF($A$5:A1012,A1012)&gt;1,"Duplicate","Keep")</x:f>
        <x:v>Keep</x:v>
      </x:c>
      <x:c r="AF1012" s="84" t="str">
        <x:f>IF(OR(R1012&lt;=0,AC1012&lt;B1012,H1012="Unknown",M1012="Unknown Product"),"Review","Valid")</x:f>
        <x:v>Valid</x:v>
      </x:c>
      <x:c r="AG1012" s="84" t="n">
        <x:f>IF(AND(AE1012="Keep",AF1012="Valid"),1,0)</x:f>
        <x:v>1</x:v>
      </x:c>
      <x:c r="AH1012" s="84" t="n">
        <x:f>IF(AND(AG1012=1,OR('Dashboard'!$B$4="All",I1012='Dashboard'!$B$4),OR('Dashboard'!$E$4="All",N1012='Dashboard'!$E$4),OR('Dashboard'!$H$4="All",K1012='Dashboard'!$H$4),OR('Dashboard'!$K$4="All",C1012='Dashboard'!$K$4)),1,0)</x:f>
        <x:v>1</x:v>
      </x:c>
      <x:c r="AI1012" s="84" t="n">
        <x:f>IF(AND(AG1012=1,OR('Dashboard'!$B$4="All",I1012='Dashboard'!$B$4),OR('Dashboard'!$E$4="All",N1012='Dashboard'!$E$4),OR('Dashboard'!$H$4="All",K1012='Dashboard'!$H$4)),1,0)</x:f>
        <x:v>1</x:v>
      </x:c>
    </x:row>
    <x:row r="1013">
      <x:c r="A1013" s="84" t="str">
        <x:f>'Raw Sales'!A1013</x:f>
        <x:v>ORD-2024-02018</x:v>
      </x:c>
      <x:c r="B1013" s="85" t="n">
        <x:f>'Raw Sales'!B1013</x:f>
        <x:v>45630</x:v>
      </x:c>
      <x:c r="C1013" s="84" t="n">
        <x:f>YEAR(B1013)</x:f>
        <x:v>2024</x:v>
      </x:c>
      <x:c r="D1013" s="91" t="n">
        <x:f>DATE(YEAR(B1013),MONTH(B1013),1)</x:f>
        <x:v>45627</x:v>
      </x:c>
      <x:c r="E1013" s="84" t="str">
        <x:f>TEXT(B1013,"mmm")</x:f>
        <x:v>Dec</x:v>
      </x:c>
      <x:c r="F1013" s="84" t="str">
        <x:f>'Raw Sales'!C1013</x:f>
        <x:v>CUST-0506</x:v>
      </x:c>
      <x:c r="G1013" s="84" t="str">
        <x:f>PROPER(TRIM('Raw Sales'!D1013))</x:f>
        <x:v>Layla Baker</x:v>
      </x:c>
      <x:c r="H1013" s="84" t="str">
        <x:f>IF(TRIM('Raw Sales'!E1013)="","Unknown",PROPER(TRIM('Raw Sales'!E1013)))</x:f>
        <x:v>Consumer</x:v>
      </x:c>
      <x:c r="I1013" s="84" t="str">
        <x:f>PROPER(TRIM('Raw Sales'!F1013))</x:f>
        <x:v>Midwest</x:v>
      </x:c>
      <x:c r="J1013" s="84" t="str">
        <x:f>PROPER(TRIM('Raw Sales'!G1013))</x:f>
        <x:v>Columbus</x:v>
      </x:c>
      <x:c r="K1013" s="84" t="str">
        <x:f>PROPER(TRIM('Raw Sales'!H1013))</x:f>
        <x:v>Retail Store</x:v>
      </x:c>
      <x:c r="L1013" s="84" t="str">
        <x:f>'Raw Sales'!I1013</x:f>
        <x:v>OFFC-001</x:v>
      </x:c>
      <x:c r="M1013" s="84" t="str">
        <x:f>IFERROR(VLOOKUP(L1013,'Reference Data'!$A$5:$F$40,2,FALSE),"Unknown Product")</x:f>
        <x:v>Ergonomic Chair</x:v>
      </x:c>
      <x:c r="N1013" s="84" t="str">
        <x:f>IFERROR(VLOOKUP(L1013,'Reference Data'!$A$5:$F$40,3,FALSE),"Unknown")</x:f>
        <x:v>Office</x:v>
      </x:c>
      <x:c r="O1013" s="84" t="str">
        <x:f>IFERROR(VLOOKUP(L1013,'Reference Data'!$A$5:$F$40,4,FALSE),"Unknown")</x:f>
        <x:v>Furniture</x:v>
      </x:c>
      <x:c r="P1013" s="92" t="n">
        <x:f>IFERROR(VLOOKUP(L1013,'Reference Data'!$A$5:$F$40,5,FALSE),0)</x:f>
        <x:v>249</x:v>
      </x:c>
      <x:c r="Q1013" s="92" t="n">
        <x:f>IFERROR(VLOOKUP(L1013,'Reference Data'!$A$5:$F$40,6,FALSE),0)</x:f>
        <x:v>145</x:v>
      </x:c>
      <x:c r="R1013" s="84" t="n">
        <x:f>'Raw Sales'!J1013</x:f>
        <x:v>2</x:v>
      </x:c>
      <x:c r="S1013" s="87" t="n">
        <x:f>'Raw Sales'!K1013</x:f>
        <x:v>0.1</x:v>
      </x:c>
      <x:c r="T1013" s="93" t="n">
        <x:f>P1013*R1013</x:f>
        <x:v>498</x:v>
      </x:c>
      <x:c r="U1013" s="93" t="n">
        <x:f>T1013*S1013</x:f>
        <x:v>49.800000000000004</x:v>
      </x:c>
      <x:c r="V1013" s="93" t="str">
        <x:f>PROPER(TRIM('Raw Sales'!L1013))</x:f>
        <x:v>Completed</x:v>
      </x:c>
      <x:c r="W1013" s="93" t="n">
        <x:f>IF(V1013="Returned",0,T1013-U1013)</x:f>
        <x:v>448.2</x:v>
      </x:c>
      <x:c r="X1013" s="93" t="n">
        <x:f>IF(V1013="Returned",Q1013*R1013*10%,Q1013*R1013)</x:f>
        <x:v>290</x:v>
      </x:c>
      <x:c r="Y1013" s="93" t="n">
        <x:f>W1013-X1013</x:f>
        <x:v>158.2</x:v>
      </x:c>
      <x:c r="Z1013" s="94" t="n">
        <x:f>IFERROR(Y1013/W1013,0)</x:f>
        <x:v>0.35296742525658187</x:v>
      </x:c>
      <x:c r="AA1013" s="84" t="str">
        <x:f>PROPER(TRIM('Raw Sales'!M1013))</x:f>
        <x:v>Credit Card</x:v>
      </x:c>
      <x:c r="AB1013" s="84" t="str">
        <x:f>PROPER(TRIM('Raw Sales'!N1013))</x:f>
        <x:v>Zoe Turner</x:v>
      </x:c>
      <x:c r="AC1013" s="85" t="n">
        <x:f>'Raw Sales'!O1013</x:f>
        <x:v>45630</x:v>
      </x:c>
      <x:c r="AD1013" s="84" t="n">
        <x:f>AC1013-B1013</x:f>
        <x:v>0</x:v>
      </x:c>
      <x:c r="AE1013" s="84" t="str">
        <x:f>IF(COUNTIF($A$5:A1013,A1013)&gt;1,"Duplicate","Keep")</x:f>
        <x:v>Keep</x:v>
      </x:c>
      <x:c r="AF1013" s="84" t="str">
        <x:f>IF(OR(R1013&lt;=0,AC1013&lt;B1013,H1013="Unknown",M1013="Unknown Product"),"Review","Valid")</x:f>
        <x:v>Valid</x:v>
      </x:c>
      <x:c r="AG1013" s="84" t="n">
        <x:f>IF(AND(AE1013="Keep",AF1013="Valid"),1,0)</x:f>
        <x:v>1</x:v>
      </x:c>
      <x:c r="AH1013" s="84" t="n">
        <x:f>IF(AND(AG1013=1,OR('Dashboard'!$B$4="All",I1013='Dashboard'!$B$4),OR('Dashboard'!$E$4="All",N1013='Dashboard'!$E$4),OR('Dashboard'!$H$4="All",K1013='Dashboard'!$H$4),OR('Dashboard'!$K$4="All",C1013='Dashboard'!$K$4)),1,0)</x:f>
        <x:v>1</x:v>
      </x:c>
      <x:c r="AI1013" s="84" t="n">
        <x:f>IF(AND(AG1013=1,OR('Dashboard'!$B$4="All",I1013='Dashboard'!$B$4),OR('Dashboard'!$E$4="All",N1013='Dashboard'!$E$4),OR('Dashboard'!$H$4="All",K1013='Dashboard'!$H$4)),1,0)</x:f>
        <x:v>1</x:v>
      </x:c>
    </x:row>
    <x:row r="1014">
      <x:c r="A1014" s="84" t="str">
        <x:f>'Raw Sales'!A1014</x:f>
        <x:v>ORD-2024-01717</x:v>
      </x:c>
      <x:c r="B1014" s="85" t="n">
        <x:f>'Raw Sales'!B1014</x:f>
        <x:v>45631</x:v>
      </x:c>
      <x:c r="C1014" s="84" t="n">
        <x:f>YEAR(B1014)</x:f>
        <x:v>2024</x:v>
      </x:c>
      <x:c r="D1014" s="91" t="n">
        <x:f>DATE(YEAR(B1014),MONTH(B1014),1)</x:f>
        <x:v>45627</x:v>
      </x:c>
      <x:c r="E1014" s="84" t="str">
        <x:f>TEXT(B1014,"mmm")</x:f>
        <x:v>Dec</x:v>
      </x:c>
      <x:c r="F1014" s="84" t="str">
        <x:f>'Raw Sales'!C1014</x:f>
        <x:v>CUST-0380</x:v>
      </x:c>
      <x:c r="G1014" s="84" t="str">
        <x:f>PROPER(TRIM('Raw Sales'!D1014))</x:f>
        <x:v>Caleb Patel</x:v>
      </x:c>
      <x:c r="H1014" s="84" t="str">
        <x:f>IF(TRIM('Raw Sales'!E1014)="","Unknown",PROPER(TRIM('Raw Sales'!E1014)))</x:f>
        <x:v>Consumer</x:v>
      </x:c>
      <x:c r="I1014" s="84" t="str">
        <x:f>PROPER(TRIM('Raw Sales'!F1014))</x:f>
        <x:v>Southeast</x:v>
      </x:c>
      <x:c r="J1014" s="84" t="str">
        <x:f>PROPER(TRIM('Raw Sales'!G1014))</x:f>
        <x:v>Nashville</x:v>
      </x:c>
      <x:c r="K1014" s="84" t="str">
        <x:f>PROPER(TRIM('Raw Sales'!H1014))</x:f>
        <x:v>Online</x:v>
      </x:c>
      <x:c r="L1014" s="84" t="str">
        <x:f>'Raw Sales'!I1014</x:f>
        <x:v>CARE-004</x:v>
      </x:c>
      <x:c r="M1014" s="84" t="str">
        <x:f>IFERROR(VLOOKUP(L1014,'Reference Data'!$A$5:$F$40,2,FALSE),"Unknown Product")</x:f>
        <x:v>Electric Toothbrush</x:v>
      </x:c>
      <x:c r="N1014" s="84" t="str">
        <x:f>IFERROR(VLOOKUP(L1014,'Reference Data'!$A$5:$F$40,3,FALSE),"Unknown")</x:f>
        <x:v>Personal Care</x:v>
      </x:c>
      <x:c r="O1014" s="84" t="str">
        <x:f>IFERROR(VLOOKUP(L1014,'Reference Data'!$A$5:$F$40,4,FALSE),"Unknown")</x:f>
        <x:v>Oral Care</x:v>
      </x:c>
      <x:c r="P1014" s="92" t="n">
        <x:f>IFERROR(VLOOKUP(L1014,'Reference Data'!$A$5:$F$40,5,FALSE),0)</x:f>
        <x:v>69</x:v>
      </x:c>
      <x:c r="Q1014" s="92" t="n">
        <x:f>IFERROR(VLOOKUP(L1014,'Reference Data'!$A$5:$F$40,6,FALSE),0)</x:f>
        <x:v>31</x:v>
      </x:c>
      <x:c r="R1014" s="84" t="n">
        <x:f>'Raw Sales'!J1014</x:f>
        <x:v>2</x:v>
      </x:c>
      <x:c r="S1014" s="87" t="n">
        <x:f>'Raw Sales'!K1014</x:f>
        <x:v>0.2</x:v>
      </x:c>
      <x:c r="T1014" s="93" t="n">
        <x:f>P1014*R1014</x:f>
        <x:v>138</x:v>
      </x:c>
      <x:c r="U1014" s="93" t="n">
        <x:f>T1014*S1014</x:f>
        <x:v>27.6</x:v>
      </x:c>
      <x:c r="V1014" s="93" t="str">
        <x:f>PROPER(TRIM('Raw Sales'!L1014))</x:f>
        <x:v>Completed</x:v>
      </x:c>
      <x:c r="W1014" s="93" t="n">
        <x:f>IF(V1014="Returned",0,T1014-U1014)</x:f>
        <x:v>110.4</x:v>
      </x:c>
      <x:c r="X1014" s="93" t="n">
        <x:f>IF(V1014="Returned",Q1014*R1014*10%,Q1014*R1014)</x:f>
        <x:v>62</x:v>
      </x:c>
      <x:c r="Y1014" s="93" t="n">
        <x:f>W1014-X1014</x:f>
        <x:v>48.400000000000006</x:v>
      </x:c>
      <x:c r="Z1014" s="94" t="n">
        <x:f>IFERROR(Y1014/W1014,0)</x:f>
        <x:v>0.4384057971014493</x:v>
      </x:c>
      <x:c r="AA1014" s="84" t="str">
        <x:f>PROPER(TRIM('Raw Sales'!M1014))</x:f>
        <x:v>Credit Card</x:v>
      </x:c>
      <x:c r="AB1014" s="84" t="str">
        <x:f>PROPER(TRIM('Raw Sales'!N1014))</x:f>
        <x:v>Liam Parker</x:v>
      </x:c>
      <x:c r="AC1014" s="85" t="n">
        <x:f>'Raw Sales'!O1014</x:f>
        <x:v>45634</x:v>
      </x:c>
      <x:c r="AD1014" s="84" t="n">
        <x:f>AC1014-B1014</x:f>
        <x:v>3</x:v>
      </x:c>
      <x:c r="AE1014" s="84" t="str">
        <x:f>IF(COUNTIF($A$5:A1014,A1014)&gt;1,"Duplicate","Keep")</x:f>
        <x:v>Keep</x:v>
      </x:c>
      <x:c r="AF1014" s="84" t="str">
        <x:f>IF(OR(R1014&lt;=0,AC1014&lt;B1014,H1014="Unknown",M1014="Unknown Product"),"Review","Valid")</x:f>
        <x:v>Valid</x:v>
      </x:c>
      <x:c r="AG1014" s="84" t="n">
        <x:f>IF(AND(AE1014="Keep",AF1014="Valid"),1,0)</x:f>
        <x:v>1</x:v>
      </x:c>
      <x:c r="AH1014" s="84" t="n">
        <x:f>IF(AND(AG1014=1,OR('Dashboard'!$B$4="All",I1014='Dashboard'!$B$4),OR('Dashboard'!$E$4="All",N1014='Dashboard'!$E$4),OR('Dashboard'!$H$4="All",K1014='Dashboard'!$H$4),OR('Dashboard'!$K$4="All",C1014='Dashboard'!$K$4)),1,0)</x:f>
        <x:v>1</x:v>
      </x:c>
      <x:c r="AI1014" s="84" t="n">
        <x:f>IF(AND(AG1014=1,OR('Dashboard'!$B$4="All",I1014='Dashboard'!$B$4),OR('Dashboard'!$E$4="All",N1014='Dashboard'!$E$4),OR('Dashboard'!$H$4="All",K1014='Dashboard'!$H$4)),1,0)</x:f>
        <x:v>1</x:v>
      </x:c>
    </x:row>
    <x:row r="1015">
      <x:c r="A1015" s="84" t="str">
        <x:f>'Raw Sales'!A1015</x:f>
        <x:v>ORD-2024-02355</x:v>
      </x:c>
      <x:c r="B1015" s="85" t="n">
        <x:f>'Raw Sales'!B1015</x:f>
        <x:v>45631</x:v>
      </x:c>
      <x:c r="C1015" s="84" t="n">
        <x:f>YEAR(B1015)</x:f>
        <x:v>2024</x:v>
      </x:c>
      <x:c r="D1015" s="91" t="n">
        <x:f>DATE(YEAR(B1015),MONTH(B1015),1)</x:f>
        <x:v>45627</x:v>
      </x:c>
      <x:c r="E1015" s="84" t="str">
        <x:f>TEXT(B1015,"mmm")</x:f>
        <x:v>Dec</x:v>
      </x:c>
      <x:c r="F1015" s="84" t="str">
        <x:f>'Raw Sales'!C1015</x:f>
        <x:v>CUST-0331</x:v>
      </x:c>
      <x:c r="G1015" s="84" t="str">
        <x:f>PROPER(TRIM('Raw Sales'!D1015))</x:f>
        <x:v>Elias Young</x:v>
      </x:c>
      <x:c r="H1015" s="84" t="str">
        <x:f>IF(TRIM('Raw Sales'!E1015)="","Unknown",PROPER(TRIM('Raw Sales'!E1015)))</x:f>
        <x:v>Consumer</x:v>
      </x:c>
      <x:c r="I1015" s="84" t="str">
        <x:f>PROPER(TRIM('Raw Sales'!F1015))</x:f>
        <x:v>West</x:v>
      </x:c>
      <x:c r="J1015" s="84" t="str">
        <x:f>PROPER(TRIM('Raw Sales'!G1015))</x:f>
        <x:v>Seattle</x:v>
      </x:c>
      <x:c r="K1015" s="84" t="str">
        <x:f>PROPER(TRIM('Raw Sales'!H1015))</x:f>
        <x:v>Marketplace</x:v>
      </x:c>
      <x:c r="L1015" s="84" t="str">
        <x:f>'Raw Sales'!I1015</x:f>
        <x:v>ELEC-002</x:v>
      </x:c>
      <x:c r="M1015" s="84" t="str">
        <x:f>IFERROR(VLOOKUP(L1015,'Reference Data'!$A$5:$F$40,2,FALSE),"Unknown Product")</x:f>
        <x:v>Smartwatch</x:v>
      </x:c>
      <x:c r="N1015" s="84" t="str">
        <x:f>IFERROR(VLOOKUP(L1015,'Reference Data'!$A$5:$F$40,3,FALSE),"Unknown")</x:f>
        <x:v>Electronics</x:v>
      </x:c>
      <x:c r="O1015" s="84" t="str">
        <x:f>IFERROR(VLOOKUP(L1015,'Reference Data'!$A$5:$F$40,4,FALSE),"Unknown")</x:f>
        <x:v>Wearables</x:v>
      </x:c>
      <x:c r="P1015" s="92" t="n">
        <x:f>IFERROR(VLOOKUP(L1015,'Reference Data'!$A$5:$F$40,5,FALSE),0)</x:f>
        <x:v>159</x:v>
      </x:c>
      <x:c r="Q1015" s="92" t="n">
        <x:f>IFERROR(VLOOKUP(L1015,'Reference Data'!$A$5:$F$40,6,FALSE),0)</x:f>
        <x:v>92</x:v>
      </x:c>
      <x:c r="R1015" s="84" t="n">
        <x:f>'Raw Sales'!J1015</x:f>
        <x:v>4</x:v>
      </x:c>
      <x:c r="S1015" s="87" t="n">
        <x:f>'Raw Sales'!K1015</x:f>
        <x:v>0.2</x:v>
      </x:c>
      <x:c r="T1015" s="93" t="n">
        <x:f>P1015*R1015</x:f>
        <x:v>636</x:v>
      </x:c>
      <x:c r="U1015" s="93" t="n">
        <x:f>T1015*S1015</x:f>
        <x:v>127.2</x:v>
      </x:c>
      <x:c r="V1015" s="93" t="str">
        <x:f>PROPER(TRIM('Raw Sales'!L1015))</x:f>
        <x:v>Completed</x:v>
      </x:c>
      <x:c r="W1015" s="93" t="n">
        <x:f>IF(V1015="Returned",0,T1015-U1015)</x:f>
        <x:v>508.8</x:v>
      </x:c>
      <x:c r="X1015" s="93" t="n">
        <x:f>IF(V1015="Returned",Q1015*R1015*10%,Q1015*R1015)</x:f>
        <x:v>368</x:v>
      </x:c>
      <x:c r="Y1015" s="93" t="n">
        <x:f>W1015-X1015</x:f>
        <x:v>140.8</x:v>
      </x:c>
      <x:c r="Z1015" s="94" t="n">
        <x:f>IFERROR(Y1015/W1015,0)</x:f>
        <x:v>0.27672955974842767</x:v>
      </x:c>
      <x:c r="AA1015" s="84" t="str">
        <x:f>PROPER(TRIM('Raw Sales'!M1015))</x:f>
        <x:v>Credit Card</x:v>
      </x:c>
      <x:c r="AB1015" s="84" t="str">
        <x:f>PROPER(TRIM('Raw Sales'!N1015))</x:f>
        <x:v>Nora Kim</x:v>
      </x:c>
      <x:c r="AC1015" s="85" t="n">
        <x:f>'Raw Sales'!O1015</x:f>
        <x:v>45636</x:v>
      </x:c>
      <x:c r="AD1015" s="84" t="n">
        <x:f>AC1015-B1015</x:f>
        <x:v>5</x:v>
      </x:c>
      <x:c r="AE1015" s="84" t="str">
        <x:f>IF(COUNTIF($A$5:A1015,A1015)&gt;1,"Duplicate","Keep")</x:f>
        <x:v>Keep</x:v>
      </x:c>
      <x:c r="AF1015" s="84" t="str">
        <x:f>IF(OR(R1015&lt;=0,AC1015&lt;B1015,H1015="Unknown",M1015="Unknown Product"),"Review","Valid")</x:f>
        <x:v>Valid</x:v>
      </x:c>
      <x:c r="AG1015" s="84" t="n">
        <x:f>IF(AND(AE1015="Keep",AF1015="Valid"),1,0)</x:f>
        <x:v>1</x:v>
      </x:c>
      <x:c r="AH1015" s="84" t="n">
        <x:f>IF(AND(AG1015=1,OR('Dashboard'!$B$4="All",I1015='Dashboard'!$B$4),OR('Dashboard'!$E$4="All",N1015='Dashboard'!$E$4),OR('Dashboard'!$H$4="All",K1015='Dashboard'!$H$4),OR('Dashboard'!$K$4="All",C1015='Dashboard'!$K$4)),1,0)</x:f>
        <x:v>1</x:v>
      </x:c>
      <x:c r="AI1015" s="84" t="n">
        <x:f>IF(AND(AG1015=1,OR('Dashboard'!$B$4="All",I1015='Dashboard'!$B$4),OR('Dashboard'!$E$4="All",N1015='Dashboard'!$E$4),OR('Dashboard'!$H$4="All",K1015='Dashboard'!$H$4)),1,0)</x:f>
        <x:v>1</x:v>
      </x:c>
    </x:row>
    <x:row r="1016">
      <x:c r="A1016" s="84" t="str">
        <x:f>'Raw Sales'!A1016</x:f>
        <x:v>ORD-2024-01388</x:v>
      </x:c>
      <x:c r="B1016" s="85" t="n">
        <x:f>'Raw Sales'!B1016</x:f>
        <x:v>45632</x:v>
      </x:c>
      <x:c r="C1016" s="84" t="n">
        <x:f>YEAR(B1016)</x:f>
        <x:v>2024</x:v>
      </x:c>
      <x:c r="D1016" s="91" t="n">
        <x:f>DATE(YEAR(B1016),MONTH(B1016),1)</x:f>
        <x:v>45627</x:v>
      </x:c>
      <x:c r="E1016" s="84" t="str">
        <x:f>TEXT(B1016,"mmm")</x:f>
        <x:v>Dec</x:v>
      </x:c>
      <x:c r="F1016" s="84" t="str">
        <x:f>'Raw Sales'!C1016</x:f>
        <x:v>CUST-0578</x:v>
      </x:c>
      <x:c r="G1016" s="84" t="str">
        <x:f>PROPER(TRIM('Raw Sales'!D1016))</x:f>
        <x:v>Priya Smith</x:v>
      </x:c>
      <x:c r="H1016" s="84" t="str">
        <x:f>IF(TRIM('Raw Sales'!E1016)="","Unknown",PROPER(TRIM('Raw Sales'!E1016)))</x:f>
        <x:v>Corporate</x:v>
      </x:c>
      <x:c r="I1016" s="84" t="str">
        <x:f>PROPER(TRIM('Raw Sales'!F1016))</x:f>
        <x:v>Northeast</x:v>
      </x:c>
      <x:c r="J1016" s="84" t="str">
        <x:f>PROPER(TRIM('Raw Sales'!G1016))</x:f>
        <x:v>Newark</x:v>
      </x:c>
      <x:c r="K1016" s="84" t="str">
        <x:f>PROPER(TRIM('Raw Sales'!H1016))</x:f>
        <x:v>Marketplace</x:v>
      </x:c>
      <x:c r="L1016" s="84" t="str">
        <x:f>'Raw Sales'!I1016</x:f>
        <x:v>ACCS-001</x:v>
      </x:c>
      <x:c r="M1016" s="84" t="str">
        <x:f>IFERROR(VLOOKUP(L1016,'Reference Data'!$A$5:$F$40,2,FALSE),"Unknown Product")</x:f>
        <x:v>Canvas Tote Bag</x:v>
      </x:c>
      <x:c r="N1016" s="84" t="str">
        <x:f>IFERROR(VLOOKUP(L1016,'Reference Data'!$A$5:$F$40,3,FALSE),"Unknown")</x:f>
        <x:v>Accessories</x:v>
      </x:c>
      <x:c r="O1016" s="84" t="str">
        <x:f>IFERROR(VLOOKUP(L1016,'Reference Data'!$A$5:$F$40,4,FALSE),"Unknown")</x:f>
        <x:v>Bags</x:v>
      </x:c>
      <x:c r="P1016" s="92" t="n">
        <x:f>IFERROR(VLOOKUP(L1016,'Reference Data'!$A$5:$F$40,5,FALSE),0)</x:f>
        <x:v>39</x:v>
      </x:c>
      <x:c r="Q1016" s="92" t="n">
        <x:f>IFERROR(VLOOKUP(L1016,'Reference Data'!$A$5:$F$40,6,FALSE),0)</x:f>
        <x:v>14</x:v>
      </x:c>
      <x:c r="R1016" s="84" t="n">
        <x:f>'Raw Sales'!J1016</x:f>
        <x:v>2</x:v>
      </x:c>
      <x:c r="S1016" s="87" t="n">
        <x:f>'Raw Sales'!K1016</x:f>
        <x:v>0.05</x:v>
      </x:c>
      <x:c r="T1016" s="93" t="n">
        <x:f>P1016*R1016</x:f>
        <x:v>78</x:v>
      </x:c>
      <x:c r="U1016" s="93" t="n">
        <x:f>T1016*S1016</x:f>
        <x:v>3.9000000000000004</x:v>
      </x:c>
      <x:c r="V1016" s="93" t="str">
        <x:f>PROPER(TRIM('Raw Sales'!L1016))</x:f>
        <x:v>Completed</x:v>
      </x:c>
      <x:c r="W1016" s="93" t="n">
        <x:f>IF(V1016="Returned",0,T1016-U1016)</x:f>
        <x:v>74.1</x:v>
      </x:c>
      <x:c r="X1016" s="93" t="n">
        <x:f>IF(V1016="Returned",Q1016*R1016*10%,Q1016*R1016)</x:f>
        <x:v>28</x:v>
      </x:c>
      <x:c r="Y1016" s="93" t="n">
        <x:f>W1016-X1016</x:f>
        <x:v>46.099999999999994</x:v>
      </x:c>
      <x:c r="Z1016" s="94" t="n">
        <x:f>IFERROR(Y1016/W1016,0)</x:f>
        <x:v>0.6221322537112011</x:v>
      </x:c>
      <x:c r="AA1016" s="84" t="str">
        <x:f>PROPER(TRIM('Raw Sales'!M1016))</x:f>
        <x:v>Debit Card</x:v>
      </x:c>
      <x:c r="AB1016" s="84" t="str">
        <x:f>PROPER(TRIM('Raw Sales'!N1016))</x:f>
        <x:v>Sofia Bennett</x:v>
      </x:c>
      <x:c r="AC1016" s="85" t="n">
        <x:f>'Raw Sales'!O1016</x:f>
        <x:v>45636</x:v>
      </x:c>
      <x:c r="AD1016" s="84" t="n">
        <x:f>AC1016-B1016</x:f>
        <x:v>4</x:v>
      </x:c>
      <x:c r="AE1016" s="84" t="str">
        <x:f>IF(COUNTIF($A$5:A1016,A1016)&gt;1,"Duplicate","Keep")</x:f>
        <x:v>Keep</x:v>
      </x:c>
      <x:c r="AF1016" s="84" t="str">
        <x:f>IF(OR(R1016&lt;=0,AC1016&lt;B1016,H1016="Unknown",M1016="Unknown Product"),"Review","Valid")</x:f>
        <x:v>Valid</x:v>
      </x:c>
      <x:c r="AG1016" s="84" t="n">
        <x:f>IF(AND(AE1016="Keep",AF1016="Valid"),1,0)</x:f>
        <x:v>1</x:v>
      </x:c>
      <x:c r="AH1016" s="84" t="n">
        <x:f>IF(AND(AG1016=1,OR('Dashboard'!$B$4="All",I1016='Dashboard'!$B$4),OR('Dashboard'!$E$4="All",N1016='Dashboard'!$E$4),OR('Dashboard'!$H$4="All",K1016='Dashboard'!$H$4),OR('Dashboard'!$K$4="All",C1016='Dashboard'!$K$4)),1,0)</x:f>
        <x:v>1</x:v>
      </x:c>
      <x:c r="AI1016" s="84" t="n">
        <x:f>IF(AND(AG1016=1,OR('Dashboard'!$B$4="All",I1016='Dashboard'!$B$4),OR('Dashboard'!$E$4="All",N1016='Dashboard'!$E$4),OR('Dashboard'!$H$4="All",K1016='Dashboard'!$H$4)),1,0)</x:f>
        <x:v>1</x:v>
      </x:c>
    </x:row>
    <x:row r="1017">
      <x:c r="A1017" s="84" t="str">
        <x:f>'Raw Sales'!A1017</x:f>
        <x:v>ORD-2024-01824</x:v>
      </x:c>
      <x:c r="B1017" s="85" t="n">
        <x:f>'Raw Sales'!B1017</x:f>
        <x:v>45632</x:v>
      </x:c>
      <x:c r="C1017" s="84" t="n">
        <x:f>YEAR(B1017)</x:f>
        <x:v>2024</x:v>
      </x:c>
      <x:c r="D1017" s="91" t="n">
        <x:f>DATE(YEAR(B1017),MONTH(B1017),1)</x:f>
        <x:v>45627</x:v>
      </x:c>
      <x:c r="E1017" s="84" t="str">
        <x:f>TEXT(B1017,"mmm")</x:f>
        <x:v>Dec</x:v>
      </x:c>
      <x:c r="F1017" s="84" t="str">
        <x:f>'Raw Sales'!C1017</x:f>
        <x:v>CUST-0026</x:v>
      </x:c>
      <x:c r="G1017" s="84" t="str">
        <x:f>PROPER(TRIM('Raw Sales'!D1017))</x:f>
        <x:v>Nina Roberts</x:v>
      </x:c>
      <x:c r="H1017" s="84" t="str">
        <x:f>IF(TRIM('Raw Sales'!E1017)="","Unknown",PROPER(TRIM('Raw Sales'!E1017)))</x:f>
        <x:v>Small Business</x:v>
      </x:c>
      <x:c r="I1017" s="84" t="str">
        <x:f>PROPER(TRIM('Raw Sales'!F1017))</x:f>
        <x:v>West</x:v>
      </x:c>
      <x:c r="J1017" s="84" t="str">
        <x:f>PROPER(TRIM('Raw Sales'!G1017))</x:f>
        <x:v>Denver</x:v>
      </x:c>
      <x:c r="K1017" s="84" t="str">
        <x:f>PROPER(TRIM('Raw Sales'!H1017))</x:f>
        <x:v>Retail Store</x:v>
      </x:c>
      <x:c r="L1017" s="84" t="str">
        <x:f>'Raw Sales'!I1017</x:f>
        <x:v>HOME-003</x:v>
      </x:c>
      <x:c r="M1017" s="84" t="str">
        <x:f>IFERROR(VLOOKUP(L1017,'Reference Data'!$A$5:$F$40,2,FALSE),"Unknown Product")</x:f>
        <x:v>Countertop Blender</x:v>
      </x:c>
      <x:c r="N1017" s="84" t="str">
        <x:f>IFERROR(VLOOKUP(L1017,'Reference Data'!$A$5:$F$40,3,FALSE),"Unknown")</x:f>
        <x:v>Home &amp; Kitchen</x:v>
      </x:c>
      <x:c r="O1017" s="84" t="str">
        <x:f>IFERROR(VLOOKUP(L1017,'Reference Data'!$A$5:$F$40,4,FALSE),"Unknown")</x:f>
        <x:v>Small Appliances</x:v>
      </x:c>
      <x:c r="P1017" s="92" t="n">
        <x:f>IFERROR(VLOOKUP(L1017,'Reference Data'!$A$5:$F$40,5,FALSE),0)</x:f>
        <x:v>89</x:v>
      </x:c>
      <x:c r="Q1017" s="92" t="n">
        <x:f>IFERROR(VLOOKUP(L1017,'Reference Data'!$A$5:$F$40,6,FALSE),0)</x:f>
        <x:v>46</x:v>
      </x:c>
      <x:c r="R1017" s="84" t="n">
        <x:f>'Raw Sales'!J1017</x:f>
        <x:v>2</x:v>
      </x:c>
      <x:c r="S1017" s="87" t="n">
        <x:f>'Raw Sales'!K1017</x:f>
        <x:v>0.15</x:v>
      </x:c>
      <x:c r="T1017" s="93" t="n">
        <x:f>P1017*R1017</x:f>
        <x:v>178</x:v>
      </x:c>
      <x:c r="U1017" s="93" t="n">
        <x:f>T1017*S1017</x:f>
        <x:v>26.7</x:v>
      </x:c>
      <x:c r="V1017" s="93" t="str">
        <x:f>PROPER(TRIM('Raw Sales'!L1017))</x:f>
        <x:v>Completed</x:v>
      </x:c>
      <x:c r="W1017" s="93" t="n">
        <x:f>IF(V1017="Returned",0,T1017-U1017)</x:f>
        <x:v>151.3</x:v>
      </x:c>
      <x:c r="X1017" s="93" t="n">
        <x:f>IF(V1017="Returned",Q1017*R1017*10%,Q1017*R1017)</x:f>
        <x:v>92</x:v>
      </x:c>
      <x:c r="Y1017" s="93" t="n">
        <x:f>W1017-X1017</x:f>
        <x:v>59.30000000000001</x:v>
      </x:c>
      <x:c r="Z1017" s="94" t="n">
        <x:f>IFERROR(Y1017/W1017,0)</x:f>
        <x:v>0.39193654990085924</x:v>
      </x:c>
      <x:c r="AA1017" s="84" t="str">
        <x:f>PROPER(TRIM('Raw Sales'!M1017))</x:f>
        <x:v>Credit Card</x:v>
      </x:c>
      <x:c r="AB1017" s="84" t="str">
        <x:f>PROPER(TRIM('Raw Sales'!N1017))</x:f>
        <x:v>Mia Chen</x:v>
      </x:c>
      <x:c r="AC1017" s="85" t="n">
        <x:f>'Raw Sales'!O1017</x:f>
        <x:v>45632</x:v>
      </x:c>
      <x:c r="AD1017" s="84" t="n">
        <x:f>AC1017-B1017</x:f>
        <x:v>0</x:v>
      </x:c>
      <x:c r="AE1017" s="84" t="str">
        <x:f>IF(COUNTIF($A$5:A1017,A1017)&gt;1,"Duplicate","Keep")</x:f>
        <x:v>Keep</x:v>
      </x:c>
      <x:c r="AF1017" s="84" t="str">
        <x:f>IF(OR(R1017&lt;=0,AC1017&lt;B1017,H1017="Unknown",M1017="Unknown Product"),"Review","Valid")</x:f>
        <x:v>Valid</x:v>
      </x:c>
      <x:c r="AG1017" s="84" t="n">
        <x:f>IF(AND(AE1017="Keep",AF1017="Valid"),1,0)</x:f>
        <x:v>1</x:v>
      </x:c>
      <x:c r="AH1017" s="84" t="n">
        <x:f>IF(AND(AG1017=1,OR('Dashboard'!$B$4="All",I1017='Dashboard'!$B$4),OR('Dashboard'!$E$4="All",N1017='Dashboard'!$E$4),OR('Dashboard'!$H$4="All",K1017='Dashboard'!$H$4),OR('Dashboard'!$K$4="All",C1017='Dashboard'!$K$4)),1,0)</x:f>
        <x:v>1</x:v>
      </x:c>
      <x:c r="AI1017" s="84" t="n">
        <x:f>IF(AND(AG1017=1,OR('Dashboard'!$B$4="All",I1017='Dashboard'!$B$4),OR('Dashboard'!$E$4="All",N1017='Dashboard'!$E$4),OR('Dashboard'!$H$4="All",K1017='Dashboard'!$H$4)),1,0)</x:f>
        <x:v>1</x:v>
      </x:c>
    </x:row>
    <x:row r="1018">
      <x:c r="A1018" s="84" t="str">
        <x:f>'Raw Sales'!A1018</x:f>
        <x:v>ORD-2024-02019</x:v>
      </x:c>
      <x:c r="B1018" s="85" t="n">
        <x:f>'Raw Sales'!B1018</x:f>
        <x:v>45632</x:v>
      </x:c>
      <x:c r="C1018" s="84" t="n">
        <x:f>YEAR(B1018)</x:f>
        <x:v>2024</x:v>
      </x:c>
      <x:c r="D1018" s="91" t="n">
        <x:f>DATE(YEAR(B1018),MONTH(B1018),1)</x:f>
        <x:v>45627</x:v>
      </x:c>
      <x:c r="E1018" s="84" t="str">
        <x:f>TEXT(B1018,"mmm")</x:f>
        <x:v>Dec</x:v>
      </x:c>
      <x:c r="F1018" s="84" t="str">
        <x:f>'Raw Sales'!C1018</x:f>
        <x:v>CUST-0516</x:v>
      </x:c>
      <x:c r="G1018" s="84" t="str">
        <x:f>PROPER(TRIM('Raw Sales'!D1018))</x:f>
        <x:v>Jasmine Ortiz</x:v>
      </x:c>
      <x:c r="H1018" s="84" t="str">
        <x:f>IF(TRIM('Raw Sales'!E1018)="","Unknown",PROPER(TRIM('Raw Sales'!E1018)))</x:f>
        <x:v>Small Business</x:v>
      </x:c>
      <x:c r="I1018" s="84" t="str">
        <x:f>PROPER(TRIM('Raw Sales'!F1018))</x:f>
        <x:v>Southeast</x:v>
      </x:c>
      <x:c r="J1018" s="84" t="str">
        <x:f>PROPER(TRIM('Raw Sales'!G1018))</x:f>
        <x:v>Charlotte</x:v>
      </x:c>
      <x:c r="K1018" s="84" t="str">
        <x:f>PROPER(TRIM('Raw Sales'!H1018))</x:f>
        <x:v>Marketplace</x:v>
      </x:c>
      <x:c r="L1018" s="84" t="str">
        <x:f>'Raw Sales'!I1018</x:f>
        <x:v>FITN-004</x:v>
      </x:c>
      <x:c r="M1018" s="84" t="str">
        <x:f>IFERROR(VLOOKUP(L1018,'Reference Data'!$A$5:$F$40,2,FALSE),"Unknown Product")</x:f>
        <x:v>Fitness Tracker</x:v>
      </x:c>
      <x:c r="N1018" s="84" t="str">
        <x:f>IFERROR(VLOOKUP(L1018,'Reference Data'!$A$5:$F$40,3,FALSE),"Unknown")</x:f>
        <x:v>Fitness</x:v>
      </x:c>
      <x:c r="O1018" s="84" t="str">
        <x:f>IFERROR(VLOOKUP(L1018,'Reference Data'!$A$5:$F$40,4,FALSE),"Unknown")</x:f>
        <x:v>Wearables</x:v>
      </x:c>
      <x:c r="P1018" s="92" t="n">
        <x:f>IFERROR(VLOOKUP(L1018,'Reference Data'!$A$5:$F$40,5,FALSE),0)</x:f>
        <x:v>89</x:v>
      </x:c>
      <x:c r="Q1018" s="92" t="n">
        <x:f>IFERROR(VLOOKUP(L1018,'Reference Data'!$A$5:$F$40,6,FALSE),0)</x:f>
        <x:v>44</x:v>
      </x:c>
      <x:c r="R1018" s="84" t="n">
        <x:f>'Raw Sales'!J1018</x:f>
        <x:v>1</x:v>
      </x:c>
      <x:c r="S1018" s="87" t="n">
        <x:f>'Raw Sales'!K1018</x:f>
        <x:v>0.15</x:v>
      </x:c>
      <x:c r="T1018" s="93" t="n">
        <x:f>P1018*R1018</x:f>
        <x:v>89</x:v>
      </x:c>
      <x:c r="U1018" s="93" t="n">
        <x:f>T1018*S1018</x:f>
        <x:v>13.35</x:v>
      </x:c>
      <x:c r="V1018" s="93" t="str">
        <x:f>PROPER(TRIM('Raw Sales'!L1018))</x:f>
        <x:v>Completed</x:v>
      </x:c>
      <x:c r="W1018" s="93" t="n">
        <x:f>IF(V1018="Returned",0,T1018-U1018)</x:f>
        <x:v>75.65</x:v>
      </x:c>
      <x:c r="X1018" s="93" t="n">
        <x:f>IF(V1018="Returned",Q1018*R1018*10%,Q1018*R1018)</x:f>
        <x:v>44</x:v>
      </x:c>
      <x:c r="Y1018" s="93" t="n">
        <x:f>W1018-X1018</x:f>
        <x:v>31.650000000000006</x:v>
      </x:c>
      <x:c r="Z1018" s="94" t="n">
        <x:f>IFERROR(Y1018/W1018,0)</x:f>
        <x:v>0.4183740912095176</x:v>
      </x:c>
      <x:c r="AA1018" s="84" t="str">
        <x:f>PROPER(TRIM('Raw Sales'!M1018))</x:f>
        <x:v>Credit Card</x:v>
      </x:c>
      <x:c r="AB1018" s="84" t="str">
        <x:f>PROPER(TRIM('Raw Sales'!N1018))</x:f>
        <x:v>Ava Mitchell</x:v>
      </x:c>
      <x:c r="AC1018" s="85" t="n">
        <x:f>'Raw Sales'!O1018</x:f>
        <x:v>45638</x:v>
      </x:c>
      <x:c r="AD1018" s="84" t="n">
        <x:f>AC1018-B1018</x:f>
        <x:v>6</x:v>
      </x:c>
      <x:c r="AE1018" s="84" t="str">
        <x:f>IF(COUNTIF($A$5:A1018,A1018)&gt;1,"Duplicate","Keep")</x:f>
        <x:v>Keep</x:v>
      </x:c>
      <x:c r="AF1018" s="84" t="str">
        <x:f>IF(OR(R1018&lt;=0,AC1018&lt;B1018,H1018="Unknown",M1018="Unknown Product"),"Review","Valid")</x:f>
        <x:v>Valid</x:v>
      </x:c>
      <x:c r="AG1018" s="84" t="n">
        <x:f>IF(AND(AE1018="Keep",AF1018="Valid"),1,0)</x:f>
        <x:v>1</x:v>
      </x:c>
      <x:c r="AH1018" s="84" t="n">
        <x:f>IF(AND(AG1018=1,OR('Dashboard'!$B$4="All",I1018='Dashboard'!$B$4),OR('Dashboard'!$E$4="All",N1018='Dashboard'!$E$4),OR('Dashboard'!$H$4="All",K1018='Dashboard'!$H$4),OR('Dashboard'!$K$4="All",C1018='Dashboard'!$K$4)),1,0)</x:f>
        <x:v>1</x:v>
      </x:c>
      <x:c r="AI1018" s="84" t="n">
        <x:f>IF(AND(AG1018=1,OR('Dashboard'!$B$4="All",I1018='Dashboard'!$B$4),OR('Dashboard'!$E$4="All",N1018='Dashboard'!$E$4),OR('Dashboard'!$H$4="All",K1018='Dashboard'!$H$4)),1,0)</x:f>
        <x:v>1</x:v>
      </x:c>
    </x:row>
    <x:row r="1019">
      <x:c r="A1019" s="84" t="str">
        <x:f>'Raw Sales'!A1019</x:f>
        <x:v>ORD-2024-02243</x:v>
      </x:c>
      <x:c r="B1019" s="85" t="n">
        <x:f>'Raw Sales'!B1019</x:f>
        <x:v>45632</x:v>
      </x:c>
      <x:c r="C1019" s="84" t="n">
        <x:f>YEAR(B1019)</x:f>
        <x:v>2024</x:v>
      </x:c>
      <x:c r="D1019" s="91" t="n">
        <x:f>DATE(YEAR(B1019),MONTH(B1019),1)</x:f>
        <x:v>45627</x:v>
      </x:c>
      <x:c r="E1019" s="84" t="str">
        <x:f>TEXT(B1019,"mmm")</x:f>
        <x:v>Dec</x:v>
      </x:c>
      <x:c r="F1019" s="84" t="str">
        <x:f>'Raw Sales'!C1019</x:f>
        <x:v>CUST-0613</x:v>
      </x:c>
      <x:c r="G1019" s="84" t="str">
        <x:f>PROPER(TRIM('Raw Sales'!D1019))</x:f>
        <x:v>Owen Hall</x:v>
      </x:c>
      <x:c r="H1019" s="84" t="str">
        <x:f>IF(TRIM('Raw Sales'!E1019)="","Unknown",PROPER(TRIM('Raw Sales'!E1019)))</x:f>
        <x:v>Consumer</x:v>
      </x:c>
      <x:c r="I1019" s="84" t="str">
        <x:f>PROPER(TRIM('Raw Sales'!F1019))</x:f>
        <x:v>Southeast</x:v>
      </x:c>
      <x:c r="J1019" s="84" t="str">
        <x:f>PROPER(TRIM('Raw Sales'!G1019))</x:f>
        <x:v>Nashville</x:v>
      </x:c>
      <x:c r="K1019" s="84" t="str">
        <x:f>PROPER(TRIM('Raw Sales'!H1019))</x:f>
        <x:v>Retail Store</x:v>
      </x:c>
      <x:c r="L1019" s="84" t="str">
        <x:f>'Raw Sales'!I1019</x:f>
        <x:v>HOME-003</x:v>
      </x:c>
      <x:c r="M1019" s="84" t="str">
        <x:f>IFERROR(VLOOKUP(L1019,'Reference Data'!$A$5:$F$40,2,FALSE),"Unknown Product")</x:f>
        <x:v>Countertop Blender</x:v>
      </x:c>
      <x:c r="N1019" s="84" t="str">
        <x:f>IFERROR(VLOOKUP(L1019,'Reference Data'!$A$5:$F$40,3,FALSE),"Unknown")</x:f>
        <x:v>Home &amp; Kitchen</x:v>
      </x:c>
      <x:c r="O1019" s="84" t="str">
        <x:f>IFERROR(VLOOKUP(L1019,'Reference Data'!$A$5:$F$40,4,FALSE),"Unknown")</x:f>
        <x:v>Small Appliances</x:v>
      </x:c>
      <x:c r="P1019" s="92" t="n">
        <x:f>IFERROR(VLOOKUP(L1019,'Reference Data'!$A$5:$F$40,5,FALSE),0)</x:f>
        <x:v>89</x:v>
      </x:c>
      <x:c r="Q1019" s="92" t="n">
        <x:f>IFERROR(VLOOKUP(L1019,'Reference Data'!$A$5:$F$40,6,FALSE),0)</x:f>
        <x:v>46</x:v>
      </x:c>
      <x:c r="R1019" s="84" t="n">
        <x:f>'Raw Sales'!J1019</x:f>
        <x:v>2</x:v>
      </x:c>
      <x:c r="S1019" s="87" t="n">
        <x:f>'Raw Sales'!K1019</x:f>
        <x:v>0</x:v>
      </x:c>
      <x:c r="T1019" s="93" t="n">
        <x:f>P1019*R1019</x:f>
        <x:v>178</x:v>
      </x:c>
      <x:c r="U1019" s="93" t="n">
        <x:f>T1019*S1019</x:f>
        <x:v>0</x:v>
      </x:c>
      <x:c r="V1019" s="93" t="str">
        <x:f>PROPER(TRIM('Raw Sales'!L1019))</x:f>
        <x:v>Completed</x:v>
      </x:c>
      <x:c r="W1019" s="93" t="n">
        <x:f>IF(V1019="Returned",0,T1019-U1019)</x:f>
        <x:v>178</x:v>
      </x:c>
      <x:c r="X1019" s="93" t="n">
        <x:f>IF(V1019="Returned",Q1019*R1019*10%,Q1019*R1019)</x:f>
        <x:v>92</x:v>
      </x:c>
      <x:c r="Y1019" s="93" t="n">
        <x:f>W1019-X1019</x:f>
        <x:v>86</x:v>
      </x:c>
      <x:c r="Z1019" s="94" t="n">
        <x:f>IFERROR(Y1019/W1019,0)</x:f>
        <x:v>0.48314606741573035</x:v>
      </x:c>
      <x:c r="AA1019" s="84" t="str">
        <x:f>PROPER(TRIM('Raw Sales'!M1019))</x:f>
        <x:v>Mobile Wallet</x:v>
      </x:c>
      <x:c r="AB1019" s="84" t="str">
        <x:f>PROPER(TRIM('Raw Sales'!N1019))</x:f>
        <x:v>Ava Mitchell</x:v>
      </x:c>
      <x:c r="AC1019" s="85" t="n">
        <x:f>'Raw Sales'!O1019</x:f>
        <x:v>45633</x:v>
      </x:c>
      <x:c r="AD1019" s="84" t="n">
        <x:f>AC1019-B1019</x:f>
        <x:v>1</x:v>
      </x:c>
      <x:c r="AE1019" s="84" t="str">
        <x:f>IF(COUNTIF($A$5:A1019,A1019)&gt;1,"Duplicate","Keep")</x:f>
        <x:v>Keep</x:v>
      </x:c>
      <x:c r="AF1019" s="84" t="str">
        <x:f>IF(OR(R1019&lt;=0,AC1019&lt;B1019,H1019="Unknown",M1019="Unknown Product"),"Review","Valid")</x:f>
        <x:v>Valid</x:v>
      </x:c>
      <x:c r="AG1019" s="84" t="n">
        <x:f>IF(AND(AE1019="Keep",AF1019="Valid"),1,0)</x:f>
        <x:v>1</x:v>
      </x:c>
      <x:c r="AH1019" s="84" t="n">
        <x:f>IF(AND(AG1019=1,OR('Dashboard'!$B$4="All",I1019='Dashboard'!$B$4),OR('Dashboard'!$E$4="All",N1019='Dashboard'!$E$4),OR('Dashboard'!$H$4="All",K1019='Dashboard'!$H$4),OR('Dashboard'!$K$4="All",C1019='Dashboard'!$K$4)),1,0)</x:f>
        <x:v>1</x:v>
      </x:c>
      <x:c r="AI1019" s="84" t="n">
        <x:f>IF(AND(AG1019=1,OR('Dashboard'!$B$4="All",I1019='Dashboard'!$B$4),OR('Dashboard'!$E$4="All",N1019='Dashboard'!$E$4),OR('Dashboard'!$H$4="All",K1019='Dashboard'!$H$4)),1,0)</x:f>
        <x:v>1</x:v>
      </x:c>
    </x:row>
    <x:row r="1020">
      <x:c r="A1020" s="84" t="str">
        <x:f>'Raw Sales'!A1020</x:f>
        <x:v>ORD-2024-00187</x:v>
      </x:c>
      <x:c r="B1020" s="85" t="n">
        <x:f>'Raw Sales'!B1020</x:f>
        <x:v>45633</x:v>
      </x:c>
      <x:c r="C1020" s="84" t="n">
        <x:f>YEAR(B1020)</x:f>
        <x:v>2024</x:v>
      </x:c>
      <x:c r="D1020" s="91" t="n">
        <x:f>DATE(YEAR(B1020),MONTH(B1020),1)</x:f>
        <x:v>45627</x:v>
      </x:c>
      <x:c r="E1020" s="84" t="str">
        <x:f>TEXT(B1020,"mmm")</x:f>
        <x:v>Dec</x:v>
      </x:c>
      <x:c r="F1020" s="84" t="str">
        <x:f>'Raw Sales'!C1020</x:f>
        <x:v>CUST-0262</x:v>
      </x:c>
      <x:c r="G1020" s="84" t="str">
        <x:f>PROPER(TRIM('Raw Sales'!D1020))</x:f>
        <x:v>Owen Carter</x:v>
      </x:c>
      <x:c r="H1020" s="84" t="str">
        <x:f>IF(TRIM('Raw Sales'!E1020)="","Unknown",PROPER(TRIM('Raw Sales'!E1020)))</x:f>
        <x:v>Small Business</x:v>
      </x:c>
      <x:c r="I1020" s="84" t="str">
        <x:f>PROPER(TRIM('Raw Sales'!F1020))</x:f>
        <x:v>Northeast</x:v>
      </x:c>
      <x:c r="J1020" s="84" t="str">
        <x:f>PROPER(TRIM('Raw Sales'!G1020))</x:f>
        <x:v>New York</x:v>
      </x:c>
      <x:c r="K1020" s="84" t="str">
        <x:f>PROPER(TRIM('Raw Sales'!H1020))</x:f>
        <x:v>Retail Store</x:v>
      </x:c>
      <x:c r="L1020" s="84" t="str">
        <x:f>'Raw Sales'!I1020</x:f>
        <x:v>HOME-004</x:v>
      </x:c>
      <x:c r="M1020" s="84" t="str">
        <x:f>IFERROR(VLOOKUP(L1020,'Reference Data'!$A$5:$F$40,2,FALSE),"Unknown Product")</x:f>
        <x:v>Coffee Maker</x:v>
      </x:c>
      <x:c r="N1020" s="84" t="str">
        <x:f>IFERROR(VLOOKUP(L1020,'Reference Data'!$A$5:$F$40,3,FALSE),"Unknown")</x:f>
        <x:v>Home &amp; Kitchen</x:v>
      </x:c>
      <x:c r="O1020" s="84" t="str">
        <x:f>IFERROR(VLOOKUP(L1020,'Reference Data'!$A$5:$F$40,4,FALSE),"Unknown")</x:f>
        <x:v>Small Appliances</x:v>
      </x:c>
      <x:c r="P1020" s="92" t="n">
        <x:f>IFERROR(VLOOKUP(L1020,'Reference Data'!$A$5:$F$40,5,FALSE),0)</x:f>
        <x:v>99</x:v>
      </x:c>
      <x:c r="Q1020" s="92" t="n">
        <x:f>IFERROR(VLOOKUP(L1020,'Reference Data'!$A$5:$F$40,6,FALSE),0)</x:f>
        <x:v>51</x:v>
      </x:c>
      <x:c r="R1020" s="84" t="n">
        <x:f>'Raw Sales'!J1020</x:f>
        <x:v>1</x:v>
      </x:c>
      <x:c r="S1020" s="87" t="n">
        <x:f>'Raw Sales'!K1020</x:f>
        <x:v>0.05</x:v>
      </x:c>
      <x:c r="T1020" s="93" t="n">
        <x:f>P1020*R1020</x:f>
        <x:v>99</x:v>
      </x:c>
      <x:c r="U1020" s="93" t="n">
        <x:f>T1020*S1020</x:f>
        <x:v>4.95</x:v>
      </x:c>
      <x:c r="V1020" s="93" t="str">
        <x:f>PROPER(TRIM('Raw Sales'!L1020))</x:f>
        <x:v>Completed</x:v>
      </x:c>
      <x:c r="W1020" s="93" t="n">
        <x:f>IF(V1020="Returned",0,T1020-U1020)</x:f>
        <x:v>94.05</x:v>
      </x:c>
      <x:c r="X1020" s="93" t="n">
        <x:f>IF(V1020="Returned",Q1020*R1020*10%,Q1020*R1020)</x:f>
        <x:v>51</x:v>
      </x:c>
      <x:c r="Y1020" s="93" t="n">
        <x:f>W1020-X1020</x:f>
        <x:v>43.05</x:v>
      </x:c>
      <x:c r="Z1020" s="94" t="n">
        <x:f>IFERROR(Y1020/W1020,0)</x:f>
        <x:v>0.4577352472089314</x:v>
      </x:c>
      <x:c r="AA1020" s="84" t="str">
        <x:f>PROPER(TRIM('Raw Sales'!M1020))</x:f>
        <x:v>Debit Card</x:v>
      </x:c>
      <x:c r="AB1020" s="84" t="str">
        <x:f>PROPER(TRIM('Raw Sales'!N1020))</x:f>
        <x:v>Sofia Bennett</x:v>
      </x:c>
      <x:c r="AC1020" s="85" t="n">
        <x:f>'Raw Sales'!O1020</x:f>
        <x:v>45633</x:v>
      </x:c>
      <x:c r="AD1020" s="84" t="n">
        <x:f>AC1020-B1020</x:f>
        <x:v>0</x:v>
      </x:c>
      <x:c r="AE1020" s="84" t="str">
        <x:f>IF(COUNTIF($A$5:A1020,A1020)&gt;1,"Duplicate","Keep")</x:f>
        <x:v>Keep</x:v>
      </x:c>
      <x:c r="AF1020" s="84" t="str">
        <x:f>IF(OR(R1020&lt;=0,AC1020&lt;B1020,H1020="Unknown",M1020="Unknown Product"),"Review","Valid")</x:f>
        <x:v>Valid</x:v>
      </x:c>
      <x:c r="AG1020" s="84" t="n">
        <x:f>IF(AND(AE1020="Keep",AF1020="Valid"),1,0)</x:f>
        <x:v>1</x:v>
      </x:c>
      <x:c r="AH1020" s="84" t="n">
        <x:f>IF(AND(AG1020=1,OR('Dashboard'!$B$4="All",I1020='Dashboard'!$B$4),OR('Dashboard'!$E$4="All",N1020='Dashboard'!$E$4),OR('Dashboard'!$H$4="All",K1020='Dashboard'!$H$4),OR('Dashboard'!$K$4="All",C1020='Dashboard'!$K$4)),1,0)</x:f>
        <x:v>1</x:v>
      </x:c>
      <x:c r="AI1020" s="84" t="n">
        <x:f>IF(AND(AG1020=1,OR('Dashboard'!$B$4="All",I1020='Dashboard'!$B$4),OR('Dashboard'!$E$4="All",N1020='Dashboard'!$E$4),OR('Dashboard'!$H$4="All",K1020='Dashboard'!$H$4)),1,0)</x:f>
        <x:v>1</x:v>
      </x:c>
    </x:row>
    <x:row r="1021">
      <x:c r="A1021" s="84" t="str">
        <x:f>'Raw Sales'!A1021</x:f>
        <x:v>ORD-2024-00449</x:v>
      </x:c>
      <x:c r="B1021" s="85" t="n">
        <x:f>'Raw Sales'!B1021</x:f>
        <x:v>45633</x:v>
      </x:c>
      <x:c r="C1021" s="84" t="n">
        <x:f>YEAR(B1021)</x:f>
        <x:v>2024</x:v>
      </x:c>
      <x:c r="D1021" s="91" t="n">
        <x:f>DATE(YEAR(B1021),MONTH(B1021),1)</x:f>
        <x:v>45627</x:v>
      </x:c>
      <x:c r="E1021" s="84" t="str">
        <x:f>TEXT(B1021,"mmm")</x:f>
        <x:v>Dec</x:v>
      </x:c>
      <x:c r="F1021" s="84" t="str">
        <x:f>'Raw Sales'!C1021</x:f>
        <x:v>CUST-0321</x:v>
      </x:c>
      <x:c r="G1021" s="84" t="str">
        <x:f>PROPER(TRIM('Raw Sales'!D1021))</x:f>
        <x:v>Grace Smith</x:v>
      </x:c>
      <x:c r="H1021" s="84" t="str">
        <x:f>IF(TRIM('Raw Sales'!E1021)="","Unknown",PROPER(TRIM('Raw Sales'!E1021)))</x:f>
        <x:v>Corporate</x:v>
      </x:c>
      <x:c r="I1021" s="84" t="str">
        <x:f>PROPER(TRIM('Raw Sales'!F1021))</x:f>
        <x:v>Southeast</x:v>
      </x:c>
      <x:c r="J1021" s="84" t="str">
        <x:f>PROPER(TRIM('Raw Sales'!G1021))</x:f>
        <x:v>Miami</x:v>
      </x:c>
      <x:c r="K1021" s="84" t="str">
        <x:f>PROPER(TRIM('Raw Sales'!H1021))</x:f>
        <x:v>Online</x:v>
      </x:c>
      <x:c r="L1021" s="84" t="str">
        <x:f>'Raw Sales'!I1021</x:f>
        <x:v>FITN-001</x:v>
      </x:c>
      <x:c r="M1021" s="84" t="str">
        <x:f>IFERROR(VLOOKUP(L1021,'Reference Data'!$A$5:$F$40,2,FALSE),"Unknown Product")</x:f>
        <x:v>Yoga Mat</x:v>
      </x:c>
      <x:c r="N1021" s="84" t="str">
        <x:f>IFERROR(VLOOKUP(L1021,'Reference Data'!$A$5:$F$40,3,FALSE),"Unknown")</x:f>
        <x:v>Fitness</x:v>
      </x:c>
      <x:c r="O1021" s="84" t="str">
        <x:f>IFERROR(VLOOKUP(L1021,'Reference Data'!$A$5:$F$40,4,FALSE),"Unknown")</x:f>
        <x:v>Yoga</x:v>
      </x:c>
      <x:c r="P1021" s="92" t="n">
        <x:f>IFERROR(VLOOKUP(L1021,'Reference Data'!$A$5:$F$40,5,FALSE),0)</x:f>
        <x:v>35</x:v>
      </x:c>
      <x:c r="Q1021" s="92" t="n">
        <x:f>IFERROR(VLOOKUP(L1021,'Reference Data'!$A$5:$F$40,6,FALSE),0)</x:f>
        <x:v>13</x:v>
      </x:c>
      <x:c r="R1021" s="84" t="n">
        <x:f>'Raw Sales'!J1021</x:f>
        <x:v>3</x:v>
      </x:c>
      <x:c r="S1021" s="87" t="n">
        <x:f>'Raw Sales'!K1021</x:f>
        <x:v>0</x:v>
      </x:c>
      <x:c r="T1021" s="93" t="n">
        <x:f>P1021*R1021</x:f>
        <x:v>105</x:v>
      </x:c>
      <x:c r="U1021" s="93" t="n">
        <x:f>T1021*S1021</x:f>
        <x:v>0</x:v>
      </x:c>
      <x:c r="V1021" s="93" t="str">
        <x:f>PROPER(TRIM('Raw Sales'!L1021))</x:f>
        <x:v>Completed</x:v>
      </x:c>
      <x:c r="W1021" s="93" t="n">
        <x:f>IF(V1021="Returned",0,T1021-U1021)</x:f>
        <x:v>105</x:v>
      </x:c>
      <x:c r="X1021" s="93" t="n">
        <x:f>IF(V1021="Returned",Q1021*R1021*10%,Q1021*R1021)</x:f>
        <x:v>39</x:v>
      </x:c>
      <x:c r="Y1021" s="93" t="n">
        <x:f>W1021-X1021</x:f>
        <x:v>66</x:v>
      </x:c>
      <x:c r="Z1021" s="94" t="n">
        <x:f>IFERROR(Y1021/W1021,0)</x:f>
        <x:v>0.6285714285714286</x:v>
      </x:c>
      <x:c r="AA1021" s="84" t="str">
        <x:f>PROPER(TRIM('Raw Sales'!M1021))</x:f>
        <x:v>Credit Card</x:v>
      </x:c>
      <x:c r="AB1021" s="84" t="str">
        <x:f>PROPER(TRIM('Raw Sales'!N1021))</x:f>
        <x:v>Ava Mitchell</x:v>
      </x:c>
      <x:c r="AC1021" s="85" t="n">
        <x:f>'Raw Sales'!O1021</x:f>
        <x:v>45639</x:v>
      </x:c>
      <x:c r="AD1021" s="84" t="n">
        <x:f>AC1021-B1021</x:f>
        <x:v>6</x:v>
      </x:c>
      <x:c r="AE1021" s="84" t="str">
        <x:f>IF(COUNTIF($A$5:A1021,A1021)&gt;1,"Duplicate","Keep")</x:f>
        <x:v>Keep</x:v>
      </x:c>
      <x:c r="AF1021" s="84" t="str">
        <x:f>IF(OR(R1021&lt;=0,AC1021&lt;B1021,H1021="Unknown",M1021="Unknown Product"),"Review","Valid")</x:f>
        <x:v>Valid</x:v>
      </x:c>
      <x:c r="AG1021" s="84" t="n">
        <x:f>IF(AND(AE1021="Keep",AF1021="Valid"),1,0)</x:f>
        <x:v>1</x:v>
      </x:c>
      <x:c r="AH1021" s="84" t="n">
        <x:f>IF(AND(AG1021=1,OR('Dashboard'!$B$4="All",I1021='Dashboard'!$B$4),OR('Dashboard'!$E$4="All",N1021='Dashboard'!$E$4),OR('Dashboard'!$H$4="All",K1021='Dashboard'!$H$4),OR('Dashboard'!$K$4="All",C1021='Dashboard'!$K$4)),1,0)</x:f>
        <x:v>1</x:v>
      </x:c>
      <x:c r="AI1021" s="84" t="n">
        <x:f>IF(AND(AG1021=1,OR('Dashboard'!$B$4="All",I1021='Dashboard'!$B$4),OR('Dashboard'!$E$4="All",N1021='Dashboard'!$E$4),OR('Dashboard'!$H$4="All",K1021='Dashboard'!$H$4)),1,0)</x:f>
        <x:v>1</x:v>
      </x:c>
    </x:row>
    <x:row r="1022">
      <x:c r="A1022" s="84" t="str">
        <x:f>'Raw Sales'!A1022</x:f>
        <x:v>ORD-2024-01417</x:v>
      </x:c>
      <x:c r="B1022" s="85" t="n">
        <x:f>'Raw Sales'!B1022</x:f>
        <x:v>45633</x:v>
      </x:c>
      <x:c r="C1022" s="84" t="n">
        <x:f>YEAR(B1022)</x:f>
        <x:v>2024</x:v>
      </x:c>
      <x:c r="D1022" s="91" t="n">
        <x:f>DATE(YEAR(B1022),MONTH(B1022),1)</x:f>
        <x:v>45627</x:v>
      </x:c>
      <x:c r="E1022" s="84" t="str">
        <x:f>TEXT(B1022,"mmm")</x:f>
        <x:v>Dec</x:v>
      </x:c>
      <x:c r="F1022" s="84" t="str">
        <x:f>'Raw Sales'!C1022</x:f>
        <x:v>CUST-0194</x:v>
      </x:c>
      <x:c r="G1022" s="84" t="str">
        <x:f>PROPER(TRIM('Raw Sales'!D1022))</x:f>
        <x:v>Samuel Roberts</x:v>
      </x:c>
      <x:c r="H1022" s="84" t="str">
        <x:f>IF(TRIM('Raw Sales'!E1022)="","Unknown",PROPER(TRIM('Raw Sales'!E1022)))</x:f>
        <x:v>Small Business</x:v>
      </x:c>
      <x:c r="I1022" s="84" t="str">
        <x:f>PROPER(TRIM('Raw Sales'!F1022))</x:f>
        <x:v>Southeast</x:v>
      </x:c>
      <x:c r="J1022" s="84" t="str">
        <x:f>PROPER(TRIM('Raw Sales'!G1022))</x:f>
        <x:v>Atlanta</x:v>
      </x:c>
      <x:c r="K1022" s="84" t="str">
        <x:f>PROPER(TRIM('Raw Sales'!H1022))</x:f>
        <x:v>Online</x:v>
      </x:c>
      <x:c r="L1022" s="84" t="str">
        <x:f>'Raw Sales'!I1022</x:f>
        <x:v>ELEC-006</x:v>
      </x:c>
      <x:c r="M1022" s="84" t="str">
        <x:f>IFERROR(VLOOKUP(L1022,'Reference Data'!$A$5:$F$40,2,FALSE),"Unknown Product")</x:f>
        <x:v>Portable SSD</x:v>
      </x:c>
      <x:c r="N1022" s="84" t="str">
        <x:f>IFERROR(VLOOKUP(L1022,'Reference Data'!$A$5:$F$40,3,FALSE),"Unknown")</x:f>
        <x:v>Electronics</x:v>
      </x:c>
      <x:c r="O1022" s="84" t="str">
        <x:f>IFERROR(VLOOKUP(L1022,'Reference Data'!$A$5:$F$40,4,FALSE),"Unknown")</x:f>
        <x:v>Storage</x:v>
      </x:c>
      <x:c r="P1022" s="92" t="n">
        <x:f>IFERROR(VLOOKUP(L1022,'Reference Data'!$A$5:$F$40,5,FALSE),0)</x:f>
        <x:v>129</x:v>
      </x:c>
      <x:c r="Q1022" s="92" t="n">
        <x:f>IFERROR(VLOOKUP(L1022,'Reference Data'!$A$5:$F$40,6,FALSE),0)</x:f>
        <x:v>75</x:v>
      </x:c>
      <x:c r="R1022" s="84" t="n">
        <x:f>'Raw Sales'!J1022</x:f>
        <x:v>1</x:v>
      </x:c>
      <x:c r="S1022" s="87" t="n">
        <x:f>'Raw Sales'!K1022</x:f>
        <x:v>0.05</x:v>
      </x:c>
      <x:c r="T1022" s="93" t="n">
        <x:f>P1022*R1022</x:f>
        <x:v>129</x:v>
      </x:c>
      <x:c r="U1022" s="93" t="n">
        <x:f>T1022*S1022</x:f>
        <x:v>6.45</x:v>
      </x:c>
      <x:c r="V1022" s="93" t="str">
        <x:f>PROPER(TRIM('Raw Sales'!L1022))</x:f>
        <x:v>Completed</x:v>
      </x:c>
      <x:c r="W1022" s="93" t="n">
        <x:f>IF(V1022="Returned",0,T1022-U1022)</x:f>
        <x:v>122.55</x:v>
      </x:c>
      <x:c r="X1022" s="93" t="n">
        <x:f>IF(V1022="Returned",Q1022*R1022*10%,Q1022*R1022)</x:f>
        <x:v>75</x:v>
      </x:c>
      <x:c r="Y1022" s="93" t="n">
        <x:f>W1022-X1022</x:f>
        <x:v>47.55</x:v>
      </x:c>
      <x:c r="Z1022" s="94" t="n">
        <x:f>IFERROR(Y1022/W1022,0)</x:f>
        <x:v>0.3880048959608323</x:v>
      </x:c>
      <x:c r="AA1022" s="84" t="str">
        <x:f>PROPER(TRIM('Raw Sales'!M1022))</x:f>
        <x:v>Debit Card</x:v>
      </x:c>
      <x:c r="AB1022" s="84" t="str">
        <x:f>PROPER(TRIM('Raw Sales'!N1022))</x:f>
        <x:v>Ava Mitchell</x:v>
      </x:c>
      <x:c r="AC1022" s="85" t="n">
        <x:f>'Raw Sales'!O1022</x:f>
        <x:v>45636</x:v>
      </x:c>
      <x:c r="AD1022" s="84" t="n">
        <x:f>AC1022-B1022</x:f>
        <x:v>3</x:v>
      </x:c>
      <x:c r="AE1022" s="84" t="str">
        <x:f>IF(COUNTIF($A$5:A1022,A1022)&gt;1,"Duplicate","Keep")</x:f>
        <x:v>Keep</x:v>
      </x:c>
      <x:c r="AF1022" s="84" t="str">
        <x:f>IF(OR(R1022&lt;=0,AC1022&lt;B1022,H1022="Unknown",M1022="Unknown Product"),"Review","Valid")</x:f>
        <x:v>Valid</x:v>
      </x:c>
      <x:c r="AG1022" s="84" t="n">
        <x:f>IF(AND(AE1022="Keep",AF1022="Valid"),1,0)</x:f>
        <x:v>1</x:v>
      </x:c>
      <x:c r="AH1022" s="84" t="n">
        <x:f>IF(AND(AG1022=1,OR('Dashboard'!$B$4="All",I1022='Dashboard'!$B$4),OR('Dashboard'!$E$4="All",N1022='Dashboard'!$E$4),OR('Dashboard'!$H$4="All",K1022='Dashboard'!$H$4),OR('Dashboard'!$K$4="All",C1022='Dashboard'!$K$4)),1,0)</x:f>
        <x:v>1</x:v>
      </x:c>
      <x:c r="AI1022" s="84" t="n">
        <x:f>IF(AND(AG1022=1,OR('Dashboard'!$B$4="All",I1022='Dashboard'!$B$4),OR('Dashboard'!$E$4="All",N1022='Dashboard'!$E$4),OR('Dashboard'!$H$4="All",K1022='Dashboard'!$H$4)),1,0)</x:f>
        <x:v>1</x:v>
      </x:c>
    </x:row>
    <x:row r="1023">
      <x:c r="A1023" s="84" t="str">
        <x:f>'Raw Sales'!A1023</x:f>
        <x:v>ORD-2024-00058</x:v>
      </x:c>
      <x:c r="B1023" s="85" t="n">
        <x:f>'Raw Sales'!B1023</x:f>
        <x:v>45634</x:v>
      </x:c>
      <x:c r="C1023" s="84" t="n">
        <x:f>YEAR(B1023)</x:f>
        <x:v>2024</x:v>
      </x:c>
      <x:c r="D1023" s="91" t="n">
        <x:f>DATE(YEAR(B1023),MONTH(B1023),1)</x:f>
        <x:v>45627</x:v>
      </x:c>
      <x:c r="E1023" s="84" t="str">
        <x:f>TEXT(B1023,"mmm")</x:f>
        <x:v>Dec</x:v>
      </x:c>
      <x:c r="F1023" s="84" t="str">
        <x:f>'Raw Sales'!C1023</x:f>
        <x:v>CUST-0495</x:v>
      </x:c>
      <x:c r="G1023" s="84" t="str">
        <x:f>PROPER(TRIM('Raw Sales'!D1023))</x:f>
        <x:v>Victoria Walker</x:v>
      </x:c>
      <x:c r="H1023" s="84" t="str">
        <x:f>IF(TRIM('Raw Sales'!E1023)="","Unknown",PROPER(TRIM('Raw Sales'!E1023)))</x:f>
        <x:v>Consumer</x:v>
      </x:c>
      <x:c r="I1023" s="84" t="str">
        <x:f>PROPER(TRIM('Raw Sales'!F1023))</x:f>
        <x:v>West</x:v>
      </x:c>
      <x:c r="J1023" s="84" t="str">
        <x:f>PROPER(TRIM('Raw Sales'!G1023))</x:f>
        <x:v>Denver</x:v>
      </x:c>
      <x:c r="K1023" s="84" t="str">
        <x:f>PROPER(TRIM('Raw Sales'!H1023))</x:f>
        <x:v>Online</x:v>
      </x:c>
      <x:c r="L1023" s="84" t="str">
        <x:f>'Raw Sales'!I1023</x:f>
        <x:v>CARE-003</x:v>
      </x:c>
      <x:c r="M1023" s="84" t="str">
        <x:f>IFERROR(VLOOKUP(L1023,'Reference Data'!$A$5:$F$40,2,FALSE),"Unknown Product")</x:f>
        <x:v>Facial Cleanser</x:v>
      </x:c>
      <x:c r="N1023" s="84" t="str">
        <x:f>IFERROR(VLOOKUP(L1023,'Reference Data'!$A$5:$F$40,3,FALSE),"Unknown")</x:f>
        <x:v>Personal Care</x:v>
      </x:c>
      <x:c r="O1023" s="84" t="str">
        <x:f>IFERROR(VLOOKUP(L1023,'Reference Data'!$A$5:$F$40,4,FALSE),"Unknown")</x:f>
        <x:v>Skin Care</x:v>
      </x:c>
      <x:c r="P1023" s="92" t="n">
        <x:f>IFERROR(VLOOKUP(L1023,'Reference Data'!$A$5:$F$40,5,FALSE),0)</x:f>
        <x:v>18</x:v>
      </x:c>
      <x:c r="Q1023" s="92" t="n">
        <x:f>IFERROR(VLOOKUP(L1023,'Reference Data'!$A$5:$F$40,6,FALSE),0)</x:f>
        <x:v>6</x:v>
      </x:c>
      <x:c r="R1023" s="84" t="n">
        <x:f>'Raw Sales'!J1023</x:f>
        <x:v>1</x:v>
      </x:c>
      <x:c r="S1023" s="87" t="n">
        <x:f>'Raw Sales'!K1023</x:f>
        <x:v>0.1</x:v>
      </x:c>
      <x:c r="T1023" s="93" t="n">
        <x:f>P1023*R1023</x:f>
        <x:v>18</x:v>
      </x:c>
      <x:c r="U1023" s="93" t="n">
        <x:f>T1023*S1023</x:f>
        <x:v>1.8</x:v>
      </x:c>
      <x:c r="V1023" s="93" t="str">
        <x:f>PROPER(TRIM('Raw Sales'!L1023))</x:f>
        <x:v>Completed</x:v>
      </x:c>
      <x:c r="W1023" s="93" t="n">
        <x:f>IF(V1023="Returned",0,T1023-U1023)</x:f>
        <x:v>16.2</x:v>
      </x:c>
      <x:c r="X1023" s="93" t="n">
        <x:f>IF(V1023="Returned",Q1023*R1023*10%,Q1023*R1023)</x:f>
        <x:v>6</x:v>
      </x:c>
      <x:c r="Y1023" s="93" t="n">
        <x:f>W1023-X1023</x:f>
        <x:v>10.2</x:v>
      </x:c>
      <x:c r="Z1023" s="94" t="n">
        <x:f>IFERROR(Y1023/W1023,0)</x:f>
        <x:v>0.6296296296296297</x:v>
      </x:c>
      <x:c r="AA1023" s="84" t="str">
        <x:f>PROPER(TRIM('Raw Sales'!M1023))</x:f>
        <x:v>Credit Card</x:v>
      </x:c>
      <x:c r="AB1023" s="84" t="str">
        <x:f>PROPER(TRIM('Raw Sales'!N1023))</x:f>
        <x:v>Nora Kim</x:v>
      </x:c>
      <x:c r="AC1023" s="85" t="n">
        <x:f>'Raw Sales'!O1023</x:f>
        <x:v>45636</x:v>
      </x:c>
      <x:c r="AD1023" s="84" t="n">
        <x:f>AC1023-B1023</x:f>
        <x:v>2</x:v>
      </x:c>
      <x:c r="AE1023" s="84" t="str">
        <x:f>IF(COUNTIF($A$5:A1023,A1023)&gt;1,"Duplicate","Keep")</x:f>
        <x:v>Keep</x:v>
      </x:c>
      <x:c r="AF1023" s="84" t="str">
        <x:f>IF(OR(R1023&lt;=0,AC1023&lt;B1023,H1023="Unknown",M1023="Unknown Product"),"Review","Valid")</x:f>
        <x:v>Valid</x:v>
      </x:c>
      <x:c r="AG1023" s="84" t="n">
        <x:f>IF(AND(AE1023="Keep",AF1023="Valid"),1,0)</x:f>
        <x:v>1</x:v>
      </x:c>
      <x:c r="AH1023" s="84" t="n">
        <x:f>IF(AND(AG1023=1,OR('Dashboard'!$B$4="All",I1023='Dashboard'!$B$4),OR('Dashboard'!$E$4="All",N1023='Dashboard'!$E$4),OR('Dashboard'!$H$4="All",K1023='Dashboard'!$H$4),OR('Dashboard'!$K$4="All",C1023='Dashboard'!$K$4)),1,0)</x:f>
        <x:v>1</x:v>
      </x:c>
      <x:c r="AI1023" s="84" t="n">
        <x:f>IF(AND(AG1023=1,OR('Dashboard'!$B$4="All",I1023='Dashboard'!$B$4),OR('Dashboard'!$E$4="All",N1023='Dashboard'!$E$4),OR('Dashboard'!$H$4="All",K1023='Dashboard'!$H$4)),1,0)</x:f>
        <x:v>1</x:v>
      </x:c>
    </x:row>
    <x:row r="1024">
      <x:c r="A1024" s="84" t="str">
        <x:f>'Raw Sales'!A1024</x:f>
        <x:v>ORD-2024-01197</x:v>
      </x:c>
      <x:c r="B1024" s="85" t="n">
        <x:f>'Raw Sales'!B1024</x:f>
        <x:v>45634</x:v>
      </x:c>
      <x:c r="C1024" s="84" t="n">
        <x:f>YEAR(B1024)</x:f>
        <x:v>2024</x:v>
      </x:c>
      <x:c r="D1024" s="91" t="n">
        <x:f>DATE(YEAR(B1024),MONTH(B1024),1)</x:f>
        <x:v>45627</x:v>
      </x:c>
      <x:c r="E1024" s="84" t="str">
        <x:f>TEXT(B1024,"mmm")</x:f>
        <x:v>Dec</x:v>
      </x:c>
      <x:c r="F1024" s="84" t="str">
        <x:f>'Raw Sales'!C1024</x:f>
        <x:v>CUST-0477</x:v>
      </x:c>
      <x:c r="G1024" s="84" t="str">
        <x:f>PROPER(TRIM('Raw Sales'!D1024))</x:f>
        <x:v>William Adams</x:v>
      </x:c>
      <x:c r="H1024" s="84" t="str">
        <x:f>IF(TRIM('Raw Sales'!E1024)="","Unknown",PROPER(TRIM('Raw Sales'!E1024)))</x:f>
        <x:v>Small Business</x:v>
      </x:c>
      <x:c r="I1024" s="84" t="str">
        <x:f>PROPER(TRIM('Raw Sales'!F1024))</x:f>
        <x:v>Southeast</x:v>
      </x:c>
      <x:c r="J1024" s="84" t="str">
        <x:f>PROPER(TRIM('Raw Sales'!G1024))</x:f>
        <x:v>Nashville</x:v>
      </x:c>
      <x:c r="K1024" s="84" t="str">
        <x:f>PROPER(TRIM('Raw Sales'!H1024))</x:f>
        <x:v>Retail Store</x:v>
      </x:c>
      <x:c r="L1024" s="84" t="str">
        <x:f>'Raw Sales'!I1024</x:f>
        <x:v>HOME-003</x:v>
      </x:c>
      <x:c r="M1024" s="84" t="str">
        <x:f>IFERROR(VLOOKUP(L1024,'Reference Data'!$A$5:$F$40,2,FALSE),"Unknown Product")</x:f>
        <x:v>Countertop Blender</x:v>
      </x:c>
      <x:c r="N1024" s="84" t="str">
        <x:f>IFERROR(VLOOKUP(L1024,'Reference Data'!$A$5:$F$40,3,FALSE),"Unknown")</x:f>
        <x:v>Home &amp; Kitchen</x:v>
      </x:c>
      <x:c r="O1024" s="84" t="str">
        <x:f>IFERROR(VLOOKUP(L1024,'Reference Data'!$A$5:$F$40,4,FALSE),"Unknown")</x:f>
        <x:v>Small Appliances</x:v>
      </x:c>
      <x:c r="P1024" s="92" t="n">
        <x:f>IFERROR(VLOOKUP(L1024,'Reference Data'!$A$5:$F$40,5,FALSE),0)</x:f>
        <x:v>89</x:v>
      </x:c>
      <x:c r="Q1024" s="92" t="n">
        <x:f>IFERROR(VLOOKUP(L1024,'Reference Data'!$A$5:$F$40,6,FALSE),0)</x:f>
        <x:v>46</x:v>
      </x:c>
      <x:c r="R1024" s="84" t="n">
        <x:f>'Raw Sales'!J1024</x:f>
        <x:v>3</x:v>
      </x:c>
      <x:c r="S1024" s="87" t="n">
        <x:f>'Raw Sales'!K1024</x:f>
        <x:v>0</x:v>
      </x:c>
      <x:c r="T1024" s="93" t="n">
        <x:f>P1024*R1024</x:f>
        <x:v>267</x:v>
      </x:c>
      <x:c r="U1024" s="93" t="n">
        <x:f>T1024*S1024</x:f>
        <x:v>0</x:v>
      </x:c>
      <x:c r="V1024" s="93" t="str">
        <x:f>PROPER(TRIM('Raw Sales'!L1024))</x:f>
        <x:v>Completed</x:v>
      </x:c>
      <x:c r="W1024" s="93" t="n">
        <x:f>IF(V1024="Returned",0,T1024-U1024)</x:f>
        <x:v>267</x:v>
      </x:c>
      <x:c r="X1024" s="93" t="n">
        <x:f>IF(V1024="Returned",Q1024*R1024*10%,Q1024*R1024)</x:f>
        <x:v>138</x:v>
      </x:c>
      <x:c r="Y1024" s="93" t="n">
        <x:f>W1024-X1024</x:f>
        <x:v>129</x:v>
      </x:c>
      <x:c r="Z1024" s="94" t="n">
        <x:f>IFERROR(Y1024/W1024,0)</x:f>
        <x:v>0.48314606741573035</x:v>
      </x:c>
      <x:c r="AA1024" s="84" t="str">
        <x:f>PROPER(TRIM('Raw Sales'!M1024))</x:f>
        <x:v>Cash</x:v>
      </x:c>
      <x:c r="AB1024" s="84" t="str">
        <x:f>PROPER(TRIM('Raw Sales'!N1024))</x:f>
        <x:v>Noah Reed</x:v>
      </x:c>
      <x:c r="AC1024" s="85" t="n">
        <x:f>'Raw Sales'!O1024</x:f>
        <x:v>45634</x:v>
      </x:c>
      <x:c r="AD1024" s="84" t="n">
        <x:f>AC1024-B1024</x:f>
        <x:v>0</x:v>
      </x:c>
      <x:c r="AE1024" s="84" t="str">
        <x:f>IF(COUNTIF($A$5:A1024,A1024)&gt;1,"Duplicate","Keep")</x:f>
        <x:v>Keep</x:v>
      </x:c>
      <x:c r="AF1024" s="84" t="str">
        <x:f>IF(OR(R1024&lt;=0,AC1024&lt;B1024,H1024="Unknown",M1024="Unknown Product"),"Review","Valid")</x:f>
        <x:v>Valid</x:v>
      </x:c>
      <x:c r="AG1024" s="84" t="n">
        <x:f>IF(AND(AE1024="Keep",AF1024="Valid"),1,0)</x:f>
        <x:v>1</x:v>
      </x:c>
      <x:c r="AH1024" s="84" t="n">
        <x:f>IF(AND(AG1024=1,OR('Dashboard'!$B$4="All",I1024='Dashboard'!$B$4),OR('Dashboard'!$E$4="All",N1024='Dashboard'!$E$4),OR('Dashboard'!$H$4="All",K1024='Dashboard'!$H$4),OR('Dashboard'!$K$4="All",C1024='Dashboard'!$K$4)),1,0)</x:f>
        <x:v>1</x:v>
      </x:c>
      <x:c r="AI1024" s="84" t="n">
        <x:f>IF(AND(AG1024=1,OR('Dashboard'!$B$4="All",I1024='Dashboard'!$B$4),OR('Dashboard'!$E$4="All",N1024='Dashboard'!$E$4),OR('Dashboard'!$H$4="All",K1024='Dashboard'!$H$4)),1,0)</x:f>
        <x:v>1</x:v>
      </x:c>
    </x:row>
    <x:row r="1025">
      <x:c r="A1025" s="84" t="str">
        <x:f>'Raw Sales'!A1025</x:f>
        <x:v>ORD-2024-01290</x:v>
      </x:c>
      <x:c r="B1025" s="85" t="n">
        <x:f>'Raw Sales'!B1025</x:f>
        <x:v>45634</x:v>
      </x:c>
      <x:c r="C1025" s="84" t="n">
        <x:f>YEAR(B1025)</x:f>
        <x:v>2024</x:v>
      </x:c>
      <x:c r="D1025" s="91" t="n">
        <x:f>DATE(YEAR(B1025),MONTH(B1025),1)</x:f>
        <x:v>45627</x:v>
      </x:c>
      <x:c r="E1025" s="84" t="str">
        <x:f>TEXT(B1025,"mmm")</x:f>
        <x:v>Dec</x:v>
      </x:c>
      <x:c r="F1025" s="84" t="str">
        <x:f>'Raw Sales'!C1025</x:f>
        <x:v>CUST-0131</x:v>
      </x:c>
      <x:c r="G1025" s="84" t="str">
        <x:f>PROPER(TRIM('Raw Sales'!D1025))</x:f>
        <x:v>Theo Patel</x:v>
      </x:c>
      <x:c r="H1025" s="84" t="str">
        <x:f>IF(TRIM('Raw Sales'!E1025)="","Unknown",PROPER(TRIM('Raw Sales'!E1025)))</x:f>
        <x:v>Consumer</x:v>
      </x:c>
      <x:c r="I1025" s="84" t="str">
        <x:f>PROPER(TRIM('Raw Sales'!F1025))</x:f>
        <x:v>Southeast</x:v>
      </x:c>
      <x:c r="J1025" s="84" t="str">
        <x:f>PROPER(TRIM('Raw Sales'!G1025))</x:f>
        <x:v>Nashville</x:v>
      </x:c>
      <x:c r="K1025" s="84" t="str">
        <x:f>PROPER(TRIM('Raw Sales'!H1025))</x:f>
        <x:v>Online</x:v>
      </x:c>
      <x:c r="L1025" s="84" t="str">
        <x:f>'Raw Sales'!I1025</x:f>
        <x:v>FITN-004</x:v>
      </x:c>
      <x:c r="M1025" s="84" t="str">
        <x:f>IFERROR(VLOOKUP(L1025,'Reference Data'!$A$5:$F$40,2,FALSE),"Unknown Product")</x:f>
        <x:v>Fitness Tracker</x:v>
      </x:c>
      <x:c r="N1025" s="84" t="str">
        <x:f>IFERROR(VLOOKUP(L1025,'Reference Data'!$A$5:$F$40,3,FALSE),"Unknown")</x:f>
        <x:v>Fitness</x:v>
      </x:c>
      <x:c r="O1025" s="84" t="str">
        <x:f>IFERROR(VLOOKUP(L1025,'Reference Data'!$A$5:$F$40,4,FALSE),"Unknown")</x:f>
        <x:v>Wearables</x:v>
      </x:c>
      <x:c r="P1025" s="92" t="n">
        <x:f>IFERROR(VLOOKUP(L1025,'Reference Data'!$A$5:$F$40,5,FALSE),0)</x:f>
        <x:v>89</x:v>
      </x:c>
      <x:c r="Q1025" s="92" t="n">
        <x:f>IFERROR(VLOOKUP(L1025,'Reference Data'!$A$5:$F$40,6,FALSE),0)</x:f>
        <x:v>44</x:v>
      </x:c>
      <x:c r="R1025" s="84" t="n">
        <x:f>'Raw Sales'!J1025</x:f>
        <x:v>2</x:v>
      </x:c>
      <x:c r="S1025" s="87" t="n">
        <x:f>'Raw Sales'!K1025</x:f>
        <x:v>0.05</x:v>
      </x:c>
      <x:c r="T1025" s="93" t="n">
        <x:f>P1025*R1025</x:f>
        <x:v>178</x:v>
      </x:c>
      <x:c r="U1025" s="93" t="n">
        <x:f>T1025*S1025</x:f>
        <x:v>8.9</x:v>
      </x:c>
      <x:c r="V1025" s="93" t="str">
        <x:f>PROPER(TRIM('Raw Sales'!L1025))</x:f>
        <x:v>Completed</x:v>
      </x:c>
      <x:c r="W1025" s="93" t="n">
        <x:f>IF(V1025="Returned",0,T1025-U1025)</x:f>
        <x:v>169.1</x:v>
      </x:c>
      <x:c r="X1025" s="93" t="n">
        <x:f>IF(V1025="Returned",Q1025*R1025*10%,Q1025*R1025)</x:f>
        <x:v>88</x:v>
      </x:c>
      <x:c r="Y1025" s="93" t="n">
        <x:f>W1025-X1025</x:f>
        <x:v>81.1</x:v>
      </x:c>
      <x:c r="Z1025" s="94" t="n">
        <x:f>IFERROR(Y1025/W1025,0)</x:f>
        <x:v>0.47959787108219987</x:v>
      </x:c>
      <x:c r="AA1025" s="84" t="str">
        <x:f>PROPER(TRIM('Raw Sales'!M1025))</x:f>
        <x:v>Paypal</x:v>
      </x:c>
      <x:c r="AB1025" s="84" t="str">
        <x:f>PROPER(TRIM('Raw Sales'!N1025))</x:f>
        <x:v>Ava Mitchell</x:v>
      </x:c>
      <x:c r="AC1025" s="85" t="n">
        <x:f>'Raw Sales'!O1025</x:f>
        <x:v>45639</x:v>
      </x:c>
      <x:c r="AD1025" s="84" t="n">
        <x:f>AC1025-B1025</x:f>
        <x:v>5</x:v>
      </x:c>
      <x:c r="AE1025" s="84" t="str">
        <x:f>IF(COUNTIF($A$5:A1025,A1025)&gt;1,"Duplicate","Keep")</x:f>
        <x:v>Keep</x:v>
      </x:c>
      <x:c r="AF1025" s="84" t="str">
        <x:f>IF(OR(R1025&lt;=0,AC1025&lt;B1025,H1025="Unknown",M1025="Unknown Product"),"Review","Valid")</x:f>
        <x:v>Valid</x:v>
      </x:c>
      <x:c r="AG1025" s="84" t="n">
        <x:f>IF(AND(AE1025="Keep",AF1025="Valid"),1,0)</x:f>
        <x:v>1</x:v>
      </x:c>
      <x:c r="AH1025" s="84" t="n">
        <x:f>IF(AND(AG1025=1,OR('Dashboard'!$B$4="All",I1025='Dashboard'!$B$4),OR('Dashboard'!$E$4="All",N1025='Dashboard'!$E$4),OR('Dashboard'!$H$4="All",K1025='Dashboard'!$H$4),OR('Dashboard'!$K$4="All",C1025='Dashboard'!$K$4)),1,0)</x:f>
        <x:v>1</x:v>
      </x:c>
      <x:c r="AI1025" s="84" t="n">
        <x:f>IF(AND(AG1025=1,OR('Dashboard'!$B$4="All",I1025='Dashboard'!$B$4),OR('Dashboard'!$E$4="All",N1025='Dashboard'!$E$4),OR('Dashboard'!$H$4="All",K1025='Dashboard'!$H$4)),1,0)</x:f>
        <x:v>1</x:v>
      </x:c>
    </x:row>
    <x:row r="1026">
      <x:c r="A1026" s="84" t="str">
        <x:f>'Raw Sales'!A1026</x:f>
        <x:v>ORD-2024-02100</x:v>
      </x:c>
      <x:c r="B1026" s="85" t="n">
        <x:f>'Raw Sales'!B1026</x:f>
        <x:v>45634</x:v>
      </x:c>
      <x:c r="C1026" s="84" t="n">
        <x:f>YEAR(B1026)</x:f>
        <x:v>2024</x:v>
      </x:c>
      <x:c r="D1026" s="91" t="n">
        <x:f>DATE(YEAR(B1026),MONTH(B1026),1)</x:f>
        <x:v>45627</x:v>
      </x:c>
      <x:c r="E1026" s="84" t="str">
        <x:f>TEXT(B1026,"mmm")</x:f>
        <x:v>Dec</x:v>
      </x:c>
      <x:c r="F1026" s="84" t="str">
        <x:f>'Raw Sales'!C1026</x:f>
        <x:v>CUST-0599</x:v>
      </x:c>
      <x:c r="G1026" s="84" t="str">
        <x:f>PROPER(TRIM('Raw Sales'!D1026))</x:f>
        <x:v>Caleb Adams</x:v>
      </x:c>
      <x:c r="H1026" s="84" t="str">
        <x:f>IF(TRIM('Raw Sales'!E1026)="","Unknown",PROPER(TRIM('Raw Sales'!E1026)))</x:f>
        <x:v>Consumer</x:v>
      </x:c>
      <x:c r="I1026" s="84" t="str">
        <x:f>PROPER(TRIM('Raw Sales'!F1026))</x:f>
        <x:v>West</x:v>
      </x:c>
      <x:c r="J1026" s="84" t="str">
        <x:f>PROPER(TRIM('Raw Sales'!G1026))</x:f>
        <x:v>Phoenix</x:v>
      </x:c>
      <x:c r="K1026" s="84" t="str">
        <x:f>PROPER(TRIM('Raw Sales'!H1026))</x:f>
        <x:v>Online</x:v>
      </x:c>
      <x:c r="L1026" s="84" t="str">
        <x:f>'Raw Sales'!I1026</x:f>
        <x:v>HOME-006</x:v>
      </x:c>
      <x:c r="M1026" s="84" t="str">
        <x:f>IFERROR(VLOOKUP(L1026,'Reference Data'!$A$5:$F$40,2,FALSE),"Unknown Product")</x:f>
        <x:v>Food Storage Set</x:v>
      </x:c>
      <x:c r="N1026" s="84" t="str">
        <x:f>IFERROR(VLOOKUP(L1026,'Reference Data'!$A$5:$F$40,3,FALSE),"Unknown")</x:f>
        <x:v>Home &amp; Kitchen</x:v>
      </x:c>
      <x:c r="O1026" s="84" t="str">
        <x:f>IFERROR(VLOOKUP(L1026,'Reference Data'!$A$5:$F$40,4,FALSE),"Unknown")</x:f>
        <x:v>Kitchenware</x:v>
      </x:c>
      <x:c r="P1026" s="92" t="n">
        <x:f>IFERROR(VLOOKUP(L1026,'Reference Data'!$A$5:$F$40,5,FALSE),0)</x:f>
        <x:v>34</x:v>
      </x:c>
      <x:c r="Q1026" s="92" t="n">
        <x:f>IFERROR(VLOOKUP(L1026,'Reference Data'!$A$5:$F$40,6,FALSE),0)</x:f>
        <x:v>15</x:v>
      </x:c>
      <x:c r="R1026" s="84" t="n">
        <x:f>'Raw Sales'!J1026</x:f>
        <x:v>1</x:v>
      </x:c>
      <x:c r="S1026" s="87" t="n">
        <x:f>'Raw Sales'!K1026</x:f>
        <x:v>0.1</x:v>
      </x:c>
      <x:c r="T1026" s="93" t="n">
        <x:f>P1026*R1026</x:f>
        <x:v>34</x:v>
      </x:c>
      <x:c r="U1026" s="93" t="n">
        <x:f>T1026*S1026</x:f>
        <x:v>3.4000000000000004</x:v>
      </x:c>
      <x:c r="V1026" s="93" t="str">
        <x:f>PROPER(TRIM('Raw Sales'!L1026))</x:f>
        <x:v>Completed</x:v>
      </x:c>
      <x:c r="W1026" s="93" t="n">
        <x:f>IF(V1026="Returned",0,T1026-U1026)</x:f>
        <x:v>30.6</x:v>
      </x:c>
      <x:c r="X1026" s="93" t="n">
        <x:f>IF(V1026="Returned",Q1026*R1026*10%,Q1026*R1026)</x:f>
        <x:v>15</x:v>
      </x:c>
      <x:c r="Y1026" s="93" t="n">
        <x:f>W1026-X1026</x:f>
        <x:v>15.600000000000001</x:v>
      </x:c>
      <x:c r="Z1026" s="94" t="n">
        <x:f>IFERROR(Y1026/W1026,0)</x:f>
        <x:v>0.5098039215686275</x:v>
      </x:c>
      <x:c r="AA1026" s="84" t="str">
        <x:f>PROPER(TRIM('Raw Sales'!M1026))</x:f>
        <x:v>Paypal</x:v>
      </x:c>
      <x:c r="AB1026" s="84" t="str">
        <x:f>PROPER(TRIM('Raw Sales'!N1026))</x:f>
        <x:v>Leo Martinez</x:v>
      </x:c>
      <x:c r="AC1026" s="85" t="n">
        <x:f>'Raw Sales'!O1026</x:f>
        <x:v>45639</x:v>
      </x:c>
      <x:c r="AD1026" s="84" t="n">
        <x:f>AC1026-B1026</x:f>
        <x:v>5</x:v>
      </x:c>
      <x:c r="AE1026" s="84" t="str">
        <x:f>IF(COUNTIF($A$5:A1026,A1026)&gt;1,"Duplicate","Keep")</x:f>
        <x:v>Keep</x:v>
      </x:c>
      <x:c r="AF1026" s="84" t="str">
        <x:f>IF(OR(R1026&lt;=0,AC1026&lt;B1026,H1026="Unknown",M1026="Unknown Product"),"Review","Valid")</x:f>
        <x:v>Valid</x:v>
      </x:c>
      <x:c r="AG1026" s="84" t="n">
        <x:f>IF(AND(AE1026="Keep",AF1026="Valid"),1,0)</x:f>
        <x:v>1</x:v>
      </x:c>
      <x:c r="AH1026" s="84" t="n">
        <x:f>IF(AND(AG1026=1,OR('Dashboard'!$B$4="All",I1026='Dashboard'!$B$4),OR('Dashboard'!$E$4="All",N1026='Dashboard'!$E$4),OR('Dashboard'!$H$4="All",K1026='Dashboard'!$H$4),OR('Dashboard'!$K$4="All",C1026='Dashboard'!$K$4)),1,0)</x:f>
        <x:v>1</x:v>
      </x:c>
      <x:c r="AI1026" s="84" t="n">
        <x:f>IF(AND(AG1026=1,OR('Dashboard'!$B$4="All",I1026='Dashboard'!$B$4),OR('Dashboard'!$E$4="All",N1026='Dashboard'!$E$4),OR('Dashboard'!$H$4="All",K1026='Dashboard'!$H$4)),1,0)</x:f>
        <x:v>1</x:v>
      </x:c>
    </x:row>
    <x:row r="1027">
      <x:c r="A1027" s="84" t="str">
        <x:f>'Raw Sales'!A1027</x:f>
        <x:v>ORD-2024-02239</x:v>
      </x:c>
      <x:c r="B1027" s="85" t="n">
        <x:f>'Raw Sales'!B1027</x:f>
        <x:v>45634</x:v>
      </x:c>
      <x:c r="C1027" s="84" t="n">
        <x:f>YEAR(B1027)</x:f>
        <x:v>2024</x:v>
      </x:c>
      <x:c r="D1027" s="91" t="n">
        <x:f>DATE(YEAR(B1027),MONTH(B1027),1)</x:f>
        <x:v>45627</x:v>
      </x:c>
      <x:c r="E1027" s="84" t="str">
        <x:f>TEXT(B1027,"mmm")</x:f>
        <x:v>Dec</x:v>
      </x:c>
      <x:c r="F1027" s="84" t="str">
        <x:f>'Raw Sales'!C1027</x:f>
        <x:v>CUST-0374</x:v>
      </x:c>
      <x:c r="G1027" s="84" t="str">
        <x:f>PROPER(TRIM('Raw Sales'!D1027))</x:f>
        <x:v>Priya Lewis</x:v>
      </x:c>
      <x:c r="H1027" s="84" t="str">
        <x:f>IF(TRIM('Raw Sales'!E1027)="","Unknown",PROPER(TRIM('Raw Sales'!E1027)))</x:f>
        <x:v>Corporate</x:v>
      </x:c>
      <x:c r="I1027" s="84" t="str">
        <x:f>PROPER(TRIM('Raw Sales'!F1027))</x:f>
        <x:v>Southeast</x:v>
      </x:c>
      <x:c r="J1027" s="84" t="str">
        <x:f>PROPER(TRIM('Raw Sales'!G1027))</x:f>
        <x:v>Miami</x:v>
      </x:c>
      <x:c r="K1027" s="84" t="str">
        <x:f>PROPER(TRIM('Raw Sales'!H1027))</x:f>
        <x:v>Marketplace</x:v>
      </x:c>
      <x:c r="L1027" s="84" t="str">
        <x:f>'Raw Sales'!I1027</x:f>
        <x:v>ACCS-003</x:v>
      </x:c>
      <x:c r="M1027" s="84" t="str">
        <x:f>IFERROR(VLOOKUP(L1027,'Reference Data'!$A$5:$F$40,2,FALSE),"Unknown Product")</x:f>
        <x:v>Polarized Sunglasses</x:v>
      </x:c>
      <x:c r="N1027" s="84" t="str">
        <x:f>IFERROR(VLOOKUP(L1027,'Reference Data'!$A$5:$F$40,3,FALSE),"Unknown")</x:f>
        <x:v>Accessories</x:v>
      </x:c>
      <x:c r="O1027" s="84" t="str">
        <x:f>IFERROR(VLOOKUP(L1027,'Reference Data'!$A$5:$F$40,4,FALSE),"Unknown")</x:f>
        <x:v>Eyewear</x:v>
      </x:c>
      <x:c r="P1027" s="92" t="n">
        <x:f>IFERROR(VLOOKUP(L1027,'Reference Data'!$A$5:$F$40,5,FALSE),0)</x:f>
        <x:v>59</x:v>
      </x:c>
      <x:c r="Q1027" s="92" t="n">
        <x:f>IFERROR(VLOOKUP(L1027,'Reference Data'!$A$5:$F$40,6,FALSE),0)</x:f>
        <x:v>17</x:v>
      </x:c>
      <x:c r="R1027" s="84" t="n">
        <x:f>'Raw Sales'!J1027</x:f>
        <x:v>3</x:v>
      </x:c>
      <x:c r="S1027" s="87" t="n">
        <x:f>'Raw Sales'!K1027</x:f>
        <x:v>0.05</x:v>
      </x:c>
      <x:c r="T1027" s="93" t="n">
        <x:f>P1027*R1027</x:f>
        <x:v>177</x:v>
      </x:c>
      <x:c r="U1027" s="93" t="n">
        <x:f>T1027*S1027</x:f>
        <x:v>8.85</x:v>
      </x:c>
      <x:c r="V1027" s="93" t="str">
        <x:f>PROPER(TRIM('Raw Sales'!L1027))</x:f>
        <x:v>Completed</x:v>
      </x:c>
      <x:c r="W1027" s="93" t="n">
        <x:f>IF(V1027="Returned",0,T1027-U1027)</x:f>
        <x:v>168.15</x:v>
      </x:c>
      <x:c r="X1027" s="93" t="n">
        <x:f>IF(V1027="Returned",Q1027*R1027*10%,Q1027*R1027)</x:f>
        <x:v>51</x:v>
      </x:c>
      <x:c r="Y1027" s="93" t="n">
        <x:f>W1027-X1027</x:f>
        <x:v>117.15</x:v>
      </x:c>
      <x:c r="Z1027" s="94" t="n">
        <x:f>IFERROR(Y1027/W1027,0)</x:f>
        <x:v>0.6966993755575379</x:v>
      </x:c>
      <x:c r="AA1027" s="84" t="str">
        <x:f>PROPER(TRIM('Raw Sales'!M1027))</x:f>
        <x:v>Debit Card</x:v>
      </x:c>
      <x:c r="AB1027" s="84" t="str">
        <x:f>PROPER(TRIM('Raw Sales'!N1027))</x:f>
        <x:v>Liam Parker</x:v>
      </x:c>
      <x:c r="AC1027" s="85" t="n">
        <x:f>'Raw Sales'!O1027</x:f>
        <x:v>45641</x:v>
      </x:c>
      <x:c r="AD1027" s="84" t="n">
        <x:f>AC1027-B1027</x:f>
        <x:v>7</x:v>
      </x:c>
      <x:c r="AE1027" s="84" t="str">
        <x:f>IF(COUNTIF($A$5:A1027,A1027)&gt;1,"Duplicate","Keep")</x:f>
        <x:v>Keep</x:v>
      </x:c>
      <x:c r="AF1027" s="84" t="str">
        <x:f>IF(OR(R1027&lt;=0,AC1027&lt;B1027,H1027="Unknown",M1027="Unknown Product"),"Review","Valid")</x:f>
        <x:v>Valid</x:v>
      </x:c>
      <x:c r="AG1027" s="84" t="n">
        <x:f>IF(AND(AE1027="Keep",AF1027="Valid"),1,0)</x:f>
        <x:v>1</x:v>
      </x:c>
      <x:c r="AH1027" s="84" t="n">
        <x:f>IF(AND(AG1027=1,OR('Dashboard'!$B$4="All",I1027='Dashboard'!$B$4),OR('Dashboard'!$E$4="All",N1027='Dashboard'!$E$4),OR('Dashboard'!$H$4="All",K1027='Dashboard'!$H$4),OR('Dashboard'!$K$4="All",C1027='Dashboard'!$K$4)),1,0)</x:f>
        <x:v>1</x:v>
      </x:c>
      <x:c r="AI1027" s="84" t="n">
        <x:f>IF(AND(AG1027=1,OR('Dashboard'!$B$4="All",I1027='Dashboard'!$B$4),OR('Dashboard'!$E$4="All",N1027='Dashboard'!$E$4),OR('Dashboard'!$H$4="All",K1027='Dashboard'!$H$4)),1,0)</x:f>
        <x:v>1</x:v>
      </x:c>
    </x:row>
    <x:row r="1028">
      <x:c r="A1028" s="84" t="str">
        <x:f>'Raw Sales'!A1028</x:f>
        <x:v>ORD-2024-02390</x:v>
      </x:c>
      <x:c r="B1028" s="85" t="n">
        <x:f>'Raw Sales'!B1028</x:f>
        <x:v>45634</x:v>
      </x:c>
      <x:c r="C1028" s="84" t="n">
        <x:f>YEAR(B1028)</x:f>
        <x:v>2024</x:v>
      </x:c>
      <x:c r="D1028" s="91" t="n">
        <x:f>DATE(YEAR(B1028),MONTH(B1028),1)</x:f>
        <x:v>45627</x:v>
      </x:c>
      <x:c r="E1028" s="84" t="str">
        <x:f>TEXT(B1028,"mmm")</x:f>
        <x:v>Dec</x:v>
      </x:c>
      <x:c r="F1028" s="84" t="str">
        <x:f>'Raw Sales'!C1028</x:f>
        <x:v>CUST-0339</x:v>
      </x:c>
      <x:c r="G1028" s="84" t="str">
        <x:f>PROPER(TRIM('Raw Sales'!D1028))</x:f>
        <x:v>Marcus Walker</x:v>
      </x:c>
      <x:c r="H1028" s="84" t="str">
        <x:f>IF(TRIM('Raw Sales'!E1028)="","Unknown",PROPER(TRIM('Raw Sales'!E1028)))</x:f>
        <x:v>Consumer</x:v>
      </x:c>
      <x:c r="I1028" s="84" t="str">
        <x:f>PROPER(TRIM('Raw Sales'!F1028))</x:f>
        <x:v>Midwest</x:v>
      </x:c>
      <x:c r="J1028" s="84" t="str">
        <x:f>PROPER(TRIM('Raw Sales'!G1028))</x:f>
        <x:v>Columbus</x:v>
      </x:c>
      <x:c r="K1028" s="84" t="str">
        <x:f>PROPER(TRIM('Raw Sales'!H1028))</x:f>
        <x:v>Online</x:v>
      </x:c>
      <x:c r="L1028" s="84" t="str">
        <x:f>'Raw Sales'!I1028</x:f>
        <x:v>ELEC-004</x:v>
      </x:c>
      <x:c r="M1028" s="84" t="str">
        <x:f>IFERROR(VLOOKUP(L1028,'Reference Data'!$A$5:$F$40,2,FALSE),"Unknown Product")</x:f>
        <x:v>Power Bank</x:v>
      </x:c>
      <x:c r="N1028" s="84" t="str">
        <x:f>IFERROR(VLOOKUP(L1028,'Reference Data'!$A$5:$F$40,3,FALSE),"Unknown")</x:f>
        <x:v>Electronics</x:v>
      </x:c>
      <x:c r="O1028" s="84" t="str">
        <x:f>IFERROR(VLOOKUP(L1028,'Reference Data'!$A$5:$F$40,4,FALSE),"Unknown")</x:f>
        <x:v>Mobile Accessories</x:v>
      </x:c>
      <x:c r="P1028" s="92" t="n">
        <x:f>IFERROR(VLOOKUP(L1028,'Reference Data'!$A$5:$F$40,5,FALSE),0)</x:f>
        <x:v>39</x:v>
      </x:c>
      <x:c r="Q1028" s="92" t="n">
        <x:f>IFERROR(VLOOKUP(L1028,'Reference Data'!$A$5:$F$40,6,FALSE),0)</x:f>
        <x:v>18</x:v>
      </x:c>
      <x:c r="R1028" s="84" t="n">
        <x:f>'Raw Sales'!J1028</x:f>
        <x:v>1</x:v>
      </x:c>
      <x:c r="S1028" s="87" t="n">
        <x:f>'Raw Sales'!K1028</x:f>
        <x:v>0.1</x:v>
      </x:c>
      <x:c r="T1028" s="93" t="n">
        <x:f>P1028*R1028</x:f>
        <x:v>39</x:v>
      </x:c>
      <x:c r="U1028" s="93" t="n">
        <x:f>T1028*S1028</x:f>
        <x:v>3.9000000000000004</x:v>
      </x:c>
      <x:c r="V1028" s="93" t="str">
        <x:f>PROPER(TRIM('Raw Sales'!L1028))</x:f>
        <x:v>Completed</x:v>
      </x:c>
      <x:c r="W1028" s="93" t="n">
        <x:f>IF(V1028="Returned",0,T1028-U1028)</x:f>
        <x:v>35.1</x:v>
      </x:c>
      <x:c r="X1028" s="93" t="n">
        <x:f>IF(V1028="Returned",Q1028*R1028*10%,Q1028*R1028)</x:f>
        <x:v>18</x:v>
      </x:c>
      <x:c r="Y1028" s="93" t="n">
        <x:f>W1028-X1028</x:f>
        <x:v>17.1</x:v>
      </x:c>
      <x:c r="Z1028" s="94" t="n">
        <x:f>IFERROR(Y1028/W1028,0)</x:f>
        <x:v>0.4871794871794872</x:v>
      </x:c>
      <x:c r="AA1028" s="84" t="str">
        <x:f>PROPER(TRIM('Raw Sales'!M1028))</x:f>
        <x:v>Paypal</x:v>
      </x:c>
      <x:c r="AB1028" s="84" t="str">
        <x:f>PROPER(TRIM('Raw Sales'!N1028))</x:f>
        <x:v>Lucas Grant</x:v>
      </x:c>
      <x:c r="AC1028" s="85" t="n">
        <x:f>'Raw Sales'!O1028</x:f>
        <x:v>45638</x:v>
      </x:c>
      <x:c r="AD1028" s="84" t="n">
        <x:f>AC1028-B1028</x:f>
        <x:v>4</x:v>
      </x:c>
      <x:c r="AE1028" s="84" t="str">
        <x:f>IF(COUNTIF($A$5:A1028,A1028)&gt;1,"Duplicate","Keep")</x:f>
        <x:v>Keep</x:v>
      </x:c>
      <x:c r="AF1028" s="84" t="str">
        <x:f>IF(OR(R1028&lt;=0,AC1028&lt;B1028,H1028="Unknown",M1028="Unknown Product"),"Review","Valid")</x:f>
        <x:v>Valid</x:v>
      </x:c>
      <x:c r="AG1028" s="84" t="n">
        <x:f>IF(AND(AE1028="Keep",AF1028="Valid"),1,0)</x:f>
        <x:v>1</x:v>
      </x:c>
      <x:c r="AH1028" s="84" t="n">
        <x:f>IF(AND(AG1028=1,OR('Dashboard'!$B$4="All",I1028='Dashboard'!$B$4),OR('Dashboard'!$E$4="All",N1028='Dashboard'!$E$4),OR('Dashboard'!$H$4="All",K1028='Dashboard'!$H$4),OR('Dashboard'!$K$4="All",C1028='Dashboard'!$K$4)),1,0)</x:f>
        <x:v>1</x:v>
      </x:c>
      <x:c r="AI1028" s="84" t="n">
        <x:f>IF(AND(AG1028=1,OR('Dashboard'!$B$4="All",I1028='Dashboard'!$B$4),OR('Dashboard'!$E$4="All",N1028='Dashboard'!$E$4),OR('Dashboard'!$H$4="All",K1028='Dashboard'!$H$4)),1,0)</x:f>
        <x:v>1</x:v>
      </x:c>
    </x:row>
    <x:row r="1029">
      <x:c r="A1029" s="84" t="str">
        <x:f>'Raw Sales'!A1029</x:f>
        <x:v>ORD-2024-00012</x:v>
      </x:c>
      <x:c r="B1029" s="85" t="n">
        <x:f>'Raw Sales'!B1029</x:f>
        <x:v>45635</x:v>
      </x:c>
      <x:c r="C1029" s="84" t="n">
        <x:f>YEAR(B1029)</x:f>
        <x:v>2024</x:v>
      </x:c>
      <x:c r="D1029" s="91" t="n">
        <x:f>DATE(YEAR(B1029),MONTH(B1029),1)</x:f>
        <x:v>45627</x:v>
      </x:c>
      <x:c r="E1029" s="84" t="str">
        <x:f>TEXT(B1029,"mmm")</x:f>
        <x:v>Dec</x:v>
      </x:c>
      <x:c r="F1029" s="84" t="str">
        <x:f>'Raw Sales'!C1029</x:f>
        <x:v>CUST-0508</x:v>
      </x:c>
      <x:c r="G1029" s="84" t="str">
        <x:f>PROPER(TRIM('Raw Sales'!D1029))</x:f>
        <x:v>Nina Smith</x:v>
      </x:c>
      <x:c r="H1029" s="84" t="str">
        <x:f>IF(TRIM('Raw Sales'!E1029)="","Unknown",PROPER(TRIM('Raw Sales'!E1029)))</x:f>
        <x:v>Consumer</x:v>
      </x:c>
      <x:c r="I1029" s="84" t="str">
        <x:f>PROPER(TRIM('Raw Sales'!F1029))</x:f>
        <x:v>West</x:v>
      </x:c>
      <x:c r="J1029" s="84" t="str">
        <x:f>PROPER(TRIM('Raw Sales'!G1029))</x:f>
        <x:v>Denver</x:v>
      </x:c>
      <x:c r="K1029" s="84" t="str">
        <x:f>PROPER(TRIM('Raw Sales'!H1029))</x:f>
        <x:v>Online</x:v>
      </x:c>
      <x:c r="L1029" s="84" t="str">
        <x:f>'Raw Sales'!I1029</x:f>
        <x:v>ACCS-005</x:v>
      </x:c>
      <x:c r="M1029" s="84" t="str">
        <x:f>IFERROR(VLOOKUP(L1029,'Reference Data'!$A$5:$F$40,2,FALSE),"Unknown Product")</x:f>
        <x:v>Protective Phone Case</x:v>
      </x:c>
      <x:c r="N1029" s="84" t="str">
        <x:f>IFERROR(VLOOKUP(L1029,'Reference Data'!$A$5:$F$40,3,FALSE),"Unknown")</x:f>
        <x:v>Accessories</x:v>
      </x:c>
      <x:c r="O1029" s="84" t="str">
        <x:f>IFERROR(VLOOKUP(L1029,'Reference Data'!$A$5:$F$40,4,FALSE),"Unknown")</x:f>
        <x:v>Mobile Accessories</x:v>
      </x:c>
      <x:c r="P1029" s="92" t="n">
        <x:f>IFERROR(VLOOKUP(L1029,'Reference Data'!$A$5:$F$40,5,FALSE),0)</x:f>
        <x:v>24</x:v>
      </x:c>
      <x:c r="Q1029" s="92" t="n">
        <x:f>IFERROR(VLOOKUP(L1029,'Reference Data'!$A$5:$F$40,6,FALSE),0)</x:f>
        <x:v>5</x:v>
      </x:c>
      <x:c r="R1029" s="84" t="n">
        <x:f>'Raw Sales'!J1029</x:f>
        <x:v>1</x:v>
      </x:c>
      <x:c r="S1029" s="87" t="n">
        <x:f>'Raw Sales'!K1029</x:f>
        <x:v>0</x:v>
      </x:c>
      <x:c r="T1029" s="93" t="n">
        <x:f>P1029*R1029</x:f>
        <x:v>24</x:v>
      </x:c>
      <x:c r="U1029" s="93" t="n">
        <x:f>T1029*S1029</x:f>
        <x:v>0</x:v>
      </x:c>
      <x:c r="V1029" s="93" t="str">
        <x:f>PROPER(TRIM('Raw Sales'!L1029))</x:f>
        <x:v>Completed</x:v>
      </x:c>
      <x:c r="W1029" s="93" t="n">
        <x:f>IF(V1029="Returned",0,T1029-U1029)</x:f>
        <x:v>24</x:v>
      </x:c>
      <x:c r="X1029" s="93" t="n">
        <x:f>IF(V1029="Returned",Q1029*R1029*10%,Q1029*R1029)</x:f>
        <x:v>5</x:v>
      </x:c>
      <x:c r="Y1029" s="93" t="n">
        <x:f>W1029-X1029</x:f>
        <x:v>19</x:v>
      </x:c>
      <x:c r="Z1029" s="94" t="n">
        <x:f>IFERROR(Y1029/W1029,0)</x:f>
        <x:v>0.7916666666666666</x:v>
      </x:c>
      <x:c r="AA1029" s="84" t="str">
        <x:f>PROPER(TRIM('Raw Sales'!M1029))</x:f>
        <x:v>Credit Card</x:v>
      </x:c>
      <x:c r="AB1029" s="84" t="str">
        <x:f>PROPER(TRIM('Raw Sales'!N1029))</x:f>
        <x:v>Nora Kim</x:v>
      </x:c>
      <x:c r="AC1029" s="85" t="n">
        <x:f>'Raw Sales'!O1029</x:f>
        <x:v>45638</x:v>
      </x:c>
      <x:c r="AD1029" s="84" t="n">
        <x:f>AC1029-B1029</x:f>
        <x:v>3</x:v>
      </x:c>
      <x:c r="AE1029" s="84" t="str">
        <x:f>IF(COUNTIF($A$5:A1029,A1029)&gt;1,"Duplicate","Keep")</x:f>
        <x:v>Keep</x:v>
      </x:c>
      <x:c r="AF1029" s="84" t="str">
        <x:f>IF(OR(R1029&lt;=0,AC1029&lt;B1029,H1029="Unknown",M1029="Unknown Product"),"Review","Valid")</x:f>
        <x:v>Valid</x:v>
      </x:c>
      <x:c r="AG1029" s="84" t="n">
        <x:f>IF(AND(AE1029="Keep",AF1029="Valid"),1,0)</x:f>
        <x:v>1</x:v>
      </x:c>
      <x:c r="AH1029" s="84" t="n">
        <x:f>IF(AND(AG1029=1,OR('Dashboard'!$B$4="All",I1029='Dashboard'!$B$4),OR('Dashboard'!$E$4="All",N1029='Dashboard'!$E$4),OR('Dashboard'!$H$4="All",K1029='Dashboard'!$H$4),OR('Dashboard'!$K$4="All",C1029='Dashboard'!$K$4)),1,0)</x:f>
        <x:v>1</x:v>
      </x:c>
      <x:c r="AI1029" s="84" t="n">
        <x:f>IF(AND(AG1029=1,OR('Dashboard'!$B$4="All",I1029='Dashboard'!$B$4),OR('Dashboard'!$E$4="All",N1029='Dashboard'!$E$4),OR('Dashboard'!$H$4="All",K1029='Dashboard'!$H$4)),1,0)</x:f>
        <x:v>1</x:v>
      </x:c>
    </x:row>
    <x:row r="1030">
      <x:c r="A1030" s="84" t="str">
        <x:f>'Raw Sales'!A1030</x:f>
        <x:v>ORD-2024-01418</x:v>
      </x:c>
      <x:c r="B1030" s="85" t="n">
        <x:f>'Raw Sales'!B1030</x:f>
        <x:v>45635</x:v>
      </x:c>
      <x:c r="C1030" s="84" t="n">
        <x:f>YEAR(B1030)</x:f>
        <x:v>2024</x:v>
      </x:c>
      <x:c r="D1030" s="91" t="n">
        <x:f>DATE(YEAR(B1030),MONTH(B1030),1)</x:f>
        <x:v>45627</x:v>
      </x:c>
      <x:c r="E1030" s="84" t="str">
        <x:f>TEXT(B1030,"mmm")</x:f>
        <x:v>Dec</x:v>
      </x:c>
      <x:c r="F1030" s="84" t="str">
        <x:f>'Raw Sales'!C1030</x:f>
        <x:v>CUST-0416</x:v>
      </x:c>
      <x:c r="G1030" s="84" t="str">
        <x:f>PROPER(TRIM('Raw Sales'!D1030))</x:f>
        <x:v>Isaac Garcia</x:v>
      </x:c>
      <x:c r="H1030" s="84" t="str">
        <x:f>IF(TRIM('Raw Sales'!E1030)="","Unknown",PROPER(TRIM('Raw Sales'!E1030)))</x:f>
        <x:v>Consumer</x:v>
      </x:c>
      <x:c r="I1030" s="84" t="str">
        <x:f>PROPER(TRIM('Raw Sales'!F1030))</x:f>
        <x:v>Midwest</x:v>
      </x:c>
      <x:c r="J1030" s="84" t="str">
        <x:f>PROPER(TRIM('Raw Sales'!G1030))</x:f>
        <x:v>Chicago</x:v>
      </x:c>
      <x:c r="K1030" s="84" t="str">
        <x:f>PROPER(TRIM('Raw Sales'!H1030))</x:f>
        <x:v>Retail Store</x:v>
      </x:c>
      <x:c r="L1030" s="84" t="str">
        <x:f>'Raw Sales'!I1030</x:f>
        <x:v>OFFC-005</x:v>
      </x:c>
      <x:c r="M1030" s="84" t="str">
        <x:f>IFERROR(VLOOKUP(L1030,'Reference Data'!$A$5:$F$40,2,FALSE),"Unknown Product")</x:f>
        <x:v>Wireless Keyboard</x:v>
      </x:c>
      <x:c r="N1030" s="84" t="str">
        <x:f>IFERROR(VLOOKUP(L1030,'Reference Data'!$A$5:$F$40,3,FALSE),"Unknown")</x:f>
        <x:v>Office</x:v>
      </x:c>
      <x:c r="O1030" s="84" t="str">
        <x:f>IFERROR(VLOOKUP(L1030,'Reference Data'!$A$5:$F$40,4,FALSE),"Unknown")</x:f>
        <x:v>Computer Accessories</x:v>
      </x:c>
      <x:c r="P1030" s="92" t="n">
        <x:f>IFERROR(VLOOKUP(L1030,'Reference Data'!$A$5:$F$40,5,FALSE),0)</x:f>
        <x:v>59</x:v>
      </x:c>
      <x:c r="Q1030" s="92" t="n">
        <x:f>IFERROR(VLOOKUP(L1030,'Reference Data'!$A$5:$F$40,6,FALSE),0)</x:f>
        <x:v>28</x:v>
      </x:c>
      <x:c r="R1030" s="84" t="n">
        <x:f>'Raw Sales'!J1030</x:f>
        <x:v>2</x:v>
      </x:c>
      <x:c r="S1030" s="87" t="n">
        <x:f>'Raw Sales'!K1030</x:f>
        <x:v>0</x:v>
      </x:c>
      <x:c r="T1030" s="93" t="n">
        <x:f>P1030*R1030</x:f>
        <x:v>118</x:v>
      </x:c>
      <x:c r="U1030" s="93" t="n">
        <x:f>T1030*S1030</x:f>
        <x:v>0</x:v>
      </x:c>
      <x:c r="V1030" s="93" t="str">
        <x:f>PROPER(TRIM('Raw Sales'!L1030))</x:f>
        <x:v>Completed</x:v>
      </x:c>
      <x:c r="W1030" s="93" t="n">
        <x:f>IF(V1030="Returned",0,T1030-U1030)</x:f>
        <x:v>118</x:v>
      </x:c>
      <x:c r="X1030" s="93" t="n">
        <x:f>IF(V1030="Returned",Q1030*R1030*10%,Q1030*R1030)</x:f>
        <x:v>56</x:v>
      </x:c>
      <x:c r="Y1030" s="93" t="n">
        <x:f>W1030-X1030</x:f>
        <x:v>62</x:v>
      </x:c>
      <x:c r="Z1030" s="94" t="n">
        <x:f>IFERROR(Y1030/W1030,0)</x:f>
        <x:v>0.5254237288135594</x:v>
      </x:c>
      <x:c r="AA1030" s="84" t="str">
        <x:f>PROPER(TRIM('Raw Sales'!M1030))</x:f>
        <x:v>Cash</x:v>
      </x:c>
      <x:c r="AB1030" s="84" t="str">
        <x:f>PROPER(TRIM('Raw Sales'!N1030))</x:f>
        <x:v>Zoe Turner</x:v>
      </x:c>
      <x:c r="AC1030" s="85" t="n">
        <x:f>'Raw Sales'!O1030</x:f>
        <x:v>45636</x:v>
      </x:c>
      <x:c r="AD1030" s="84" t="n">
        <x:f>AC1030-B1030</x:f>
        <x:v>1</x:v>
      </x:c>
      <x:c r="AE1030" s="84" t="str">
        <x:f>IF(COUNTIF($A$5:A1030,A1030)&gt;1,"Duplicate","Keep")</x:f>
        <x:v>Keep</x:v>
      </x:c>
      <x:c r="AF1030" s="84" t="str">
        <x:f>IF(OR(R1030&lt;=0,AC1030&lt;B1030,H1030="Unknown",M1030="Unknown Product"),"Review","Valid")</x:f>
        <x:v>Valid</x:v>
      </x:c>
      <x:c r="AG1030" s="84" t="n">
        <x:f>IF(AND(AE1030="Keep",AF1030="Valid"),1,0)</x:f>
        <x:v>1</x:v>
      </x:c>
      <x:c r="AH1030" s="84" t="n">
        <x:f>IF(AND(AG1030=1,OR('Dashboard'!$B$4="All",I1030='Dashboard'!$B$4),OR('Dashboard'!$E$4="All",N1030='Dashboard'!$E$4),OR('Dashboard'!$H$4="All",K1030='Dashboard'!$H$4),OR('Dashboard'!$K$4="All",C1030='Dashboard'!$K$4)),1,0)</x:f>
        <x:v>1</x:v>
      </x:c>
      <x:c r="AI1030" s="84" t="n">
        <x:f>IF(AND(AG1030=1,OR('Dashboard'!$B$4="All",I1030='Dashboard'!$B$4),OR('Dashboard'!$E$4="All",N1030='Dashboard'!$E$4),OR('Dashboard'!$H$4="All",K1030='Dashboard'!$H$4)),1,0)</x:f>
        <x:v>1</x:v>
      </x:c>
    </x:row>
    <x:row r="1031">
      <x:c r="A1031" s="84" t="str">
        <x:f>'Raw Sales'!A1031</x:f>
        <x:v>ORD-2024-01557</x:v>
      </x:c>
      <x:c r="B1031" s="85" t="n">
        <x:f>'Raw Sales'!B1031</x:f>
        <x:v>45635</x:v>
      </x:c>
      <x:c r="C1031" s="84" t="n">
        <x:f>YEAR(B1031)</x:f>
        <x:v>2024</x:v>
      </x:c>
      <x:c r="D1031" s="91" t="n">
        <x:f>DATE(YEAR(B1031),MONTH(B1031),1)</x:f>
        <x:v>45627</x:v>
      </x:c>
      <x:c r="E1031" s="84" t="str">
        <x:f>TEXT(B1031,"mmm")</x:f>
        <x:v>Dec</x:v>
      </x:c>
      <x:c r="F1031" s="84" t="str">
        <x:f>'Raw Sales'!C1031</x:f>
        <x:v>CUST-0474</x:v>
      </x:c>
      <x:c r="G1031" s="84" t="str">
        <x:f>PROPER(TRIM('Raw Sales'!D1031))</x:f>
        <x:v>Aiden Foster</x:v>
      </x:c>
      <x:c r="H1031" s="84" t="str">
        <x:f>IF(TRIM('Raw Sales'!E1031)="","Unknown",PROPER(TRIM('Raw Sales'!E1031)))</x:f>
        <x:v>Consumer</x:v>
      </x:c>
      <x:c r="I1031" s="84" t="str">
        <x:f>PROPER(TRIM('Raw Sales'!F1031))</x:f>
        <x:v>Southeast</x:v>
      </x:c>
      <x:c r="J1031" s="84" t="str">
        <x:f>PROPER(TRIM('Raw Sales'!G1031))</x:f>
        <x:v>Miami</x:v>
      </x:c>
      <x:c r="K1031" s="84" t="str">
        <x:f>PROPER(TRIM('Raw Sales'!H1031))</x:f>
        <x:v>Marketplace</x:v>
      </x:c>
      <x:c r="L1031" s="84" t="str">
        <x:f>'Raw Sales'!I1031</x:f>
        <x:v>ELEC-004</x:v>
      </x:c>
      <x:c r="M1031" s="84" t="str">
        <x:f>IFERROR(VLOOKUP(L1031,'Reference Data'!$A$5:$F$40,2,FALSE),"Unknown Product")</x:f>
        <x:v>Power Bank</x:v>
      </x:c>
      <x:c r="N1031" s="84" t="str">
        <x:f>IFERROR(VLOOKUP(L1031,'Reference Data'!$A$5:$F$40,3,FALSE),"Unknown")</x:f>
        <x:v>Electronics</x:v>
      </x:c>
      <x:c r="O1031" s="84" t="str">
        <x:f>IFERROR(VLOOKUP(L1031,'Reference Data'!$A$5:$F$40,4,FALSE),"Unknown")</x:f>
        <x:v>Mobile Accessories</x:v>
      </x:c>
      <x:c r="P1031" s="92" t="n">
        <x:f>IFERROR(VLOOKUP(L1031,'Reference Data'!$A$5:$F$40,5,FALSE),0)</x:f>
        <x:v>39</x:v>
      </x:c>
      <x:c r="Q1031" s="92" t="n">
        <x:f>IFERROR(VLOOKUP(L1031,'Reference Data'!$A$5:$F$40,6,FALSE),0)</x:f>
        <x:v>18</x:v>
      </x:c>
      <x:c r="R1031" s="84" t="n">
        <x:f>'Raw Sales'!J1031</x:f>
        <x:v>1</x:v>
      </x:c>
      <x:c r="S1031" s="87" t="n">
        <x:f>'Raw Sales'!K1031</x:f>
        <x:v>0.15</x:v>
      </x:c>
      <x:c r="T1031" s="93" t="n">
        <x:f>P1031*R1031</x:f>
        <x:v>39</x:v>
      </x:c>
      <x:c r="U1031" s="93" t="n">
        <x:f>T1031*S1031</x:f>
        <x:v>5.85</x:v>
      </x:c>
      <x:c r="V1031" s="93" t="str">
        <x:f>PROPER(TRIM('Raw Sales'!L1031))</x:f>
        <x:v>Completed</x:v>
      </x:c>
      <x:c r="W1031" s="93" t="n">
        <x:f>IF(V1031="Returned",0,T1031-U1031)</x:f>
        <x:v>33.15</x:v>
      </x:c>
      <x:c r="X1031" s="93" t="n">
        <x:f>IF(V1031="Returned",Q1031*R1031*10%,Q1031*R1031)</x:f>
        <x:v>18</x:v>
      </x:c>
      <x:c r="Y1031" s="93" t="n">
        <x:f>W1031-X1031</x:f>
        <x:v>15.149999999999999</x:v>
      </x:c>
      <x:c r="Z1031" s="94" t="n">
        <x:f>IFERROR(Y1031/W1031,0)</x:f>
        <x:v>0.45701357466063347</x:v>
      </x:c>
      <x:c r="AA1031" s="84" t="str">
        <x:f>PROPER(TRIM('Raw Sales'!M1031))</x:f>
        <x:v>Debit Card</x:v>
      </x:c>
      <x:c r="AB1031" s="84" t="str">
        <x:f>PROPER(TRIM('Raw Sales'!N1031))</x:f>
        <x:v>Noah Reed</x:v>
      </x:c>
      <x:c r="AC1031" s="85" t="n">
        <x:f>'Raw Sales'!O1031</x:f>
        <x:v>45641</x:v>
      </x:c>
      <x:c r="AD1031" s="84" t="n">
        <x:f>AC1031-B1031</x:f>
        <x:v>6</x:v>
      </x:c>
      <x:c r="AE1031" s="84" t="str">
        <x:f>IF(COUNTIF($A$5:A1031,A1031)&gt;1,"Duplicate","Keep")</x:f>
        <x:v>Keep</x:v>
      </x:c>
      <x:c r="AF1031" s="84" t="str">
        <x:f>IF(OR(R1031&lt;=0,AC1031&lt;B1031,H1031="Unknown",M1031="Unknown Product"),"Review","Valid")</x:f>
        <x:v>Valid</x:v>
      </x:c>
      <x:c r="AG1031" s="84" t="n">
        <x:f>IF(AND(AE1031="Keep",AF1031="Valid"),1,0)</x:f>
        <x:v>1</x:v>
      </x:c>
      <x:c r="AH1031" s="84" t="n">
        <x:f>IF(AND(AG1031=1,OR('Dashboard'!$B$4="All",I1031='Dashboard'!$B$4),OR('Dashboard'!$E$4="All",N1031='Dashboard'!$E$4),OR('Dashboard'!$H$4="All",K1031='Dashboard'!$H$4),OR('Dashboard'!$K$4="All",C1031='Dashboard'!$K$4)),1,0)</x:f>
        <x:v>1</x:v>
      </x:c>
      <x:c r="AI1031" s="84" t="n">
        <x:f>IF(AND(AG1031=1,OR('Dashboard'!$B$4="All",I1031='Dashboard'!$B$4),OR('Dashboard'!$E$4="All",N1031='Dashboard'!$E$4),OR('Dashboard'!$H$4="All",K1031='Dashboard'!$H$4)),1,0)</x:f>
        <x:v>1</x:v>
      </x:c>
    </x:row>
    <x:row r="1032">
      <x:c r="A1032" s="84" t="str">
        <x:f>'Raw Sales'!A1032</x:f>
        <x:v>ORD-2024-01766</x:v>
      </x:c>
      <x:c r="B1032" s="85" t="n">
        <x:f>'Raw Sales'!B1032</x:f>
        <x:v>45635</x:v>
      </x:c>
      <x:c r="C1032" s="84" t="n">
        <x:f>YEAR(B1032)</x:f>
        <x:v>2024</x:v>
      </x:c>
      <x:c r="D1032" s="91" t="n">
        <x:f>DATE(YEAR(B1032),MONTH(B1032),1)</x:f>
        <x:v>45627</x:v>
      </x:c>
      <x:c r="E1032" s="84" t="str">
        <x:f>TEXT(B1032,"mmm")</x:f>
        <x:v>Dec</x:v>
      </x:c>
      <x:c r="F1032" s="84" t="str">
        <x:f>'Raw Sales'!C1032</x:f>
        <x:v>CUST-0229</x:v>
      </x:c>
      <x:c r="G1032" s="84" t="str">
        <x:f>PROPER(TRIM('Raw Sales'!D1032))</x:f>
        <x:v>Maya Evans</x:v>
      </x:c>
      <x:c r="H1032" s="84" t="str">
        <x:f>IF(TRIM('Raw Sales'!E1032)="","Unknown",PROPER(TRIM('Raw Sales'!E1032)))</x:f>
        <x:v>Small Business</x:v>
      </x:c>
      <x:c r="I1032" s="84" t="str">
        <x:f>PROPER(TRIM('Raw Sales'!F1032))</x:f>
        <x:v>Southeast</x:v>
      </x:c>
      <x:c r="J1032" s="84" t="str">
        <x:f>PROPER(TRIM('Raw Sales'!G1032))</x:f>
        <x:v>Miami</x:v>
      </x:c>
      <x:c r="K1032" s="84" t="str">
        <x:f>PROPER(TRIM('Raw Sales'!H1032))</x:f>
        <x:v>Marketplace</x:v>
      </x:c>
      <x:c r="L1032" s="84" t="str">
        <x:f>'Raw Sales'!I1032</x:f>
        <x:v>ACCS-001</x:v>
      </x:c>
      <x:c r="M1032" s="84" t="str">
        <x:f>IFERROR(VLOOKUP(L1032,'Reference Data'!$A$5:$F$40,2,FALSE),"Unknown Product")</x:f>
        <x:v>Canvas Tote Bag</x:v>
      </x:c>
      <x:c r="N1032" s="84" t="str">
        <x:f>IFERROR(VLOOKUP(L1032,'Reference Data'!$A$5:$F$40,3,FALSE),"Unknown")</x:f>
        <x:v>Accessories</x:v>
      </x:c>
      <x:c r="O1032" s="84" t="str">
        <x:f>IFERROR(VLOOKUP(L1032,'Reference Data'!$A$5:$F$40,4,FALSE),"Unknown")</x:f>
        <x:v>Bags</x:v>
      </x:c>
      <x:c r="P1032" s="92" t="n">
        <x:f>IFERROR(VLOOKUP(L1032,'Reference Data'!$A$5:$F$40,5,FALSE),0)</x:f>
        <x:v>39</x:v>
      </x:c>
      <x:c r="Q1032" s="92" t="n">
        <x:f>IFERROR(VLOOKUP(L1032,'Reference Data'!$A$5:$F$40,6,FALSE),0)</x:f>
        <x:v>14</x:v>
      </x:c>
      <x:c r="R1032" s="84" t="n">
        <x:f>'Raw Sales'!J1032</x:f>
        <x:v>2</x:v>
      </x:c>
      <x:c r="S1032" s="87" t="n">
        <x:f>'Raw Sales'!K1032</x:f>
        <x:v>0.15</x:v>
      </x:c>
      <x:c r="T1032" s="93" t="n">
        <x:f>P1032*R1032</x:f>
        <x:v>78</x:v>
      </x:c>
      <x:c r="U1032" s="93" t="n">
        <x:f>T1032*S1032</x:f>
        <x:v>11.7</x:v>
      </x:c>
      <x:c r="V1032" s="93" t="str">
        <x:f>PROPER(TRIM('Raw Sales'!L1032))</x:f>
        <x:v>Completed</x:v>
      </x:c>
      <x:c r="W1032" s="93" t="n">
        <x:f>IF(V1032="Returned",0,T1032-U1032)</x:f>
        <x:v>66.3</x:v>
      </x:c>
      <x:c r="X1032" s="93" t="n">
        <x:f>IF(V1032="Returned",Q1032*R1032*10%,Q1032*R1032)</x:f>
        <x:v>28</x:v>
      </x:c>
      <x:c r="Y1032" s="93" t="n">
        <x:f>W1032-X1032</x:f>
        <x:v>38.3</x:v>
      </x:c>
      <x:c r="Z1032" s="94" t="n">
        <x:f>IFERROR(Y1032/W1032,0)</x:f>
        <x:v>0.5776772247360482</x:v>
      </x:c>
      <x:c r="AA1032" s="84" t="str">
        <x:f>PROPER(TRIM('Raw Sales'!M1032))</x:f>
        <x:v>Credit Card</x:v>
      </x:c>
      <x:c r="AB1032" s="84" t="str">
        <x:f>PROPER(TRIM('Raw Sales'!N1032))</x:f>
        <x:v>Ava Mitchell</x:v>
      </x:c>
      <x:c r="AC1032" s="85" t="n">
        <x:f>'Raw Sales'!O1032</x:f>
        <x:v>45642</x:v>
      </x:c>
      <x:c r="AD1032" s="84" t="n">
        <x:f>AC1032-B1032</x:f>
        <x:v>7</x:v>
      </x:c>
      <x:c r="AE1032" s="84" t="str">
        <x:f>IF(COUNTIF($A$5:A1032,A1032)&gt;1,"Duplicate","Keep")</x:f>
        <x:v>Keep</x:v>
      </x:c>
      <x:c r="AF1032" s="84" t="str">
        <x:f>IF(OR(R1032&lt;=0,AC1032&lt;B1032,H1032="Unknown",M1032="Unknown Product"),"Review","Valid")</x:f>
        <x:v>Valid</x:v>
      </x:c>
      <x:c r="AG1032" s="84" t="n">
        <x:f>IF(AND(AE1032="Keep",AF1032="Valid"),1,0)</x:f>
        <x:v>1</x:v>
      </x:c>
      <x:c r="AH1032" s="84" t="n">
        <x:f>IF(AND(AG1032=1,OR('Dashboard'!$B$4="All",I1032='Dashboard'!$B$4),OR('Dashboard'!$E$4="All",N1032='Dashboard'!$E$4),OR('Dashboard'!$H$4="All",K1032='Dashboard'!$H$4),OR('Dashboard'!$K$4="All",C1032='Dashboard'!$K$4)),1,0)</x:f>
        <x:v>1</x:v>
      </x:c>
      <x:c r="AI1032" s="84" t="n">
        <x:f>IF(AND(AG1032=1,OR('Dashboard'!$B$4="All",I1032='Dashboard'!$B$4),OR('Dashboard'!$E$4="All",N1032='Dashboard'!$E$4),OR('Dashboard'!$H$4="All",K1032='Dashboard'!$H$4)),1,0)</x:f>
        <x:v>1</x:v>
      </x:c>
    </x:row>
    <x:row r="1033">
      <x:c r="A1033" s="84" t="str">
        <x:f>'Raw Sales'!A1033</x:f>
        <x:v>ORD-2024-00047</x:v>
      </x:c>
      <x:c r="B1033" s="85" t="n">
        <x:f>'Raw Sales'!B1033</x:f>
        <x:v>45636</x:v>
      </x:c>
      <x:c r="C1033" s="84" t="n">
        <x:f>YEAR(B1033)</x:f>
        <x:v>2024</x:v>
      </x:c>
      <x:c r="D1033" s="91" t="n">
        <x:f>DATE(YEAR(B1033),MONTH(B1033),1)</x:f>
        <x:v>45627</x:v>
      </x:c>
      <x:c r="E1033" s="84" t="str">
        <x:f>TEXT(B1033,"mmm")</x:f>
        <x:v>Dec</x:v>
      </x:c>
      <x:c r="F1033" s="84" t="str">
        <x:f>'Raw Sales'!C1033</x:f>
        <x:v>CUST-0199</x:v>
      </x:c>
      <x:c r="G1033" s="84" t="str">
        <x:f>PROPER(TRIM('Raw Sales'!D1033))</x:f>
        <x:v>Theo Adams</x:v>
      </x:c>
      <x:c r="H1033" s="84" t="str">
        <x:f>IF(TRIM('Raw Sales'!E1033)="","Unknown",PROPER(TRIM('Raw Sales'!E1033)))</x:f>
        <x:v>Corporate</x:v>
      </x:c>
      <x:c r="I1033" s="84" t="str">
        <x:f>PROPER(TRIM('Raw Sales'!F1033))</x:f>
        <x:v>Northeast</x:v>
      </x:c>
      <x:c r="J1033" s="84" t="str">
        <x:f>PROPER(TRIM('Raw Sales'!G1033))</x:f>
        <x:v>Philadelphia</x:v>
      </x:c>
      <x:c r="K1033" s="84" t="str">
        <x:f>PROPER(TRIM('Raw Sales'!H1033))</x:f>
        <x:v>Online</x:v>
      </x:c>
      <x:c r="L1033" s="84" t="str">
        <x:f>'Raw Sales'!I1033</x:f>
        <x:v>ACCS-002</x:v>
      </x:c>
      <x:c r="M1033" s="84" t="str">
        <x:f>IFERROR(VLOOKUP(L1033,'Reference Data'!$A$5:$F$40,2,FALSE),"Unknown Product")</x:f>
        <x:v>Travel Backpack</x:v>
      </x:c>
      <x:c r="N1033" s="84" t="str">
        <x:f>IFERROR(VLOOKUP(L1033,'Reference Data'!$A$5:$F$40,3,FALSE),"Unknown")</x:f>
        <x:v>Accessories</x:v>
      </x:c>
      <x:c r="O1033" s="84" t="str">
        <x:f>IFERROR(VLOOKUP(L1033,'Reference Data'!$A$5:$F$40,4,FALSE),"Unknown")</x:f>
        <x:v>Bags</x:v>
      </x:c>
      <x:c r="P1033" s="92" t="n">
        <x:f>IFERROR(VLOOKUP(L1033,'Reference Data'!$A$5:$F$40,5,FALSE),0)</x:f>
        <x:v>89</x:v>
      </x:c>
      <x:c r="Q1033" s="92" t="n">
        <x:f>IFERROR(VLOOKUP(L1033,'Reference Data'!$A$5:$F$40,6,FALSE),0)</x:f>
        <x:v>36</x:v>
      </x:c>
      <x:c r="R1033" s="84" t="n">
        <x:f>'Raw Sales'!J1033</x:f>
        <x:v>2</x:v>
      </x:c>
      <x:c r="S1033" s="87" t="n">
        <x:f>'Raw Sales'!K1033</x:f>
        <x:v>0.2</x:v>
      </x:c>
      <x:c r="T1033" s="93" t="n">
        <x:f>P1033*R1033</x:f>
        <x:v>178</x:v>
      </x:c>
      <x:c r="U1033" s="93" t="n">
        <x:f>T1033*S1033</x:f>
        <x:v>35.6</x:v>
      </x:c>
      <x:c r="V1033" s="93" t="str">
        <x:f>PROPER(TRIM('Raw Sales'!L1033))</x:f>
        <x:v>Completed</x:v>
      </x:c>
      <x:c r="W1033" s="93" t="n">
        <x:f>IF(V1033="Returned",0,T1033-U1033)</x:f>
        <x:v>142.4</x:v>
      </x:c>
      <x:c r="X1033" s="93" t="n">
        <x:f>IF(V1033="Returned",Q1033*R1033*10%,Q1033*R1033)</x:f>
        <x:v>72</x:v>
      </x:c>
      <x:c r="Y1033" s="93" t="n">
        <x:f>W1033-X1033</x:f>
        <x:v>70.4</x:v>
      </x:c>
      <x:c r="Z1033" s="94" t="n">
        <x:f>IFERROR(Y1033/W1033,0)</x:f>
        <x:v>0.49438202247191015</x:v>
      </x:c>
      <x:c r="AA1033" s="84" t="str">
        <x:f>PROPER(TRIM('Raw Sales'!M1033))</x:f>
        <x:v>Debit Card</x:v>
      </x:c>
      <x:c r="AB1033" s="84" t="str">
        <x:f>PROPER(TRIM('Raw Sales'!N1033))</x:f>
        <x:v>Ethan Cole</x:v>
      </x:c>
      <x:c r="AC1033" s="85" t="n">
        <x:f>'Raw Sales'!O1033</x:f>
        <x:v>45642</x:v>
      </x:c>
      <x:c r="AD1033" s="84" t="n">
        <x:f>AC1033-B1033</x:f>
        <x:v>6</x:v>
      </x:c>
      <x:c r="AE1033" s="84" t="str">
        <x:f>IF(COUNTIF($A$5:A1033,A1033)&gt;1,"Duplicate","Keep")</x:f>
        <x:v>Keep</x:v>
      </x:c>
      <x:c r="AF1033" s="84" t="str">
        <x:f>IF(OR(R1033&lt;=0,AC1033&lt;B1033,H1033="Unknown",M1033="Unknown Product"),"Review","Valid")</x:f>
        <x:v>Valid</x:v>
      </x:c>
      <x:c r="AG1033" s="84" t="n">
        <x:f>IF(AND(AE1033="Keep",AF1033="Valid"),1,0)</x:f>
        <x:v>1</x:v>
      </x:c>
      <x:c r="AH1033" s="84" t="n">
        <x:f>IF(AND(AG1033=1,OR('Dashboard'!$B$4="All",I1033='Dashboard'!$B$4),OR('Dashboard'!$E$4="All",N1033='Dashboard'!$E$4),OR('Dashboard'!$H$4="All",K1033='Dashboard'!$H$4),OR('Dashboard'!$K$4="All",C1033='Dashboard'!$K$4)),1,0)</x:f>
        <x:v>1</x:v>
      </x:c>
      <x:c r="AI1033" s="84" t="n">
        <x:f>IF(AND(AG1033=1,OR('Dashboard'!$B$4="All",I1033='Dashboard'!$B$4),OR('Dashboard'!$E$4="All",N1033='Dashboard'!$E$4),OR('Dashboard'!$H$4="All",K1033='Dashboard'!$H$4)),1,0)</x:f>
        <x:v>1</x:v>
      </x:c>
    </x:row>
    <x:row r="1034">
      <x:c r="A1034" s="84" t="str">
        <x:f>'Raw Sales'!A1034</x:f>
        <x:v>ORD-2024-00069</x:v>
      </x:c>
      <x:c r="B1034" s="85" t="n">
        <x:f>'Raw Sales'!B1034</x:f>
        <x:v>45636</x:v>
      </x:c>
      <x:c r="C1034" s="84" t="n">
        <x:f>YEAR(B1034)</x:f>
        <x:v>2024</x:v>
      </x:c>
      <x:c r="D1034" s="91" t="n">
        <x:f>DATE(YEAR(B1034),MONTH(B1034),1)</x:f>
        <x:v>45627</x:v>
      </x:c>
      <x:c r="E1034" s="84" t="str">
        <x:f>TEXT(B1034,"mmm")</x:f>
        <x:v>Dec</x:v>
      </x:c>
      <x:c r="F1034" s="84" t="str">
        <x:f>'Raw Sales'!C1034</x:f>
        <x:v>CUST-0166</x:v>
      </x:c>
      <x:c r="G1034" s="84" t="str">
        <x:f>PROPER(TRIM('Raw Sales'!D1034))</x:f>
        <x:v>Marcus Young</x:v>
      </x:c>
      <x:c r="H1034" s="84" t="str">
        <x:f>IF(TRIM('Raw Sales'!E1034)="","Unknown",PROPER(TRIM('Raw Sales'!E1034)))</x:f>
        <x:v>Consumer</x:v>
      </x:c>
      <x:c r="I1034" s="84" t="str">
        <x:f>PROPER(TRIM('Raw Sales'!F1034))</x:f>
        <x:v>West</x:v>
      </x:c>
      <x:c r="J1034" s="84" t="str">
        <x:f>PROPER(TRIM('Raw Sales'!G1034))</x:f>
        <x:v>Phoenix</x:v>
      </x:c>
      <x:c r="K1034" s="84" t="str">
        <x:f>PROPER(TRIM('Raw Sales'!H1034))</x:f>
        <x:v>Retail Store</x:v>
      </x:c>
      <x:c r="L1034" s="84" t="str">
        <x:f>'Raw Sales'!I1034</x:f>
        <x:v>ACCS-005</x:v>
      </x:c>
      <x:c r="M1034" s="84" t="str">
        <x:f>IFERROR(VLOOKUP(L1034,'Reference Data'!$A$5:$F$40,2,FALSE),"Unknown Product")</x:f>
        <x:v>Protective Phone Case</x:v>
      </x:c>
      <x:c r="N1034" s="84" t="str">
        <x:f>IFERROR(VLOOKUP(L1034,'Reference Data'!$A$5:$F$40,3,FALSE),"Unknown")</x:f>
        <x:v>Accessories</x:v>
      </x:c>
      <x:c r="O1034" s="84" t="str">
        <x:f>IFERROR(VLOOKUP(L1034,'Reference Data'!$A$5:$F$40,4,FALSE),"Unknown")</x:f>
        <x:v>Mobile Accessories</x:v>
      </x:c>
      <x:c r="P1034" s="92" t="n">
        <x:f>IFERROR(VLOOKUP(L1034,'Reference Data'!$A$5:$F$40,5,FALSE),0)</x:f>
        <x:v>24</x:v>
      </x:c>
      <x:c r="Q1034" s="92" t="n">
        <x:f>IFERROR(VLOOKUP(L1034,'Reference Data'!$A$5:$F$40,6,FALSE),0)</x:f>
        <x:v>5</x:v>
      </x:c>
      <x:c r="R1034" s="84" t="n">
        <x:f>'Raw Sales'!J1034</x:f>
        <x:v>1</x:v>
      </x:c>
      <x:c r="S1034" s="87" t="n">
        <x:f>'Raw Sales'!K1034</x:f>
        <x:v>0.1</x:v>
      </x:c>
      <x:c r="T1034" s="93" t="n">
        <x:f>P1034*R1034</x:f>
        <x:v>24</x:v>
      </x:c>
      <x:c r="U1034" s="93" t="n">
        <x:f>T1034*S1034</x:f>
        <x:v>2.4000000000000004</x:v>
      </x:c>
      <x:c r="V1034" s="93" t="str">
        <x:f>PROPER(TRIM('Raw Sales'!L1034))</x:f>
        <x:v>Completed</x:v>
      </x:c>
      <x:c r="W1034" s="93" t="n">
        <x:f>IF(V1034="Returned",0,T1034-U1034)</x:f>
        <x:v>21.6</x:v>
      </x:c>
      <x:c r="X1034" s="93" t="n">
        <x:f>IF(V1034="Returned",Q1034*R1034*10%,Q1034*R1034)</x:f>
        <x:v>5</x:v>
      </x:c>
      <x:c r="Y1034" s="93" t="n">
        <x:f>W1034-X1034</x:f>
        <x:v>16.6</x:v>
      </x:c>
      <x:c r="Z1034" s="94" t="n">
        <x:f>IFERROR(Y1034/W1034,0)</x:f>
        <x:v>0.7685185185185185</x:v>
      </x:c>
      <x:c r="AA1034" s="84" t="str">
        <x:f>PROPER(TRIM('Raw Sales'!M1034))</x:f>
        <x:v>Debit Card</x:v>
      </x:c>
      <x:c r="AB1034" s="84" t="str">
        <x:f>PROPER(TRIM('Raw Sales'!N1034))</x:f>
        <x:v>Leo Martinez</x:v>
      </x:c>
      <x:c r="AC1034" s="85" t="n">
        <x:f>'Raw Sales'!O1034</x:f>
        <x:v>45636</x:v>
      </x:c>
      <x:c r="AD1034" s="84" t="n">
        <x:f>AC1034-B1034</x:f>
        <x:v>0</x:v>
      </x:c>
      <x:c r="AE1034" s="84" t="str">
        <x:f>IF(COUNTIF($A$5:A1034,A1034)&gt;1,"Duplicate","Keep")</x:f>
        <x:v>Keep</x:v>
      </x:c>
      <x:c r="AF1034" s="84" t="str">
        <x:f>IF(OR(R1034&lt;=0,AC1034&lt;B1034,H1034="Unknown",M1034="Unknown Product"),"Review","Valid")</x:f>
        <x:v>Valid</x:v>
      </x:c>
      <x:c r="AG1034" s="84" t="n">
        <x:f>IF(AND(AE1034="Keep",AF1034="Valid"),1,0)</x:f>
        <x:v>1</x:v>
      </x:c>
      <x:c r="AH1034" s="84" t="n">
        <x:f>IF(AND(AG1034=1,OR('Dashboard'!$B$4="All",I1034='Dashboard'!$B$4),OR('Dashboard'!$E$4="All",N1034='Dashboard'!$E$4),OR('Dashboard'!$H$4="All",K1034='Dashboard'!$H$4),OR('Dashboard'!$K$4="All",C1034='Dashboard'!$K$4)),1,0)</x:f>
        <x:v>1</x:v>
      </x:c>
      <x:c r="AI1034" s="84" t="n">
        <x:f>IF(AND(AG1034=1,OR('Dashboard'!$B$4="All",I1034='Dashboard'!$B$4),OR('Dashboard'!$E$4="All",N1034='Dashboard'!$E$4),OR('Dashboard'!$H$4="All",K1034='Dashboard'!$H$4)),1,0)</x:f>
        <x:v>1</x:v>
      </x:c>
    </x:row>
    <x:row r="1035">
      <x:c r="A1035" s="84" t="str">
        <x:f>'Raw Sales'!A1035</x:f>
        <x:v>ORD-2024-00329</x:v>
      </x:c>
      <x:c r="B1035" s="85" t="n">
        <x:f>'Raw Sales'!B1035</x:f>
        <x:v>45636</x:v>
      </x:c>
      <x:c r="C1035" s="84" t="n">
        <x:f>YEAR(B1035)</x:f>
        <x:v>2024</x:v>
      </x:c>
      <x:c r="D1035" s="91" t="n">
        <x:f>DATE(YEAR(B1035),MONTH(B1035),1)</x:f>
        <x:v>45627</x:v>
      </x:c>
      <x:c r="E1035" s="84" t="str">
        <x:f>TEXT(B1035,"mmm")</x:f>
        <x:v>Dec</x:v>
      </x:c>
      <x:c r="F1035" s="84" t="str">
        <x:f>'Raw Sales'!C1035</x:f>
        <x:v>CUST-0248</x:v>
      </x:c>
      <x:c r="G1035" s="84" t="str">
        <x:f>PROPER(TRIM('Raw Sales'!D1035))</x:f>
        <x:v>Chloe Khan</x:v>
      </x:c>
      <x:c r="H1035" s="84" t="str">
        <x:f>IF(TRIM('Raw Sales'!E1035)="","Unknown",PROPER(TRIM('Raw Sales'!E1035)))</x:f>
        <x:v>Corporate</x:v>
      </x:c>
      <x:c r="I1035" s="84" t="str">
        <x:f>PROPER(TRIM('Raw Sales'!F1035))</x:f>
        <x:v>Midwest</x:v>
      </x:c>
      <x:c r="J1035" s="84" t="str">
        <x:f>PROPER(TRIM('Raw Sales'!G1035))</x:f>
        <x:v>Chicago</x:v>
      </x:c>
      <x:c r="K1035" s="84" t="str">
        <x:f>PROPER(TRIM('Raw Sales'!H1035))</x:f>
        <x:v>Marketplace</x:v>
      </x:c>
      <x:c r="L1035" s="84" t="str">
        <x:f>'Raw Sales'!I1035</x:f>
        <x:v>ELEC-001</x:v>
      </x:c>
      <x:c r="M1035" s="84" t="str">
        <x:f>IFERROR(VLOOKUP(L1035,'Reference Data'!$A$5:$F$40,2,FALSE),"Unknown Product")</x:f>
        <x:v>Wireless Earbuds</x:v>
      </x:c>
      <x:c r="N1035" s="84" t="str">
        <x:f>IFERROR(VLOOKUP(L1035,'Reference Data'!$A$5:$F$40,3,FALSE),"Unknown")</x:f>
        <x:v>Electronics</x:v>
      </x:c>
      <x:c r="O1035" s="84" t="str">
        <x:f>IFERROR(VLOOKUP(L1035,'Reference Data'!$A$5:$F$40,4,FALSE),"Unknown")</x:f>
        <x:v>Audio</x:v>
      </x:c>
      <x:c r="P1035" s="92" t="n">
        <x:f>IFERROR(VLOOKUP(L1035,'Reference Data'!$A$5:$F$40,5,FALSE),0)</x:f>
        <x:v>69</x:v>
      </x:c>
      <x:c r="Q1035" s="92" t="n">
        <x:f>IFERROR(VLOOKUP(L1035,'Reference Data'!$A$5:$F$40,6,FALSE),0)</x:f>
        <x:v>36</x:v>
      </x:c>
      <x:c r="R1035" s="84" t="n">
        <x:f>'Raw Sales'!J1035</x:f>
        <x:v>3</x:v>
      </x:c>
      <x:c r="S1035" s="87" t="n">
        <x:f>'Raw Sales'!K1035</x:f>
        <x:v>0.1</x:v>
      </x:c>
      <x:c r="T1035" s="93" t="n">
        <x:f>P1035*R1035</x:f>
        <x:v>207</x:v>
      </x:c>
      <x:c r="U1035" s="93" t="n">
        <x:f>T1035*S1035</x:f>
        <x:v>20.700000000000003</x:v>
      </x:c>
      <x:c r="V1035" s="93" t="str">
        <x:f>PROPER(TRIM('Raw Sales'!L1035))</x:f>
        <x:v>Completed</x:v>
      </x:c>
      <x:c r="W1035" s="93" t="n">
        <x:f>IF(V1035="Returned",0,T1035-U1035)</x:f>
        <x:v>186.3</x:v>
      </x:c>
      <x:c r="X1035" s="93" t="n">
        <x:f>IF(V1035="Returned",Q1035*R1035*10%,Q1035*R1035)</x:f>
        <x:v>108</x:v>
      </x:c>
      <x:c r="Y1035" s="93" t="n">
        <x:f>W1035-X1035</x:f>
        <x:v>78.30000000000001</x:v>
      </x:c>
      <x:c r="Z1035" s="94" t="n">
        <x:f>IFERROR(Y1035/W1035,0)</x:f>
        <x:v>0.4202898550724638</x:v>
      </x:c>
      <x:c r="AA1035" s="84" t="str">
        <x:f>PROPER(TRIM('Raw Sales'!M1035))</x:f>
        <x:v>Paypal</x:v>
      </x:c>
      <x:c r="AB1035" s="84" t="str">
        <x:f>PROPER(TRIM('Raw Sales'!N1035))</x:f>
        <x:v>Zoe Turner</x:v>
      </x:c>
      <x:c r="AC1035" s="85" t="n">
        <x:f>'Raw Sales'!O1035</x:f>
        <x:v>45640</x:v>
      </x:c>
      <x:c r="AD1035" s="84" t="n">
        <x:f>AC1035-B1035</x:f>
        <x:v>4</x:v>
      </x:c>
      <x:c r="AE1035" s="84" t="str">
        <x:f>IF(COUNTIF($A$5:A1035,A1035)&gt;1,"Duplicate","Keep")</x:f>
        <x:v>Keep</x:v>
      </x:c>
      <x:c r="AF1035" s="84" t="str">
        <x:f>IF(OR(R1035&lt;=0,AC1035&lt;B1035,H1035="Unknown",M1035="Unknown Product"),"Review","Valid")</x:f>
        <x:v>Valid</x:v>
      </x:c>
      <x:c r="AG1035" s="84" t="n">
        <x:f>IF(AND(AE1035="Keep",AF1035="Valid"),1,0)</x:f>
        <x:v>1</x:v>
      </x:c>
      <x:c r="AH1035" s="84" t="n">
        <x:f>IF(AND(AG1035=1,OR('Dashboard'!$B$4="All",I1035='Dashboard'!$B$4),OR('Dashboard'!$E$4="All",N1035='Dashboard'!$E$4),OR('Dashboard'!$H$4="All",K1035='Dashboard'!$H$4),OR('Dashboard'!$K$4="All",C1035='Dashboard'!$K$4)),1,0)</x:f>
        <x:v>1</x:v>
      </x:c>
      <x:c r="AI1035" s="84" t="n">
        <x:f>IF(AND(AG1035=1,OR('Dashboard'!$B$4="All",I1035='Dashboard'!$B$4),OR('Dashboard'!$E$4="All",N1035='Dashboard'!$E$4),OR('Dashboard'!$H$4="All",K1035='Dashboard'!$H$4)),1,0)</x:f>
        <x:v>1</x:v>
      </x:c>
    </x:row>
    <x:row r="1036">
      <x:c r="A1036" s="84" t="str">
        <x:f>'Raw Sales'!A1036</x:f>
        <x:v>ORD-2024-01222</x:v>
      </x:c>
      <x:c r="B1036" s="85" t="n">
        <x:f>'Raw Sales'!B1036</x:f>
        <x:v>45636</x:v>
      </x:c>
      <x:c r="C1036" s="84" t="n">
        <x:f>YEAR(B1036)</x:f>
        <x:v>2024</x:v>
      </x:c>
      <x:c r="D1036" s="91" t="n">
        <x:f>DATE(YEAR(B1036),MONTH(B1036),1)</x:f>
        <x:v>45627</x:v>
      </x:c>
      <x:c r="E1036" s="84" t="str">
        <x:f>TEXT(B1036,"mmm")</x:f>
        <x:v>Dec</x:v>
      </x:c>
      <x:c r="F1036" s="84" t="str">
        <x:f>'Raw Sales'!C1036</x:f>
        <x:v>CUST-0079</x:v>
      </x:c>
      <x:c r="G1036" s="84" t="str">
        <x:f>PROPER(TRIM('Raw Sales'!D1036))</x:f>
        <x:v>Isaac Foster</x:v>
      </x:c>
      <x:c r="H1036" s="84" t="str">
        <x:f>IF(TRIM('Raw Sales'!E1036)="","Unknown",PROPER(TRIM('Raw Sales'!E1036)))</x:f>
        <x:v>Consumer</x:v>
      </x:c>
      <x:c r="I1036" s="84" t="str">
        <x:f>PROPER(TRIM('Raw Sales'!F1036))</x:f>
        <x:v>Midwest</x:v>
      </x:c>
      <x:c r="J1036" s="84" t="str">
        <x:f>PROPER(TRIM('Raw Sales'!G1036))</x:f>
        <x:v>Minneapolis</x:v>
      </x:c>
      <x:c r="K1036" s="84" t="str">
        <x:f>PROPER(TRIM('Raw Sales'!H1036))</x:f>
        <x:v>Retail Store</x:v>
      </x:c>
      <x:c r="L1036" s="84" t="str">
        <x:f>'Raw Sales'!I1036</x:f>
        <x:v>CARE-005</x:v>
      </x:c>
      <x:c r="M1036" s="84" t="str">
        <x:f>IFERROR(VLOOKUP(L1036,'Reference Data'!$A$5:$F$40,2,FALSE),"Unknown Product")</x:f>
        <x:v>Skin Care Starter Kit</x:v>
      </x:c>
      <x:c r="N1036" s="84" t="str">
        <x:f>IFERROR(VLOOKUP(L1036,'Reference Data'!$A$5:$F$40,3,FALSE),"Unknown")</x:f>
        <x:v>Personal Care</x:v>
      </x:c>
      <x:c r="O1036" s="84" t="str">
        <x:f>IFERROR(VLOOKUP(L1036,'Reference Data'!$A$5:$F$40,4,FALSE),"Unknown")</x:f>
        <x:v>Skin Care</x:v>
      </x:c>
      <x:c r="P1036" s="92" t="n">
        <x:f>IFERROR(VLOOKUP(L1036,'Reference Data'!$A$5:$F$40,5,FALSE),0)</x:f>
        <x:v>58</x:v>
      </x:c>
      <x:c r="Q1036" s="92" t="n">
        <x:f>IFERROR(VLOOKUP(L1036,'Reference Data'!$A$5:$F$40,6,FALSE),0)</x:f>
        <x:v>24</x:v>
      </x:c>
      <x:c r="R1036" s="84" t="n">
        <x:f>'Raw Sales'!J1036</x:f>
        <x:v>1</x:v>
      </x:c>
      <x:c r="S1036" s="87" t="n">
        <x:f>'Raw Sales'!K1036</x:f>
        <x:v>0</x:v>
      </x:c>
      <x:c r="T1036" s="93" t="n">
        <x:f>P1036*R1036</x:f>
        <x:v>58</x:v>
      </x:c>
      <x:c r="U1036" s="93" t="n">
        <x:f>T1036*S1036</x:f>
        <x:v>0</x:v>
      </x:c>
      <x:c r="V1036" s="93" t="str">
        <x:f>PROPER(TRIM('Raw Sales'!L1036))</x:f>
        <x:v>Completed</x:v>
      </x:c>
      <x:c r="W1036" s="93" t="n">
        <x:f>IF(V1036="Returned",0,T1036-U1036)</x:f>
        <x:v>58</x:v>
      </x:c>
      <x:c r="X1036" s="93" t="n">
        <x:f>IF(V1036="Returned",Q1036*R1036*10%,Q1036*R1036)</x:f>
        <x:v>24</x:v>
      </x:c>
      <x:c r="Y1036" s="93" t="n">
        <x:f>W1036-X1036</x:f>
        <x:v>34</x:v>
      </x:c>
      <x:c r="Z1036" s="94" t="n">
        <x:f>IFERROR(Y1036/W1036,0)</x:f>
        <x:v>0.5862068965517241</x:v>
      </x:c>
      <x:c r="AA1036" s="84" t="str">
        <x:f>PROPER(TRIM('Raw Sales'!M1036))</x:f>
        <x:v>Debit Card</x:v>
      </x:c>
      <x:c r="AB1036" s="84" t="str">
        <x:f>PROPER(TRIM('Raw Sales'!N1036))</x:f>
        <x:v>Lucas Grant</x:v>
      </x:c>
      <x:c r="AC1036" s="85" t="n">
        <x:f>'Raw Sales'!O1036</x:f>
        <x:v>45636</x:v>
      </x:c>
      <x:c r="AD1036" s="84" t="n">
        <x:f>AC1036-B1036</x:f>
        <x:v>0</x:v>
      </x:c>
      <x:c r="AE1036" s="84" t="str">
        <x:f>IF(COUNTIF($A$5:A1036,A1036)&gt;1,"Duplicate","Keep")</x:f>
        <x:v>Keep</x:v>
      </x:c>
      <x:c r="AF1036" s="84" t="str">
        <x:f>IF(OR(R1036&lt;=0,AC1036&lt;B1036,H1036="Unknown",M1036="Unknown Product"),"Review","Valid")</x:f>
        <x:v>Valid</x:v>
      </x:c>
      <x:c r="AG1036" s="84" t="n">
        <x:f>IF(AND(AE1036="Keep",AF1036="Valid"),1,0)</x:f>
        <x:v>1</x:v>
      </x:c>
      <x:c r="AH1036" s="84" t="n">
        <x:f>IF(AND(AG1036=1,OR('Dashboard'!$B$4="All",I1036='Dashboard'!$B$4),OR('Dashboard'!$E$4="All",N1036='Dashboard'!$E$4),OR('Dashboard'!$H$4="All",K1036='Dashboard'!$H$4),OR('Dashboard'!$K$4="All",C1036='Dashboard'!$K$4)),1,0)</x:f>
        <x:v>1</x:v>
      </x:c>
      <x:c r="AI1036" s="84" t="n">
        <x:f>IF(AND(AG1036=1,OR('Dashboard'!$B$4="All",I1036='Dashboard'!$B$4),OR('Dashboard'!$E$4="All",N1036='Dashboard'!$E$4),OR('Dashboard'!$H$4="All",K1036='Dashboard'!$H$4)),1,0)</x:f>
        <x:v>1</x:v>
      </x:c>
    </x:row>
    <x:row r="1037">
      <x:c r="A1037" s="84" t="str">
        <x:f>'Raw Sales'!A1037</x:f>
        <x:v>ORD-2024-01381</x:v>
      </x:c>
      <x:c r="B1037" s="85" t="n">
        <x:f>'Raw Sales'!B1037</x:f>
        <x:v>45636</x:v>
      </x:c>
      <x:c r="C1037" s="84" t="n">
        <x:f>YEAR(B1037)</x:f>
        <x:v>2024</x:v>
      </x:c>
      <x:c r="D1037" s="91" t="n">
        <x:f>DATE(YEAR(B1037),MONTH(B1037),1)</x:f>
        <x:v>45627</x:v>
      </x:c>
      <x:c r="E1037" s="84" t="str">
        <x:f>TEXT(B1037,"mmm")</x:f>
        <x:v>Dec</x:v>
      </x:c>
      <x:c r="F1037" s="84" t="str">
        <x:f>'Raw Sales'!C1037</x:f>
        <x:v>CUST-0598</x:v>
      </x:c>
      <x:c r="G1037" s="84" t="str">
        <x:f>PROPER(TRIM('Raw Sales'!D1037))</x:f>
        <x:v>Amelia Evans</x:v>
      </x:c>
      <x:c r="H1037" s="84" t="str">
        <x:f>IF(TRIM('Raw Sales'!E1037)="","Unknown",PROPER(TRIM('Raw Sales'!E1037)))</x:f>
        <x:v>Corporate</x:v>
      </x:c>
      <x:c r="I1037" s="84" t="str">
        <x:f>PROPER(TRIM('Raw Sales'!F1037))</x:f>
        <x:v>Southeast</x:v>
      </x:c>
      <x:c r="J1037" s="84" t="str">
        <x:f>PROPER(TRIM('Raw Sales'!G1037))</x:f>
        <x:v>Nashville</x:v>
      </x:c>
      <x:c r="K1037" s="84" t="str">
        <x:f>PROPER(TRIM('Raw Sales'!H1037))</x:f>
        <x:v>Retail Store</x:v>
      </x:c>
      <x:c r="L1037" s="84" t="str">
        <x:f>'Raw Sales'!I1037</x:f>
        <x:v>HOME-004</x:v>
      </x:c>
      <x:c r="M1037" s="84" t="str">
        <x:f>IFERROR(VLOOKUP(L1037,'Reference Data'!$A$5:$F$40,2,FALSE),"Unknown Product")</x:f>
        <x:v>Coffee Maker</x:v>
      </x:c>
      <x:c r="N1037" s="84" t="str">
        <x:f>IFERROR(VLOOKUP(L1037,'Reference Data'!$A$5:$F$40,3,FALSE),"Unknown")</x:f>
        <x:v>Home &amp; Kitchen</x:v>
      </x:c>
      <x:c r="O1037" s="84" t="str">
        <x:f>IFERROR(VLOOKUP(L1037,'Reference Data'!$A$5:$F$40,4,FALSE),"Unknown")</x:f>
        <x:v>Small Appliances</x:v>
      </x:c>
      <x:c r="P1037" s="92" t="n">
        <x:f>IFERROR(VLOOKUP(L1037,'Reference Data'!$A$5:$F$40,5,FALSE),0)</x:f>
        <x:v>99</x:v>
      </x:c>
      <x:c r="Q1037" s="92" t="n">
        <x:f>IFERROR(VLOOKUP(L1037,'Reference Data'!$A$5:$F$40,6,FALSE),0)</x:f>
        <x:v>51</x:v>
      </x:c>
      <x:c r="R1037" s="84" t="n">
        <x:f>'Raw Sales'!J1037</x:f>
        <x:v>4</x:v>
      </x:c>
      <x:c r="S1037" s="87" t="n">
        <x:f>'Raw Sales'!K1037</x:f>
        <x:v>0.1</x:v>
      </x:c>
      <x:c r="T1037" s="93" t="n">
        <x:f>P1037*R1037</x:f>
        <x:v>396</x:v>
      </x:c>
      <x:c r="U1037" s="93" t="n">
        <x:f>T1037*S1037</x:f>
        <x:v>39.6</x:v>
      </x:c>
      <x:c r="V1037" s="93" t="str">
        <x:f>PROPER(TRIM('Raw Sales'!L1037))</x:f>
        <x:v>Completed</x:v>
      </x:c>
      <x:c r="W1037" s="93" t="n">
        <x:f>IF(V1037="Returned",0,T1037-U1037)</x:f>
        <x:v>356.4</x:v>
      </x:c>
      <x:c r="X1037" s="93" t="n">
        <x:f>IF(V1037="Returned",Q1037*R1037*10%,Q1037*R1037)</x:f>
        <x:v>204</x:v>
      </x:c>
      <x:c r="Y1037" s="93" t="n">
        <x:f>W1037-X1037</x:f>
        <x:v>152.39999999999998</x:v>
      </x:c>
      <x:c r="Z1037" s="94" t="n">
        <x:f>IFERROR(Y1037/W1037,0)</x:f>
        <x:v>0.42760942760942755</x:v>
      </x:c>
      <x:c r="AA1037" s="84" t="str">
        <x:f>PROPER(TRIM('Raw Sales'!M1037))</x:f>
        <x:v>Credit Card</x:v>
      </x:c>
      <x:c r="AB1037" s="84" t="str">
        <x:f>PROPER(TRIM('Raw Sales'!N1037))</x:f>
        <x:v>Liam Parker</x:v>
      </x:c>
      <x:c r="AC1037" s="85" t="n">
        <x:f>'Raw Sales'!O1037</x:f>
        <x:v>45636</x:v>
      </x:c>
      <x:c r="AD1037" s="84" t="n">
        <x:f>AC1037-B1037</x:f>
        <x:v>0</x:v>
      </x:c>
      <x:c r="AE1037" s="84" t="str">
        <x:f>IF(COUNTIF($A$5:A1037,A1037)&gt;1,"Duplicate","Keep")</x:f>
        <x:v>Keep</x:v>
      </x:c>
      <x:c r="AF1037" s="84" t="str">
        <x:f>IF(OR(R1037&lt;=0,AC1037&lt;B1037,H1037="Unknown",M1037="Unknown Product"),"Review","Valid")</x:f>
        <x:v>Valid</x:v>
      </x:c>
      <x:c r="AG1037" s="84" t="n">
        <x:f>IF(AND(AE1037="Keep",AF1037="Valid"),1,0)</x:f>
        <x:v>1</x:v>
      </x:c>
      <x:c r="AH1037" s="84" t="n">
        <x:f>IF(AND(AG1037=1,OR('Dashboard'!$B$4="All",I1037='Dashboard'!$B$4),OR('Dashboard'!$E$4="All",N1037='Dashboard'!$E$4),OR('Dashboard'!$H$4="All",K1037='Dashboard'!$H$4),OR('Dashboard'!$K$4="All",C1037='Dashboard'!$K$4)),1,0)</x:f>
        <x:v>1</x:v>
      </x:c>
      <x:c r="AI1037" s="84" t="n">
        <x:f>IF(AND(AG1037=1,OR('Dashboard'!$B$4="All",I1037='Dashboard'!$B$4),OR('Dashboard'!$E$4="All",N1037='Dashboard'!$E$4),OR('Dashboard'!$H$4="All",K1037='Dashboard'!$H$4)),1,0)</x:f>
        <x:v>1</x:v>
      </x:c>
    </x:row>
    <x:row r="1038">
      <x:c r="A1038" s="84" t="str">
        <x:f>'Raw Sales'!A1038</x:f>
        <x:v>ORD-2024-01440</x:v>
      </x:c>
      <x:c r="B1038" s="85" t="n">
        <x:f>'Raw Sales'!B1038</x:f>
        <x:v>45636</x:v>
      </x:c>
      <x:c r="C1038" s="84" t="n">
        <x:f>YEAR(B1038)</x:f>
        <x:v>2024</x:v>
      </x:c>
      <x:c r="D1038" s="91" t="n">
        <x:f>DATE(YEAR(B1038),MONTH(B1038),1)</x:f>
        <x:v>45627</x:v>
      </x:c>
      <x:c r="E1038" s="84" t="str">
        <x:f>TEXT(B1038,"mmm")</x:f>
        <x:v>Dec</x:v>
      </x:c>
      <x:c r="F1038" s="84" t="str">
        <x:f>'Raw Sales'!C1038</x:f>
        <x:v>CUST-0183</x:v>
      </x:c>
      <x:c r="G1038" s="84" t="str">
        <x:f>PROPER(TRIM('Raw Sales'!D1038))</x:f>
        <x:v>Jasmine Taylor</x:v>
      </x:c>
      <x:c r="H1038" s="84" t="str">
        <x:f>IF(TRIM('Raw Sales'!E1038)="","Unknown",PROPER(TRIM('Raw Sales'!E1038)))</x:f>
        <x:v>Corporate</x:v>
      </x:c>
      <x:c r="I1038" s="84" t="str">
        <x:f>PROPER(TRIM('Raw Sales'!F1038))</x:f>
        <x:v>West</x:v>
      </x:c>
      <x:c r="J1038" s="84" t="str">
        <x:f>PROPER(TRIM('Raw Sales'!G1038))</x:f>
        <x:v>Denver</x:v>
      </x:c>
      <x:c r="K1038" s="84" t="str">
        <x:f>PROPER(TRIM('Raw Sales'!H1038))</x:f>
        <x:v>Online</x:v>
      </x:c>
      <x:c r="L1038" s="84" t="str">
        <x:f>'Raw Sales'!I1038</x:f>
        <x:v>ELEC-001</x:v>
      </x:c>
      <x:c r="M1038" s="84" t="str">
        <x:f>IFERROR(VLOOKUP(L1038,'Reference Data'!$A$5:$F$40,2,FALSE),"Unknown Product")</x:f>
        <x:v>Wireless Earbuds</x:v>
      </x:c>
      <x:c r="N1038" s="84" t="str">
        <x:f>IFERROR(VLOOKUP(L1038,'Reference Data'!$A$5:$F$40,3,FALSE),"Unknown")</x:f>
        <x:v>Electronics</x:v>
      </x:c>
      <x:c r="O1038" s="84" t="str">
        <x:f>IFERROR(VLOOKUP(L1038,'Reference Data'!$A$5:$F$40,4,FALSE),"Unknown")</x:f>
        <x:v>Audio</x:v>
      </x:c>
      <x:c r="P1038" s="92" t="n">
        <x:f>IFERROR(VLOOKUP(L1038,'Reference Data'!$A$5:$F$40,5,FALSE),0)</x:f>
        <x:v>69</x:v>
      </x:c>
      <x:c r="Q1038" s="92" t="n">
        <x:f>IFERROR(VLOOKUP(L1038,'Reference Data'!$A$5:$F$40,6,FALSE),0)</x:f>
        <x:v>36</x:v>
      </x:c>
      <x:c r="R1038" s="84" t="n">
        <x:f>'Raw Sales'!J1038</x:f>
        <x:v>6</x:v>
      </x:c>
      <x:c r="S1038" s="87" t="n">
        <x:f>'Raw Sales'!K1038</x:f>
        <x:v>0</x:v>
      </x:c>
      <x:c r="T1038" s="93" t="n">
        <x:f>P1038*R1038</x:f>
        <x:v>414</x:v>
      </x:c>
      <x:c r="U1038" s="93" t="n">
        <x:f>T1038*S1038</x:f>
        <x:v>0</x:v>
      </x:c>
      <x:c r="V1038" s="93" t="str">
        <x:f>PROPER(TRIM('Raw Sales'!L1038))</x:f>
        <x:v>Completed</x:v>
      </x:c>
      <x:c r="W1038" s="93" t="n">
        <x:f>IF(V1038="Returned",0,T1038-U1038)</x:f>
        <x:v>414</x:v>
      </x:c>
      <x:c r="X1038" s="93" t="n">
        <x:f>IF(V1038="Returned",Q1038*R1038*10%,Q1038*R1038)</x:f>
        <x:v>216</x:v>
      </x:c>
      <x:c r="Y1038" s="93" t="n">
        <x:f>W1038-X1038</x:f>
        <x:v>198</x:v>
      </x:c>
      <x:c r="Z1038" s="94" t="n">
        <x:f>IFERROR(Y1038/W1038,0)</x:f>
        <x:v>0.4782608695652174</x:v>
      </x:c>
      <x:c r="AA1038" s="84" t="str">
        <x:f>PROPER(TRIM('Raw Sales'!M1038))</x:f>
        <x:v>Credit Card</x:v>
      </x:c>
      <x:c r="AB1038" s="84" t="str">
        <x:f>PROPER(TRIM('Raw Sales'!N1038))</x:f>
        <x:v>Nora Kim</x:v>
      </x:c>
      <x:c r="AC1038" s="85" t="n">
        <x:f>'Raw Sales'!O1038</x:f>
        <x:v>45639</x:v>
      </x:c>
      <x:c r="AD1038" s="84" t="n">
        <x:f>AC1038-B1038</x:f>
        <x:v>3</x:v>
      </x:c>
      <x:c r="AE1038" s="84" t="str">
        <x:f>IF(COUNTIF($A$5:A1038,A1038)&gt;1,"Duplicate","Keep")</x:f>
        <x:v>Keep</x:v>
      </x:c>
      <x:c r="AF1038" s="84" t="str">
        <x:f>IF(OR(R1038&lt;=0,AC1038&lt;B1038,H1038="Unknown",M1038="Unknown Product"),"Review","Valid")</x:f>
        <x:v>Valid</x:v>
      </x:c>
      <x:c r="AG1038" s="84" t="n">
        <x:f>IF(AND(AE1038="Keep",AF1038="Valid"),1,0)</x:f>
        <x:v>1</x:v>
      </x:c>
      <x:c r="AH1038" s="84" t="n">
        <x:f>IF(AND(AG1038=1,OR('Dashboard'!$B$4="All",I1038='Dashboard'!$B$4),OR('Dashboard'!$E$4="All",N1038='Dashboard'!$E$4),OR('Dashboard'!$H$4="All",K1038='Dashboard'!$H$4),OR('Dashboard'!$K$4="All",C1038='Dashboard'!$K$4)),1,0)</x:f>
        <x:v>1</x:v>
      </x:c>
      <x:c r="AI1038" s="84" t="n">
        <x:f>IF(AND(AG1038=1,OR('Dashboard'!$B$4="All",I1038='Dashboard'!$B$4),OR('Dashboard'!$E$4="All",N1038='Dashboard'!$E$4),OR('Dashboard'!$H$4="All",K1038='Dashboard'!$H$4)),1,0)</x:f>
        <x:v>1</x:v>
      </x:c>
    </x:row>
    <x:row r="1039">
      <x:c r="A1039" s="84" t="str">
        <x:f>'Raw Sales'!A1039</x:f>
        <x:v>ORD-2024-01651</x:v>
      </x:c>
      <x:c r="B1039" s="85" t="n">
        <x:f>'Raw Sales'!B1039</x:f>
        <x:v>45636</x:v>
      </x:c>
      <x:c r="C1039" s="84" t="n">
        <x:f>YEAR(B1039)</x:f>
        <x:v>2024</x:v>
      </x:c>
      <x:c r="D1039" s="91" t="n">
        <x:f>DATE(YEAR(B1039),MONTH(B1039),1)</x:f>
        <x:v>45627</x:v>
      </x:c>
      <x:c r="E1039" s="84" t="str">
        <x:f>TEXT(B1039,"mmm")</x:f>
        <x:v>Dec</x:v>
      </x:c>
      <x:c r="F1039" s="84" t="str">
        <x:f>'Raw Sales'!C1039</x:f>
        <x:v>CUST-0177</x:v>
      </x:c>
      <x:c r="G1039" s="84" t="str">
        <x:f>PROPER(TRIM('Raw Sales'!D1039))</x:f>
        <x:v>Elena Quinn</x:v>
      </x:c>
      <x:c r="H1039" s="84" t="str">
        <x:f>IF(TRIM('Raw Sales'!E1039)="","Unknown",PROPER(TRIM('Raw Sales'!E1039)))</x:f>
        <x:v>Consumer</x:v>
      </x:c>
      <x:c r="I1039" s="84" t="str">
        <x:f>PROPER(TRIM('Raw Sales'!F1039))</x:f>
        <x:v>Southeast</x:v>
      </x:c>
      <x:c r="J1039" s="84" t="str">
        <x:f>PROPER(TRIM('Raw Sales'!G1039))</x:f>
        <x:v>Nashville</x:v>
      </x:c>
      <x:c r="K1039" s="84" t="str">
        <x:f>PROPER(TRIM('Raw Sales'!H1039))</x:f>
        <x:v>Online</x:v>
      </x:c>
      <x:c r="L1039" s="84" t="str">
        <x:f>'Raw Sales'!I1039</x:f>
        <x:v>ELEC-002</x:v>
      </x:c>
      <x:c r="M1039" s="84" t="str">
        <x:f>IFERROR(VLOOKUP(L1039,'Reference Data'!$A$5:$F$40,2,FALSE),"Unknown Product")</x:f>
        <x:v>Smartwatch</x:v>
      </x:c>
      <x:c r="N1039" s="84" t="str">
        <x:f>IFERROR(VLOOKUP(L1039,'Reference Data'!$A$5:$F$40,3,FALSE),"Unknown")</x:f>
        <x:v>Electronics</x:v>
      </x:c>
      <x:c r="O1039" s="84" t="str">
        <x:f>IFERROR(VLOOKUP(L1039,'Reference Data'!$A$5:$F$40,4,FALSE),"Unknown")</x:f>
        <x:v>Wearables</x:v>
      </x:c>
      <x:c r="P1039" s="92" t="n">
        <x:f>IFERROR(VLOOKUP(L1039,'Reference Data'!$A$5:$F$40,5,FALSE),0)</x:f>
        <x:v>159</x:v>
      </x:c>
      <x:c r="Q1039" s="92" t="n">
        <x:f>IFERROR(VLOOKUP(L1039,'Reference Data'!$A$5:$F$40,6,FALSE),0)</x:f>
        <x:v>92</x:v>
      </x:c>
      <x:c r="R1039" s="84" t="n">
        <x:f>'Raw Sales'!J1039</x:f>
        <x:v>3</x:v>
      </x:c>
      <x:c r="S1039" s="87" t="n">
        <x:f>'Raw Sales'!K1039</x:f>
        <x:v>0.2</x:v>
      </x:c>
      <x:c r="T1039" s="93" t="n">
        <x:f>P1039*R1039</x:f>
        <x:v>477</x:v>
      </x:c>
      <x:c r="U1039" s="93" t="n">
        <x:f>T1039*S1039</x:f>
        <x:v>95.4</x:v>
      </x:c>
      <x:c r="V1039" s="93" t="str">
        <x:f>PROPER(TRIM('Raw Sales'!L1039))</x:f>
        <x:v>Completed</x:v>
      </x:c>
      <x:c r="W1039" s="93" t="n">
        <x:f>IF(V1039="Returned",0,T1039-U1039)</x:f>
        <x:v>381.6</x:v>
      </x:c>
      <x:c r="X1039" s="93" t="n">
        <x:f>IF(V1039="Returned",Q1039*R1039*10%,Q1039*R1039)</x:f>
        <x:v>276</x:v>
      </x:c>
      <x:c r="Y1039" s="93" t="n">
        <x:f>W1039-X1039</x:f>
        <x:v>105.60000000000002</x:v>
      </x:c>
      <x:c r="Z1039" s="94" t="n">
        <x:f>IFERROR(Y1039/W1039,0)</x:f>
        <x:v>0.2767295597484277</x:v>
      </x:c>
      <x:c r="AA1039" s="84" t="str">
        <x:f>PROPER(TRIM('Raw Sales'!M1039))</x:f>
        <x:v>Debit Card</x:v>
      </x:c>
      <x:c r="AB1039" s="84" t="str">
        <x:f>PROPER(TRIM('Raw Sales'!N1039))</x:f>
        <x:v>Ava Mitchell</x:v>
      </x:c>
      <x:c r="AC1039" s="85" t="n">
        <x:f>'Raw Sales'!O1039</x:f>
        <x:v>45638</x:v>
      </x:c>
      <x:c r="AD1039" s="84" t="n">
        <x:f>AC1039-B1039</x:f>
        <x:v>2</x:v>
      </x:c>
      <x:c r="AE1039" s="84" t="str">
        <x:f>IF(COUNTIF($A$5:A1039,A1039)&gt;1,"Duplicate","Keep")</x:f>
        <x:v>Keep</x:v>
      </x:c>
      <x:c r="AF1039" s="84" t="str">
        <x:f>IF(OR(R1039&lt;=0,AC1039&lt;B1039,H1039="Unknown",M1039="Unknown Product"),"Review","Valid")</x:f>
        <x:v>Valid</x:v>
      </x:c>
      <x:c r="AG1039" s="84" t="n">
        <x:f>IF(AND(AE1039="Keep",AF1039="Valid"),1,0)</x:f>
        <x:v>1</x:v>
      </x:c>
      <x:c r="AH1039" s="84" t="n">
        <x:f>IF(AND(AG1039=1,OR('Dashboard'!$B$4="All",I1039='Dashboard'!$B$4),OR('Dashboard'!$E$4="All",N1039='Dashboard'!$E$4),OR('Dashboard'!$H$4="All",K1039='Dashboard'!$H$4),OR('Dashboard'!$K$4="All",C1039='Dashboard'!$K$4)),1,0)</x:f>
        <x:v>1</x:v>
      </x:c>
      <x:c r="AI1039" s="84" t="n">
        <x:f>IF(AND(AG1039=1,OR('Dashboard'!$B$4="All",I1039='Dashboard'!$B$4),OR('Dashboard'!$E$4="All",N1039='Dashboard'!$E$4),OR('Dashboard'!$H$4="All",K1039='Dashboard'!$H$4)),1,0)</x:f>
        <x:v>1</x:v>
      </x:c>
    </x:row>
    <x:row r="1040">
      <x:c r="A1040" s="84" t="str">
        <x:f>'Raw Sales'!A1040</x:f>
        <x:v>ORD-2024-00562</x:v>
      </x:c>
      <x:c r="B1040" s="85" t="n">
        <x:f>'Raw Sales'!B1040</x:f>
        <x:v>45637</x:v>
      </x:c>
      <x:c r="C1040" s="84" t="n">
        <x:f>YEAR(B1040)</x:f>
        <x:v>2024</x:v>
      </x:c>
      <x:c r="D1040" s="91" t="n">
        <x:f>DATE(YEAR(B1040),MONTH(B1040),1)</x:f>
        <x:v>45627</x:v>
      </x:c>
      <x:c r="E1040" s="84" t="str">
        <x:f>TEXT(B1040,"mmm")</x:f>
        <x:v>Dec</x:v>
      </x:c>
      <x:c r="F1040" s="84" t="str">
        <x:f>'Raw Sales'!C1040</x:f>
        <x:v>CUST-0434</x:v>
      </x:c>
      <x:c r="G1040" s="84" t="str">
        <x:f>PROPER(TRIM('Raw Sales'!D1040))</x:f>
        <x:v>Aiden Smith</x:v>
      </x:c>
      <x:c r="H1040" s="84" t="str">
        <x:f>IF(TRIM('Raw Sales'!E1040)="","Unknown",PROPER(TRIM('Raw Sales'!E1040)))</x:f>
        <x:v>Corporate</x:v>
      </x:c>
      <x:c r="I1040" s="84" t="str">
        <x:f>PROPER(TRIM('Raw Sales'!F1040))</x:f>
        <x:v>Northeast</x:v>
      </x:c>
      <x:c r="J1040" s="84" t="str">
        <x:f>PROPER(TRIM('Raw Sales'!G1040))</x:f>
        <x:v>New York</x:v>
      </x:c>
      <x:c r="K1040" s="84" t="str">
        <x:f>PROPER(TRIM('Raw Sales'!H1040))</x:f>
        <x:v>Retail Store</x:v>
      </x:c>
      <x:c r="L1040" s="84" t="str">
        <x:f>'Raw Sales'!I1040</x:f>
        <x:v>OFFC-005</x:v>
      </x:c>
      <x:c r="M1040" s="84" t="str">
        <x:f>IFERROR(VLOOKUP(L1040,'Reference Data'!$A$5:$F$40,2,FALSE),"Unknown Product")</x:f>
        <x:v>Wireless Keyboard</x:v>
      </x:c>
      <x:c r="N1040" s="84" t="str">
        <x:f>IFERROR(VLOOKUP(L1040,'Reference Data'!$A$5:$F$40,3,FALSE),"Unknown")</x:f>
        <x:v>Office</x:v>
      </x:c>
      <x:c r="O1040" s="84" t="str">
        <x:f>IFERROR(VLOOKUP(L1040,'Reference Data'!$A$5:$F$40,4,FALSE),"Unknown")</x:f>
        <x:v>Computer Accessories</x:v>
      </x:c>
      <x:c r="P1040" s="92" t="n">
        <x:f>IFERROR(VLOOKUP(L1040,'Reference Data'!$A$5:$F$40,5,FALSE),0)</x:f>
        <x:v>59</x:v>
      </x:c>
      <x:c r="Q1040" s="92" t="n">
        <x:f>IFERROR(VLOOKUP(L1040,'Reference Data'!$A$5:$F$40,6,FALSE),0)</x:f>
        <x:v>28</x:v>
      </x:c>
      <x:c r="R1040" s="84" t="n">
        <x:f>'Raw Sales'!J1040</x:f>
        <x:v>2</x:v>
      </x:c>
      <x:c r="S1040" s="87" t="n">
        <x:f>'Raw Sales'!K1040</x:f>
        <x:v>0.1</x:v>
      </x:c>
      <x:c r="T1040" s="93" t="n">
        <x:f>P1040*R1040</x:f>
        <x:v>118</x:v>
      </x:c>
      <x:c r="U1040" s="93" t="n">
        <x:f>T1040*S1040</x:f>
        <x:v>11.8</x:v>
      </x:c>
      <x:c r="V1040" s="93" t="str">
        <x:f>PROPER(TRIM('Raw Sales'!L1040))</x:f>
        <x:v>Completed</x:v>
      </x:c>
      <x:c r="W1040" s="93" t="n">
        <x:f>IF(V1040="Returned",0,T1040-U1040)</x:f>
        <x:v>106.2</x:v>
      </x:c>
      <x:c r="X1040" s="93" t="n">
        <x:f>IF(V1040="Returned",Q1040*R1040*10%,Q1040*R1040)</x:f>
        <x:v>56</x:v>
      </x:c>
      <x:c r="Y1040" s="93" t="n">
        <x:f>W1040-X1040</x:f>
        <x:v>50.2</x:v>
      </x:c>
      <x:c r="Z1040" s="94" t="n">
        <x:f>IFERROR(Y1040/W1040,0)</x:f>
        <x:v>0.4726930320150659</x:v>
      </x:c>
      <x:c r="AA1040" s="84" t="str">
        <x:f>PROPER(TRIM('Raw Sales'!M1040))</x:f>
        <x:v>Credit Card</x:v>
      </x:c>
      <x:c r="AB1040" s="84" t="str">
        <x:f>PROPER(TRIM('Raw Sales'!N1040))</x:f>
        <x:v>Maya Brooks</x:v>
      </x:c>
      <x:c r="AC1040" s="85" t="n">
        <x:f>'Raw Sales'!O1040</x:f>
        <x:v>45637</x:v>
      </x:c>
      <x:c r="AD1040" s="84" t="n">
        <x:f>AC1040-B1040</x:f>
        <x:v>0</x:v>
      </x:c>
      <x:c r="AE1040" s="84" t="str">
        <x:f>IF(COUNTIF($A$5:A1040,A1040)&gt;1,"Duplicate","Keep")</x:f>
        <x:v>Keep</x:v>
      </x:c>
      <x:c r="AF1040" s="84" t="str">
        <x:f>IF(OR(R1040&lt;=0,AC1040&lt;B1040,H1040="Unknown",M1040="Unknown Product"),"Review","Valid")</x:f>
        <x:v>Valid</x:v>
      </x:c>
      <x:c r="AG1040" s="84" t="n">
        <x:f>IF(AND(AE1040="Keep",AF1040="Valid"),1,0)</x:f>
        <x:v>1</x:v>
      </x:c>
      <x:c r="AH1040" s="84" t="n">
        <x:f>IF(AND(AG1040=1,OR('Dashboard'!$B$4="All",I1040='Dashboard'!$B$4),OR('Dashboard'!$E$4="All",N1040='Dashboard'!$E$4),OR('Dashboard'!$H$4="All",K1040='Dashboard'!$H$4),OR('Dashboard'!$K$4="All",C1040='Dashboard'!$K$4)),1,0)</x:f>
        <x:v>1</x:v>
      </x:c>
      <x:c r="AI1040" s="84" t="n">
        <x:f>IF(AND(AG1040=1,OR('Dashboard'!$B$4="All",I1040='Dashboard'!$B$4),OR('Dashboard'!$E$4="All",N1040='Dashboard'!$E$4),OR('Dashboard'!$H$4="All",K1040='Dashboard'!$H$4)),1,0)</x:f>
        <x:v>1</x:v>
      </x:c>
    </x:row>
    <x:row r="1041">
      <x:c r="A1041" s="84" t="str">
        <x:f>'Raw Sales'!A1041</x:f>
        <x:v>ORD-2024-01142</x:v>
      </x:c>
      <x:c r="B1041" s="85" t="n">
        <x:f>'Raw Sales'!B1041</x:f>
        <x:v>45637</x:v>
      </x:c>
      <x:c r="C1041" s="84" t="n">
        <x:f>YEAR(B1041)</x:f>
        <x:v>2024</x:v>
      </x:c>
      <x:c r="D1041" s="91" t="n">
        <x:f>DATE(YEAR(B1041),MONTH(B1041),1)</x:f>
        <x:v>45627</x:v>
      </x:c>
      <x:c r="E1041" s="84" t="str">
        <x:f>TEXT(B1041,"mmm")</x:f>
        <x:v>Dec</x:v>
      </x:c>
      <x:c r="F1041" s="84" t="str">
        <x:f>'Raw Sales'!C1041</x:f>
        <x:v>CUST-0303</x:v>
      </x:c>
      <x:c r="G1041" s="84" t="str">
        <x:f>PROPER(TRIM('Raw Sales'!D1041))</x:f>
        <x:v>Caleb Roberts</x:v>
      </x:c>
      <x:c r="H1041" s="84" t="str">
        <x:f>IF(TRIM('Raw Sales'!E1041)="","Unknown",PROPER(TRIM('Raw Sales'!E1041)))</x:f>
        <x:v>Corporate</x:v>
      </x:c>
      <x:c r="I1041" s="84" t="str">
        <x:f>PROPER(TRIM('Raw Sales'!F1041))</x:f>
        <x:v>West</x:v>
      </x:c>
      <x:c r="J1041" s="84" t="str">
        <x:f>PROPER(TRIM('Raw Sales'!G1041))</x:f>
        <x:v>Seattle</x:v>
      </x:c>
      <x:c r="K1041" s="84" t="str">
        <x:f>PROPER(TRIM('Raw Sales'!H1041))</x:f>
        <x:v>Online</x:v>
      </x:c>
      <x:c r="L1041" s="84" t="str">
        <x:f>'Raw Sales'!I1041</x:f>
        <x:v>HOME-006</x:v>
      </x:c>
      <x:c r="M1041" s="84" t="str">
        <x:f>IFERROR(VLOOKUP(L1041,'Reference Data'!$A$5:$F$40,2,FALSE),"Unknown Product")</x:f>
        <x:v>Food Storage Set</x:v>
      </x:c>
      <x:c r="N1041" s="84" t="str">
        <x:f>IFERROR(VLOOKUP(L1041,'Reference Data'!$A$5:$F$40,3,FALSE),"Unknown")</x:f>
        <x:v>Home &amp; Kitchen</x:v>
      </x:c>
      <x:c r="O1041" s="84" t="str">
        <x:f>IFERROR(VLOOKUP(L1041,'Reference Data'!$A$5:$F$40,4,FALSE),"Unknown")</x:f>
        <x:v>Kitchenware</x:v>
      </x:c>
      <x:c r="P1041" s="92" t="n">
        <x:f>IFERROR(VLOOKUP(L1041,'Reference Data'!$A$5:$F$40,5,FALSE),0)</x:f>
        <x:v>34</x:v>
      </x:c>
      <x:c r="Q1041" s="92" t="n">
        <x:f>IFERROR(VLOOKUP(L1041,'Reference Data'!$A$5:$F$40,6,FALSE),0)</x:f>
        <x:v>15</x:v>
      </x:c>
      <x:c r="R1041" s="84" t="n">
        <x:f>'Raw Sales'!J1041</x:f>
        <x:v>5</x:v>
      </x:c>
      <x:c r="S1041" s="87" t="n">
        <x:f>'Raw Sales'!K1041</x:f>
        <x:v>0.1</x:v>
      </x:c>
      <x:c r="T1041" s="93" t="n">
        <x:f>P1041*R1041</x:f>
        <x:v>170</x:v>
      </x:c>
      <x:c r="U1041" s="93" t="n">
        <x:f>T1041*S1041</x:f>
        <x:v>17</x:v>
      </x:c>
      <x:c r="V1041" s="93" t="str">
        <x:f>PROPER(TRIM('Raw Sales'!L1041))</x:f>
        <x:v>Completed</x:v>
      </x:c>
      <x:c r="W1041" s="93" t="n">
        <x:f>IF(V1041="Returned",0,T1041-U1041)</x:f>
        <x:v>153</x:v>
      </x:c>
      <x:c r="X1041" s="93" t="n">
        <x:f>IF(V1041="Returned",Q1041*R1041*10%,Q1041*R1041)</x:f>
        <x:v>75</x:v>
      </x:c>
      <x:c r="Y1041" s="93" t="n">
        <x:f>W1041-X1041</x:f>
        <x:v>78</x:v>
      </x:c>
      <x:c r="Z1041" s="94" t="n">
        <x:f>IFERROR(Y1041/W1041,0)</x:f>
        <x:v>0.5098039215686274</x:v>
      </x:c>
      <x:c r="AA1041" s="84" t="str">
        <x:f>PROPER(TRIM('Raw Sales'!M1041))</x:f>
        <x:v>Credit Card</x:v>
      </x:c>
      <x:c r="AB1041" s="84" t="str">
        <x:f>PROPER(TRIM('Raw Sales'!N1041))</x:f>
        <x:v>Mia Chen</x:v>
      </x:c>
      <x:c r="AC1041" s="85" t="n">
        <x:f>'Raw Sales'!O1041</x:f>
        <x:v>45641</x:v>
      </x:c>
      <x:c r="AD1041" s="84" t="n">
        <x:f>AC1041-B1041</x:f>
        <x:v>4</x:v>
      </x:c>
      <x:c r="AE1041" s="84" t="str">
        <x:f>IF(COUNTIF($A$5:A1041,A1041)&gt;1,"Duplicate","Keep")</x:f>
        <x:v>Keep</x:v>
      </x:c>
      <x:c r="AF1041" s="84" t="str">
        <x:f>IF(OR(R1041&lt;=0,AC1041&lt;B1041,H1041="Unknown",M1041="Unknown Product"),"Review","Valid")</x:f>
        <x:v>Valid</x:v>
      </x:c>
      <x:c r="AG1041" s="84" t="n">
        <x:f>IF(AND(AE1041="Keep",AF1041="Valid"),1,0)</x:f>
        <x:v>1</x:v>
      </x:c>
      <x:c r="AH1041" s="84" t="n">
        <x:f>IF(AND(AG1041=1,OR('Dashboard'!$B$4="All",I1041='Dashboard'!$B$4),OR('Dashboard'!$E$4="All",N1041='Dashboard'!$E$4),OR('Dashboard'!$H$4="All",K1041='Dashboard'!$H$4),OR('Dashboard'!$K$4="All",C1041='Dashboard'!$K$4)),1,0)</x:f>
        <x:v>1</x:v>
      </x:c>
      <x:c r="AI1041" s="84" t="n">
        <x:f>IF(AND(AG1041=1,OR('Dashboard'!$B$4="All",I1041='Dashboard'!$B$4),OR('Dashboard'!$E$4="All",N1041='Dashboard'!$E$4),OR('Dashboard'!$H$4="All",K1041='Dashboard'!$H$4)),1,0)</x:f>
        <x:v>1</x:v>
      </x:c>
    </x:row>
    <x:row r="1042">
      <x:c r="A1042" s="84" t="str">
        <x:f>'Raw Sales'!A1042</x:f>
        <x:v>ORD-2024-02124</x:v>
      </x:c>
      <x:c r="B1042" s="85" t="n">
        <x:f>'Raw Sales'!B1042</x:f>
        <x:v>45637</x:v>
      </x:c>
      <x:c r="C1042" s="84" t="n">
        <x:f>YEAR(B1042)</x:f>
        <x:v>2024</x:v>
      </x:c>
      <x:c r="D1042" s="91" t="n">
        <x:f>DATE(YEAR(B1042),MONTH(B1042),1)</x:f>
        <x:v>45627</x:v>
      </x:c>
      <x:c r="E1042" s="84" t="str">
        <x:f>TEXT(B1042,"mmm")</x:f>
        <x:v>Dec</x:v>
      </x:c>
      <x:c r="F1042" s="84" t="str">
        <x:f>'Raw Sales'!C1042</x:f>
        <x:v>CUST-0611</x:v>
      </x:c>
      <x:c r="G1042" s="84" t="str">
        <x:f>PROPER(TRIM('Raw Sales'!D1042))</x:f>
        <x:v>Aiden Irwin</x:v>
      </x:c>
      <x:c r="H1042" s="84" t="str">
        <x:f>IF(TRIM('Raw Sales'!E1042)="","Unknown",PROPER(TRIM('Raw Sales'!E1042)))</x:f>
        <x:v>Corporate</x:v>
      </x:c>
      <x:c r="I1042" s="84" t="str">
        <x:f>PROPER(TRIM('Raw Sales'!F1042))</x:f>
        <x:v>Midwest</x:v>
      </x:c>
      <x:c r="J1042" s="84" t="str">
        <x:f>PROPER(TRIM('Raw Sales'!G1042))</x:f>
        <x:v>Chicago</x:v>
      </x:c>
      <x:c r="K1042" s="84" t="str">
        <x:f>PROPER(TRIM('Raw Sales'!H1042))</x:f>
        <x:v>Online</x:v>
      </x:c>
      <x:c r="L1042" s="84" t="str">
        <x:f>'Raw Sales'!I1042</x:f>
        <x:v>ELEC-003</x:v>
      </x:c>
      <x:c r="M1042" s="84" t="str">
        <x:f>IFERROR(VLOOKUP(L1042,'Reference Data'!$A$5:$F$40,2,FALSE),"Unknown Product")</x:f>
        <x:v>Bluetooth Speaker</x:v>
      </x:c>
      <x:c r="N1042" s="84" t="str">
        <x:f>IFERROR(VLOOKUP(L1042,'Reference Data'!$A$5:$F$40,3,FALSE),"Unknown")</x:f>
        <x:v>Electronics</x:v>
      </x:c>
      <x:c r="O1042" s="84" t="str">
        <x:f>IFERROR(VLOOKUP(L1042,'Reference Data'!$A$5:$F$40,4,FALSE),"Unknown")</x:f>
        <x:v>Audio</x:v>
      </x:c>
      <x:c r="P1042" s="92" t="n">
        <x:f>IFERROR(VLOOKUP(L1042,'Reference Data'!$A$5:$F$40,5,FALSE),0)</x:f>
        <x:v>89</x:v>
      </x:c>
      <x:c r="Q1042" s="92" t="n">
        <x:f>IFERROR(VLOOKUP(L1042,'Reference Data'!$A$5:$F$40,6,FALSE),0)</x:f>
        <x:v>44</x:v>
      </x:c>
      <x:c r="R1042" s="84" t="n">
        <x:f>'Raw Sales'!J1042</x:f>
        <x:v>6</x:v>
      </x:c>
      <x:c r="S1042" s="87" t="n">
        <x:f>'Raw Sales'!K1042</x:f>
        <x:v>0.15</x:v>
      </x:c>
      <x:c r="T1042" s="93" t="n">
        <x:f>P1042*R1042</x:f>
        <x:v>534</x:v>
      </x:c>
      <x:c r="U1042" s="93" t="n">
        <x:f>T1042*S1042</x:f>
        <x:v>80.1</x:v>
      </x:c>
      <x:c r="V1042" s="93" t="str">
        <x:f>PROPER(TRIM('Raw Sales'!L1042))</x:f>
        <x:v>Completed</x:v>
      </x:c>
      <x:c r="W1042" s="93" t="n">
        <x:f>IF(V1042="Returned",0,T1042-U1042)</x:f>
        <x:v>453.9</x:v>
      </x:c>
      <x:c r="X1042" s="93" t="n">
        <x:f>IF(V1042="Returned",Q1042*R1042*10%,Q1042*R1042)</x:f>
        <x:v>264</x:v>
      </x:c>
      <x:c r="Y1042" s="93" t="n">
        <x:f>W1042-X1042</x:f>
        <x:v>189.89999999999998</x:v>
      </x:c>
      <x:c r="Z1042" s="94" t="n">
        <x:f>IFERROR(Y1042/W1042,0)</x:f>
        <x:v>0.41837409120951746</x:v>
      </x:c>
      <x:c r="AA1042" s="84" t="str">
        <x:f>PROPER(TRIM('Raw Sales'!M1042))</x:f>
        <x:v>Debit Card</x:v>
      </x:c>
      <x:c r="AB1042" s="84" t="str">
        <x:f>PROPER(TRIM('Raw Sales'!N1042))</x:f>
        <x:v>Zoe Turner</x:v>
      </x:c>
      <x:c r="AC1042" s="85" t="n">
        <x:f>'Raw Sales'!O1042</x:f>
        <x:v>45641</x:v>
      </x:c>
      <x:c r="AD1042" s="84" t="n">
        <x:f>AC1042-B1042</x:f>
        <x:v>4</x:v>
      </x:c>
      <x:c r="AE1042" s="84" t="str">
        <x:f>IF(COUNTIF($A$5:A1042,A1042)&gt;1,"Duplicate","Keep")</x:f>
        <x:v>Keep</x:v>
      </x:c>
      <x:c r="AF1042" s="84" t="str">
        <x:f>IF(OR(R1042&lt;=0,AC1042&lt;B1042,H1042="Unknown",M1042="Unknown Product"),"Review","Valid")</x:f>
        <x:v>Valid</x:v>
      </x:c>
      <x:c r="AG1042" s="84" t="n">
        <x:f>IF(AND(AE1042="Keep",AF1042="Valid"),1,0)</x:f>
        <x:v>1</x:v>
      </x:c>
      <x:c r="AH1042" s="84" t="n">
        <x:f>IF(AND(AG1042=1,OR('Dashboard'!$B$4="All",I1042='Dashboard'!$B$4),OR('Dashboard'!$E$4="All",N1042='Dashboard'!$E$4),OR('Dashboard'!$H$4="All",K1042='Dashboard'!$H$4),OR('Dashboard'!$K$4="All",C1042='Dashboard'!$K$4)),1,0)</x:f>
        <x:v>1</x:v>
      </x:c>
      <x:c r="AI1042" s="84" t="n">
        <x:f>IF(AND(AG1042=1,OR('Dashboard'!$B$4="All",I1042='Dashboard'!$B$4),OR('Dashboard'!$E$4="All",N1042='Dashboard'!$E$4),OR('Dashboard'!$H$4="All",K1042='Dashboard'!$H$4)),1,0)</x:f>
        <x:v>1</x:v>
      </x:c>
    </x:row>
    <x:row r="1043">
      <x:c r="A1043" s="84" t="str">
        <x:f>'Raw Sales'!A1043</x:f>
        <x:v>ORD-2024-00213</x:v>
      </x:c>
      <x:c r="B1043" s="85" t="n">
        <x:f>'Raw Sales'!B1043</x:f>
        <x:v>45638</x:v>
      </x:c>
      <x:c r="C1043" s="84" t="n">
        <x:f>YEAR(B1043)</x:f>
        <x:v>2024</x:v>
      </x:c>
      <x:c r="D1043" s="91" t="n">
        <x:f>DATE(YEAR(B1043),MONTH(B1043),1)</x:f>
        <x:v>45627</x:v>
      </x:c>
      <x:c r="E1043" s="84" t="str">
        <x:f>TEXT(B1043,"mmm")</x:f>
        <x:v>Dec</x:v>
      </x:c>
      <x:c r="F1043" s="84" t="str">
        <x:f>'Raw Sales'!C1043</x:f>
        <x:v>CUST-0111</x:v>
      </x:c>
      <x:c r="G1043" s="84" t="str">
        <x:f>PROPER(TRIM('Raw Sales'!D1043))</x:f>
        <x:v>Elias Evans</x:v>
      </x:c>
      <x:c r="H1043" s="84" t="str">
        <x:f>IF(TRIM('Raw Sales'!E1043)="","Unknown",PROPER(TRIM('Raw Sales'!E1043)))</x:f>
        <x:v>Small Business</x:v>
      </x:c>
      <x:c r="I1043" s="84" t="str">
        <x:f>PROPER(TRIM('Raw Sales'!F1043))</x:f>
        <x:v>Northeast</x:v>
      </x:c>
      <x:c r="J1043" s="84" t="str">
        <x:f>PROPER(TRIM('Raw Sales'!G1043))</x:f>
        <x:v>New York</x:v>
      </x:c>
      <x:c r="K1043" s="84" t="str">
        <x:f>PROPER(TRIM('Raw Sales'!H1043))</x:f>
        <x:v>Marketplace</x:v>
      </x:c>
      <x:c r="L1043" s="84" t="str">
        <x:f>'Raw Sales'!I1043</x:f>
        <x:v>ELEC-006</x:v>
      </x:c>
      <x:c r="M1043" s="84" t="str">
        <x:f>IFERROR(VLOOKUP(L1043,'Reference Data'!$A$5:$F$40,2,FALSE),"Unknown Product")</x:f>
        <x:v>Portable SSD</x:v>
      </x:c>
      <x:c r="N1043" s="84" t="str">
        <x:f>IFERROR(VLOOKUP(L1043,'Reference Data'!$A$5:$F$40,3,FALSE),"Unknown")</x:f>
        <x:v>Electronics</x:v>
      </x:c>
      <x:c r="O1043" s="84" t="str">
        <x:f>IFERROR(VLOOKUP(L1043,'Reference Data'!$A$5:$F$40,4,FALSE),"Unknown")</x:f>
        <x:v>Storage</x:v>
      </x:c>
      <x:c r="P1043" s="92" t="n">
        <x:f>IFERROR(VLOOKUP(L1043,'Reference Data'!$A$5:$F$40,5,FALSE),0)</x:f>
        <x:v>129</x:v>
      </x:c>
      <x:c r="Q1043" s="92" t="n">
        <x:f>IFERROR(VLOOKUP(L1043,'Reference Data'!$A$5:$F$40,6,FALSE),0)</x:f>
        <x:v>75</x:v>
      </x:c>
      <x:c r="R1043" s="84" t="n">
        <x:f>'Raw Sales'!J1043</x:f>
        <x:v>1</x:v>
      </x:c>
      <x:c r="S1043" s="87" t="n">
        <x:f>'Raw Sales'!K1043</x:f>
        <x:v>0</x:v>
      </x:c>
      <x:c r="T1043" s="93" t="n">
        <x:f>P1043*R1043</x:f>
        <x:v>129</x:v>
      </x:c>
      <x:c r="U1043" s="93" t="n">
        <x:f>T1043*S1043</x:f>
        <x:v>0</x:v>
      </x:c>
      <x:c r="V1043" s="93" t="str">
        <x:f>PROPER(TRIM('Raw Sales'!L1043))</x:f>
        <x:v>Completed</x:v>
      </x:c>
      <x:c r="W1043" s="93" t="n">
        <x:f>IF(V1043="Returned",0,T1043-U1043)</x:f>
        <x:v>129</x:v>
      </x:c>
      <x:c r="X1043" s="93" t="n">
        <x:f>IF(V1043="Returned",Q1043*R1043*10%,Q1043*R1043)</x:f>
        <x:v>75</x:v>
      </x:c>
      <x:c r="Y1043" s="93" t="n">
        <x:f>W1043-X1043</x:f>
        <x:v>54</x:v>
      </x:c>
      <x:c r="Z1043" s="94" t="n">
        <x:f>IFERROR(Y1043/W1043,0)</x:f>
        <x:v>0.4186046511627907</x:v>
      </x:c>
      <x:c r="AA1043" s="84" t="str">
        <x:f>PROPER(TRIM('Raw Sales'!M1043))</x:f>
        <x:v>Mobile Wallet</x:v>
      </x:c>
      <x:c r="AB1043" s="84" t="str">
        <x:f>PROPER(TRIM('Raw Sales'!N1043))</x:f>
        <x:v>Sofia Bennett</x:v>
      </x:c>
      <x:c r="AC1043" s="85" t="n">
        <x:f>'Raw Sales'!O1043</x:f>
        <x:v>45642</x:v>
      </x:c>
      <x:c r="AD1043" s="84" t="n">
        <x:f>AC1043-B1043</x:f>
        <x:v>4</x:v>
      </x:c>
      <x:c r="AE1043" s="84" t="str">
        <x:f>IF(COUNTIF($A$5:A1043,A1043)&gt;1,"Duplicate","Keep")</x:f>
        <x:v>Keep</x:v>
      </x:c>
      <x:c r="AF1043" s="84" t="str">
        <x:f>IF(OR(R1043&lt;=0,AC1043&lt;B1043,H1043="Unknown",M1043="Unknown Product"),"Review","Valid")</x:f>
        <x:v>Valid</x:v>
      </x:c>
      <x:c r="AG1043" s="84" t="n">
        <x:f>IF(AND(AE1043="Keep",AF1043="Valid"),1,0)</x:f>
        <x:v>1</x:v>
      </x:c>
      <x:c r="AH1043" s="84" t="n">
        <x:f>IF(AND(AG1043=1,OR('Dashboard'!$B$4="All",I1043='Dashboard'!$B$4),OR('Dashboard'!$E$4="All",N1043='Dashboard'!$E$4),OR('Dashboard'!$H$4="All",K1043='Dashboard'!$H$4),OR('Dashboard'!$K$4="All",C1043='Dashboard'!$K$4)),1,0)</x:f>
        <x:v>1</x:v>
      </x:c>
      <x:c r="AI1043" s="84" t="n">
        <x:f>IF(AND(AG1043=1,OR('Dashboard'!$B$4="All",I1043='Dashboard'!$B$4),OR('Dashboard'!$E$4="All",N1043='Dashboard'!$E$4),OR('Dashboard'!$H$4="All",K1043='Dashboard'!$H$4)),1,0)</x:f>
        <x:v>1</x:v>
      </x:c>
    </x:row>
    <x:row r="1044">
      <x:c r="A1044" s="84" t="str">
        <x:f>'Raw Sales'!A1044</x:f>
        <x:v>ORD-2024-00338</x:v>
      </x:c>
      <x:c r="B1044" s="85" t="n">
        <x:f>'Raw Sales'!B1044</x:f>
        <x:v>45638</x:v>
      </x:c>
      <x:c r="C1044" s="84" t="n">
        <x:f>YEAR(B1044)</x:f>
        <x:v>2024</x:v>
      </x:c>
      <x:c r="D1044" s="91" t="n">
        <x:f>DATE(YEAR(B1044),MONTH(B1044),1)</x:f>
        <x:v>45627</x:v>
      </x:c>
      <x:c r="E1044" s="84" t="str">
        <x:f>TEXT(B1044,"mmm")</x:f>
        <x:v>Dec</x:v>
      </x:c>
      <x:c r="F1044" s="84" t="str">
        <x:f>'Raw Sales'!C1044</x:f>
        <x:v>CUST-0030</x:v>
      </x:c>
      <x:c r="G1044" s="84" t="str">
        <x:f>PROPER(TRIM('Raw Sales'!D1044))</x:f>
        <x:v>Owen Patel</x:v>
      </x:c>
      <x:c r="H1044" s="84" t="str">
        <x:f>IF(TRIM('Raw Sales'!E1044)="","Unknown",PROPER(TRIM('Raw Sales'!E1044)))</x:f>
        <x:v>Corporate</x:v>
      </x:c>
      <x:c r="I1044" s="84" t="str">
        <x:f>PROPER(TRIM('Raw Sales'!F1044))</x:f>
        <x:v>Southeast</x:v>
      </x:c>
      <x:c r="J1044" s="84" t="str">
        <x:f>PROPER(TRIM('Raw Sales'!G1044))</x:f>
        <x:v>Charlotte</x:v>
      </x:c>
      <x:c r="K1044" s="84" t="str">
        <x:f>PROPER(TRIM('Raw Sales'!H1044))</x:f>
        <x:v>Marketplace</x:v>
      </x:c>
      <x:c r="L1044" s="84" t="str">
        <x:f>'Raw Sales'!I1044</x:f>
        <x:v>OFFC-006</x:v>
      </x:c>
      <x:c r="M1044" s="84" t="str">
        <x:f>IFERROR(VLOOKUP(L1044,'Reference Data'!$A$5:$F$40,2,FALSE),"Unknown Product")</x:f>
        <x:v>Monitor Stand</x:v>
      </x:c>
      <x:c r="N1044" s="84" t="str">
        <x:f>IFERROR(VLOOKUP(L1044,'Reference Data'!$A$5:$F$40,3,FALSE),"Unknown")</x:f>
        <x:v>Office</x:v>
      </x:c>
      <x:c r="O1044" s="84" t="str">
        <x:f>IFERROR(VLOOKUP(L1044,'Reference Data'!$A$5:$F$40,4,FALSE),"Unknown")</x:f>
        <x:v>Desk Accessories</x:v>
      </x:c>
      <x:c r="P1044" s="92" t="n">
        <x:f>IFERROR(VLOOKUP(L1044,'Reference Data'!$A$5:$F$40,5,FALSE),0)</x:f>
        <x:v>49</x:v>
      </x:c>
      <x:c r="Q1044" s="92" t="n">
        <x:f>IFERROR(VLOOKUP(L1044,'Reference Data'!$A$5:$F$40,6,FALSE),0)</x:f>
        <x:v>21</x:v>
      </x:c>
      <x:c r="R1044" s="84" t="n">
        <x:f>'Raw Sales'!J1044</x:f>
        <x:v>2</x:v>
      </x:c>
      <x:c r="S1044" s="87" t="n">
        <x:f>'Raw Sales'!K1044</x:f>
        <x:v>0.15</x:v>
      </x:c>
      <x:c r="T1044" s="93" t="n">
        <x:f>P1044*R1044</x:f>
        <x:v>98</x:v>
      </x:c>
      <x:c r="U1044" s="93" t="n">
        <x:f>T1044*S1044</x:f>
        <x:v>14.7</x:v>
      </x:c>
      <x:c r="V1044" s="93" t="str">
        <x:f>PROPER(TRIM('Raw Sales'!L1044))</x:f>
        <x:v>Completed</x:v>
      </x:c>
      <x:c r="W1044" s="93" t="n">
        <x:f>IF(V1044="Returned",0,T1044-U1044)</x:f>
        <x:v>83.3</x:v>
      </x:c>
      <x:c r="X1044" s="93" t="n">
        <x:f>IF(V1044="Returned",Q1044*R1044*10%,Q1044*R1044)</x:f>
        <x:v>42</x:v>
      </x:c>
      <x:c r="Y1044" s="93" t="n">
        <x:f>W1044-X1044</x:f>
        <x:v>41.3</x:v>
      </x:c>
      <x:c r="Z1044" s="94" t="n">
        <x:f>IFERROR(Y1044/W1044,0)</x:f>
        <x:v>0.49579831932773105</x:v>
      </x:c>
      <x:c r="AA1044" s="84" t="str">
        <x:f>PROPER(TRIM('Raw Sales'!M1044))</x:f>
        <x:v>Credit Card</x:v>
      </x:c>
      <x:c r="AB1044" s="84" t="str">
        <x:f>PROPER(TRIM('Raw Sales'!N1044))</x:f>
        <x:v>Ava Mitchell</x:v>
      </x:c>
      <x:c r="AC1044" s="85" t="n">
        <x:f>'Raw Sales'!O1044</x:f>
        <x:v>45645</x:v>
      </x:c>
      <x:c r="AD1044" s="84" t="n">
        <x:f>AC1044-B1044</x:f>
        <x:v>7</x:v>
      </x:c>
      <x:c r="AE1044" s="84" t="str">
        <x:f>IF(COUNTIF($A$5:A1044,A1044)&gt;1,"Duplicate","Keep")</x:f>
        <x:v>Keep</x:v>
      </x:c>
      <x:c r="AF1044" s="84" t="str">
        <x:f>IF(OR(R1044&lt;=0,AC1044&lt;B1044,H1044="Unknown",M1044="Unknown Product"),"Review","Valid")</x:f>
        <x:v>Valid</x:v>
      </x:c>
      <x:c r="AG1044" s="84" t="n">
        <x:f>IF(AND(AE1044="Keep",AF1044="Valid"),1,0)</x:f>
        <x:v>1</x:v>
      </x:c>
      <x:c r="AH1044" s="84" t="n">
        <x:f>IF(AND(AG1044=1,OR('Dashboard'!$B$4="All",I1044='Dashboard'!$B$4),OR('Dashboard'!$E$4="All",N1044='Dashboard'!$E$4),OR('Dashboard'!$H$4="All",K1044='Dashboard'!$H$4),OR('Dashboard'!$K$4="All",C1044='Dashboard'!$K$4)),1,0)</x:f>
        <x:v>1</x:v>
      </x:c>
      <x:c r="AI1044" s="84" t="n">
        <x:f>IF(AND(AG1044=1,OR('Dashboard'!$B$4="All",I1044='Dashboard'!$B$4),OR('Dashboard'!$E$4="All",N1044='Dashboard'!$E$4),OR('Dashboard'!$H$4="All",K1044='Dashboard'!$H$4)),1,0)</x:f>
        <x:v>1</x:v>
      </x:c>
    </x:row>
    <x:row r="1045">
      <x:c r="A1045" s="84" t="str">
        <x:f>'Raw Sales'!A1045</x:f>
        <x:v>ORD-2024-00865</x:v>
      </x:c>
      <x:c r="B1045" s="85" t="n">
        <x:f>'Raw Sales'!B1045</x:f>
        <x:v>45638</x:v>
      </x:c>
      <x:c r="C1045" s="84" t="n">
        <x:f>YEAR(B1045)</x:f>
        <x:v>2024</x:v>
      </x:c>
      <x:c r="D1045" s="91" t="n">
        <x:f>DATE(YEAR(B1045),MONTH(B1045),1)</x:f>
        <x:v>45627</x:v>
      </x:c>
      <x:c r="E1045" s="84" t="str">
        <x:f>TEXT(B1045,"mmm")</x:f>
        <x:v>Dec</x:v>
      </x:c>
      <x:c r="F1045" s="84" t="str">
        <x:f>'Raw Sales'!C1045</x:f>
        <x:v>CUST-0415</x:v>
      </x:c>
      <x:c r="G1045" s="84" t="str">
        <x:f>PROPER(TRIM('Raw Sales'!D1045))</x:f>
        <x:v>Zara Foster</x:v>
      </x:c>
      <x:c r="H1045" s="84" t="str">
        <x:f>IF(TRIM('Raw Sales'!E1045)="","Unknown",PROPER(TRIM('Raw Sales'!E1045)))</x:f>
        <x:v>Corporate</x:v>
      </x:c>
      <x:c r="I1045" s="84" t="str">
        <x:f>PROPER(TRIM('Raw Sales'!F1045))</x:f>
        <x:v>Southeast</x:v>
      </x:c>
      <x:c r="J1045" s="84" t="str">
        <x:f>PROPER(TRIM('Raw Sales'!G1045))</x:f>
        <x:v>Charlotte</x:v>
      </x:c>
      <x:c r="K1045" s="84" t="str">
        <x:f>PROPER(TRIM('Raw Sales'!H1045))</x:f>
        <x:v>Online</x:v>
      </x:c>
      <x:c r="L1045" s="84" t="str">
        <x:f>'Raw Sales'!I1045</x:f>
        <x:v>ELEC-003</x:v>
      </x:c>
      <x:c r="M1045" s="84" t="str">
        <x:f>IFERROR(VLOOKUP(L1045,'Reference Data'!$A$5:$F$40,2,FALSE),"Unknown Product")</x:f>
        <x:v>Bluetooth Speaker</x:v>
      </x:c>
      <x:c r="N1045" s="84" t="str">
        <x:f>IFERROR(VLOOKUP(L1045,'Reference Data'!$A$5:$F$40,3,FALSE),"Unknown")</x:f>
        <x:v>Electronics</x:v>
      </x:c>
      <x:c r="O1045" s="84" t="str">
        <x:f>IFERROR(VLOOKUP(L1045,'Reference Data'!$A$5:$F$40,4,FALSE),"Unknown")</x:f>
        <x:v>Audio</x:v>
      </x:c>
      <x:c r="P1045" s="92" t="n">
        <x:f>IFERROR(VLOOKUP(L1045,'Reference Data'!$A$5:$F$40,5,FALSE),0)</x:f>
        <x:v>89</x:v>
      </x:c>
      <x:c r="Q1045" s="92" t="n">
        <x:f>IFERROR(VLOOKUP(L1045,'Reference Data'!$A$5:$F$40,6,FALSE),0)</x:f>
        <x:v>44</x:v>
      </x:c>
      <x:c r="R1045" s="84" t="n">
        <x:f>'Raw Sales'!J1045</x:f>
        <x:v>6</x:v>
      </x:c>
      <x:c r="S1045" s="87" t="n">
        <x:f>'Raw Sales'!K1045</x:f>
        <x:v>0</x:v>
      </x:c>
      <x:c r="T1045" s="93" t="n">
        <x:f>P1045*R1045</x:f>
        <x:v>534</x:v>
      </x:c>
      <x:c r="U1045" s="93" t="n">
        <x:f>T1045*S1045</x:f>
        <x:v>0</x:v>
      </x:c>
      <x:c r="V1045" s="93" t="str">
        <x:f>PROPER(TRIM('Raw Sales'!L1045))</x:f>
        <x:v>Completed</x:v>
      </x:c>
      <x:c r="W1045" s="93" t="n">
        <x:f>IF(V1045="Returned",0,T1045-U1045)</x:f>
        <x:v>534</x:v>
      </x:c>
      <x:c r="X1045" s="93" t="n">
        <x:f>IF(V1045="Returned",Q1045*R1045*10%,Q1045*R1045)</x:f>
        <x:v>264</x:v>
      </x:c>
      <x:c r="Y1045" s="93" t="n">
        <x:f>W1045-X1045</x:f>
        <x:v>270</x:v>
      </x:c>
      <x:c r="Z1045" s="94" t="n">
        <x:f>IFERROR(Y1045/W1045,0)</x:f>
        <x:v>0.5056179775280899</x:v>
      </x:c>
      <x:c r="AA1045" s="84" t="str">
        <x:f>PROPER(TRIM('Raw Sales'!M1045))</x:f>
        <x:v>Mobile Wallet</x:v>
      </x:c>
      <x:c r="AB1045" s="84" t="str">
        <x:f>PROPER(TRIM('Raw Sales'!N1045))</x:f>
        <x:v>Ava Mitchell</x:v>
      </x:c>
      <x:c r="AC1045" s="85" t="n">
        <x:f>'Raw Sales'!O1045</x:f>
        <x:v>45642</x:v>
      </x:c>
      <x:c r="AD1045" s="84" t="n">
        <x:f>AC1045-B1045</x:f>
        <x:v>4</x:v>
      </x:c>
      <x:c r="AE1045" s="84" t="str">
        <x:f>IF(COUNTIF($A$5:A1045,A1045)&gt;1,"Duplicate","Keep")</x:f>
        <x:v>Keep</x:v>
      </x:c>
      <x:c r="AF1045" s="84" t="str">
        <x:f>IF(OR(R1045&lt;=0,AC1045&lt;B1045,H1045="Unknown",M1045="Unknown Product"),"Review","Valid")</x:f>
        <x:v>Valid</x:v>
      </x:c>
      <x:c r="AG1045" s="84" t="n">
        <x:f>IF(AND(AE1045="Keep",AF1045="Valid"),1,0)</x:f>
        <x:v>1</x:v>
      </x:c>
      <x:c r="AH1045" s="84" t="n">
        <x:f>IF(AND(AG1045=1,OR('Dashboard'!$B$4="All",I1045='Dashboard'!$B$4),OR('Dashboard'!$E$4="All",N1045='Dashboard'!$E$4),OR('Dashboard'!$H$4="All",K1045='Dashboard'!$H$4),OR('Dashboard'!$K$4="All",C1045='Dashboard'!$K$4)),1,0)</x:f>
        <x:v>1</x:v>
      </x:c>
      <x:c r="AI1045" s="84" t="n">
        <x:f>IF(AND(AG1045=1,OR('Dashboard'!$B$4="All",I1045='Dashboard'!$B$4),OR('Dashboard'!$E$4="All",N1045='Dashboard'!$E$4),OR('Dashboard'!$H$4="All",K1045='Dashboard'!$H$4)),1,0)</x:f>
        <x:v>1</x:v>
      </x:c>
    </x:row>
    <x:row r="1046">
      <x:c r="A1046" s="84" t="str">
        <x:f>'Raw Sales'!A1046</x:f>
        <x:v>ORD-2024-01016</x:v>
      </x:c>
      <x:c r="B1046" s="85" t="n">
        <x:f>'Raw Sales'!B1046</x:f>
        <x:v>45638</x:v>
      </x:c>
      <x:c r="C1046" s="84" t="n">
        <x:f>YEAR(B1046)</x:f>
        <x:v>2024</x:v>
      </x:c>
      <x:c r="D1046" s="91" t="n">
        <x:f>DATE(YEAR(B1046),MONTH(B1046),1)</x:f>
        <x:v>45627</x:v>
      </x:c>
      <x:c r="E1046" s="84" t="str">
        <x:f>TEXT(B1046,"mmm")</x:f>
        <x:v>Dec</x:v>
      </x:c>
      <x:c r="F1046" s="84" t="str">
        <x:f>'Raw Sales'!C1046</x:f>
        <x:v>CUST-0604</x:v>
      </x:c>
      <x:c r="G1046" s="84" t="str">
        <x:f>PROPER(TRIM('Raw Sales'!D1046))</x:f>
        <x:v>William Adams</x:v>
      </x:c>
      <x:c r="H1046" s="84" t="str">
        <x:f>IF(TRIM('Raw Sales'!E1046)="","Unknown",PROPER(TRIM('Raw Sales'!E1046)))</x:f>
        <x:v>Consumer</x:v>
      </x:c>
      <x:c r="I1046" s="84" t="str">
        <x:f>PROPER(TRIM('Raw Sales'!F1046))</x:f>
        <x:v>Northeast</x:v>
      </x:c>
      <x:c r="J1046" s="84" t="str">
        <x:f>PROPER(TRIM('Raw Sales'!G1046))</x:f>
        <x:v>Newark</x:v>
      </x:c>
      <x:c r="K1046" s="84" t="str">
        <x:f>PROPER(TRIM('Raw Sales'!H1046))</x:f>
        <x:v>Retail Store</x:v>
      </x:c>
      <x:c r="L1046" s="84" t="str">
        <x:f>'Raw Sales'!I1046</x:f>
        <x:v>OFFC-006</x:v>
      </x:c>
      <x:c r="M1046" s="84" t="str">
        <x:f>IFERROR(VLOOKUP(L1046,'Reference Data'!$A$5:$F$40,2,FALSE),"Unknown Product")</x:f>
        <x:v>Monitor Stand</x:v>
      </x:c>
      <x:c r="N1046" s="84" t="str">
        <x:f>IFERROR(VLOOKUP(L1046,'Reference Data'!$A$5:$F$40,3,FALSE),"Unknown")</x:f>
        <x:v>Office</x:v>
      </x:c>
      <x:c r="O1046" s="84" t="str">
        <x:f>IFERROR(VLOOKUP(L1046,'Reference Data'!$A$5:$F$40,4,FALSE),"Unknown")</x:f>
        <x:v>Desk Accessories</x:v>
      </x:c>
      <x:c r="P1046" s="92" t="n">
        <x:f>IFERROR(VLOOKUP(L1046,'Reference Data'!$A$5:$F$40,5,FALSE),0)</x:f>
        <x:v>49</x:v>
      </x:c>
      <x:c r="Q1046" s="92" t="n">
        <x:f>IFERROR(VLOOKUP(L1046,'Reference Data'!$A$5:$F$40,6,FALSE),0)</x:f>
        <x:v>21</x:v>
      </x:c>
      <x:c r="R1046" s="84" t="n">
        <x:f>'Raw Sales'!J1046</x:f>
        <x:v>1</x:v>
      </x:c>
      <x:c r="S1046" s="87" t="n">
        <x:f>'Raw Sales'!K1046</x:f>
        <x:v>0</x:v>
      </x:c>
      <x:c r="T1046" s="93" t="n">
        <x:f>P1046*R1046</x:f>
        <x:v>49</x:v>
      </x:c>
      <x:c r="U1046" s="93" t="n">
        <x:f>T1046*S1046</x:f>
        <x:v>0</x:v>
      </x:c>
      <x:c r="V1046" s="93" t="str">
        <x:f>PROPER(TRIM('Raw Sales'!L1046))</x:f>
        <x:v>Completed</x:v>
      </x:c>
      <x:c r="W1046" s="93" t="n">
        <x:f>IF(V1046="Returned",0,T1046-U1046)</x:f>
        <x:v>49</x:v>
      </x:c>
      <x:c r="X1046" s="93" t="n">
        <x:f>IF(V1046="Returned",Q1046*R1046*10%,Q1046*R1046)</x:f>
        <x:v>21</x:v>
      </x:c>
      <x:c r="Y1046" s="93" t="n">
        <x:f>W1046-X1046</x:f>
        <x:v>28</x:v>
      </x:c>
      <x:c r="Z1046" s="94" t="n">
        <x:f>IFERROR(Y1046/W1046,0)</x:f>
        <x:v>0.5714285714285714</x:v>
      </x:c>
      <x:c r="AA1046" s="84" t="str">
        <x:f>PROPER(TRIM('Raw Sales'!M1046))</x:f>
        <x:v>Cash</x:v>
      </x:c>
      <x:c r="AB1046" s="84" t="str">
        <x:f>PROPER(TRIM('Raw Sales'!N1046))</x:f>
        <x:v>Sofia Bennett</x:v>
      </x:c>
      <x:c r="AC1046" s="85" t="n">
        <x:f>'Raw Sales'!O1046</x:f>
        <x:v>45638</x:v>
      </x:c>
      <x:c r="AD1046" s="84" t="n">
        <x:f>AC1046-B1046</x:f>
        <x:v>0</x:v>
      </x:c>
      <x:c r="AE1046" s="84" t="str">
        <x:f>IF(COUNTIF($A$5:A1046,A1046)&gt;1,"Duplicate","Keep")</x:f>
        <x:v>Keep</x:v>
      </x:c>
      <x:c r="AF1046" s="84" t="str">
        <x:f>IF(OR(R1046&lt;=0,AC1046&lt;B1046,H1046="Unknown",M1046="Unknown Product"),"Review","Valid")</x:f>
        <x:v>Valid</x:v>
      </x:c>
      <x:c r="AG1046" s="84" t="n">
        <x:f>IF(AND(AE1046="Keep",AF1046="Valid"),1,0)</x:f>
        <x:v>1</x:v>
      </x:c>
      <x:c r="AH1046" s="84" t="n">
        <x:f>IF(AND(AG1046=1,OR('Dashboard'!$B$4="All",I1046='Dashboard'!$B$4),OR('Dashboard'!$E$4="All",N1046='Dashboard'!$E$4),OR('Dashboard'!$H$4="All",K1046='Dashboard'!$H$4),OR('Dashboard'!$K$4="All",C1046='Dashboard'!$K$4)),1,0)</x:f>
        <x:v>1</x:v>
      </x:c>
      <x:c r="AI1046" s="84" t="n">
        <x:f>IF(AND(AG1046=1,OR('Dashboard'!$B$4="All",I1046='Dashboard'!$B$4),OR('Dashboard'!$E$4="All",N1046='Dashboard'!$E$4),OR('Dashboard'!$H$4="All",K1046='Dashboard'!$H$4)),1,0)</x:f>
        <x:v>1</x:v>
      </x:c>
    </x:row>
    <x:row r="1047">
      <x:c r="A1047" s="84" t="str">
        <x:f>'Raw Sales'!A1047</x:f>
        <x:v>ORD-2024-01716</x:v>
      </x:c>
      <x:c r="B1047" s="85" t="n">
        <x:f>'Raw Sales'!B1047</x:f>
        <x:v>45638</x:v>
      </x:c>
      <x:c r="C1047" s="84" t="n">
        <x:f>YEAR(B1047)</x:f>
        <x:v>2024</x:v>
      </x:c>
      <x:c r="D1047" s="91" t="n">
        <x:f>DATE(YEAR(B1047),MONTH(B1047),1)</x:f>
        <x:v>45627</x:v>
      </x:c>
      <x:c r="E1047" s="84" t="str">
        <x:f>TEXT(B1047,"mmm")</x:f>
        <x:v>Dec</x:v>
      </x:c>
      <x:c r="F1047" s="84" t="str">
        <x:f>'Raw Sales'!C1047</x:f>
        <x:v>CUST-0188</x:v>
      </x:c>
      <x:c r="G1047" s="84" t="str">
        <x:f>PROPER(TRIM('Raw Sales'!D1047))</x:f>
        <x:v>Marcus Baker</x:v>
      </x:c>
      <x:c r="H1047" s="84" t="str">
        <x:f>IF(TRIM('Raw Sales'!E1047)="","Unknown",PROPER(TRIM('Raw Sales'!E1047)))</x:f>
        <x:v>Corporate</x:v>
      </x:c>
      <x:c r="I1047" s="84" t="str">
        <x:f>PROPER(TRIM('Raw Sales'!F1047))</x:f>
        <x:v>Southeast</x:v>
      </x:c>
      <x:c r="J1047" s="84" t="str">
        <x:f>PROPER(TRIM('Raw Sales'!G1047))</x:f>
        <x:v>Atlanta</x:v>
      </x:c>
      <x:c r="K1047" s="84" t="str">
        <x:f>PROPER(TRIM('Raw Sales'!H1047))</x:f>
        <x:v>Retail Store</x:v>
      </x:c>
      <x:c r="L1047" s="84" t="str">
        <x:f>'Raw Sales'!I1047</x:f>
        <x:v>ACCS-002</x:v>
      </x:c>
      <x:c r="M1047" s="84" t="str">
        <x:f>IFERROR(VLOOKUP(L1047,'Reference Data'!$A$5:$F$40,2,FALSE),"Unknown Product")</x:f>
        <x:v>Travel Backpack</x:v>
      </x:c>
      <x:c r="N1047" s="84" t="str">
        <x:f>IFERROR(VLOOKUP(L1047,'Reference Data'!$A$5:$F$40,3,FALSE),"Unknown")</x:f>
        <x:v>Accessories</x:v>
      </x:c>
      <x:c r="O1047" s="84" t="str">
        <x:f>IFERROR(VLOOKUP(L1047,'Reference Data'!$A$5:$F$40,4,FALSE),"Unknown")</x:f>
        <x:v>Bags</x:v>
      </x:c>
      <x:c r="P1047" s="92" t="n">
        <x:f>IFERROR(VLOOKUP(L1047,'Reference Data'!$A$5:$F$40,5,FALSE),0)</x:f>
        <x:v>89</x:v>
      </x:c>
      <x:c r="Q1047" s="92" t="n">
        <x:f>IFERROR(VLOOKUP(L1047,'Reference Data'!$A$5:$F$40,6,FALSE),0)</x:f>
        <x:v>36</x:v>
      </x:c>
      <x:c r="R1047" s="84" t="n">
        <x:f>'Raw Sales'!J1047</x:f>
        <x:v>4</x:v>
      </x:c>
      <x:c r="S1047" s="87" t="n">
        <x:f>'Raw Sales'!K1047</x:f>
        <x:v>0.2</x:v>
      </x:c>
      <x:c r="T1047" s="93" t="n">
        <x:f>P1047*R1047</x:f>
        <x:v>356</x:v>
      </x:c>
      <x:c r="U1047" s="93" t="n">
        <x:f>T1047*S1047</x:f>
        <x:v>71.2</x:v>
      </x:c>
      <x:c r="V1047" s="93" t="str">
        <x:f>PROPER(TRIM('Raw Sales'!L1047))</x:f>
        <x:v>Completed</x:v>
      </x:c>
      <x:c r="W1047" s="93" t="n">
        <x:f>IF(V1047="Returned",0,T1047-U1047)</x:f>
        <x:v>284.8</x:v>
      </x:c>
      <x:c r="X1047" s="93" t="n">
        <x:f>IF(V1047="Returned",Q1047*R1047*10%,Q1047*R1047)</x:f>
        <x:v>144</x:v>
      </x:c>
      <x:c r="Y1047" s="93" t="n">
        <x:f>W1047-X1047</x:f>
        <x:v>140.8</x:v>
      </x:c>
      <x:c r="Z1047" s="94" t="n">
        <x:f>IFERROR(Y1047/W1047,0)</x:f>
        <x:v>0.49438202247191015</x:v>
      </x:c>
      <x:c r="AA1047" s="84" t="str">
        <x:f>PROPER(TRIM('Raw Sales'!M1047))</x:f>
        <x:v>Mobile Wallet</x:v>
      </x:c>
      <x:c r="AB1047" s="84" t="str">
        <x:f>PROPER(TRIM('Raw Sales'!N1047))</x:f>
        <x:v>Noah Reed</x:v>
      </x:c>
      <x:c r="AC1047" s="85" t="n">
        <x:f>'Raw Sales'!O1047</x:f>
        <x:v>45639</x:v>
      </x:c>
      <x:c r="AD1047" s="84" t="n">
        <x:f>AC1047-B1047</x:f>
        <x:v>1</x:v>
      </x:c>
      <x:c r="AE1047" s="84" t="str">
        <x:f>IF(COUNTIF($A$5:A1047,A1047)&gt;1,"Duplicate","Keep")</x:f>
        <x:v>Keep</x:v>
      </x:c>
      <x:c r="AF1047" s="84" t="str">
        <x:f>IF(OR(R1047&lt;=0,AC1047&lt;B1047,H1047="Unknown",M1047="Unknown Product"),"Review","Valid")</x:f>
        <x:v>Valid</x:v>
      </x:c>
      <x:c r="AG1047" s="84" t="n">
        <x:f>IF(AND(AE1047="Keep",AF1047="Valid"),1,0)</x:f>
        <x:v>1</x:v>
      </x:c>
      <x:c r="AH1047" s="84" t="n">
        <x:f>IF(AND(AG1047=1,OR('Dashboard'!$B$4="All",I1047='Dashboard'!$B$4),OR('Dashboard'!$E$4="All",N1047='Dashboard'!$E$4),OR('Dashboard'!$H$4="All",K1047='Dashboard'!$H$4),OR('Dashboard'!$K$4="All",C1047='Dashboard'!$K$4)),1,0)</x:f>
        <x:v>1</x:v>
      </x:c>
      <x:c r="AI1047" s="84" t="n">
        <x:f>IF(AND(AG1047=1,OR('Dashboard'!$B$4="All",I1047='Dashboard'!$B$4),OR('Dashboard'!$E$4="All",N1047='Dashboard'!$E$4),OR('Dashboard'!$H$4="All",K1047='Dashboard'!$H$4)),1,0)</x:f>
        <x:v>1</x:v>
      </x:c>
    </x:row>
    <x:row r="1048">
      <x:c r="A1048" s="84" t="str">
        <x:f>'Raw Sales'!A1048</x:f>
        <x:v>ORD-2024-01625</x:v>
      </x:c>
      <x:c r="B1048" s="85" t="n">
        <x:f>'Raw Sales'!B1048</x:f>
        <x:v>45639</x:v>
      </x:c>
      <x:c r="C1048" s="84" t="n">
        <x:f>YEAR(B1048)</x:f>
        <x:v>2024</x:v>
      </x:c>
      <x:c r="D1048" s="91" t="n">
        <x:f>DATE(YEAR(B1048),MONTH(B1048),1)</x:f>
        <x:v>45627</x:v>
      </x:c>
      <x:c r="E1048" s="84" t="str">
        <x:f>TEXT(B1048,"mmm")</x:f>
        <x:v>Dec</x:v>
      </x:c>
      <x:c r="F1048" s="84" t="str">
        <x:f>'Raw Sales'!C1048</x:f>
        <x:v>CUST-0169</x:v>
      </x:c>
      <x:c r="G1048" s="84" t="str">
        <x:f>PROPER(TRIM('Raw Sales'!D1048))</x:f>
        <x:v>Marcus Evans</x:v>
      </x:c>
      <x:c r="H1048" s="84" t="str">
        <x:f>IF(TRIM('Raw Sales'!E1048)="","Unknown",PROPER(TRIM('Raw Sales'!E1048)))</x:f>
        <x:v>Corporate</x:v>
      </x:c>
      <x:c r="I1048" s="84" t="str">
        <x:f>PROPER(TRIM('Raw Sales'!F1048))</x:f>
        <x:v>Northeast</x:v>
      </x:c>
      <x:c r="J1048" s="84" t="str">
        <x:f>PROPER(TRIM('Raw Sales'!G1048))</x:f>
        <x:v>New York</x:v>
      </x:c>
      <x:c r="K1048" s="84" t="str">
        <x:f>PROPER(TRIM('Raw Sales'!H1048))</x:f>
        <x:v>Online</x:v>
      </x:c>
      <x:c r="L1048" s="84" t="str">
        <x:f>'Raw Sales'!I1048</x:f>
        <x:v>ELEC-004</x:v>
      </x:c>
      <x:c r="M1048" s="84" t="str">
        <x:f>IFERROR(VLOOKUP(L1048,'Reference Data'!$A$5:$F$40,2,FALSE),"Unknown Product")</x:f>
        <x:v>Power Bank</x:v>
      </x:c>
      <x:c r="N1048" s="84" t="str">
        <x:f>IFERROR(VLOOKUP(L1048,'Reference Data'!$A$5:$F$40,3,FALSE),"Unknown")</x:f>
        <x:v>Electronics</x:v>
      </x:c>
      <x:c r="O1048" s="84" t="str">
        <x:f>IFERROR(VLOOKUP(L1048,'Reference Data'!$A$5:$F$40,4,FALSE),"Unknown")</x:f>
        <x:v>Mobile Accessories</x:v>
      </x:c>
      <x:c r="P1048" s="92" t="n">
        <x:f>IFERROR(VLOOKUP(L1048,'Reference Data'!$A$5:$F$40,5,FALSE),0)</x:f>
        <x:v>39</x:v>
      </x:c>
      <x:c r="Q1048" s="92" t="n">
        <x:f>IFERROR(VLOOKUP(L1048,'Reference Data'!$A$5:$F$40,6,FALSE),0)</x:f>
        <x:v>18</x:v>
      </x:c>
      <x:c r="R1048" s="84" t="n">
        <x:f>'Raw Sales'!J1048</x:f>
        <x:v>5</x:v>
      </x:c>
      <x:c r="S1048" s="87" t="n">
        <x:f>'Raw Sales'!K1048</x:f>
        <x:v>0.05</x:v>
      </x:c>
      <x:c r="T1048" s="93" t="n">
        <x:f>P1048*R1048</x:f>
        <x:v>195</x:v>
      </x:c>
      <x:c r="U1048" s="93" t="n">
        <x:f>T1048*S1048</x:f>
        <x:v>9.75</x:v>
      </x:c>
      <x:c r="V1048" s="93" t="str">
        <x:f>PROPER(TRIM('Raw Sales'!L1048))</x:f>
        <x:v>Completed</x:v>
      </x:c>
      <x:c r="W1048" s="93" t="n">
        <x:f>IF(V1048="Returned",0,T1048-U1048)</x:f>
        <x:v>185.25</x:v>
      </x:c>
      <x:c r="X1048" s="93" t="n">
        <x:f>IF(V1048="Returned",Q1048*R1048*10%,Q1048*R1048)</x:f>
        <x:v>90</x:v>
      </x:c>
      <x:c r="Y1048" s="93" t="n">
        <x:f>W1048-X1048</x:f>
        <x:v>95.25</x:v>
      </x:c>
      <x:c r="Z1048" s="94" t="n">
        <x:f>IFERROR(Y1048/W1048,0)</x:f>
        <x:v>0.5141700404858299</x:v>
      </x:c>
      <x:c r="AA1048" s="84" t="str">
        <x:f>PROPER(TRIM('Raw Sales'!M1048))</x:f>
        <x:v>Debit Card</x:v>
      </x:c>
      <x:c r="AB1048" s="84" t="str">
        <x:f>PROPER(TRIM('Raw Sales'!N1048))</x:f>
        <x:v>Ethan Cole</x:v>
      </x:c>
      <x:c r="AC1048" s="85" t="n">
        <x:f>'Raw Sales'!O1048</x:f>
        <x:v>45643</x:v>
      </x:c>
      <x:c r="AD1048" s="84" t="n">
        <x:f>AC1048-B1048</x:f>
        <x:v>4</x:v>
      </x:c>
      <x:c r="AE1048" s="84" t="str">
        <x:f>IF(COUNTIF($A$5:A1048,A1048)&gt;1,"Duplicate","Keep")</x:f>
        <x:v>Keep</x:v>
      </x:c>
      <x:c r="AF1048" s="84" t="str">
        <x:f>IF(OR(R1048&lt;=0,AC1048&lt;B1048,H1048="Unknown",M1048="Unknown Product"),"Review","Valid")</x:f>
        <x:v>Valid</x:v>
      </x:c>
      <x:c r="AG1048" s="84" t="n">
        <x:f>IF(AND(AE1048="Keep",AF1048="Valid"),1,0)</x:f>
        <x:v>1</x:v>
      </x:c>
      <x:c r="AH1048" s="84" t="n">
        <x:f>IF(AND(AG1048=1,OR('Dashboard'!$B$4="All",I1048='Dashboard'!$B$4),OR('Dashboard'!$E$4="All",N1048='Dashboard'!$E$4),OR('Dashboard'!$H$4="All",K1048='Dashboard'!$H$4),OR('Dashboard'!$K$4="All",C1048='Dashboard'!$K$4)),1,0)</x:f>
        <x:v>1</x:v>
      </x:c>
      <x:c r="AI1048" s="84" t="n">
        <x:f>IF(AND(AG1048=1,OR('Dashboard'!$B$4="All",I1048='Dashboard'!$B$4),OR('Dashboard'!$E$4="All",N1048='Dashboard'!$E$4),OR('Dashboard'!$H$4="All",K1048='Dashboard'!$H$4)),1,0)</x:f>
        <x:v>1</x:v>
      </x:c>
    </x:row>
    <x:row r="1049">
      <x:c r="A1049" s="84" t="str">
        <x:f>'Raw Sales'!A1049</x:f>
        <x:v>ORD-2024-00009</x:v>
      </x:c>
      <x:c r="B1049" s="85" t="n">
        <x:f>'Raw Sales'!B1049</x:f>
        <x:v>45640</x:v>
      </x:c>
      <x:c r="C1049" s="84" t="n">
        <x:f>YEAR(B1049)</x:f>
        <x:v>2024</x:v>
      </x:c>
      <x:c r="D1049" s="91" t="n">
        <x:f>DATE(YEAR(B1049),MONTH(B1049),1)</x:f>
        <x:v>45627</x:v>
      </x:c>
      <x:c r="E1049" s="84" t="str">
        <x:f>TEXT(B1049,"mmm")</x:f>
        <x:v>Dec</x:v>
      </x:c>
      <x:c r="F1049" s="84" t="str">
        <x:f>'Raw Sales'!C1049</x:f>
        <x:v>CUST-0297</x:v>
      </x:c>
      <x:c r="G1049" s="84" t="str">
        <x:f>PROPER(TRIM('Raw Sales'!D1049))</x:f>
        <x:v>Nathan Davis</x:v>
      </x:c>
      <x:c r="H1049" s="84" t="str">
        <x:f>IF(TRIM('Raw Sales'!E1049)="","Unknown",PROPER(TRIM('Raw Sales'!E1049)))</x:f>
        <x:v>Consumer</x:v>
      </x:c>
      <x:c r="I1049" s="84" t="str">
        <x:f>PROPER(TRIM('Raw Sales'!F1049))</x:f>
        <x:v>Midwest</x:v>
      </x:c>
      <x:c r="J1049" s="84" t="str">
        <x:f>PROPER(TRIM('Raw Sales'!G1049))</x:f>
        <x:v>Minneapolis</x:v>
      </x:c>
      <x:c r="K1049" s="84" t="str">
        <x:f>PROPER(TRIM('Raw Sales'!H1049))</x:f>
        <x:v>Marketplace</x:v>
      </x:c>
      <x:c r="L1049" s="84" t="str">
        <x:f>'Raw Sales'!I1049</x:f>
        <x:v>ELEC-001</x:v>
      </x:c>
      <x:c r="M1049" s="84" t="str">
        <x:f>IFERROR(VLOOKUP(L1049,'Reference Data'!$A$5:$F$40,2,FALSE),"Unknown Product")</x:f>
        <x:v>Wireless Earbuds</x:v>
      </x:c>
      <x:c r="N1049" s="84" t="str">
        <x:f>IFERROR(VLOOKUP(L1049,'Reference Data'!$A$5:$F$40,3,FALSE),"Unknown")</x:f>
        <x:v>Electronics</x:v>
      </x:c>
      <x:c r="O1049" s="84" t="str">
        <x:f>IFERROR(VLOOKUP(L1049,'Reference Data'!$A$5:$F$40,4,FALSE),"Unknown")</x:f>
        <x:v>Audio</x:v>
      </x:c>
      <x:c r="P1049" s="92" t="n">
        <x:f>IFERROR(VLOOKUP(L1049,'Reference Data'!$A$5:$F$40,5,FALSE),0)</x:f>
        <x:v>69</x:v>
      </x:c>
      <x:c r="Q1049" s="92" t="n">
        <x:f>IFERROR(VLOOKUP(L1049,'Reference Data'!$A$5:$F$40,6,FALSE),0)</x:f>
        <x:v>36</x:v>
      </x:c>
      <x:c r="R1049" s="84" t="n">
        <x:f>'Raw Sales'!J1049</x:f>
        <x:v>3</x:v>
      </x:c>
      <x:c r="S1049" s="87" t="n">
        <x:f>'Raw Sales'!K1049</x:f>
        <x:v>0.2</x:v>
      </x:c>
      <x:c r="T1049" s="93" t="n">
        <x:f>P1049*R1049</x:f>
        <x:v>207</x:v>
      </x:c>
      <x:c r="U1049" s="93" t="n">
        <x:f>T1049*S1049</x:f>
        <x:v>41.400000000000006</x:v>
      </x:c>
      <x:c r="V1049" s="93" t="str">
        <x:f>PROPER(TRIM('Raw Sales'!L1049))</x:f>
        <x:v>Completed</x:v>
      </x:c>
      <x:c r="W1049" s="93" t="n">
        <x:f>IF(V1049="Returned",0,T1049-U1049)</x:f>
        <x:v>165.6</x:v>
      </x:c>
      <x:c r="X1049" s="93" t="n">
        <x:f>IF(V1049="Returned",Q1049*R1049*10%,Q1049*R1049)</x:f>
        <x:v>108</x:v>
      </x:c>
      <x:c r="Y1049" s="93" t="n">
        <x:f>W1049-X1049</x:f>
        <x:v>57.599999999999994</x:v>
      </x:c>
      <x:c r="Z1049" s="94" t="n">
        <x:f>IFERROR(Y1049/W1049,0)</x:f>
        <x:v>0.34782608695652173</x:v>
      </x:c>
      <x:c r="AA1049" s="84" t="str">
        <x:f>PROPER(TRIM('Raw Sales'!M1049))</x:f>
        <x:v>Debit Card</x:v>
      </x:c>
      <x:c r="AB1049" s="84" t="str">
        <x:f>PROPER(TRIM('Raw Sales'!N1049))</x:f>
        <x:v>Lucas Grant</x:v>
      </x:c>
      <x:c r="AC1049" s="85" t="n">
        <x:f>'Raw Sales'!O1049</x:f>
        <x:v>45644</x:v>
      </x:c>
      <x:c r="AD1049" s="84" t="n">
        <x:f>AC1049-B1049</x:f>
        <x:v>4</x:v>
      </x:c>
      <x:c r="AE1049" s="84" t="str">
        <x:f>IF(COUNTIF($A$5:A1049,A1049)&gt;1,"Duplicate","Keep")</x:f>
        <x:v>Keep</x:v>
      </x:c>
      <x:c r="AF1049" s="84" t="str">
        <x:f>IF(OR(R1049&lt;=0,AC1049&lt;B1049,H1049="Unknown",M1049="Unknown Product"),"Review","Valid")</x:f>
        <x:v>Valid</x:v>
      </x:c>
      <x:c r="AG1049" s="84" t="n">
        <x:f>IF(AND(AE1049="Keep",AF1049="Valid"),1,0)</x:f>
        <x:v>1</x:v>
      </x:c>
      <x:c r="AH1049" s="84" t="n">
        <x:f>IF(AND(AG1049=1,OR('Dashboard'!$B$4="All",I1049='Dashboard'!$B$4),OR('Dashboard'!$E$4="All",N1049='Dashboard'!$E$4),OR('Dashboard'!$H$4="All",K1049='Dashboard'!$H$4),OR('Dashboard'!$K$4="All",C1049='Dashboard'!$K$4)),1,0)</x:f>
        <x:v>1</x:v>
      </x:c>
      <x:c r="AI1049" s="84" t="n">
        <x:f>IF(AND(AG1049=1,OR('Dashboard'!$B$4="All",I1049='Dashboard'!$B$4),OR('Dashboard'!$E$4="All",N1049='Dashboard'!$E$4),OR('Dashboard'!$H$4="All",K1049='Dashboard'!$H$4)),1,0)</x:f>
        <x:v>1</x:v>
      </x:c>
    </x:row>
    <x:row r="1050">
      <x:c r="A1050" s="84" t="str">
        <x:f>'Raw Sales'!A1050</x:f>
        <x:v>ORD-2024-00312</x:v>
      </x:c>
      <x:c r="B1050" s="85" t="n">
        <x:f>'Raw Sales'!B1050</x:f>
        <x:v>45640</x:v>
      </x:c>
      <x:c r="C1050" s="84" t="n">
        <x:f>YEAR(B1050)</x:f>
        <x:v>2024</x:v>
      </x:c>
      <x:c r="D1050" s="91" t="n">
        <x:f>DATE(YEAR(B1050),MONTH(B1050),1)</x:f>
        <x:v>45627</x:v>
      </x:c>
      <x:c r="E1050" s="84" t="str">
        <x:f>TEXT(B1050,"mmm")</x:f>
        <x:v>Dec</x:v>
      </x:c>
      <x:c r="F1050" s="84" t="str">
        <x:f>'Raw Sales'!C1050</x:f>
        <x:v>CUST-0160</x:v>
      </x:c>
      <x:c r="G1050" s="84" t="str">
        <x:f>PROPER(TRIM('Raw Sales'!D1050))</x:f>
        <x:v>Amelia Adams</x:v>
      </x:c>
      <x:c r="H1050" s="84" t="str">
        <x:f>IF(TRIM('Raw Sales'!E1050)="","Unknown",PROPER(TRIM('Raw Sales'!E1050)))</x:f>
        <x:v>Consumer</x:v>
      </x:c>
      <x:c r="I1050" s="84" t="str">
        <x:f>PROPER(TRIM('Raw Sales'!F1050))</x:f>
        <x:v>Southeast</x:v>
      </x:c>
      <x:c r="J1050" s="84" t="str">
        <x:f>PROPER(TRIM('Raw Sales'!G1050))</x:f>
        <x:v>Atlanta</x:v>
      </x:c>
      <x:c r="K1050" s="84" t="str">
        <x:f>PROPER(TRIM('Raw Sales'!H1050))</x:f>
        <x:v>Retail Store</x:v>
      </x:c>
      <x:c r="L1050" s="84" t="str">
        <x:f>'Raw Sales'!I1050</x:f>
        <x:v>ELEC-002</x:v>
      </x:c>
      <x:c r="M1050" s="84" t="str">
        <x:f>IFERROR(VLOOKUP(L1050,'Reference Data'!$A$5:$F$40,2,FALSE),"Unknown Product")</x:f>
        <x:v>Smartwatch</x:v>
      </x:c>
      <x:c r="N1050" s="84" t="str">
        <x:f>IFERROR(VLOOKUP(L1050,'Reference Data'!$A$5:$F$40,3,FALSE),"Unknown")</x:f>
        <x:v>Electronics</x:v>
      </x:c>
      <x:c r="O1050" s="84" t="str">
        <x:f>IFERROR(VLOOKUP(L1050,'Reference Data'!$A$5:$F$40,4,FALSE),"Unknown")</x:f>
        <x:v>Wearables</x:v>
      </x:c>
      <x:c r="P1050" s="92" t="n">
        <x:f>IFERROR(VLOOKUP(L1050,'Reference Data'!$A$5:$F$40,5,FALSE),0)</x:f>
        <x:v>159</x:v>
      </x:c>
      <x:c r="Q1050" s="92" t="n">
        <x:f>IFERROR(VLOOKUP(L1050,'Reference Data'!$A$5:$F$40,6,FALSE),0)</x:f>
        <x:v>92</x:v>
      </x:c>
      <x:c r="R1050" s="84" t="n">
        <x:f>'Raw Sales'!J1050</x:f>
        <x:v>3</x:v>
      </x:c>
      <x:c r="S1050" s="87" t="n">
        <x:f>'Raw Sales'!K1050</x:f>
        <x:v>0.05</x:v>
      </x:c>
      <x:c r="T1050" s="93" t="n">
        <x:f>P1050*R1050</x:f>
        <x:v>477</x:v>
      </x:c>
      <x:c r="U1050" s="93" t="n">
        <x:f>T1050*S1050</x:f>
        <x:v>23.85</x:v>
      </x:c>
      <x:c r="V1050" s="93" t="str">
        <x:f>PROPER(TRIM('Raw Sales'!L1050))</x:f>
        <x:v>Completed</x:v>
      </x:c>
      <x:c r="W1050" s="93" t="n">
        <x:f>IF(V1050="Returned",0,T1050-U1050)</x:f>
        <x:v>453.15</x:v>
      </x:c>
      <x:c r="X1050" s="93" t="n">
        <x:f>IF(V1050="Returned",Q1050*R1050*10%,Q1050*R1050)</x:f>
        <x:v>276</x:v>
      </x:c>
      <x:c r="Y1050" s="93" t="n">
        <x:f>W1050-X1050</x:f>
        <x:v>177.14999999999998</x:v>
      </x:c>
      <x:c r="Z1050" s="94" t="n">
        <x:f>IFERROR(Y1050/W1050,0)</x:f>
        <x:v>0.3909301555776233</x:v>
      </x:c>
      <x:c r="AA1050" s="84" t="str">
        <x:f>PROPER(TRIM('Raw Sales'!M1050))</x:f>
        <x:v>Credit Card</x:v>
      </x:c>
      <x:c r="AB1050" s="84" t="str">
        <x:f>PROPER(TRIM('Raw Sales'!N1050))</x:f>
        <x:v>Liam Parker</x:v>
      </x:c>
      <x:c r="AC1050" s="85" t="n">
        <x:f>'Raw Sales'!O1050</x:f>
        <x:v>45641</x:v>
      </x:c>
      <x:c r="AD1050" s="84" t="n">
        <x:f>AC1050-B1050</x:f>
        <x:v>1</x:v>
      </x:c>
      <x:c r="AE1050" s="84" t="str">
        <x:f>IF(COUNTIF($A$5:A1050,A1050)&gt;1,"Duplicate","Keep")</x:f>
        <x:v>Keep</x:v>
      </x:c>
      <x:c r="AF1050" s="84" t="str">
        <x:f>IF(OR(R1050&lt;=0,AC1050&lt;B1050,H1050="Unknown",M1050="Unknown Product"),"Review","Valid")</x:f>
        <x:v>Valid</x:v>
      </x:c>
      <x:c r="AG1050" s="84" t="n">
        <x:f>IF(AND(AE1050="Keep",AF1050="Valid"),1,0)</x:f>
        <x:v>1</x:v>
      </x:c>
      <x:c r="AH1050" s="84" t="n">
        <x:f>IF(AND(AG1050=1,OR('Dashboard'!$B$4="All",I1050='Dashboard'!$B$4),OR('Dashboard'!$E$4="All",N1050='Dashboard'!$E$4),OR('Dashboard'!$H$4="All",K1050='Dashboard'!$H$4),OR('Dashboard'!$K$4="All",C1050='Dashboard'!$K$4)),1,0)</x:f>
        <x:v>1</x:v>
      </x:c>
      <x:c r="AI1050" s="84" t="n">
        <x:f>IF(AND(AG1050=1,OR('Dashboard'!$B$4="All",I1050='Dashboard'!$B$4),OR('Dashboard'!$E$4="All",N1050='Dashboard'!$E$4),OR('Dashboard'!$H$4="All",K1050='Dashboard'!$H$4)),1,0)</x:f>
        <x:v>1</x:v>
      </x:c>
    </x:row>
    <x:row r="1051">
      <x:c r="A1051" s="84" t="str">
        <x:f>'Raw Sales'!A1051</x:f>
        <x:v>ORD-2024-00395</x:v>
      </x:c>
      <x:c r="B1051" s="85" t="n">
        <x:f>'Raw Sales'!B1051</x:f>
        <x:v>45640</x:v>
      </x:c>
      <x:c r="C1051" s="84" t="n">
        <x:f>YEAR(B1051)</x:f>
        <x:v>2024</x:v>
      </x:c>
      <x:c r="D1051" s="91" t="n">
        <x:f>DATE(YEAR(B1051),MONTH(B1051),1)</x:f>
        <x:v>45627</x:v>
      </x:c>
      <x:c r="E1051" s="84" t="str">
        <x:f>TEXT(B1051,"mmm")</x:f>
        <x:v>Dec</x:v>
      </x:c>
      <x:c r="F1051" s="84" t="str">
        <x:f>'Raw Sales'!C1051</x:f>
        <x:v>CUST-0289</x:v>
      </x:c>
      <x:c r="G1051" s="84" t="str">
        <x:f>PROPER(TRIM('Raw Sales'!D1051))</x:f>
        <x:v>Chloe Patel</x:v>
      </x:c>
      <x:c r="H1051" s="84" t="str">
        <x:f>IF(TRIM('Raw Sales'!E1051)="","Unknown",PROPER(TRIM('Raw Sales'!E1051)))</x:f>
        <x:v>Consumer</x:v>
      </x:c>
      <x:c r="I1051" s="84" t="str">
        <x:f>PROPER(TRIM('Raw Sales'!F1051))</x:f>
        <x:v>West</x:v>
      </x:c>
      <x:c r="J1051" s="84" t="str">
        <x:f>PROPER(TRIM('Raw Sales'!G1051))</x:f>
        <x:v>Denver</x:v>
      </x:c>
      <x:c r="K1051" s="84" t="str">
        <x:f>PROPER(TRIM('Raw Sales'!H1051))</x:f>
        <x:v>Online</x:v>
      </x:c>
      <x:c r="L1051" s="84" t="str">
        <x:f>'Raw Sales'!I1051</x:f>
        <x:v>OFFC-002</x:v>
      </x:c>
      <x:c r="M1051" s="84" t="str">
        <x:f>IFERROR(VLOOKUP(L1051,'Reference Data'!$A$5:$F$40,2,FALSE),"Unknown Product")</x:f>
        <x:v>Standing Desk</x:v>
      </x:c>
      <x:c r="N1051" s="84" t="str">
        <x:f>IFERROR(VLOOKUP(L1051,'Reference Data'!$A$5:$F$40,3,FALSE),"Unknown")</x:f>
        <x:v>Office</x:v>
      </x:c>
      <x:c r="O1051" s="84" t="str">
        <x:f>IFERROR(VLOOKUP(L1051,'Reference Data'!$A$5:$F$40,4,FALSE),"Unknown")</x:f>
        <x:v>Furniture</x:v>
      </x:c>
      <x:c r="P1051" s="92" t="n">
        <x:f>IFERROR(VLOOKUP(L1051,'Reference Data'!$A$5:$F$40,5,FALSE),0)</x:f>
        <x:v>399</x:v>
      </x:c>
      <x:c r="Q1051" s="92" t="n">
        <x:f>IFERROR(VLOOKUP(L1051,'Reference Data'!$A$5:$F$40,6,FALSE),0)</x:f>
        <x:v>235</x:v>
      </x:c>
      <x:c r="R1051" s="84" t="n">
        <x:f>'Raw Sales'!J1051</x:f>
        <x:v>1</x:v>
      </x:c>
      <x:c r="S1051" s="87" t="n">
        <x:f>'Raw Sales'!K1051</x:f>
        <x:v>0</x:v>
      </x:c>
      <x:c r="T1051" s="93" t="n">
        <x:f>P1051*R1051</x:f>
        <x:v>399</x:v>
      </x:c>
      <x:c r="U1051" s="93" t="n">
        <x:f>T1051*S1051</x:f>
        <x:v>0</x:v>
      </x:c>
      <x:c r="V1051" s="93" t="str">
        <x:f>PROPER(TRIM('Raw Sales'!L1051))</x:f>
        <x:v>Completed</x:v>
      </x:c>
      <x:c r="W1051" s="93" t="n">
        <x:f>IF(V1051="Returned",0,T1051-U1051)</x:f>
        <x:v>399</x:v>
      </x:c>
      <x:c r="X1051" s="93" t="n">
        <x:f>IF(V1051="Returned",Q1051*R1051*10%,Q1051*R1051)</x:f>
        <x:v>235</x:v>
      </x:c>
      <x:c r="Y1051" s="93" t="n">
        <x:f>W1051-X1051</x:f>
        <x:v>164</x:v>
      </x:c>
      <x:c r="Z1051" s="94" t="n">
        <x:f>IFERROR(Y1051/W1051,0)</x:f>
        <x:v>0.41102756892230574</x:v>
      </x:c>
      <x:c r="AA1051" s="84" t="str">
        <x:f>PROPER(TRIM('Raw Sales'!M1051))</x:f>
        <x:v>Debit Card</x:v>
      </x:c>
      <x:c r="AB1051" s="84" t="str">
        <x:f>PROPER(TRIM('Raw Sales'!N1051))</x:f>
        <x:v>Mia Chen</x:v>
      </x:c>
      <x:c r="AC1051" s="85" t="n">
        <x:f>'Raw Sales'!O1051</x:f>
        <x:v>45643</x:v>
      </x:c>
      <x:c r="AD1051" s="84" t="n">
        <x:f>AC1051-B1051</x:f>
        <x:v>3</x:v>
      </x:c>
      <x:c r="AE1051" s="84" t="str">
        <x:f>IF(COUNTIF($A$5:A1051,A1051)&gt;1,"Duplicate","Keep")</x:f>
        <x:v>Keep</x:v>
      </x:c>
      <x:c r="AF1051" s="84" t="str">
        <x:f>IF(OR(R1051&lt;=0,AC1051&lt;B1051,H1051="Unknown",M1051="Unknown Product"),"Review","Valid")</x:f>
        <x:v>Valid</x:v>
      </x:c>
      <x:c r="AG1051" s="84" t="n">
        <x:f>IF(AND(AE1051="Keep",AF1051="Valid"),1,0)</x:f>
        <x:v>1</x:v>
      </x:c>
      <x:c r="AH1051" s="84" t="n">
        <x:f>IF(AND(AG1051=1,OR('Dashboard'!$B$4="All",I1051='Dashboard'!$B$4),OR('Dashboard'!$E$4="All",N1051='Dashboard'!$E$4),OR('Dashboard'!$H$4="All",K1051='Dashboard'!$H$4),OR('Dashboard'!$K$4="All",C1051='Dashboard'!$K$4)),1,0)</x:f>
        <x:v>1</x:v>
      </x:c>
      <x:c r="AI1051" s="84" t="n">
        <x:f>IF(AND(AG1051=1,OR('Dashboard'!$B$4="All",I1051='Dashboard'!$B$4),OR('Dashboard'!$E$4="All",N1051='Dashboard'!$E$4),OR('Dashboard'!$H$4="All",K1051='Dashboard'!$H$4)),1,0)</x:f>
        <x:v>1</x:v>
      </x:c>
    </x:row>
    <x:row r="1052">
      <x:c r="A1052" s="84" t="str">
        <x:f>'Raw Sales'!A1052</x:f>
        <x:v>ORD-2024-00076</x:v>
      </x:c>
      <x:c r="B1052" s="85" t="n">
        <x:f>'Raw Sales'!B1052</x:f>
        <x:v>45641</x:v>
      </x:c>
      <x:c r="C1052" s="84" t="n">
        <x:f>YEAR(B1052)</x:f>
        <x:v>2024</x:v>
      </x:c>
      <x:c r="D1052" s="91" t="n">
        <x:f>DATE(YEAR(B1052),MONTH(B1052),1)</x:f>
        <x:v>45627</x:v>
      </x:c>
      <x:c r="E1052" s="84" t="str">
        <x:f>TEXT(B1052,"mmm")</x:f>
        <x:v>Dec</x:v>
      </x:c>
      <x:c r="F1052" s="84" t="str">
        <x:f>'Raw Sales'!C1052</x:f>
        <x:v>CUST-0411</x:v>
      </x:c>
      <x:c r="G1052" s="84" t="str">
        <x:f>PROPER(TRIM('Raw Sales'!D1052))</x:f>
        <x:v>Daniel Young</x:v>
      </x:c>
      <x:c r="H1052" s="84" t="str">
        <x:f>IF(TRIM('Raw Sales'!E1052)="","Unknown",PROPER(TRIM('Raw Sales'!E1052)))</x:f>
        <x:v>Corporate</x:v>
      </x:c>
      <x:c r="I1052" s="84" t="str">
        <x:f>PROPER(TRIM('Raw Sales'!F1052))</x:f>
        <x:v>West</x:v>
      </x:c>
      <x:c r="J1052" s="84" t="str">
        <x:f>PROPER(TRIM('Raw Sales'!G1052))</x:f>
        <x:v>Denver</x:v>
      </x:c>
      <x:c r="K1052" s="84" t="str">
        <x:f>PROPER(TRIM('Raw Sales'!H1052))</x:f>
        <x:v>Retail Store</x:v>
      </x:c>
      <x:c r="L1052" s="84" t="str">
        <x:f>'Raw Sales'!I1052</x:f>
        <x:v>ACCS-003</x:v>
      </x:c>
      <x:c r="M1052" s="84" t="str">
        <x:f>IFERROR(VLOOKUP(L1052,'Reference Data'!$A$5:$F$40,2,FALSE),"Unknown Product")</x:f>
        <x:v>Polarized Sunglasses</x:v>
      </x:c>
      <x:c r="N1052" s="84" t="str">
        <x:f>IFERROR(VLOOKUP(L1052,'Reference Data'!$A$5:$F$40,3,FALSE),"Unknown")</x:f>
        <x:v>Accessories</x:v>
      </x:c>
      <x:c r="O1052" s="84" t="str">
        <x:f>IFERROR(VLOOKUP(L1052,'Reference Data'!$A$5:$F$40,4,FALSE),"Unknown")</x:f>
        <x:v>Eyewear</x:v>
      </x:c>
      <x:c r="P1052" s="92" t="n">
        <x:f>IFERROR(VLOOKUP(L1052,'Reference Data'!$A$5:$F$40,5,FALSE),0)</x:f>
        <x:v>59</x:v>
      </x:c>
      <x:c r="Q1052" s="92" t="n">
        <x:f>IFERROR(VLOOKUP(L1052,'Reference Data'!$A$5:$F$40,6,FALSE),0)</x:f>
        <x:v>17</x:v>
      </x:c>
      <x:c r="R1052" s="84" t="n">
        <x:f>'Raw Sales'!J1052</x:f>
        <x:v>6</x:v>
      </x:c>
      <x:c r="S1052" s="87" t="n">
        <x:f>'Raw Sales'!K1052</x:f>
        <x:v>0.1</x:v>
      </x:c>
      <x:c r="T1052" s="93" t="n">
        <x:f>P1052*R1052</x:f>
        <x:v>354</x:v>
      </x:c>
      <x:c r="U1052" s="93" t="n">
        <x:f>T1052*S1052</x:f>
        <x:v>35.4</x:v>
      </x:c>
      <x:c r="V1052" s="93" t="str">
        <x:f>PROPER(TRIM('Raw Sales'!L1052))</x:f>
        <x:v>Completed</x:v>
      </x:c>
      <x:c r="W1052" s="93" t="n">
        <x:f>IF(V1052="Returned",0,T1052-U1052)</x:f>
        <x:v>318.6</x:v>
      </x:c>
      <x:c r="X1052" s="93" t="n">
        <x:f>IF(V1052="Returned",Q1052*R1052*10%,Q1052*R1052)</x:f>
        <x:v>102</x:v>
      </x:c>
      <x:c r="Y1052" s="93" t="n">
        <x:f>W1052-X1052</x:f>
        <x:v>216.60000000000002</x:v>
      </x:c>
      <x:c r="Z1052" s="94" t="n">
        <x:f>IFERROR(Y1052/W1052,0)</x:f>
        <x:v>0.67984934086629</x:v>
      </x:c>
      <x:c r="AA1052" s="84" t="str">
        <x:f>PROPER(TRIM('Raw Sales'!M1052))</x:f>
        <x:v>Mobile Wallet</x:v>
      </x:c>
      <x:c r="AB1052" s="84" t="str">
        <x:f>PROPER(TRIM('Raw Sales'!N1052))</x:f>
        <x:v>Leo Martinez</x:v>
      </x:c>
      <x:c r="AC1052" s="85" t="n">
        <x:f>'Raw Sales'!O1052</x:f>
        <x:v>45641</x:v>
      </x:c>
      <x:c r="AD1052" s="84" t="n">
        <x:f>AC1052-B1052</x:f>
        <x:v>0</x:v>
      </x:c>
      <x:c r="AE1052" s="84" t="str">
        <x:f>IF(COUNTIF($A$5:A1052,A1052)&gt;1,"Duplicate","Keep")</x:f>
        <x:v>Keep</x:v>
      </x:c>
      <x:c r="AF1052" s="84" t="str">
        <x:f>IF(OR(R1052&lt;=0,AC1052&lt;B1052,H1052="Unknown",M1052="Unknown Product"),"Review","Valid")</x:f>
        <x:v>Valid</x:v>
      </x:c>
      <x:c r="AG1052" s="84" t="n">
        <x:f>IF(AND(AE1052="Keep",AF1052="Valid"),1,0)</x:f>
        <x:v>1</x:v>
      </x:c>
      <x:c r="AH1052" s="84" t="n">
        <x:f>IF(AND(AG1052=1,OR('Dashboard'!$B$4="All",I1052='Dashboard'!$B$4),OR('Dashboard'!$E$4="All",N1052='Dashboard'!$E$4),OR('Dashboard'!$H$4="All",K1052='Dashboard'!$H$4),OR('Dashboard'!$K$4="All",C1052='Dashboard'!$K$4)),1,0)</x:f>
        <x:v>1</x:v>
      </x:c>
      <x:c r="AI1052" s="84" t="n">
        <x:f>IF(AND(AG1052=1,OR('Dashboard'!$B$4="All",I1052='Dashboard'!$B$4),OR('Dashboard'!$E$4="All",N1052='Dashboard'!$E$4),OR('Dashboard'!$H$4="All",K1052='Dashboard'!$H$4)),1,0)</x:f>
        <x:v>1</x:v>
      </x:c>
    </x:row>
    <x:row r="1053">
      <x:c r="A1053" s="84" t="str">
        <x:f>'Raw Sales'!A1053</x:f>
        <x:v>ORD-2024-00359</x:v>
      </x:c>
      <x:c r="B1053" s="85" t="n">
        <x:f>'Raw Sales'!B1053</x:f>
        <x:v>45641</x:v>
      </x:c>
      <x:c r="C1053" s="84" t="n">
        <x:f>YEAR(B1053)</x:f>
        <x:v>2024</x:v>
      </x:c>
      <x:c r="D1053" s="91" t="n">
        <x:f>DATE(YEAR(B1053),MONTH(B1053),1)</x:f>
        <x:v>45627</x:v>
      </x:c>
      <x:c r="E1053" s="84" t="str">
        <x:f>TEXT(B1053,"mmm")</x:f>
        <x:v>Dec</x:v>
      </x:c>
      <x:c r="F1053" s="84" t="str">
        <x:f>'Raw Sales'!C1053</x:f>
        <x:v>CUST-0170</x:v>
      </x:c>
      <x:c r="G1053" s="84" t="str">
        <x:f>PROPER(TRIM('Raw Sales'!D1053))</x:f>
        <x:v>Victoria Garcia</x:v>
      </x:c>
      <x:c r="H1053" s="84" t="str">
        <x:f>IF(TRIM('Raw Sales'!E1053)="","Unknown",PROPER(TRIM('Raw Sales'!E1053)))</x:f>
        <x:v>Small Business</x:v>
      </x:c>
      <x:c r="I1053" s="84" t="str">
        <x:f>PROPER(TRIM('Raw Sales'!F1053))</x:f>
        <x:v>West</x:v>
      </x:c>
      <x:c r="J1053" s="84" t="str">
        <x:f>PROPER(TRIM('Raw Sales'!G1053))</x:f>
        <x:v>Seattle</x:v>
      </x:c>
      <x:c r="K1053" s="84" t="str">
        <x:f>PROPER(TRIM('Raw Sales'!H1053))</x:f>
        <x:v>Online</x:v>
      </x:c>
      <x:c r="L1053" s="84" t="str">
        <x:f>'Raw Sales'!I1053</x:f>
        <x:v>OFFC-004</x:v>
      </x:c>
      <x:c r="M1053" s="84" t="str">
        <x:f>IFERROR(VLOOKUP(L1053,'Reference Data'!$A$5:$F$40,2,FALSE),"Unknown Product")</x:f>
        <x:v>Premium Notebook Pack</x:v>
      </x:c>
      <x:c r="N1053" s="84" t="str">
        <x:f>IFERROR(VLOOKUP(L1053,'Reference Data'!$A$5:$F$40,3,FALSE),"Unknown")</x:f>
        <x:v>Office</x:v>
      </x:c>
      <x:c r="O1053" s="84" t="str">
        <x:f>IFERROR(VLOOKUP(L1053,'Reference Data'!$A$5:$F$40,4,FALSE),"Unknown")</x:f>
        <x:v>Stationery</x:v>
      </x:c>
      <x:c r="P1053" s="92" t="n">
        <x:f>IFERROR(VLOOKUP(L1053,'Reference Data'!$A$5:$F$40,5,FALSE),0)</x:f>
        <x:v>18</x:v>
      </x:c>
      <x:c r="Q1053" s="92" t="n">
        <x:f>IFERROR(VLOOKUP(L1053,'Reference Data'!$A$5:$F$40,6,FALSE),0)</x:f>
        <x:v>6.5</x:v>
      </x:c>
      <x:c r="R1053" s="84" t="n">
        <x:f>'Raw Sales'!J1053</x:f>
        <x:v>3</x:v>
      </x:c>
      <x:c r="S1053" s="87" t="n">
        <x:f>'Raw Sales'!K1053</x:f>
        <x:v>0</x:v>
      </x:c>
      <x:c r="T1053" s="93" t="n">
        <x:f>P1053*R1053</x:f>
        <x:v>54</x:v>
      </x:c>
      <x:c r="U1053" s="93" t="n">
        <x:f>T1053*S1053</x:f>
        <x:v>0</x:v>
      </x:c>
      <x:c r="V1053" s="93" t="str">
        <x:f>PROPER(TRIM('Raw Sales'!L1053))</x:f>
        <x:v>Completed</x:v>
      </x:c>
      <x:c r="W1053" s="93" t="n">
        <x:f>IF(V1053="Returned",0,T1053-U1053)</x:f>
        <x:v>54</x:v>
      </x:c>
      <x:c r="X1053" s="93" t="n">
        <x:f>IF(V1053="Returned",Q1053*R1053*10%,Q1053*R1053)</x:f>
        <x:v>19.5</x:v>
      </x:c>
      <x:c r="Y1053" s="93" t="n">
        <x:f>W1053-X1053</x:f>
        <x:v>34.5</x:v>
      </x:c>
      <x:c r="Z1053" s="94" t="n">
        <x:f>IFERROR(Y1053/W1053,0)</x:f>
        <x:v>0.6388888888888888</x:v>
      </x:c>
      <x:c r="AA1053" s="84" t="str">
        <x:f>PROPER(TRIM('Raw Sales'!M1053))</x:f>
        <x:v>Credit Card</x:v>
      </x:c>
      <x:c r="AB1053" s="84" t="str">
        <x:f>PROPER(TRIM('Raw Sales'!N1053))</x:f>
        <x:v>Nora Kim</x:v>
      </x:c>
      <x:c r="AC1053" s="85" t="n">
        <x:f>'Raw Sales'!O1053</x:f>
        <x:v>45646</x:v>
      </x:c>
      <x:c r="AD1053" s="84" t="n">
        <x:f>AC1053-B1053</x:f>
        <x:v>5</x:v>
      </x:c>
      <x:c r="AE1053" s="84" t="str">
        <x:f>IF(COUNTIF($A$5:A1053,A1053)&gt;1,"Duplicate","Keep")</x:f>
        <x:v>Keep</x:v>
      </x:c>
      <x:c r="AF1053" s="84" t="str">
        <x:f>IF(OR(R1053&lt;=0,AC1053&lt;B1053,H1053="Unknown",M1053="Unknown Product"),"Review","Valid")</x:f>
        <x:v>Valid</x:v>
      </x:c>
      <x:c r="AG1053" s="84" t="n">
        <x:f>IF(AND(AE1053="Keep",AF1053="Valid"),1,0)</x:f>
        <x:v>1</x:v>
      </x:c>
      <x:c r="AH1053" s="84" t="n">
        <x:f>IF(AND(AG1053=1,OR('Dashboard'!$B$4="All",I1053='Dashboard'!$B$4),OR('Dashboard'!$E$4="All",N1053='Dashboard'!$E$4),OR('Dashboard'!$H$4="All",K1053='Dashboard'!$H$4),OR('Dashboard'!$K$4="All",C1053='Dashboard'!$K$4)),1,0)</x:f>
        <x:v>1</x:v>
      </x:c>
      <x:c r="AI1053" s="84" t="n">
        <x:f>IF(AND(AG1053=1,OR('Dashboard'!$B$4="All",I1053='Dashboard'!$B$4),OR('Dashboard'!$E$4="All",N1053='Dashboard'!$E$4),OR('Dashboard'!$H$4="All",K1053='Dashboard'!$H$4)),1,0)</x:f>
        <x:v>1</x:v>
      </x:c>
    </x:row>
    <x:row r="1054">
      <x:c r="A1054" s="84" t="str">
        <x:f>'Raw Sales'!A1054</x:f>
        <x:v>ORD-2024-00698</x:v>
      </x:c>
      <x:c r="B1054" s="85" t="n">
        <x:f>'Raw Sales'!B1054</x:f>
        <x:v>45641</x:v>
      </x:c>
      <x:c r="C1054" s="84" t="n">
        <x:f>YEAR(B1054)</x:f>
        <x:v>2024</x:v>
      </x:c>
      <x:c r="D1054" s="91" t="n">
        <x:f>DATE(YEAR(B1054),MONTH(B1054),1)</x:f>
        <x:v>45627</x:v>
      </x:c>
      <x:c r="E1054" s="84" t="str">
        <x:f>TEXT(B1054,"mmm")</x:f>
        <x:v>Dec</x:v>
      </x:c>
      <x:c r="F1054" s="84" t="str">
        <x:f>'Raw Sales'!C1054</x:f>
        <x:v>CUST-0576</x:v>
      </x:c>
      <x:c r="G1054" s="84" t="str">
        <x:f>PROPER(TRIM('Raw Sales'!D1054))</x:f>
        <x:v>Maya Walker</x:v>
      </x:c>
      <x:c r="H1054" s="84" t="str">
        <x:f>IF(TRIM('Raw Sales'!E1054)="","Unknown",PROPER(TRIM('Raw Sales'!E1054)))</x:f>
        <x:v>Corporate</x:v>
      </x:c>
      <x:c r="I1054" s="84" t="str">
        <x:f>PROPER(TRIM('Raw Sales'!F1054))</x:f>
        <x:v>Northeast</x:v>
      </x:c>
      <x:c r="J1054" s="84" t="str">
        <x:f>PROPER(TRIM('Raw Sales'!G1054))</x:f>
        <x:v>New York</x:v>
      </x:c>
      <x:c r="K1054" s="84" t="str">
        <x:f>PROPER(TRIM('Raw Sales'!H1054))</x:f>
        <x:v>Online</x:v>
      </x:c>
      <x:c r="L1054" s="84" t="str">
        <x:f>'Raw Sales'!I1054</x:f>
        <x:v>FITN-005</x:v>
      </x:c>
      <x:c r="M1054" s="84" t="str">
        <x:f>IFERROR(VLOOKUP(L1054,'Reference Data'!$A$5:$F$40,2,FALSE),"Unknown Product")</x:f>
        <x:v>Sports Water Bottle</x:v>
      </x:c>
      <x:c r="N1054" s="84" t="str">
        <x:f>IFERROR(VLOOKUP(L1054,'Reference Data'!$A$5:$F$40,3,FALSE),"Unknown")</x:f>
        <x:v>Fitness</x:v>
      </x:c>
      <x:c r="O1054" s="84" t="str">
        <x:f>IFERROR(VLOOKUP(L1054,'Reference Data'!$A$5:$F$40,4,FALSE),"Unknown")</x:f>
        <x:v>Accessories</x:v>
      </x:c>
      <x:c r="P1054" s="92" t="n">
        <x:f>IFERROR(VLOOKUP(L1054,'Reference Data'!$A$5:$F$40,5,FALSE),0)</x:f>
        <x:v>22</x:v>
      </x:c>
      <x:c r="Q1054" s="92" t="n">
        <x:f>IFERROR(VLOOKUP(L1054,'Reference Data'!$A$5:$F$40,6,FALSE),0)</x:f>
        <x:v>7</x:v>
      </x:c>
      <x:c r="R1054" s="84" t="n">
        <x:f>'Raw Sales'!J1054</x:f>
        <x:v>1</x:v>
      </x:c>
      <x:c r="S1054" s="87" t="n">
        <x:f>'Raw Sales'!K1054</x:f>
        <x:v>0.1</x:v>
      </x:c>
      <x:c r="T1054" s="93" t="n">
        <x:f>P1054*R1054</x:f>
        <x:v>22</x:v>
      </x:c>
      <x:c r="U1054" s="93" t="n">
        <x:f>T1054*S1054</x:f>
        <x:v>2.2</x:v>
      </x:c>
      <x:c r="V1054" s="93" t="str">
        <x:f>PROPER(TRIM('Raw Sales'!L1054))</x:f>
        <x:v>Completed</x:v>
      </x:c>
      <x:c r="W1054" s="93" t="n">
        <x:f>IF(V1054="Returned",0,T1054-U1054)</x:f>
        <x:v>19.8</x:v>
      </x:c>
      <x:c r="X1054" s="93" t="n">
        <x:f>IF(V1054="Returned",Q1054*R1054*10%,Q1054*R1054)</x:f>
        <x:v>7</x:v>
      </x:c>
      <x:c r="Y1054" s="93" t="n">
        <x:f>W1054-X1054</x:f>
        <x:v>12.8</x:v>
      </x:c>
      <x:c r="Z1054" s="94" t="n">
        <x:f>IFERROR(Y1054/W1054,0)</x:f>
        <x:v>0.6464646464646465</x:v>
      </x:c>
      <x:c r="AA1054" s="84" t="str">
        <x:f>PROPER(TRIM('Raw Sales'!M1054))</x:f>
        <x:v>Debit Card</x:v>
      </x:c>
      <x:c r="AB1054" s="84" t="str">
        <x:f>PROPER(TRIM('Raw Sales'!N1054))</x:f>
        <x:v>Ethan Cole</x:v>
      </x:c>
      <x:c r="AC1054" s="85" t="n">
        <x:f>'Raw Sales'!O1054</x:f>
        <x:v>45645</x:v>
      </x:c>
      <x:c r="AD1054" s="84" t="n">
        <x:f>AC1054-B1054</x:f>
        <x:v>4</x:v>
      </x:c>
      <x:c r="AE1054" s="84" t="str">
        <x:f>IF(COUNTIF($A$5:A1054,A1054)&gt;1,"Duplicate","Keep")</x:f>
        <x:v>Keep</x:v>
      </x:c>
      <x:c r="AF1054" s="84" t="str">
        <x:f>IF(OR(R1054&lt;=0,AC1054&lt;B1054,H1054="Unknown",M1054="Unknown Product"),"Review","Valid")</x:f>
        <x:v>Valid</x:v>
      </x:c>
      <x:c r="AG1054" s="84" t="n">
        <x:f>IF(AND(AE1054="Keep",AF1054="Valid"),1,0)</x:f>
        <x:v>1</x:v>
      </x:c>
      <x:c r="AH1054" s="84" t="n">
        <x:f>IF(AND(AG1054=1,OR('Dashboard'!$B$4="All",I1054='Dashboard'!$B$4),OR('Dashboard'!$E$4="All",N1054='Dashboard'!$E$4),OR('Dashboard'!$H$4="All",K1054='Dashboard'!$H$4),OR('Dashboard'!$K$4="All",C1054='Dashboard'!$K$4)),1,0)</x:f>
        <x:v>1</x:v>
      </x:c>
      <x:c r="AI1054" s="84" t="n">
        <x:f>IF(AND(AG1054=1,OR('Dashboard'!$B$4="All",I1054='Dashboard'!$B$4),OR('Dashboard'!$E$4="All",N1054='Dashboard'!$E$4),OR('Dashboard'!$H$4="All",K1054='Dashboard'!$H$4)),1,0)</x:f>
        <x:v>1</x:v>
      </x:c>
    </x:row>
    <x:row r="1055">
      <x:c r="A1055" s="84" t="str">
        <x:f>'Raw Sales'!A1055</x:f>
        <x:v>ORD-2024-00875</x:v>
      </x:c>
      <x:c r="B1055" s="85" t="n">
        <x:f>'Raw Sales'!B1055</x:f>
        <x:v>45641</x:v>
      </x:c>
      <x:c r="C1055" s="84" t="n">
        <x:f>YEAR(B1055)</x:f>
        <x:v>2024</x:v>
      </x:c>
      <x:c r="D1055" s="91" t="n">
        <x:f>DATE(YEAR(B1055),MONTH(B1055),1)</x:f>
        <x:v>45627</x:v>
      </x:c>
      <x:c r="E1055" s="84" t="str">
        <x:f>TEXT(B1055,"mmm")</x:f>
        <x:v>Dec</x:v>
      </x:c>
      <x:c r="F1055" s="84" t="str">
        <x:f>'Raw Sales'!C1055</x:f>
        <x:v>CUST-0052</x:v>
      </x:c>
      <x:c r="G1055" s="84" t="str">
        <x:f>PROPER(TRIM('Raw Sales'!D1055))</x:f>
        <x:v>Elias Adams</x:v>
      </x:c>
      <x:c r="H1055" s="84" t="str">
        <x:f>IF(TRIM('Raw Sales'!E1055)="","Unknown",PROPER(TRIM('Raw Sales'!E1055)))</x:f>
        <x:v>Consumer</x:v>
      </x:c>
      <x:c r="I1055" s="84" t="str">
        <x:f>PROPER(TRIM('Raw Sales'!F1055))</x:f>
        <x:v>Southeast</x:v>
      </x:c>
      <x:c r="J1055" s="84" t="str">
        <x:f>PROPER(TRIM('Raw Sales'!G1055))</x:f>
        <x:v>Atlanta</x:v>
      </x:c>
      <x:c r="K1055" s="84" t="str">
        <x:f>PROPER(TRIM('Raw Sales'!H1055))</x:f>
        <x:v>Retail Store</x:v>
      </x:c>
      <x:c r="L1055" s="84" t="str">
        <x:f>'Raw Sales'!I1055</x:f>
        <x:v>ELEC-003</x:v>
      </x:c>
      <x:c r="M1055" s="84" t="str">
        <x:f>IFERROR(VLOOKUP(L1055,'Reference Data'!$A$5:$F$40,2,FALSE),"Unknown Product")</x:f>
        <x:v>Bluetooth Speaker</x:v>
      </x:c>
      <x:c r="N1055" s="84" t="str">
        <x:f>IFERROR(VLOOKUP(L1055,'Reference Data'!$A$5:$F$40,3,FALSE),"Unknown")</x:f>
        <x:v>Electronics</x:v>
      </x:c>
      <x:c r="O1055" s="84" t="str">
        <x:f>IFERROR(VLOOKUP(L1055,'Reference Data'!$A$5:$F$40,4,FALSE),"Unknown")</x:f>
        <x:v>Audio</x:v>
      </x:c>
      <x:c r="P1055" s="92" t="n">
        <x:f>IFERROR(VLOOKUP(L1055,'Reference Data'!$A$5:$F$40,5,FALSE),0)</x:f>
        <x:v>89</x:v>
      </x:c>
      <x:c r="Q1055" s="92" t="n">
        <x:f>IFERROR(VLOOKUP(L1055,'Reference Data'!$A$5:$F$40,6,FALSE),0)</x:f>
        <x:v>44</x:v>
      </x:c>
      <x:c r="R1055" s="84" t="n">
        <x:f>'Raw Sales'!J1055</x:f>
        <x:v>1</x:v>
      </x:c>
      <x:c r="S1055" s="87" t="n">
        <x:f>'Raw Sales'!K1055</x:f>
        <x:v>0</x:v>
      </x:c>
      <x:c r="T1055" s="93" t="n">
        <x:f>P1055*R1055</x:f>
        <x:v>89</x:v>
      </x:c>
      <x:c r="U1055" s="93" t="n">
        <x:f>T1055*S1055</x:f>
        <x:v>0</x:v>
      </x:c>
      <x:c r="V1055" s="93" t="str">
        <x:f>PROPER(TRIM('Raw Sales'!L1055))</x:f>
        <x:v>Completed</x:v>
      </x:c>
      <x:c r="W1055" s="93" t="n">
        <x:f>IF(V1055="Returned",0,T1055-U1055)</x:f>
        <x:v>89</x:v>
      </x:c>
      <x:c r="X1055" s="93" t="n">
        <x:f>IF(V1055="Returned",Q1055*R1055*10%,Q1055*R1055)</x:f>
        <x:v>44</x:v>
      </x:c>
      <x:c r="Y1055" s="93" t="n">
        <x:f>W1055-X1055</x:f>
        <x:v>45</x:v>
      </x:c>
      <x:c r="Z1055" s="94" t="n">
        <x:f>IFERROR(Y1055/W1055,0)</x:f>
        <x:v>0.5056179775280899</x:v>
      </x:c>
      <x:c r="AA1055" s="84" t="str">
        <x:f>PROPER(TRIM('Raw Sales'!M1055))</x:f>
        <x:v>Credit Card</x:v>
      </x:c>
      <x:c r="AB1055" s="84" t="str">
        <x:f>PROPER(TRIM('Raw Sales'!N1055))</x:f>
        <x:v>Ava Mitchell</x:v>
      </x:c>
      <x:c r="AC1055" s="85" t="n">
        <x:f>'Raw Sales'!O1055</x:f>
        <x:v>45641</x:v>
      </x:c>
      <x:c r="AD1055" s="84" t="n">
        <x:f>AC1055-B1055</x:f>
        <x:v>0</x:v>
      </x:c>
      <x:c r="AE1055" s="84" t="str">
        <x:f>IF(COUNTIF($A$5:A1055,A1055)&gt;1,"Duplicate","Keep")</x:f>
        <x:v>Keep</x:v>
      </x:c>
      <x:c r="AF1055" s="84" t="str">
        <x:f>IF(OR(R1055&lt;=0,AC1055&lt;B1055,H1055="Unknown",M1055="Unknown Product"),"Review","Valid")</x:f>
        <x:v>Valid</x:v>
      </x:c>
      <x:c r="AG1055" s="84" t="n">
        <x:f>IF(AND(AE1055="Keep",AF1055="Valid"),1,0)</x:f>
        <x:v>1</x:v>
      </x:c>
      <x:c r="AH1055" s="84" t="n">
        <x:f>IF(AND(AG1055=1,OR('Dashboard'!$B$4="All",I1055='Dashboard'!$B$4),OR('Dashboard'!$E$4="All",N1055='Dashboard'!$E$4),OR('Dashboard'!$H$4="All",K1055='Dashboard'!$H$4),OR('Dashboard'!$K$4="All",C1055='Dashboard'!$K$4)),1,0)</x:f>
        <x:v>1</x:v>
      </x:c>
      <x:c r="AI1055" s="84" t="n">
        <x:f>IF(AND(AG1055=1,OR('Dashboard'!$B$4="All",I1055='Dashboard'!$B$4),OR('Dashboard'!$E$4="All",N1055='Dashboard'!$E$4),OR('Dashboard'!$H$4="All",K1055='Dashboard'!$H$4)),1,0)</x:f>
        <x:v>1</x:v>
      </x:c>
    </x:row>
    <x:row r="1056">
      <x:c r="A1056" s="84" t="str">
        <x:f>'Raw Sales'!A1056</x:f>
        <x:v>ORD-2024-00665</x:v>
      </x:c>
      <x:c r="B1056" s="85" t="n">
        <x:f>'Raw Sales'!B1056</x:f>
        <x:v>45642</x:v>
      </x:c>
      <x:c r="C1056" s="84" t="n">
        <x:f>YEAR(B1056)</x:f>
        <x:v>2024</x:v>
      </x:c>
      <x:c r="D1056" s="91" t="n">
        <x:f>DATE(YEAR(B1056),MONTH(B1056),1)</x:f>
        <x:v>45627</x:v>
      </x:c>
      <x:c r="E1056" s="84" t="str">
        <x:f>TEXT(B1056,"mmm")</x:f>
        <x:v>Dec</x:v>
      </x:c>
      <x:c r="F1056" s="84" t="str">
        <x:f>'Raw Sales'!C1056</x:f>
        <x:v>CUST-0628</x:v>
      </x:c>
      <x:c r="G1056" s="84" t="str">
        <x:f>PROPER(TRIM('Raw Sales'!D1056))</x:f>
        <x:v>Isaac Young</x:v>
      </x:c>
      <x:c r="H1056" s="84" t="str">
        <x:f>IF(TRIM('Raw Sales'!E1056)="","Unknown",PROPER(TRIM('Raw Sales'!E1056)))</x:f>
        <x:v>Small Business</x:v>
      </x:c>
      <x:c r="I1056" s="84" t="str">
        <x:f>PROPER(TRIM('Raw Sales'!F1056))</x:f>
        <x:v>West</x:v>
      </x:c>
      <x:c r="J1056" s="84" t="str">
        <x:f>PROPER(TRIM('Raw Sales'!G1056))</x:f>
        <x:v>Denver</x:v>
      </x:c>
      <x:c r="K1056" s="84" t="str">
        <x:f>PROPER(TRIM('Raw Sales'!H1056))</x:f>
        <x:v>Retail Store</x:v>
      </x:c>
      <x:c r="L1056" s="84" t="str">
        <x:f>'Raw Sales'!I1056</x:f>
        <x:v>ELEC-001</x:v>
      </x:c>
      <x:c r="M1056" s="84" t="str">
        <x:f>IFERROR(VLOOKUP(L1056,'Reference Data'!$A$5:$F$40,2,FALSE),"Unknown Product")</x:f>
        <x:v>Wireless Earbuds</x:v>
      </x:c>
      <x:c r="N1056" s="84" t="str">
        <x:f>IFERROR(VLOOKUP(L1056,'Reference Data'!$A$5:$F$40,3,FALSE),"Unknown")</x:f>
        <x:v>Electronics</x:v>
      </x:c>
      <x:c r="O1056" s="84" t="str">
        <x:f>IFERROR(VLOOKUP(L1056,'Reference Data'!$A$5:$F$40,4,FALSE),"Unknown")</x:f>
        <x:v>Audio</x:v>
      </x:c>
      <x:c r="P1056" s="92" t="n">
        <x:f>IFERROR(VLOOKUP(L1056,'Reference Data'!$A$5:$F$40,5,FALSE),0)</x:f>
        <x:v>69</x:v>
      </x:c>
      <x:c r="Q1056" s="92" t="n">
        <x:f>IFERROR(VLOOKUP(L1056,'Reference Data'!$A$5:$F$40,6,FALSE),0)</x:f>
        <x:v>36</x:v>
      </x:c>
      <x:c r="R1056" s="84" t="n">
        <x:f>'Raw Sales'!J1056</x:f>
        <x:v>2</x:v>
      </x:c>
      <x:c r="S1056" s="87" t="n">
        <x:f>'Raw Sales'!K1056</x:f>
        <x:v>0.05</x:v>
      </x:c>
      <x:c r="T1056" s="93" t="n">
        <x:f>P1056*R1056</x:f>
        <x:v>138</x:v>
      </x:c>
      <x:c r="U1056" s="93" t="n">
        <x:f>T1056*S1056</x:f>
        <x:v>6.9</x:v>
      </x:c>
      <x:c r="V1056" s="93" t="str">
        <x:f>PROPER(TRIM('Raw Sales'!L1056))</x:f>
        <x:v>Completed</x:v>
      </x:c>
      <x:c r="W1056" s="93" t="n">
        <x:f>IF(V1056="Returned",0,T1056-U1056)</x:f>
        <x:v>131.1</x:v>
      </x:c>
      <x:c r="X1056" s="93" t="n">
        <x:f>IF(V1056="Returned",Q1056*R1056*10%,Q1056*R1056)</x:f>
        <x:v>72</x:v>
      </x:c>
      <x:c r="Y1056" s="93" t="n">
        <x:f>W1056-X1056</x:f>
        <x:v>59.099999999999994</x:v>
      </x:c>
      <x:c r="Z1056" s="94" t="n">
        <x:f>IFERROR(Y1056/W1056,0)</x:f>
        <x:v>0.45080091533180777</x:v>
      </x:c>
      <x:c r="AA1056" s="84" t="str">
        <x:f>PROPER(TRIM('Raw Sales'!M1056))</x:f>
        <x:v>Cash</x:v>
      </x:c>
      <x:c r="AB1056" s="84" t="str">
        <x:f>PROPER(TRIM('Raw Sales'!N1056))</x:f>
        <x:v>Mia Chen</x:v>
      </x:c>
      <x:c r="AC1056" s="85" t="n">
        <x:f>'Raw Sales'!O1056</x:f>
        <x:v>45642</x:v>
      </x:c>
      <x:c r="AD1056" s="84" t="n">
        <x:f>AC1056-B1056</x:f>
        <x:v>0</x:v>
      </x:c>
      <x:c r="AE1056" s="84" t="str">
        <x:f>IF(COUNTIF($A$5:A1056,A1056)&gt;1,"Duplicate","Keep")</x:f>
        <x:v>Keep</x:v>
      </x:c>
      <x:c r="AF1056" s="84" t="str">
        <x:f>IF(OR(R1056&lt;=0,AC1056&lt;B1056,H1056="Unknown",M1056="Unknown Product"),"Review","Valid")</x:f>
        <x:v>Valid</x:v>
      </x:c>
      <x:c r="AG1056" s="84" t="n">
        <x:f>IF(AND(AE1056="Keep",AF1056="Valid"),1,0)</x:f>
        <x:v>1</x:v>
      </x:c>
      <x:c r="AH1056" s="84" t="n">
        <x:f>IF(AND(AG1056=1,OR('Dashboard'!$B$4="All",I1056='Dashboard'!$B$4),OR('Dashboard'!$E$4="All",N1056='Dashboard'!$E$4),OR('Dashboard'!$H$4="All",K1056='Dashboard'!$H$4),OR('Dashboard'!$K$4="All",C1056='Dashboard'!$K$4)),1,0)</x:f>
        <x:v>1</x:v>
      </x:c>
      <x:c r="AI1056" s="84" t="n">
        <x:f>IF(AND(AG1056=1,OR('Dashboard'!$B$4="All",I1056='Dashboard'!$B$4),OR('Dashboard'!$E$4="All",N1056='Dashboard'!$E$4),OR('Dashboard'!$H$4="All",K1056='Dashboard'!$H$4)),1,0)</x:f>
        <x:v>1</x:v>
      </x:c>
    </x:row>
    <x:row r="1057">
      <x:c r="A1057" s="84" t="str">
        <x:f>'Raw Sales'!A1057</x:f>
        <x:v>ORD-2024-00707</x:v>
      </x:c>
      <x:c r="B1057" s="85" t="n">
        <x:f>'Raw Sales'!B1057</x:f>
        <x:v>45642</x:v>
      </x:c>
      <x:c r="C1057" s="84" t="n">
        <x:f>YEAR(B1057)</x:f>
        <x:v>2024</x:v>
      </x:c>
      <x:c r="D1057" s="91" t="n">
        <x:f>DATE(YEAR(B1057),MONTH(B1057),1)</x:f>
        <x:v>45627</x:v>
      </x:c>
      <x:c r="E1057" s="84" t="str">
        <x:f>TEXT(B1057,"mmm")</x:f>
        <x:v>Dec</x:v>
      </x:c>
      <x:c r="F1057" s="84" t="str">
        <x:f>'Raw Sales'!C1057</x:f>
        <x:v>CUST-0111</x:v>
      </x:c>
      <x:c r="G1057" s="84" t="str">
        <x:f>PROPER(TRIM('Raw Sales'!D1057))</x:f>
        <x:v>Elias Evans</x:v>
      </x:c>
      <x:c r="H1057" s="84" t="str">
        <x:f>IF(TRIM('Raw Sales'!E1057)="","Unknown",PROPER(TRIM('Raw Sales'!E1057)))</x:f>
        <x:v>Small Business</x:v>
      </x:c>
      <x:c r="I1057" s="84" t="str">
        <x:f>PROPER(TRIM('Raw Sales'!F1057))</x:f>
        <x:v>Northeast</x:v>
      </x:c>
      <x:c r="J1057" s="84" t="str">
        <x:f>PROPER(TRIM('Raw Sales'!G1057))</x:f>
        <x:v>New York</x:v>
      </x:c>
      <x:c r="K1057" s="84" t="str">
        <x:f>PROPER(TRIM('Raw Sales'!H1057))</x:f>
        <x:v>Retail Store</x:v>
      </x:c>
      <x:c r="L1057" s="84" t="str">
        <x:f>'Raw Sales'!I1057</x:f>
        <x:v>ELEC-005</x:v>
      </x:c>
      <x:c r="M1057" s="84" t="str">
        <x:f>IFERROR(VLOOKUP(L1057,'Reference Data'!$A$5:$F$40,2,FALSE),"Unknown Product")</x:f>
        <x:v>HD Webcam</x:v>
      </x:c>
      <x:c r="N1057" s="84" t="str">
        <x:f>IFERROR(VLOOKUP(L1057,'Reference Data'!$A$5:$F$40,3,FALSE),"Unknown")</x:f>
        <x:v>Electronics</x:v>
      </x:c>
      <x:c r="O1057" s="84" t="str">
        <x:f>IFERROR(VLOOKUP(L1057,'Reference Data'!$A$5:$F$40,4,FALSE),"Unknown")</x:f>
        <x:v>Computer Accessories</x:v>
      </x:c>
      <x:c r="P1057" s="92" t="n">
        <x:f>IFERROR(VLOOKUP(L1057,'Reference Data'!$A$5:$F$40,5,FALSE),0)</x:f>
        <x:v>79</x:v>
      </x:c>
      <x:c r="Q1057" s="92" t="n">
        <x:f>IFERROR(VLOOKUP(L1057,'Reference Data'!$A$5:$F$40,6,FALSE),0)</x:f>
        <x:v>37</x:v>
      </x:c>
      <x:c r="R1057" s="84" t="n">
        <x:f>'Raw Sales'!J1057</x:f>
        <x:v>3</x:v>
      </x:c>
      <x:c r="S1057" s="87" t="n">
        <x:f>'Raw Sales'!K1057</x:f>
        <x:v>0.2</x:v>
      </x:c>
      <x:c r="T1057" s="93" t="n">
        <x:f>P1057*R1057</x:f>
        <x:v>237</x:v>
      </x:c>
      <x:c r="U1057" s="93" t="n">
        <x:f>T1057*S1057</x:f>
        <x:v>47.400000000000006</x:v>
      </x:c>
      <x:c r="V1057" s="93" t="str">
        <x:f>PROPER(TRIM('Raw Sales'!L1057))</x:f>
        <x:v>Completed</x:v>
      </x:c>
      <x:c r="W1057" s="93" t="n">
        <x:f>IF(V1057="Returned",0,T1057-U1057)</x:f>
        <x:v>189.6</x:v>
      </x:c>
      <x:c r="X1057" s="93" t="n">
        <x:f>IF(V1057="Returned",Q1057*R1057*10%,Q1057*R1057)</x:f>
        <x:v>111</x:v>
      </x:c>
      <x:c r="Y1057" s="93" t="n">
        <x:f>W1057-X1057</x:f>
        <x:v>78.6</x:v>
      </x:c>
      <x:c r="Z1057" s="94" t="n">
        <x:f>IFERROR(Y1057/W1057,0)</x:f>
        <x:v>0.41455696202531644</x:v>
      </x:c>
      <x:c r="AA1057" s="84" t="str">
        <x:f>PROPER(TRIM('Raw Sales'!M1057))</x:f>
        <x:v>Debit Card</x:v>
      </x:c>
      <x:c r="AB1057" s="84" t="str">
        <x:f>PROPER(TRIM('Raw Sales'!N1057))</x:f>
        <x:v>Maya Brooks</x:v>
      </x:c>
      <x:c r="AC1057" s="85" t="n">
        <x:f>'Raw Sales'!O1057</x:f>
        <x:v>45643</x:v>
      </x:c>
      <x:c r="AD1057" s="84" t="n">
        <x:f>AC1057-B1057</x:f>
        <x:v>1</x:v>
      </x:c>
      <x:c r="AE1057" s="84" t="str">
        <x:f>IF(COUNTIF($A$5:A1057,A1057)&gt;1,"Duplicate","Keep")</x:f>
        <x:v>Keep</x:v>
      </x:c>
      <x:c r="AF1057" s="84" t="str">
        <x:f>IF(OR(R1057&lt;=0,AC1057&lt;B1057,H1057="Unknown",M1057="Unknown Product"),"Review","Valid")</x:f>
        <x:v>Valid</x:v>
      </x:c>
      <x:c r="AG1057" s="84" t="n">
        <x:f>IF(AND(AE1057="Keep",AF1057="Valid"),1,0)</x:f>
        <x:v>1</x:v>
      </x:c>
      <x:c r="AH1057" s="84" t="n">
        <x:f>IF(AND(AG1057=1,OR('Dashboard'!$B$4="All",I1057='Dashboard'!$B$4),OR('Dashboard'!$E$4="All",N1057='Dashboard'!$E$4),OR('Dashboard'!$H$4="All",K1057='Dashboard'!$H$4),OR('Dashboard'!$K$4="All",C1057='Dashboard'!$K$4)),1,0)</x:f>
        <x:v>1</x:v>
      </x:c>
      <x:c r="AI1057" s="84" t="n">
        <x:f>IF(AND(AG1057=1,OR('Dashboard'!$B$4="All",I1057='Dashboard'!$B$4),OR('Dashboard'!$E$4="All",N1057='Dashboard'!$E$4),OR('Dashboard'!$H$4="All",K1057='Dashboard'!$H$4)),1,0)</x:f>
        <x:v>1</x:v>
      </x:c>
    </x:row>
    <x:row r="1058">
      <x:c r="A1058" s="84" t="str">
        <x:f>'Raw Sales'!A1058</x:f>
        <x:v>ORD-2024-01992</x:v>
      </x:c>
      <x:c r="B1058" s="85" t="n">
        <x:f>'Raw Sales'!B1058</x:f>
        <x:v>45642</x:v>
      </x:c>
      <x:c r="C1058" s="84" t="n">
        <x:f>YEAR(B1058)</x:f>
        <x:v>2024</x:v>
      </x:c>
      <x:c r="D1058" s="91" t="n">
        <x:f>DATE(YEAR(B1058),MONTH(B1058),1)</x:f>
        <x:v>45627</x:v>
      </x:c>
      <x:c r="E1058" s="84" t="str">
        <x:f>TEXT(B1058,"mmm")</x:f>
        <x:v>Dec</x:v>
      </x:c>
      <x:c r="F1058" s="84" t="str">
        <x:f>'Raw Sales'!C1058</x:f>
        <x:v>CUST-0509</x:v>
      </x:c>
      <x:c r="G1058" s="84" t="str">
        <x:f>PROPER(TRIM('Raw Sales'!D1058))</x:f>
        <x:v>Daniel Moore</x:v>
      </x:c>
      <x:c r="H1058" s="84" t="str">
        <x:f>IF(TRIM('Raw Sales'!E1058)="","Unknown",PROPER(TRIM('Raw Sales'!E1058)))</x:f>
        <x:v>Corporate</x:v>
      </x:c>
      <x:c r="I1058" s="84" t="str">
        <x:f>PROPER(TRIM('Raw Sales'!F1058))</x:f>
        <x:v>Southeast</x:v>
      </x:c>
      <x:c r="J1058" s="84" t="str">
        <x:f>PROPER(TRIM('Raw Sales'!G1058))</x:f>
        <x:v>Atlanta</x:v>
      </x:c>
      <x:c r="K1058" s="84" t="str">
        <x:f>PROPER(TRIM('Raw Sales'!H1058))</x:f>
        <x:v>Retail Store</x:v>
      </x:c>
      <x:c r="L1058" s="84" t="str">
        <x:f>'Raw Sales'!I1058</x:f>
        <x:v>ACCS-004</x:v>
      </x:c>
      <x:c r="M1058" s="84" t="str">
        <x:f>IFERROR(VLOOKUP(L1058,'Reference Data'!$A$5:$F$40,2,FALSE),"Unknown Product")</x:f>
        <x:v>Leather Wallet</x:v>
      </x:c>
      <x:c r="N1058" s="84" t="str">
        <x:f>IFERROR(VLOOKUP(L1058,'Reference Data'!$A$5:$F$40,3,FALSE),"Unknown")</x:f>
        <x:v>Accessories</x:v>
      </x:c>
      <x:c r="O1058" s="84" t="str">
        <x:f>IFERROR(VLOOKUP(L1058,'Reference Data'!$A$5:$F$40,4,FALSE),"Unknown")</x:f>
        <x:v>Wallets</x:v>
      </x:c>
      <x:c r="P1058" s="92" t="n">
        <x:f>IFERROR(VLOOKUP(L1058,'Reference Data'!$A$5:$F$40,5,FALSE),0)</x:f>
        <x:v>49</x:v>
      </x:c>
      <x:c r="Q1058" s="92" t="n">
        <x:f>IFERROR(VLOOKUP(L1058,'Reference Data'!$A$5:$F$40,6,FALSE),0)</x:f>
        <x:v>18</x:v>
      </x:c>
      <x:c r="R1058" s="84" t="n">
        <x:f>'Raw Sales'!J1058</x:f>
        <x:v>3</x:v>
      </x:c>
      <x:c r="S1058" s="87" t="n">
        <x:f>'Raw Sales'!K1058</x:f>
        <x:v>0.2</x:v>
      </x:c>
      <x:c r="T1058" s="93" t="n">
        <x:f>P1058*R1058</x:f>
        <x:v>147</x:v>
      </x:c>
      <x:c r="U1058" s="93" t="n">
        <x:f>T1058*S1058</x:f>
        <x:v>29.400000000000002</x:v>
      </x:c>
      <x:c r="V1058" s="93" t="str">
        <x:f>PROPER(TRIM('Raw Sales'!L1058))</x:f>
        <x:v>Returned</x:v>
      </x:c>
      <x:c r="W1058" s="93" t="n">
        <x:f>IF(V1058="Returned",0,T1058-U1058)</x:f>
        <x:v>0</x:v>
      </x:c>
      <x:c r="X1058" s="93" t="n">
        <x:f>IF(V1058="Returned",Q1058*R1058*10%,Q1058*R1058)</x:f>
        <x:v>5.4</x:v>
      </x:c>
      <x:c r="Y1058" s="93" t="n">
        <x:f>W1058-X1058</x:f>
        <x:v>-5.4</x:v>
      </x:c>
      <x:c r="Z1058" s="94" t="n">
        <x:f>IFERROR(Y1058/W1058,0)</x:f>
        <x:v>0</x:v>
      </x:c>
      <x:c r="AA1058" s="84" t="str">
        <x:f>PROPER(TRIM('Raw Sales'!M1058))</x:f>
        <x:v>Mobile Wallet</x:v>
      </x:c>
      <x:c r="AB1058" s="84" t="str">
        <x:f>PROPER(TRIM('Raw Sales'!N1058))</x:f>
        <x:v>Liam Parker</x:v>
      </x:c>
      <x:c r="AC1058" s="85" t="n">
        <x:f>'Raw Sales'!O1058</x:f>
        <x:v>45642</x:v>
      </x:c>
      <x:c r="AD1058" s="84" t="n">
        <x:f>AC1058-B1058</x:f>
        <x:v>0</x:v>
      </x:c>
      <x:c r="AE1058" s="84" t="str">
        <x:f>IF(COUNTIF($A$5:A1058,A1058)&gt;1,"Duplicate","Keep")</x:f>
        <x:v>Keep</x:v>
      </x:c>
      <x:c r="AF1058" s="84" t="str">
        <x:f>IF(OR(R1058&lt;=0,AC1058&lt;B1058,H1058="Unknown",M1058="Unknown Product"),"Review","Valid")</x:f>
        <x:v>Valid</x:v>
      </x:c>
      <x:c r="AG1058" s="84" t="n">
        <x:f>IF(AND(AE1058="Keep",AF1058="Valid"),1,0)</x:f>
        <x:v>1</x:v>
      </x:c>
      <x:c r="AH1058" s="84" t="n">
        <x:f>IF(AND(AG1058=1,OR('Dashboard'!$B$4="All",I1058='Dashboard'!$B$4),OR('Dashboard'!$E$4="All",N1058='Dashboard'!$E$4),OR('Dashboard'!$H$4="All",K1058='Dashboard'!$H$4),OR('Dashboard'!$K$4="All",C1058='Dashboard'!$K$4)),1,0)</x:f>
        <x:v>1</x:v>
      </x:c>
      <x:c r="AI1058" s="84" t="n">
        <x:f>IF(AND(AG1058=1,OR('Dashboard'!$B$4="All",I1058='Dashboard'!$B$4),OR('Dashboard'!$E$4="All",N1058='Dashboard'!$E$4),OR('Dashboard'!$H$4="All",K1058='Dashboard'!$H$4)),1,0)</x:f>
        <x:v>1</x:v>
      </x:c>
    </x:row>
    <x:row r="1059">
      <x:c r="A1059" s="84" t="str">
        <x:f>'Raw Sales'!A1059</x:f>
        <x:v>ORD-2024-01992</x:v>
      </x:c>
      <x:c r="B1059" s="85" t="n">
        <x:f>'Raw Sales'!B1059</x:f>
        <x:v>45642</x:v>
      </x:c>
      <x:c r="C1059" s="84" t="n">
        <x:f>YEAR(B1059)</x:f>
        <x:v>2024</x:v>
      </x:c>
      <x:c r="D1059" s="91" t="n">
        <x:f>DATE(YEAR(B1059),MONTH(B1059),1)</x:f>
        <x:v>45627</x:v>
      </x:c>
      <x:c r="E1059" s="84" t="str">
        <x:f>TEXT(B1059,"mmm")</x:f>
        <x:v>Dec</x:v>
      </x:c>
      <x:c r="F1059" s="84" t="str">
        <x:f>'Raw Sales'!C1059</x:f>
        <x:v>CUST-0509</x:v>
      </x:c>
      <x:c r="G1059" s="84" t="str">
        <x:f>PROPER(TRIM('Raw Sales'!D1059))</x:f>
        <x:v>Daniel Moore</x:v>
      </x:c>
      <x:c r="H1059" s="84" t="str">
        <x:f>IF(TRIM('Raw Sales'!E1059)="","Unknown",PROPER(TRIM('Raw Sales'!E1059)))</x:f>
        <x:v>Corporate</x:v>
      </x:c>
      <x:c r="I1059" s="84" t="str">
        <x:f>PROPER(TRIM('Raw Sales'!F1059))</x:f>
        <x:v>Southeast</x:v>
      </x:c>
      <x:c r="J1059" s="84" t="str">
        <x:f>PROPER(TRIM('Raw Sales'!G1059))</x:f>
        <x:v>Atlanta</x:v>
      </x:c>
      <x:c r="K1059" s="84" t="str">
        <x:f>PROPER(TRIM('Raw Sales'!H1059))</x:f>
        <x:v>Retail Store</x:v>
      </x:c>
      <x:c r="L1059" s="84" t="str">
        <x:f>'Raw Sales'!I1059</x:f>
        <x:v>ACCS-004</x:v>
      </x:c>
      <x:c r="M1059" s="84" t="str">
        <x:f>IFERROR(VLOOKUP(L1059,'Reference Data'!$A$5:$F$40,2,FALSE),"Unknown Product")</x:f>
        <x:v>Leather Wallet</x:v>
      </x:c>
      <x:c r="N1059" s="84" t="str">
        <x:f>IFERROR(VLOOKUP(L1059,'Reference Data'!$A$5:$F$40,3,FALSE),"Unknown")</x:f>
        <x:v>Accessories</x:v>
      </x:c>
      <x:c r="O1059" s="84" t="str">
        <x:f>IFERROR(VLOOKUP(L1059,'Reference Data'!$A$5:$F$40,4,FALSE),"Unknown")</x:f>
        <x:v>Wallets</x:v>
      </x:c>
      <x:c r="P1059" s="92" t="n">
        <x:f>IFERROR(VLOOKUP(L1059,'Reference Data'!$A$5:$F$40,5,FALSE),0)</x:f>
        <x:v>49</x:v>
      </x:c>
      <x:c r="Q1059" s="92" t="n">
        <x:f>IFERROR(VLOOKUP(L1059,'Reference Data'!$A$5:$F$40,6,FALSE),0)</x:f>
        <x:v>18</x:v>
      </x:c>
      <x:c r="R1059" s="84" t="n">
        <x:f>'Raw Sales'!J1059</x:f>
        <x:v>3</x:v>
      </x:c>
      <x:c r="S1059" s="87" t="n">
        <x:f>'Raw Sales'!K1059</x:f>
        <x:v>0.2</x:v>
      </x:c>
      <x:c r="T1059" s="93" t="n">
        <x:f>P1059*R1059</x:f>
        <x:v>147</x:v>
      </x:c>
      <x:c r="U1059" s="93" t="n">
        <x:f>T1059*S1059</x:f>
        <x:v>29.400000000000002</x:v>
      </x:c>
      <x:c r="V1059" s="93" t="str">
        <x:f>PROPER(TRIM('Raw Sales'!L1059))</x:f>
        <x:v>Returned</x:v>
      </x:c>
      <x:c r="W1059" s="93" t="n">
        <x:f>IF(V1059="Returned",0,T1059-U1059)</x:f>
        <x:v>0</x:v>
      </x:c>
      <x:c r="X1059" s="93" t="n">
        <x:f>IF(V1059="Returned",Q1059*R1059*10%,Q1059*R1059)</x:f>
        <x:v>5.4</x:v>
      </x:c>
      <x:c r="Y1059" s="93" t="n">
        <x:f>W1059-X1059</x:f>
        <x:v>-5.4</x:v>
      </x:c>
      <x:c r="Z1059" s="94" t="n">
        <x:f>IFERROR(Y1059/W1059,0)</x:f>
        <x:v>0</x:v>
      </x:c>
      <x:c r="AA1059" s="84" t="str">
        <x:f>PROPER(TRIM('Raw Sales'!M1059))</x:f>
        <x:v>Mobile Wallet</x:v>
      </x:c>
      <x:c r="AB1059" s="84" t="str">
        <x:f>PROPER(TRIM('Raw Sales'!N1059))</x:f>
        <x:v>Liam Parker</x:v>
      </x:c>
      <x:c r="AC1059" s="85" t="n">
        <x:f>'Raw Sales'!O1059</x:f>
        <x:v>45642</x:v>
      </x:c>
      <x:c r="AD1059" s="84" t="n">
        <x:f>AC1059-B1059</x:f>
        <x:v>0</x:v>
      </x:c>
      <x:c r="AE1059" s="84" t="str">
        <x:f>IF(COUNTIF($A$5:A1059,A1059)&gt;1,"Duplicate","Keep")</x:f>
        <x:v>Duplicate</x:v>
      </x:c>
      <x:c r="AF1059" s="84" t="str">
        <x:f>IF(OR(R1059&lt;=0,AC1059&lt;B1059,H1059="Unknown",M1059="Unknown Product"),"Review","Valid")</x:f>
        <x:v>Valid</x:v>
      </x:c>
      <x:c r="AG1059" s="84" t="n">
        <x:f>IF(AND(AE1059="Keep",AF1059="Valid"),1,0)</x:f>
        <x:v>0</x:v>
      </x:c>
      <x:c r="AH1059" s="84" t="n">
        <x:f>IF(AND(AG1059=1,OR('Dashboard'!$B$4="All",I1059='Dashboard'!$B$4),OR('Dashboard'!$E$4="All",N1059='Dashboard'!$E$4),OR('Dashboard'!$H$4="All",K1059='Dashboard'!$H$4),OR('Dashboard'!$K$4="All",C1059='Dashboard'!$K$4)),1,0)</x:f>
        <x:v>0</x:v>
      </x:c>
      <x:c r="AI1059" s="84" t="n">
        <x:f>IF(AND(AG1059=1,OR('Dashboard'!$B$4="All",I1059='Dashboard'!$B$4),OR('Dashboard'!$E$4="All",N1059='Dashboard'!$E$4),OR('Dashboard'!$H$4="All",K1059='Dashboard'!$H$4)),1,0)</x:f>
        <x:v>0</x:v>
      </x:c>
    </x:row>
    <x:row r="1060">
      <x:c r="A1060" s="84" t="str">
        <x:f>'Raw Sales'!A1060</x:f>
        <x:v>ORD-2024-00652</x:v>
      </x:c>
      <x:c r="B1060" s="85" t="n">
        <x:f>'Raw Sales'!B1060</x:f>
        <x:v>45643</x:v>
      </x:c>
      <x:c r="C1060" s="84" t="n">
        <x:f>YEAR(B1060)</x:f>
        <x:v>2024</x:v>
      </x:c>
      <x:c r="D1060" s="91" t="n">
        <x:f>DATE(YEAR(B1060),MONTH(B1060),1)</x:f>
        <x:v>45627</x:v>
      </x:c>
      <x:c r="E1060" s="84" t="str">
        <x:f>TEXT(B1060,"mmm")</x:f>
        <x:v>Dec</x:v>
      </x:c>
      <x:c r="F1060" s="84" t="str">
        <x:f>'Raw Sales'!C1060</x:f>
        <x:v>CUST-0024</x:v>
      </x:c>
      <x:c r="G1060" s="84" t="str">
        <x:f>PROPER(TRIM('Raw Sales'!D1060))</x:f>
        <x:v>Zara Quinn</x:v>
      </x:c>
      <x:c r="H1060" s="84" t="str">
        <x:f>IF(TRIM('Raw Sales'!E1060)="","Unknown",PROPER(TRIM('Raw Sales'!E1060)))</x:f>
        <x:v>Consumer</x:v>
      </x:c>
      <x:c r="I1060" s="84" t="str">
        <x:f>PROPER(TRIM('Raw Sales'!F1060))</x:f>
        <x:v>Midwest</x:v>
      </x:c>
      <x:c r="J1060" s="84" t="str">
        <x:f>PROPER(TRIM('Raw Sales'!G1060))</x:f>
        <x:v>Columbus</x:v>
      </x:c>
      <x:c r="K1060" s="84" t="str">
        <x:f>PROPER(TRIM('Raw Sales'!H1060))</x:f>
        <x:v>Retail Store</x:v>
      </x:c>
      <x:c r="L1060" s="84" t="str">
        <x:f>'Raw Sales'!I1060</x:f>
        <x:v>FITN-005</x:v>
      </x:c>
      <x:c r="M1060" s="84" t="str">
        <x:f>IFERROR(VLOOKUP(L1060,'Reference Data'!$A$5:$F$40,2,FALSE),"Unknown Product")</x:f>
        <x:v>Sports Water Bottle</x:v>
      </x:c>
      <x:c r="N1060" s="84" t="str">
        <x:f>IFERROR(VLOOKUP(L1060,'Reference Data'!$A$5:$F$40,3,FALSE),"Unknown")</x:f>
        <x:v>Fitness</x:v>
      </x:c>
      <x:c r="O1060" s="84" t="str">
        <x:f>IFERROR(VLOOKUP(L1060,'Reference Data'!$A$5:$F$40,4,FALSE),"Unknown")</x:f>
        <x:v>Accessories</x:v>
      </x:c>
      <x:c r="P1060" s="92" t="n">
        <x:f>IFERROR(VLOOKUP(L1060,'Reference Data'!$A$5:$F$40,5,FALSE),0)</x:f>
        <x:v>22</x:v>
      </x:c>
      <x:c r="Q1060" s="92" t="n">
        <x:f>IFERROR(VLOOKUP(L1060,'Reference Data'!$A$5:$F$40,6,FALSE),0)</x:f>
        <x:v>7</x:v>
      </x:c>
      <x:c r="R1060" s="84" t="n">
        <x:f>'Raw Sales'!J1060</x:f>
        <x:v>1</x:v>
      </x:c>
      <x:c r="S1060" s="87" t="n">
        <x:f>'Raw Sales'!K1060</x:f>
        <x:v>0.05</x:v>
      </x:c>
      <x:c r="T1060" s="93" t="n">
        <x:f>P1060*R1060</x:f>
        <x:v>22</x:v>
      </x:c>
      <x:c r="U1060" s="93" t="n">
        <x:f>T1060*S1060</x:f>
        <x:v>1.1</x:v>
      </x:c>
      <x:c r="V1060" s="93" t="str">
        <x:f>PROPER(TRIM('Raw Sales'!L1060))</x:f>
        <x:v>Completed</x:v>
      </x:c>
      <x:c r="W1060" s="93" t="n">
        <x:f>IF(V1060="Returned",0,T1060-U1060)</x:f>
        <x:v>20.9</x:v>
      </x:c>
      <x:c r="X1060" s="93" t="n">
        <x:f>IF(V1060="Returned",Q1060*R1060*10%,Q1060*R1060)</x:f>
        <x:v>7</x:v>
      </x:c>
      <x:c r="Y1060" s="93" t="n">
        <x:f>W1060-X1060</x:f>
        <x:v>13.899999999999999</x:v>
      </x:c>
      <x:c r="Z1060" s="94" t="n">
        <x:f>IFERROR(Y1060/W1060,0)</x:f>
        <x:v>0.6650717703349283</x:v>
      </x:c>
      <x:c r="AA1060" s="84" t="str">
        <x:f>PROPER(TRIM('Raw Sales'!M1060))</x:f>
        <x:v>Debit Card</x:v>
      </x:c>
      <x:c r="AB1060" s="84" t="str">
        <x:f>PROPER(TRIM('Raw Sales'!N1060))</x:f>
        <x:v>Emma Hayes</x:v>
      </x:c>
      <x:c r="AC1060" s="85" t="n">
        <x:f>'Raw Sales'!O1060</x:f>
        <x:v>45643</x:v>
      </x:c>
      <x:c r="AD1060" s="84" t="n">
        <x:f>AC1060-B1060</x:f>
        <x:v>0</x:v>
      </x:c>
      <x:c r="AE1060" s="84" t="str">
        <x:f>IF(COUNTIF($A$5:A1060,A1060)&gt;1,"Duplicate","Keep")</x:f>
        <x:v>Keep</x:v>
      </x:c>
      <x:c r="AF1060" s="84" t="str">
        <x:f>IF(OR(R1060&lt;=0,AC1060&lt;B1060,H1060="Unknown",M1060="Unknown Product"),"Review","Valid")</x:f>
        <x:v>Valid</x:v>
      </x:c>
      <x:c r="AG1060" s="84" t="n">
        <x:f>IF(AND(AE1060="Keep",AF1060="Valid"),1,0)</x:f>
        <x:v>1</x:v>
      </x:c>
      <x:c r="AH1060" s="84" t="n">
        <x:f>IF(AND(AG1060=1,OR('Dashboard'!$B$4="All",I1060='Dashboard'!$B$4),OR('Dashboard'!$E$4="All",N1060='Dashboard'!$E$4),OR('Dashboard'!$H$4="All",K1060='Dashboard'!$H$4),OR('Dashboard'!$K$4="All",C1060='Dashboard'!$K$4)),1,0)</x:f>
        <x:v>1</x:v>
      </x:c>
      <x:c r="AI1060" s="84" t="n">
        <x:f>IF(AND(AG1060=1,OR('Dashboard'!$B$4="All",I1060='Dashboard'!$B$4),OR('Dashboard'!$E$4="All",N1060='Dashboard'!$E$4),OR('Dashboard'!$H$4="All",K1060='Dashboard'!$H$4)),1,0)</x:f>
        <x:v>1</x:v>
      </x:c>
    </x:row>
    <x:row r="1061">
      <x:c r="A1061" s="84" t="str">
        <x:f>'Raw Sales'!A1061</x:f>
        <x:v>ORD-2024-00748</x:v>
      </x:c>
      <x:c r="B1061" s="85" t="n">
        <x:f>'Raw Sales'!B1061</x:f>
        <x:v>45643</x:v>
      </x:c>
      <x:c r="C1061" s="84" t="n">
        <x:f>YEAR(B1061)</x:f>
        <x:v>2024</x:v>
      </x:c>
      <x:c r="D1061" s="91" t="n">
        <x:f>DATE(YEAR(B1061),MONTH(B1061),1)</x:f>
        <x:v>45627</x:v>
      </x:c>
      <x:c r="E1061" s="84" t="str">
        <x:f>TEXT(B1061,"mmm")</x:f>
        <x:v>Dec</x:v>
      </x:c>
      <x:c r="F1061" s="84" t="str">
        <x:f>'Raw Sales'!C1061</x:f>
        <x:v>CUST-0181</x:v>
      </x:c>
      <x:c r="G1061" s="84" t="str">
        <x:f>PROPER(TRIM('Raw Sales'!D1061))</x:f>
        <x:v>Chloe Baker</x:v>
      </x:c>
      <x:c r="H1061" s="84" t="str">
        <x:f>IF(TRIM('Raw Sales'!E1061)="","Unknown",PROPER(TRIM('Raw Sales'!E1061)))</x:f>
        <x:v>Corporate</x:v>
      </x:c>
      <x:c r="I1061" s="84" t="str">
        <x:f>PROPER(TRIM('Raw Sales'!F1061))</x:f>
        <x:v>Northeast</x:v>
      </x:c>
      <x:c r="J1061" s="84" t="str">
        <x:f>PROPER(TRIM('Raw Sales'!G1061))</x:f>
        <x:v>Boston</x:v>
      </x:c>
      <x:c r="K1061" s="84" t="str">
        <x:f>PROPER(TRIM('Raw Sales'!H1061))</x:f>
        <x:v>Marketplace</x:v>
      </x:c>
      <x:c r="L1061" s="84" t="str">
        <x:f>'Raw Sales'!I1061</x:f>
        <x:v>FITN-005</x:v>
      </x:c>
      <x:c r="M1061" s="84" t="str">
        <x:f>IFERROR(VLOOKUP(L1061,'Reference Data'!$A$5:$F$40,2,FALSE),"Unknown Product")</x:f>
        <x:v>Sports Water Bottle</x:v>
      </x:c>
      <x:c r="N1061" s="84" t="str">
        <x:f>IFERROR(VLOOKUP(L1061,'Reference Data'!$A$5:$F$40,3,FALSE),"Unknown")</x:f>
        <x:v>Fitness</x:v>
      </x:c>
      <x:c r="O1061" s="84" t="str">
        <x:f>IFERROR(VLOOKUP(L1061,'Reference Data'!$A$5:$F$40,4,FALSE),"Unknown")</x:f>
        <x:v>Accessories</x:v>
      </x:c>
      <x:c r="P1061" s="92" t="n">
        <x:f>IFERROR(VLOOKUP(L1061,'Reference Data'!$A$5:$F$40,5,FALSE),0)</x:f>
        <x:v>22</x:v>
      </x:c>
      <x:c r="Q1061" s="92" t="n">
        <x:f>IFERROR(VLOOKUP(L1061,'Reference Data'!$A$5:$F$40,6,FALSE),0)</x:f>
        <x:v>7</x:v>
      </x:c>
      <x:c r="R1061" s="84" t="n">
        <x:f>'Raw Sales'!J1061</x:f>
        <x:v>4</x:v>
      </x:c>
      <x:c r="S1061" s="87" t="n">
        <x:f>'Raw Sales'!K1061</x:f>
        <x:v>0.2</x:v>
      </x:c>
      <x:c r="T1061" s="93" t="n">
        <x:f>P1061*R1061</x:f>
        <x:v>88</x:v>
      </x:c>
      <x:c r="U1061" s="93" t="n">
        <x:f>T1061*S1061</x:f>
        <x:v>17.6</x:v>
      </x:c>
      <x:c r="V1061" s="93" t="str">
        <x:f>PROPER(TRIM('Raw Sales'!L1061))</x:f>
        <x:v>Completed</x:v>
      </x:c>
      <x:c r="W1061" s="93" t="n">
        <x:f>IF(V1061="Returned",0,T1061-U1061)</x:f>
        <x:v>70.4</x:v>
      </x:c>
      <x:c r="X1061" s="93" t="n">
        <x:f>IF(V1061="Returned",Q1061*R1061*10%,Q1061*R1061)</x:f>
        <x:v>28</x:v>
      </x:c>
      <x:c r="Y1061" s="93" t="n">
        <x:f>W1061-X1061</x:f>
        <x:v>42.400000000000006</x:v>
      </x:c>
      <x:c r="Z1061" s="94" t="n">
        <x:f>IFERROR(Y1061/W1061,0)</x:f>
        <x:v>0.6022727272727273</x:v>
      </x:c>
      <x:c r="AA1061" s="84" t="str">
        <x:f>PROPER(TRIM('Raw Sales'!M1061))</x:f>
        <x:v>Credit Card</x:v>
      </x:c>
      <x:c r="AB1061" s="84" t="str">
        <x:f>PROPER(TRIM('Raw Sales'!N1061))</x:f>
        <x:v>Ethan Cole</x:v>
      </x:c>
      <x:c r="AC1061" s="85" t="n">
        <x:f>'Raw Sales'!O1061</x:f>
        <x:v>45648</x:v>
      </x:c>
      <x:c r="AD1061" s="84" t="n">
        <x:f>AC1061-B1061</x:f>
        <x:v>5</x:v>
      </x:c>
      <x:c r="AE1061" s="84" t="str">
        <x:f>IF(COUNTIF($A$5:A1061,A1061)&gt;1,"Duplicate","Keep")</x:f>
        <x:v>Keep</x:v>
      </x:c>
      <x:c r="AF1061" s="84" t="str">
        <x:f>IF(OR(R1061&lt;=0,AC1061&lt;B1061,H1061="Unknown",M1061="Unknown Product"),"Review","Valid")</x:f>
        <x:v>Valid</x:v>
      </x:c>
      <x:c r="AG1061" s="84" t="n">
        <x:f>IF(AND(AE1061="Keep",AF1061="Valid"),1,0)</x:f>
        <x:v>1</x:v>
      </x:c>
      <x:c r="AH1061" s="84" t="n">
        <x:f>IF(AND(AG1061=1,OR('Dashboard'!$B$4="All",I1061='Dashboard'!$B$4),OR('Dashboard'!$E$4="All",N1061='Dashboard'!$E$4),OR('Dashboard'!$H$4="All",K1061='Dashboard'!$H$4),OR('Dashboard'!$K$4="All",C1061='Dashboard'!$K$4)),1,0)</x:f>
        <x:v>1</x:v>
      </x:c>
      <x:c r="AI1061" s="84" t="n">
        <x:f>IF(AND(AG1061=1,OR('Dashboard'!$B$4="All",I1061='Dashboard'!$B$4),OR('Dashboard'!$E$4="All",N1061='Dashboard'!$E$4),OR('Dashboard'!$H$4="All",K1061='Dashboard'!$H$4)),1,0)</x:f>
        <x:v>1</x:v>
      </x:c>
    </x:row>
    <x:row r="1062">
      <x:c r="A1062" s="84" t="str">
        <x:f>'Raw Sales'!A1062</x:f>
        <x:v>ORD-2024-01241</x:v>
      </x:c>
      <x:c r="B1062" s="85" t="n">
        <x:f>'Raw Sales'!B1062</x:f>
        <x:v>45643</x:v>
      </x:c>
      <x:c r="C1062" s="84" t="n">
        <x:f>YEAR(B1062)</x:f>
        <x:v>2024</x:v>
      </x:c>
      <x:c r="D1062" s="91" t="n">
        <x:f>DATE(YEAR(B1062),MONTH(B1062),1)</x:f>
        <x:v>45627</x:v>
      </x:c>
      <x:c r="E1062" s="84" t="str">
        <x:f>TEXT(B1062,"mmm")</x:f>
        <x:v>Dec</x:v>
      </x:c>
      <x:c r="F1062" s="84" t="str">
        <x:f>'Raw Sales'!C1062</x:f>
        <x:v>CUST-0373</x:v>
      </x:c>
      <x:c r="G1062" s="84" t="str">
        <x:f>PROPER(TRIM('Raw Sales'!D1062))</x:f>
        <x:v>Caleb Taylor</x:v>
      </x:c>
      <x:c r="H1062" s="84" t="str">
        <x:f>IF(TRIM('Raw Sales'!E1062)="","Unknown",PROPER(TRIM('Raw Sales'!E1062)))</x:f>
        <x:v>Corporate</x:v>
      </x:c>
      <x:c r="I1062" s="84" t="str">
        <x:f>PROPER(TRIM('Raw Sales'!F1062))</x:f>
        <x:v>Midwest</x:v>
      </x:c>
      <x:c r="J1062" s="84" t="str">
        <x:f>PROPER(TRIM('Raw Sales'!G1062))</x:f>
        <x:v>Columbus</x:v>
      </x:c>
      <x:c r="K1062" s="84" t="str">
        <x:f>PROPER(TRIM('Raw Sales'!H1062))</x:f>
        <x:v>Retail Store</x:v>
      </x:c>
      <x:c r="L1062" s="84" t="str">
        <x:f>'Raw Sales'!I1062</x:f>
        <x:v>HOME-001</x:v>
      </x:c>
      <x:c r="M1062" s="84" t="str">
        <x:f>IFERROR(VLOOKUP(L1062,'Reference Data'!$A$5:$F$40,2,FALSE),"Unknown Product")</x:f>
        <x:v>Air Fryer</x:v>
      </x:c>
      <x:c r="N1062" s="84" t="str">
        <x:f>IFERROR(VLOOKUP(L1062,'Reference Data'!$A$5:$F$40,3,FALSE),"Unknown")</x:f>
        <x:v>Home &amp; Kitchen</x:v>
      </x:c>
      <x:c r="O1062" s="84" t="str">
        <x:f>IFERROR(VLOOKUP(L1062,'Reference Data'!$A$5:$F$40,4,FALSE),"Unknown")</x:f>
        <x:v>Small Appliances</x:v>
      </x:c>
      <x:c r="P1062" s="92" t="n">
        <x:f>IFERROR(VLOOKUP(L1062,'Reference Data'!$A$5:$F$40,5,FALSE),0)</x:f>
        <x:v>119</x:v>
      </x:c>
      <x:c r="Q1062" s="92" t="n">
        <x:f>IFERROR(VLOOKUP(L1062,'Reference Data'!$A$5:$F$40,6,FALSE),0)</x:f>
        <x:v>68</x:v>
      </x:c>
      <x:c r="R1062" s="84" t="n">
        <x:f>'Raw Sales'!J1062</x:f>
        <x:v>6</x:v>
      </x:c>
      <x:c r="S1062" s="87" t="n">
        <x:f>'Raw Sales'!K1062</x:f>
        <x:v>0.15</x:v>
      </x:c>
      <x:c r="T1062" s="93" t="n">
        <x:f>P1062*R1062</x:f>
        <x:v>714</x:v>
      </x:c>
      <x:c r="U1062" s="93" t="n">
        <x:f>T1062*S1062</x:f>
        <x:v>107.1</x:v>
      </x:c>
      <x:c r="V1062" s="93" t="str">
        <x:f>PROPER(TRIM('Raw Sales'!L1062))</x:f>
        <x:v>Completed</x:v>
      </x:c>
      <x:c r="W1062" s="93" t="n">
        <x:f>IF(V1062="Returned",0,T1062-U1062)</x:f>
        <x:v>606.9</x:v>
      </x:c>
      <x:c r="X1062" s="93" t="n">
        <x:f>IF(V1062="Returned",Q1062*R1062*10%,Q1062*R1062)</x:f>
        <x:v>408</x:v>
      </x:c>
      <x:c r="Y1062" s="93" t="n">
        <x:f>W1062-X1062</x:f>
        <x:v>198.89999999999998</x:v>
      </x:c>
      <x:c r="Z1062" s="94" t="n">
        <x:f>IFERROR(Y1062/W1062,0)</x:f>
        <x:v>0.3277310924369748</x:v>
      </x:c>
      <x:c r="AA1062" s="84" t="str">
        <x:f>PROPER(TRIM('Raw Sales'!M1062))</x:f>
        <x:v>Mobile Wallet</x:v>
      </x:c>
      <x:c r="AB1062" s="84" t="str">
        <x:f>PROPER(TRIM('Raw Sales'!N1062))</x:f>
        <x:v>Emma Hayes</x:v>
      </x:c>
      <x:c r="AC1062" s="85" t="n">
        <x:f>'Raw Sales'!O1062</x:f>
        <x:v>45643</x:v>
      </x:c>
      <x:c r="AD1062" s="84" t="n">
        <x:f>AC1062-B1062</x:f>
        <x:v>0</x:v>
      </x:c>
      <x:c r="AE1062" s="84" t="str">
        <x:f>IF(COUNTIF($A$5:A1062,A1062)&gt;1,"Duplicate","Keep")</x:f>
        <x:v>Keep</x:v>
      </x:c>
      <x:c r="AF1062" s="84" t="str">
        <x:f>IF(OR(R1062&lt;=0,AC1062&lt;B1062,H1062="Unknown",M1062="Unknown Product"),"Review","Valid")</x:f>
        <x:v>Valid</x:v>
      </x:c>
      <x:c r="AG1062" s="84" t="n">
        <x:f>IF(AND(AE1062="Keep",AF1062="Valid"),1,0)</x:f>
        <x:v>1</x:v>
      </x:c>
      <x:c r="AH1062" s="84" t="n">
        <x:f>IF(AND(AG1062=1,OR('Dashboard'!$B$4="All",I1062='Dashboard'!$B$4),OR('Dashboard'!$E$4="All",N1062='Dashboard'!$E$4),OR('Dashboard'!$H$4="All",K1062='Dashboard'!$H$4),OR('Dashboard'!$K$4="All",C1062='Dashboard'!$K$4)),1,0)</x:f>
        <x:v>1</x:v>
      </x:c>
      <x:c r="AI1062" s="84" t="n">
        <x:f>IF(AND(AG1062=1,OR('Dashboard'!$B$4="All",I1062='Dashboard'!$B$4),OR('Dashboard'!$E$4="All",N1062='Dashboard'!$E$4),OR('Dashboard'!$H$4="All",K1062='Dashboard'!$H$4)),1,0)</x:f>
        <x:v>1</x:v>
      </x:c>
    </x:row>
    <x:row r="1063">
      <x:c r="A1063" s="84" t="str">
        <x:f>'Raw Sales'!A1063</x:f>
        <x:v>ORD-2024-02016</x:v>
      </x:c>
      <x:c r="B1063" s="85" t="n">
        <x:f>'Raw Sales'!B1063</x:f>
        <x:v>45643</x:v>
      </x:c>
      <x:c r="C1063" s="84" t="n">
        <x:f>YEAR(B1063)</x:f>
        <x:v>2024</x:v>
      </x:c>
      <x:c r="D1063" s="91" t="n">
        <x:f>DATE(YEAR(B1063),MONTH(B1063),1)</x:f>
        <x:v>45627</x:v>
      </x:c>
      <x:c r="E1063" s="84" t="str">
        <x:f>TEXT(B1063,"mmm")</x:f>
        <x:v>Dec</x:v>
      </x:c>
      <x:c r="F1063" s="84" t="str">
        <x:f>'Raw Sales'!C1063</x:f>
        <x:v>CUST-0171</x:v>
      </x:c>
      <x:c r="G1063" s="84" t="str">
        <x:f>PROPER(TRIM('Raw Sales'!D1063))</x:f>
        <x:v>Jonah Nelson</x:v>
      </x:c>
      <x:c r="H1063" s="84" t="str">
        <x:f>IF(TRIM('Raw Sales'!E1063)="","Unknown",PROPER(TRIM('Raw Sales'!E1063)))</x:f>
        <x:v>Small Business</x:v>
      </x:c>
      <x:c r="I1063" s="84" t="str">
        <x:f>PROPER(TRIM('Raw Sales'!F1063))</x:f>
        <x:v>Southeast</x:v>
      </x:c>
      <x:c r="J1063" s="84" t="str">
        <x:f>PROPER(TRIM('Raw Sales'!G1063))</x:f>
        <x:v>Atlanta</x:v>
      </x:c>
      <x:c r="K1063" s="84" t="str">
        <x:f>PROPER(TRIM('Raw Sales'!H1063))</x:f>
        <x:v>Retail Store</x:v>
      </x:c>
      <x:c r="L1063" s="84" t="str">
        <x:f>'Raw Sales'!I1063</x:f>
        <x:v>HOME-003</x:v>
      </x:c>
      <x:c r="M1063" s="84" t="str">
        <x:f>IFERROR(VLOOKUP(L1063,'Reference Data'!$A$5:$F$40,2,FALSE),"Unknown Product")</x:f>
        <x:v>Countertop Blender</x:v>
      </x:c>
      <x:c r="N1063" s="84" t="str">
        <x:f>IFERROR(VLOOKUP(L1063,'Reference Data'!$A$5:$F$40,3,FALSE),"Unknown")</x:f>
        <x:v>Home &amp; Kitchen</x:v>
      </x:c>
      <x:c r="O1063" s="84" t="str">
        <x:f>IFERROR(VLOOKUP(L1063,'Reference Data'!$A$5:$F$40,4,FALSE),"Unknown")</x:f>
        <x:v>Small Appliances</x:v>
      </x:c>
      <x:c r="P1063" s="92" t="n">
        <x:f>IFERROR(VLOOKUP(L1063,'Reference Data'!$A$5:$F$40,5,FALSE),0)</x:f>
        <x:v>89</x:v>
      </x:c>
      <x:c r="Q1063" s="92" t="n">
        <x:f>IFERROR(VLOOKUP(L1063,'Reference Data'!$A$5:$F$40,6,FALSE),0)</x:f>
        <x:v>46</x:v>
      </x:c>
      <x:c r="R1063" s="84" t="n">
        <x:f>'Raw Sales'!J1063</x:f>
        <x:v>2</x:v>
      </x:c>
      <x:c r="S1063" s="87" t="n">
        <x:f>'Raw Sales'!K1063</x:f>
        <x:v>0.1</x:v>
      </x:c>
      <x:c r="T1063" s="93" t="n">
        <x:f>P1063*R1063</x:f>
        <x:v>178</x:v>
      </x:c>
      <x:c r="U1063" s="93" t="n">
        <x:f>T1063*S1063</x:f>
        <x:v>17.8</x:v>
      </x:c>
      <x:c r="V1063" s="93" t="str">
        <x:f>PROPER(TRIM('Raw Sales'!L1063))</x:f>
        <x:v>Completed</x:v>
      </x:c>
      <x:c r="W1063" s="93" t="n">
        <x:f>IF(V1063="Returned",0,T1063-U1063)</x:f>
        <x:v>160.2</x:v>
      </x:c>
      <x:c r="X1063" s="93" t="n">
        <x:f>IF(V1063="Returned",Q1063*R1063*10%,Q1063*R1063)</x:f>
        <x:v>92</x:v>
      </x:c>
      <x:c r="Y1063" s="93" t="n">
        <x:f>W1063-X1063</x:f>
        <x:v>68.19999999999999</x:v>
      </x:c>
      <x:c r="Z1063" s="94" t="n">
        <x:f>IFERROR(Y1063/W1063,0)</x:f>
        <x:v>0.4257178526841448</x:v>
      </x:c>
      <x:c r="AA1063" s="84" t="str">
        <x:f>PROPER(TRIM('Raw Sales'!M1063))</x:f>
        <x:v>Cash</x:v>
      </x:c>
      <x:c r="AB1063" s="84" t="str">
        <x:f>PROPER(TRIM('Raw Sales'!N1063))</x:f>
        <x:v>Liam Parker</x:v>
      </x:c>
      <x:c r="AC1063" s="85" t="n">
        <x:f>'Raw Sales'!O1063</x:f>
        <x:v>45643</x:v>
      </x:c>
      <x:c r="AD1063" s="84" t="n">
        <x:f>AC1063-B1063</x:f>
        <x:v>0</x:v>
      </x:c>
      <x:c r="AE1063" s="84" t="str">
        <x:f>IF(COUNTIF($A$5:A1063,A1063)&gt;1,"Duplicate","Keep")</x:f>
        <x:v>Keep</x:v>
      </x:c>
      <x:c r="AF1063" s="84" t="str">
        <x:f>IF(OR(R1063&lt;=0,AC1063&lt;B1063,H1063="Unknown",M1063="Unknown Product"),"Review","Valid")</x:f>
        <x:v>Valid</x:v>
      </x:c>
      <x:c r="AG1063" s="84" t="n">
        <x:f>IF(AND(AE1063="Keep",AF1063="Valid"),1,0)</x:f>
        <x:v>1</x:v>
      </x:c>
      <x:c r="AH1063" s="84" t="n">
        <x:f>IF(AND(AG1063=1,OR('Dashboard'!$B$4="All",I1063='Dashboard'!$B$4),OR('Dashboard'!$E$4="All",N1063='Dashboard'!$E$4),OR('Dashboard'!$H$4="All",K1063='Dashboard'!$H$4),OR('Dashboard'!$K$4="All",C1063='Dashboard'!$K$4)),1,0)</x:f>
        <x:v>1</x:v>
      </x:c>
      <x:c r="AI1063" s="84" t="n">
        <x:f>IF(AND(AG1063=1,OR('Dashboard'!$B$4="All",I1063='Dashboard'!$B$4),OR('Dashboard'!$E$4="All",N1063='Dashboard'!$E$4),OR('Dashboard'!$H$4="All",K1063='Dashboard'!$H$4)),1,0)</x:f>
        <x:v>1</x:v>
      </x:c>
    </x:row>
    <x:row r="1064">
      <x:c r="A1064" s="84" t="str">
        <x:f>'Raw Sales'!A1064</x:f>
        <x:v>ORD-2024-00624</x:v>
      </x:c>
      <x:c r="B1064" s="85" t="n">
        <x:f>'Raw Sales'!B1064</x:f>
        <x:v>45644</x:v>
      </x:c>
      <x:c r="C1064" s="84" t="n">
        <x:f>YEAR(B1064)</x:f>
        <x:v>2024</x:v>
      </x:c>
      <x:c r="D1064" s="91" t="n">
        <x:f>DATE(YEAR(B1064),MONTH(B1064),1)</x:f>
        <x:v>45627</x:v>
      </x:c>
      <x:c r="E1064" s="84" t="str">
        <x:f>TEXT(B1064,"mmm")</x:f>
        <x:v>Dec</x:v>
      </x:c>
      <x:c r="F1064" s="84" t="str">
        <x:f>'Raw Sales'!C1064</x:f>
        <x:v>CUST-0585</x:v>
      </x:c>
      <x:c r="G1064" s="84" t="str">
        <x:f>PROPER(TRIM('Raw Sales'!D1064))</x:f>
        <x:v>Isaac Patel</x:v>
      </x:c>
      <x:c r="H1064" s="84" t="str">
        <x:f>IF(TRIM('Raw Sales'!E1064)="","Unknown",PROPER(TRIM('Raw Sales'!E1064)))</x:f>
        <x:v>Consumer</x:v>
      </x:c>
      <x:c r="I1064" s="84" t="str">
        <x:f>PROPER(TRIM('Raw Sales'!F1064))</x:f>
        <x:v>Northeast</x:v>
      </x:c>
      <x:c r="J1064" s="84" t="str">
        <x:f>PROPER(TRIM('Raw Sales'!G1064))</x:f>
        <x:v>New York</x:v>
      </x:c>
      <x:c r="K1064" s="84" t="str">
        <x:f>PROPER(TRIM('Raw Sales'!H1064))</x:f>
        <x:v>Online</x:v>
      </x:c>
      <x:c r="L1064" s="84" t="str">
        <x:f>'Raw Sales'!I1064</x:f>
        <x:v>ACCS-003</x:v>
      </x:c>
      <x:c r="M1064" s="84" t="str">
        <x:f>IFERROR(VLOOKUP(L1064,'Reference Data'!$A$5:$F$40,2,FALSE),"Unknown Product")</x:f>
        <x:v>Polarized Sunglasses</x:v>
      </x:c>
      <x:c r="N1064" s="84" t="str">
        <x:f>IFERROR(VLOOKUP(L1064,'Reference Data'!$A$5:$F$40,3,FALSE),"Unknown")</x:f>
        <x:v>Accessories</x:v>
      </x:c>
      <x:c r="O1064" s="84" t="str">
        <x:f>IFERROR(VLOOKUP(L1064,'Reference Data'!$A$5:$F$40,4,FALSE),"Unknown")</x:f>
        <x:v>Eyewear</x:v>
      </x:c>
      <x:c r="P1064" s="92" t="n">
        <x:f>IFERROR(VLOOKUP(L1064,'Reference Data'!$A$5:$F$40,5,FALSE),0)</x:f>
        <x:v>59</x:v>
      </x:c>
      <x:c r="Q1064" s="92" t="n">
        <x:f>IFERROR(VLOOKUP(L1064,'Reference Data'!$A$5:$F$40,6,FALSE),0)</x:f>
        <x:v>17</x:v>
      </x:c>
      <x:c r="R1064" s="84" t="n">
        <x:f>'Raw Sales'!J1064</x:f>
        <x:v>1</x:v>
      </x:c>
      <x:c r="S1064" s="87" t="n">
        <x:f>'Raw Sales'!K1064</x:f>
        <x:v>0</x:v>
      </x:c>
      <x:c r="T1064" s="93" t="n">
        <x:f>P1064*R1064</x:f>
        <x:v>59</x:v>
      </x:c>
      <x:c r="U1064" s="93" t="n">
        <x:f>T1064*S1064</x:f>
        <x:v>0</x:v>
      </x:c>
      <x:c r="V1064" s="93" t="str">
        <x:f>PROPER(TRIM('Raw Sales'!L1064))</x:f>
        <x:v>Completed</x:v>
      </x:c>
      <x:c r="W1064" s="93" t="n">
        <x:f>IF(V1064="Returned",0,T1064-U1064)</x:f>
        <x:v>59</x:v>
      </x:c>
      <x:c r="X1064" s="93" t="n">
        <x:f>IF(V1064="Returned",Q1064*R1064*10%,Q1064*R1064)</x:f>
        <x:v>17</x:v>
      </x:c>
      <x:c r="Y1064" s="93" t="n">
        <x:f>W1064-X1064</x:f>
        <x:v>42</x:v>
      </x:c>
      <x:c r="Z1064" s="94" t="n">
        <x:f>IFERROR(Y1064/W1064,0)</x:f>
        <x:v>0.711864406779661</x:v>
      </x:c>
      <x:c r="AA1064" s="84" t="str">
        <x:f>PROPER(TRIM('Raw Sales'!M1064))</x:f>
        <x:v>Mobile Wallet</x:v>
      </x:c>
      <x:c r="AB1064" s="84" t="str">
        <x:f>PROPER(TRIM('Raw Sales'!N1064))</x:f>
        <x:v>Maya Brooks</x:v>
      </x:c>
      <x:c r="AC1064" s="85" t="n">
        <x:f>'Raw Sales'!O1064</x:f>
        <x:v>45649</x:v>
      </x:c>
      <x:c r="AD1064" s="84" t="n">
        <x:f>AC1064-B1064</x:f>
        <x:v>5</x:v>
      </x:c>
      <x:c r="AE1064" s="84" t="str">
        <x:f>IF(COUNTIF($A$5:A1064,A1064)&gt;1,"Duplicate","Keep")</x:f>
        <x:v>Keep</x:v>
      </x:c>
      <x:c r="AF1064" s="84" t="str">
        <x:f>IF(OR(R1064&lt;=0,AC1064&lt;B1064,H1064="Unknown",M1064="Unknown Product"),"Review","Valid")</x:f>
        <x:v>Valid</x:v>
      </x:c>
      <x:c r="AG1064" s="84" t="n">
        <x:f>IF(AND(AE1064="Keep",AF1064="Valid"),1,0)</x:f>
        <x:v>1</x:v>
      </x:c>
      <x:c r="AH1064" s="84" t="n">
        <x:f>IF(AND(AG1064=1,OR('Dashboard'!$B$4="All",I1064='Dashboard'!$B$4),OR('Dashboard'!$E$4="All",N1064='Dashboard'!$E$4),OR('Dashboard'!$H$4="All",K1064='Dashboard'!$H$4),OR('Dashboard'!$K$4="All",C1064='Dashboard'!$K$4)),1,0)</x:f>
        <x:v>1</x:v>
      </x:c>
      <x:c r="AI1064" s="84" t="n">
        <x:f>IF(AND(AG1064=1,OR('Dashboard'!$B$4="All",I1064='Dashboard'!$B$4),OR('Dashboard'!$E$4="All",N1064='Dashboard'!$E$4),OR('Dashboard'!$H$4="All",K1064='Dashboard'!$H$4)),1,0)</x:f>
        <x:v>1</x:v>
      </x:c>
    </x:row>
    <x:row r="1065">
      <x:c r="A1065" s="84" t="str">
        <x:f>'Raw Sales'!A1065</x:f>
        <x:v>ORD-2024-00776</x:v>
      </x:c>
      <x:c r="B1065" s="85" t="n">
        <x:f>'Raw Sales'!B1065</x:f>
        <x:v>45644</x:v>
      </x:c>
      <x:c r="C1065" s="84" t="n">
        <x:f>YEAR(B1065)</x:f>
        <x:v>2024</x:v>
      </x:c>
      <x:c r="D1065" s="91" t="n">
        <x:f>DATE(YEAR(B1065),MONTH(B1065),1)</x:f>
        <x:v>45627</x:v>
      </x:c>
      <x:c r="E1065" s="84" t="str">
        <x:f>TEXT(B1065,"mmm")</x:f>
        <x:v>Dec</x:v>
      </x:c>
      <x:c r="F1065" s="84" t="str">
        <x:f>'Raw Sales'!C1065</x:f>
        <x:v>CUST-0055</x:v>
      </x:c>
      <x:c r="G1065" s="84" t="str">
        <x:f>PROPER(TRIM('Raw Sales'!D1065))</x:f>
        <x:v>Isaac Baker</x:v>
      </x:c>
      <x:c r="H1065" s="84" t="str">
        <x:f>IF(TRIM('Raw Sales'!E1065)="","Unknown",PROPER(TRIM('Raw Sales'!E1065)))</x:f>
        <x:v>Small Business</x:v>
      </x:c>
      <x:c r="I1065" s="84" t="str">
        <x:f>PROPER(TRIM('Raw Sales'!F1065))</x:f>
        <x:v>Midwest</x:v>
      </x:c>
      <x:c r="J1065" s="84" t="str">
        <x:f>PROPER(TRIM('Raw Sales'!G1065))</x:f>
        <x:v>Detroit</x:v>
      </x:c>
      <x:c r="K1065" s="84" t="str">
        <x:f>PROPER(TRIM('Raw Sales'!H1065))</x:f>
        <x:v>Online</x:v>
      </x:c>
      <x:c r="L1065" s="84" t="str">
        <x:f>'Raw Sales'!I1065</x:f>
        <x:v>ELEC-004</x:v>
      </x:c>
      <x:c r="M1065" s="84" t="str">
        <x:f>IFERROR(VLOOKUP(L1065,'Reference Data'!$A$5:$F$40,2,FALSE),"Unknown Product")</x:f>
        <x:v>Power Bank</x:v>
      </x:c>
      <x:c r="N1065" s="84" t="str">
        <x:f>IFERROR(VLOOKUP(L1065,'Reference Data'!$A$5:$F$40,3,FALSE),"Unknown")</x:f>
        <x:v>Electronics</x:v>
      </x:c>
      <x:c r="O1065" s="84" t="str">
        <x:f>IFERROR(VLOOKUP(L1065,'Reference Data'!$A$5:$F$40,4,FALSE),"Unknown")</x:f>
        <x:v>Mobile Accessories</x:v>
      </x:c>
      <x:c r="P1065" s="92" t="n">
        <x:f>IFERROR(VLOOKUP(L1065,'Reference Data'!$A$5:$F$40,5,FALSE),0)</x:f>
        <x:v>39</x:v>
      </x:c>
      <x:c r="Q1065" s="92" t="n">
        <x:f>IFERROR(VLOOKUP(L1065,'Reference Data'!$A$5:$F$40,6,FALSE),0)</x:f>
        <x:v>18</x:v>
      </x:c>
      <x:c r="R1065" s="84" t="n">
        <x:f>'Raw Sales'!J1065</x:f>
        <x:v>2</x:v>
      </x:c>
      <x:c r="S1065" s="87" t="n">
        <x:f>'Raw Sales'!K1065</x:f>
        <x:v>0.2</x:v>
      </x:c>
      <x:c r="T1065" s="93" t="n">
        <x:f>P1065*R1065</x:f>
        <x:v>78</x:v>
      </x:c>
      <x:c r="U1065" s="93" t="n">
        <x:f>T1065*S1065</x:f>
        <x:v>15.600000000000001</x:v>
      </x:c>
      <x:c r="V1065" s="93" t="str">
        <x:f>PROPER(TRIM('Raw Sales'!L1065))</x:f>
        <x:v>Completed</x:v>
      </x:c>
      <x:c r="W1065" s="93" t="n">
        <x:f>IF(V1065="Returned",0,T1065-U1065)</x:f>
        <x:v>62.4</x:v>
      </x:c>
      <x:c r="X1065" s="93" t="n">
        <x:f>IF(V1065="Returned",Q1065*R1065*10%,Q1065*R1065)</x:f>
        <x:v>36</x:v>
      </x:c>
      <x:c r="Y1065" s="93" t="n">
        <x:f>W1065-X1065</x:f>
        <x:v>26.4</x:v>
      </x:c>
      <x:c r="Z1065" s="94" t="n">
        <x:f>IFERROR(Y1065/W1065,0)</x:f>
        <x:v>0.4230769230769231</x:v>
      </x:c>
      <x:c r="AA1065" s="84" t="str">
        <x:f>PROPER(TRIM('Raw Sales'!M1065))</x:f>
        <x:v>Credit Card</x:v>
      </x:c>
      <x:c r="AB1065" s="84" t="str">
        <x:f>PROPER(TRIM('Raw Sales'!N1065))</x:f>
        <x:v>Emma Hayes</x:v>
      </x:c>
      <x:c r="AC1065" s="85" t="n">
        <x:f>'Raw Sales'!O1065</x:f>
        <x:v>45647</x:v>
      </x:c>
      <x:c r="AD1065" s="84" t="n">
        <x:f>AC1065-B1065</x:f>
        <x:v>3</x:v>
      </x:c>
      <x:c r="AE1065" s="84" t="str">
        <x:f>IF(COUNTIF($A$5:A1065,A1065)&gt;1,"Duplicate","Keep")</x:f>
        <x:v>Keep</x:v>
      </x:c>
      <x:c r="AF1065" s="84" t="str">
        <x:f>IF(OR(R1065&lt;=0,AC1065&lt;B1065,H1065="Unknown",M1065="Unknown Product"),"Review","Valid")</x:f>
        <x:v>Valid</x:v>
      </x:c>
      <x:c r="AG1065" s="84" t="n">
        <x:f>IF(AND(AE1065="Keep",AF1065="Valid"),1,0)</x:f>
        <x:v>1</x:v>
      </x:c>
      <x:c r="AH1065" s="84" t="n">
        <x:f>IF(AND(AG1065=1,OR('Dashboard'!$B$4="All",I1065='Dashboard'!$B$4),OR('Dashboard'!$E$4="All",N1065='Dashboard'!$E$4),OR('Dashboard'!$H$4="All",K1065='Dashboard'!$H$4),OR('Dashboard'!$K$4="All",C1065='Dashboard'!$K$4)),1,0)</x:f>
        <x:v>1</x:v>
      </x:c>
      <x:c r="AI1065" s="84" t="n">
        <x:f>IF(AND(AG1065=1,OR('Dashboard'!$B$4="All",I1065='Dashboard'!$B$4),OR('Dashboard'!$E$4="All",N1065='Dashboard'!$E$4),OR('Dashboard'!$H$4="All",K1065='Dashboard'!$H$4)),1,0)</x:f>
        <x:v>1</x:v>
      </x:c>
    </x:row>
    <x:row r="1066">
      <x:c r="A1066" s="84" t="str">
        <x:f>'Raw Sales'!A1066</x:f>
        <x:v>ORD-2024-01386</x:v>
      </x:c>
      <x:c r="B1066" s="85" t="n">
        <x:f>'Raw Sales'!B1066</x:f>
        <x:v>45644</x:v>
      </x:c>
      <x:c r="C1066" s="84" t="n">
        <x:f>YEAR(B1066)</x:f>
        <x:v>2024</x:v>
      </x:c>
      <x:c r="D1066" s="91" t="n">
        <x:f>DATE(YEAR(B1066),MONTH(B1066),1)</x:f>
        <x:v>45627</x:v>
      </x:c>
      <x:c r="E1066" s="84" t="str">
        <x:f>TEXT(B1066,"mmm")</x:f>
        <x:v>Dec</x:v>
      </x:c>
      <x:c r="F1066" s="84" t="str">
        <x:f>'Raw Sales'!C1066</x:f>
        <x:v>CUST-0413</x:v>
      </x:c>
      <x:c r="G1066" s="84" t="str">
        <x:f>PROPER(TRIM('Raw Sales'!D1066))</x:f>
        <x:v>Grace Taylor</x:v>
      </x:c>
      <x:c r="H1066" s="84" t="str">
        <x:f>IF(TRIM('Raw Sales'!E1066)="","Unknown",PROPER(TRIM('Raw Sales'!E1066)))</x:f>
        <x:v>Corporate</x:v>
      </x:c>
      <x:c r="I1066" s="84" t="str">
        <x:f>PROPER(TRIM('Raw Sales'!F1066))</x:f>
        <x:v>Northeast</x:v>
      </x:c>
      <x:c r="J1066" s="84" t="str">
        <x:f>PROPER(TRIM('Raw Sales'!G1066))</x:f>
        <x:v>Philadelphia</x:v>
      </x:c>
      <x:c r="K1066" s="84" t="str">
        <x:f>PROPER(TRIM('Raw Sales'!H1066))</x:f>
        <x:v>Online</x:v>
      </x:c>
      <x:c r="L1066" s="84" t="str">
        <x:f>'Raw Sales'!I1066</x:f>
        <x:v>ELEC-005</x:v>
      </x:c>
      <x:c r="M1066" s="84" t="str">
        <x:f>IFERROR(VLOOKUP(L1066,'Reference Data'!$A$5:$F$40,2,FALSE),"Unknown Product")</x:f>
        <x:v>HD Webcam</x:v>
      </x:c>
      <x:c r="N1066" s="84" t="str">
        <x:f>IFERROR(VLOOKUP(L1066,'Reference Data'!$A$5:$F$40,3,FALSE),"Unknown")</x:f>
        <x:v>Electronics</x:v>
      </x:c>
      <x:c r="O1066" s="84" t="str">
        <x:f>IFERROR(VLOOKUP(L1066,'Reference Data'!$A$5:$F$40,4,FALSE),"Unknown")</x:f>
        <x:v>Computer Accessories</x:v>
      </x:c>
      <x:c r="P1066" s="92" t="n">
        <x:f>IFERROR(VLOOKUP(L1066,'Reference Data'!$A$5:$F$40,5,FALSE),0)</x:f>
        <x:v>79</x:v>
      </x:c>
      <x:c r="Q1066" s="92" t="n">
        <x:f>IFERROR(VLOOKUP(L1066,'Reference Data'!$A$5:$F$40,6,FALSE),0)</x:f>
        <x:v>37</x:v>
      </x:c>
      <x:c r="R1066" s="84" t="n">
        <x:f>'Raw Sales'!J1066</x:f>
        <x:v>3</x:v>
      </x:c>
      <x:c r="S1066" s="87" t="n">
        <x:f>'Raw Sales'!K1066</x:f>
        <x:v>0.1</x:v>
      </x:c>
      <x:c r="T1066" s="93" t="n">
        <x:f>P1066*R1066</x:f>
        <x:v>237</x:v>
      </x:c>
      <x:c r="U1066" s="93" t="n">
        <x:f>T1066*S1066</x:f>
        <x:v>23.700000000000003</x:v>
      </x:c>
      <x:c r="V1066" s="93" t="str">
        <x:f>PROPER(TRIM('Raw Sales'!L1066))</x:f>
        <x:v>Completed</x:v>
      </x:c>
      <x:c r="W1066" s="93" t="n">
        <x:f>IF(V1066="Returned",0,T1066-U1066)</x:f>
        <x:v>213.3</x:v>
      </x:c>
      <x:c r="X1066" s="93" t="n">
        <x:f>IF(V1066="Returned",Q1066*R1066*10%,Q1066*R1066)</x:f>
        <x:v>111</x:v>
      </x:c>
      <x:c r="Y1066" s="93" t="n">
        <x:f>W1066-X1066</x:f>
        <x:v>102.30000000000001</x:v>
      </x:c>
      <x:c r="Z1066" s="94" t="n">
        <x:f>IFERROR(Y1066/W1066,0)</x:f>
        <x:v>0.47960618846694797</x:v>
      </x:c>
      <x:c r="AA1066" s="84" t="str">
        <x:f>PROPER(TRIM('Raw Sales'!M1066))</x:f>
        <x:v>Paypal</x:v>
      </x:c>
      <x:c r="AB1066" s="84" t="str">
        <x:f>PROPER(TRIM('Raw Sales'!N1066))</x:f>
        <x:v>Ethan Cole</x:v>
      </x:c>
      <x:c r="AC1066" s="85" t="n">
        <x:f>'Raw Sales'!O1066</x:f>
        <x:v>45646</x:v>
      </x:c>
      <x:c r="AD1066" s="84" t="n">
        <x:f>AC1066-B1066</x:f>
        <x:v>2</x:v>
      </x:c>
      <x:c r="AE1066" s="84" t="str">
        <x:f>IF(COUNTIF($A$5:A1066,A1066)&gt;1,"Duplicate","Keep")</x:f>
        <x:v>Keep</x:v>
      </x:c>
      <x:c r="AF1066" s="84" t="str">
        <x:f>IF(OR(R1066&lt;=0,AC1066&lt;B1066,H1066="Unknown",M1066="Unknown Product"),"Review","Valid")</x:f>
        <x:v>Valid</x:v>
      </x:c>
      <x:c r="AG1066" s="84" t="n">
        <x:f>IF(AND(AE1066="Keep",AF1066="Valid"),1,0)</x:f>
        <x:v>1</x:v>
      </x:c>
      <x:c r="AH1066" s="84" t="n">
        <x:f>IF(AND(AG1066=1,OR('Dashboard'!$B$4="All",I1066='Dashboard'!$B$4),OR('Dashboard'!$E$4="All",N1066='Dashboard'!$E$4),OR('Dashboard'!$H$4="All",K1066='Dashboard'!$H$4),OR('Dashboard'!$K$4="All",C1066='Dashboard'!$K$4)),1,0)</x:f>
        <x:v>1</x:v>
      </x:c>
      <x:c r="AI1066" s="84" t="n">
        <x:f>IF(AND(AG1066=1,OR('Dashboard'!$B$4="All",I1066='Dashboard'!$B$4),OR('Dashboard'!$E$4="All",N1066='Dashboard'!$E$4),OR('Dashboard'!$H$4="All",K1066='Dashboard'!$H$4)),1,0)</x:f>
        <x:v>1</x:v>
      </x:c>
    </x:row>
    <x:row r="1067">
      <x:c r="A1067" s="84" t="str">
        <x:f>'Raw Sales'!A1067</x:f>
        <x:v>ORD-2024-01806</x:v>
      </x:c>
      <x:c r="B1067" s="85" t="n">
        <x:f>'Raw Sales'!B1067</x:f>
        <x:v>45644</x:v>
      </x:c>
      <x:c r="C1067" s="84" t="n">
        <x:f>YEAR(B1067)</x:f>
        <x:v>2024</x:v>
      </x:c>
      <x:c r="D1067" s="91" t="n">
        <x:f>DATE(YEAR(B1067),MONTH(B1067),1)</x:f>
        <x:v>45627</x:v>
      </x:c>
      <x:c r="E1067" s="84" t="str">
        <x:f>TEXT(B1067,"mmm")</x:f>
        <x:v>Dec</x:v>
      </x:c>
      <x:c r="F1067" s="84" t="str">
        <x:f>'Raw Sales'!C1067</x:f>
        <x:v>CUST-0638</x:v>
      </x:c>
      <x:c r="G1067" s="84" t="str">
        <x:f>PROPER(TRIM('Raw Sales'!D1067))</x:f>
        <x:v>Zara Roberts</x:v>
      </x:c>
      <x:c r="H1067" s="84" t="str">
        <x:f>IF(TRIM('Raw Sales'!E1067)="","Unknown",PROPER(TRIM('Raw Sales'!E1067)))</x:f>
        <x:v>Consumer</x:v>
      </x:c>
      <x:c r="I1067" s="84" t="str">
        <x:f>PROPER(TRIM('Raw Sales'!F1067))</x:f>
        <x:v>Northeast</x:v>
      </x:c>
      <x:c r="J1067" s="84" t="str">
        <x:f>PROPER(TRIM('Raw Sales'!G1067))</x:f>
        <x:v>Philadelphia</x:v>
      </x:c>
      <x:c r="K1067" s="84" t="str">
        <x:f>PROPER(TRIM('Raw Sales'!H1067))</x:f>
        <x:v>Retail Store</x:v>
      </x:c>
      <x:c r="L1067" s="84" t="str">
        <x:f>'Raw Sales'!I1067</x:f>
        <x:v>ELEC-002</x:v>
      </x:c>
      <x:c r="M1067" s="84" t="str">
        <x:f>IFERROR(VLOOKUP(L1067,'Reference Data'!$A$5:$F$40,2,FALSE),"Unknown Product")</x:f>
        <x:v>Smartwatch</x:v>
      </x:c>
      <x:c r="N1067" s="84" t="str">
        <x:f>IFERROR(VLOOKUP(L1067,'Reference Data'!$A$5:$F$40,3,FALSE),"Unknown")</x:f>
        <x:v>Electronics</x:v>
      </x:c>
      <x:c r="O1067" s="84" t="str">
        <x:f>IFERROR(VLOOKUP(L1067,'Reference Data'!$A$5:$F$40,4,FALSE),"Unknown")</x:f>
        <x:v>Wearables</x:v>
      </x:c>
      <x:c r="P1067" s="92" t="n">
        <x:f>IFERROR(VLOOKUP(L1067,'Reference Data'!$A$5:$F$40,5,FALSE),0)</x:f>
        <x:v>159</x:v>
      </x:c>
      <x:c r="Q1067" s="92" t="n">
        <x:f>IFERROR(VLOOKUP(L1067,'Reference Data'!$A$5:$F$40,6,FALSE),0)</x:f>
        <x:v>92</x:v>
      </x:c>
      <x:c r="R1067" s="84" t="n">
        <x:f>'Raw Sales'!J1067</x:f>
        <x:v>1</x:v>
      </x:c>
      <x:c r="S1067" s="87" t="n">
        <x:f>'Raw Sales'!K1067</x:f>
        <x:v>0</x:v>
      </x:c>
      <x:c r="T1067" s="93" t="n">
        <x:f>P1067*R1067</x:f>
        <x:v>159</x:v>
      </x:c>
      <x:c r="U1067" s="93" t="n">
        <x:f>T1067*S1067</x:f>
        <x:v>0</x:v>
      </x:c>
      <x:c r="V1067" s="93" t="str">
        <x:f>PROPER(TRIM('Raw Sales'!L1067))</x:f>
        <x:v>Completed</x:v>
      </x:c>
      <x:c r="W1067" s="93" t="n">
        <x:f>IF(V1067="Returned",0,T1067-U1067)</x:f>
        <x:v>159</x:v>
      </x:c>
      <x:c r="X1067" s="93" t="n">
        <x:f>IF(V1067="Returned",Q1067*R1067*10%,Q1067*R1067)</x:f>
        <x:v>92</x:v>
      </x:c>
      <x:c r="Y1067" s="93" t="n">
        <x:f>W1067-X1067</x:f>
        <x:v>67</x:v>
      </x:c>
      <x:c r="Z1067" s="94" t="n">
        <x:f>IFERROR(Y1067/W1067,0)</x:f>
        <x:v>0.42138364779874216</x:v>
      </x:c>
      <x:c r="AA1067" s="84" t="str">
        <x:f>PROPER(TRIM('Raw Sales'!M1067))</x:f>
        <x:v>Cash</x:v>
      </x:c>
      <x:c r="AB1067" s="84" t="str">
        <x:f>PROPER(TRIM('Raw Sales'!N1067))</x:f>
        <x:v>Ethan Cole</x:v>
      </x:c>
      <x:c r="AC1067" s="85" t="n">
        <x:f>'Raw Sales'!O1067</x:f>
        <x:v>45644</x:v>
      </x:c>
      <x:c r="AD1067" s="84" t="n">
        <x:f>AC1067-B1067</x:f>
        <x:v>0</x:v>
      </x:c>
      <x:c r="AE1067" s="84" t="str">
        <x:f>IF(COUNTIF($A$5:A1067,A1067)&gt;1,"Duplicate","Keep")</x:f>
        <x:v>Keep</x:v>
      </x:c>
      <x:c r="AF1067" s="84" t="str">
        <x:f>IF(OR(R1067&lt;=0,AC1067&lt;B1067,H1067="Unknown",M1067="Unknown Product"),"Review","Valid")</x:f>
        <x:v>Valid</x:v>
      </x:c>
      <x:c r="AG1067" s="84" t="n">
        <x:f>IF(AND(AE1067="Keep",AF1067="Valid"),1,0)</x:f>
        <x:v>1</x:v>
      </x:c>
      <x:c r="AH1067" s="84" t="n">
        <x:f>IF(AND(AG1067=1,OR('Dashboard'!$B$4="All",I1067='Dashboard'!$B$4),OR('Dashboard'!$E$4="All",N1067='Dashboard'!$E$4),OR('Dashboard'!$H$4="All",K1067='Dashboard'!$H$4),OR('Dashboard'!$K$4="All",C1067='Dashboard'!$K$4)),1,0)</x:f>
        <x:v>1</x:v>
      </x:c>
      <x:c r="AI1067" s="84" t="n">
        <x:f>IF(AND(AG1067=1,OR('Dashboard'!$B$4="All",I1067='Dashboard'!$B$4),OR('Dashboard'!$E$4="All",N1067='Dashboard'!$E$4),OR('Dashboard'!$H$4="All",K1067='Dashboard'!$H$4)),1,0)</x:f>
        <x:v>1</x:v>
      </x:c>
    </x:row>
    <x:row r="1068">
      <x:c r="A1068" s="84" t="str">
        <x:f>'Raw Sales'!A1068</x:f>
        <x:v>ORD-2024-02116</x:v>
      </x:c>
      <x:c r="B1068" s="85" t="n">
        <x:f>'Raw Sales'!B1068</x:f>
        <x:v>45644</x:v>
      </x:c>
      <x:c r="C1068" s="84" t="n">
        <x:f>YEAR(B1068)</x:f>
        <x:v>2024</x:v>
      </x:c>
      <x:c r="D1068" s="91" t="n">
        <x:f>DATE(YEAR(B1068),MONTH(B1068),1)</x:f>
        <x:v>45627</x:v>
      </x:c>
      <x:c r="E1068" s="84" t="str">
        <x:f>TEXT(B1068,"mmm")</x:f>
        <x:v>Dec</x:v>
      </x:c>
      <x:c r="F1068" s="84" t="str">
        <x:f>'Raw Sales'!C1068</x:f>
        <x:v>CUST-0527</x:v>
      </x:c>
      <x:c r="G1068" s="84" t="str">
        <x:f>PROPER(TRIM('Raw Sales'!D1068))</x:f>
        <x:v>Theo Hall</x:v>
      </x:c>
      <x:c r="H1068" s="84" t="str">
        <x:f>IF(TRIM('Raw Sales'!E1068)="","Unknown",PROPER(TRIM('Raw Sales'!E1068)))</x:f>
        <x:v>Consumer</x:v>
      </x:c>
      <x:c r="I1068" s="84" t="str">
        <x:f>PROPER(TRIM('Raw Sales'!F1068))</x:f>
        <x:v>Southeast</x:v>
      </x:c>
      <x:c r="J1068" s="84" t="str">
        <x:f>PROPER(TRIM('Raw Sales'!G1068))</x:f>
        <x:v>Nashville</x:v>
      </x:c>
      <x:c r="K1068" s="84" t="str">
        <x:f>PROPER(TRIM('Raw Sales'!H1068))</x:f>
        <x:v>Online</x:v>
      </x:c>
      <x:c r="L1068" s="84" t="str">
        <x:f>'Raw Sales'!I1068</x:f>
        <x:v>OFFC-001</x:v>
      </x:c>
      <x:c r="M1068" s="84" t="str">
        <x:f>IFERROR(VLOOKUP(L1068,'Reference Data'!$A$5:$F$40,2,FALSE),"Unknown Product")</x:f>
        <x:v>Ergonomic Chair</x:v>
      </x:c>
      <x:c r="N1068" s="84" t="str">
        <x:f>IFERROR(VLOOKUP(L1068,'Reference Data'!$A$5:$F$40,3,FALSE),"Unknown")</x:f>
        <x:v>Office</x:v>
      </x:c>
      <x:c r="O1068" s="84" t="str">
        <x:f>IFERROR(VLOOKUP(L1068,'Reference Data'!$A$5:$F$40,4,FALSE),"Unknown")</x:f>
        <x:v>Furniture</x:v>
      </x:c>
      <x:c r="P1068" s="92" t="n">
        <x:f>IFERROR(VLOOKUP(L1068,'Reference Data'!$A$5:$F$40,5,FALSE),0)</x:f>
        <x:v>249</x:v>
      </x:c>
      <x:c r="Q1068" s="92" t="n">
        <x:f>IFERROR(VLOOKUP(L1068,'Reference Data'!$A$5:$F$40,6,FALSE),0)</x:f>
        <x:v>145</x:v>
      </x:c>
      <x:c r="R1068" s="84" t="n">
        <x:f>'Raw Sales'!J1068</x:f>
        <x:v>2</x:v>
      </x:c>
      <x:c r="S1068" s="87" t="n">
        <x:f>'Raw Sales'!K1068</x:f>
        <x:v>0</x:v>
      </x:c>
      <x:c r="T1068" s="93" t="n">
        <x:f>P1068*R1068</x:f>
        <x:v>498</x:v>
      </x:c>
      <x:c r="U1068" s="93" t="n">
        <x:f>T1068*S1068</x:f>
        <x:v>0</x:v>
      </x:c>
      <x:c r="V1068" s="93" t="str">
        <x:f>PROPER(TRIM('Raw Sales'!L1068))</x:f>
        <x:v>Completed</x:v>
      </x:c>
      <x:c r="W1068" s="93" t="n">
        <x:f>IF(V1068="Returned",0,T1068-U1068)</x:f>
        <x:v>498</x:v>
      </x:c>
      <x:c r="X1068" s="93" t="n">
        <x:f>IF(V1068="Returned",Q1068*R1068*10%,Q1068*R1068)</x:f>
        <x:v>290</x:v>
      </x:c>
      <x:c r="Y1068" s="93" t="n">
        <x:f>W1068-X1068</x:f>
        <x:v>208</x:v>
      </x:c>
      <x:c r="Z1068" s="94" t="n">
        <x:f>IFERROR(Y1068/W1068,0)</x:f>
        <x:v>0.41767068273092367</x:v>
      </x:c>
      <x:c r="AA1068" s="84" t="str">
        <x:f>PROPER(TRIM('Raw Sales'!M1068))</x:f>
        <x:v>Debit Card</x:v>
      </x:c>
      <x:c r="AB1068" s="84" t="str">
        <x:f>PROPER(TRIM('Raw Sales'!N1068))</x:f>
        <x:v>Noah Reed</x:v>
      </x:c>
      <x:c r="AC1068" s="85" t="n">
        <x:f>'Raw Sales'!O1068</x:f>
        <x:v>45650</x:v>
      </x:c>
      <x:c r="AD1068" s="84" t="n">
        <x:f>AC1068-B1068</x:f>
        <x:v>6</x:v>
      </x:c>
      <x:c r="AE1068" s="84" t="str">
        <x:f>IF(COUNTIF($A$5:A1068,A1068)&gt;1,"Duplicate","Keep")</x:f>
        <x:v>Keep</x:v>
      </x:c>
      <x:c r="AF1068" s="84" t="str">
        <x:f>IF(OR(R1068&lt;=0,AC1068&lt;B1068,H1068="Unknown",M1068="Unknown Product"),"Review","Valid")</x:f>
        <x:v>Valid</x:v>
      </x:c>
      <x:c r="AG1068" s="84" t="n">
        <x:f>IF(AND(AE1068="Keep",AF1068="Valid"),1,0)</x:f>
        <x:v>1</x:v>
      </x:c>
      <x:c r="AH1068" s="84" t="n">
        <x:f>IF(AND(AG1068=1,OR('Dashboard'!$B$4="All",I1068='Dashboard'!$B$4),OR('Dashboard'!$E$4="All",N1068='Dashboard'!$E$4),OR('Dashboard'!$H$4="All",K1068='Dashboard'!$H$4),OR('Dashboard'!$K$4="All",C1068='Dashboard'!$K$4)),1,0)</x:f>
        <x:v>1</x:v>
      </x:c>
      <x:c r="AI1068" s="84" t="n">
        <x:f>IF(AND(AG1068=1,OR('Dashboard'!$B$4="All",I1068='Dashboard'!$B$4),OR('Dashboard'!$E$4="All",N1068='Dashboard'!$E$4),OR('Dashboard'!$H$4="All",K1068='Dashboard'!$H$4)),1,0)</x:f>
        <x:v>1</x:v>
      </x:c>
    </x:row>
    <x:row r="1069">
      <x:c r="A1069" s="84" t="str">
        <x:f>'Raw Sales'!A1069</x:f>
        <x:v>ORD-2024-00490</x:v>
      </x:c>
      <x:c r="B1069" s="85" t="n">
        <x:f>'Raw Sales'!B1069</x:f>
        <x:v>45645</x:v>
      </x:c>
      <x:c r="C1069" s="84" t="n">
        <x:f>YEAR(B1069)</x:f>
        <x:v>2024</x:v>
      </x:c>
      <x:c r="D1069" s="91" t="n">
        <x:f>DATE(YEAR(B1069),MONTH(B1069),1)</x:f>
        <x:v>45627</x:v>
      </x:c>
      <x:c r="E1069" s="84" t="str">
        <x:f>TEXT(B1069,"mmm")</x:f>
        <x:v>Dec</x:v>
      </x:c>
      <x:c r="F1069" s="84" t="str">
        <x:f>'Raw Sales'!C1069</x:f>
        <x:v>CUST-0608</x:v>
      </x:c>
      <x:c r="G1069" s="84" t="str">
        <x:f>PROPER(TRIM('Raw Sales'!D1069))</x:f>
        <x:v>Victoria Patel</x:v>
      </x:c>
      <x:c r="H1069" s="84" t="str">
        <x:f>IF(TRIM('Raw Sales'!E1069)="","Unknown",PROPER(TRIM('Raw Sales'!E1069)))</x:f>
        <x:v>Consumer</x:v>
      </x:c>
      <x:c r="I1069" s="84" t="str">
        <x:f>PROPER(TRIM('Raw Sales'!F1069))</x:f>
        <x:v>Midwest</x:v>
      </x:c>
      <x:c r="J1069" s="84" t="str">
        <x:f>PROPER(TRIM('Raw Sales'!G1069))</x:f>
        <x:v>Chicago</x:v>
      </x:c>
      <x:c r="K1069" s="84" t="str">
        <x:f>PROPER(TRIM('Raw Sales'!H1069))</x:f>
        <x:v>Retail Store</x:v>
      </x:c>
      <x:c r="L1069" s="84" t="str">
        <x:f>'Raw Sales'!I1069</x:f>
        <x:v>OFFC-004</x:v>
      </x:c>
      <x:c r="M1069" s="84" t="str">
        <x:f>IFERROR(VLOOKUP(L1069,'Reference Data'!$A$5:$F$40,2,FALSE),"Unknown Product")</x:f>
        <x:v>Premium Notebook Pack</x:v>
      </x:c>
      <x:c r="N1069" s="84" t="str">
        <x:f>IFERROR(VLOOKUP(L1069,'Reference Data'!$A$5:$F$40,3,FALSE),"Unknown")</x:f>
        <x:v>Office</x:v>
      </x:c>
      <x:c r="O1069" s="84" t="str">
        <x:f>IFERROR(VLOOKUP(L1069,'Reference Data'!$A$5:$F$40,4,FALSE),"Unknown")</x:f>
        <x:v>Stationery</x:v>
      </x:c>
      <x:c r="P1069" s="92" t="n">
        <x:f>IFERROR(VLOOKUP(L1069,'Reference Data'!$A$5:$F$40,5,FALSE),0)</x:f>
        <x:v>18</x:v>
      </x:c>
      <x:c r="Q1069" s="92" t="n">
        <x:f>IFERROR(VLOOKUP(L1069,'Reference Data'!$A$5:$F$40,6,FALSE),0)</x:f>
        <x:v>6.5</x:v>
      </x:c>
      <x:c r="R1069" s="84" t="n">
        <x:f>'Raw Sales'!J1069</x:f>
        <x:v>3</x:v>
      </x:c>
      <x:c r="S1069" s="87" t="n">
        <x:f>'Raw Sales'!K1069</x:f>
        <x:v>0.15</x:v>
      </x:c>
      <x:c r="T1069" s="93" t="n">
        <x:f>P1069*R1069</x:f>
        <x:v>54</x:v>
      </x:c>
      <x:c r="U1069" s="93" t="n">
        <x:f>T1069*S1069</x:f>
        <x:v>8.1</x:v>
      </x:c>
      <x:c r="V1069" s="93" t="str">
        <x:f>PROPER(TRIM('Raw Sales'!L1069))</x:f>
        <x:v>Completed</x:v>
      </x:c>
      <x:c r="W1069" s="93" t="n">
        <x:f>IF(V1069="Returned",0,T1069-U1069)</x:f>
        <x:v>45.9</x:v>
      </x:c>
      <x:c r="X1069" s="93" t="n">
        <x:f>IF(V1069="Returned",Q1069*R1069*10%,Q1069*R1069)</x:f>
        <x:v>19.5</x:v>
      </x:c>
      <x:c r="Y1069" s="93" t="n">
        <x:f>W1069-X1069</x:f>
        <x:v>26.4</x:v>
      </x:c>
      <x:c r="Z1069" s="94" t="n">
        <x:f>IFERROR(Y1069/W1069,0)</x:f>
        <x:v>0.5751633986928104</x:v>
      </x:c>
      <x:c r="AA1069" s="84" t="str">
        <x:f>PROPER(TRIM('Raw Sales'!M1069))</x:f>
        <x:v>Cash</x:v>
      </x:c>
      <x:c r="AB1069" s="84" t="str">
        <x:f>PROPER(TRIM('Raw Sales'!N1069))</x:f>
        <x:v>Lucas Grant</x:v>
      </x:c>
      <x:c r="AC1069" s="85" t="n">
        <x:f>'Raw Sales'!O1069</x:f>
        <x:v>45645</x:v>
      </x:c>
      <x:c r="AD1069" s="84" t="n">
        <x:f>AC1069-B1069</x:f>
        <x:v>0</x:v>
      </x:c>
      <x:c r="AE1069" s="84" t="str">
        <x:f>IF(COUNTIF($A$5:A1069,A1069)&gt;1,"Duplicate","Keep")</x:f>
        <x:v>Keep</x:v>
      </x:c>
      <x:c r="AF1069" s="84" t="str">
        <x:f>IF(OR(R1069&lt;=0,AC1069&lt;B1069,H1069="Unknown",M1069="Unknown Product"),"Review","Valid")</x:f>
        <x:v>Valid</x:v>
      </x:c>
      <x:c r="AG1069" s="84" t="n">
        <x:f>IF(AND(AE1069="Keep",AF1069="Valid"),1,0)</x:f>
        <x:v>1</x:v>
      </x:c>
      <x:c r="AH1069" s="84" t="n">
        <x:f>IF(AND(AG1069=1,OR('Dashboard'!$B$4="All",I1069='Dashboard'!$B$4),OR('Dashboard'!$E$4="All",N1069='Dashboard'!$E$4),OR('Dashboard'!$H$4="All",K1069='Dashboard'!$H$4),OR('Dashboard'!$K$4="All",C1069='Dashboard'!$K$4)),1,0)</x:f>
        <x:v>1</x:v>
      </x:c>
      <x:c r="AI1069" s="84" t="n">
        <x:f>IF(AND(AG1069=1,OR('Dashboard'!$B$4="All",I1069='Dashboard'!$B$4),OR('Dashboard'!$E$4="All",N1069='Dashboard'!$E$4),OR('Dashboard'!$H$4="All",K1069='Dashboard'!$H$4)),1,0)</x:f>
        <x:v>1</x:v>
      </x:c>
    </x:row>
    <x:row r="1070">
      <x:c r="A1070" s="84" t="str">
        <x:f>'Raw Sales'!A1070</x:f>
        <x:v>ORD-2024-00631</x:v>
      </x:c>
      <x:c r="B1070" s="85" t="n">
        <x:f>'Raw Sales'!B1070</x:f>
        <x:v>45645</x:v>
      </x:c>
      <x:c r="C1070" s="84" t="n">
        <x:f>YEAR(B1070)</x:f>
        <x:v>2024</x:v>
      </x:c>
      <x:c r="D1070" s="91" t="n">
        <x:f>DATE(YEAR(B1070),MONTH(B1070),1)</x:f>
        <x:v>45627</x:v>
      </x:c>
      <x:c r="E1070" s="84" t="str">
        <x:f>TEXT(B1070,"mmm")</x:f>
        <x:v>Dec</x:v>
      </x:c>
      <x:c r="F1070" s="84" t="str">
        <x:f>'Raw Sales'!C1070</x:f>
        <x:v>CUST-0385</x:v>
      </x:c>
      <x:c r="G1070" s="84" t="str">
        <x:f>PROPER(TRIM('Raw Sales'!D1070))</x:f>
        <x:v>Elias Garcia</x:v>
      </x:c>
      <x:c r="H1070" s="84" t="str">
        <x:f>IF(TRIM('Raw Sales'!E1070)="","Unknown",PROPER(TRIM('Raw Sales'!E1070)))</x:f>
        <x:v>Corporate</x:v>
      </x:c>
      <x:c r="I1070" s="84" t="str">
        <x:f>PROPER(TRIM('Raw Sales'!F1070))</x:f>
        <x:v>Southeast</x:v>
      </x:c>
      <x:c r="J1070" s="84" t="str">
        <x:f>PROPER(TRIM('Raw Sales'!G1070))</x:f>
        <x:v>Atlanta</x:v>
      </x:c>
      <x:c r="K1070" s="84" t="str">
        <x:f>PROPER(TRIM('Raw Sales'!H1070))</x:f>
        <x:v>Online</x:v>
      </x:c>
      <x:c r="L1070" s="84" t="str">
        <x:f>'Raw Sales'!I1070</x:f>
        <x:v>ACCS-001</x:v>
      </x:c>
      <x:c r="M1070" s="84" t="str">
        <x:f>IFERROR(VLOOKUP(L1070,'Reference Data'!$A$5:$F$40,2,FALSE),"Unknown Product")</x:f>
        <x:v>Canvas Tote Bag</x:v>
      </x:c>
      <x:c r="N1070" s="84" t="str">
        <x:f>IFERROR(VLOOKUP(L1070,'Reference Data'!$A$5:$F$40,3,FALSE),"Unknown")</x:f>
        <x:v>Accessories</x:v>
      </x:c>
      <x:c r="O1070" s="84" t="str">
        <x:f>IFERROR(VLOOKUP(L1070,'Reference Data'!$A$5:$F$40,4,FALSE),"Unknown")</x:f>
        <x:v>Bags</x:v>
      </x:c>
      <x:c r="P1070" s="92" t="n">
        <x:f>IFERROR(VLOOKUP(L1070,'Reference Data'!$A$5:$F$40,5,FALSE),0)</x:f>
        <x:v>39</x:v>
      </x:c>
      <x:c r="Q1070" s="92" t="n">
        <x:f>IFERROR(VLOOKUP(L1070,'Reference Data'!$A$5:$F$40,6,FALSE),0)</x:f>
        <x:v>14</x:v>
      </x:c>
      <x:c r="R1070" s="84" t="n">
        <x:f>'Raw Sales'!J1070</x:f>
        <x:v>2</x:v>
      </x:c>
      <x:c r="S1070" s="87" t="n">
        <x:f>'Raw Sales'!K1070</x:f>
        <x:v>0.15</x:v>
      </x:c>
      <x:c r="T1070" s="93" t="n">
        <x:f>P1070*R1070</x:f>
        <x:v>78</x:v>
      </x:c>
      <x:c r="U1070" s="93" t="n">
        <x:f>T1070*S1070</x:f>
        <x:v>11.7</x:v>
      </x:c>
      <x:c r="V1070" s="93" t="str">
        <x:f>PROPER(TRIM('Raw Sales'!L1070))</x:f>
        <x:v>Completed</x:v>
      </x:c>
      <x:c r="W1070" s="93" t="n">
        <x:f>IF(V1070="Returned",0,T1070-U1070)</x:f>
        <x:v>66.3</x:v>
      </x:c>
      <x:c r="X1070" s="93" t="n">
        <x:f>IF(V1070="Returned",Q1070*R1070*10%,Q1070*R1070)</x:f>
        <x:v>28</x:v>
      </x:c>
      <x:c r="Y1070" s="93" t="n">
        <x:f>W1070-X1070</x:f>
        <x:v>38.3</x:v>
      </x:c>
      <x:c r="Z1070" s="94" t="n">
        <x:f>IFERROR(Y1070/W1070,0)</x:f>
        <x:v>0.5776772247360482</x:v>
      </x:c>
      <x:c r="AA1070" s="84" t="str">
        <x:f>PROPER(TRIM('Raw Sales'!M1070))</x:f>
        <x:v>Mobile Wallet</x:v>
      </x:c>
      <x:c r="AB1070" s="84" t="str">
        <x:f>PROPER(TRIM('Raw Sales'!N1070))</x:f>
        <x:v>Ava Mitchell</x:v>
      </x:c>
      <x:c r="AC1070" s="85" t="n">
        <x:f>'Raw Sales'!O1070</x:f>
        <x:v>45647</x:v>
      </x:c>
      <x:c r="AD1070" s="84" t="n">
        <x:f>AC1070-B1070</x:f>
        <x:v>2</x:v>
      </x:c>
      <x:c r="AE1070" s="84" t="str">
        <x:f>IF(COUNTIF($A$5:A1070,A1070)&gt;1,"Duplicate","Keep")</x:f>
        <x:v>Keep</x:v>
      </x:c>
      <x:c r="AF1070" s="84" t="str">
        <x:f>IF(OR(R1070&lt;=0,AC1070&lt;B1070,H1070="Unknown",M1070="Unknown Product"),"Review","Valid")</x:f>
        <x:v>Valid</x:v>
      </x:c>
      <x:c r="AG1070" s="84" t="n">
        <x:f>IF(AND(AE1070="Keep",AF1070="Valid"),1,0)</x:f>
        <x:v>1</x:v>
      </x:c>
      <x:c r="AH1070" s="84" t="n">
        <x:f>IF(AND(AG1070=1,OR('Dashboard'!$B$4="All",I1070='Dashboard'!$B$4),OR('Dashboard'!$E$4="All",N1070='Dashboard'!$E$4),OR('Dashboard'!$H$4="All",K1070='Dashboard'!$H$4),OR('Dashboard'!$K$4="All",C1070='Dashboard'!$K$4)),1,0)</x:f>
        <x:v>1</x:v>
      </x:c>
      <x:c r="AI1070" s="84" t="n">
        <x:f>IF(AND(AG1070=1,OR('Dashboard'!$B$4="All",I1070='Dashboard'!$B$4),OR('Dashboard'!$E$4="All",N1070='Dashboard'!$E$4),OR('Dashboard'!$H$4="All",K1070='Dashboard'!$H$4)),1,0)</x:f>
        <x:v>1</x:v>
      </x:c>
    </x:row>
    <x:row r="1071">
      <x:c r="A1071" s="84" t="str">
        <x:f>'Raw Sales'!A1071</x:f>
        <x:v>ORD-2024-00860</x:v>
      </x:c>
      <x:c r="B1071" s="85" t="n">
        <x:f>'Raw Sales'!B1071</x:f>
        <x:v>45645</x:v>
      </x:c>
      <x:c r="C1071" s="84" t="n">
        <x:f>YEAR(B1071)</x:f>
        <x:v>2024</x:v>
      </x:c>
      <x:c r="D1071" s="91" t="n">
        <x:f>DATE(YEAR(B1071),MONTH(B1071),1)</x:f>
        <x:v>45627</x:v>
      </x:c>
      <x:c r="E1071" s="84" t="str">
        <x:f>TEXT(B1071,"mmm")</x:f>
        <x:v>Dec</x:v>
      </x:c>
      <x:c r="F1071" s="84" t="str">
        <x:f>'Raw Sales'!C1071</x:f>
        <x:v>CUST-0124</x:v>
      </x:c>
      <x:c r="G1071" s="84" t="str">
        <x:f>PROPER(TRIM('Raw Sales'!D1071))</x:f>
        <x:v>Priya Lewis</x:v>
      </x:c>
      <x:c r="H1071" s="84" t="str">
        <x:f>IF(TRIM('Raw Sales'!E1071)="","Unknown",PROPER(TRIM('Raw Sales'!E1071)))</x:f>
        <x:v>Consumer</x:v>
      </x:c>
      <x:c r="I1071" s="84" t="str">
        <x:f>PROPER(TRIM('Raw Sales'!F1071))</x:f>
        <x:v>Midwest</x:v>
      </x:c>
      <x:c r="J1071" s="84" t="str">
        <x:f>PROPER(TRIM('Raw Sales'!G1071))</x:f>
        <x:v>Chicago</x:v>
      </x:c>
      <x:c r="K1071" s="84" t="str">
        <x:f>PROPER(TRIM('Raw Sales'!H1071))</x:f>
        <x:v>Retail Store</x:v>
      </x:c>
      <x:c r="L1071" s="84" t="str">
        <x:f>'Raw Sales'!I1071</x:f>
        <x:v>HOME-002</x:v>
      </x:c>
      <x:c r="M1071" s="84" t="str">
        <x:f>IFERROR(VLOOKUP(L1071,'Reference Data'!$A$5:$F$40,2,FALSE),"Unknown Product")</x:f>
        <x:v>Electric Kettle</x:v>
      </x:c>
      <x:c r="N1071" s="84" t="str">
        <x:f>IFERROR(VLOOKUP(L1071,'Reference Data'!$A$5:$F$40,3,FALSE),"Unknown")</x:f>
        <x:v>Home &amp; Kitchen</x:v>
      </x:c>
      <x:c r="O1071" s="84" t="str">
        <x:f>IFERROR(VLOOKUP(L1071,'Reference Data'!$A$5:$F$40,4,FALSE),"Unknown")</x:f>
        <x:v>Small Appliances</x:v>
      </x:c>
      <x:c r="P1071" s="92" t="n">
        <x:f>IFERROR(VLOOKUP(L1071,'Reference Data'!$A$5:$F$40,5,FALSE),0)</x:f>
        <x:v>49</x:v>
      </x:c>
      <x:c r="Q1071" s="92" t="n">
        <x:f>IFERROR(VLOOKUP(L1071,'Reference Data'!$A$5:$F$40,6,FALSE),0)</x:f>
        <x:v>23</x:v>
      </x:c>
      <x:c r="R1071" s="84" t="n">
        <x:f>'Raw Sales'!J1071</x:f>
        <x:v>1</x:v>
      </x:c>
      <x:c r="S1071" s="87" t="n">
        <x:f>'Raw Sales'!K1071</x:f>
        <x:v>0.15</x:v>
      </x:c>
      <x:c r="T1071" s="93" t="n">
        <x:f>P1071*R1071</x:f>
        <x:v>49</x:v>
      </x:c>
      <x:c r="U1071" s="93" t="n">
        <x:f>T1071*S1071</x:f>
        <x:v>7.35</x:v>
      </x:c>
      <x:c r="V1071" s="93" t="str">
        <x:f>PROPER(TRIM('Raw Sales'!L1071))</x:f>
        <x:v>Returned</x:v>
      </x:c>
      <x:c r="W1071" s="93" t="n">
        <x:f>IF(V1071="Returned",0,T1071-U1071)</x:f>
        <x:v>0</x:v>
      </x:c>
      <x:c r="X1071" s="93" t="n">
        <x:f>IF(V1071="Returned",Q1071*R1071*10%,Q1071*R1071)</x:f>
        <x:v>2.3000000000000003</x:v>
      </x:c>
      <x:c r="Y1071" s="93" t="n">
        <x:f>W1071-X1071</x:f>
        <x:v>-2.3000000000000003</x:v>
      </x:c>
      <x:c r="Z1071" s="94" t="n">
        <x:f>IFERROR(Y1071/W1071,0)</x:f>
        <x:v>0</x:v>
      </x:c>
      <x:c r="AA1071" s="84" t="str">
        <x:f>PROPER(TRIM('Raw Sales'!M1071))</x:f>
        <x:v>Credit Card</x:v>
      </x:c>
      <x:c r="AB1071" s="84" t="str">
        <x:f>PROPER(TRIM('Raw Sales'!N1071))</x:f>
        <x:v>Zoe Turner</x:v>
      </x:c>
      <x:c r="AC1071" s="85" t="n">
        <x:f>'Raw Sales'!O1071</x:f>
        <x:v>45645</x:v>
      </x:c>
      <x:c r="AD1071" s="84" t="n">
        <x:f>AC1071-B1071</x:f>
        <x:v>0</x:v>
      </x:c>
      <x:c r="AE1071" s="84" t="str">
        <x:f>IF(COUNTIF($A$5:A1071,A1071)&gt;1,"Duplicate","Keep")</x:f>
        <x:v>Keep</x:v>
      </x:c>
      <x:c r="AF1071" s="84" t="str">
        <x:f>IF(OR(R1071&lt;=0,AC1071&lt;B1071,H1071="Unknown",M1071="Unknown Product"),"Review","Valid")</x:f>
        <x:v>Valid</x:v>
      </x:c>
      <x:c r="AG1071" s="84" t="n">
        <x:f>IF(AND(AE1071="Keep",AF1071="Valid"),1,0)</x:f>
        <x:v>1</x:v>
      </x:c>
      <x:c r="AH1071" s="84" t="n">
        <x:f>IF(AND(AG1071=1,OR('Dashboard'!$B$4="All",I1071='Dashboard'!$B$4),OR('Dashboard'!$E$4="All",N1071='Dashboard'!$E$4),OR('Dashboard'!$H$4="All",K1071='Dashboard'!$H$4),OR('Dashboard'!$K$4="All",C1071='Dashboard'!$K$4)),1,0)</x:f>
        <x:v>1</x:v>
      </x:c>
      <x:c r="AI1071" s="84" t="n">
        <x:f>IF(AND(AG1071=1,OR('Dashboard'!$B$4="All",I1071='Dashboard'!$B$4),OR('Dashboard'!$E$4="All",N1071='Dashboard'!$E$4),OR('Dashboard'!$H$4="All",K1071='Dashboard'!$H$4)),1,0)</x:f>
        <x:v>1</x:v>
      </x:c>
    </x:row>
    <x:row r="1072">
      <x:c r="A1072" s="84" t="str">
        <x:f>'Raw Sales'!A1072</x:f>
        <x:v>ORD-2024-01134</x:v>
      </x:c>
      <x:c r="B1072" s="85" t="n">
        <x:f>'Raw Sales'!B1072</x:f>
        <x:v>45645</x:v>
      </x:c>
      <x:c r="C1072" s="84" t="n">
        <x:f>YEAR(B1072)</x:f>
        <x:v>2024</x:v>
      </x:c>
      <x:c r="D1072" s="91" t="n">
        <x:f>DATE(YEAR(B1072),MONTH(B1072),1)</x:f>
        <x:v>45627</x:v>
      </x:c>
      <x:c r="E1072" s="84" t="str">
        <x:f>TEXT(B1072,"mmm")</x:f>
        <x:v>Dec</x:v>
      </x:c>
      <x:c r="F1072" s="84" t="str">
        <x:f>'Raw Sales'!C1072</x:f>
        <x:v>CUST-0560</x:v>
      </x:c>
      <x:c r="G1072" s="84" t="str">
        <x:f>PROPER(TRIM('Raw Sales'!D1072))</x:f>
        <x:v>Sara Khan</x:v>
      </x:c>
      <x:c r="H1072" s="84" t="str">
        <x:f>IF(TRIM('Raw Sales'!E1072)="","Unknown",PROPER(TRIM('Raw Sales'!E1072)))</x:f>
        <x:v>Consumer</x:v>
      </x:c>
      <x:c r="I1072" s="84" t="str">
        <x:f>PROPER(TRIM('Raw Sales'!F1072))</x:f>
        <x:v>Northeast</x:v>
      </x:c>
      <x:c r="J1072" s="84" t="str">
        <x:f>PROPER(TRIM('Raw Sales'!G1072))</x:f>
        <x:v>Philadelphia</x:v>
      </x:c>
      <x:c r="K1072" s="84" t="str">
        <x:f>PROPER(TRIM('Raw Sales'!H1072))</x:f>
        <x:v>Online</x:v>
      </x:c>
      <x:c r="L1072" s="84" t="str">
        <x:f>'Raw Sales'!I1072</x:f>
        <x:v>ELEC-005</x:v>
      </x:c>
      <x:c r="M1072" s="84" t="str">
        <x:f>IFERROR(VLOOKUP(L1072,'Reference Data'!$A$5:$F$40,2,FALSE),"Unknown Product")</x:f>
        <x:v>HD Webcam</x:v>
      </x:c>
      <x:c r="N1072" s="84" t="str">
        <x:f>IFERROR(VLOOKUP(L1072,'Reference Data'!$A$5:$F$40,3,FALSE),"Unknown")</x:f>
        <x:v>Electronics</x:v>
      </x:c>
      <x:c r="O1072" s="84" t="str">
        <x:f>IFERROR(VLOOKUP(L1072,'Reference Data'!$A$5:$F$40,4,FALSE),"Unknown")</x:f>
        <x:v>Computer Accessories</x:v>
      </x:c>
      <x:c r="P1072" s="92" t="n">
        <x:f>IFERROR(VLOOKUP(L1072,'Reference Data'!$A$5:$F$40,5,FALSE),0)</x:f>
        <x:v>79</x:v>
      </x:c>
      <x:c r="Q1072" s="92" t="n">
        <x:f>IFERROR(VLOOKUP(L1072,'Reference Data'!$A$5:$F$40,6,FALSE),0)</x:f>
        <x:v>37</x:v>
      </x:c>
      <x:c r="R1072" s="84" t="n">
        <x:f>'Raw Sales'!J1072</x:f>
        <x:v>2</x:v>
      </x:c>
      <x:c r="S1072" s="87" t="n">
        <x:f>'Raw Sales'!K1072</x:f>
        <x:v>0.05</x:v>
      </x:c>
      <x:c r="T1072" s="93" t="n">
        <x:f>P1072*R1072</x:f>
        <x:v>158</x:v>
      </x:c>
      <x:c r="U1072" s="93" t="n">
        <x:f>T1072*S1072</x:f>
        <x:v>7.9</x:v>
      </x:c>
      <x:c r="V1072" s="93" t="str">
        <x:f>PROPER(TRIM('Raw Sales'!L1072))</x:f>
        <x:v>Completed</x:v>
      </x:c>
      <x:c r="W1072" s="93" t="n">
        <x:f>IF(V1072="Returned",0,T1072-U1072)</x:f>
        <x:v>150.1</x:v>
      </x:c>
      <x:c r="X1072" s="93" t="n">
        <x:f>IF(V1072="Returned",Q1072*R1072*10%,Q1072*R1072)</x:f>
        <x:v>74</x:v>
      </x:c>
      <x:c r="Y1072" s="93" t="n">
        <x:f>W1072-X1072</x:f>
        <x:v>76.1</x:v>
      </x:c>
      <x:c r="Z1072" s="94" t="n">
        <x:f>IFERROR(Y1072/W1072,0)</x:f>
        <x:v>0.5069953364423717</x:v>
      </x:c>
      <x:c r="AA1072" s="84" t="str">
        <x:f>PROPER(TRIM('Raw Sales'!M1072))</x:f>
        <x:v>Paypal</x:v>
      </x:c>
      <x:c r="AB1072" s="84" t="str">
        <x:f>PROPER(TRIM('Raw Sales'!N1072))</x:f>
        <x:v>Ethan Cole</x:v>
      </x:c>
      <x:c r="AC1072" s="85" t="n">
        <x:f>'Raw Sales'!O1072</x:f>
        <x:v>45649</x:v>
      </x:c>
      <x:c r="AD1072" s="84" t="n">
        <x:f>AC1072-B1072</x:f>
        <x:v>4</x:v>
      </x:c>
      <x:c r="AE1072" s="84" t="str">
        <x:f>IF(COUNTIF($A$5:A1072,A1072)&gt;1,"Duplicate","Keep")</x:f>
        <x:v>Keep</x:v>
      </x:c>
      <x:c r="AF1072" s="84" t="str">
        <x:f>IF(OR(R1072&lt;=0,AC1072&lt;B1072,H1072="Unknown",M1072="Unknown Product"),"Review","Valid")</x:f>
        <x:v>Valid</x:v>
      </x:c>
      <x:c r="AG1072" s="84" t="n">
        <x:f>IF(AND(AE1072="Keep",AF1072="Valid"),1,0)</x:f>
        <x:v>1</x:v>
      </x:c>
      <x:c r="AH1072" s="84" t="n">
        <x:f>IF(AND(AG1072=1,OR('Dashboard'!$B$4="All",I1072='Dashboard'!$B$4),OR('Dashboard'!$E$4="All",N1072='Dashboard'!$E$4),OR('Dashboard'!$H$4="All",K1072='Dashboard'!$H$4),OR('Dashboard'!$K$4="All",C1072='Dashboard'!$K$4)),1,0)</x:f>
        <x:v>1</x:v>
      </x:c>
      <x:c r="AI1072" s="84" t="n">
        <x:f>IF(AND(AG1072=1,OR('Dashboard'!$B$4="All",I1072='Dashboard'!$B$4),OR('Dashboard'!$E$4="All",N1072='Dashboard'!$E$4),OR('Dashboard'!$H$4="All",K1072='Dashboard'!$H$4)),1,0)</x:f>
        <x:v>1</x:v>
      </x:c>
    </x:row>
    <x:row r="1073">
      <x:c r="A1073" s="84" t="str">
        <x:f>'Raw Sales'!A1073</x:f>
        <x:v>ORD-2024-01294</x:v>
      </x:c>
      <x:c r="B1073" s="85" t="n">
        <x:f>'Raw Sales'!B1073</x:f>
        <x:v>45645</x:v>
      </x:c>
      <x:c r="C1073" s="84" t="n">
        <x:f>YEAR(B1073)</x:f>
        <x:v>2024</x:v>
      </x:c>
      <x:c r="D1073" s="91" t="n">
        <x:f>DATE(YEAR(B1073),MONTH(B1073),1)</x:f>
        <x:v>45627</x:v>
      </x:c>
      <x:c r="E1073" s="84" t="str">
        <x:f>TEXT(B1073,"mmm")</x:f>
        <x:v>Dec</x:v>
      </x:c>
      <x:c r="F1073" s="84" t="str">
        <x:f>'Raw Sales'!C1073</x:f>
        <x:v>CUST-0116</x:v>
      </x:c>
      <x:c r="G1073" s="84" t="str">
        <x:f>PROPER(TRIM('Raw Sales'!D1073))</x:f>
        <x:v>Amelia Khan</x:v>
      </x:c>
      <x:c r="H1073" s="84" t="str">
        <x:f>IF(TRIM('Raw Sales'!E1073)="","Unknown",PROPER(TRIM('Raw Sales'!E1073)))</x:f>
        <x:v>Consumer</x:v>
      </x:c>
      <x:c r="I1073" s="84" t="str">
        <x:f>PROPER(TRIM('Raw Sales'!F1073))</x:f>
        <x:v>Midwest</x:v>
      </x:c>
      <x:c r="J1073" s="84" t="str">
        <x:f>PROPER(TRIM('Raw Sales'!G1073))</x:f>
        <x:v>Minneapolis</x:v>
      </x:c>
      <x:c r="K1073" s="84" t="str">
        <x:f>PROPER(TRIM('Raw Sales'!H1073))</x:f>
        <x:v>Online</x:v>
      </x:c>
      <x:c r="L1073" s="84" t="str">
        <x:f>'Raw Sales'!I1073</x:f>
        <x:v>ACCS-003</x:v>
      </x:c>
      <x:c r="M1073" s="84" t="str">
        <x:f>IFERROR(VLOOKUP(L1073,'Reference Data'!$A$5:$F$40,2,FALSE),"Unknown Product")</x:f>
        <x:v>Polarized Sunglasses</x:v>
      </x:c>
      <x:c r="N1073" s="84" t="str">
        <x:f>IFERROR(VLOOKUP(L1073,'Reference Data'!$A$5:$F$40,3,FALSE),"Unknown")</x:f>
        <x:v>Accessories</x:v>
      </x:c>
      <x:c r="O1073" s="84" t="str">
        <x:f>IFERROR(VLOOKUP(L1073,'Reference Data'!$A$5:$F$40,4,FALSE),"Unknown")</x:f>
        <x:v>Eyewear</x:v>
      </x:c>
      <x:c r="P1073" s="92" t="n">
        <x:f>IFERROR(VLOOKUP(L1073,'Reference Data'!$A$5:$F$40,5,FALSE),0)</x:f>
        <x:v>59</x:v>
      </x:c>
      <x:c r="Q1073" s="92" t="n">
        <x:f>IFERROR(VLOOKUP(L1073,'Reference Data'!$A$5:$F$40,6,FALSE),0)</x:f>
        <x:v>17</x:v>
      </x:c>
      <x:c r="R1073" s="84" t="n">
        <x:f>'Raw Sales'!J1073</x:f>
        <x:v>1</x:v>
      </x:c>
      <x:c r="S1073" s="87" t="n">
        <x:f>'Raw Sales'!K1073</x:f>
        <x:v>0.1</x:v>
      </x:c>
      <x:c r="T1073" s="93" t="n">
        <x:f>P1073*R1073</x:f>
        <x:v>59</x:v>
      </x:c>
      <x:c r="U1073" s="93" t="n">
        <x:f>T1073*S1073</x:f>
        <x:v>5.9</x:v>
      </x:c>
      <x:c r="V1073" s="93" t="str">
        <x:f>PROPER(TRIM('Raw Sales'!L1073))</x:f>
        <x:v>Completed</x:v>
      </x:c>
      <x:c r="W1073" s="93" t="n">
        <x:f>IF(V1073="Returned",0,T1073-U1073)</x:f>
        <x:v>53.1</x:v>
      </x:c>
      <x:c r="X1073" s="93" t="n">
        <x:f>IF(V1073="Returned",Q1073*R1073*10%,Q1073*R1073)</x:f>
        <x:v>17</x:v>
      </x:c>
      <x:c r="Y1073" s="93" t="n">
        <x:f>W1073-X1073</x:f>
        <x:v>36.1</x:v>
      </x:c>
      <x:c r="Z1073" s="94" t="n">
        <x:f>IFERROR(Y1073/W1073,0)</x:f>
        <x:v>0.67984934086629</x:v>
      </x:c>
      <x:c r="AA1073" s="84" t="str">
        <x:f>PROPER(TRIM('Raw Sales'!M1073))</x:f>
        <x:v>Credit Card</x:v>
      </x:c>
      <x:c r="AB1073" s="84" t="str">
        <x:f>PROPER(TRIM('Raw Sales'!N1073))</x:f>
        <x:v>Zoe Turner</x:v>
      </x:c>
      <x:c r="AC1073" s="85" t="n">
        <x:f>'Raw Sales'!O1073</x:f>
        <x:v>45648</x:v>
      </x:c>
      <x:c r="AD1073" s="84" t="n">
        <x:f>AC1073-B1073</x:f>
        <x:v>3</x:v>
      </x:c>
      <x:c r="AE1073" s="84" t="str">
        <x:f>IF(COUNTIF($A$5:A1073,A1073)&gt;1,"Duplicate","Keep")</x:f>
        <x:v>Keep</x:v>
      </x:c>
      <x:c r="AF1073" s="84" t="str">
        <x:f>IF(OR(R1073&lt;=0,AC1073&lt;B1073,H1073="Unknown",M1073="Unknown Product"),"Review","Valid")</x:f>
        <x:v>Valid</x:v>
      </x:c>
      <x:c r="AG1073" s="84" t="n">
        <x:f>IF(AND(AE1073="Keep",AF1073="Valid"),1,0)</x:f>
        <x:v>1</x:v>
      </x:c>
      <x:c r="AH1073" s="84" t="n">
        <x:f>IF(AND(AG1073=1,OR('Dashboard'!$B$4="All",I1073='Dashboard'!$B$4),OR('Dashboard'!$E$4="All",N1073='Dashboard'!$E$4),OR('Dashboard'!$H$4="All",K1073='Dashboard'!$H$4),OR('Dashboard'!$K$4="All",C1073='Dashboard'!$K$4)),1,0)</x:f>
        <x:v>1</x:v>
      </x:c>
      <x:c r="AI1073" s="84" t="n">
        <x:f>IF(AND(AG1073=1,OR('Dashboard'!$B$4="All",I1073='Dashboard'!$B$4),OR('Dashboard'!$E$4="All",N1073='Dashboard'!$E$4),OR('Dashboard'!$H$4="All",K1073='Dashboard'!$H$4)),1,0)</x:f>
        <x:v>1</x:v>
      </x:c>
    </x:row>
    <x:row r="1074">
      <x:c r="A1074" s="84" t="str">
        <x:f>'Raw Sales'!A1074</x:f>
        <x:v>ORD-2024-00008</x:v>
      </x:c>
      <x:c r="B1074" s="85" t="n">
        <x:f>'Raw Sales'!B1074</x:f>
        <x:v>45646</x:v>
      </x:c>
      <x:c r="C1074" s="84" t="n">
        <x:f>YEAR(B1074)</x:f>
        <x:v>2024</x:v>
      </x:c>
      <x:c r="D1074" s="91" t="n">
        <x:f>DATE(YEAR(B1074),MONTH(B1074),1)</x:f>
        <x:v>45627</x:v>
      </x:c>
      <x:c r="E1074" s="84" t="str">
        <x:f>TEXT(B1074,"mmm")</x:f>
        <x:v>Dec</x:v>
      </x:c>
      <x:c r="F1074" s="84" t="str">
        <x:f>'Raw Sales'!C1074</x:f>
        <x:v>CUST-0408</x:v>
      </x:c>
      <x:c r="G1074" s="84" t="str">
        <x:f>PROPER(TRIM('Raw Sales'!D1074))</x:f>
        <x:v>Caleb Smith</x:v>
      </x:c>
      <x:c r="H1074" s="84" t="str">
        <x:f>IF(TRIM('Raw Sales'!E1074)="","Unknown",PROPER(TRIM('Raw Sales'!E1074)))</x:f>
        <x:v>Small Business</x:v>
      </x:c>
      <x:c r="I1074" s="84" t="str">
        <x:f>PROPER(TRIM('Raw Sales'!F1074))</x:f>
        <x:v>Southeast</x:v>
      </x:c>
      <x:c r="J1074" s="84" t="str">
        <x:f>PROPER(TRIM('Raw Sales'!G1074))</x:f>
        <x:v>Miami</x:v>
      </x:c>
      <x:c r="K1074" s="84" t="str">
        <x:f>PROPER(TRIM('Raw Sales'!H1074))</x:f>
        <x:v>Online</x:v>
      </x:c>
      <x:c r="L1074" s="84" t="str">
        <x:f>'Raw Sales'!I1074</x:f>
        <x:v>ELEC-001</x:v>
      </x:c>
      <x:c r="M1074" s="84" t="str">
        <x:f>IFERROR(VLOOKUP(L1074,'Reference Data'!$A$5:$F$40,2,FALSE),"Unknown Product")</x:f>
        <x:v>Wireless Earbuds</x:v>
      </x:c>
      <x:c r="N1074" s="84" t="str">
        <x:f>IFERROR(VLOOKUP(L1074,'Reference Data'!$A$5:$F$40,3,FALSE),"Unknown")</x:f>
        <x:v>Electronics</x:v>
      </x:c>
      <x:c r="O1074" s="84" t="str">
        <x:f>IFERROR(VLOOKUP(L1074,'Reference Data'!$A$5:$F$40,4,FALSE),"Unknown")</x:f>
        <x:v>Audio</x:v>
      </x:c>
      <x:c r="P1074" s="92" t="n">
        <x:f>IFERROR(VLOOKUP(L1074,'Reference Data'!$A$5:$F$40,5,FALSE),0)</x:f>
        <x:v>69</x:v>
      </x:c>
      <x:c r="Q1074" s="92" t="n">
        <x:f>IFERROR(VLOOKUP(L1074,'Reference Data'!$A$5:$F$40,6,FALSE),0)</x:f>
        <x:v>36</x:v>
      </x:c>
      <x:c r="R1074" s="84" t="n">
        <x:f>'Raw Sales'!J1074</x:f>
        <x:v>1</x:v>
      </x:c>
      <x:c r="S1074" s="87" t="n">
        <x:f>'Raw Sales'!K1074</x:f>
        <x:v>0</x:v>
      </x:c>
      <x:c r="T1074" s="93" t="n">
        <x:f>P1074*R1074</x:f>
        <x:v>69</x:v>
      </x:c>
      <x:c r="U1074" s="93" t="n">
        <x:f>T1074*S1074</x:f>
        <x:v>0</x:v>
      </x:c>
      <x:c r="V1074" s="93" t="str">
        <x:f>PROPER(TRIM('Raw Sales'!L1074))</x:f>
        <x:v>Completed</x:v>
      </x:c>
      <x:c r="W1074" s="93" t="n">
        <x:f>IF(V1074="Returned",0,T1074-U1074)</x:f>
        <x:v>69</x:v>
      </x:c>
      <x:c r="X1074" s="93" t="n">
        <x:f>IF(V1074="Returned",Q1074*R1074*10%,Q1074*R1074)</x:f>
        <x:v>36</x:v>
      </x:c>
      <x:c r="Y1074" s="93" t="n">
        <x:f>W1074-X1074</x:f>
        <x:v>33</x:v>
      </x:c>
      <x:c r="Z1074" s="94" t="n">
        <x:f>IFERROR(Y1074/W1074,0)</x:f>
        <x:v>0.4782608695652174</x:v>
      </x:c>
      <x:c r="AA1074" s="84" t="str">
        <x:f>PROPER(TRIM('Raw Sales'!M1074))</x:f>
        <x:v>Credit Card</x:v>
      </x:c>
      <x:c r="AB1074" s="84" t="str">
        <x:f>PROPER(TRIM('Raw Sales'!N1074))</x:f>
        <x:v>Noah Reed</x:v>
      </x:c>
      <x:c r="AC1074" s="85" t="n">
        <x:f>'Raw Sales'!O1074</x:f>
        <x:v>45649</x:v>
      </x:c>
      <x:c r="AD1074" s="84" t="n">
        <x:f>AC1074-B1074</x:f>
        <x:v>3</x:v>
      </x:c>
      <x:c r="AE1074" s="84" t="str">
        <x:f>IF(COUNTIF($A$5:A1074,A1074)&gt;1,"Duplicate","Keep")</x:f>
        <x:v>Keep</x:v>
      </x:c>
      <x:c r="AF1074" s="84" t="str">
        <x:f>IF(OR(R1074&lt;=0,AC1074&lt;B1074,H1074="Unknown",M1074="Unknown Product"),"Review","Valid")</x:f>
        <x:v>Valid</x:v>
      </x:c>
      <x:c r="AG1074" s="84" t="n">
        <x:f>IF(AND(AE1074="Keep",AF1074="Valid"),1,0)</x:f>
        <x:v>1</x:v>
      </x:c>
      <x:c r="AH1074" s="84" t="n">
        <x:f>IF(AND(AG1074=1,OR('Dashboard'!$B$4="All",I1074='Dashboard'!$B$4),OR('Dashboard'!$E$4="All",N1074='Dashboard'!$E$4),OR('Dashboard'!$H$4="All",K1074='Dashboard'!$H$4),OR('Dashboard'!$K$4="All",C1074='Dashboard'!$K$4)),1,0)</x:f>
        <x:v>1</x:v>
      </x:c>
      <x:c r="AI1074" s="84" t="n">
        <x:f>IF(AND(AG1074=1,OR('Dashboard'!$B$4="All",I1074='Dashboard'!$B$4),OR('Dashboard'!$E$4="All",N1074='Dashboard'!$E$4),OR('Dashboard'!$H$4="All",K1074='Dashboard'!$H$4)),1,0)</x:f>
        <x:v>1</x:v>
      </x:c>
    </x:row>
    <x:row r="1075">
      <x:c r="A1075" s="84" t="str">
        <x:f>'Raw Sales'!A1075</x:f>
        <x:v>ORD-2024-00132</x:v>
      </x:c>
      <x:c r="B1075" s="85" t="n">
        <x:f>'Raw Sales'!B1075</x:f>
        <x:v>45646</x:v>
      </x:c>
      <x:c r="C1075" s="84" t="n">
        <x:f>YEAR(B1075)</x:f>
        <x:v>2024</x:v>
      </x:c>
      <x:c r="D1075" s="91" t="n">
        <x:f>DATE(YEAR(B1075),MONTH(B1075),1)</x:f>
        <x:v>45627</x:v>
      </x:c>
      <x:c r="E1075" s="84" t="str">
        <x:f>TEXT(B1075,"mmm")</x:f>
        <x:v>Dec</x:v>
      </x:c>
      <x:c r="F1075" s="84" t="str">
        <x:f>'Raw Sales'!C1075</x:f>
        <x:v>CUST-0110</x:v>
      </x:c>
      <x:c r="G1075" s="84" t="str">
        <x:f>PROPER(TRIM('Raw Sales'!D1075))</x:f>
        <x:v>Chloe Hall</x:v>
      </x:c>
      <x:c r="H1075" s="84" t="str">
        <x:f>IF(TRIM('Raw Sales'!E1075)="","Unknown",PROPER(TRIM('Raw Sales'!E1075)))</x:f>
        <x:v>Corporate</x:v>
      </x:c>
      <x:c r="I1075" s="84" t="str">
        <x:f>PROPER(TRIM('Raw Sales'!F1075))</x:f>
        <x:v>Southeast</x:v>
      </x:c>
      <x:c r="J1075" s="84" t="str">
        <x:f>PROPER(TRIM('Raw Sales'!G1075))</x:f>
        <x:v>Atlanta</x:v>
      </x:c>
      <x:c r="K1075" s="84" t="str">
        <x:f>PROPER(TRIM('Raw Sales'!H1075))</x:f>
        <x:v>Retail Store</x:v>
      </x:c>
      <x:c r="L1075" s="84" t="str">
        <x:f>'Raw Sales'!I1075</x:f>
        <x:v>ELEC-006</x:v>
      </x:c>
      <x:c r="M1075" s="84" t="str">
        <x:f>IFERROR(VLOOKUP(L1075,'Reference Data'!$A$5:$F$40,2,FALSE),"Unknown Product")</x:f>
        <x:v>Portable SSD</x:v>
      </x:c>
      <x:c r="N1075" s="84" t="str">
        <x:f>IFERROR(VLOOKUP(L1075,'Reference Data'!$A$5:$F$40,3,FALSE),"Unknown")</x:f>
        <x:v>Electronics</x:v>
      </x:c>
      <x:c r="O1075" s="84" t="str">
        <x:f>IFERROR(VLOOKUP(L1075,'Reference Data'!$A$5:$F$40,4,FALSE),"Unknown")</x:f>
        <x:v>Storage</x:v>
      </x:c>
      <x:c r="P1075" s="92" t="n">
        <x:f>IFERROR(VLOOKUP(L1075,'Reference Data'!$A$5:$F$40,5,FALSE),0)</x:f>
        <x:v>129</x:v>
      </x:c>
      <x:c r="Q1075" s="92" t="n">
        <x:f>IFERROR(VLOOKUP(L1075,'Reference Data'!$A$5:$F$40,6,FALSE),0)</x:f>
        <x:v>75</x:v>
      </x:c>
      <x:c r="R1075" s="84" t="n">
        <x:f>'Raw Sales'!J1075</x:f>
        <x:v>3</x:v>
      </x:c>
      <x:c r="S1075" s="87" t="n">
        <x:f>'Raw Sales'!K1075</x:f>
        <x:v>0.1</x:v>
      </x:c>
      <x:c r="T1075" s="93" t="n">
        <x:f>P1075*R1075</x:f>
        <x:v>387</x:v>
      </x:c>
      <x:c r="U1075" s="93" t="n">
        <x:f>T1075*S1075</x:f>
        <x:v>38.7</x:v>
      </x:c>
      <x:c r="V1075" s="93" t="str">
        <x:f>PROPER(TRIM('Raw Sales'!L1075))</x:f>
        <x:v>Completed</x:v>
      </x:c>
      <x:c r="W1075" s="93" t="n">
        <x:f>IF(V1075="Returned",0,T1075-U1075)</x:f>
        <x:v>348.3</x:v>
      </x:c>
      <x:c r="X1075" s="93" t="n">
        <x:f>IF(V1075="Returned",Q1075*R1075*10%,Q1075*R1075)</x:f>
        <x:v>225</x:v>
      </x:c>
      <x:c r="Y1075" s="93" t="n">
        <x:f>W1075-X1075</x:f>
        <x:v>123.30000000000001</x:v>
      </x:c>
      <x:c r="Z1075" s="94" t="n">
        <x:f>IFERROR(Y1075/W1075,0)</x:f>
        <x:v>0.35400516795865633</x:v>
      </x:c>
      <x:c r="AA1075" s="84" t="str">
        <x:f>PROPER(TRIM('Raw Sales'!M1075))</x:f>
        <x:v>Cash</x:v>
      </x:c>
      <x:c r="AB1075" s="84" t="str">
        <x:f>PROPER(TRIM('Raw Sales'!N1075))</x:f>
        <x:v>Ava Mitchell</x:v>
      </x:c>
      <x:c r="AC1075" s="85" t="n">
        <x:f>'Raw Sales'!O1075</x:f>
        <x:v>45646</x:v>
      </x:c>
      <x:c r="AD1075" s="84" t="n">
        <x:f>AC1075-B1075</x:f>
        <x:v>0</x:v>
      </x:c>
      <x:c r="AE1075" s="84" t="str">
        <x:f>IF(COUNTIF($A$5:A1075,A1075)&gt;1,"Duplicate","Keep")</x:f>
        <x:v>Keep</x:v>
      </x:c>
      <x:c r="AF1075" s="84" t="str">
        <x:f>IF(OR(R1075&lt;=0,AC1075&lt;B1075,H1075="Unknown",M1075="Unknown Product"),"Review","Valid")</x:f>
        <x:v>Valid</x:v>
      </x:c>
      <x:c r="AG1075" s="84" t="n">
        <x:f>IF(AND(AE1075="Keep",AF1075="Valid"),1,0)</x:f>
        <x:v>1</x:v>
      </x:c>
      <x:c r="AH1075" s="84" t="n">
        <x:f>IF(AND(AG1075=1,OR('Dashboard'!$B$4="All",I1075='Dashboard'!$B$4),OR('Dashboard'!$E$4="All",N1075='Dashboard'!$E$4),OR('Dashboard'!$H$4="All",K1075='Dashboard'!$H$4),OR('Dashboard'!$K$4="All",C1075='Dashboard'!$K$4)),1,0)</x:f>
        <x:v>1</x:v>
      </x:c>
      <x:c r="AI1075" s="84" t="n">
        <x:f>IF(AND(AG1075=1,OR('Dashboard'!$B$4="All",I1075='Dashboard'!$B$4),OR('Dashboard'!$E$4="All",N1075='Dashboard'!$E$4),OR('Dashboard'!$H$4="All",K1075='Dashboard'!$H$4)),1,0)</x:f>
        <x:v>1</x:v>
      </x:c>
    </x:row>
    <x:row r="1076">
      <x:c r="A1076" s="84" t="str">
        <x:f>'Raw Sales'!A1076</x:f>
        <x:v>ORD-2024-00670</x:v>
      </x:c>
      <x:c r="B1076" s="85" t="n">
        <x:f>'Raw Sales'!B1076</x:f>
        <x:v>45646</x:v>
      </x:c>
      <x:c r="C1076" s="84" t="n">
        <x:f>YEAR(B1076)</x:f>
        <x:v>2024</x:v>
      </x:c>
      <x:c r="D1076" s="91" t="n">
        <x:f>DATE(YEAR(B1076),MONTH(B1076),1)</x:f>
        <x:v>45627</x:v>
      </x:c>
      <x:c r="E1076" s="84" t="str">
        <x:f>TEXT(B1076,"mmm")</x:f>
        <x:v>Dec</x:v>
      </x:c>
      <x:c r="F1076" s="84" t="str">
        <x:f>'Raw Sales'!C1076</x:f>
        <x:v>CUST-0116</x:v>
      </x:c>
      <x:c r="G1076" s="84" t="str">
        <x:f>PROPER(TRIM('Raw Sales'!D1076))</x:f>
        <x:v>Amelia Khan</x:v>
      </x:c>
      <x:c r="H1076" s="84" t="str">
        <x:f>IF(TRIM('Raw Sales'!E1076)="","Unknown",PROPER(TRIM('Raw Sales'!E1076)))</x:f>
        <x:v>Consumer</x:v>
      </x:c>
      <x:c r="I1076" s="84" t="str">
        <x:f>PROPER(TRIM('Raw Sales'!F1076))</x:f>
        <x:v>Midwest</x:v>
      </x:c>
      <x:c r="J1076" s="84" t="str">
        <x:f>PROPER(TRIM('Raw Sales'!G1076))</x:f>
        <x:v>Minneapolis</x:v>
      </x:c>
      <x:c r="K1076" s="84" t="str">
        <x:f>PROPER(TRIM('Raw Sales'!H1076))</x:f>
        <x:v>Retail Store</x:v>
      </x:c>
      <x:c r="L1076" s="84" t="str">
        <x:f>'Raw Sales'!I1076</x:f>
        <x:v>ELEC-006</x:v>
      </x:c>
      <x:c r="M1076" s="84" t="str">
        <x:f>IFERROR(VLOOKUP(L1076,'Reference Data'!$A$5:$F$40,2,FALSE),"Unknown Product")</x:f>
        <x:v>Portable SSD</x:v>
      </x:c>
      <x:c r="N1076" s="84" t="str">
        <x:f>IFERROR(VLOOKUP(L1076,'Reference Data'!$A$5:$F$40,3,FALSE),"Unknown")</x:f>
        <x:v>Electronics</x:v>
      </x:c>
      <x:c r="O1076" s="84" t="str">
        <x:f>IFERROR(VLOOKUP(L1076,'Reference Data'!$A$5:$F$40,4,FALSE),"Unknown")</x:f>
        <x:v>Storage</x:v>
      </x:c>
      <x:c r="P1076" s="92" t="n">
        <x:f>IFERROR(VLOOKUP(L1076,'Reference Data'!$A$5:$F$40,5,FALSE),0)</x:f>
        <x:v>129</x:v>
      </x:c>
      <x:c r="Q1076" s="92" t="n">
        <x:f>IFERROR(VLOOKUP(L1076,'Reference Data'!$A$5:$F$40,6,FALSE),0)</x:f>
        <x:v>75</x:v>
      </x:c>
      <x:c r="R1076" s="84" t="n">
        <x:f>'Raw Sales'!J1076</x:f>
        <x:v>3</x:v>
      </x:c>
      <x:c r="S1076" s="87" t="n">
        <x:f>'Raw Sales'!K1076</x:f>
        <x:v>0.15</x:v>
      </x:c>
      <x:c r="T1076" s="93" t="n">
        <x:f>P1076*R1076</x:f>
        <x:v>387</x:v>
      </x:c>
      <x:c r="U1076" s="93" t="n">
        <x:f>T1076*S1076</x:f>
        <x:v>58.05</x:v>
      </x:c>
      <x:c r="V1076" s="93" t="str">
        <x:f>PROPER(TRIM('Raw Sales'!L1076))</x:f>
        <x:v>Completed</x:v>
      </x:c>
      <x:c r="W1076" s="93" t="n">
        <x:f>IF(V1076="Returned",0,T1076-U1076)</x:f>
        <x:v>328.95</x:v>
      </x:c>
      <x:c r="X1076" s="93" t="n">
        <x:f>IF(V1076="Returned",Q1076*R1076*10%,Q1076*R1076)</x:f>
        <x:v>225</x:v>
      </x:c>
      <x:c r="Y1076" s="93" t="n">
        <x:f>W1076-X1076</x:f>
        <x:v>103.94999999999999</x:v>
      </x:c>
      <x:c r="Z1076" s="94" t="n">
        <x:f>IFERROR(Y1076/W1076,0)</x:f>
        <x:v>0.3160054719562243</x:v>
      </x:c>
      <x:c r="AA1076" s="84" t="str">
        <x:f>PROPER(TRIM('Raw Sales'!M1076))</x:f>
        <x:v>Debit Card</x:v>
      </x:c>
      <x:c r="AB1076" s="84" t="str">
        <x:f>PROPER(TRIM('Raw Sales'!N1076))</x:f>
        <x:v>Lucas Grant</x:v>
      </x:c>
      <x:c r="AC1076" s="85" t="n">
        <x:f>'Raw Sales'!O1076</x:f>
        <x:v>45647</x:v>
      </x:c>
      <x:c r="AD1076" s="84" t="n">
        <x:f>AC1076-B1076</x:f>
        <x:v>1</x:v>
      </x:c>
      <x:c r="AE1076" s="84" t="str">
        <x:f>IF(COUNTIF($A$5:A1076,A1076)&gt;1,"Duplicate","Keep")</x:f>
        <x:v>Keep</x:v>
      </x:c>
      <x:c r="AF1076" s="84" t="str">
        <x:f>IF(OR(R1076&lt;=0,AC1076&lt;B1076,H1076="Unknown",M1076="Unknown Product"),"Review","Valid")</x:f>
        <x:v>Valid</x:v>
      </x:c>
      <x:c r="AG1076" s="84" t="n">
        <x:f>IF(AND(AE1076="Keep",AF1076="Valid"),1,0)</x:f>
        <x:v>1</x:v>
      </x:c>
      <x:c r="AH1076" s="84" t="n">
        <x:f>IF(AND(AG1076=1,OR('Dashboard'!$B$4="All",I1076='Dashboard'!$B$4),OR('Dashboard'!$E$4="All",N1076='Dashboard'!$E$4),OR('Dashboard'!$H$4="All",K1076='Dashboard'!$H$4),OR('Dashboard'!$K$4="All",C1076='Dashboard'!$K$4)),1,0)</x:f>
        <x:v>1</x:v>
      </x:c>
      <x:c r="AI1076" s="84" t="n">
        <x:f>IF(AND(AG1076=1,OR('Dashboard'!$B$4="All",I1076='Dashboard'!$B$4),OR('Dashboard'!$E$4="All",N1076='Dashboard'!$E$4),OR('Dashboard'!$H$4="All",K1076='Dashboard'!$H$4)),1,0)</x:f>
        <x:v>1</x:v>
      </x:c>
    </x:row>
    <x:row r="1077">
      <x:c r="A1077" s="84" t="str">
        <x:f>'Raw Sales'!A1077</x:f>
        <x:v>ORD-2024-01095</x:v>
      </x:c>
      <x:c r="B1077" s="85" t="n">
        <x:f>'Raw Sales'!B1077</x:f>
        <x:v>45646</x:v>
      </x:c>
      <x:c r="C1077" s="84" t="n">
        <x:f>YEAR(B1077)</x:f>
        <x:v>2024</x:v>
      </x:c>
      <x:c r="D1077" s="91" t="n">
        <x:f>DATE(YEAR(B1077),MONTH(B1077),1)</x:f>
        <x:v>45627</x:v>
      </x:c>
      <x:c r="E1077" s="84" t="str">
        <x:f>TEXT(B1077,"mmm")</x:f>
        <x:v>Dec</x:v>
      </x:c>
      <x:c r="F1077" s="84" t="str">
        <x:f>'Raw Sales'!C1077</x:f>
        <x:v>CUST-0023</x:v>
      </x:c>
      <x:c r="G1077" s="84" t="str">
        <x:f>PROPER(TRIM('Raw Sales'!D1077))</x:f>
        <x:v>Layla Nelson</x:v>
      </x:c>
      <x:c r="H1077" s="84" t="str">
        <x:f>IF(TRIM('Raw Sales'!E1077)="","Unknown",PROPER(TRIM('Raw Sales'!E1077)))</x:f>
        <x:v>Consumer</x:v>
      </x:c>
      <x:c r="I1077" s="84" t="str">
        <x:f>PROPER(TRIM('Raw Sales'!F1077))</x:f>
        <x:v>Northeast</x:v>
      </x:c>
      <x:c r="J1077" s="84" t="str">
        <x:f>PROPER(TRIM('Raw Sales'!G1077))</x:f>
        <x:v>New York</x:v>
      </x:c>
      <x:c r="K1077" s="84" t="str">
        <x:f>PROPER(TRIM('Raw Sales'!H1077))</x:f>
        <x:v>Online</x:v>
      </x:c>
      <x:c r="L1077" s="84" t="str">
        <x:f>'Raw Sales'!I1077</x:f>
        <x:v>HOME-006</x:v>
      </x:c>
      <x:c r="M1077" s="84" t="str">
        <x:f>IFERROR(VLOOKUP(L1077,'Reference Data'!$A$5:$F$40,2,FALSE),"Unknown Product")</x:f>
        <x:v>Food Storage Set</x:v>
      </x:c>
      <x:c r="N1077" s="84" t="str">
        <x:f>IFERROR(VLOOKUP(L1077,'Reference Data'!$A$5:$F$40,3,FALSE),"Unknown")</x:f>
        <x:v>Home &amp; Kitchen</x:v>
      </x:c>
      <x:c r="O1077" s="84" t="str">
        <x:f>IFERROR(VLOOKUP(L1077,'Reference Data'!$A$5:$F$40,4,FALSE),"Unknown")</x:f>
        <x:v>Kitchenware</x:v>
      </x:c>
      <x:c r="P1077" s="92" t="n">
        <x:f>IFERROR(VLOOKUP(L1077,'Reference Data'!$A$5:$F$40,5,FALSE),0)</x:f>
        <x:v>34</x:v>
      </x:c>
      <x:c r="Q1077" s="92" t="n">
        <x:f>IFERROR(VLOOKUP(L1077,'Reference Data'!$A$5:$F$40,6,FALSE),0)</x:f>
        <x:v>15</x:v>
      </x:c>
      <x:c r="R1077" s="84" t="n">
        <x:f>'Raw Sales'!J1077</x:f>
        <x:v>2</x:v>
      </x:c>
      <x:c r="S1077" s="87" t="n">
        <x:f>'Raw Sales'!K1077</x:f>
        <x:v>0.2</x:v>
      </x:c>
      <x:c r="T1077" s="93" t="n">
        <x:f>P1077*R1077</x:f>
        <x:v>68</x:v>
      </x:c>
      <x:c r="U1077" s="93" t="n">
        <x:f>T1077*S1077</x:f>
        <x:v>13.600000000000001</x:v>
      </x:c>
      <x:c r="V1077" s="93" t="str">
        <x:f>PROPER(TRIM('Raw Sales'!L1077))</x:f>
        <x:v>Completed</x:v>
      </x:c>
      <x:c r="W1077" s="93" t="n">
        <x:f>IF(V1077="Returned",0,T1077-U1077)</x:f>
        <x:v>54.4</x:v>
      </x:c>
      <x:c r="X1077" s="93" t="n">
        <x:f>IF(V1077="Returned",Q1077*R1077*10%,Q1077*R1077)</x:f>
        <x:v>30</x:v>
      </x:c>
      <x:c r="Y1077" s="93" t="n">
        <x:f>W1077-X1077</x:f>
        <x:v>24.4</x:v>
      </x:c>
      <x:c r="Z1077" s="94" t="n">
        <x:f>IFERROR(Y1077/W1077,0)</x:f>
        <x:v>0.44852941176470584</x:v>
      </x:c>
      <x:c r="AA1077" s="84" t="str">
        <x:f>PROPER(TRIM('Raw Sales'!M1077))</x:f>
        <x:v>Debit Card</x:v>
      </x:c>
      <x:c r="AB1077" s="84" t="str">
        <x:f>PROPER(TRIM('Raw Sales'!N1077))</x:f>
        <x:v>Maya Brooks</x:v>
      </x:c>
      <x:c r="AC1077" s="85" t="n">
        <x:f>'Raw Sales'!O1077</x:f>
        <x:v>45649</x:v>
      </x:c>
      <x:c r="AD1077" s="84" t="n">
        <x:f>AC1077-B1077</x:f>
        <x:v>3</x:v>
      </x:c>
      <x:c r="AE1077" s="84" t="str">
        <x:f>IF(COUNTIF($A$5:A1077,A1077)&gt;1,"Duplicate","Keep")</x:f>
        <x:v>Keep</x:v>
      </x:c>
      <x:c r="AF1077" s="84" t="str">
        <x:f>IF(OR(R1077&lt;=0,AC1077&lt;B1077,H1077="Unknown",M1077="Unknown Product"),"Review","Valid")</x:f>
        <x:v>Valid</x:v>
      </x:c>
      <x:c r="AG1077" s="84" t="n">
        <x:f>IF(AND(AE1077="Keep",AF1077="Valid"),1,0)</x:f>
        <x:v>1</x:v>
      </x:c>
      <x:c r="AH1077" s="84" t="n">
        <x:f>IF(AND(AG1077=1,OR('Dashboard'!$B$4="All",I1077='Dashboard'!$B$4),OR('Dashboard'!$E$4="All",N1077='Dashboard'!$E$4),OR('Dashboard'!$H$4="All",K1077='Dashboard'!$H$4),OR('Dashboard'!$K$4="All",C1077='Dashboard'!$K$4)),1,0)</x:f>
        <x:v>1</x:v>
      </x:c>
      <x:c r="AI1077" s="84" t="n">
        <x:f>IF(AND(AG1077=1,OR('Dashboard'!$B$4="All",I1077='Dashboard'!$B$4),OR('Dashboard'!$E$4="All",N1077='Dashboard'!$E$4),OR('Dashboard'!$H$4="All",K1077='Dashboard'!$H$4)),1,0)</x:f>
        <x:v>1</x:v>
      </x:c>
    </x:row>
    <x:row r="1078">
      <x:c r="A1078" s="84" t="str">
        <x:f>'Raw Sales'!A1078</x:f>
        <x:v>ORD-2024-01955</x:v>
      </x:c>
      <x:c r="B1078" s="85" t="n">
        <x:f>'Raw Sales'!B1078</x:f>
        <x:v>45646</x:v>
      </x:c>
      <x:c r="C1078" s="84" t="n">
        <x:f>YEAR(B1078)</x:f>
        <x:v>2024</x:v>
      </x:c>
      <x:c r="D1078" s="91" t="n">
        <x:f>DATE(YEAR(B1078),MONTH(B1078),1)</x:f>
        <x:v>45627</x:v>
      </x:c>
      <x:c r="E1078" s="84" t="str">
        <x:f>TEXT(B1078,"mmm")</x:f>
        <x:v>Dec</x:v>
      </x:c>
      <x:c r="F1078" s="84" t="str">
        <x:f>'Raw Sales'!C1078</x:f>
        <x:v>CUST-0380</x:v>
      </x:c>
      <x:c r="G1078" s="84" t="str">
        <x:f>PROPER(TRIM('Raw Sales'!D1078))</x:f>
        <x:v>Caleb Patel</x:v>
      </x:c>
      <x:c r="H1078" s="84" t="str">
        <x:f>IF(TRIM('Raw Sales'!E1078)="","Unknown",PROPER(TRIM('Raw Sales'!E1078)))</x:f>
        <x:v>Consumer</x:v>
      </x:c>
      <x:c r="I1078" s="84" t="str">
        <x:f>PROPER(TRIM('Raw Sales'!F1078))</x:f>
        <x:v>Southeast</x:v>
      </x:c>
      <x:c r="J1078" s="84" t="str">
        <x:f>PROPER(TRIM('Raw Sales'!G1078))</x:f>
        <x:v>Nashville</x:v>
      </x:c>
      <x:c r="K1078" s="84" t="str">
        <x:f>PROPER(TRIM('Raw Sales'!H1078))</x:f>
        <x:v>Marketplace</x:v>
      </x:c>
      <x:c r="L1078" s="84" t="str">
        <x:f>'Raw Sales'!I1078</x:f>
        <x:v>HOME-002</x:v>
      </x:c>
      <x:c r="M1078" s="84" t="str">
        <x:f>IFERROR(VLOOKUP(L1078,'Reference Data'!$A$5:$F$40,2,FALSE),"Unknown Product")</x:f>
        <x:v>Electric Kettle</x:v>
      </x:c>
      <x:c r="N1078" s="84" t="str">
        <x:f>IFERROR(VLOOKUP(L1078,'Reference Data'!$A$5:$F$40,3,FALSE),"Unknown")</x:f>
        <x:v>Home &amp; Kitchen</x:v>
      </x:c>
      <x:c r="O1078" s="84" t="str">
        <x:f>IFERROR(VLOOKUP(L1078,'Reference Data'!$A$5:$F$40,4,FALSE),"Unknown")</x:f>
        <x:v>Small Appliances</x:v>
      </x:c>
      <x:c r="P1078" s="92" t="n">
        <x:f>IFERROR(VLOOKUP(L1078,'Reference Data'!$A$5:$F$40,5,FALSE),0)</x:f>
        <x:v>49</x:v>
      </x:c>
      <x:c r="Q1078" s="92" t="n">
        <x:f>IFERROR(VLOOKUP(L1078,'Reference Data'!$A$5:$F$40,6,FALSE),0)</x:f>
        <x:v>23</x:v>
      </x:c>
      <x:c r="R1078" s="84" t="n">
        <x:f>'Raw Sales'!J1078</x:f>
        <x:v>1</x:v>
      </x:c>
      <x:c r="S1078" s="87" t="n">
        <x:f>'Raw Sales'!K1078</x:f>
        <x:v>0.2</x:v>
      </x:c>
      <x:c r="T1078" s="93" t="n">
        <x:f>P1078*R1078</x:f>
        <x:v>49</x:v>
      </x:c>
      <x:c r="U1078" s="93" t="n">
        <x:f>T1078*S1078</x:f>
        <x:v>9.8</x:v>
      </x:c>
      <x:c r="V1078" s="93" t="str">
        <x:f>PROPER(TRIM('Raw Sales'!L1078))</x:f>
        <x:v>Completed</x:v>
      </x:c>
      <x:c r="W1078" s="93" t="n">
        <x:f>IF(V1078="Returned",0,T1078-U1078)</x:f>
        <x:v>39.2</x:v>
      </x:c>
      <x:c r="X1078" s="93" t="n">
        <x:f>IF(V1078="Returned",Q1078*R1078*10%,Q1078*R1078)</x:f>
        <x:v>23</x:v>
      </x:c>
      <x:c r="Y1078" s="93" t="n">
        <x:f>W1078-X1078</x:f>
        <x:v>16.200000000000003</x:v>
      </x:c>
      <x:c r="Z1078" s="94" t="n">
        <x:f>IFERROR(Y1078/W1078,0)</x:f>
        <x:v>0.41326530612244905</x:v>
      </x:c>
      <x:c r="AA1078" s="84" t="str">
        <x:f>PROPER(TRIM('Raw Sales'!M1078))</x:f>
        <x:v>Credit Card</x:v>
      </x:c>
      <x:c r="AB1078" s="84" t="str">
        <x:f>PROPER(TRIM('Raw Sales'!N1078))</x:f>
        <x:v>Ava Mitchell</x:v>
      </x:c>
      <x:c r="AC1078" s="85" t="n">
        <x:f>'Raw Sales'!O1078</x:f>
        <x:v>45652</x:v>
      </x:c>
      <x:c r="AD1078" s="84" t="n">
        <x:f>AC1078-B1078</x:f>
        <x:v>6</x:v>
      </x:c>
      <x:c r="AE1078" s="84" t="str">
        <x:f>IF(COUNTIF($A$5:A1078,A1078)&gt;1,"Duplicate","Keep")</x:f>
        <x:v>Keep</x:v>
      </x:c>
      <x:c r="AF1078" s="84" t="str">
        <x:f>IF(OR(R1078&lt;=0,AC1078&lt;B1078,H1078="Unknown",M1078="Unknown Product"),"Review","Valid")</x:f>
        <x:v>Valid</x:v>
      </x:c>
      <x:c r="AG1078" s="84" t="n">
        <x:f>IF(AND(AE1078="Keep",AF1078="Valid"),1,0)</x:f>
        <x:v>1</x:v>
      </x:c>
      <x:c r="AH1078" s="84" t="n">
        <x:f>IF(AND(AG1078=1,OR('Dashboard'!$B$4="All",I1078='Dashboard'!$B$4),OR('Dashboard'!$E$4="All",N1078='Dashboard'!$E$4),OR('Dashboard'!$H$4="All",K1078='Dashboard'!$H$4),OR('Dashboard'!$K$4="All",C1078='Dashboard'!$K$4)),1,0)</x:f>
        <x:v>1</x:v>
      </x:c>
      <x:c r="AI1078" s="84" t="n">
        <x:f>IF(AND(AG1078=1,OR('Dashboard'!$B$4="All",I1078='Dashboard'!$B$4),OR('Dashboard'!$E$4="All",N1078='Dashboard'!$E$4),OR('Dashboard'!$H$4="All",K1078='Dashboard'!$H$4)),1,0)</x:f>
        <x:v>1</x:v>
      </x:c>
    </x:row>
    <x:row r="1079">
      <x:c r="A1079" s="84" t="str">
        <x:f>'Raw Sales'!A1079</x:f>
        <x:v>ORD-2024-00258</x:v>
      </x:c>
      <x:c r="B1079" s="85" t="n">
        <x:f>'Raw Sales'!B1079</x:f>
        <x:v>45647</x:v>
      </x:c>
      <x:c r="C1079" s="84" t="n">
        <x:f>YEAR(B1079)</x:f>
        <x:v>2024</x:v>
      </x:c>
      <x:c r="D1079" s="91" t="n">
        <x:f>DATE(YEAR(B1079),MONTH(B1079),1)</x:f>
        <x:v>45627</x:v>
      </x:c>
      <x:c r="E1079" s="84" t="str">
        <x:f>TEXT(B1079,"mmm")</x:f>
        <x:v>Dec</x:v>
      </x:c>
      <x:c r="F1079" s="84" t="str">
        <x:f>'Raw Sales'!C1079</x:f>
        <x:v>CUST-0556</x:v>
      </x:c>
      <x:c r="G1079" s="84" t="str">
        <x:f>PROPER(TRIM('Raw Sales'!D1079))</x:f>
        <x:v>Grace Khan</x:v>
      </x:c>
      <x:c r="H1079" s="84" t="str">
        <x:f>IF(TRIM('Raw Sales'!E1079)="","Unknown",PROPER(TRIM('Raw Sales'!E1079)))</x:f>
        <x:v>Corporate</x:v>
      </x:c>
      <x:c r="I1079" s="84" t="str">
        <x:f>PROPER(TRIM('Raw Sales'!F1079))</x:f>
        <x:v>West</x:v>
      </x:c>
      <x:c r="J1079" s="84" t="str">
        <x:f>PROPER(TRIM('Raw Sales'!G1079))</x:f>
        <x:v>Los Angeles</x:v>
      </x:c>
      <x:c r="K1079" s="84" t="str">
        <x:f>PROPER(TRIM('Raw Sales'!H1079))</x:f>
        <x:v>Online</x:v>
      </x:c>
      <x:c r="L1079" s="84" t="str">
        <x:f>'Raw Sales'!I1079</x:f>
        <x:v>ELEC-005</x:v>
      </x:c>
      <x:c r="M1079" s="84" t="str">
        <x:f>IFERROR(VLOOKUP(L1079,'Reference Data'!$A$5:$F$40,2,FALSE),"Unknown Product")</x:f>
        <x:v>HD Webcam</x:v>
      </x:c>
      <x:c r="N1079" s="84" t="str">
        <x:f>IFERROR(VLOOKUP(L1079,'Reference Data'!$A$5:$F$40,3,FALSE),"Unknown")</x:f>
        <x:v>Electronics</x:v>
      </x:c>
      <x:c r="O1079" s="84" t="str">
        <x:f>IFERROR(VLOOKUP(L1079,'Reference Data'!$A$5:$F$40,4,FALSE),"Unknown")</x:f>
        <x:v>Computer Accessories</x:v>
      </x:c>
      <x:c r="P1079" s="92" t="n">
        <x:f>IFERROR(VLOOKUP(L1079,'Reference Data'!$A$5:$F$40,5,FALSE),0)</x:f>
        <x:v>79</x:v>
      </x:c>
      <x:c r="Q1079" s="92" t="n">
        <x:f>IFERROR(VLOOKUP(L1079,'Reference Data'!$A$5:$F$40,6,FALSE),0)</x:f>
        <x:v>37</x:v>
      </x:c>
      <x:c r="R1079" s="84" t="n">
        <x:f>'Raw Sales'!J1079</x:f>
        <x:v>8</x:v>
      </x:c>
      <x:c r="S1079" s="87" t="n">
        <x:f>'Raw Sales'!K1079</x:f>
        <x:v>0.1</x:v>
      </x:c>
      <x:c r="T1079" s="93" t="n">
        <x:f>P1079*R1079</x:f>
        <x:v>632</x:v>
      </x:c>
      <x:c r="U1079" s="93" t="n">
        <x:f>T1079*S1079</x:f>
        <x:v>63.2</x:v>
      </x:c>
      <x:c r="V1079" s="93" t="str">
        <x:f>PROPER(TRIM('Raw Sales'!L1079))</x:f>
        <x:v>Returned</x:v>
      </x:c>
      <x:c r="W1079" s="93" t="n">
        <x:f>IF(V1079="Returned",0,T1079-U1079)</x:f>
        <x:v>0</x:v>
      </x:c>
      <x:c r="X1079" s="93" t="n">
        <x:f>IF(V1079="Returned",Q1079*R1079*10%,Q1079*R1079)</x:f>
        <x:v>29.6</x:v>
      </x:c>
      <x:c r="Y1079" s="93" t="n">
        <x:f>W1079-X1079</x:f>
        <x:v>-29.6</x:v>
      </x:c>
      <x:c r="Z1079" s="94" t="n">
        <x:f>IFERROR(Y1079/W1079,0)</x:f>
        <x:v>0</x:v>
      </x:c>
      <x:c r="AA1079" s="84" t="str">
        <x:f>PROPER(TRIM('Raw Sales'!M1079))</x:f>
        <x:v>Credit Card</x:v>
      </x:c>
      <x:c r="AB1079" s="84" t="str">
        <x:f>PROPER(TRIM('Raw Sales'!N1079))</x:f>
        <x:v>Leo Martinez</x:v>
      </x:c>
      <x:c r="AC1079" s="85" t="n">
        <x:f>'Raw Sales'!O1079</x:f>
        <x:v>45652</x:v>
      </x:c>
      <x:c r="AD1079" s="84" t="n">
        <x:f>AC1079-B1079</x:f>
        <x:v>5</x:v>
      </x:c>
      <x:c r="AE1079" s="84" t="str">
        <x:f>IF(COUNTIF($A$5:A1079,A1079)&gt;1,"Duplicate","Keep")</x:f>
        <x:v>Keep</x:v>
      </x:c>
      <x:c r="AF1079" s="84" t="str">
        <x:f>IF(OR(R1079&lt;=0,AC1079&lt;B1079,H1079="Unknown",M1079="Unknown Product"),"Review","Valid")</x:f>
        <x:v>Valid</x:v>
      </x:c>
      <x:c r="AG1079" s="84" t="n">
        <x:f>IF(AND(AE1079="Keep",AF1079="Valid"),1,0)</x:f>
        <x:v>1</x:v>
      </x:c>
      <x:c r="AH1079" s="84" t="n">
        <x:f>IF(AND(AG1079=1,OR('Dashboard'!$B$4="All",I1079='Dashboard'!$B$4),OR('Dashboard'!$E$4="All",N1079='Dashboard'!$E$4),OR('Dashboard'!$H$4="All",K1079='Dashboard'!$H$4),OR('Dashboard'!$K$4="All",C1079='Dashboard'!$K$4)),1,0)</x:f>
        <x:v>1</x:v>
      </x:c>
      <x:c r="AI1079" s="84" t="n">
        <x:f>IF(AND(AG1079=1,OR('Dashboard'!$B$4="All",I1079='Dashboard'!$B$4),OR('Dashboard'!$E$4="All",N1079='Dashboard'!$E$4),OR('Dashboard'!$H$4="All",K1079='Dashboard'!$H$4)),1,0)</x:f>
        <x:v>1</x:v>
      </x:c>
    </x:row>
    <x:row r="1080">
      <x:c r="A1080" s="84" t="str">
        <x:f>'Raw Sales'!A1080</x:f>
        <x:v>ORD-2024-00398</x:v>
      </x:c>
      <x:c r="B1080" s="85" t="n">
        <x:f>'Raw Sales'!B1080</x:f>
        <x:v>45647</x:v>
      </x:c>
      <x:c r="C1080" s="84" t="n">
        <x:f>YEAR(B1080)</x:f>
        <x:v>2024</x:v>
      </x:c>
      <x:c r="D1080" s="91" t="n">
        <x:f>DATE(YEAR(B1080),MONTH(B1080),1)</x:f>
        <x:v>45627</x:v>
      </x:c>
      <x:c r="E1080" s="84" t="str">
        <x:f>TEXT(B1080,"mmm")</x:f>
        <x:v>Dec</x:v>
      </x:c>
      <x:c r="F1080" s="84" t="str">
        <x:f>'Raw Sales'!C1080</x:f>
        <x:v>CUST-0260</x:v>
      </x:c>
      <x:c r="G1080" s="84" t="str">
        <x:f>PROPER(TRIM('Raw Sales'!D1080))</x:f>
        <x:v>Caleb Ortiz</x:v>
      </x:c>
      <x:c r="H1080" s="84" t="str">
        <x:f>IF(TRIM('Raw Sales'!E1080)="","Unknown",PROPER(TRIM('Raw Sales'!E1080)))</x:f>
        <x:v>Corporate</x:v>
      </x:c>
      <x:c r="I1080" s="84" t="str">
        <x:f>PROPER(TRIM('Raw Sales'!F1080))</x:f>
        <x:v>West</x:v>
      </x:c>
      <x:c r="J1080" s="84" t="str">
        <x:f>PROPER(TRIM('Raw Sales'!G1080))</x:f>
        <x:v>Los Angeles</x:v>
      </x:c>
      <x:c r="K1080" s="84" t="str">
        <x:f>PROPER(TRIM('Raw Sales'!H1080))</x:f>
        <x:v>Marketplace</x:v>
      </x:c>
      <x:c r="L1080" s="84" t="str">
        <x:f>'Raw Sales'!I1080</x:f>
        <x:v>ELEC-004</x:v>
      </x:c>
      <x:c r="M1080" s="84" t="str">
        <x:f>IFERROR(VLOOKUP(L1080,'Reference Data'!$A$5:$F$40,2,FALSE),"Unknown Product")</x:f>
        <x:v>Power Bank</x:v>
      </x:c>
      <x:c r="N1080" s="84" t="str">
        <x:f>IFERROR(VLOOKUP(L1080,'Reference Data'!$A$5:$F$40,3,FALSE),"Unknown")</x:f>
        <x:v>Electronics</x:v>
      </x:c>
      <x:c r="O1080" s="84" t="str">
        <x:f>IFERROR(VLOOKUP(L1080,'Reference Data'!$A$5:$F$40,4,FALSE),"Unknown")</x:f>
        <x:v>Mobile Accessories</x:v>
      </x:c>
      <x:c r="P1080" s="92" t="n">
        <x:f>IFERROR(VLOOKUP(L1080,'Reference Data'!$A$5:$F$40,5,FALSE),0)</x:f>
        <x:v>39</x:v>
      </x:c>
      <x:c r="Q1080" s="92" t="n">
        <x:f>IFERROR(VLOOKUP(L1080,'Reference Data'!$A$5:$F$40,6,FALSE),0)</x:f>
        <x:v>18</x:v>
      </x:c>
      <x:c r="R1080" s="84" t="n">
        <x:f>'Raw Sales'!J1080</x:f>
        <x:v>2</x:v>
      </x:c>
      <x:c r="S1080" s="87" t="n">
        <x:f>'Raw Sales'!K1080</x:f>
        <x:v>0.05</x:v>
      </x:c>
      <x:c r="T1080" s="93" t="n">
        <x:f>P1080*R1080</x:f>
        <x:v>78</x:v>
      </x:c>
      <x:c r="U1080" s="93" t="n">
        <x:f>T1080*S1080</x:f>
        <x:v>3.9000000000000004</x:v>
      </x:c>
      <x:c r="V1080" s="93" t="str">
        <x:f>PROPER(TRIM('Raw Sales'!L1080))</x:f>
        <x:v>Completed</x:v>
      </x:c>
      <x:c r="W1080" s="93" t="n">
        <x:f>IF(V1080="Returned",0,T1080-U1080)</x:f>
        <x:v>74.1</x:v>
      </x:c>
      <x:c r="X1080" s="93" t="n">
        <x:f>IF(V1080="Returned",Q1080*R1080*10%,Q1080*R1080)</x:f>
        <x:v>36</x:v>
      </x:c>
      <x:c r="Y1080" s="93" t="n">
        <x:f>W1080-X1080</x:f>
        <x:v>38.099999999999994</x:v>
      </x:c>
      <x:c r="Z1080" s="94" t="n">
        <x:f>IFERROR(Y1080/W1080,0)</x:f>
        <x:v>0.5141700404858299</x:v>
      </x:c>
      <x:c r="AA1080" s="84" t="str">
        <x:f>PROPER(TRIM('Raw Sales'!M1080))</x:f>
        <x:v>Credit Card</x:v>
      </x:c>
      <x:c r="AB1080" s="84" t="str">
        <x:f>PROPER(TRIM('Raw Sales'!N1080))</x:f>
        <x:v>Leo Martinez</x:v>
      </x:c>
      <x:c r="AC1080" s="85" t="n">
        <x:f>'Raw Sales'!O1080</x:f>
        <x:v>45655</x:v>
      </x:c>
      <x:c r="AD1080" s="84" t="n">
        <x:f>AC1080-B1080</x:f>
        <x:v>8</x:v>
      </x:c>
      <x:c r="AE1080" s="84" t="str">
        <x:f>IF(COUNTIF($A$5:A1080,A1080)&gt;1,"Duplicate","Keep")</x:f>
        <x:v>Keep</x:v>
      </x:c>
      <x:c r="AF1080" s="84" t="str">
        <x:f>IF(OR(R1080&lt;=0,AC1080&lt;B1080,H1080="Unknown",M1080="Unknown Product"),"Review","Valid")</x:f>
        <x:v>Valid</x:v>
      </x:c>
      <x:c r="AG1080" s="84" t="n">
        <x:f>IF(AND(AE1080="Keep",AF1080="Valid"),1,0)</x:f>
        <x:v>1</x:v>
      </x:c>
      <x:c r="AH1080" s="84" t="n">
        <x:f>IF(AND(AG1080=1,OR('Dashboard'!$B$4="All",I1080='Dashboard'!$B$4),OR('Dashboard'!$E$4="All",N1080='Dashboard'!$E$4),OR('Dashboard'!$H$4="All",K1080='Dashboard'!$H$4),OR('Dashboard'!$K$4="All",C1080='Dashboard'!$K$4)),1,0)</x:f>
        <x:v>1</x:v>
      </x:c>
      <x:c r="AI1080" s="84" t="n">
        <x:f>IF(AND(AG1080=1,OR('Dashboard'!$B$4="All",I1080='Dashboard'!$B$4),OR('Dashboard'!$E$4="All",N1080='Dashboard'!$E$4),OR('Dashboard'!$H$4="All",K1080='Dashboard'!$H$4)),1,0)</x:f>
        <x:v>1</x:v>
      </x:c>
    </x:row>
    <x:row r="1081">
      <x:c r="A1081" s="84" t="str">
        <x:f>'Raw Sales'!A1081</x:f>
        <x:v>ORD-2024-01072</x:v>
      </x:c>
      <x:c r="B1081" s="85" t="n">
        <x:f>'Raw Sales'!B1081</x:f>
        <x:v>45647</x:v>
      </x:c>
      <x:c r="C1081" s="84" t="n">
        <x:f>YEAR(B1081)</x:f>
        <x:v>2024</x:v>
      </x:c>
      <x:c r="D1081" s="91" t="n">
        <x:f>DATE(YEAR(B1081),MONTH(B1081),1)</x:f>
        <x:v>45627</x:v>
      </x:c>
      <x:c r="E1081" s="84" t="str">
        <x:f>TEXT(B1081,"mmm")</x:f>
        <x:v>Dec</x:v>
      </x:c>
      <x:c r="F1081" s="84" t="str">
        <x:f>'Raw Sales'!C1081</x:f>
        <x:v>CUST-0608</x:v>
      </x:c>
      <x:c r="G1081" s="84" t="str">
        <x:f>PROPER(TRIM('Raw Sales'!D1081))</x:f>
        <x:v>Victoria Patel</x:v>
      </x:c>
      <x:c r="H1081" s="84" t="str">
        <x:f>IF(TRIM('Raw Sales'!E1081)="","Unknown",PROPER(TRIM('Raw Sales'!E1081)))</x:f>
        <x:v>Consumer</x:v>
      </x:c>
      <x:c r="I1081" s="84" t="str">
        <x:f>PROPER(TRIM('Raw Sales'!F1081))</x:f>
        <x:v>Midwest</x:v>
      </x:c>
      <x:c r="J1081" s="84" t="str">
        <x:f>PROPER(TRIM('Raw Sales'!G1081))</x:f>
        <x:v>Chicago</x:v>
      </x:c>
      <x:c r="K1081" s="84" t="str">
        <x:f>PROPER(TRIM('Raw Sales'!H1081))</x:f>
        <x:v>Online</x:v>
      </x:c>
      <x:c r="L1081" s="84" t="str">
        <x:f>'Raw Sales'!I1081</x:f>
        <x:v>ELEC-002</x:v>
      </x:c>
      <x:c r="M1081" s="84" t="str">
        <x:f>IFERROR(VLOOKUP(L1081,'Reference Data'!$A$5:$F$40,2,FALSE),"Unknown Product")</x:f>
        <x:v>Smartwatch</x:v>
      </x:c>
      <x:c r="N1081" s="84" t="str">
        <x:f>IFERROR(VLOOKUP(L1081,'Reference Data'!$A$5:$F$40,3,FALSE),"Unknown")</x:f>
        <x:v>Electronics</x:v>
      </x:c>
      <x:c r="O1081" s="84" t="str">
        <x:f>IFERROR(VLOOKUP(L1081,'Reference Data'!$A$5:$F$40,4,FALSE),"Unknown")</x:f>
        <x:v>Wearables</x:v>
      </x:c>
      <x:c r="P1081" s="92" t="n">
        <x:f>IFERROR(VLOOKUP(L1081,'Reference Data'!$A$5:$F$40,5,FALSE),0)</x:f>
        <x:v>159</x:v>
      </x:c>
      <x:c r="Q1081" s="92" t="n">
        <x:f>IFERROR(VLOOKUP(L1081,'Reference Data'!$A$5:$F$40,6,FALSE),0)</x:f>
        <x:v>92</x:v>
      </x:c>
      <x:c r="R1081" s="84" t="n">
        <x:f>'Raw Sales'!J1081</x:f>
        <x:v>1</x:v>
      </x:c>
      <x:c r="S1081" s="87" t="n">
        <x:f>'Raw Sales'!K1081</x:f>
        <x:v>0.1</x:v>
      </x:c>
      <x:c r="T1081" s="93" t="n">
        <x:f>P1081*R1081</x:f>
        <x:v>159</x:v>
      </x:c>
      <x:c r="U1081" s="93" t="n">
        <x:f>T1081*S1081</x:f>
        <x:v>15.9</x:v>
      </x:c>
      <x:c r="V1081" s="93" t="str">
        <x:f>PROPER(TRIM('Raw Sales'!L1081))</x:f>
        <x:v>Completed</x:v>
      </x:c>
      <x:c r="W1081" s="93" t="n">
        <x:f>IF(V1081="Returned",0,T1081-U1081)</x:f>
        <x:v>143.1</x:v>
      </x:c>
      <x:c r="X1081" s="93" t="n">
        <x:f>IF(V1081="Returned",Q1081*R1081*10%,Q1081*R1081)</x:f>
        <x:v>92</x:v>
      </x:c>
      <x:c r="Y1081" s="93" t="n">
        <x:f>W1081-X1081</x:f>
        <x:v>51.099999999999994</x:v>
      </x:c>
      <x:c r="Z1081" s="94" t="n">
        <x:f>IFERROR(Y1081/W1081,0)</x:f>
        <x:v>0.35709294199860236</x:v>
      </x:c>
      <x:c r="AA1081" s="84" t="str">
        <x:f>PROPER(TRIM('Raw Sales'!M1081))</x:f>
        <x:v>Paypal</x:v>
      </x:c>
      <x:c r="AB1081" s="84" t="str">
        <x:f>PROPER(TRIM('Raw Sales'!N1081))</x:f>
        <x:v>Lucas Grant</x:v>
      </x:c>
      <x:c r="AC1081" s="85" t="n">
        <x:f>'Raw Sales'!O1081</x:f>
        <x:v>45650</x:v>
      </x:c>
      <x:c r="AD1081" s="84" t="n">
        <x:f>AC1081-B1081</x:f>
        <x:v>3</x:v>
      </x:c>
      <x:c r="AE1081" s="84" t="str">
        <x:f>IF(COUNTIF($A$5:A1081,A1081)&gt;1,"Duplicate","Keep")</x:f>
        <x:v>Keep</x:v>
      </x:c>
      <x:c r="AF1081" s="84" t="str">
        <x:f>IF(OR(R1081&lt;=0,AC1081&lt;B1081,H1081="Unknown",M1081="Unknown Product"),"Review","Valid")</x:f>
        <x:v>Valid</x:v>
      </x:c>
      <x:c r="AG1081" s="84" t="n">
        <x:f>IF(AND(AE1081="Keep",AF1081="Valid"),1,0)</x:f>
        <x:v>1</x:v>
      </x:c>
      <x:c r="AH1081" s="84" t="n">
        <x:f>IF(AND(AG1081=1,OR('Dashboard'!$B$4="All",I1081='Dashboard'!$B$4),OR('Dashboard'!$E$4="All",N1081='Dashboard'!$E$4),OR('Dashboard'!$H$4="All",K1081='Dashboard'!$H$4),OR('Dashboard'!$K$4="All",C1081='Dashboard'!$K$4)),1,0)</x:f>
        <x:v>1</x:v>
      </x:c>
      <x:c r="AI1081" s="84" t="n">
        <x:f>IF(AND(AG1081=1,OR('Dashboard'!$B$4="All",I1081='Dashboard'!$B$4),OR('Dashboard'!$E$4="All",N1081='Dashboard'!$E$4),OR('Dashboard'!$H$4="All",K1081='Dashboard'!$H$4)),1,0)</x:f>
        <x:v>1</x:v>
      </x:c>
    </x:row>
    <x:row r="1082">
      <x:c r="A1082" s="84" t="str">
        <x:f>'Raw Sales'!A1082</x:f>
        <x:v>ORD-2024-01168</x:v>
      </x:c>
      <x:c r="B1082" s="85" t="n">
        <x:f>'Raw Sales'!B1082</x:f>
        <x:v>45647</x:v>
      </x:c>
      <x:c r="C1082" s="84" t="n">
        <x:f>YEAR(B1082)</x:f>
        <x:v>2024</x:v>
      </x:c>
      <x:c r="D1082" s="91" t="n">
        <x:f>DATE(YEAR(B1082),MONTH(B1082),1)</x:f>
        <x:v>45627</x:v>
      </x:c>
      <x:c r="E1082" s="84" t="str">
        <x:f>TEXT(B1082,"mmm")</x:f>
        <x:v>Dec</x:v>
      </x:c>
      <x:c r="F1082" s="84" t="str">
        <x:f>'Raw Sales'!C1082</x:f>
        <x:v>CUST-0344</x:v>
      </x:c>
      <x:c r="G1082" s="84" t="str">
        <x:f>PROPER(TRIM('Raw Sales'!D1082))</x:f>
        <x:v>Elena Quinn</x:v>
      </x:c>
      <x:c r="H1082" s="84" t="str">
        <x:f>IF(TRIM('Raw Sales'!E1082)="","Unknown",PROPER(TRIM('Raw Sales'!E1082)))</x:f>
        <x:v>Small Business</x:v>
      </x:c>
      <x:c r="I1082" s="84" t="str">
        <x:f>PROPER(TRIM('Raw Sales'!F1082))</x:f>
        <x:v>Northeast</x:v>
      </x:c>
      <x:c r="J1082" s="84" t="str">
        <x:f>PROPER(TRIM('Raw Sales'!G1082))</x:f>
        <x:v>Newark</x:v>
      </x:c>
      <x:c r="K1082" s="84" t="str">
        <x:f>PROPER(TRIM('Raw Sales'!H1082))</x:f>
        <x:v>Online</x:v>
      </x:c>
      <x:c r="L1082" s="84" t="str">
        <x:f>'Raw Sales'!I1082</x:f>
        <x:v>ACCS-006</x:v>
      </x:c>
      <x:c r="M1082" s="84" t="str">
        <x:f>IFERROR(VLOOKUP(L1082,'Reference Data'!$A$5:$F$40,2,FALSE),"Unknown Product")</x:f>
        <x:v>Insulated Lunch Bag</x:v>
      </x:c>
      <x:c r="N1082" s="84" t="str">
        <x:f>IFERROR(VLOOKUP(L1082,'Reference Data'!$A$5:$F$40,3,FALSE),"Unknown")</x:f>
        <x:v>Accessories</x:v>
      </x:c>
      <x:c r="O1082" s="84" t="str">
        <x:f>IFERROR(VLOOKUP(L1082,'Reference Data'!$A$5:$F$40,4,FALSE),"Unknown")</x:f>
        <x:v>Bags</x:v>
      </x:c>
      <x:c r="P1082" s="92" t="n">
        <x:f>IFERROR(VLOOKUP(L1082,'Reference Data'!$A$5:$F$40,5,FALSE),0)</x:f>
        <x:v>29</x:v>
      </x:c>
      <x:c r="Q1082" s="92" t="n">
        <x:f>IFERROR(VLOOKUP(L1082,'Reference Data'!$A$5:$F$40,6,FALSE),0)</x:f>
        <x:v>10</x:v>
      </x:c>
      <x:c r="R1082" s="84" t="n">
        <x:f>'Raw Sales'!J1082</x:f>
        <x:v>1</x:v>
      </x:c>
      <x:c r="S1082" s="87" t="n">
        <x:f>'Raw Sales'!K1082</x:f>
        <x:v>0.15</x:v>
      </x:c>
      <x:c r="T1082" s="93" t="n">
        <x:f>P1082*R1082</x:f>
        <x:v>29</x:v>
      </x:c>
      <x:c r="U1082" s="93" t="n">
        <x:f>T1082*S1082</x:f>
        <x:v>4.35</x:v>
      </x:c>
      <x:c r="V1082" s="93" t="str">
        <x:f>PROPER(TRIM('Raw Sales'!L1082))</x:f>
        <x:v>Completed</x:v>
      </x:c>
      <x:c r="W1082" s="93" t="n">
        <x:f>IF(V1082="Returned",0,T1082-U1082)</x:f>
        <x:v>24.65</x:v>
      </x:c>
      <x:c r="X1082" s="93" t="n">
        <x:f>IF(V1082="Returned",Q1082*R1082*10%,Q1082*R1082)</x:f>
        <x:v>10</x:v>
      </x:c>
      <x:c r="Y1082" s="93" t="n">
        <x:f>W1082-X1082</x:f>
        <x:v>14.649999999999999</x:v>
      </x:c>
      <x:c r="Z1082" s="94" t="n">
        <x:f>IFERROR(Y1082/W1082,0)</x:f>
        <x:v>0.5943204868154158</x:v>
      </x:c>
      <x:c r="AA1082" s="84" t="str">
        <x:f>PROPER(TRIM('Raw Sales'!M1082))</x:f>
        <x:v>Credit Card</x:v>
      </x:c>
      <x:c r="AB1082" s="84" t="str">
        <x:f>PROPER(TRIM('Raw Sales'!N1082))</x:f>
        <x:v>Maya Brooks</x:v>
      </x:c>
      <x:c r="AC1082" s="85" t="n">
        <x:f>'Raw Sales'!O1082</x:f>
        <x:v>45652</x:v>
      </x:c>
      <x:c r="AD1082" s="84" t="n">
        <x:f>AC1082-B1082</x:f>
        <x:v>5</x:v>
      </x:c>
      <x:c r="AE1082" s="84" t="str">
        <x:f>IF(COUNTIF($A$5:A1082,A1082)&gt;1,"Duplicate","Keep")</x:f>
        <x:v>Keep</x:v>
      </x:c>
      <x:c r="AF1082" s="84" t="str">
        <x:f>IF(OR(R1082&lt;=0,AC1082&lt;B1082,H1082="Unknown",M1082="Unknown Product"),"Review","Valid")</x:f>
        <x:v>Valid</x:v>
      </x:c>
      <x:c r="AG1082" s="84" t="n">
        <x:f>IF(AND(AE1082="Keep",AF1082="Valid"),1,0)</x:f>
        <x:v>1</x:v>
      </x:c>
      <x:c r="AH1082" s="84" t="n">
        <x:f>IF(AND(AG1082=1,OR('Dashboard'!$B$4="All",I1082='Dashboard'!$B$4),OR('Dashboard'!$E$4="All",N1082='Dashboard'!$E$4),OR('Dashboard'!$H$4="All",K1082='Dashboard'!$H$4),OR('Dashboard'!$K$4="All",C1082='Dashboard'!$K$4)),1,0)</x:f>
        <x:v>1</x:v>
      </x:c>
      <x:c r="AI1082" s="84" t="n">
        <x:f>IF(AND(AG1082=1,OR('Dashboard'!$B$4="All",I1082='Dashboard'!$B$4),OR('Dashboard'!$E$4="All",N1082='Dashboard'!$E$4),OR('Dashboard'!$H$4="All",K1082='Dashboard'!$H$4)),1,0)</x:f>
        <x:v>1</x:v>
      </x:c>
    </x:row>
    <x:row r="1083">
      <x:c r="A1083" s="84" t="str">
        <x:f>'Raw Sales'!A1083</x:f>
        <x:v>ORD-2024-01558</x:v>
      </x:c>
      <x:c r="B1083" s="85" t="n">
        <x:f>'Raw Sales'!B1083</x:f>
        <x:v>45647</x:v>
      </x:c>
      <x:c r="C1083" s="84" t="n">
        <x:f>YEAR(B1083)</x:f>
        <x:v>2024</x:v>
      </x:c>
      <x:c r="D1083" s="91" t="n">
        <x:f>DATE(YEAR(B1083),MONTH(B1083),1)</x:f>
        <x:v>45627</x:v>
      </x:c>
      <x:c r="E1083" s="84" t="str">
        <x:f>TEXT(B1083,"mmm")</x:f>
        <x:v>Dec</x:v>
      </x:c>
      <x:c r="F1083" s="84" t="str">
        <x:f>'Raw Sales'!C1083</x:f>
        <x:v>CUST-0008</x:v>
      </x:c>
      <x:c r="G1083" s="84" t="str">
        <x:f>PROPER(TRIM('Raw Sales'!D1083))</x:f>
        <x:v>Nathan Foster</x:v>
      </x:c>
      <x:c r="H1083" s="84" t="str">
        <x:f>IF(TRIM('Raw Sales'!E1083)="","Unknown",PROPER(TRIM('Raw Sales'!E1083)))</x:f>
        <x:v>Consumer</x:v>
      </x:c>
      <x:c r="I1083" s="84" t="str">
        <x:f>PROPER(TRIM('Raw Sales'!F1083))</x:f>
        <x:v>West</x:v>
      </x:c>
      <x:c r="J1083" s="84" t="str">
        <x:f>PROPER(TRIM('Raw Sales'!G1083))</x:f>
        <x:v>Denver</x:v>
      </x:c>
      <x:c r="K1083" s="84" t="str">
        <x:f>PROPER(TRIM('Raw Sales'!H1083))</x:f>
        <x:v>Retail Store</x:v>
      </x:c>
      <x:c r="L1083" s="84" t="str">
        <x:f>'Raw Sales'!I1083</x:f>
        <x:v>CARE-005</x:v>
      </x:c>
      <x:c r="M1083" s="84" t="str">
        <x:f>IFERROR(VLOOKUP(L1083,'Reference Data'!$A$5:$F$40,2,FALSE),"Unknown Product")</x:f>
        <x:v>Skin Care Starter Kit</x:v>
      </x:c>
      <x:c r="N1083" s="84" t="str">
        <x:f>IFERROR(VLOOKUP(L1083,'Reference Data'!$A$5:$F$40,3,FALSE),"Unknown")</x:f>
        <x:v>Personal Care</x:v>
      </x:c>
      <x:c r="O1083" s="84" t="str">
        <x:f>IFERROR(VLOOKUP(L1083,'Reference Data'!$A$5:$F$40,4,FALSE),"Unknown")</x:f>
        <x:v>Skin Care</x:v>
      </x:c>
      <x:c r="P1083" s="92" t="n">
        <x:f>IFERROR(VLOOKUP(L1083,'Reference Data'!$A$5:$F$40,5,FALSE),0)</x:f>
        <x:v>58</x:v>
      </x:c>
      <x:c r="Q1083" s="92" t="n">
        <x:f>IFERROR(VLOOKUP(L1083,'Reference Data'!$A$5:$F$40,6,FALSE),0)</x:f>
        <x:v>24</x:v>
      </x:c>
      <x:c r="R1083" s="84" t="n">
        <x:f>'Raw Sales'!J1083</x:f>
        <x:v>1</x:v>
      </x:c>
      <x:c r="S1083" s="87" t="n">
        <x:f>'Raw Sales'!K1083</x:f>
        <x:v>0.15</x:v>
      </x:c>
      <x:c r="T1083" s="93" t="n">
        <x:f>P1083*R1083</x:f>
        <x:v>58</x:v>
      </x:c>
      <x:c r="U1083" s="93" t="n">
        <x:f>T1083*S1083</x:f>
        <x:v>8.7</x:v>
      </x:c>
      <x:c r="V1083" s="93" t="str">
        <x:f>PROPER(TRIM('Raw Sales'!L1083))</x:f>
        <x:v>Completed</x:v>
      </x:c>
      <x:c r="W1083" s="93" t="n">
        <x:f>IF(V1083="Returned",0,T1083-U1083)</x:f>
        <x:v>49.3</x:v>
      </x:c>
      <x:c r="X1083" s="93" t="n">
        <x:f>IF(V1083="Returned",Q1083*R1083*10%,Q1083*R1083)</x:f>
        <x:v>24</x:v>
      </x:c>
      <x:c r="Y1083" s="93" t="n">
        <x:f>W1083-X1083</x:f>
        <x:v>25.299999999999997</x:v>
      </x:c>
      <x:c r="Z1083" s="94" t="n">
        <x:f>IFERROR(Y1083/W1083,0)</x:f>
        <x:v>0.513184584178499</x:v>
      </x:c>
      <x:c r="AA1083" s="84" t="str">
        <x:f>PROPER(TRIM('Raw Sales'!M1083))</x:f>
        <x:v>Debit Card</x:v>
      </x:c>
      <x:c r="AB1083" s="84" t="str">
        <x:f>PROPER(TRIM('Raw Sales'!N1083))</x:f>
        <x:v>Nora Kim</x:v>
      </x:c>
      <x:c r="AC1083" s="85" t="n">
        <x:f>'Raw Sales'!O1083</x:f>
        <x:v>45648</x:v>
      </x:c>
      <x:c r="AD1083" s="84" t="n">
        <x:f>AC1083-B1083</x:f>
        <x:v>1</x:v>
      </x:c>
      <x:c r="AE1083" s="84" t="str">
        <x:f>IF(COUNTIF($A$5:A1083,A1083)&gt;1,"Duplicate","Keep")</x:f>
        <x:v>Keep</x:v>
      </x:c>
      <x:c r="AF1083" s="84" t="str">
        <x:f>IF(OR(R1083&lt;=0,AC1083&lt;B1083,H1083="Unknown",M1083="Unknown Product"),"Review","Valid")</x:f>
        <x:v>Valid</x:v>
      </x:c>
      <x:c r="AG1083" s="84" t="n">
        <x:f>IF(AND(AE1083="Keep",AF1083="Valid"),1,0)</x:f>
        <x:v>1</x:v>
      </x:c>
      <x:c r="AH1083" s="84" t="n">
        <x:f>IF(AND(AG1083=1,OR('Dashboard'!$B$4="All",I1083='Dashboard'!$B$4),OR('Dashboard'!$E$4="All",N1083='Dashboard'!$E$4),OR('Dashboard'!$H$4="All",K1083='Dashboard'!$H$4),OR('Dashboard'!$K$4="All",C1083='Dashboard'!$K$4)),1,0)</x:f>
        <x:v>1</x:v>
      </x:c>
      <x:c r="AI1083" s="84" t="n">
        <x:f>IF(AND(AG1083=1,OR('Dashboard'!$B$4="All",I1083='Dashboard'!$B$4),OR('Dashboard'!$E$4="All",N1083='Dashboard'!$E$4),OR('Dashboard'!$H$4="All",K1083='Dashboard'!$H$4)),1,0)</x:f>
        <x:v>1</x:v>
      </x:c>
    </x:row>
    <x:row r="1084">
      <x:c r="A1084" s="84" t="str">
        <x:f>'Raw Sales'!A1084</x:f>
        <x:v>ORD-2024-01676</x:v>
      </x:c>
      <x:c r="B1084" s="85" t="n">
        <x:f>'Raw Sales'!B1084</x:f>
        <x:v>45647</x:v>
      </x:c>
      <x:c r="C1084" s="84" t="n">
        <x:f>YEAR(B1084)</x:f>
        <x:v>2024</x:v>
      </x:c>
      <x:c r="D1084" s="91" t="n">
        <x:f>DATE(YEAR(B1084),MONTH(B1084),1)</x:f>
        <x:v>45627</x:v>
      </x:c>
      <x:c r="E1084" s="84" t="str">
        <x:f>TEXT(B1084,"mmm")</x:f>
        <x:v>Dec</x:v>
      </x:c>
      <x:c r="F1084" s="84" t="str">
        <x:f>'Raw Sales'!C1084</x:f>
        <x:v>CUST-0014</x:v>
      </x:c>
      <x:c r="G1084" s="84" t="str">
        <x:f>PROPER(TRIM('Raw Sales'!D1084))</x:f>
        <x:v>Jonah Irwin</x:v>
      </x:c>
      <x:c r="H1084" s="84" t="str">
        <x:f>IF(TRIM('Raw Sales'!E1084)="","Unknown",PROPER(TRIM('Raw Sales'!E1084)))</x:f>
        <x:v>Consumer</x:v>
      </x:c>
      <x:c r="I1084" s="84" t="str">
        <x:f>PROPER(TRIM('Raw Sales'!F1084))</x:f>
        <x:v>Southeast</x:v>
      </x:c>
      <x:c r="J1084" s="84" t="str">
        <x:f>PROPER(TRIM('Raw Sales'!G1084))</x:f>
        <x:v>Miami</x:v>
      </x:c>
      <x:c r="K1084" s="84" t="str">
        <x:f>PROPER(TRIM('Raw Sales'!H1084))</x:f>
        <x:v>Online</x:v>
      </x:c>
      <x:c r="L1084" s="84" t="str">
        <x:f>'Raw Sales'!I1084</x:f>
        <x:v>FITN-004</x:v>
      </x:c>
      <x:c r="M1084" s="84" t="str">
        <x:f>IFERROR(VLOOKUP(L1084,'Reference Data'!$A$5:$F$40,2,FALSE),"Unknown Product")</x:f>
        <x:v>Fitness Tracker</x:v>
      </x:c>
      <x:c r="N1084" s="84" t="str">
        <x:f>IFERROR(VLOOKUP(L1084,'Reference Data'!$A$5:$F$40,3,FALSE),"Unknown")</x:f>
        <x:v>Fitness</x:v>
      </x:c>
      <x:c r="O1084" s="84" t="str">
        <x:f>IFERROR(VLOOKUP(L1084,'Reference Data'!$A$5:$F$40,4,FALSE),"Unknown")</x:f>
        <x:v>Wearables</x:v>
      </x:c>
      <x:c r="P1084" s="92" t="n">
        <x:f>IFERROR(VLOOKUP(L1084,'Reference Data'!$A$5:$F$40,5,FALSE),0)</x:f>
        <x:v>89</x:v>
      </x:c>
      <x:c r="Q1084" s="92" t="n">
        <x:f>IFERROR(VLOOKUP(L1084,'Reference Data'!$A$5:$F$40,6,FALSE),0)</x:f>
        <x:v>44</x:v>
      </x:c>
      <x:c r="R1084" s="84" t="n">
        <x:f>'Raw Sales'!J1084</x:f>
        <x:v>3</x:v>
      </x:c>
      <x:c r="S1084" s="87" t="n">
        <x:f>'Raw Sales'!K1084</x:f>
        <x:v>0</x:v>
      </x:c>
      <x:c r="T1084" s="93" t="n">
        <x:f>P1084*R1084</x:f>
        <x:v>267</x:v>
      </x:c>
      <x:c r="U1084" s="93" t="n">
        <x:f>T1084*S1084</x:f>
        <x:v>0</x:v>
      </x:c>
      <x:c r="V1084" s="93" t="str">
        <x:f>PROPER(TRIM('Raw Sales'!L1084))</x:f>
        <x:v>Completed</x:v>
      </x:c>
      <x:c r="W1084" s="93" t="n">
        <x:f>IF(V1084="Returned",0,T1084-U1084)</x:f>
        <x:v>267</x:v>
      </x:c>
      <x:c r="X1084" s="93" t="n">
        <x:f>IF(V1084="Returned",Q1084*R1084*10%,Q1084*R1084)</x:f>
        <x:v>132</x:v>
      </x:c>
      <x:c r="Y1084" s="93" t="n">
        <x:f>W1084-X1084</x:f>
        <x:v>135</x:v>
      </x:c>
      <x:c r="Z1084" s="94" t="n">
        <x:f>IFERROR(Y1084/W1084,0)</x:f>
        <x:v>0.5056179775280899</x:v>
      </x:c>
      <x:c r="AA1084" s="84" t="str">
        <x:f>PROPER(TRIM('Raw Sales'!M1084))</x:f>
        <x:v>Credit Card</x:v>
      </x:c>
      <x:c r="AB1084" s="84" t="str">
        <x:f>PROPER(TRIM('Raw Sales'!N1084))</x:f>
        <x:v>Liam Parker</x:v>
      </x:c>
      <x:c r="AC1084" s="85" t="n">
        <x:f>'Raw Sales'!O1084</x:f>
        <x:v>45652</x:v>
      </x:c>
      <x:c r="AD1084" s="84" t="n">
        <x:f>AC1084-B1084</x:f>
        <x:v>5</x:v>
      </x:c>
      <x:c r="AE1084" s="84" t="str">
        <x:f>IF(COUNTIF($A$5:A1084,A1084)&gt;1,"Duplicate","Keep")</x:f>
        <x:v>Keep</x:v>
      </x:c>
      <x:c r="AF1084" s="84" t="str">
        <x:f>IF(OR(R1084&lt;=0,AC1084&lt;B1084,H1084="Unknown",M1084="Unknown Product"),"Review","Valid")</x:f>
        <x:v>Valid</x:v>
      </x:c>
      <x:c r="AG1084" s="84" t="n">
        <x:f>IF(AND(AE1084="Keep",AF1084="Valid"),1,0)</x:f>
        <x:v>1</x:v>
      </x:c>
      <x:c r="AH1084" s="84" t="n">
        <x:f>IF(AND(AG1084=1,OR('Dashboard'!$B$4="All",I1084='Dashboard'!$B$4),OR('Dashboard'!$E$4="All",N1084='Dashboard'!$E$4),OR('Dashboard'!$H$4="All",K1084='Dashboard'!$H$4),OR('Dashboard'!$K$4="All",C1084='Dashboard'!$K$4)),1,0)</x:f>
        <x:v>1</x:v>
      </x:c>
      <x:c r="AI1084" s="84" t="n">
        <x:f>IF(AND(AG1084=1,OR('Dashboard'!$B$4="All",I1084='Dashboard'!$B$4),OR('Dashboard'!$E$4="All",N1084='Dashboard'!$E$4),OR('Dashboard'!$H$4="All",K1084='Dashboard'!$H$4)),1,0)</x:f>
        <x:v>1</x:v>
      </x:c>
    </x:row>
    <x:row r="1085">
      <x:c r="A1085" s="84" t="str">
        <x:f>'Raw Sales'!A1085</x:f>
        <x:v>ORD-2024-02249</x:v>
      </x:c>
      <x:c r="B1085" s="85" t="n">
        <x:f>'Raw Sales'!B1085</x:f>
        <x:v>45647</x:v>
      </x:c>
      <x:c r="C1085" s="84" t="n">
        <x:f>YEAR(B1085)</x:f>
        <x:v>2024</x:v>
      </x:c>
      <x:c r="D1085" s="91" t="n">
        <x:f>DATE(YEAR(B1085),MONTH(B1085),1)</x:f>
        <x:v>45627</x:v>
      </x:c>
      <x:c r="E1085" s="84" t="str">
        <x:f>TEXT(B1085,"mmm")</x:f>
        <x:v>Dec</x:v>
      </x:c>
      <x:c r="F1085" s="84" t="str">
        <x:f>'Raw Sales'!C1085</x:f>
        <x:v>CUST-0385</x:v>
      </x:c>
      <x:c r="G1085" s="84" t="str">
        <x:f>PROPER(TRIM('Raw Sales'!D1085))</x:f>
        <x:v>Elias Garcia</x:v>
      </x:c>
      <x:c r="H1085" s="84" t="str">
        <x:f>IF(TRIM('Raw Sales'!E1085)="","Unknown",PROPER(TRIM('Raw Sales'!E1085)))</x:f>
        <x:v>Corporate</x:v>
      </x:c>
      <x:c r="I1085" s="84" t="str">
        <x:f>PROPER(TRIM('Raw Sales'!F1085))</x:f>
        <x:v>Southeast</x:v>
      </x:c>
      <x:c r="J1085" s="84" t="str">
        <x:f>PROPER(TRIM('Raw Sales'!G1085))</x:f>
        <x:v>Atlanta</x:v>
      </x:c>
      <x:c r="K1085" s="84" t="str">
        <x:f>PROPER(TRIM('Raw Sales'!H1085))</x:f>
        <x:v>Marketplace</x:v>
      </x:c>
      <x:c r="L1085" s="84" t="str">
        <x:f>'Raw Sales'!I1085</x:f>
        <x:v>ELEC-001</x:v>
      </x:c>
      <x:c r="M1085" s="84" t="str">
        <x:f>IFERROR(VLOOKUP(L1085,'Reference Data'!$A$5:$F$40,2,FALSE),"Unknown Product")</x:f>
        <x:v>Wireless Earbuds</x:v>
      </x:c>
      <x:c r="N1085" s="84" t="str">
        <x:f>IFERROR(VLOOKUP(L1085,'Reference Data'!$A$5:$F$40,3,FALSE),"Unknown")</x:f>
        <x:v>Electronics</x:v>
      </x:c>
      <x:c r="O1085" s="84" t="str">
        <x:f>IFERROR(VLOOKUP(L1085,'Reference Data'!$A$5:$F$40,4,FALSE),"Unknown")</x:f>
        <x:v>Audio</x:v>
      </x:c>
      <x:c r="P1085" s="92" t="n">
        <x:f>IFERROR(VLOOKUP(L1085,'Reference Data'!$A$5:$F$40,5,FALSE),0)</x:f>
        <x:v>69</x:v>
      </x:c>
      <x:c r="Q1085" s="92" t="n">
        <x:f>IFERROR(VLOOKUP(L1085,'Reference Data'!$A$5:$F$40,6,FALSE),0)</x:f>
        <x:v>36</x:v>
      </x:c>
      <x:c r="R1085" s="84" t="n">
        <x:f>'Raw Sales'!J1085</x:f>
        <x:v>8</x:v>
      </x:c>
      <x:c r="S1085" s="87" t="n">
        <x:f>'Raw Sales'!K1085</x:f>
        <x:v>0.05</x:v>
      </x:c>
      <x:c r="T1085" s="93" t="n">
        <x:f>P1085*R1085</x:f>
        <x:v>552</x:v>
      </x:c>
      <x:c r="U1085" s="93" t="n">
        <x:f>T1085*S1085</x:f>
        <x:v>27.6</x:v>
      </x:c>
      <x:c r="V1085" s="93" t="str">
        <x:f>PROPER(TRIM('Raw Sales'!L1085))</x:f>
        <x:v>Completed</x:v>
      </x:c>
      <x:c r="W1085" s="93" t="n">
        <x:f>IF(V1085="Returned",0,T1085-U1085)</x:f>
        <x:v>524.4</x:v>
      </x:c>
      <x:c r="X1085" s="93" t="n">
        <x:f>IF(V1085="Returned",Q1085*R1085*10%,Q1085*R1085)</x:f>
        <x:v>288</x:v>
      </x:c>
      <x:c r="Y1085" s="93" t="n">
        <x:f>W1085-X1085</x:f>
        <x:v>236.39999999999998</x:v>
      </x:c>
      <x:c r="Z1085" s="94" t="n">
        <x:f>IFERROR(Y1085/W1085,0)</x:f>
        <x:v>0.45080091533180777</x:v>
      </x:c>
      <x:c r="AA1085" s="84" t="str">
        <x:f>PROPER(TRIM('Raw Sales'!M1085))</x:f>
        <x:v>Credit Card</x:v>
      </x:c>
      <x:c r="AB1085" s="84" t="str">
        <x:f>PROPER(TRIM('Raw Sales'!N1085))</x:f>
        <x:v>Liam Parker</x:v>
      </x:c>
      <x:c r="AC1085" s="85" t="n">
        <x:f>'Raw Sales'!O1085</x:f>
        <x:v>45655</x:v>
      </x:c>
      <x:c r="AD1085" s="84" t="n">
        <x:f>AC1085-B1085</x:f>
        <x:v>8</x:v>
      </x:c>
      <x:c r="AE1085" s="84" t="str">
        <x:f>IF(COUNTIF($A$5:A1085,A1085)&gt;1,"Duplicate","Keep")</x:f>
        <x:v>Keep</x:v>
      </x:c>
      <x:c r="AF1085" s="84" t="str">
        <x:f>IF(OR(R1085&lt;=0,AC1085&lt;B1085,H1085="Unknown",M1085="Unknown Product"),"Review","Valid")</x:f>
        <x:v>Valid</x:v>
      </x:c>
      <x:c r="AG1085" s="84" t="n">
        <x:f>IF(AND(AE1085="Keep",AF1085="Valid"),1,0)</x:f>
        <x:v>1</x:v>
      </x:c>
      <x:c r="AH1085" s="84" t="n">
        <x:f>IF(AND(AG1085=1,OR('Dashboard'!$B$4="All",I1085='Dashboard'!$B$4),OR('Dashboard'!$E$4="All",N1085='Dashboard'!$E$4),OR('Dashboard'!$H$4="All",K1085='Dashboard'!$H$4),OR('Dashboard'!$K$4="All",C1085='Dashboard'!$K$4)),1,0)</x:f>
        <x:v>1</x:v>
      </x:c>
      <x:c r="AI1085" s="84" t="n">
        <x:f>IF(AND(AG1085=1,OR('Dashboard'!$B$4="All",I1085='Dashboard'!$B$4),OR('Dashboard'!$E$4="All",N1085='Dashboard'!$E$4),OR('Dashboard'!$H$4="All",K1085='Dashboard'!$H$4)),1,0)</x:f>
        <x:v>1</x:v>
      </x:c>
    </x:row>
    <x:row r="1086">
      <x:c r="A1086" s="84" t="str">
        <x:f>'Raw Sales'!A1086</x:f>
        <x:v>ORD-2024-00658</x:v>
      </x:c>
      <x:c r="B1086" s="85" t="n">
        <x:f>'Raw Sales'!B1086</x:f>
        <x:v>45648</x:v>
      </x:c>
      <x:c r="C1086" s="84" t="n">
        <x:f>YEAR(B1086)</x:f>
        <x:v>2024</x:v>
      </x:c>
      <x:c r="D1086" s="91" t="n">
        <x:f>DATE(YEAR(B1086),MONTH(B1086),1)</x:f>
        <x:v>45627</x:v>
      </x:c>
      <x:c r="E1086" s="84" t="str">
        <x:f>TEXT(B1086,"mmm")</x:f>
        <x:v>Dec</x:v>
      </x:c>
      <x:c r="F1086" s="84" t="str">
        <x:f>'Raw Sales'!C1086</x:f>
        <x:v>CUST-0111</x:v>
      </x:c>
      <x:c r="G1086" s="84" t="str">
        <x:f>PROPER(TRIM('Raw Sales'!D1086))</x:f>
        <x:v>Elias Evans</x:v>
      </x:c>
      <x:c r="H1086" s="84" t="str">
        <x:f>IF(TRIM('Raw Sales'!E1086)="","Unknown",PROPER(TRIM('Raw Sales'!E1086)))</x:f>
        <x:v>Small Business</x:v>
      </x:c>
      <x:c r="I1086" s="84" t="str">
        <x:f>PROPER(TRIM('Raw Sales'!F1086))</x:f>
        <x:v>Northeast</x:v>
      </x:c>
      <x:c r="J1086" s="84" t="str">
        <x:f>PROPER(TRIM('Raw Sales'!G1086))</x:f>
        <x:v>New York</x:v>
      </x:c>
      <x:c r="K1086" s="84" t="str">
        <x:f>PROPER(TRIM('Raw Sales'!H1086))</x:f>
        <x:v>Marketplace</x:v>
      </x:c>
      <x:c r="L1086" s="84" t="str">
        <x:f>'Raw Sales'!I1086</x:f>
        <x:v>ACCS-005</x:v>
      </x:c>
      <x:c r="M1086" s="84" t="str">
        <x:f>IFERROR(VLOOKUP(L1086,'Reference Data'!$A$5:$F$40,2,FALSE),"Unknown Product")</x:f>
        <x:v>Protective Phone Case</x:v>
      </x:c>
      <x:c r="N1086" s="84" t="str">
        <x:f>IFERROR(VLOOKUP(L1086,'Reference Data'!$A$5:$F$40,3,FALSE),"Unknown")</x:f>
        <x:v>Accessories</x:v>
      </x:c>
      <x:c r="O1086" s="84" t="str">
        <x:f>IFERROR(VLOOKUP(L1086,'Reference Data'!$A$5:$F$40,4,FALSE),"Unknown")</x:f>
        <x:v>Mobile Accessories</x:v>
      </x:c>
      <x:c r="P1086" s="92" t="n">
        <x:f>IFERROR(VLOOKUP(L1086,'Reference Data'!$A$5:$F$40,5,FALSE),0)</x:f>
        <x:v>24</x:v>
      </x:c>
      <x:c r="Q1086" s="92" t="n">
        <x:f>IFERROR(VLOOKUP(L1086,'Reference Data'!$A$5:$F$40,6,FALSE),0)</x:f>
        <x:v>5</x:v>
      </x:c>
      <x:c r="R1086" s="84" t="n">
        <x:f>'Raw Sales'!J1086</x:f>
        <x:v>1</x:v>
      </x:c>
      <x:c r="S1086" s="87" t="n">
        <x:f>'Raw Sales'!K1086</x:f>
        <x:v>0.1</x:v>
      </x:c>
      <x:c r="T1086" s="93" t="n">
        <x:f>P1086*R1086</x:f>
        <x:v>24</x:v>
      </x:c>
      <x:c r="U1086" s="93" t="n">
        <x:f>T1086*S1086</x:f>
        <x:v>2.4000000000000004</x:v>
      </x:c>
      <x:c r="V1086" s="93" t="str">
        <x:f>PROPER(TRIM('Raw Sales'!L1086))</x:f>
        <x:v>Completed</x:v>
      </x:c>
      <x:c r="W1086" s="93" t="n">
        <x:f>IF(V1086="Returned",0,T1086-U1086)</x:f>
        <x:v>21.6</x:v>
      </x:c>
      <x:c r="X1086" s="93" t="n">
        <x:f>IF(V1086="Returned",Q1086*R1086*10%,Q1086*R1086)</x:f>
        <x:v>5</x:v>
      </x:c>
      <x:c r="Y1086" s="93" t="n">
        <x:f>W1086-X1086</x:f>
        <x:v>16.6</x:v>
      </x:c>
      <x:c r="Z1086" s="94" t="n">
        <x:f>IFERROR(Y1086/W1086,0)</x:f>
        <x:v>0.7685185185185185</x:v>
      </x:c>
      <x:c r="AA1086" s="84" t="str">
        <x:f>PROPER(TRIM('Raw Sales'!M1086))</x:f>
        <x:v>Credit Card</x:v>
      </x:c>
      <x:c r="AB1086" s="84" t="str">
        <x:f>PROPER(TRIM('Raw Sales'!N1086))</x:f>
        <x:v>Ethan Cole</x:v>
      </x:c>
      <x:c r="AC1086" s="85" t="n">
        <x:f>'Raw Sales'!O1086</x:f>
        <x:v>45652</x:v>
      </x:c>
      <x:c r="AD1086" s="84" t="n">
        <x:f>AC1086-B1086</x:f>
        <x:v>4</x:v>
      </x:c>
      <x:c r="AE1086" s="84" t="str">
        <x:f>IF(COUNTIF($A$5:A1086,A1086)&gt;1,"Duplicate","Keep")</x:f>
        <x:v>Keep</x:v>
      </x:c>
      <x:c r="AF1086" s="84" t="str">
        <x:f>IF(OR(R1086&lt;=0,AC1086&lt;B1086,H1086="Unknown",M1086="Unknown Product"),"Review","Valid")</x:f>
        <x:v>Valid</x:v>
      </x:c>
      <x:c r="AG1086" s="84" t="n">
        <x:f>IF(AND(AE1086="Keep",AF1086="Valid"),1,0)</x:f>
        <x:v>1</x:v>
      </x:c>
      <x:c r="AH1086" s="84" t="n">
        <x:f>IF(AND(AG1086=1,OR('Dashboard'!$B$4="All",I1086='Dashboard'!$B$4),OR('Dashboard'!$E$4="All",N1086='Dashboard'!$E$4),OR('Dashboard'!$H$4="All",K1086='Dashboard'!$H$4),OR('Dashboard'!$K$4="All",C1086='Dashboard'!$K$4)),1,0)</x:f>
        <x:v>1</x:v>
      </x:c>
      <x:c r="AI1086" s="84" t="n">
        <x:f>IF(AND(AG1086=1,OR('Dashboard'!$B$4="All",I1086='Dashboard'!$B$4),OR('Dashboard'!$E$4="All",N1086='Dashboard'!$E$4),OR('Dashboard'!$H$4="All",K1086='Dashboard'!$H$4)),1,0)</x:f>
        <x:v>1</x:v>
      </x:c>
    </x:row>
    <x:row r="1087">
      <x:c r="A1087" s="84" t="str">
        <x:f>'Raw Sales'!A1087</x:f>
        <x:v>ORD-2024-01818</x:v>
      </x:c>
      <x:c r="B1087" s="85" t="n">
        <x:f>'Raw Sales'!B1087</x:f>
        <x:v>45648</x:v>
      </x:c>
      <x:c r="C1087" s="84" t="n">
        <x:f>YEAR(B1087)</x:f>
        <x:v>2024</x:v>
      </x:c>
      <x:c r="D1087" s="91" t="n">
        <x:f>DATE(YEAR(B1087),MONTH(B1087),1)</x:f>
        <x:v>45627</x:v>
      </x:c>
      <x:c r="E1087" s="84" t="str">
        <x:f>TEXT(B1087,"mmm")</x:f>
        <x:v>Dec</x:v>
      </x:c>
      <x:c r="F1087" s="84" t="str">
        <x:f>'Raw Sales'!C1087</x:f>
        <x:v>CUST-0350</x:v>
      </x:c>
      <x:c r="G1087" s="84" t="str">
        <x:f>PROPER(TRIM('Raw Sales'!D1087))</x:f>
        <x:v>Victoria Lewis</x:v>
      </x:c>
      <x:c r="H1087" s="84" t="str">
        <x:f>IF(TRIM('Raw Sales'!E1087)="","Unknown",PROPER(TRIM('Raw Sales'!E1087)))</x:f>
        <x:v>Consumer</x:v>
      </x:c>
      <x:c r="I1087" s="84" t="str">
        <x:f>PROPER(TRIM('Raw Sales'!F1087))</x:f>
        <x:v>Northeast</x:v>
      </x:c>
      <x:c r="J1087" s="84" t="str">
        <x:f>PROPER(TRIM('Raw Sales'!G1087))</x:f>
        <x:v>Philadelphia</x:v>
      </x:c>
      <x:c r="K1087" s="84" t="str">
        <x:f>PROPER(TRIM('Raw Sales'!H1087))</x:f>
        <x:v>Retail Store</x:v>
      </x:c>
      <x:c r="L1087" s="84" t="str">
        <x:f>'Raw Sales'!I1087</x:f>
        <x:v>OFFC-004</x:v>
      </x:c>
      <x:c r="M1087" s="84" t="str">
        <x:f>IFERROR(VLOOKUP(L1087,'Reference Data'!$A$5:$F$40,2,FALSE),"Unknown Product")</x:f>
        <x:v>Premium Notebook Pack</x:v>
      </x:c>
      <x:c r="N1087" s="84" t="str">
        <x:f>IFERROR(VLOOKUP(L1087,'Reference Data'!$A$5:$F$40,3,FALSE),"Unknown")</x:f>
        <x:v>Office</x:v>
      </x:c>
      <x:c r="O1087" s="84" t="str">
        <x:f>IFERROR(VLOOKUP(L1087,'Reference Data'!$A$5:$F$40,4,FALSE),"Unknown")</x:f>
        <x:v>Stationery</x:v>
      </x:c>
      <x:c r="P1087" s="92" t="n">
        <x:f>IFERROR(VLOOKUP(L1087,'Reference Data'!$A$5:$F$40,5,FALSE),0)</x:f>
        <x:v>18</x:v>
      </x:c>
      <x:c r="Q1087" s="92" t="n">
        <x:f>IFERROR(VLOOKUP(L1087,'Reference Data'!$A$5:$F$40,6,FALSE),0)</x:f>
        <x:v>6.5</x:v>
      </x:c>
      <x:c r="R1087" s="84" t="n">
        <x:f>'Raw Sales'!J1087</x:f>
        <x:v>1</x:v>
      </x:c>
      <x:c r="S1087" s="87" t="n">
        <x:f>'Raw Sales'!K1087</x:f>
        <x:v>0.2</x:v>
      </x:c>
      <x:c r="T1087" s="93" t="n">
        <x:f>P1087*R1087</x:f>
        <x:v>18</x:v>
      </x:c>
      <x:c r="U1087" s="93" t="n">
        <x:f>T1087*S1087</x:f>
        <x:v>3.6</x:v>
      </x:c>
      <x:c r="V1087" s="93" t="str">
        <x:f>PROPER(TRIM('Raw Sales'!L1087))</x:f>
        <x:v>Completed</x:v>
      </x:c>
      <x:c r="W1087" s="93" t="n">
        <x:f>IF(V1087="Returned",0,T1087-U1087)</x:f>
        <x:v>14.4</x:v>
      </x:c>
      <x:c r="X1087" s="93" t="n">
        <x:f>IF(V1087="Returned",Q1087*R1087*10%,Q1087*R1087)</x:f>
        <x:v>6.5</x:v>
      </x:c>
      <x:c r="Y1087" s="93" t="n">
        <x:f>W1087-X1087</x:f>
        <x:v>7.9</x:v>
      </x:c>
      <x:c r="Z1087" s="94" t="n">
        <x:f>IFERROR(Y1087/W1087,0)</x:f>
        <x:v>0.5486111111111112</x:v>
      </x:c>
      <x:c r="AA1087" s="84" t="str">
        <x:f>PROPER(TRIM('Raw Sales'!M1087))</x:f>
        <x:v>Cash</x:v>
      </x:c>
      <x:c r="AB1087" s="84" t="str">
        <x:f>PROPER(TRIM('Raw Sales'!N1087))</x:f>
        <x:v>Ethan Cole</x:v>
      </x:c>
      <x:c r="AC1087" s="85" t="n">
        <x:f>'Raw Sales'!O1087</x:f>
        <x:v>45648</x:v>
      </x:c>
      <x:c r="AD1087" s="84" t="n">
        <x:f>AC1087-B1087</x:f>
        <x:v>0</x:v>
      </x:c>
      <x:c r="AE1087" s="84" t="str">
        <x:f>IF(COUNTIF($A$5:A1087,A1087)&gt;1,"Duplicate","Keep")</x:f>
        <x:v>Keep</x:v>
      </x:c>
      <x:c r="AF1087" s="84" t="str">
        <x:f>IF(OR(R1087&lt;=0,AC1087&lt;B1087,H1087="Unknown",M1087="Unknown Product"),"Review","Valid")</x:f>
        <x:v>Valid</x:v>
      </x:c>
      <x:c r="AG1087" s="84" t="n">
        <x:f>IF(AND(AE1087="Keep",AF1087="Valid"),1,0)</x:f>
        <x:v>1</x:v>
      </x:c>
      <x:c r="AH1087" s="84" t="n">
        <x:f>IF(AND(AG1087=1,OR('Dashboard'!$B$4="All",I1087='Dashboard'!$B$4),OR('Dashboard'!$E$4="All",N1087='Dashboard'!$E$4),OR('Dashboard'!$H$4="All",K1087='Dashboard'!$H$4),OR('Dashboard'!$K$4="All",C1087='Dashboard'!$K$4)),1,0)</x:f>
        <x:v>1</x:v>
      </x:c>
      <x:c r="AI1087" s="84" t="n">
        <x:f>IF(AND(AG1087=1,OR('Dashboard'!$B$4="All",I1087='Dashboard'!$B$4),OR('Dashboard'!$E$4="All",N1087='Dashboard'!$E$4),OR('Dashboard'!$H$4="All",K1087='Dashboard'!$H$4)),1,0)</x:f>
        <x:v>1</x:v>
      </x:c>
    </x:row>
    <x:row r="1088">
      <x:c r="A1088" s="84" t="str">
        <x:f>'Raw Sales'!A1088</x:f>
        <x:v>ORD-2024-02324</x:v>
      </x:c>
      <x:c r="B1088" s="85" t="n">
        <x:f>'Raw Sales'!B1088</x:f>
        <x:v>45648</x:v>
      </x:c>
      <x:c r="C1088" s="84" t="n">
        <x:f>YEAR(B1088)</x:f>
        <x:v>2024</x:v>
      </x:c>
      <x:c r="D1088" s="91" t="n">
        <x:f>DATE(YEAR(B1088),MONTH(B1088),1)</x:f>
        <x:v>45627</x:v>
      </x:c>
      <x:c r="E1088" s="84" t="str">
        <x:f>TEXT(B1088,"mmm")</x:f>
        <x:v>Dec</x:v>
      </x:c>
      <x:c r="F1088" s="84" t="str">
        <x:f>'Raw Sales'!C1088</x:f>
        <x:v>CUST-0178</x:v>
      </x:c>
      <x:c r="G1088" s="84" t="str">
        <x:f>PROPER(TRIM('Raw Sales'!D1088))</x:f>
        <x:v>Jasmine Baker</x:v>
      </x:c>
      <x:c r="H1088" s="84" t="str">
        <x:f>IF(TRIM('Raw Sales'!E1088)="","Unknown",PROPER(TRIM('Raw Sales'!E1088)))</x:f>
        <x:v>Corporate</x:v>
      </x:c>
      <x:c r="I1088" s="84" t="str">
        <x:f>PROPER(TRIM('Raw Sales'!F1088))</x:f>
        <x:v>Northeast</x:v>
      </x:c>
      <x:c r="J1088" s="84" t="str">
        <x:f>PROPER(TRIM('Raw Sales'!G1088))</x:f>
        <x:v>New York</x:v>
      </x:c>
      <x:c r="K1088" s="84" t="str">
        <x:f>PROPER(TRIM('Raw Sales'!H1088))</x:f>
        <x:v>Retail Store</x:v>
      </x:c>
      <x:c r="L1088" s="84" t="str">
        <x:f>'Raw Sales'!I1088</x:f>
        <x:v>ELEC-004</x:v>
      </x:c>
      <x:c r="M1088" s="84" t="str">
        <x:f>IFERROR(VLOOKUP(L1088,'Reference Data'!$A$5:$F$40,2,FALSE),"Unknown Product")</x:f>
        <x:v>Power Bank</x:v>
      </x:c>
      <x:c r="N1088" s="84" t="str">
        <x:f>IFERROR(VLOOKUP(L1088,'Reference Data'!$A$5:$F$40,3,FALSE),"Unknown")</x:f>
        <x:v>Electronics</x:v>
      </x:c>
      <x:c r="O1088" s="84" t="str">
        <x:f>IFERROR(VLOOKUP(L1088,'Reference Data'!$A$5:$F$40,4,FALSE),"Unknown")</x:f>
        <x:v>Mobile Accessories</x:v>
      </x:c>
      <x:c r="P1088" s="92" t="n">
        <x:f>IFERROR(VLOOKUP(L1088,'Reference Data'!$A$5:$F$40,5,FALSE),0)</x:f>
        <x:v>39</x:v>
      </x:c>
      <x:c r="Q1088" s="92" t="n">
        <x:f>IFERROR(VLOOKUP(L1088,'Reference Data'!$A$5:$F$40,6,FALSE),0)</x:f>
        <x:v>18</x:v>
      </x:c>
      <x:c r="R1088" s="84" t="n">
        <x:f>'Raw Sales'!J1088</x:f>
        <x:v>3</x:v>
      </x:c>
      <x:c r="S1088" s="87" t="n">
        <x:f>'Raw Sales'!K1088</x:f>
        <x:v>0</x:v>
      </x:c>
      <x:c r="T1088" s="93" t="n">
        <x:f>P1088*R1088</x:f>
        <x:v>117</x:v>
      </x:c>
      <x:c r="U1088" s="93" t="n">
        <x:f>T1088*S1088</x:f>
        <x:v>0</x:v>
      </x:c>
      <x:c r="V1088" s="93" t="str">
        <x:f>PROPER(TRIM('Raw Sales'!L1088))</x:f>
        <x:v>Completed</x:v>
      </x:c>
      <x:c r="W1088" s="93" t="n">
        <x:f>IF(V1088="Returned",0,T1088-U1088)</x:f>
        <x:v>117</x:v>
      </x:c>
      <x:c r="X1088" s="93" t="n">
        <x:f>IF(V1088="Returned",Q1088*R1088*10%,Q1088*R1088)</x:f>
        <x:v>54</x:v>
      </x:c>
      <x:c r="Y1088" s="93" t="n">
        <x:f>W1088-X1088</x:f>
        <x:v>63</x:v>
      </x:c>
      <x:c r="Z1088" s="94" t="n">
        <x:f>IFERROR(Y1088/W1088,0)</x:f>
        <x:v>0.5384615384615384</x:v>
      </x:c>
      <x:c r="AA1088" s="84" t="str">
        <x:f>PROPER(TRIM('Raw Sales'!M1088))</x:f>
        <x:v>Debit Card</x:v>
      </x:c>
      <x:c r="AB1088" s="84" t="str">
        <x:f>PROPER(TRIM('Raw Sales'!N1088))</x:f>
        <x:v>Ethan Cole</x:v>
      </x:c>
      <x:c r="AC1088" s="85" t="n">
        <x:f>'Raw Sales'!O1088</x:f>
        <x:v>45648</x:v>
      </x:c>
      <x:c r="AD1088" s="84" t="n">
        <x:f>AC1088-B1088</x:f>
        <x:v>0</x:v>
      </x:c>
      <x:c r="AE1088" s="84" t="str">
        <x:f>IF(COUNTIF($A$5:A1088,A1088)&gt;1,"Duplicate","Keep")</x:f>
        <x:v>Keep</x:v>
      </x:c>
      <x:c r="AF1088" s="84" t="str">
        <x:f>IF(OR(R1088&lt;=0,AC1088&lt;B1088,H1088="Unknown",M1088="Unknown Product"),"Review","Valid")</x:f>
        <x:v>Valid</x:v>
      </x:c>
      <x:c r="AG1088" s="84" t="n">
        <x:f>IF(AND(AE1088="Keep",AF1088="Valid"),1,0)</x:f>
        <x:v>1</x:v>
      </x:c>
      <x:c r="AH1088" s="84" t="n">
        <x:f>IF(AND(AG1088=1,OR('Dashboard'!$B$4="All",I1088='Dashboard'!$B$4),OR('Dashboard'!$E$4="All",N1088='Dashboard'!$E$4),OR('Dashboard'!$H$4="All",K1088='Dashboard'!$H$4),OR('Dashboard'!$K$4="All",C1088='Dashboard'!$K$4)),1,0)</x:f>
        <x:v>1</x:v>
      </x:c>
      <x:c r="AI1088" s="84" t="n">
        <x:f>IF(AND(AG1088=1,OR('Dashboard'!$B$4="All",I1088='Dashboard'!$B$4),OR('Dashboard'!$E$4="All",N1088='Dashboard'!$E$4),OR('Dashboard'!$H$4="All",K1088='Dashboard'!$H$4)),1,0)</x:f>
        <x:v>1</x:v>
      </x:c>
    </x:row>
    <x:row r="1089">
      <x:c r="A1089" s="84" t="str">
        <x:f>'Raw Sales'!A1089</x:f>
        <x:v>ORD-2024-00362</x:v>
      </x:c>
      <x:c r="B1089" s="85" t="n">
        <x:f>'Raw Sales'!B1089</x:f>
        <x:v>45649</x:v>
      </x:c>
      <x:c r="C1089" s="84" t="n">
        <x:f>YEAR(B1089)</x:f>
        <x:v>2024</x:v>
      </x:c>
      <x:c r="D1089" s="91" t="n">
        <x:f>DATE(YEAR(B1089),MONTH(B1089),1)</x:f>
        <x:v>45627</x:v>
      </x:c>
      <x:c r="E1089" s="84" t="str">
        <x:f>TEXT(B1089,"mmm")</x:f>
        <x:v>Dec</x:v>
      </x:c>
      <x:c r="F1089" s="84" t="str">
        <x:f>'Raw Sales'!C1089</x:f>
        <x:v>CUST-0447</x:v>
      </x:c>
      <x:c r="G1089" s="84" t="str">
        <x:f>PROPER(TRIM('Raw Sales'!D1089))</x:f>
        <x:v>Elena Patel</x:v>
      </x:c>
      <x:c r="H1089" s="84" t="str">
        <x:f>IF(TRIM('Raw Sales'!E1089)="","Unknown",PROPER(TRIM('Raw Sales'!E1089)))</x:f>
        <x:v>Corporate</x:v>
      </x:c>
      <x:c r="I1089" s="84" t="str">
        <x:f>PROPER(TRIM('Raw Sales'!F1089))</x:f>
        <x:v>Midwest</x:v>
      </x:c>
      <x:c r="J1089" s="84" t="str">
        <x:f>PROPER(TRIM('Raw Sales'!G1089))</x:f>
        <x:v>Chicago</x:v>
      </x:c>
      <x:c r="K1089" s="84" t="str">
        <x:f>PROPER(TRIM('Raw Sales'!H1089))</x:f>
        <x:v>Retail Store</x:v>
      </x:c>
      <x:c r="L1089" s="84" t="str">
        <x:f>'Raw Sales'!I1089</x:f>
        <x:v>HOME-006</x:v>
      </x:c>
      <x:c r="M1089" s="84" t="str">
        <x:f>IFERROR(VLOOKUP(L1089,'Reference Data'!$A$5:$F$40,2,FALSE),"Unknown Product")</x:f>
        <x:v>Food Storage Set</x:v>
      </x:c>
      <x:c r="N1089" s="84" t="str">
        <x:f>IFERROR(VLOOKUP(L1089,'Reference Data'!$A$5:$F$40,3,FALSE),"Unknown")</x:f>
        <x:v>Home &amp; Kitchen</x:v>
      </x:c>
      <x:c r="O1089" s="84" t="str">
        <x:f>IFERROR(VLOOKUP(L1089,'Reference Data'!$A$5:$F$40,4,FALSE),"Unknown")</x:f>
        <x:v>Kitchenware</x:v>
      </x:c>
      <x:c r="P1089" s="92" t="n">
        <x:f>IFERROR(VLOOKUP(L1089,'Reference Data'!$A$5:$F$40,5,FALSE),0)</x:f>
        <x:v>34</x:v>
      </x:c>
      <x:c r="Q1089" s="92" t="n">
        <x:f>IFERROR(VLOOKUP(L1089,'Reference Data'!$A$5:$F$40,6,FALSE),0)</x:f>
        <x:v>15</x:v>
      </x:c>
      <x:c r="R1089" s="84" t="n">
        <x:f>'Raw Sales'!J1089</x:f>
        <x:v>4</x:v>
      </x:c>
      <x:c r="S1089" s="87" t="n">
        <x:f>'Raw Sales'!K1089</x:f>
        <x:v>0.15</x:v>
      </x:c>
      <x:c r="T1089" s="93" t="n">
        <x:f>P1089*R1089</x:f>
        <x:v>136</x:v>
      </x:c>
      <x:c r="U1089" s="93" t="n">
        <x:f>T1089*S1089</x:f>
        <x:v>20.4</x:v>
      </x:c>
      <x:c r="V1089" s="93" t="str">
        <x:f>PROPER(TRIM('Raw Sales'!L1089))</x:f>
        <x:v>Completed</x:v>
      </x:c>
      <x:c r="W1089" s="93" t="n">
        <x:f>IF(V1089="Returned",0,T1089-U1089)</x:f>
        <x:v>115.6</x:v>
      </x:c>
      <x:c r="X1089" s="93" t="n">
        <x:f>IF(V1089="Returned",Q1089*R1089*10%,Q1089*R1089)</x:f>
        <x:v>60</x:v>
      </x:c>
      <x:c r="Y1089" s="93" t="n">
        <x:f>W1089-X1089</x:f>
        <x:v>55.599999999999994</x:v>
      </x:c>
      <x:c r="Z1089" s="94" t="n">
        <x:f>IFERROR(Y1089/W1089,0)</x:f>
        <x:v>0.4809688581314879</x:v>
      </x:c>
      <x:c r="AA1089" s="84" t="str">
        <x:f>PROPER(TRIM('Raw Sales'!M1089))</x:f>
        <x:v>Credit Card</x:v>
      </x:c>
      <x:c r="AB1089" s="84" t="str">
        <x:f>PROPER(TRIM('Raw Sales'!N1089))</x:f>
        <x:v>Zoe Turner</x:v>
      </x:c>
      <x:c r="AC1089" s="85" t="n">
        <x:f>'Raw Sales'!O1089</x:f>
        <x:v>45649</x:v>
      </x:c>
      <x:c r="AD1089" s="84" t="n">
        <x:f>AC1089-B1089</x:f>
        <x:v>0</x:v>
      </x:c>
      <x:c r="AE1089" s="84" t="str">
        <x:f>IF(COUNTIF($A$5:A1089,A1089)&gt;1,"Duplicate","Keep")</x:f>
        <x:v>Keep</x:v>
      </x:c>
      <x:c r="AF1089" s="84" t="str">
        <x:f>IF(OR(R1089&lt;=0,AC1089&lt;B1089,H1089="Unknown",M1089="Unknown Product"),"Review","Valid")</x:f>
        <x:v>Valid</x:v>
      </x:c>
      <x:c r="AG1089" s="84" t="n">
        <x:f>IF(AND(AE1089="Keep",AF1089="Valid"),1,0)</x:f>
        <x:v>1</x:v>
      </x:c>
      <x:c r="AH1089" s="84" t="n">
        <x:f>IF(AND(AG1089=1,OR('Dashboard'!$B$4="All",I1089='Dashboard'!$B$4),OR('Dashboard'!$E$4="All",N1089='Dashboard'!$E$4),OR('Dashboard'!$H$4="All",K1089='Dashboard'!$H$4),OR('Dashboard'!$K$4="All",C1089='Dashboard'!$K$4)),1,0)</x:f>
        <x:v>1</x:v>
      </x:c>
      <x:c r="AI1089" s="84" t="n">
        <x:f>IF(AND(AG1089=1,OR('Dashboard'!$B$4="All",I1089='Dashboard'!$B$4),OR('Dashboard'!$E$4="All",N1089='Dashboard'!$E$4),OR('Dashboard'!$H$4="All",K1089='Dashboard'!$H$4)),1,0)</x:f>
        <x:v>1</x:v>
      </x:c>
    </x:row>
    <x:row r="1090">
      <x:c r="A1090" s="84" t="str">
        <x:f>'Raw Sales'!A1090</x:f>
        <x:v>ORD-2024-01123</x:v>
      </x:c>
      <x:c r="B1090" s="85" t="n">
        <x:f>'Raw Sales'!B1090</x:f>
        <x:v>45649</x:v>
      </x:c>
      <x:c r="C1090" s="84" t="n">
        <x:f>YEAR(B1090)</x:f>
        <x:v>2024</x:v>
      </x:c>
      <x:c r="D1090" s="91" t="n">
        <x:f>DATE(YEAR(B1090),MONTH(B1090),1)</x:f>
        <x:v>45627</x:v>
      </x:c>
      <x:c r="E1090" s="84" t="str">
        <x:f>TEXT(B1090,"mmm")</x:f>
        <x:v>Dec</x:v>
      </x:c>
      <x:c r="F1090" s="84" t="str">
        <x:f>'Raw Sales'!C1090</x:f>
        <x:v>CUST-0532</x:v>
      </x:c>
      <x:c r="G1090" s="84" t="str">
        <x:f>PROPER(TRIM('Raw Sales'!D1090))</x:f>
        <x:v>Elena Hall</x:v>
      </x:c>
      <x:c r="H1090" s="84" t="str">
        <x:f>IF(TRIM('Raw Sales'!E1090)="","Unknown",PROPER(TRIM('Raw Sales'!E1090)))</x:f>
        <x:v>Small Business</x:v>
      </x:c>
      <x:c r="I1090" s="84" t="str">
        <x:f>PROPER(TRIM('Raw Sales'!F1090))</x:f>
        <x:v>Southeast</x:v>
      </x:c>
      <x:c r="J1090" s="84" t="str">
        <x:f>PROPER(TRIM('Raw Sales'!G1090))</x:f>
        <x:v>Charlotte</x:v>
      </x:c>
      <x:c r="K1090" s="84" t="str">
        <x:f>PROPER(TRIM('Raw Sales'!H1090))</x:f>
        <x:v>Retail Store</x:v>
      </x:c>
      <x:c r="L1090" s="84" t="str">
        <x:f>'Raw Sales'!I1090</x:f>
        <x:v>CARE-001</x:v>
      </x:c>
      <x:c r="M1090" s="84" t="str">
        <x:f>IFERROR(VLOOKUP(L1090,'Reference Data'!$A$5:$F$40,2,FALSE),"Unknown Product")</x:f>
        <x:v>Ionic Hair Dryer</x:v>
      </x:c>
      <x:c r="N1090" s="84" t="str">
        <x:f>IFERROR(VLOOKUP(L1090,'Reference Data'!$A$5:$F$40,3,FALSE),"Unknown")</x:f>
        <x:v>Personal Care</x:v>
      </x:c>
      <x:c r="O1090" s="84" t="str">
        <x:f>IFERROR(VLOOKUP(L1090,'Reference Data'!$A$5:$F$40,4,FALSE),"Unknown")</x:f>
        <x:v>Hair Care</x:v>
      </x:c>
      <x:c r="P1090" s="92" t="n">
        <x:f>IFERROR(VLOOKUP(L1090,'Reference Data'!$A$5:$F$40,5,FALSE),0)</x:f>
        <x:v>54</x:v>
      </x:c>
      <x:c r="Q1090" s="92" t="n">
        <x:f>IFERROR(VLOOKUP(L1090,'Reference Data'!$A$5:$F$40,6,FALSE),0)</x:f>
        <x:v>25</x:v>
      </x:c>
      <x:c r="R1090" s="84" t="n">
        <x:f>'Raw Sales'!J1090</x:f>
        <x:v>1</x:v>
      </x:c>
      <x:c r="S1090" s="87" t="n">
        <x:f>'Raw Sales'!K1090</x:f>
        <x:v>0</x:v>
      </x:c>
      <x:c r="T1090" s="93" t="n">
        <x:f>P1090*R1090</x:f>
        <x:v>54</x:v>
      </x:c>
      <x:c r="U1090" s="93" t="n">
        <x:f>T1090*S1090</x:f>
        <x:v>0</x:v>
      </x:c>
      <x:c r="V1090" s="93" t="str">
        <x:f>PROPER(TRIM('Raw Sales'!L1090))</x:f>
        <x:v>Completed</x:v>
      </x:c>
      <x:c r="W1090" s="93" t="n">
        <x:f>IF(V1090="Returned",0,T1090-U1090)</x:f>
        <x:v>54</x:v>
      </x:c>
      <x:c r="X1090" s="93" t="n">
        <x:f>IF(V1090="Returned",Q1090*R1090*10%,Q1090*R1090)</x:f>
        <x:v>25</x:v>
      </x:c>
      <x:c r="Y1090" s="93" t="n">
        <x:f>W1090-X1090</x:f>
        <x:v>29</x:v>
      </x:c>
      <x:c r="Z1090" s="94" t="n">
        <x:f>IFERROR(Y1090/W1090,0)</x:f>
        <x:v>0.5370370370370371</x:v>
      </x:c>
      <x:c r="AA1090" s="84" t="str">
        <x:f>PROPER(TRIM('Raw Sales'!M1090))</x:f>
        <x:v>Debit Card</x:v>
      </x:c>
      <x:c r="AB1090" s="84" t="str">
        <x:f>PROPER(TRIM('Raw Sales'!N1090))</x:f>
        <x:v>Ava Mitchell</x:v>
      </x:c>
      <x:c r="AC1090" s="85" t="n">
        <x:f>'Raw Sales'!O1090</x:f>
        <x:v>45650</x:v>
      </x:c>
      <x:c r="AD1090" s="84" t="n">
        <x:f>AC1090-B1090</x:f>
        <x:v>1</x:v>
      </x:c>
      <x:c r="AE1090" s="84" t="str">
        <x:f>IF(COUNTIF($A$5:A1090,A1090)&gt;1,"Duplicate","Keep")</x:f>
        <x:v>Keep</x:v>
      </x:c>
      <x:c r="AF1090" s="84" t="str">
        <x:f>IF(OR(R1090&lt;=0,AC1090&lt;B1090,H1090="Unknown",M1090="Unknown Product"),"Review","Valid")</x:f>
        <x:v>Valid</x:v>
      </x:c>
      <x:c r="AG1090" s="84" t="n">
        <x:f>IF(AND(AE1090="Keep",AF1090="Valid"),1,0)</x:f>
        <x:v>1</x:v>
      </x:c>
      <x:c r="AH1090" s="84" t="n">
        <x:f>IF(AND(AG1090=1,OR('Dashboard'!$B$4="All",I1090='Dashboard'!$B$4),OR('Dashboard'!$E$4="All",N1090='Dashboard'!$E$4),OR('Dashboard'!$H$4="All",K1090='Dashboard'!$H$4),OR('Dashboard'!$K$4="All",C1090='Dashboard'!$K$4)),1,0)</x:f>
        <x:v>1</x:v>
      </x:c>
      <x:c r="AI1090" s="84" t="n">
        <x:f>IF(AND(AG1090=1,OR('Dashboard'!$B$4="All",I1090='Dashboard'!$B$4),OR('Dashboard'!$E$4="All",N1090='Dashboard'!$E$4),OR('Dashboard'!$H$4="All",K1090='Dashboard'!$H$4)),1,0)</x:f>
        <x:v>1</x:v>
      </x:c>
    </x:row>
    <x:row r="1091">
      <x:c r="A1091" s="84" t="str">
        <x:f>'Raw Sales'!A1091</x:f>
        <x:v>ORD-2024-01198</x:v>
      </x:c>
      <x:c r="B1091" s="85" t="n">
        <x:f>'Raw Sales'!B1091</x:f>
        <x:v>45649</x:v>
      </x:c>
      <x:c r="C1091" s="84" t="n">
        <x:f>YEAR(B1091)</x:f>
        <x:v>2024</x:v>
      </x:c>
      <x:c r="D1091" s="91" t="n">
        <x:f>DATE(YEAR(B1091),MONTH(B1091),1)</x:f>
        <x:v>45627</x:v>
      </x:c>
      <x:c r="E1091" s="84" t="str">
        <x:f>TEXT(B1091,"mmm")</x:f>
        <x:v>Dec</x:v>
      </x:c>
      <x:c r="F1091" s="84" t="str">
        <x:f>'Raw Sales'!C1091</x:f>
        <x:v>CUST-0518</x:v>
      </x:c>
      <x:c r="G1091" s="84" t="str">
        <x:f>PROPER(TRIM('Raw Sales'!D1091))</x:f>
        <x:v>Victoria Hall</x:v>
      </x:c>
      <x:c r="H1091" s="84" t="str">
        <x:f>IF(TRIM('Raw Sales'!E1091)="","Unknown",PROPER(TRIM('Raw Sales'!E1091)))</x:f>
        <x:v>Consumer</x:v>
      </x:c>
      <x:c r="I1091" s="84" t="str">
        <x:f>PROPER(TRIM('Raw Sales'!F1091))</x:f>
        <x:v>Midwest</x:v>
      </x:c>
      <x:c r="J1091" s="84" t="str">
        <x:f>PROPER(TRIM('Raw Sales'!G1091))</x:f>
        <x:v>Chicago</x:v>
      </x:c>
      <x:c r="K1091" s="84" t="str">
        <x:f>PROPER(TRIM('Raw Sales'!H1091))</x:f>
        <x:v>Retail Store</x:v>
      </x:c>
      <x:c r="L1091" s="84" t="str">
        <x:f>'Raw Sales'!I1091</x:f>
        <x:v>FITN-004</x:v>
      </x:c>
      <x:c r="M1091" s="84" t="str">
        <x:f>IFERROR(VLOOKUP(L1091,'Reference Data'!$A$5:$F$40,2,FALSE),"Unknown Product")</x:f>
        <x:v>Fitness Tracker</x:v>
      </x:c>
      <x:c r="N1091" s="84" t="str">
        <x:f>IFERROR(VLOOKUP(L1091,'Reference Data'!$A$5:$F$40,3,FALSE),"Unknown")</x:f>
        <x:v>Fitness</x:v>
      </x:c>
      <x:c r="O1091" s="84" t="str">
        <x:f>IFERROR(VLOOKUP(L1091,'Reference Data'!$A$5:$F$40,4,FALSE),"Unknown")</x:f>
        <x:v>Wearables</x:v>
      </x:c>
      <x:c r="P1091" s="92" t="n">
        <x:f>IFERROR(VLOOKUP(L1091,'Reference Data'!$A$5:$F$40,5,FALSE),0)</x:f>
        <x:v>89</x:v>
      </x:c>
      <x:c r="Q1091" s="92" t="n">
        <x:f>IFERROR(VLOOKUP(L1091,'Reference Data'!$A$5:$F$40,6,FALSE),0)</x:f>
        <x:v>44</x:v>
      </x:c>
      <x:c r="R1091" s="84" t="n">
        <x:f>'Raw Sales'!J1091</x:f>
        <x:v>1</x:v>
      </x:c>
      <x:c r="S1091" s="87" t="n">
        <x:f>'Raw Sales'!K1091</x:f>
        <x:v>0.05</x:v>
      </x:c>
      <x:c r="T1091" s="93" t="n">
        <x:f>P1091*R1091</x:f>
        <x:v>89</x:v>
      </x:c>
      <x:c r="U1091" s="93" t="n">
        <x:f>T1091*S1091</x:f>
        <x:v>4.45</x:v>
      </x:c>
      <x:c r="V1091" s="93" t="str">
        <x:f>PROPER(TRIM('Raw Sales'!L1091))</x:f>
        <x:v>Completed</x:v>
      </x:c>
      <x:c r="W1091" s="93" t="n">
        <x:f>IF(V1091="Returned",0,T1091-U1091)</x:f>
        <x:v>84.55</x:v>
      </x:c>
      <x:c r="X1091" s="93" t="n">
        <x:f>IF(V1091="Returned",Q1091*R1091*10%,Q1091*R1091)</x:f>
        <x:v>44</x:v>
      </x:c>
      <x:c r="Y1091" s="93" t="n">
        <x:f>W1091-X1091</x:f>
        <x:v>40.55</x:v>
      </x:c>
      <x:c r="Z1091" s="94" t="n">
        <x:f>IFERROR(Y1091/W1091,0)</x:f>
        <x:v>0.47959787108219987</x:v>
      </x:c>
      <x:c r="AA1091" s="84" t="str">
        <x:f>PROPER(TRIM('Raw Sales'!M1091))</x:f>
        <x:v>Mobile Wallet</x:v>
      </x:c>
      <x:c r="AB1091" s="84" t="str">
        <x:f>PROPER(TRIM('Raw Sales'!N1091))</x:f>
        <x:v>Emma Hayes</x:v>
      </x:c>
      <x:c r="AC1091" s="85" t="n">
        <x:f>'Raw Sales'!O1091</x:f>
        <x:v>45649</x:v>
      </x:c>
      <x:c r="AD1091" s="84" t="n">
        <x:f>AC1091-B1091</x:f>
        <x:v>0</x:v>
      </x:c>
      <x:c r="AE1091" s="84" t="str">
        <x:f>IF(COUNTIF($A$5:A1091,A1091)&gt;1,"Duplicate","Keep")</x:f>
        <x:v>Keep</x:v>
      </x:c>
      <x:c r="AF1091" s="84" t="str">
        <x:f>IF(OR(R1091&lt;=0,AC1091&lt;B1091,H1091="Unknown",M1091="Unknown Product"),"Review","Valid")</x:f>
        <x:v>Valid</x:v>
      </x:c>
      <x:c r="AG1091" s="84" t="n">
        <x:f>IF(AND(AE1091="Keep",AF1091="Valid"),1,0)</x:f>
        <x:v>1</x:v>
      </x:c>
      <x:c r="AH1091" s="84" t="n">
        <x:f>IF(AND(AG1091=1,OR('Dashboard'!$B$4="All",I1091='Dashboard'!$B$4),OR('Dashboard'!$E$4="All",N1091='Dashboard'!$E$4),OR('Dashboard'!$H$4="All",K1091='Dashboard'!$H$4),OR('Dashboard'!$K$4="All",C1091='Dashboard'!$K$4)),1,0)</x:f>
        <x:v>1</x:v>
      </x:c>
      <x:c r="AI1091" s="84" t="n">
        <x:f>IF(AND(AG1091=1,OR('Dashboard'!$B$4="All",I1091='Dashboard'!$B$4),OR('Dashboard'!$E$4="All",N1091='Dashboard'!$E$4),OR('Dashboard'!$H$4="All",K1091='Dashboard'!$H$4)),1,0)</x:f>
        <x:v>1</x:v>
      </x:c>
    </x:row>
    <x:row r="1092">
      <x:c r="A1092" s="84" t="str">
        <x:f>'Raw Sales'!A1092</x:f>
        <x:v>ORD-2024-02246</x:v>
      </x:c>
      <x:c r="B1092" s="85" t="n">
        <x:f>'Raw Sales'!B1092</x:f>
        <x:v>45649</x:v>
      </x:c>
      <x:c r="C1092" s="84" t="n">
        <x:f>YEAR(B1092)</x:f>
        <x:v>2024</x:v>
      </x:c>
      <x:c r="D1092" s="91" t="n">
        <x:f>DATE(YEAR(B1092),MONTH(B1092),1)</x:f>
        <x:v>45627</x:v>
      </x:c>
      <x:c r="E1092" s="84" t="str">
        <x:f>TEXT(B1092,"mmm")</x:f>
        <x:v>Dec</x:v>
      </x:c>
      <x:c r="F1092" s="84" t="str">
        <x:f>'Raw Sales'!C1092</x:f>
        <x:v>CUST-0238</x:v>
      </x:c>
      <x:c r="G1092" s="84" t="str">
        <x:f>PROPER(TRIM('Raw Sales'!D1092))</x:f>
        <x:v>Aiden Ortiz</x:v>
      </x:c>
      <x:c r="H1092" s="84" t="str">
        <x:f>IF(TRIM('Raw Sales'!E1092)="","Unknown",PROPER(TRIM('Raw Sales'!E1092)))</x:f>
        <x:v>Small Business</x:v>
      </x:c>
      <x:c r="I1092" s="84" t="str">
        <x:f>PROPER(TRIM('Raw Sales'!F1092))</x:f>
        <x:v>West</x:v>
      </x:c>
      <x:c r="J1092" s="84" t="str">
        <x:f>PROPER(TRIM('Raw Sales'!G1092))</x:f>
        <x:v>Phoenix</x:v>
      </x:c>
      <x:c r="K1092" s="84" t="str">
        <x:f>PROPER(TRIM('Raw Sales'!H1092))</x:f>
        <x:v>Retail Store</x:v>
      </x:c>
      <x:c r="L1092" s="84" t="str">
        <x:f>'Raw Sales'!I1092</x:f>
        <x:v>ELEC-004</x:v>
      </x:c>
      <x:c r="M1092" s="84" t="str">
        <x:f>IFERROR(VLOOKUP(L1092,'Reference Data'!$A$5:$F$40,2,FALSE),"Unknown Product")</x:f>
        <x:v>Power Bank</x:v>
      </x:c>
      <x:c r="N1092" s="84" t="str">
        <x:f>IFERROR(VLOOKUP(L1092,'Reference Data'!$A$5:$F$40,3,FALSE),"Unknown")</x:f>
        <x:v>Electronics</x:v>
      </x:c>
      <x:c r="O1092" s="84" t="str">
        <x:f>IFERROR(VLOOKUP(L1092,'Reference Data'!$A$5:$F$40,4,FALSE),"Unknown")</x:f>
        <x:v>Mobile Accessories</x:v>
      </x:c>
      <x:c r="P1092" s="92" t="n">
        <x:f>IFERROR(VLOOKUP(L1092,'Reference Data'!$A$5:$F$40,5,FALSE),0)</x:f>
        <x:v>39</x:v>
      </x:c>
      <x:c r="Q1092" s="92" t="n">
        <x:f>IFERROR(VLOOKUP(L1092,'Reference Data'!$A$5:$F$40,6,FALSE),0)</x:f>
        <x:v>18</x:v>
      </x:c>
      <x:c r="R1092" s="84" t="n">
        <x:f>'Raw Sales'!J1092</x:f>
        <x:v>2</x:v>
      </x:c>
      <x:c r="S1092" s="87" t="n">
        <x:f>'Raw Sales'!K1092</x:f>
        <x:v>0.15</x:v>
      </x:c>
      <x:c r="T1092" s="93" t="n">
        <x:f>P1092*R1092</x:f>
        <x:v>78</x:v>
      </x:c>
      <x:c r="U1092" s="93" t="n">
        <x:f>T1092*S1092</x:f>
        <x:v>11.7</x:v>
      </x:c>
      <x:c r="V1092" s="93" t="str">
        <x:f>PROPER(TRIM('Raw Sales'!L1092))</x:f>
        <x:v>Completed</x:v>
      </x:c>
      <x:c r="W1092" s="93" t="n">
        <x:f>IF(V1092="Returned",0,T1092-U1092)</x:f>
        <x:v>66.3</x:v>
      </x:c>
      <x:c r="X1092" s="93" t="n">
        <x:f>IF(V1092="Returned",Q1092*R1092*10%,Q1092*R1092)</x:f>
        <x:v>36</x:v>
      </x:c>
      <x:c r="Y1092" s="93" t="n">
        <x:f>W1092-X1092</x:f>
        <x:v>30.299999999999997</x:v>
      </x:c>
      <x:c r="Z1092" s="94" t="n">
        <x:f>IFERROR(Y1092/W1092,0)</x:f>
        <x:v>0.45701357466063347</x:v>
      </x:c>
      <x:c r="AA1092" s="84" t="str">
        <x:f>PROPER(TRIM('Raw Sales'!M1092))</x:f>
        <x:v>Credit Card</x:v>
      </x:c>
      <x:c r="AB1092" s="84" t="str">
        <x:f>PROPER(TRIM('Raw Sales'!N1092))</x:f>
        <x:v>Leo Martinez</x:v>
      </x:c>
      <x:c r="AC1092" s="85" t="n">
        <x:f>'Raw Sales'!O1092</x:f>
        <x:v>45649</x:v>
      </x:c>
      <x:c r="AD1092" s="84" t="n">
        <x:f>AC1092-B1092</x:f>
        <x:v>0</x:v>
      </x:c>
      <x:c r="AE1092" s="84" t="str">
        <x:f>IF(COUNTIF($A$5:A1092,A1092)&gt;1,"Duplicate","Keep")</x:f>
        <x:v>Keep</x:v>
      </x:c>
      <x:c r="AF1092" s="84" t="str">
        <x:f>IF(OR(R1092&lt;=0,AC1092&lt;B1092,H1092="Unknown",M1092="Unknown Product"),"Review","Valid")</x:f>
        <x:v>Valid</x:v>
      </x:c>
      <x:c r="AG1092" s="84" t="n">
        <x:f>IF(AND(AE1092="Keep",AF1092="Valid"),1,0)</x:f>
        <x:v>1</x:v>
      </x:c>
      <x:c r="AH1092" s="84" t="n">
        <x:f>IF(AND(AG1092=1,OR('Dashboard'!$B$4="All",I1092='Dashboard'!$B$4),OR('Dashboard'!$E$4="All",N1092='Dashboard'!$E$4),OR('Dashboard'!$H$4="All",K1092='Dashboard'!$H$4),OR('Dashboard'!$K$4="All",C1092='Dashboard'!$K$4)),1,0)</x:f>
        <x:v>1</x:v>
      </x:c>
      <x:c r="AI1092" s="84" t="n">
        <x:f>IF(AND(AG1092=1,OR('Dashboard'!$B$4="All",I1092='Dashboard'!$B$4),OR('Dashboard'!$E$4="All",N1092='Dashboard'!$E$4),OR('Dashboard'!$H$4="All",K1092='Dashboard'!$H$4)),1,0)</x:f>
        <x:v>1</x:v>
      </x:c>
    </x:row>
    <x:row r="1093">
      <x:c r="A1093" s="84" t="str">
        <x:f>'Raw Sales'!A1093</x:f>
        <x:v>ORD-2024-00045</x:v>
      </x:c>
      <x:c r="B1093" s="85" t="n">
        <x:f>'Raw Sales'!B1093</x:f>
        <x:v>45650</x:v>
      </x:c>
      <x:c r="C1093" s="84" t="n">
        <x:f>YEAR(B1093)</x:f>
        <x:v>2024</x:v>
      </x:c>
      <x:c r="D1093" s="91" t="n">
        <x:f>DATE(YEAR(B1093),MONTH(B1093),1)</x:f>
        <x:v>45627</x:v>
      </x:c>
      <x:c r="E1093" s="84" t="str">
        <x:f>TEXT(B1093,"mmm")</x:f>
        <x:v>Dec</x:v>
      </x:c>
      <x:c r="F1093" s="84" t="str">
        <x:f>'Raw Sales'!C1093</x:f>
        <x:v>CUST-0513</x:v>
      </x:c>
      <x:c r="G1093" s="84" t="str">
        <x:f>PROPER(TRIM('Raw Sales'!D1093))</x:f>
        <x:v>Zara Davis</x:v>
      </x:c>
      <x:c r="H1093" s="84" t="str">
        <x:f>IF(TRIM('Raw Sales'!E1093)="","Unknown",PROPER(TRIM('Raw Sales'!E1093)))</x:f>
        <x:v>Small Business</x:v>
      </x:c>
      <x:c r="I1093" s="84" t="str">
        <x:f>PROPER(TRIM('Raw Sales'!F1093))</x:f>
        <x:v>Midwest</x:v>
      </x:c>
      <x:c r="J1093" s="84" t="str">
        <x:f>PROPER(TRIM('Raw Sales'!G1093))</x:f>
        <x:v>Chicago</x:v>
      </x:c>
      <x:c r="K1093" s="84" t="str">
        <x:f>PROPER(TRIM('Raw Sales'!H1093))</x:f>
        <x:v>Retail Store</x:v>
      </x:c>
      <x:c r="L1093" s="84" t="str">
        <x:f>'Raw Sales'!I1093</x:f>
        <x:v>OFFC-006</x:v>
      </x:c>
      <x:c r="M1093" s="84" t="str">
        <x:f>IFERROR(VLOOKUP(L1093,'Reference Data'!$A$5:$F$40,2,FALSE),"Unknown Product")</x:f>
        <x:v>Monitor Stand</x:v>
      </x:c>
      <x:c r="N1093" s="84" t="str">
        <x:f>IFERROR(VLOOKUP(L1093,'Reference Data'!$A$5:$F$40,3,FALSE),"Unknown")</x:f>
        <x:v>Office</x:v>
      </x:c>
      <x:c r="O1093" s="84" t="str">
        <x:f>IFERROR(VLOOKUP(L1093,'Reference Data'!$A$5:$F$40,4,FALSE),"Unknown")</x:f>
        <x:v>Desk Accessories</x:v>
      </x:c>
      <x:c r="P1093" s="92" t="n">
        <x:f>IFERROR(VLOOKUP(L1093,'Reference Data'!$A$5:$F$40,5,FALSE),0)</x:f>
        <x:v>49</x:v>
      </x:c>
      <x:c r="Q1093" s="92" t="n">
        <x:f>IFERROR(VLOOKUP(L1093,'Reference Data'!$A$5:$F$40,6,FALSE),0)</x:f>
        <x:v>21</x:v>
      </x:c>
      <x:c r="R1093" s="84" t="n">
        <x:f>'Raw Sales'!J1093</x:f>
        <x:v>2</x:v>
      </x:c>
      <x:c r="S1093" s="87" t="n">
        <x:f>'Raw Sales'!K1093</x:f>
        <x:v>0.15</x:v>
      </x:c>
      <x:c r="T1093" s="93" t="n">
        <x:f>P1093*R1093</x:f>
        <x:v>98</x:v>
      </x:c>
      <x:c r="U1093" s="93" t="n">
        <x:f>T1093*S1093</x:f>
        <x:v>14.7</x:v>
      </x:c>
      <x:c r="V1093" s="93" t="str">
        <x:f>PROPER(TRIM('Raw Sales'!L1093))</x:f>
        <x:v>Completed</x:v>
      </x:c>
      <x:c r="W1093" s="93" t="n">
        <x:f>IF(V1093="Returned",0,T1093-U1093)</x:f>
        <x:v>83.3</x:v>
      </x:c>
      <x:c r="X1093" s="93" t="n">
        <x:f>IF(V1093="Returned",Q1093*R1093*10%,Q1093*R1093)</x:f>
        <x:v>42</x:v>
      </x:c>
      <x:c r="Y1093" s="93" t="n">
        <x:f>W1093-X1093</x:f>
        <x:v>41.3</x:v>
      </x:c>
      <x:c r="Z1093" s="94" t="n">
        <x:f>IFERROR(Y1093/W1093,0)</x:f>
        <x:v>0.49579831932773105</x:v>
      </x:c>
      <x:c r="AA1093" s="84" t="str">
        <x:f>PROPER(TRIM('Raw Sales'!M1093))</x:f>
        <x:v>Mobile Wallet</x:v>
      </x:c>
      <x:c r="AB1093" s="84" t="str">
        <x:f>PROPER(TRIM('Raw Sales'!N1093))</x:f>
        <x:v>Lucas Grant</x:v>
      </x:c>
      <x:c r="AC1093" s="85" t="n">
        <x:f>'Raw Sales'!O1093</x:f>
        <x:v>45651</x:v>
      </x:c>
      <x:c r="AD1093" s="84" t="n">
        <x:f>AC1093-B1093</x:f>
        <x:v>1</x:v>
      </x:c>
      <x:c r="AE1093" s="84" t="str">
        <x:f>IF(COUNTIF($A$5:A1093,A1093)&gt;1,"Duplicate","Keep")</x:f>
        <x:v>Keep</x:v>
      </x:c>
      <x:c r="AF1093" s="84" t="str">
        <x:f>IF(OR(R1093&lt;=0,AC1093&lt;B1093,H1093="Unknown",M1093="Unknown Product"),"Review","Valid")</x:f>
        <x:v>Valid</x:v>
      </x:c>
      <x:c r="AG1093" s="84" t="n">
        <x:f>IF(AND(AE1093="Keep",AF1093="Valid"),1,0)</x:f>
        <x:v>1</x:v>
      </x:c>
      <x:c r="AH1093" s="84" t="n">
        <x:f>IF(AND(AG1093=1,OR('Dashboard'!$B$4="All",I1093='Dashboard'!$B$4),OR('Dashboard'!$E$4="All",N1093='Dashboard'!$E$4),OR('Dashboard'!$H$4="All",K1093='Dashboard'!$H$4),OR('Dashboard'!$K$4="All",C1093='Dashboard'!$K$4)),1,0)</x:f>
        <x:v>1</x:v>
      </x:c>
      <x:c r="AI1093" s="84" t="n">
        <x:f>IF(AND(AG1093=1,OR('Dashboard'!$B$4="All",I1093='Dashboard'!$B$4),OR('Dashboard'!$E$4="All",N1093='Dashboard'!$E$4),OR('Dashboard'!$H$4="All",K1093='Dashboard'!$H$4)),1,0)</x:f>
        <x:v>1</x:v>
      </x:c>
    </x:row>
    <x:row r="1094">
      <x:c r="A1094" s="84" t="str">
        <x:f>'Raw Sales'!A1094</x:f>
        <x:v>ORD-2024-00592</x:v>
      </x:c>
      <x:c r="B1094" s="85" t="n">
        <x:f>'Raw Sales'!B1094</x:f>
        <x:v>45650</x:v>
      </x:c>
      <x:c r="C1094" s="84" t="n">
        <x:f>YEAR(B1094)</x:f>
        <x:v>2024</x:v>
      </x:c>
      <x:c r="D1094" s="91" t="n">
        <x:f>DATE(YEAR(B1094),MONTH(B1094),1)</x:f>
        <x:v>45627</x:v>
      </x:c>
      <x:c r="E1094" s="84" t="str">
        <x:f>TEXT(B1094,"mmm")</x:f>
        <x:v>Dec</x:v>
      </x:c>
      <x:c r="F1094" s="84" t="str">
        <x:f>'Raw Sales'!C1094</x:f>
        <x:v>CUST-0480</x:v>
      </x:c>
      <x:c r="G1094" s="84" t="str">
        <x:f>PROPER(TRIM('Raw Sales'!D1094))</x:f>
        <x:v>Samuel Baker</x:v>
      </x:c>
      <x:c r="H1094" s="84" t="str">
        <x:f>IF(TRIM('Raw Sales'!E1094)="","Unknown",PROPER(TRIM('Raw Sales'!E1094)))</x:f>
        <x:v>Consumer</x:v>
      </x:c>
      <x:c r="I1094" s="84" t="str">
        <x:f>PROPER(TRIM('Raw Sales'!F1094))</x:f>
        <x:v>West</x:v>
      </x:c>
      <x:c r="J1094" s="84" t="str">
        <x:f>PROPER(TRIM('Raw Sales'!G1094))</x:f>
        <x:v>Denver</x:v>
      </x:c>
      <x:c r="K1094" s="84" t="str">
        <x:f>PROPER(TRIM('Raw Sales'!H1094))</x:f>
        <x:v>Marketplace</x:v>
      </x:c>
      <x:c r="L1094" s="84" t="str">
        <x:f>'Raw Sales'!I1094</x:f>
        <x:v>OFFC-006</x:v>
      </x:c>
      <x:c r="M1094" s="84" t="str">
        <x:f>IFERROR(VLOOKUP(L1094,'Reference Data'!$A$5:$F$40,2,FALSE),"Unknown Product")</x:f>
        <x:v>Monitor Stand</x:v>
      </x:c>
      <x:c r="N1094" s="84" t="str">
        <x:f>IFERROR(VLOOKUP(L1094,'Reference Data'!$A$5:$F$40,3,FALSE),"Unknown")</x:f>
        <x:v>Office</x:v>
      </x:c>
      <x:c r="O1094" s="84" t="str">
        <x:f>IFERROR(VLOOKUP(L1094,'Reference Data'!$A$5:$F$40,4,FALSE),"Unknown")</x:f>
        <x:v>Desk Accessories</x:v>
      </x:c>
      <x:c r="P1094" s="92" t="n">
        <x:f>IFERROR(VLOOKUP(L1094,'Reference Data'!$A$5:$F$40,5,FALSE),0)</x:f>
        <x:v>49</x:v>
      </x:c>
      <x:c r="Q1094" s="92" t="n">
        <x:f>IFERROR(VLOOKUP(L1094,'Reference Data'!$A$5:$F$40,6,FALSE),0)</x:f>
        <x:v>21</x:v>
      </x:c>
      <x:c r="R1094" s="84" t="n">
        <x:f>'Raw Sales'!J1094</x:f>
        <x:v>2</x:v>
      </x:c>
      <x:c r="S1094" s="87" t="n">
        <x:f>'Raw Sales'!K1094</x:f>
        <x:v>0</x:v>
      </x:c>
      <x:c r="T1094" s="93" t="n">
        <x:f>P1094*R1094</x:f>
        <x:v>98</x:v>
      </x:c>
      <x:c r="U1094" s="93" t="n">
        <x:f>T1094*S1094</x:f>
        <x:v>0</x:v>
      </x:c>
      <x:c r="V1094" s="93" t="str">
        <x:f>PROPER(TRIM('Raw Sales'!L1094))</x:f>
        <x:v>Completed</x:v>
      </x:c>
      <x:c r="W1094" s="93" t="n">
        <x:f>IF(V1094="Returned",0,T1094-U1094)</x:f>
        <x:v>98</x:v>
      </x:c>
      <x:c r="X1094" s="93" t="n">
        <x:f>IF(V1094="Returned",Q1094*R1094*10%,Q1094*R1094)</x:f>
        <x:v>42</x:v>
      </x:c>
      <x:c r="Y1094" s="93" t="n">
        <x:f>W1094-X1094</x:f>
        <x:v>56</x:v>
      </x:c>
      <x:c r="Z1094" s="94" t="n">
        <x:f>IFERROR(Y1094/W1094,0)</x:f>
        <x:v>0.5714285714285714</x:v>
      </x:c>
      <x:c r="AA1094" s="84" t="str">
        <x:f>PROPER(TRIM('Raw Sales'!M1094))</x:f>
        <x:v>Credit Card</x:v>
      </x:c>
      <x:c r="AB1094" s="84" t="str">
        <x:f>PROPER(TRIM('Raw Sales'!N1094))</x:f>
        <x:v>Mia Chen</x:v>
      </x:c>
      <x:c r="AC1094" s="85" t="n">
        <x:f>'Raw Sales'!O1094</x:f>
        <x:v>45655</x:v>
      </x:c>
      <x:c r="AD1094" s="84" t="n">
        <x:f>AC1094-B1094</x:f>
        <x:v>5</x:v>
      </x:c>
      <x:c r="AE1094" s="84" t="str">
        <x:f>IF(COUNTIF($A$5:A1094,A1094)&gt;1,"Duplicate","Keep")</x:f>
        <x:v>Keep</x:v>
      </x:c>
      <x:c r="AF1094" s="84" t="str">
        <x:f>IF(OR(R1094&lt;=0,AC1094&lt;B1094,H1094="Unknown",M1094="Unknown Product"),"Review","Valid")</x:f>
        <x:v>Valid</x:v>
      </x:c>
      <x:c r="AG1094" s="84" t="n">
        <x:f>IF(AND(AE1094="Keep",AF1094="Valid"),1,0)</x:f>
        <x:v>1</x:v>
      </x:c>
      <x:c r="AH1094" s="84" t="n">
        <x:f>IF(AND(AG1094=1,OR('Dashboard'!$B$4="All",I1094='Dashboard'!$B$4),OR('Dashboard'!$E$4="All",N1094='Dashboard'!$E$4),OR('Dashboard'!$H$4="All",K1094='Dashboard'!$H$4),OR('Dashboard'!$K$4="All",C1094='Dashboard'!$K$4)),1,0)</x:f>
        <x:v>1</x:v>
      </x:c>
      <x:c r="AI1094" s="84" t="n">
        <x:f>IF(AND(AG1094=1,OR('Dashboard'!$B$4="All",I1094='Dashboard'!$B$4),OR('Dashboard'!$E$4="All",N1094='Dashboard'!$E$4),OR('Dashboard'!$H$4="All",K1094='Dashboard'!$H$4)),1,0)</x:f>
        <x:v>1</x:v>
      </x:c>
    </x:row>
    <x:row r="1095">
      <x:c r="A1095" s="84" t="str">
        <x:f>'Raw Sales'!A1095</x:f>
        <x:v>ORD-2024-00989</x:v>
      </x:c>
      <x:c r="B1095" s="85" t="n">
        <x:f>'Raw Sales'!B1095</x:f>
        <x:v>45650</x:v>
      </x:c>
      <x:c r="C1095" s="84" t="n">
        <x:f>YEAR(B1095)</x:f>
        <x:v>2024</x:v>
      </x:c>
      <x:c r="D1095" s="91" t="n">
        <x:f>DATE(YEAR(B1095),MONTH(B1095),1)</x:f>
        <x:v>45627</x:v>
      </x:c>
      <x:c r="E1095" s="84" t="str">
        <x:f>TEXT(B1095,"mmm")</x:f>
        <x:v>Dec</x:v>
      </x:c>
      <x:c r="F1095" s="84" t="str">
        <x:f>'Raw Sales'!C1095</x:f>
        <x:v>CUST-0358</x:v>
      </x:c>
      <x:c r="G1095" s="84" t="str">
        <x:f>PROPER(TRIM('Raw Sales'!D1095))</x:f>
        <x:v>Grace Roberts</x:v>
      </x:c>
      <x:c r="H1095" s="84" t="str">
        <x:f>IF(TRIM('Raw Sales'!E1095)="","Unknown",PROPER(TRIM('Raw Sales'!E1095)))</x:f>
        <x:v>Consumer</x:v>
      </x:c>
      <x:c r="I1095" s="84" t="str">
        <x:f>PROPER(TRIM('Raw Sales'!F1095))</x:f>
        <x:v>West</x:v>
      </x:c>
      <x:c r="J1095" s="84" t="str">
        <x:f>PROPER(TRIM('Raw Sales'!G1095))</x:f>
        <x:v>Seattle</x:v>
      </x:c>
      <x:c r="K1095" s="84" t="str">
        <x:f>PROPER(TRIM('Raw Sales'!H1095))</x:f>
        <x:v>Retail Store</x:v>
      </x:c>
      <x:c r="L1095" s="84" t="str">
        <x:f>'Raw Sales'!I1095</x:f>
        <x:v>ACCS-005</x:v>
      </x:c>
      <x:c r="M1095" s="84" t="str">
        <x:f>IFERROR(VLOOKUP(L1095,'Reference Data'!$A$5:$F$40,2,FALSE),"Unknown Product")</x:f>
        <x:v>Protective Phone Case</x:v>
      </x:c>
      <x:c r="N1095" s="84" t="str">
        <x:f>IFERROR(VLOOKUP(L1095,'Reference Data'!$A$5:$F$40,3,FALSE),"Unknown")</x:f>
        <x:v>Accessories</x:v>
      </x:c>
      <x:c r="O1095" s="84" t="str">
        <x:f>IFERROR(VLOOKUP(L1095,'Reference Data'!$A$5:$F$40,4,FALSE),"Unknown")</x:f>
        <x:v>Mobile Accessories</x:v>
      </x:c>
      <x:c r="P1095" s="92" t="n">
        <x:f>IFERROR(VLOOKUP(L1095,'Reference Data'!$A$5:$F$40,5,FALSE),0)</x:f>
        <x:v>24</x:v>
      </x:c>
      <x:c r="Q1095" s="92" t="n">
        <x:f>IFERROR(VLOOKUP(L1095,'Reference Data'!$A$5:$F$40,6,FALSE),0)</x:f>
        <x:v>5</x:v>
      </x:c>
      <x:c r="R1095" s="84" t="n">
        <x:f>'Raw Sales'!J1095</x:f>
        <x:v>2</x:v>
      </x:c>
      <x:c r="S1095" s="87" t="n">
        <x:f>'Raw Sales'!K1095</x:f>
        <x:v>0.15</x:v>
      </x:c>
      <x:c r="T1095" s="93" t="n">
        <x:f>P1095*R1095</x:f>
        <x:v>48</x:v>
      </x:c>
      <x:c r="U1095" s="93" t="n">
        <x:f>T1095*S1095</x:f>
        <x:v>7.199999999999999</x:v>
      </x:c>
      <x:c r="V1095" s="93" t="str">
        <x:f>PROPER(TRIM('Raw Sales'!L1095))</x:f>
        <x:v>Completed</x:v>
      </x:c>
      <x:c r="W1095" s="93" t="n">
        <x:f>IF(V1095="Returned",0,T1095-U1095)</x:f>
        <x:v>40.8</x:v>
      </x:c>
      <x:c r="X1095" s="93" t="n">
        <x:f>IF(V1095="Returned",Q1095*R1095*10%,Q1095*R1095)</x:f>
        <x:v>10</x:v>
      </x:c>
      <x:c r="Y1095" s="93" t="n">
        <x:f>W1095-X1095</x:f>
        <x:v>30.799999999999997</x:v>
      </x:c>
      <x:c r="Z1095" s="94" t="n">
        <x:f>IFERROR(Y1095/W1095,0)</x:f>
        <x:v>0.7549019607843137</x:v>
      </x:c>
      <x:c r="AA1095" s="84" t="str">
        <x:f>PROPER(TRIM('Raw Sales'!M1095))</x:f>
        <x:v>Credit Card</x:v>
      </x:c>
      <x:c r="AB1095" s="84" t="str">
        <x:f>PROPER(TRIM('Raw Sales'!N1095))</x:f>
        <x:v>Leo Martinez</x:v>
      </x:c>
      <x:c r="AC1095" s="85" t="n">
        <x:f>'Raw Sales'!O1095</x:f>
        <x:v>45650</x:v>
      </x:c>
      <x:c r="AD1095" s="84" t="n">
        <x:f>AC1095-B1095</x:f>
        <x:v>0</x:v>
      </x:c>
      <x:c r="AE1095" s="84" t="str">
        <x:f>IF(COUNTIF($A$5:A1095,A1095)&gt;1,"Duplicate","Keep")</x:f>
        <x:v>Keep</x:v>
      </x:c>
      <x:c r="AF1095" s="84" t="str">
        <x:f>IF(OR(R1095&lt;=0,AC1095&lt;B1095,H1095="Unknown",M1095="Unknown Product"),"Review","Valid")</x:f>
        <x:v>Valid</x:v>
      </x:c>
      <x:c r="AG1095" s="84" t="n">
        <x:f>IF(AND(AE1095="Keep",AF1095="Valid"),1,0)</x:f>
        <x:v>1</x:v>
      </x:c>
      <x:c r="AH1095" s="84" t="n">
        <x:f>IF(AND(AG1095=1,OR('Dashboard'!$B$4="All",I1095='Dashboard'!$B$4),OR('Dashboard'!$E$4="All",N1095='Dashboard'!$E$4),OR('Dashboard'!$H$4="All",K1095='Dashboard'!$H$4),OR('Dashboard'!$K$4="All",C1095='Dashboard'!$K$4)),1,0)</x:f>
        <x:v>1</x:v>
      </x:c>
      <x:c r="AI1095" s="84" t="n">
        <x:f>IF(AND(AG1095=1,OR('Dashboard'!$B$4="All",I1095='Dashboard'!$B$4),OR('Dashboard'!$E$4="All",N1095='Dashboard'!$E$4),OR('Dashboard'!$H$4="All",K1095='Dashboard'!$H$4)),1,0)</x:f>
        <x:v>1</x:v>
      </x:c>
    </x:row>
    <x:row r="1096">
      <x:c r="A1096" s="84" t="str">
        <x:f>'Raw Sales'!A1096</x:f>
        <x:v>ORD-2024-01256</x:v>
      </x:c>
      <x:c r="B1096" s="85" t="n">
        <x:f>'Raw Sales'!B1096</x:f>
        <x:v>45650</x:v>
      </x:c>
      <x:c r="C1096" s="84" t="n">
        <x:f>YEAR(B1096)</x:f>
        <x:v>2024</x:v>
      </x:c>
      <x:c r="D1096" s="91" t="n">
        <x:f>DATE(YEAR(B1096),MONTH(B1096),1)</x:f>
        <x:v>45627</x:v>
      </x:c>
      <x:c r="E1096" s="84" t="str">
        <x:f>TEXT(B1096,"mmm")</x:f>
        <x:v>Dec</x:v>
      </x:c>
      <x:c r="F1096" s="84" t="str">
        <x:f>'Raw Sales'!C1096</x:f>
        <x:v>CUST-0375</x:v>
      </x:c>
      <x:c r="G1096" s="84" t="str">
        <x:f>PROPER(TRIM('Raw Sales'!D1096))</x:f>
        <x:v>Grace Baker</x:v>
      </x:c>
      <x:c r="H1096" s="84" t="str">
        <x:f>IF(TRIM('Raw Sales'!E1096)="","Unknown",PROPER(TRIM('Raw Sales'!E1096)))</x:f>
        <x:v>Consumer</x:v>
      </x:c>
      <x:c r="I1096" s="84" t="str">
        <x:f>PROPER(TRIM('Raw Sales'!F1096))</x:f>
        <x:v>Midwest</x:v>
      </x:c>
      <x:c r="J1096" s="84" t="str">
        <x:f>PROPER(TRIM('Raw Sales'!G1096))</x:f>
        <x:v>Minneapolis</x:v>
      </x:c>
      <x:c r="K1096" s="84" t="str">
        <x:f>PROPER(TRIM('Raw Sales'!H1096))</x:f>
        <x:v>Retail Store</x:v>
      </x:c>
      <x:c r="L1096" s="84" t="str">
        <x:f>'Raw Sales'!I1096</x:f>
        <x:v>ACCS-001</x:v>
      </x:c>
      <x:c r="M1096" s="84" t="str">
        <x:f>IFERROR(VLOOKUP(L1096,'Reference Data'!$A$5:$F$40,2,FALSE),"Unknown Product")</x:f>
        <x:v>Canvas Tote Bag</x:v>
      </x:c>
      <x:c r="N1096" s="84" t="str">
        <x:f>IFERROR(VLOOKUP(L1096,'Reference Data'!$A$5:$F$40,3,FALSE),"Unknown")</x:f>
        <x:v>Accessories</x:v>
      </x:c>
      <x:c r="O1096" s="84" t="str">
        <x:f>IFERROR(VLOOKUP(L1096,'Reference Data'!$A$5:$F$40,4,FALSE),"Unknown")</x:f>
        <x:v>Bags</x:v>
      </x:c>
      <x:c r="P1096" s="92" t="n">
        <x:f>IFERROR(VLOOKUP(L1096,'Reference Data'!$A$5:$F$40,5,FALSE),0)</x:f>
        <x:v>39</x:v>
      </x:c>
      <x:c r="Q1096" s="92" t="n">
        <x:f>IFERROR(VLOOKUP(L1096,'Reference Data'!$A$5:$F$40,6,FALSE),0)</x:f>
        <x:v>14</x:v>
      </x:c>
      <x:c r="R1096" s="84" t="n">
        <x:f>'Raw Sales'!J1096</x:f>
        <x:v>1</x:v>
      </x:c>
      <x:c r="S1096" s="87" t="n">
        <x:f>'Raw Sales'!K1096</x:f>
        <x:v>0</x:v>
      </x:c>
      <x:c r="T1096" s="93" t="n">
        <x:f>P1096*R1096</x:f>
        <x:v>39</x:v>
      </x:c>
      <x:c r="U1096" s="93" t="n">
        <x:f>T1096*S1096</x:f>
        <x:v>0</x:v>
      </x:c>
      <x:c r="V1096" s="93" t="str">
        <x:f>PROPER(TRIM('Raw Sales'!L1096))</x:f>
        <x:v>Completed</x:v>
      </x:c>
      <x:c r="W1096" s="93" t="n">
        <x:f>IF(V1096="Returned",0,T1096-U1096)</x:f>
        <x:v>39</x:v>
      </x:c>
      <x:c r="X1096" s="93" t="n">
        <x:f>IF(V1096="Returned",Q1096*R1096*10%,Q1096*R1096)</x:f>
        <x:v>14</x:v>
      </x:c>
      <x:c r="Y1096" s="93" t="n">
        <x:f>W1096-X1096</x:f>
        <x:v>25</x:v>
      </x:c>
      <x:c r="Z1096" s="94" t="n">
        <x:f>IFERROR(Y1096/W1096,0)</x:f>
        <x:v>0.6410256410256411</x:v>
      </x:c>
      <x:c r="AA1096" s="84" t="str">
        <x:f>PROPER(TRIM('Raw Sales'!M1096))</x:f>
        <x:v>Credit Card</x:v>
      </x:c>
      <x:c r="AB1096" s="84" t="str">
        <x:f>PROPER(TRIM('Raw Sales'!N1096))</x:f>
        <x:v>Emma Hayes</x:v>
      </x:c>
      <x:c r="AC1096" s="85" t="n">
        <x:f>'Raw Sales'!O1096</x:f>
        <x:v>45650</x:v>
      </x:c>
      <x:c r="AD1096" s="84" t="n">
        <x:f>AC1096-B1096</x:f>
        <x:v>0</x:v>
      </x:c>
      <x:c r="AE1096" s="84" t="str">
        <x:f>IF(COUNTIF($A$5:A1096,A1096)&gt;1,"Duplicate","Keep")</x:f>
        <x:v>Keep</x:v>
      </x:c>
      <x:c r="AF1096" s="84" t="str">
        <x:f>IF(OR(R1096&lt;=0,AC1096&lt;B1096,H1096="Unknown",M1096="Unknown Product"),"Review","Valid")</x:f>
        <x:v>Valid</x:v>
      </x:c>
      <x:c r="AG1096" s="84" t="n">
        <x:f>IF(AND(AE1096="Keep",AF1096="Valid"),1,0)</x:f>
        <x:v>1</x:v>
      </x:c>
      <x:c r="AH1096" s="84" t="n">
        <x:f>IF(AND(AG1096=1,OR('Dashboard'!$B$4="All",I1096='Dashboard'!$B$4),OR('Dashboard'!$E$4="All",N1096='Dashboard'!$E$4),OR('Dashboard'!$H$4="All",K1096='Dashboard'!$H$4),OR('Dashboard'!$K$4="All",C1096='Dashboard'!$K$4)),1,0)</x:f>
        <x:v>1</x:v>
      </x:c>
      <x:c r="AI1096" s="84" t="n">
        <x:f>IF(AND(AG1096=1,OR('Dashboard'!$B$4="All",I1096='Dashboard'!$B$4),OR('Dashboard'!$E$4="All",N1096='Dashboard'!$E$4),OR('Dashboard'!$H$4="All",K1096='Dashboard'!$H$4)),1,0)</x:f>
        <x:v>1</x:v>
      </x:c>
    </x:row>
    <x:row r="1097">
      <x:c r="A1097" s="84" t="str">
        <x:f>'Raw Sales'!A1097</x:f>
        <x:v>ORD-2024-01397</x:v>
      </x:c>
      <x:c r="B1097" s="85" t="n">
        <x:f>'Raw Sales'!B1097</x:f>
        <x:v>45650</x:v>
      </x:c>
      <x:c r="C1097" s="84" t="n">
        <x:f>YEAR(B1097)</x:f>
        <x:v>2024</x:v>
      </x:c>
      <x:c r="D1097" s="91" t="n">
        <x:f>DATE(YEAR(B1097),MONTH(B1097),1)</x:f>
        <x:v>45627</x:v>
      </x:c>
      <x:c r="E1097" s="84" t="str">
        <x:f>TEXT(B1097,"mmm")</x:f>
        <x:v>Dec</x:v>
      </x:c>
      <x:c r="F1097" s="84" t="str">
        <x:f>'Raw Sales'!C1097</x:f>
        <x:v>CUST-0030</x:v>
      </x:c>
      <x:c r="G1097" s="84" t="str">
        <x:f>PROPER(TRIM('Raw Sales'!D1097))</x:f>
        <x:v>Owen Patel</x:v>
      </x:c>
      <x:c r="H1097" s="84" t="str">
        <x:f>IF(TRIM('Raw Sales'!E1097)="","Unknown",PROPER(TRIM('Raw Sales'!E1097)))</x:f>
        <x:v>Corporate</x:v>
      </x:c>
      <x:c r="I1097" s="84" t="str">
        <x:f>PROPER(TRIM('Raw Sales'!F1097))</x:f>
        <x:v>Southeast</x:v>
      </x:c>
      <x:c r="J1097" s="84" t="str">
        <x:f>PROPER(TRIM('Raw Sales'!G1097))</x:f>
        <x:v>Charlotte</x:v>
      </x:c>
      <x:c r="K1097" s="84" t="str">
        <x:f>PROPER(TRIM('Raw Sales'!H1097))</x:f>
        <x:v>Marketplace</x:v>
      </x:c>
      <x:c r="L1097" s="84" t="str">
        <x:f>'Raw Sales'!I1097</x:f>
        <x:v>FITN-004</x:v>
      </x:c>
      <x:c r="M1097" s="84" t="str">
        <x:f>IFERROR(VLOOKUP(L1097,'Reference Data'!$A$5:$F$40,2,FALSE),"Unknown Product")</x:f>
        <x:v>Fitness Tracker</x:v>
      </x:c>
      <x:c r="N1097" s="84" t="str">
        <x:f>IFERROR(VLOOKUP(L1097,'Reference Data'!$A$5:$F$40,3,FALSE),"Unknown")</x:f>
        <x:v>Fitness</x:v>
      </x:c>
      <x:c r="O1097" s="84" t="str">
        <x:f>IFERROR(VLOOKUP(L1097,'Reference Data'!$A$5:$F$40,4,FALSE),"Unknown")</x:f>
        <x:v>Wearables</x:v>
      </x:c>
      <x:c r="P1097" s="92" t="n">
        <x:f>IFERROR(VLOOKUP(L1097,'Reference Data'!$A$5:$F$40,5,FALSE),0)</x:f>
        <x:v>89</x:v>
      </x:c>
      <x:c r="Q1097" s="92" t="n">
        <x:f>IFERROR(VLOOKUP(L1097,'Reference Data'!$A$5:$F$40,6,FALSE),0)</x:f>
        <x:v>44</x:v>
      </x:c>
      <x:c r="R1097" s="84" t="n">
        <x:f>'Raw Sales'!J1097</x:f>
        <x:v>5</x:v>
      </x:c>
      <x:c r="S1097" s="87" t="n">
        <x:f>'Raw Sales'!K1097</x:f>
        <x:v>0.2</x:v>
      </x:c>
      <x:c r="T1097" s="93" t="n">
        <x:f>P1097*R1097</x:f>
        <x:v>445</x:v>
      </x:c>
      <x:c r="U1097" s="93" t="n">
        <x:f>T1097*S1097</x:f>
        <x:v>89</x:v>
      </x:c>
      <x:c r="V1097" s="93" t="str">
        <x:f>PROPER(TRIM('Raw Sales'!L1097))</x:f>
        <x:v>Completed</x:v>
      </x:c>
      <x:c r="W1097" s="93" t="n">
        <x:f>IF(V1097="Returned",0,T1097-U1097)</x:f>
        <x:v>356</x:v>
      </x:c>
      <x:c r="X1097" s="93" t="n">
        <x:f>IF(V1097="Returned",Q1097*R1097*10%,Q1097*R1097)</x:f>
        <x:v>220</x:v>
      </x:c>
      <x:c r="Y1097" s="93" t="n">
        <x:f>W1097-X1097</x:f>
        <x:v>136</x:v>
      </x:c>
      <x:c r="Z1097" s="94" t="n">
        <x:f>IFERROR(Y1097/W1097,0)</x:f>
        <x:v>0.38202247191011235</x:v>
      </x:c>
      <x:c r="AA1097" s="84" t="str">
        <x:f>PROPER(TRIM('Raw Sales'!M1097))</x:f>
        <x:v>Credit Card</x:v>
      </x:c>
      <x:c r="AB1097" s="84" t="str">
        <x:f>PROPER(TRIM('Raw Sales'!N1097))</x:f>
        <x:v>Ava Mitchell</x:v>
      </x:c>
      <x:c r="AC1097" s="85" t="n">
        <x:f>'Raw Sales'!O1097</x:f>
        <x:v>45657</x:v>
      </x:c>
      <x:c r="AD1097" s="84" t="n">
        <x:f>AC1097-B1097</x:f>
        <x:v>7</x:v>
      </x:c>
      <x:c r="AE1097" s="84" t="str">
        <x:f>IF(COUNTIF($A$5:A1097,A1097)&gt;1,"Duplicate","Keep")</x:f>
        <x:v>Keep</x:v>
      </x:c>
      <x:c r="AF1097" s="84" t="str">
        <x:f>IF(OR(R1097&lt;=0,AC1097&lt;B1097,H1097="Unknown",M1097="Unknown Product"),"Review","Valid")</x:f>
        <x:v>Valid</x:v>
      </x:c>
      <x:c r="AG1097" s="84" t="n">
        <x:f>IF(AND(AE1097="Keep",AF1097="Valid"),1,0)</x:f>
        <x:v>1</x:v>
      </x:c>
      <x:c r="AH1097" s="84" t="n">
        <x:f>IF(AND(AG1097=1,OR('Dashboard'!$B$4="All",I1097='Dashboard'!$B$4),OR('Dashboard'!$E$4="All",N1097='Dashboard'!$E$4),OR('Dashboard'!$H$4="All",K1097='Dashboard'!$H$4),OR('Dashboard'!$K$4="All",C1097='Dashboard'!$K$4)),1,0)</x:f>
        <x:v>1</x:v>
      </x:c>
      <x:c r="AI1097" s="84" t="n">
        <x:f>IF(AND(AG1097=1,OR('Dashboard'!$B$4="All",I1097='Dashboard'!$B$4),OR('Dashboard'!$E$4="All",N1097='Dashboard'!$E$4),OR('Dashboard'!$H$4="All",K1097='Dashboard'!$H$4)),1,0)</x:f>
        <x:v>1</x:v>
      </x:c>
    </x:row>
    <x:row r="1098">
      <x:c r="A1098" s="84" t="str">
        <x:f>'Raw Sales'!A1098</x:f>
        <x:v>ORD-2024-01936</x:v>
      </x:c>
      <x:c r="B1098" s="85" t="n">
        <x:f>'Raw Sales'!B1098</x:f>
        <x:v>45650</x:v>
      </x:c>
      <x:c r="C1098" s="84" t="n">
        <x:f>YEAR(B1098)</x:f>
        <x:v>2024</x:v>
      </x:c>
      <x:c r="D1098" s="91" t="n">
        <x:f>DATE(YEAR(B1098),MONTH(B1098),1)</x:f>
        <x:v>45627</x:v>
      </x:c>
      <x:c r="E1098" s="84" t="str">
        <x:f>TEXT(B1098,"mmm")</x:f>
        <x:v>Dec</x:v>
      </x:c>
      <x:c r="F1098" s="84" t="str">
        <x:f>'Raw Sales'!C1098</x:f>
        <x:v>CUST-0058</x:v>
      </x:c>
      <x:c r="G1098" s="84" t="str">
        <x:f>PROPER(TRIM('Raw Sales'!D1098))</x:f>
        <x:v>Zara Evans</x:v>
      </x:c>
      <x:c r="H1098" s="84" t="str">
        <x:f>IF(TRIM('Raw Sales'!E1098)="","Unknown",PROPER(TRIM('Raw Sales'!E1098)))</x:f>
        <x:v>Consumer</x:v>
      </x:c>
      <x:c r="I1098" s="84" t="str">
        <x:f>PROPER(TRIM('Raw Sales'!F1098))</x:f>
        <x:v>Midwest</x:v>
      </x:c>
      <x:c r="J1098" s="84" t="str">
        <x:f>PROPER(TRIM('Raw Sales'!G1098))</x:f>
        <x:v>Chicago</x:v>
      </x:c>
      <x:c r="K1098" s="84" t="str">
        <x:f>PROPER(TRIM('Raw Sales'!H1098))</x:f>
        <x:v>Online</x:v>
      </x:c>
      <x:c r="L1098" s="84" t="str">
        <x:f>'Raw Sales'!I1098</x:f>
        <x:v>ELEC-003</x:v>
      </x:c>
      <x:c r="M1098" s="84" t="str">
        <x:f>IFERROR(VLOOKUP(L1098,'Reference Data'!$A$5:$F$40,2,FALSE),"Unknown Product")</x:f>
        <x:v>Bluetooth Speaker</x:v>
      </x:c>
      <x:c r="N1098" s="84" t="str">
        <x:f>IFERROR(VLOOKUP(L1098,'Reference Data'!$A$5:$F$40,3,FALSE),"Unknown")</x:f>
        <x:v>Electronics</x:v>
      </x:c>
      <x:c r="O1098" s="84" t="str">
        <x:f>IFERROR(VLOOKUP(L1098,'Reference Data'!$A$5:$F$40,4,FALSE),"Unknown")</x:f>
        <x:v>Audio</x:v>
      </x:c>
      <x:c r="P1098" s="92" t="n">
        <x:f>IFERROR(VLOOKUP(L1098,'Reference Data'!$A$5:$F$40,5,FALSE),0)</x:f>
        <x:v>89</x:v>
      </x:c>
      <x:c r="Q1098" s="92" t="n">
        <x:f>IFERROR(VLOOKUP(L1098,'Reference Data'!$A$5:$F$40,6,FALSE),0)</x:f>
        <x:v>44</x:v>
      </x:c>
      <x:c r="R1098" s="84" t="n">
        <x:f>'Raw Sales'!J1098</x:f>
        <x:v>1</x:v>
      </x:c>
      <x:c r="S1098" s="87" t="n">
        <x:f>'Raw Sales'!K1098</x:f>
        <x:v>0.1</x:v>
      </x:c>
      <x:c r="T1098" s="93" t="n">
        <x:f>P1098*R1098</x:f>
        <x:v>89</x:v>
      </x:c>
      <x:c r="U1098" s="93" t="n">
        <x:f>T1098*S1098</x:f>
        <x:v>8.9</x:v>
      </x:c>
      <x:c r="V1098" s="93" t="str">
        <x:f>PROPER(TRIM('Raw Sales'!L1098))</x:f>
        <x:v>Completed</x:v>
      </x:c>
      <x:c r="W1098" s="93" t="n">
        <x:f>IF(V1098="Returned",0,T1098-U1098)</x:f>
        <x:v>80.1</x:v>
      </x:c>
      <x:c r="X1098" s="93" t="n">
        <x:f>IF(V1098="Returned",Q1098*R1098*10%,Q1098*R1098)</x:f>
        <x:v>44</x:v>
      </x:c>
      <x:c r="Y1098" s="93" t="n">
        <x:f>W1098-X1098</x:f>
        <x:v>36.099999999999994</x:v>
      </x:c>
      <x:c r="Z1098" s="94" t="n">
        <x:f>IFERROR(Y1098/W1098,0)</x:f>
        <x:v>0.4506866416978776</x:v>
      </x:c>
      <x:c r="AA1098" s="84" t="str">
        <x:f>PROPER(TRIM('Raw Sales'!M1098))</x:f>
        <x:v>Paypal</x:v>
      </x:c>
      <x:c r="AB1098" s="84" t="str">
        <x:f>PROPER(TRIM('Raw Sales'!N1098))</x:f>
        <x:v>Zoe Turner</x:v>
      </x:c>
      <x:c r="AC1098" s="85" t="n">
        <x:f>'Raw Sales'!O1098</x:f>
        <x:v>45656</x:v>
      </x:c>
      <x:c r="AD1098" s="84" t="n">
        <x:f>AC1098-B1098</x:f>
        <x:v>6</x:v>
      </x:c>
      <x:c r="AE1098" s="84" t="str">
        <x:f>IF(COUNTIF($A$5:A1098,A1098)&gt;1,"Duplicate","Keep")</x:f>
        <x:v>Keep</x:v>
      </x:c>
      <x:c r="AF1098" s="84" t="str">
        <x:f>IF(OR(R1098&lt;=0,AC1098&lt;B1098,H1098="Unknown",M1098="Unknown Product"),"Review","Valid")</x:f>
        <x:v>Valid</x:v>
      </x:c>
      <x:c r="AG1098" s="84" t="n">
        <x:f>IF(AND(AE1098="Keep",AF1098="Valid"),1,0)</x:f>
        <x:v>1</x:v>
      </x:c>
      <x:c r="AH1098" s="84" t="n">
        <x:f>IF(AND(AG1098=1,OR('Dashboard'!$B$4="All",I1098='Dashboard'!$B$4),OR('Dashboard'!$E$4="All",N1098='Dashboard'!$E$4),OR('Dashboard'!$H$4="All",K1098='Dashboard'!$H$4),OR('Dashboard'!$K$4="All",C1098='Dashboard'!$K$4)),1,0)</x:f>
        <x:v>1</x:v>
      </x:c>
      <x:c r="AI1098" s="84" t="n">
        <x:f>IF(AND(AG1098=1,OR('Dashboard'!$B$4="All",I1098='Dashboard'!$B$4),OR('Dashboard'!$E$4="All",N1098='Dashboard'!$E$4),OR('Dashboard'!$H$4="All",K1098='Dashboard'!$H$4)),1,0)</x:f>
        <x:v>1</x:v>
      </x:c>
    </x:row>
    <x:row r="1099">
      <x:c r="A1099" s="84" t="str">
        <x:f>'Raw Sales'!A1099</x:f>
        <x:v>ORD-2024-01132</x:v>
      </x:c>
      <x:c r="B1099" s="85" t="n">
        <x:f>'Raw Sales'!B1099</x:f>
        <x:v>45651</x:v>
      </x:c>
      <x:c r="C1099" s="84" t="n">
        <x:f>YEAR(B1099)</x:f>
        <x:v>2024</x:v>
      </x:c>
      <x:c r="D1099" s="91" t="n">
        <x:f>DATE(YEAR(B1099),MONTH(B1099),1)</x:f>
        <x:v>45627</x:v>
      </x:c>
      <x:c r="E1099" s="84" t="str">
        <x:f>TEXT(B1099,"mmm")</x:f>
        <x:v>Dec</x:v>
      </x:c>
      <x:c r="F1099" s="84" t="str">
        <x:f>'Raw Sales'!C1099</x:f>
        <x:v>CUST-0054</x:v>
      </x:c>
      <x:c r="G1099" s="84" t="str">
        <x:f>PROPER(TRIM('Raw Sales'!D1099))</x:f>
        <x:v>Priya Roberts</x:v>
      </x:c>
      <x:c r="H1099" s="84" t="str">
        <x:f>IF(TRIM('Raw Sales'!E1099)="","Unknown",PROPER(TRIM('Raw Sales'!E1099)))</x:f>
        <x:v>Consumer</x:v>
      </x:c>
      <x:c r="I1099" s="84" t="str">
        <x:f>PROPER(TRIM('Raw Sales'!F1099))</x:f>
        <x:v>West</x:v>
      </x:c>
      <x:c r="J1099" s="84" t="str">
        <x:f>PROPER(TRIM('Raw Sales'!G1099))</x:f>
        <x:v>Phoenix</x:v>
      </x:c>
      <x:c r="K1099" s="84" t="str">
        <x:f>PROPER(TRIM('Raw Sales'!H1099))</x:f>
        <x:v>Retail Store</x:v>
      </x:c>
      <x:c r="L1099" s="84" t="str">
        <x:f>'Raw Sales'!I1099</x:f>
        <x:v>ELEC-002</x:v>
      </x:c>
      <x:c r="M1099" s="84" t="str">
        <x:f>IFERROR(VLOOKUP(L1099,'Reference Data'!$A$5:$F$40,2,FALSE),"Unknown Product")</x:f>
        <x:v>Smartwatch</x:v>
      </x:c>
      <x:c r="N1099" s="84" t="str">
        <x:f>IFERROR(VLOOKUP(L1099,'Reference Data'!$A$5:$F$40,3,FALSE),"Unknown")</x:f>
        <x:v>Electronics</x:v>
      </x:c>
      <x:c r="O1099" s="84" t="str">
        <x:f>IFERROR(VLOOKUP(L1099,'Reference Data'!$A$5:$F$40,4,FALSE),"Unknown")</x:f>
        <x:v>Wearables</x:v>
      </x:c>
      <x:c r="P1099" s="92" t="n">
        <x:f>IFERROR(VLOOKUP(L1099,'Reference Data'!$A$5:$F$40,5,FALSE),0)</x:f>
        <x:v>159</x:v>
      </x:c>
      <x:c r="Q1099" s="92" t="n">
        <x:f>IFERROR(VLOOKUP(L1099,'Reference Data'!$A$5:$F$40,6,FALSE),0)</x:f>
        <x:v>92</x:v>
      </x:c>
      <x:c r="R1099" s="84" t="n">
        <x:f>'Raw Sales'!J1099</x:f>
        <x:v>1</x:v>
      </x:c>
      <x:c r="S1099" s="87" t="n">
        <x:f>'Raw Sales'!K1099</x:f>
        <x:v>0.15</x:v>
      </x:c>
      <x:c r="T1099" s="93" t="n">
        <x:f>P1099*R1099</x:f>
        <x:v>159</x:v>
      </x:c>
      <x:c r="U1099" s="93" t="n">
        <x:f>T1099*S1099</x:f>
        <x:v>23.849999999999998</x:v>
      </x:c>
      <x:c r="V1099" s="93" t="str">
        <x:f>PROPER(TRIM('Raw Sales'!L1099))</x:f>
        <x:v>Completed</x:v>
      </x:c>
      <x:c r="W1099" s="93" t="n">
        <x:f>IF(V1099="Returned",0,T1099-U1099)</x:f>
        <x:v>135.15</x:v>
      </x:c>
      <x:c r="X1099" s="93" t="n">
        <x:f>IF(V1099="Returned",Q1099*R1099*10%,Q1099*R1099)</x:f>
        <x:v>92</x:v>
      </x:c>
      <x:c r="Y1099" s="93" t="n">
        <x:f>W1099-X1099</x:f>
        <x:v>43.150000000000006</x:v>
      </x:c>
      <x:c r="Z1099" s="94" t="n">
        <x:f>IFERROR(Y1099/W1099,0)</x:f>
        <x:v>0.31927487976322605</x:v>
      </x:c>
      <x:c r="AA1099" s="84" t="str">
        <x:f>PROPER(TRIM('Raw Sales'!M1099))</x:f>
        <x:v>Credit Card</x:v>
      </x:c>
      <x:c r="AB1099" s="84" t="str">
        <x:f>PROPER(TRIM('Raw Sales'!N1099))</x:f>
        <x:v>Nora Kim</x:v>
      </x:c>
      <x:c r="AC1099" s="85" t="n">
        <x:f>'Raw Sales'!O1099</x:f>
        <x:v>45651</x:v>
      </x:c>
      <x:c r="AD1099" s="84" t="n">
        <x:f>AC1099-B1099</x:f>
        <x:v>0</x:v>
      </x:c>
      <x:c r="AE1099" s="84" t="str">
        <x:f>IF(COUNTIF($A$5:A1099,A1099)&gt;1,"Duplicate","Keep")</x:f>
        <x:v>Keep</x:v>
      </x:c>
      <x:c r="AF1099" s="84" t="str">
        <x:f>IF(OR(R1099&lt;=0,AC1099&lt;B1099,H1099="Unknown",M1099="Unknown Product"),"Review","Valid")</x:f>
        <x:v>Valid</x:v>
      </x:c>
      <x:c r="AG1099" s="84" t="n">
        <x:f>IF(AND(AE1099="Keep",AF1099="Valid"),1,0)</x:f>
        <x:v>1</x:v>
      </x:c>
      <x:c r="AH1099" s="84" t="n">
        <x:f>IF(AND(AG1099=1,OR('Dashboard'!$B$4="All",I1099='Dashboard'!$B$4),OR('Dashboard'!$E$4="All",N1099='Dashboard'!$E$4),OR('Dashboard'!$H$4="All",K1099='Dashboard'!$H$4),OR('Dashboard'!$K$4="All",C1099='Dashboard'!$K$4)),1,0)</x:f>
        <x:v>1</x:v>
      </x:c>
      <x:c r="AI1099" s="84" t="n">
        <x:f>IF(AND(AG1099=1,OR('Dashboard'!$B$4="All",I1099='Dashboard'!$B$4),OR('Dashboard'!$E$4="All",N1099='Dashboard'!$E$4),OR('Dashboard'!$H$4="All",K1099='Dashboard'!$H$4)),1,0)</x:f>
        <x:v>1</x:v>
      </x:c>
    </x:row>
    <x:row r="1100">
      <x:c r="A1100" s="84" t="str">
        <x:f>'Raw Sales'!A1100</x:f>
        <x:v>ORD-2024-01292</x:v>
      </x:c>
      <x:c r="B1100" s="85" t="n">
        <x:f>'Raw Sales'!B1100</x:f>
        <x:v>45651</x:v>
      </x:c>
      <x:c r="C1100" s="84" t="n">
        <x:f>YEAR(B1100)</x:f>
        <x:v>2024</x:v>
      </x:c>
      <x:c r="D1100" s="91" t="n">
        <x:f>DATE(YEAR(B1100),MONTH(B1100),1)</x:f>
        <x:v>45627</x:v>
      </x:c>
      <x:c r="E1100" s="84" t="str">
        <x:f>TEXT(B1100,"mmm")</x:f>
        <x:v>Dec</x:v>
      </x:c>
      <x:c r="F1100" s="84" t="str">
        <x:f>'Raw Sales'!C1100</x:f>
        <x:v>CUST-0336</x:v>
      </x:c>
      <x:c r="G1100" s="84" t="str">
        <x:f>PROPER(TRIM('Raw Sales'!D1100))</x:f>
        <x:v>Jonah Garcia</x:v>
      </x:c>
      <x:c r="H1100" s="84" t="str">
        <x:f>IF(TRIM('Raw Sales'!E1100)="","Unknown",PROPER(TRIM('Raw Sales'!E1100)))</x:f>
        <x:v>Consumer</x:v>
      </x:c>
      <x:c r="I1100" s="84" t="str">
        <x:f>PROPER(TRIM('Raw Sales'!F1100))</x:f>
        <x:v>West</x:v>
      </x:c>
      <x:c r="J1100" s="84" t="str">
        <x:f>PROPER(TRIM('Raw Sales'!G1100))</x:f>
        <x:v>Phoenix</x:v>
      </x:c>
      <x:c r="K1100" s="84" t="str">
        <x:f>PROPER(TRIM('Raw Sales'!H1100))</x:f>
        <x:v>Retail Store</x:v>
      </x:c>
      <x:c r="L1100" s="84" t="str">
        <x:f>'Raw Sales'!I1100</x:f>
        <x:v>HOME-002</x:v>
      </x:c>
      <x:c r="M1100" s="84" t="str">
        <x:f>IFERROR(VLOOKUP(L1100,'Reference Data'!$A$5:$F$40,2,FALSE),"Unknown Product")</x:f>
        <x:v>Electric Kettle</x:v>
      </x:c>
      <x:c r="N1100" s="84" t="str">
        <x:f>IFERROR(VLOOKUP(L1100,'Reference Data'!$A$5:$F$40,3,FALSE),"Unknown")</x:f>
        <x:v>Home &amp; Kitchen</x:v>
      </x:c>
      <x:c r="O1100" s="84" t="str">
        <x:f>IFERROR(VLOOKUP(L1100,'Reference Data'!$A$5:$F$40,4,FALSE),"Unknown")</x:f>
        <x:v>Small Appliances</x:v>
      </x:c>
      <x:c r="P1100" s="92" t="n">
        <x:f>IFERROR(VLOOKUP(L1100,'Reference Data'!$A$5:$F$40,5,FALSE),0)</x:f>
        <x:v>49</x:v>
      </x:c>
      <x:c r="Q1100" s="92" t="n">
        <x:f>IFERROR(VLOOKUP(L1100,'Reference Data'!$A$5:$F$40,6,FALSE),0)</x:f>
        <x:v>23</x:v>
      </x:c>
      <x:c r="R1100" s="84" t="n">
        <x:f>'Raw Sales'!J1100</x:f>
        <x:v>3</x:v>
      </x:c>
      <x:c r="S1100" s="87" t="n">
        <x:f>'Raw Sales'!K1100</x:f>
        <x:v>0</x:v>
      </x:c>
      <x:c r="T1100" s="93" t="n">
        <x:f>P1100*R1100</x:f>
        <x:v>147</x:v>
      </x:c>
      <x:c r="U1100" s="93" t="n">
        <x:f>T1100*S1100</x:f>
        <x:v>0</x:v>
      </x:c>
      <x:c r="V1100" s="93" t="str">
        <x:f>PROPER(TRIM('Raw Sales'!L1100))</x:f>
        <x:v>Completed</x:v>
      </x:c>
      <x:c r="W1100" s="93" t="n">
        <x:f>IF(V1100="Returned",0,T1100-U1100)</x:f>
        <x:v>147</x:v>
      </x:c>
      <x:c r="X1100" s="93" t="n">
        <x:f>IF(V1100="Returned",Q1100*R1100*10%,Q1100*R1100)</x:f>
        <x:v>69</x:v>
      </x:c>
      <x:c r="Y1100" s="93" t="n">
        <x:f>W1100-X1100</x:f>
        <x:v>78</x:v>
      </x:c>
      <x:c r="Z1100" s="94" t="n">
        <x:f>IFERROR(Y1100/W1100,0)</x:f>
        <x:v>0.5306122448979592</x:v>
      </x:c>
      <x:c r="AA1100" s="84" t="str">
        <x:f>PROPER(TRIM('Raw Sales'!M1100))</x:f>
        <x:v>Mobile Wallet</x:v>
      </x:c>
      <x:c r="AB1100" s="84" t="str">
        <x:f>PROPER(TRIM('Raw Sales'!N1100))</x:f>
        <x:v>Mia Chen</x:v>
      </x:c>
      <x:c r="AC1100" s="85" t="n">
        <x:f>'Raw Sales'!O1100</x:f>
        <x:v>45651</x:v>
      </x:c>
      <x:c r="AD1100" s="84" t="n">
        <x:f>AC1100-B1100</x:f>
        <x:v>0</x:v>
      </x:c>
      <x:c r="AE1100" s="84" t="str">
        <x:f>IF(COUNTIF($A$5:A1100,A1100)&gt;1,"Duplicate","Keep")</x:f>
        <x:v>Keep</x:v>
      </x:c>
      <x:c r="AF1100" s="84" t="str">
        <x:f>IF(OR(R1100&lt;=0,AC1100&lt;B1100,H1100="Unknown",M1100="Unknown Product"),"Review","Valid")</x:f>
        <x:v>Valid</x:v>
      </x:c>
      <x:c r="AG1100" s="84" t="n">
        <x:f>IF(AND(AE1100="Keep",AF1100="Valid"),1,0)</x:f>
        <x:v>1</x:v>
      </x:c>
      <x:c r="AH1100" s="84" t="n">
        <x:f>IF(AND(AG1100=1,OR('Dashboard'!$B$4="All",I1100='Dashboard'!$B$4),OR('Dashboard'!$E$4="All",N1100='Dashboard'!$E$4),OR('Dashboard'!$H$4="All",K1100='Dashboard'!$H$4),OR('Dashboard'!$K$4="All",C1100='Dashboard'!$K$4)),1,0)</x:f>
        <x:v>1</x:v>
      </x:c>
      <x:c r="AI1100" s="84" t="n">
        <x:f>IF(AND(AG1100=1,OR('Dashboard'!$B$4="All",I1100='Dashboard'!$B$4),OR('Dashboard'!$E$4="All",N1100='Dashboard'!$E$4),OR('Dashboard'!$H$4="All",K1100='Dashboard'!$H$4)),1,0)</x:f>
        <x:v>1</x:v>
      </x:c>
    </x:row>
    <x:row r="1101">
      <x:c r="A1101" s="84" t="str">
        <x:f>'Raw Sales'!A1101</x:f>
        <x:v>ORD-2024-02284</x:v>
      </x:c>
      <x:c r="B1101" s="85" t="n">
        <x:f>'Raw Sales'!B1101</x:f>
        <x:v>45651</x:v>
      </x:c>
      <x:c r="C1101" s="84" t="n">
        <x:f>YEAR(B1101)</x:f>
        <x:v>2024</x:v>
      </x:c>
      <x:c r="D1101" s="91" t="n">
        <x:f>DATE(YEAR(B1101),MONTH(B1101),1)</x:f>
        <x:v>45627</x:v>
      </x:c>
      <x:c r="E1101" s="84" t="str">
        <x:f>TEXT(B1101,"mmm")</x:f>
        <x:v>Dec</x:v>
      </x:c>
      <x:c r="F1101" s="84" t="str">
        <x:f>'Raw Sales'!C1101</x:f>
        <x:v>CUST-0374</x:v>
      </x:c>
      <x:c r="G1101" s="84" t="str">
        <x:f>PROPER(TRIM('Raw Sales'!D1101))</x:f>
        <x:v>Priya Lewis</x:v>
      </x:c>
      <x:c r="H1101" s="84" t="str">
        <x:f>IF(TRIM('Raw Sales'!E1101)="","Unknown",PROPER(TRIM('Raw Sales'!E1101)))</x:f>
        <x:v>Corporate</x:v>
      </x:c>
      <x:c r="I1101" s="84" t="str">
        <x:f>PROPER(TRIM('Raw Sales'!F1101))</x:f>
        <x:v>Southeast</x:v>
      </x:c>
      <x:c r="J1101" s="84" t="str">
        <x:f>PROPER(TRIM('Raw Sales'!G1101))</x:f>
        <x:v>Miami</x:v>
      </x:c>
      <x:c r="K1101" s="84" t="str">
        <x:f>PROPER(TRIM('Raw Sales'!H1101))</x:f>
        <x:v>Online</x:v>
      </x:c>
      <x:c r="L1101" s="84" t="str">
        <x:f>'Raw Sales'!I1101</x:f>
        <x:v>ELEC-006</x:v>
      </x:c>
      <x:c r="M1101" s="84" t="str">
        <x:f>IFERROR(VLOOKUP(L1101,'Reference Data'!$A$5:$F$40,2,FALSE),"Unknown Product")</x:f>
        <x:v>Portable SSD</x:v>
      </x:c>
      <x:c r="N1101" s="84" t="str">
        <x:f>IFERROR(VLOOKUP(L1101,'Reference Data'!$A$5:$F$40,3,FALSE),"Unknown")</x:f>
        <x:v>Electronics</x:v>
      </x:c>
      <x:c r="O1101" s="84" t="str">
        <x:f>IFERROR(VLOOKUP(L1101,'Reference Data'!$A$5:$F$40,4,FALSE),"Unknown")</x:f>
        <x:v>Storage</x:v>
      </x:c>
      <x:c r="P1101" s="92" t="n">
        <x:f>IFERROR(VLOOKUP(L1101,'Reference Data'!$A$5:$F$40,5,FALSE),0)</x:f>
        <x:v>129</x:v>
      </x:c>
      <x:c r="Q1101" s="92" t="n">
        <x:f>IFERROR(VLOOKUP(L1101,'Reference Data'!$A$5:$F$40,6,FALSE),0)</x:f>
        <x:v>75</x:v>
      </x:c>
      <x:c r="R1101" s="84" t="n">
        <x:f>'Raw Sales'!J1101</x:f>
        <x:v>6</x:v>
      </x:c>
      <x:c r="S1101" s="87" t="n">
        <x:f>'Raw Sales'!K1101</x:f>
        <x:v>0.05</x:v>
      </x:c>
      <x:c r="T1101" s="93" t="n">
        <x:f>P1101*R1101</x:f>
        <x:v>774</x:v>
      </x:c>
      <x:c r="U1101" s="93" t="n">
        <x:f>T1101*S1101</x:f>
        <x:v>38.7</x:v>
      </x:c>
      <x:c r="V1101" s="93" t="str">
        <x:f>PROPER(TRIM('Raw Sales'!L1101))</x:f>
        <x:v>Returned</x:v>
      </x:c>
      <x:c r="W1101" s="93" t="n">
        <x:f>IF(V1101="Returned",0,T1101-U1101)</x:f>
        <x:v>0</x:v>
      </x:c>
      <x:c r="X1101" s="93" t="n">
        <x:f>IF(V1101="Returned",Q1101*R1101*10%,Q1101*R1101)</x:f>
        <x:v>45</x:v>
      </x:c>
      <x:c r="Y1101" s="93" t="n">
        <x:f>W1101-X1101</x:f>
        <x:v>-45</x:v>
      </x:c>
      <x:c r="Z1101" s="94" t="n">
        <x:f>IFERROR(Y1101/W1101,0)</x:f>
        <x:v>0</x:v>
      </x:c>
      <x:c r="AA1101" s="84" t="str">
        <x:f>PROPER(TRIM('Raw Sales'!M1101))</x:f>
        <x:v>Debit Card</x:v>
      </x:c>
      <x:c r="AB1101" s="84" t="str">
        <x:f>PROPER(TRIM('Raw Sales'!N1101))</x:f>
        <x:v>Ava Mitchell</x:v>
      </x:c>
      <x:c r="AC1101" s="85" t="n">
        <x:f>'Raw Sales'!O1101</x:f>
        <x:v>45654</x:v>
      </x:c>
      <x:c r="AD1101" s="84" t="n">
        <x:f>AC1101-B1101</x:f>
        <x:v>3</x:v>
      </x:c>
      <x:c r="AE1101" s="84" t="str">
        <x:f>IF(COUNTIF($A$5:A1101,A1101)&gt;1,"Duplicate","Keep")</x:f>
        <x:v>Keep</x:v>
      </x:c>
      <x:c r="AF1101" s="84" t="str">
        <x:f>IF(OR(R1101&lt;=0,AC1101&lt;B1101,H1101="Unknown",M1101="Unknown Product"),"Review","Valid")</x:f>
        <x:v>Valid</x:v>
      </x:c>
      <x:c r="AG1101" s="84" t="n">
        <x:f>IF(AND(AE1101="Keep",AF1101="Valid"),1,0)</x:f>
        <x:v>1</x:v>
      </x:c>
      <x:c r="AH1101" s="84" t="n">
        <x:f>IF(AND(AG1101=1,OR('Dashboard'!$B$4="All",I1101='Dashboard'!$B$4),OR('Dashboard'!$E$4="All",N1101='Dashboard'!$E$4),OR('Dashboard'!$H$4="All",K1101='Dashboard'!$H$4),OR('Dashboard'!$K$4="All",C1101='Dashboard'!$K$4)),1,0)</x:f>
        <x:v>1</x:v>
      </x:c>
      <x:c r="AI1101" s="84" t="n">
        <x:f>IF(AND(AG1101=1,OR('Dashboard'!$B$4="All",I1101='Dashboard'!$B$4),OR('Dashboard'!$E$4="All",N1101='Dashboard'!$E$4),OR('Dashboard'!$H$4="All",K1101='Dashboard'!$H$4)),1,0)</x:f>
        <x:v>1</x:v>
      </x:c>
    </x:row>
    <x:row r="1102">
      <x:c r="A1102" s="84" t="str">
        <x:f>'Raw Sales'!A1102</x:f>
        <x:v>ORD-2024-00071</x:v>
      </x:c>
      <x:c r="B1102" s="85" t="n">
        <x:f>'Raw Sales'!B1102</x:f>
        <x:v>45652</x:v>
      </x:c>
      <x:c r="C1102" s="84" t="n">
        <x:f>YEAR(B1102)</x:f>
        <x:v>2024</x:v>
      </x:c>
      <x:c r="D1102" s="91" t="n">
        <x:f>DATE(YEAR(B1102),MONTH(B1102),1)</x:f>
        <x:v>45627</x:v>
      </x:c>
      <x:c r="E1102" s="84" t="str">
        <x:f>TEXT(B1102,"mmm")</x:f>
        <x:v>Dec</x:v>
      </x:c>
      <x:c r="F1102" s="84" t="str">
        <x:f>'Raw Sales'!C1102</x:f>
        <x:v>CUST-0591</x:v>
      </x:c>
      <x:c r="G1102" s="84" t="str">
        <x:f>PROPER(TRIM('Raw Sales'!D1102))</x:f>
        <x:v>Grace Quinn</x:v>
      </x:c>
      <x:c r="H1102" s="84" t="str">
        <x:f>IF(TRIM('Raw Sales'!E1102)="","Unknown",PROPER(TRIM('Raw Sales'!E1102)))</x:f>
        <x:v>Consumer</x:v>
      </x:c>
      <x:c r="I1102" s="84" t="str">
        <x:f>PROPER(TRIM('Raw Sales'!F1102))</x:f>
        <x:v>Northeast</x:v>
      </x:c>
      <x:c r="J1102" s="84" t="str">
        <x:f>PROPER(TRIM('Raw Sales'!G1102))</x:f>
        <x:v>Philadelphia</x:v>
      </x:c>
      <x:c r="K1102" s="84" t="str">
        <x:f>PROPER(TRIM('Raw Sales'!H1102))</x:f>
        <x:v>Retail Store</x:v>
      </x:c>
      <x:c r="L1102" s="84" t="str">
        <x:f>'Raw Sales'!I1102</x:f>
        <x:v>ELEC-004</x:v>
      </x:c>
      <x:c r="M1102" s="84" t="str">
        <x:f>IFERROR(VLOOKUP(L1102,'Reference Data'!$A$5:$F$40,2,FALSE),"Unknown Product")</x:f>
        <x:v>Power Bank</x:v>
      </x:c>
      <x:c r="N1102" s="84" t="str">
        <x:f>IFERROR(VLOOKUP(L1102,'Reference Data'!$A$5:$F$40,3,FALSE),"Unknown")</x:f>
        <x:v>Electronics</x:v>
      </x:c>
      <x:c r="O1102" s="84" t="str">
        <x:f>IFERROR(VLOOKUP(L1102,'Reference Data'!$A$5:$F$40,4,FALSE),"Unknown")</x:f>
        <x:v>Mobile Accessories</x:v>
      </x:c>
      <x:c r="P1102" s="92" t="n">
        <x:f>IFERROR(VLOOKUP(L1102,'Reference Data'!$A$5:$F$40,5,FALSE),0)</x:f>
        <x:v>39</x:v>
      </x:c>
      <x:c r="Q1102" s="92" t="n">
        <x:f>IFERROR(VLOOKUP(L1102,'Reference Data'!$A$5:$F$40,6,FALSE),0)</x:f>
        <x:v>18</x:v>
      </x:c>
      <x:c r="R1102" s="84" t="n">
        <x:f>'Raw Sales'!J1102</x:f>
        <x:v>1</x:v>
      </x:c>
      <x:c r="S1102" s="87" t="n">
        <x:f>'Raw Sales'!K1102</x:f>
        <x:v>0.05</x:v>
      </x:c>
      <x:c r="T1102" s="93" t="n">
        <x:f>P1102*R1102</x:f>
        <x:v>39</x:v>
      </x:c>
      <x:c r="U1102" s="93" t="n">
        <x:f>T1102*S1102</x:f>
        <x:v>1.9500000000000002</x:v>
      </x:c>
      <x:c r="V1102" s="93" t="str">
        <x:f>PROPER(TRIM('Raw Sales'!L1102))</x:f>
        <x:v>Completed</x:v>
      </x:c>
      <x:c r="W1102" s="93" t="n">
        <x:f>IF(V1102="Returned",0,T1102-U1102)</x:f>
        <x:v>37.05</x:v>
      </x:c>
      <x:c r="X1102" s="93" t="n">
        <x:f>IF(V1102="Returned",Q1102*R1102*10%,Q1102*R1102)</x:f>
        <x:v>18</x:v>
      </x:c>
      <x:c r="Y1102" s="93" t="n">
        <x:f>W1102-X1102</x:f>
        <x:v>19.049999999999997</x:v>
      </x:c>
      <x:c r="Z1102" s="94" t="n">
        <x:f>IFERROR(Y1102/W1102,0)</x:f>
        <x:v>0.5141700404858299</x:v>
      </x:c>
      <x:c r="AA1102" s="84" t="str">
        <x:f>PROPER(TRIM('Raw Sales'!M1102))</x:f>
        <x:v>Mobile Wallet</x:v>
      </x:c>
      <x:c r="AB1102" s="84" t="str">
        <x:f>PROPER(TRIM('Raw Sales'!N1102))</x:f>
        <x:v>Ethan Cole</x:v>
      </x:c>
      <x:c r="AC1102" s="85" t="n">
        <x:f>'Raw Sales'!O1102</x:f>
        <x:v>45652</x:v>
      </x:c>
      <x:c r="AD1102" s="84" t="n">
        <x:f>AC1102-B1102</x:f>
        <x:v>0</x:v>
      </x:c>
      <x:c r="AE1102" s="84" t="str">
        <x:f>IF(COUNTIF($A$5:A1102,A1102)&gt;1,"Duplicate","Keep")</x:f>
        <x:v>Keep</x:v>
      </x:c>
      <x:c r="AF1102" s="84" t="str">
        <x:f>IF(OR(R1102&lt;=0,AC1102&lt;B1102,H1102="Unknown",M1102="Unknown Product"),"Review","Valid")</x:f>
        <x:v>Valid</x:v>
      </x:c>
      <x:c r="AG1102" s="84" t="n">
        <x:f>IF(AND(AE1102="Keep",AF1102="Valid"),1,0)</x:f>
        <x:v>1</x:v>
      </x:c>
      <x:c r="AH1102" s="84" t="n">
        <x:f>IF(AND(AG1102=1,OR('Dashboard'!$B$4="All",I1102='Dashboard'!$B$4),OR('Dashboard'!$E$4="All",N1102='Dashboard'!$E$4),OR('Dashboard'!$H$4="All",K1102='Dashboard'!$H$4),OR('Dashboard'!$K$4="All",C1102='Dashboard'!$K$4)),1,0)</x:f>
        <x:v>1</x:v>
      </x:c>
      <x:c r="AI1102" s="84" t="n">
        <x:f>IF(AND(AG1102=1,OR('Dashboard'!$B$4="All",I1102='Dashboard'!$B$4),OR('Dashboard'!$E$4="All",N1102='Dashboard'!$E$4),OR('Dashboard'!$H$4="All",K1102='Dashboard'!$H$4)),1,0)</x:f>
        <x:v>1</x:v>
      </x:c>
    </x:row>
    <x:row r="1103">
      <x:c r="A1103" s="84" t="str">
        <x:f>'Raw Sales'!A1103</x:f>
        <x:v>ORD-2024-00988</x:v>
      </x:c>
      <x:c r="B1103" s="85" t="n">
        <x:f>'Raw Sales'!B1103</x:f>
        <x:v>45652</x:v>
      </x:c>
      <x:c r="C1103" s="84" t="n">
        <x:f>YEAR(B1103)</x:f>
        <x:v>2024</x:v>
      </x:c>
      <x:c r="D1103" s="91" t="n">
        <x:f>DATE(YEAR(B1103),MONTH(B1103),1)</x:f>
        <x:v>45627</x:v>
      </x:c>
      <x:c r="E1103" s="84" t="str">
        <x:f>TEXT(B1103,"mmm")</x:f>
        <x:v>Dec</x:v>
      </x:c>
      <x:c r="F1103" s="84" t="str">
        <x:f>'Raw Sales'!C1103</x:f>
        <x:v>CUST-0200</x:v>
      </x:c>
      <x:c r="G1103" s="84" t="str">
        <x:f>PROPER(TRIM('Raw Sales'!D1103))</x:f>
        <x:v>Priya Patel</x:v>
      </x:c>
      <x:c r="H1103" s="84" t="str">
        <x:f>IF(TRIM('Raw Sales'!E1103)="","Unknown",PROPER(TRIM('Raw Sales'!E1103)))</x:f>
        <x:v>Consumer</x:v>
      </x:c>
      <x:c r="I1103" s="84" t="str">
        <x:f>PROPER(TRIM('Raw Sales'!F1103))</x:f>
        <x:v>Midwest</x:v>
      </x:c>
      <x:c r="J1103" s="84" t="str">
        <x:f>PROPER(TRIM('Raw Sales'!G1103))</x:f>
        <x:v>Detroit</x:v>
      </x:c>
      <x:c r="K1103" s="84" t="str">
        <x:f>PROPER(TRIM('Raw Sales'!H1103))</x:f>
        <x:v>Marketplace</x:v>
      </x:c>
      <x:c r="L1103" s="84" t="str">
        <x:f>'Raw Sales'!I1103</x:f>
        <x:v>HOME-003</x:v>
      </x:c>
      <x:c r="M1103" s="84" t="str">
        <x:f>IFERROR(VLOOKUP(L1103,'Reference Data'!$A$5:$F$40,2,FALSE),"Unknown Product")</x:f>
        <x:v>Countertop Blender</x:v>
      </x:c>
      <x:c r="N1103" s="84" t="str">
        <x:f>IFERROR(VLOOKUP(L1103,'Reference Data'!$A$5:$F$40,3,FALSE),"Unknown")</x:f>
        <x:v>Home &amp; Kitchen</x:v>
      </x:c>
      <x:c r="O1103" s="84" t="str">
        <x:f>IFERROR(VLOOKUP(L1103,'Reference Data'!$A$5:$F$40,4,FALSE),"Unknown")</x:f>
        <x:v>Small Appliances</x:v>
      </x:c>
      <x:c r="P1103" s="92" t="n">
        <x:f>IFERROR(VLOOKUP(L1103,'Reference Data'!$A$5:$F$40,5,FALSE),0)</x:f>
        <x:v>89</x:v>
      </x:c>
      <x:c r="Q1103" s="92" t="n">
        <x:f>IFERROR(VLOOKUP(L1103,'Reference Data'!$A$5:$F$40,6,FALSE),0)</x:f>
        <x:v>46</x:v>
      </x:c>
      <x:c r="R1103" s="84" t="n">
        <x:f>'Raw Sales'!J1103</x:f>
        <x:v>2</x:v>
      </x:c>
      <x:c r="S1103" s="87" t="n">
        <x:f>'Raw Sales'!K1103</x:f>
        <x:v>0.15</x:v>
      </x:c>
      <x:c r="T1103" s="93" t="n">
        <x:f>P1103*R1103</x:f>
        <x:v>178</x:v>
      </x:c>
      <x:c r="U1103" s="93" t="n">
        <x:f>T1103*S1103</x:f>
        <x:v>26.7</x:v>
      </x:c>
      <x:c r="V1103" s="93" t="str">
        <x:f>PROPER(TRIM('Raw Sales'!L1103))</x:f>
        <x:v>Completed</x:v>
      </x:c>
      <x:c r="W1103" s="93" t="n">
        <x:f>IF(V1103="Returned",0,T1103-U1103)</x:f>
        <x:v>151.3</x:v>
      </x:c>
      <x:c r="X1103" s="93" t="n">
        <x:f>IF(V1103="Returned",Q1103*R1103*10%,Q1103*R1103)</x:f>
        <x:v>92</x:v>
      </x:c>
      <x:c r="Y1103" s="93" t="n">
        <x:f>W1103-X1103</x:f>
        <x:v>59.30000000000001</x:v>
      </x:c>
      <x:c r="Z1103" s="94" t="n">
        <x:f>IFERROR(Y1103/W1103,0)</x:f>
        <x:v>0.39193654990085924</x:v>
      </x:c>
      <x:c r="AA1103" s="84" t="str">
        <x:f>PROPER(TRIM('Raw Sales'!M1103))</x:f>
        <x:v>Debit Card</x:v>
      </x:c>
      <x:c r="AB1103" s="84" t="str">
        <x:f>PROPER(TRIM('Raw Sales'!N1103))</x:f>
        <x:v>Emma Hayes</x:v>
      </x:c>
      <x:c r="AC1103" s="85" t="n">
        <x:f>'Raw Sales'!O1103</x:f>
        <x:v>45656</x:v>
      </x:c>
      <x:c r="AD1103" s="84" t="n">
        <x:f>AC1103-B1103</x:f>
        <x:v>4</x:v>
      </x:c>
      <x:c r="AE1103" s="84" t="str">
        <x:f>IF(COUNTIF($A$5:A1103,A1103)&gt;1,"Duplicate","Keep")</x:f>
        <x:v>Keep</x:v>
      </x:c>
      <x:c r="AF1103" s="84" t="str">
        <x:f>IF(OR(R1103&lt;=0,AC1103&lt;B1103,H1103="Unknown",M1103="Unknown Product"),"Review","Valid")</x:f>
        <x:v>Valid</x:v>
      </x:c>
      <x:c r="AG1103" s="84" t="n">
        <x:f>IF(AND(AE1103="Keep",AF1103="Valid"),1,0)</x:f>
        <x:v>1</x:v>
      </x:c>
      <x:c r="AH1103" s="84" t="n">
        <x:f>IF(AND(AG1103=1,OR('Dashboard'!$B$4="All",I1103='Dashboard'!$B$4),OR('Dashboard'!$E$4="All",N1103='Dashboard'!$E$4),OR('Dashboard'!$H$4="All",K1103='Dashboard'!$H$4),OR('Dashboard'!$K$4="All",C1103='Dashboard'!$K$4)),1,0)</x:f>
        <x:v>1</x:v>
      </x:c>
      <x:c r="AI1103" s="84" t="n">
        <x:f>IF(AND(AG1103=1,OR('Dashboard'!$B$4="All",I1103='Dashboard'!$B$4),OR('Dashboard'!$E$4="All",N1103='Dashboard'!$E$4),OR('Dashboard'!$H$4="All",K1103='Dashboard'!$H$4)),1,0)</x:f>
        <x:v>1</x:v>
      </x:c>
    </x:row>
    <x:row r="1104">
      <x:c r="A1104" s="84" t="str">
        <x:f>'Raw Sales'!A1104</x:f>
        <x:v>ORD-2024-01044</x:v>
      </x:c>
      <x:c r="B1104" s="85" t="n">
        <x:f>'Raw Sales'!B1104</x:f>
        <x:v>45652</x:v>
      </x:c>
      <x:c r="C1104" s="84" t="n">
        <x:f>YEAR(B1104)</x:f>
        <x:v>2024</x:v>
      </x:c>
      <x:c r="D1104" s="91" t="n">
        <x:f>DATE(YEAR(B1104),MONTH(B1104),1)</x:f>
        <x:v>45627</x:v>
      </x:c>
      <x:c r="E1104" s="84" t="str">
        <x:f>TEXT(B1104,"mmm")</x:f>
        <x:v>Dec</x:v>
      </x:c>
      <x:c r="F1104" s="84" t="str">
        <x:f>'Raw Sales'!C1104</x:f>
        <x:v>CUST-0200</x:v>
      </x:c>
      <x:c r="G1104" s="84" t="str">
        <x:f>PROPER(TRIM('Raw Sales'!D1104))</x:f>
        <x:v>Priya Patel</x:v>
      </x:c>
      <x:c r="H1104" s="84" t="str">
        <x:f>IF(TRIM('Raw Sales'!E1104)="","Unknown",PROPER(TRIM('Raw Sales'!E1104)))</x:f>
        <x:v>Consumer</x:v>
      </x:c>
      <x:c r="I1104" s="84" t="str">
        <x:f>PROPER(TRIM('Raw Sales'!F1104))</x:f>
        <x:v>Midwest</x:v>
      </x:c>
      <x:c r="J1104" s="84" t="str">
        <x:f>PROPER(TRIM('Raw Sales'!G1104))</x:f>
        <x:v>Detroit</x:v>
      </x:c>
      <x:c r="K1104" s="84" t="str">
        <x:f>PROPER(TRIM('Raw Sales'!H1104))</x:f>
        <x:v>Retail Store</x:v>
      </x:c>
      <x:c r="L1104" s="84" t="str">
        <x:f>'Raw Sales'!I1104</x:f>
        <x:v>ACCS-001</x:v>
      </x:c>
      <x:c r="M1104" s="84" t="str">
        <x:f>IFERROR(VLOOKUP(L1104,'Reference Data'!$A$5:$F$40,2,FALSE),"Unknown Product")</x:f>
        <x:v>Canvas Tote Bag</x:v>
      </x:c>
      <x:c r="N1104" s="84" t="str">
        <x:f>IFERROR(VLOOKUP(L1104,'Reference Data'!$A$5:$F$40,3,FALSE),"Unknown")</x:f>
        <x:v>Accessories</x:v>
      </x:c>
      <x:c r="O1104" s="84" t="str">
        <x:f>IFERROR(VLOOKUP(L1104,'Reference Data'!$A$5:$F$40,4,FALSE),"Unknown")</x:f>
        <x:v>Bags</x:v>
      </x:c>
      <x:c r="P1104" s="92" t="n">
        <x:f>IFERROR(VLOOKUP(L1104,'Reference Data'!$A$5:$F$40,5,FALSE),0)</x:f>
        <x:v>39</x:v>
      </x:c>
      <x:c r="Q1104" s="92" t="n">
        <x:f>IFERROR(VLOOKUP(L1104,'Reference Data'!$A$5:$F$40,6,FALSE),0)</x:f>
        <x:v>14</x:v>
      </x:c>
      <x:c r="R1104" s="84" t="n">
        <x:f>'Raw Sales'!J1104</x:f>
        <x:v>1</x:v>
      </x:c>
      <x:c r="S1104" s="87" t="n">
        <x:f>'Raw Sales'!K1104</x:f>
        <x:v>0</x:v>
      </x:c>
      <x:c r="T1104" s="93" t="n">
        <x:f>P1104*R1104</x:f>
        <x:v>39</x:v>
      </x:c>
      <x:c r="U1104" s="93" t="n">
        <x:f>T1104*S1104</x:f>
        <x:v>0</x:v>
      </x:c>
      <x:c r="V1104" s="93" t="str">
        <x:f>PROPER(TRIM('Raw Sales'!L1104))</x:f>
        <x:v>Completed</x:v>
      </x:c>
      <x:c r="W1104" s="93" t="n">
        <x:f>IF(V1104="Returned",0,T1104-U1104)</x:f>
        <x:v>39</x:v>
      </x:c>
      <x:c r="X1104" s="93" t="n">
        <x:f>IF(V1104="Returned",Q1104*R1104*10%,Q1104*R1104)</x:f>
        <x:v>14</x:v>
      </x:c>
      <x:c r="Y1104" s="93" t="n">
        <x:f>W1104-X1104</x:f>
        <x:v>25</x:v>
      </x:c>
      <x:c r="Z1104" s="94" t="n">
        <x:f>IFERROR(Y1104/W1104,0)</x:f>
        <x:v>0.6410256410256411</x:v>
      </x:c>
      <x:c r="AA1104" s="84" t="str">
        <x:f>PROPER(TRIM('Raw Sales'!M1104))</x:f>
        <x:v>Cash</x:v>
      </x:c>
      <x:c r="AB1104" s="84" t="str">
        <x:f>PROPER(TRIM('Raw Sales'!N1104))</x:f>
        <x:v>Lucas Grant</x:v>
      </x:c>
      <x:c r="AC1104" s="85" t="n">
        <x:f>'Raw Sales'!O1104</x:f>
        <x:v>45652</x:v>
      </x:c>
      <x:c r="AD1104" s="84" t="n">
        <x:f>AC1104-B1104</x:f>
        <x:v>0</x:v>
      </x:c>
      <x:c r="AE1104" s="84" t="str">
        <x:f>IF(COUNTIF($A$5:A1104,A1104)&gt;1,"Duplicate","Keep")</x:f>
        <x:v>Keep</x:v>
      </x:c>
      <x:c r="AF1104" s="84" t="str">
        <x:f>IF(OR(R1104&lt;=0,AC1104&lt;B1104,H1104="Unknown",M1104="Unknown Product"),"Review","Valid")</x:f>
        <x:v>Valid</x:v>
      </x:c>
      <x:c r="AG1104" s="84" t="n">
        <x:f>IF(AND(AE1104="Keep",AF1104="Valid"),1,0)</x:f>
        <x:v>1</x:v>
      </x:c>
      <x:c r="AH1104" s="84" t="n">
        <x:f>IF(AND(AG1104=1,OR('Dashboard'!$B$4="All",I1104='Dashboard'!$B$4),OR('Dashboard'!$E$4="All",N1104='Dashboard'!$E$4),OR('Dashboard'!$H$4="All",K1104='Dashboard'!$H$4),OR('Dashboard'!$K$4="All",C1104='Dashboard'!$K$4)),1,0)</x:f>
        <x:v>1</x:v>
      </x:c>
      <x:c r="AI1104" s="84" t="n">
        <x:f>IF(AND(AG1104=1,OR('Dashboard'!$B$4="All",I1104='Dashboard'!$B$4),OR('Dashboard'!$E$4="All",N1104='Dashboard'!$E$4),OR('Dashboard'!$H$4="All",K1104='Dashboard'!$H$4)),1,0)</x:f>
        <x:v>1</x:v>
      </x:c>
    </x:row>
    <x:row r="1105">
      <x:c r="A1105" s="84" t="str">
        <x:f>'Raw Sales'!A1105</x:f>
        <x:v>ORD-2024-01825</x:v>
      </x:c>
      <x:c r="B1105" s="85" t="n">
        <x:f>'Raw Sales'!B1105</x:f>
        <x:v>45652</x:v>
      </x:c>
      <x:c r="C1105" s="84" t="n">
        <x:f>YEAR(B1105)</x:f>
        <x:v>2024</x:v>
      </x:c>
      <x:c r="D1105" s="91" t="n">
        <x:f>DATE(YEAR(B1105),MONTH(B1105),1)</x:f>
        <x:v>45627</x:v>
      </x:c>
      <x:c r="E1105" s="84" t="str">
        <x:f>TEXT(B1105,"mmm")</x:f>
        <x:v>Dec</x:v>
      </x:c>
      <x:c r="F1105" s="84" t="str">
        <x:f>'Raw Sales'!C1105</x:f>
        <x:v>CUST-0172</x:v>
      </x:c>
      <x:c r="G1105" s="84" t="str">
        <x:f>PROPER(TRIM('Raw Sales'!D1105))</x:f>
        <x:v>Amelia Young</x:v>
      </x:c>
      <x:c r="H1105" s="84" t="str">
        <x:f>IF(TRIM('Raw Sales'!E1105)="","Unknown",PROPER(TRIM('Raw Sales'!E1105)))</x:f>
        <x:v>Consumer</x:v>
      </x:c>
      <x:c r="I1105" s="84" t="str">
        <x:f>PROPER(TRIM('Raw Sales'!F1105))</x:f>
        <x:v>Midwest</x:v>
      </x:c>
      <x:c r="J1105" s="84" t="str">
        <x:f>PROPER(TRIM('Raw Sales'!G1105))</x:f>
        <x:v>Columbus</x:v>
      </x:c>
      <x:c r="K1105" s="84" t="str">
        <x:f>PROPER(TRIM('Raw Sales'!H1105))</x:f>
        <x:v>Online</x:v>
      </x:c>
      <x:c r="L1105" s="84" t="str">
        <x:f>'Raw Sales'!I1105</x:f>
        <x:v>CARE-003</x:v>
      </x:c>
      <x:c r="M1105" s="84" t="str">
        <x:f>IFERROR(VLOOKUP(L1105,'Reference Data'!$A$5:$F$40,2,FALSE),"Unknown Product")</x:f>
        <x:v>Facial Cleanser</x:v>
      </x:c>
      <x:c r="N1105" s="84" t="str">
        <x:f>IFERROR(VLOOKUP(L1105,'Reference Data'!$A$5:$F$40,3,FALSE),"Unknown")</x:f>
        <x:v>Personal Care</x:v>
      </x:c>
      <x:c r="O1105" s="84" t="str">
        <x:f>IFERROR(VLOOKUP(L1105,'Reference Data'!$A$5:$F$40,4,FALSE),"Unknown")</x:f>
        <x:v>Skin Care</x:v>
      </x:c>
      <x:c r="P1105" s="92" t="n">
        <x:f>IFERROR(VLOOKUP(L1105,'Reference Data'!$A$5:$F$40,5,FALSE),0)</x:f>
        <x:v>18</x:v>
      </x:c>
      <x:c r="Q1105" s="92" t="n">
        <x:f>IFERROR(VLOOKUP(L1105,'Reference Data'!$A$5:$F$40,6,FALSE),0)</x:f>
        <x:v>6</x:v>
      </x:c>
      <x:c r="R1105" s="84" t="n">
        <x:f>'Raw Sales'!J1105</x:f>
        <x:v>3</x:v>
      </x:c>
      <x:c r="S1105" s="87" t="n">
        <x:f>'Raw Sales'!K1105</x:f>
        <x:v>0.1</x:v>
      </x:c>
      <x:c r="T1105" s="93" t="n">
        <x:f>P1105*R1105</x:f>
        <x:v>54</x:v>
      </x:c>
      <x:c r="U1105" s="93" t="n">
        <x:f>T1105*S1105</x:f>
        <x:v>5.4</x:v>
      </x:c>
      <x:c r="V1105" s="93" t="str">
        <x:f>PROPER(TRIM('Raw Sales'!L1105))</x:f>
        <x:v>Completed</x:v>
      </x:c>
      <x:c r="W1105" s="93" t="n">
        <x:f>IF(V1105="Returned",0,T1105-U1105)</x:f>
        <x:v>48.6</x:v>
      </x:c>
      <x:c r="X1105" s="93" t="n">
        <x:f>IF(V1105="Returned",Q1105*R1105*10%,Q1105*R1105)</x:f>
        <x:v>18</x:v>
      </x:c>
      <x:c r="Y1105" s="93" t="n">
        <x:f>W1105-X1105</x:f>
        <x:v>30.6</x:v>
      </x:c>
      <x:c r="Z1105" s="94" t="n">
        <x:f>IFERROR(Y1105/W1105,0)</x:f>
        <x:v>0.6296296296296297</x:v>
      </x:c>
      <x:c r="AA1105" s="84" t="str">
        <x:f>PROPER(TRIM('Raw Sales'!M1105))</x:f>
        <x:v>Paypal</x:v>
      </x:c>
      <x:c r="AB1105" s="84" t="str">
        <x:f>PROPER(TRIM('Raw Sales'!N1105))</x:f>
        <x:v>Lucas Grant</x:v>
      </x:c>
      <x:c r="AC1105" s="85" t="n">
        <x:f>'Raw Sales'!O1105</x:f>
        <x:v>45658</x:v>
      </x:c>
      <x:c r="AD1105" s="84" t="n">
        <x:f>AC1105-B1105</x:f>
        <x:v>6</x:v>
      </x:c>
      <x:c r="AE1105" s="84" t="str">
        <x:f>IF(COUNTIF($A$5:A1105,A1105)&gt;1,"Duplicate","Keep")</x:f>
        <x:v>Keep</x:v>
      </x:c>
      <x:c r="AF1105" s="84" t="str">
        <x:f>IF(OR(R1105&lt;=0,AC1105&lt;B1105,H1105="Unknown",M1105="Unknown Product"),"Review","Valid")</x:f>
        <x:v>Valid</x:v>
      </x:c>
      <x:c r="AG1105" s="84" t="n">
        <x:f>IF(AND(AE1105="Keep",AF1105="Valid"),1,0)</x:f>
        <x:v>1</x:v>
      </x:c>
      <x:c r="AH1105" s="84" t="n">
        <x:f>IF(AND(AG1105=1,OR('Dashboard'!$B$4="All",I1105='Dashboard'!$B$4),OR('Dashboard'!$E$4="All",N1105='Dashboard'!$E$4),OR('Dashboard'!$H$4="All",K1105='Dashboard'!$H$4),OR('Dashboard'!$K$4="All",C1105='Dashboard'!$K$4)),1,0)</x:f>
        <x:v>1</x:v>
      </x:c>
      <x:c r="AI1105" s="84" t="n">
        <x:f>IF(AND(AG1105=1,OR('Dashboard'!$B$4="All",I1105='Dashboard'!$B$4),OR('Dashboard'!$E$4="All",N1105='Dashboard'!$E$4),OR('Dashboard'!$H$4="All",K1105='Dashboard'!$H$4)),1,0)</x:f>
        <x:v>1</x:v>
      </x:c>
    </x:row>
    <x:row r="1106">
      <x:c r="A1106" s="84" t="str">
        <x:f>'Raw Sales'!A1106</x:f>
        <x:v>ORD-2024-00682</x:v>
      </x:c>
      <x:c r="B1106" s="85" t="n">
        <x:f>'Raw Sales'!B1106</x:f>
        <x:v>45653</x:v>
      </x:c>
      <x:c r="C1106" s="84" t="n">
        <x:f>YEAR(B1106)</x:f>
        <x:v>2024</x:v>
      </x:c>
      <x:c r="D1106" s="91" t="n">
        <x:f>DATE(YEAR(B1106),MONTH(B1106),1)</x:f>
        <x:v>45627</x:v>
      </x:c>
      <x:c r="E1106" s="84" t="str">
        <x:f>TEXT(B1106,"mmm")</x:f>
        <x:v>Dec</x:v>
      </x:c>
      <x:c r="F1106" s="84" t="str">
        <x:f>'Raw Sales'!C1106</x:f>
        <x:v>CUST-0183</x:v>
      </x:c>
      <x:c r="G1106" s="84" t="str">
        <x:f>PROPER(TRIM('Raw Sales'!D1106))</x:f>
        <x:v>Jasmine Taylor</x:v>
      </x:c>
      <x:c r="H1106" s="84" t="str">
        <x:f>IF(TRIM('Raw Sales'!E1106)="","Unknown",PROPER(TRIM('Raw Sales'!E1106)))</x:f>
        <x:v>Corporate</x:v>
      </x:c>
      <x:c r="I1106" s="84" t="str">
        <x:f>PROPER(TRIM('Raw Sales'!F1106))</x:f>
        <x:v>West</x:v>
      </x:c>
      <x:c r="J1106" s="84" t="str">
        <x:f>PROPER(TRIM('Raw Sales'!G1106))</x:f>
        <x:v>Denver</x:v>
      </x:c>
      <x:c r="K1106" s="84" t="str">
        <x:f>PROPER(TRIM('Raw Sales'!H1106))</x:f>
        <x:v>Online</x:v>
      </x:c>
      <x:c r="L1106" s="84" t="str">
        <x:f>'Raw Sales'!I1106</x:f>
        <x:v>HOME-005</x:v>
      </x:c>
      <x:c r="M1106" s="84" t="str">
        <x:f>IFERROR(VLOOKUP(L1106,'Reference Data'!$A$5:$F$40,2,FALSE),"Unknown Product")</x:f>
        <x:v>Cordless Vacuum</x:v>
      </x:c>
      <x:c r="N1106" s="84" t="str">
        <x:f>IFERROR(VLOOKUP(L1106,'Reference Data'!$A$5:$F$40,3,FALSE),"Unknown")</x:f>
        <x:v>Home &amp; Kitchen</x:v>
      </x:c>
      <x:c r="O1106" s="84" t="str">
        <x:f>IFERROR(VLOOKUP(L1106,'Reference Data'!$A$5:$F$40,4,FALSE),"Unknown")</x:f>
        <x:v>Cleaning</x:v>
      </x:c>
      <x:c r="P1106" s="92" t="n">
        <x:f>IFERROR(VLOOKUP(L1106,'Reference Data'!$A$5:$F$40,5,FALSE),0)</x:f>
        <x:v>179</x:v>
      </x:c>
      <x:c r="Q1106" s="92" t="n">
        <x:f>IFERROR(VLOOKUP(L1106,'Reference Data'!$A$5:$F$40,6,FALSE),0)</x:f>
        <x:v>102</x:v>
      </x:c>
      <x:c r="R1106" s="84" t="n">
        <x:f>'Raw Sales'!J1106</x:f>
        <x:v>2</x:v>
      </x:c>
      <x:c r="S1106" s="87" t="n">
        <x:f>'Raw Sales'!K1106</x:f>
        <x:v>0.05</x:v>
      </x:c>
      <x:c r="T1106" s="93" t="n">
        <x:f>P1106*R1106</x:f>
        <x:v>358</x:v>
      </x:c>
      <x:c r="U1106" s="93" t="n">
        <x:f>T1106*S1106</x:f>
        <x:v>17.900000000000002</x:v>
      </x:c>
      <x:c r="V1106" s="93" t="str">
        <x:f>PROPER(TRIM('Raw Sales'!L1106))</x:f>
        <x:v>Completed</x:v>
      </x:c>
      <x:c r="W1106" s="93" t="n">
        <x:f>IF(V1106="Returned",0,T1106-U1106)</x:f>
        <x:v>340.1</x:v>
      </x:c>
      <x:c r="X1106" s="93" t="n">
        <x:f>IF(V1106="Returned",Q1106*R1106*10%,Q1106*R1106)</x:f>
        <x:v>204</x:v>
      </x:c>
      <x:c r="Y1106" s="93" t="n">
        <x:f>W1106-X1106</x:f>
        <x:v>136.10000000000002</x:v>
      </x:c>
      <x:c r="Z1106" s="94" t="n">
        <x:f>IFERROR(Y1106/W1106,0)</x:f>
        <x:v>0.4001764187003823</x:v>
      </x:c>
      <x:c r="AA1106" s="84" t="str">
        <x:f>PROPER(TRIM('Raw Sales'!M1106))</x:f>
        <x:v>Debit Card</x:v>
      </x:c>
      <x:c r="AB1106" s="84" t="str">
        <x:f>PROPER(TRIM('Raw Sales'!N1106))</x:f>
        <x:v>Mia Chen</x:v>
      </x:c>
      <x:c r="AC1106" s="85" t="n">
        <x:f>'Raw Sales'!O1106</x:f>
        <x:v>45657</x:v>
      </x:c>
      <x:c r="AD1106" s="84" t="n">
        <x:f>AC1106-B1106</x:f>
        <x:v>4</x:v>
      </x:c>
      <x:c r="AE1106" s="84" t="str">
        <x:f>IF(COUNTIF($A$5:A1106,A1106)&gt;1,"Duplicate","Keep")</x:f>
        <x:v>Keep</x:v>
      </x:c>
      <x:c r="AF1106" s="84" t="str">
        <x:f>IF(OR(R1106&lt;=0,AC1106&lt;B1106,H1106="Unknown",M1106="Unknown Product"),"Review","Valid")</x:f>
        <x:v>Valid</x:v>
      </x:c>
      <x:c r="AG1106" s="84" t="n">
        <x:f>IF(AND(AE1106="Keep",AF1106="Valid"),1,0)</x:f>
        <x:v>1</x:v>
      </x:c>
      <x:c r="AH1106" s="84" t="n">
        <x:f>IF(AND(AG1106=1,OR('Dashboard'!$B$4="All",I1106='Dashboard'!$B$4),OR('Dashboard'!$E$4="All",N1106='Dashboard'!$E$4),OR('Dashboard'!$H$4="All",K1106='Dashboard'!$H$4),OR('Dashboard'!$K$4="All",C1106='Dashboard'!$K$4)),1,0)</x:f>
        <x:v>1</x:v>
      </x:c>
      <x:c r="AI1106" s="84" t="n">
        <x:f>IF(AND(AG1106=1,OR('Dashboard'!$B$4="All",I1106='Dashboard'!$B$4),OR('Dashboard'!$E$4="All",N1106='Dashboard'!$E$4),OR('Dashboard'!$H$4="All",K1106='Dashboard'!$H$4)),1,0)</x:f>
        <x:v>1</x:v>
      </x:c>
    </x:row>
    <x:row r="1107">
      <x:c r="A1107" s="84" t="str">
        <x:f>'Raw Sales'!A1107</x:f>
        <x:v>ORD-2024-01993</x:v>
      </x:c>
      <x:c r="B1107" s="85" t="n">
        <x:f>'Raw Sales'!B1107</x:f>
        <x:v>45653</x:v>
      </x:c>
      <x:c r="C1107" s="84" t="n">
        <x:f>YEAR(B1107)</x:f>
        <x:v>2024</x:v>
      </x:c>
      <x:c r="D1107" s="91" t="n">
        <x:f>DATE(YEAR(B1107),MONTH(B1107),1)</x:f>
        <x:v>45627</x:v>
      </x:c>
      <x:c r="E1107" s="84" t="str">
        <x:f>TEXT(B1107,"mmm")</x:f>
        <x:v>Dec</x:v>
      </x:c>
      <x:c r="F1107" s="84" t="str">
        <x:f>'Raw Sales'!C1107</x:f>
        <x:v>CUST-0227</x:v>
      </x:c>
      <x:c r="G1107" s="84" t="str">
        <x:f>PROPER(TRIM('Raw Sales'!D1107))</x:f>
        <x:v>Maya Foster</x:v>
      </x:c>
      <x:c r="H1107" s="84" t="str">
        <x:f>IF(TRIM('Raw Sales'!E1107)="","Unknown",PROPER(TRIM('Raw Sales'!E1107)))</x:f>
        <x:v>Consumer</x:v>
      </x:c>
      <x:c r="I1107" s="84" t="str">
        <x:f>PROPER(TRIM('Raw Sales'!F1107))</x:f>
        <x:v>West</x:v>
      </x:c>
      <x:c r="J1107" s="84" t="str">
        <x:f>PROPER(TRIM('Raw Sales'!G1107))</x:f>
        <x:v>Phoenix</x:v>
      </x:c>
      <x:c r="K1107" s="84" t="str">
        <x:f>PROPER(TRIM('Raw Sales'!H1107))</x:f>
        <x:v>Marketplace</x:v>
      </x:c>
      <x:c r="L1107" s="84" t="str">
        <x:f>'Raw Sales'!I1107</x:f>
        <x:v>ACCS-002</x:v>
      </x:c>
      <x:c r="M1107" s="84" t="str">
        <x:f>IFERROR(VLOOKUP(L1107,'Reference Data'!$A$5:$F$40,2,FALSE),"Unknown Product")</x:f>
        <x:v>Travel Backpack</x:v>
      </x:c>
      <x:c r="N1107" s="84" t="str">
        <x:f>IFERROR(VLOOKUP(L1107,'Reference Data'!$A$5:$F$40,3,FALSE),"Unknown")</x:f>
        <x:v>Accessories</x:v>
      </x:c>
      <x:c r="O1107" s="84" t="str">
        <x:f>IFERROR(VLOOKUP(L1107,'Reference Data'!$A$5:$F$40,4,FALSE),"Unknown")</x:f>
        <x:v>Bags</x:v>
      </x:c>
      <x:c r="P1107" s="92" t="n">
        <x:f>IFERROR(VLOOKUP(L1107,'Reference Data'!$A$5:$F$40,5,FALSE),0)</x:f>
        <x:v>89</x:v>
      </x:c>
      <x:c r="Q1107" s="92" t="n">
        <x:f>IFERROR(VLOOKUP(L1107,'Reference Data'!$A$5:$F$40,6,FALSE),0)</x:f>
        <x:v>36</x:v>
      </x:c>
      <x:c r="R1107" s="84" t="n">
        <x:f>'Raw Sales'!J1107</x:f>
        <x:v>1</x:v>
      </x:c>
      <x:c r="S1107" s="87" t="n">
        <x:f>'Raw Sales'!K1107</x:f>
        <x:v>0.2</x:v>
      </x:c>
      <x:c r="T1107" s="93" t="n">
        <x:f>P1107*R1107</x:f>
        <x:v>89</x:v>
      </x:c>
      <x:c r="U1107" s="93" t="n">
        <x:f>T1107*S1107</x:f>
        <x:v>17.8</x:v>
      </x:c>
      <x:c r="V1107" s="93" t="str">
        <x:f>PROPER(TRIM('Raw Sales'!L1107))</x:f>
        <x:v>Completed</x:v>
      </x:c>
      <x:c r="W1107" s="93" t="n">
        <x:f>IF(V1107="Returned",0,T1107-U1107)</x:f>
        <x:v>71.2</x:v>
      </x:c>
      <x:c r="X1107" s="93" t="n">
        <x:f>IF(V1107="Returned",Q1107*R1107*10%,Q1107*R1107)</x:f>
        <x:v>36</x:v>
      </x:c>
      <x:c r="Y1107" s="93" t="n">
        <x:f>W1107-X1107</x:f>
        <x:v>35.2</x:v>
      </x:c>
      <x:c r="Z1107" s="94" t="n">
        <x:f>IFERROR(Y1107/W1107,0)</x:f>
        <x:v>0.49438202247191015</x:v>
      </x:c>
      <x:c r="AA1107" s="84" t="str">
        <x:f>PROPER(TRIM('Raw Sales'!M1107))</x:f>
        <x:v>Credit Card</x:v>
      </x:c>
      <x:c r="AB1107" s="84" t="str">
        <x:f>PROPER(TRIM('Raw Sales'!N1107))</x:f>
        <x:v>Nora Kim</x:v>
      </x:c>
      <x:c r="AC1107" s="85" t="n">
        <x:f>'Raw Sales'!O1107</x:f>
        <x:v>45659</x:v>
      </x:c>
      <x:c r="AD1107" s="84" t="n">
        <x:f>AC1107-B1107</x:f>
        <x:v>6</x:v>
      </x:c>
      <x:c r="AE1107" s="84" t="str">
        <x:f>IF(COUNTIF($A$5:A1107,A1107)&gt;1,"Duplicate","Keep")</x:f>
        <x:v>Keep</x:v>
      </x:c>
      <x:c r="AF1107" s="84" t="str">
        <x:f>IF(OR(R1107&lt;=0,AC1107&lt;B1107,H1107="Unknown",M1107="Unknown Product"),"Review","Valid")</x:f>
        <x:v>Valid</x:v>
      </x:c>
      <x:c r="AG1107" s="84" t="n">
        <x:f>IF(AND(AE1107="Keep",AF1107="Valid"),1,0)</x:f>
        <x:v>1</x:v>
      </x:c>
      <x:c r="AH1107" s="84" t="n">
        <x:f>IF(AND(AG1107=1,OR('Dashboard'!$B$4="All",I1107='Dashboard'!$B$4),OR('Dashboard'!$E$4="All",N1107='Dashboard'!$E$4),OR('Dashboard'!$H$4="All",K1107='Dashboard'!$H$4),OR('Dashboard'!$K$4="All",C1107='Dashboard'!$K$4)),1,0)</x:f>
        <x:v>1</x:v>
      </x:c>
      <x:c r="AI1107" s="84" t="n">
        <x:f>IF(AND(AG1107=1,OR('Dashboard'!$B$4="All",I1107='Dashboard'!$B$4),OR('Dashboard'!$E$4="All",N1107='Dashboard'!$E$4),OR('Dashboard'!$H$4="All",K1107='Dashboard'!$H$4)),1,0)</x:f>
        <x:v>1</x:v>
      </x:c>
    </x:row>
    <x:row r="1108">
      <x:c r="A1108" s="84" t="str">
        <x:f>'Raw Sales'!A1108</x:f>
        <x:v>ORD-2024-02005</x:v>
      </x:c>
      <x:c r="B1108" s="85" t="n">
        <x:f>'Raw Sales'!B1108</x:f>
        <x:v>45653</x:v>
      </x:c>
      <x:c r="C1108" s="84" t="n">
        <x:f>YEAR(B1108)</x:f>
        <x:v>2024</x:v>
      </x:c>
      <x:c r="D1108" s="91" t="n">
        <x:f>DATE(YEAR(B1108),MONTH(B1108),1)</x:f>
        <x:v>45627</x:v>
      </x:c>
      <x:c r="E1108" s="84" t="str">
        <x:f>TEXT(B1108,"mmm")</x:f>
        <x:v>Dec</x:v>
      </x:c>
      <x:c r="F1108" s="84" t="str">
        <x:f>'Raw Sales'!C1108</x:f>
        <x:v>CUST-0163</x:v>
      </x:c>
      <x:c r="G1108" s="84" t="str">
        <x:f>PROPER(TRIM('Raw Sales'!D1108))</x:f>
        <x:v>Aiden Davis</x:v>
      </x:c>
      <x:c r="H1108" s="84" t="str">
        <x:f>IF(TRIM('Raw Sales'!E1108)="","Unknown",PROPER(TRIM('Raw Sales'!E1108)))</x:f>
        <x:v>Consumer</x:v>
      </x:c>
      <x:c r="I1108" s="84" t="str">
        <x:f>PROPER(TRIM('Raw Sales'!F1108))</x:f>
        <x:v>Midwest</x:v>
      </x:c>
      <x:c r="J1108" s="84" t="str">
        <x:f>PROPER(TRIM('Raw Sales'!G1108))</x:f>
        <x:v>Chicago</x:v>
      </x:c>
      <x:c r="K1108" s="84" t="str">
        <x:f>PROPER(TRIM('Raw Sales'!H1108))</x:f>
        <x:v>Marketplace</x:v>
      </x:c>
      <x:c r="L1108" s="84" t="str">
        <x:f>'Raw Sales'!I1108</x:f>
        <x:v>HOME-003</x:v>
      </x:c>
      <x:c r="M1108" s="84" t="str">
        <x:f>IFERROR(VLOOKUP(L1108,'Reference Data'!$A$5:$F$40,2,FALSE),"Unknown Product")</x:f>
        <x:v>Countertop Blender</x:v>
      </x:c>
      <x:c r="N1108" s="84" t="str">
        <x:f>IFERROR(VLOOKUP(L1108,'Reference Data'!$A$5:$F$40,3,FALSE),"Unknown")</x:f>
        <x:v>Home &amp; Kitchen</x:v>
      </x:c>
      <x:c r="O1108" s="84" t="str">
        <x:f>IFERROR(VLOOKUP(L1108,'Reference Data'!$A$5:$F$40,4,FALSE),"Unknown")</x:f>
        <x:v>Small Appliances</x:v>
      </x:c>
      <x:c r="P1108" s="92" t="n">
        <x:f>IFERROR(VLOOKUP(L1108,'Reference Data'!$A$5:$F$40,5,FALSE),0)</x:f>
        <x:v>89</x:v>
      </x:c>
      <x:c r="Q1108" s="92" t="n">
        <x:f>IFERROR(VLOOKUP(L1108,'Reference Data'!$A$5:$F$40,6,FALSE),0)</x:f>
        <x:v>46</x:v>
      </x:c>
      <x:c r="R1108" s="84" t="n">
        <x:f>'Raw Sales'!J1108</x:f>
        <x:v>3</x:v>
      </x:c>
      <x:c r="S1108" s="87" t="n">
        <x:f>'Raw Sales'!K1108</x:f>
        <x:v>0.15</x:v>
      </x:c>
      <x:c r="T1108" s="93" t="n">
        <x:f>P1108*R1108</x:f>
        <x:v>267</x:v>
      </x:c>
      <x:c r="U1108" s="93" t="n">
        <x:f>T1108*S1108</x:f>
        <x:v>40.05</x:v>
      </x:c>
      <x:c r="V1108" s="93" t="str">
        <x:f>PROPER(TRIM('Raw Sales'!L1108))</x:f>
        <x:v>Completed</x:v>
      </x:c>
      <x:c r="W1108" s="93" t="n">
        <x:f>IF(V1108="Returned",0,T1108-U1108)</x:f>
        <x:v>226.95</x:v>
      </x:c>
      <x:c r="X1108" s="93" t="n">
        <x:f>IF(V1108="Returned",Q1108*R1108*10%,Q1108*R1108)</x:f>
        <x:v>138</x:v>
      </x:c>
      <x:c r="Y1108" s="93" t="n">
        <x:f>W1108-X1108</x:f>
        <x:v>88.94999999999999</x:v>
      </x:c>
      <x:c r="Z1108" s="94" t="n">
        <x:f>IFERROR(Y1108/W1108,0)</x:f>
        <x:v>0.3919365499008592</x:v>
      </x:c>
      <x:c r="AA1108" s="84" t="str">
        <x:f>PROPER(TRIM('Raw Sales'!M1108))</x:f>
        <x:v>Credit Card</x:v>
      </x:c>
      <x:c r="AB1108" s="84" t="str">
        <x:f>PROPER(TRIM('Raw Sales'!N1108))</x:f>
        <x:v>Lucas Grant</x:v>
      </x:c>
      <x:c r="AC1108" s="85" t="n">
        <x:f>'Raw Sales'!O1108</x:f>
        <x:v>45659</x:v>
      </x:c>
      <x:c r="AD1108" s="84" t="n">
        <x:f>AC1108-B1108</x:f>
        <x:v>6</x:v>
      </x:c>
      <x:c r="AE1108" s="84" t="str">
        <x:f>IF(COUNTIF($A$5:A1108,A1108)&gt;1,"Duplicate","Keep")</x:f>
        <x:v>Keep</x:v>
      </x:c>
      <x:c r="AF1108" s="84" t="str">
        <x:f>IF(OR(R1108&lt;=0,AC1108&lt;B1108,H1108="Unknown",M1108="Unknown Product"),"Review","Valid")</x:f>
        <x:v>Valid</x:v>
      </x:c>
      <x:c r="AG1108" s="84" t="n">
        <x:f>IF(AND(AE1108="Keep",AF1108="Valid"),1,0)</x:f>
        <x:v>1</x:v>
      </x:c>
      <x:c r="AH1108" s="84" t="n">
        <x:f>IF(AND(AG1108=1,OR('Dashboard'!$B$4="All",I1108='Dashboard'!$B$4),OR('Dashboard'!$E$4="All",N1108='Dashboard'!$E$4),OR('Dashboard'!$H$4="All",K1108='Dashboard'!$H$4),OR('Dashboard'!$K$4="All",C1108='Dashboard'!$K$4)),1,0)</x:f>
        <x:v>1</x:v>
      </x:c>
      <x:c r="AI1108" s="84" t="n">
        <x:f>IF(AND(AG1108=1,OR('Dashboard'!$B$4="All",I1108='Dashboard'!$B$4),OR('Dashboard'!$E$4="All",N1108='Dashboard'!$E$4),OR('Dashboard'!$H$4="All",K1108='Dashboard'!$H$4)),1,0)</x:f>
        <x:v>1</x:v>
      </x:c>
    </x:row>
    <x:row r="1109">
      <x:c r="A1109" s="84" t="str">
        <x:f>'Raw Sales'!A1109</x:f>
        <x:v>ORD-2024-00004</x:v>
      </x:c>
      <x:c r="B1109" s="85" t="n">
        <x:f>'Raw Sales'!B1109</x:f>
        <x:v>45654</x:v>
      </x:c>
      <x:c r="C1109" s="84" t="n">
        <x:f>YEAR(B1109)</x:f>
        <x:v>2024</x:v>
      </x:c>
      <x:c r="D1109" s="91" t="n">
        <x:f>DATE(YEAR(B1109),MONTH(B1109),1)</x:f>
        <x:v>45627</x:v>
      </x:c>
      <x:c r="E1109" s="84" t="str">
        <x:f>TEXT(B1109,"mmm")</x:f>
        <x:v>Dec</x:v>
      </x:c>
      <x:c r="F1109" s="84" t="str">
        <x:f>'Raw Sales'!C1109</x:f>
        <x:v>CUST-0371</x:v>
      </x:c>
      <x:c r="G1109" s="84" t="str">
        <x:f>PROPER(TRIM('Raw Sales'!D1109))</x:f>
        <x:v>Sara Moore</x:v>
      </x:c>
      <x:c r="H1109" s="84" t="str">
        <x:f>IF(TRIM('Raw Sales'!E1109)="","Unknown",PROPER(TRIM('Raw Sales'!E1109)))</x:f>
        <x:v>Small Business</x:v>
      </x:c>
      <x:c r="I1109" s="84" t="str">
        <x:f>PROPER(TRIM('Raw Sales'!F1109))</x:f>
        <x:v>West</x:v>
      </x:c>
      <x:c r="J1109" s="84" t="str">
        <x:f>PROPER(TRIM('Raw Sales'!G1109))</x:f>
        <x:v>Seattle</x:v>
      </x:c>
      <x:c r="K1109" s="84" t="str">
        <x:f>PROPER(TRIM('Raw Sales'!H1109))</x:f>
        <x:v>Marketplace</x:v>
      </x:c>
      <x:c r="L1109" s="84" t="str">
        <x:f>'Raw Sales'!I1109</x:f>
        <x:v>ELEC-006</x:v>
      </x:c>
      <x:c r="M1109" s="84" t="str">
        <x:f>IFERROR(VLOOKUP(L1109,'Reference Data'!$A$5:$F$40,2,FALSE),"Unknown Product")</x:f>
        <x:v>Portable SSD</x:v>
      </x:c>
      <x:c r="N1109" s="84" t="str">
        <x:f>IFERROR(VLOOKUP(L1109,'Reference Data'!$A$5:$F$40,3,FALSE),"Unknown")</x:f>
        <x:v>Electronics</x:v>
      </x:c>
      <x:c r="O1109" s="84" t="str">
        <x:f>IFERROR(VLOOKUP(L1109,'Reference Data'!$A$5:$F$40,4,FALSE),"Unknown")</x:f>
        <x:v>Storage</x:v>
      </x:c>
      <x:c r="P1109" s="92" t="n">
        <x:f>IFERROR(VLOOKUP(L1109,'Reference Data'!$A$5:$F$40,5,FALSE),0)</x:f>
        <x:v>129</x:v>
      </x:c>
      <x:c r="Q1109" s="92" t="n">
        <x:f>IFERROR(VLOOKUP(L1109,'Reference Data'!$A$5:$F$40,6,FALSE),0)</x:f>
        <x:v>75</x:v>
      </x:c>
      <x:c r="R1109" s="84" t="n">
        <x:f>'Raw Sales'!J1109</x:f>
        <x:v>3</x:v>
      </x:c>
      <x:c r="S1109" s="87" t="n">
        <x:f>'Raw Sales'!K1109</x:f>
        <x:v>0.15</x:v>
      </x:c>
      <x:c r="T1109" s="93" t="n">
        <x:f>P1109*R1109</x:f>
        <x:v>387</x:v>
      </x:c>
      <x:c r="U1109" s="93" t="n">
        <x:f>T1109*S1109</x:f>
        <x:v>58.05</x:v>
      </x:c>
      <x:c r="V1109" s="93" t="str">
        <x:f>PROPER(TRIM('Raw Sales'!L1109))</x:f>
        <x:v>Completed</x:v>
      </x:c>
      <x:c r="W1109" s="93" t="n">
        <x:f>IF(V1109="Returned",0,T1109-U1109)</x:f>
        <x:v>328.95</x:v>
      </x:c>
      <x:c r="X1109" s="93" t="n">
        <x:f>IF(V1109="Returned",Q1109*R1109*10%,Q1109*R1109)</x:f>
        <x:v>225</x:v>
      </x:c>
      <x:c r="Y1109" s="93" t="n">
        <x:f>W1109-X1109</x:f>
        <x:v>103.94999999999999</x:v>
      </x:c>
      <x:c r="Z1109" s="94" t="n">
        <x:f>IFERROR(Y1109/W1109,0)</x:f>
        <x:v>0.3160054719562243</x:v>
      </x:c>
      <x:c r="AA1109" s="84" t="str">
        <x:f>PROPER(TRIM('Raw Sales'!M1109))</x:f>
        <x:v>Credit Card</x:v>
      </x:c>
      <x:c r="AB1109" s="84" t="str">
        <x:f>PROPER(TRIM('Raw Sales'!N1109))</x:f>
        <x:v>Mia Chen</x:v>
      </x:c>
      <x:c r="AC1109" s="85" t="n">
        <x:f>'Raw Sales'!O1109</x:f>
        <x:v>45661</x:v>
      </x:c>
      <x:c r="AD1109" s="84" t="n">
        <x:f>AC1109-B1109</x:f>
        <x:v>7</x:v>
      </x:c>
      <x:c r="AE1109" s="84" t="str">
        <x:f>IF(COUNTIF($A$5:A1109,A1109)&gt;1,"Duplicate","Keep")</x:f>
        <x:v>Keep</x:v>
      </x:c>
      <x:c r="AF1109" s="84" t="str">
        <x:f>IF(OR(R1109&lt;=0,AC1109&lt;B1109,H1109="Unknown",M1109="Unknown Product"),"Review","Valid")</x:f>
        <x:v>Valid</x:v>
      </x:c>
      <x:c r="AG1109" s="84" t="n">
        <x:f>IF(AND(AE1109="Keep",AF1109="Valid"),1,0)</x:f>
        <x:v>1</x:v>
      </x:c>
      <x:c r="AH1109" s="84" t="n">
        <x:f>IF(AND(AG1109=1,OR('Dashboard'!$B$4="All",I1109='Dashboard'!$B$4),OR('Dashboard'!$E$4="All",N1109='Dashboard'!$E$4),OR('Dashboard'!$H$4="All",K1109='Dashboard'!$H$4),OR('Dashboard'!$K$4="All",C1109='Dashboard'!$K$4)),1,0)</x:f>
        <x:v>1</x:v>
      </x:c>
      <x:c r="AI1109" s="84" t="n">
        <x:f>IF(AND(AG1109=1,OR('Dashboard'!$B$4="All",I1109='Dashboard'!$B$4),OR('Dashboard'!$E$4="All",N1109='Dashboard'!$E$4),OR('Dashboard'!$H$4="All",K1109='Dashboard'!$H$4)),1,0)</x:f>
        <x:v>1</x:v>
      </x:c>
    </x:row>
    <x:row r="1110">
      <x:c r="A1110" s="84" t="str">
        <x:f>'Raw Sales'!A1110</x:f>
        <x:v>ORD-2024-00154</x:v>
      </x:c>
      <x:c r="B1110" s="85" t="n">
        <x:f>'Raw Sales'!B1110</x:f>
        <x:v>45654</x:v>
      </x:c>
      <x:c r="C1110" s="84" t="n">
        <x:f>YEAR(B1110)</x:f>
        <x:v>2024</x:v>
      </x:c>
      <x:c r="D1110" s="91" t="n">
        <x:f>DATE(YEAR(B1110),MONTH(B1110),1)</x:f>
        <x:v>45627</x:v>
      </x:c>
      <x:c r="E1110" s="84" t="str">
        <x:f>TEXT(B1110,"mmm")</x:f>
        <x:v>Dec</x:v>
      </x:c>
      <x:c r="F1110" s="84" t="str">
        <x:f>'Raw Sales'!C1110</x:f>
        <x:v>CUST-0370</x:v>
      </x:c>
      <x:c r="G1110" s="84" t="str">
        <x:f>PROPER(TRIM('Raw Sales'!D1110))</x:f>
        <x:v>Aiden Moore</x:v>
      </x:c>
      <x:c r="H1110" s="84" t="str">
        <x:f>IF(TRIM('Raw Sales'!E1110)="","Unknown",PROPER(TRIM('Raw Sales'!E1110)))</x:f>
        <x:v>Small Business</x:v>
      </x:c>
      <x:c r="I1110" s="84" t="str">
        <x:f>PROPER(TRIM('Raw Sales'!F1110))</x:f>
        <x:v>West</x:v>
      </x:c>
      <x:c r="J1110" s="84" t="str">
        <x:f>PROPER(TRIM('Raw Sales'!G1110))</x:f>
        <x:v>Phoenix</x:v>
      </x:c>
      <x:c r="K1110" s="84" t="str">
        <x:f>PROPER(TRIM('Raw Sales'!H1110))</x:f>
        <x:v>Online</x:v>
      </x:c>
      <x:c r="L1110" s="84" t="str">
        <x:f>'Raw Sales'!I1110</x:f>
        <x:v>ELEC-004</x:v>
      </x:c>
      <x:c r="M1110" s="84" t="str">
        <x:f>IFERROR(VLOOKUP(L1110,'Reference Data'!$A$5:$F$40,2,FALSE),"Unknown Product")</x:f>
        <x:v>Power Bank</x:v>
      </x:c>
      <x:c r="N1110" s="84" t="str">
        <x:f>IFERROR(VLOOKUP(L1110,'Reference Data'!$A$5:$F$40,3,FALSE),"Unknown")</x:f>
        <x:v>Electronics</x:v>
      </x:c>
      <x:c r="O1110" s="84" t="str">
        <x:f>IFERROR(VLOOKUP(L1110,'Reference Data'!$A$5:$F$40,4,FALSE),"Unknown")</x:f>
        <x:v>Mobile Accessories</x:v>
      </x:c>
      <x:c r="P1110" s="92" t="n">
        <x:f>IFERROR(VLOOKUP(L1110,'Reference Data'!$A$5:$F$40,5,FALSE),0)</x:f>
        <x:v>39</x:v>
      </x:c>
      <x:c r="Q1110" s="92" t="n">
        <x:f>IFERROR(VLOOKUP(L1110,'Reference Data'!$A$5:$F$40,6,FALSE),0)</x:f>
        <x:v>18</x:v>
      </x:c>
      <x:c r="R1110" s="84" t="n">
        <x:f>'Raw Sales'!J1110</x:f>
        <x:v>1</x:v>
      </x:c>
      <x:c r="S1110" s="87" t="n">
        <x:f>'Raw Sales'!K1110</x:f>
        <x:v>0.2</x:v>
      </x:c>
      <x:c r="T1110" s="93" t="n">
        <x:f>P1110*R1110</x:f>
        <x:v>39</x:v>
      </x:c>
      <x:c r="U1110" s="93" t="n">
        <x:f>T1110*S1110</x:f>
        <x:v>7.800000000000001</x:v>
      </x:c>
      <x:c r="V1110" s="93" t="str">
        <x:f>PROPER(TRIM('Raw Sales'!L1110))</x:f>
        <x:v>Completed</x:v>
      </x:c>
      <x:c r="W1110" s="93" t="n">
        <x:f>IF(V1110="Returned",0,T1110-U1110)</x:f>
        <x:v>31.2</x:v>
      </x:c>
      <x:c r="X1110" s="93" t="n">
        <x:f>IF(V1110="Returned",Q1110*R1110*10%,Q1110*R1110)</x:f>
        <x:v>18</x:v>
      </x:c>
      <x:c r="Y1110" s="93" t="n">
        <x:f>W1110-X1110</x:f>
        <x:v>13.2</x:v>
      </x:c>
      <x:c r="Z1110" s="94" t="n">
        <x:f>IFERROR(Y1110/W1110,0)</x:f>
        <x:v>0.4230769230769231</x:v>
      </x:c>
      <x:c r="AA1110" s="84" t="str">
        <x:f>PROPER(TRIM('Raw Sales'!M1110))</x:f>
        <x:v>Debit Card</x:v>
      </x:c>
      <x:c r="AB1110" s="84" t="str">
        <x:f>PROPER(TRIM('Raw Sales'!N1110))</x:f>
        <x:v>Leo Martinez</x:v>
      </x:c>
      <x:c r="AC1110" s="85" t="n">
        <x:f>'Raw Sales'!O1110</x:f>
        <x:v>45658</x:v>
      </x:c>
      <x:c r="AD1110" s="84" t="n">
        <x:f>AC1110-B1110</x:f>
        <x:v>4</x:v>
      </x:c>
      <x:c r="AE1110" s="84" t="str">
        <x:f>IF(COUNTIF($A$5:A1110,A1110)&gt;1,"Duplicate","Keep")</x:f>
        <x:v>Keep</x:v>
      </x:c>
      <x:c r="AF1110" s="84" t="str">
        <x:f>IF(OR(R1110&lt;=0,AC1110&lt;B1110,H1110="Unknown",M1110="Unknown Product"),"Review","Valid")</x:f>
        <x:v>Valid</x:v>
      </x:c>
      <x:c r="AG1110" s="84" t="n">
        <x:f>IF(AND(AE1110="Keep",AF1110="Valid"),1,0)</x:f>
        <x:v>1</x:v>
      </x:c>
      <x:c r="AH1110" s="84" t="n">
        <x:f>IF(AND(AG1110=1,OR('Dashboard'!$B$4="All",I1110='Dashboard'!$B$4),OR('Dashboard'!$E$4="All",N1110='Dashboard'!$E$4),OR('Dashboard'!$H$4="All",K1110='Dashboard'!$H$4),OR('Dashboard'!$K$4="All",C1110='Dashboard'!$K$4)),1,0)</x:f>
        <x:v>1</x:v>
      </x:c>
      <x:c r="AI1110" s="84" t="n">
        <x:f>IF(AND(AG1110=1,OR('Dashboard'!$B$4="All",I1110='Dashboard'!$B$4),OR('Dashboard'!$E$4="All",N1110='Dashboard'!$E$4),OR('Dashboard'!$H$4="All",K1110='Dashboard'!$H$4)),1,0)</x:f>
        <x:v>1</x:v>
      </x:c>
    </x:row>
    <x:row r="1111">
      <x:c r="A1111" s="84" t="str">
        <x:f>'Raw Sales'!A1111</x:f>
        <x:v>ORD-2024-00602</x:v>
      </x:c>
      <x:c r="B1111" s="85" t="n">
        <x:f>'Raw Sales'!B1111</x:f>
        <x:v>45654</x:v>
      </x:c>
      <x:c r="C1111" s="84" t="n">
        <x:f>YEAR(B1111)</x:f>
        <x:v>2024</x:v>
      </x:c>
      <x:c r="D1111" s="91" t="n">
        <x:f>DATE(YEAR(B1111),MONTH(B1111),1)</x:f>
        <x:v>45627</x:v>
      </x:c>
      <x:c r="E1111" s="84" t="str">
        <x:f>TEXT(B1111,"mmm")</x:f>
        <x:v>Dec</x:v>
      </x:c>
      <x:c r="F1111" s="84" t="str">
        <x:f>'Raw Sales'!C1111</x:f>
        <x:v>CUST-0585</x:v>
      </x:c>
      <x:c r="G1111" s="84" t="str">
        <x:f>PROPER(TRIM('Raw Sales'!D1111))</x:f>
        <x:v>Isaac Patel</x:v>
      </x:c>
      <x:c r="H1111" s="84" t="str">
        <x:f>IF(TRIM('Raw Sales'!E1111)="","Unknown",PROPER(TRIM('Raw Sales'!E1111)))</x:f>
        <x:v>Consumer</x:v>
      </x:c>
      <x:c r="I1111" s="84" t="str">
        <x:f>PROPER(TRIM('Raw Sales'!F1111))</x:f>
        <x:v>Northeast</x:v>
      </x:c>
      <x:c r="J1111" s="84" t="str">
        <x:f>PROPER(TRIM('Raw Sales'!G1111))</x:f>
        <x:v>New York</x:v>
      </x:c>
      <x:c r="K1111" s="84" t="str">
        <x:f>PROPER(TRIM('Raw Sales'!H1111))</x:f>
        <x:v>Retail Store</x:v>
      </x:c>
      <x:c r="L1111" s="84" t="str">
        <x:f>'Raw Sales'!I1111</x:f>
        <x:v>OFFC-001</x:v>
      </x:c>
      <x:c r="M1111" s="84" t="str">
        <x:f>IFERROR(VLOOKUP(L1111,'Reference Data'!$A$5:$F$40,2,FALSE),"Unknown Product")</x:f>
        <x:v>Ergonomic Chair</x:v>
      </x:c>
      <x:c r="N1111" s="84" t="str">
        <x:f>IFERROR(VLOOKUP(L1111,'Reference Data'!$A$5:$F$40,3,FALSE),"Unknown")</x:f>
        <x:v>Office</x:v>
      </x:c>
      <x:c r="O1111" s="84" t="str">
        <x:f>IFERROR(VLOOKUP(L1111,'Reference Data'!$A$5:$F$40,4,FALSE),"Unknown")</x:f>
        <x:v>Furniture</x:v>
      </x:c>
      <x:c r="P1111" s="92" t="n">
        <x:f>IFERROR(VLOOKUP(L1111,'Reference Data'!$A$5:$F$40,5,FALSE),0)</x:f>
        <x:v>249</x:v>
      </x:c>
      <x:c r="Q1111" s="92" t="n">
        <x:f>IFERROR(VLOOKUP(L1111,'Reference Data'!$A$5:$F$40,6,FALSE),0)</x:f>
        <x:v>145</x:v>
      </x:c>
      <x:c r="R1111" s="84" t="n">
        <x:f>'Raw Sales'!J1111</x:f>
        <x:v>1</x:v>
      </x:c>
      <x:c r="S1111" s="87" t="n">
        <x:f>'Raw Sales'!K1111</x:f>
        <x:v>0.1</x:v>
      </x:c>
      <x:c r="T1111" s="93" t="n">
        <x:f>P1111*R1111</x:f>
        <x:v>249</x:v>
      </x:c>
      <x:c r="U1111" s="93" t="n">
        <x:f>T1111*S1111</x:f>
        <x:v>24.900000000000002</x:v>
      </x:c>
      <x:c r="V1111" s="93" t="str">
        <x:f>PROPER(TRIM('Raw Sales'!L1111))</x:f>
        <x:v>Completed</x:v>
      </x:c>
      <x:c r="W1111" s="93" t="n">
        <x:f>IF(V1111="Returned",0,T1111-U1111)</x:f>
        <x:v>224.1</x:v>
      </x:c>
      <x:c r="X1111" s="93" t="n">
        <x:f>IF(V1111="Returned",Q1111*R1111*10%,Q1111*R1111)</x:f>
        <x:v>145</x:v>
      </x:c>
      <x:c r="Y1111" s="93" t="n">
        <x:f>W1111-X1111</x:f>
        <x:v>79.1</x:v>
      </x:c>
      <x:c r="Z1111" s="94" t="n">
        <x:f>IFERROR(Y1111/W1111,0)</x:f>
        <x:v>0.35296742525658187</x:v>
      </x:c>
      <x:c r="AA1111" s="84" t="str">
        <x:f>PROPER(TRIM('Raw Sales'!M1111))</x:f>
        <x:v>Mobile Wallet</x:v>
      </x:c>
      <x:c r="AB1111" s="84" t="str">
        <x:f>PROPER(TRIM('Raw Sales'!N1111))</x:f>
        <x:v>Ethan Cole</x:v>
      </x:c>
      <x:c r="AC1111" s="85" t="n">
        <x:f>'Raw Sales'!O1111</x:f>
        <x:v>45654</x:v>
      </x:c>
      <x:c r="AD1111" s="84" t="n">
        <x:f>AC1111-B1111</x:f>
        <x:v>0</x:v>
      </x:c>
      <x:c r="AE1111" s="84" t="str">
        <x:f>IF(COUNTIF($A$5:A1111,A1111)&gt;1,"Duplicate","Keep")</x:f>
        <x:v>Keep</x:v>
      </x:c>
      <x:c r="AF1111" s="84" t="str">
        <x:f>IF(OR(R1111&lt;=0,AC1111&lt;B1111,H1111="Unknown",M1111="Unknown Product"),"Review","Valid")</x:f>
        <x:v>Valid</x:v>
      </x:c>
      <x:c r="AG1111" s="84" t="n">
        <x:f>IF(AND(AE1111="Keep",AF1111="Valid"),1,0)</x:f>
        <x:v>1</x:v>
      </x:c>
      <x:c r="AH1111" s="84" t="n">
        <x:f>IF(AND(AG1111=1,OR('Dashboard'!$B$4="All",I1111='Dashboard'!$B$4),OR('Dashboard'!$E$4="All",N1111='Dashboard'!$E$4),OR('Dashboard'!$H$4="All",K1111='Dashboard'!$H$4),OR('Dashboard'!$K$4="All",C1111='Dashboard'!$K$4)),1,0)</x:f>
        <x:v>1</x:v>
      </x:c>
      <x:c r="AI1111" s="84" t="n">
        <x:f>IF(AND(AG1111=1,OR('Dashboard'!$B$4="All",I1111='Dashboard'!$B$4),OR('Dashboard'!$E$4="All",N1111='Dashboard'!$E$4),OR('Dashboard'!$H$4="All",K1111='Dashboard'!$H$4)),1,0)</x:f>
        <x:v>1</x:v>
      </x:c>
    </x:row>
    <x:row r="1112">
      <x:c r="A1112" s="84" t="str">
        <x:f>'Raw Sales'!A1112</x:f>
        <x:v>ORD-2024-01400</x:v>
      </x:c>
      <x:c r="B1112" s="85" t="n">
        <x:f>'Raw Sales'!B1112</x:f>
        <x:v>45654</x:v>
      </x:c>
      <x:c r="C1112" s="84" t="n">
        <x:f>YEAR(B1112)</x:f>
        <x:v>2024</x:v>
      </x:c>
      <x:c r="D1112" s="91" t="n">
        <x:f>DATE(YEAR(B1112),MONTH(B1112),1)</x:f>
        <x:v>45627</x:v>
      </x:c>
      <x:c r="E1112" s="84" t="str">
        <x:f>TEXT(B1112,"mmm")</x:f>
        <x:v>Dec</x:v>
      </x:c>
      <x:c r="F1112" s="84" t="str">
        <x:f>'Raw Sales'!C1112</x:f>
        <x:v>CUST-0325</x:v>
      </x:c>
      <x:c r="G1112" s="84" t="str">
        <x:f>PROPER(TRIM('Raw Sales'!D1112))</x:f>
        <x:v>Caleb Baker</x:v>
      </x:c>
      <x:c r="H1112" s="84" t="str">
        <x:f>IF(TRIM('Raw Sales'!E1112)="","Unknown",PROPER(TRIM('Raw Sales'!E1112)))</x:f>
        <x:v>Small Business</x:v>
      </x:c>
      <x:c r="I1112" s="84" t="str">
        <x:f>PROPER(TRIM('Raw Sales'!F1112))</x:f>
        <x:v>West</x:v>
      </x:c>
      <x:c r="J1112" s="84" t="str">
        <x:f>PROPER(TRIM('Raw Sales'!G1112))</x:f>
        <x:v>Phoenix</x:v>
      </x:c>
      <x:c r="K1112" s="84" t="str">
        <x:f>PROPER(TRIM('Raw Sales'!H1112))</x:f>
        <x:v>Online</x:v>
      </x:c>
      <x:c r="L1112" s="84" t="str">
        <x:f>'Raw Sales'!I1112</x:f>
        <x:v>HOME-006</x:v>
      </x:c>
      <x:c r="M1112" s="84" t="str">
        <x:f>IFERROR(VLOOKUP(L1112,'Reference Data'!$A$5:$F$40,2,FALSE),"Unknown Product")</x:f>
        <x:v>Food Storage Set</x:v>
      </x:c>
      <x:c r="N1112" s="84" t="str">
        <x:f>IFERROR(VLOOKUP(L1112,'Reference Data'!$A$5:$F$40,3,FALSE),"Unknown")</x:f>
        <x:v>Home &amp; Kitchen</x:v>
      </x:c>
      <x:c r="O1112" s="84" t="str">
        <x:f>IFERROR(VLOOKUP(L1112,'Reference Data'!$A$5:$F$40,4,FALSE),"Unknown")</x:f>
        <x:v>Kitchenware</x:v>
      </x:c>
      <x:c r="P1112" s="92" t="n">
        <x:f>IFERROR(VLOOKUP(L1112,'Reference Data'!$A$5:$F$40,5,FALSE),0)</x:f>
        <x:v>34</x:v>
      </x:c>
      <x:c r="Q1112" s="92" t="n">
        <x:f>IFERROR(VLOOKUP(L1112,'Reference Data'!$A$5:$F$40,6,FALSE),0)</x:f>
        <x:v>15</x:v>
      </x:c>
      <x:c r="R1112" s="84" t="n">
        <x:f>'Raw Sales'!J1112</x:f>
        <x:v>2</x:v>
      </x:c>
      <x:c r="S1112" s="87" t="n">
        <x:f>'Raw Sales'!K1112</x:f>
        <x:v>0</x:v>
      </x:c>
      <x:c r="T1112" s="93" t="n">
        <x:f>P1112*R1112</x:f>
        <x:v>68</x:v>
      </x:c>
      <x:c r="U1112" s="93" t="n">
        <x:f>T1112*S1112</x:f>
        <x:v>0</x:v>
      </x:c>
      <x:c r="V1112" s="93" t="str">
        <x:f>PROPER(TRIM('Raw Sales'!L1112))</x:f>
        <x:v>Completed</x:v>
      </x:c>
      <x:c r="W1112" s="93" t="n">
        <x:f>IF(V1112="Returned",0,T1112-U1112)</x:f>
        <x:v>68</x:v>
      </x:c>
      <x:c r="X1112" s="93" t="n">
        <x:f>IF(V1112="Returned",Q1112*R1112*10%,Q1112*R1112)</x:f>
        <x:v>30</x:v>
      </x:c>
      <x:c r="Y1112" s="93" t="n">
        <x:f>W1112-X1112</x:f>
        <x:v>38</x:v>
      </x:c>
      <x:c r="Z1112" s="94" t="n">
        <x:f>IFERROR(Y1112/W1112,0)</x:f>
        <x:v>0.5588235294117647</x:v>
      </x:c>
      <x:c r="AA1112" s="84" t="str">
        <x:f>PROPER(TRIM('Raw Sales'!M1112))</x:f>
        <x:v>Credit Card</x:v>
      </x:c>
      <x:c r="AB1112" s="84" t="str">
        <x:f>PROPER(TRIM('Raw Sales'!N1112))</x:f>
        <x:v>Leo Martinez</x:v>
      </x:c>
      <x:c r="AC1112" s="85" t="n">
        <x:f>'Raw Sales'!O1112</x:f>
        <x:v>45656</x:v>
      </x:c>
      <x:c r="AD1112" s="84" t="n">
        <x:f>AC1112-B1112</x:f>
        <x:v>2</x:v>
      </x:c>
      <x:c r="AE1112" s="84" t="str">
        <x:f>IF(COUNTIF($A$5:A1112,A1112)&gt;1,"Duplicate","Keep")</x:f>
        <x:v>Keep</x:v>
      </x:c>
      <x:c r="AF1112" s="84" t="str">
        <x:f>IF(OR(R1112&lt;=0,AC1112&lt;B1112,H1112="Unknown",M1112="Unknown Product"),"Review","Valid")</x:f>
        <x:v>Valid</x:v>
      </x:c>
      <x:c r="AG1112" s="84" t="n">
        <x:f>IF(AND(AE1112="Keep",AF1112="Valid"),1,0)</x:f>
        <x:v>1</x:v>
      </x:c>
      <x:c r="AH1112" s="84" t="n">
        <x:f>IF(AND(AG1112=1,OR('Dashboard'!$B$4="All",I1112='Dashboard'!$B$4),OR('Dashboard'!$E$4="All",N1112='Dashboard'!$E$4),OR('Dashboard'!$H$4="All",K1112='Dashboard'!$H$4),OR('Dashboard'!$K$4="All",C1112='Dashboard'!$K$4)),1,0)</x:f>
        <x:v>1</x:v>
      </x:c>
      <x:c r="AI1112" s="84" t="n">
        <x:f>IF(AND(AG1112=1,OR('Dashboard'!$B$4="All",I1112='Dashboard'!$B$4),OR('Dashboard'!$E$4="All",N1112='Dashboard'!$E$4),OR('Dashboard'!$H$4="All",K1112='Dashboard'!$H$4)),1,0)</x:f>
        <x:v>1</x:v>
      </x:c>
    </x:row>
    <x:row r="1113">
      <x:c r="A1113" s="84" t="str">
        <x:f>'Raw Sales'!A1113</x:f>
        <x:v>ORD-2024-01627</x:v>
      </x:c>
      <x:c r="B1113" s="85" t="n">
        <x:f>'Raw Sales'!B1113</x:f>
        <x:v>45654</x:v>
      </x:c>
      <x:c r="C1113" s="84" t="n">
        <x:f>YEAR(B1113)</x:f>
        <x:v>2024</x:v>
      </x:c>
      <x:c r="D1113" s="91" t="n">
        <x:f>DATE(YEAR(B1113),MONTH(B1113),1)</x:f>
        <x:v>45627</x:v>
      </x:c>
      <x:c r="E1113" s="84" t="str">
        <x:f>TEXT(B1113,"mmm")</x:f>
        <x:v>Dec</x:v>
      </x:c>
      <x:c r="F1113" s="84" t="str">
        <x:f>'Raw Sales'!C1113</x:f>
        <x:v>CUST-0331</x:v>
      </x:c>
      <x:c r="G1113" s="84" t="str">
        <x:f>PROPER(TRIM('Raw Sales'!D1113))</x:f>
        <x:v>Elias Young</x:v>
      </x:c>
      <x:c r="H1113" s="84" t="str">
        <x:f>IF(TRIM('Raw Sales'!E1113)="","Unknown",PROPER(TRIM('Raw Sales'!E1113)))</x:f>
        <x:v>Consumer</x:v>
      </x:c>
      <x:c r="I1113" s="84" t="str">
        <x:f>PROPER(TRIM('Raw Sales'!F1113))</x:f>
        <x:v>West</x:v>
      </x:c>
      <x:c r="J1113" s="84" t="str">
        <x:f>PROPER(TRIM('Raw Sales'!G1113))</x:f>
        <x:v>Seattle</x:v>
      </x:c>
      <x:c r="K1113" s="84" t="str">
        <x:f>PROPER(TRIM('Raw Sales'!H1113))</x:f>
        <x:v>Retail Store</x:v>
      </x:c>
      <x:c r="L1113" s="84" t="str">
        <x:f>'Raw Sales'!I1113</x:f>
        <x:v>ACCS-002</x:v>
      </x:c>
      <x:c r="M1113" s="84" t="str">
        <x:f>IFERROR(VLOOKUP(L1113,'Reference Data'!$A$5:$F$40,2,FALSE),"Unknown Product")</x:f>
        <x:v>Travel Backpack</x:v>
      </x:c>
      <x:c r="N1113" s="84" t="str">
        <x:f>IFERROR(VLOOKUP(L1113,'Reference Data'!$A$5:$F$40,3,FALSE),"Unknown")</x:f>
        <x:v>Accessories</x:v>
      </x:c>
      <x:c r="O1113" s="84" t="str">
        <x:f>IFERROR(VLOOKUP(L1113,'Reference Data'!$A$5:$F$40,4,FALSE),"Unknown")</x:f>
        <x:v>Bags</x:v>
      </x:c>
      <x:c r="P1113" s="92" t="n">
        <x:f>IFERROR(VLOOKUP(L1113,'Reference Data'!$A$5:$F$40,5,FALSE),0)</x:f>
        <x:v>89</x:v>
      </x:c>
      <x:c r="Q1113" s="92" t="n">
        <x:f>IFERROR(VLOOKUP(L1113,'Reference Data'!$A$5:$F$40,6,FALSE),0)</x:f>
        <x:v>36</x:v>
      </x:c>
      <x:c r="R1113" s="84" t="n">
        <x:f>'Raw Sales'!J1113</x:f>
        <x:v>1</x:v>
      </x:c>
      <x:c r="S1113" s="87" t="n">
        <x:f>'Raw Sales'!K1113</x:f>
        <x:v>0.2</x:v>
      </x:c>
      <x:c r="T1113" s="93" t="n">
        <x:f>P1113*R1113</x:f>
        <x:v>89</x:v>
      </x:c>
      <x:c r="U1113" s="93" t="n">
        <x:f>T1113*S1113</x:f>
        <x:v>17.8</x:v>
      </x:c>
      <x:c r="V1113" s="93" t="str">
        <x:f>PROPER(TRIM('Raw Sales'!L1113))</x:f>
        <x:v>Completed</x:v>
      </x:c>
      <x:c r="W1113" s="93" t="n">
        <x:f>IF(V1113="Returned",0,T1113-U1113)</x:f>
        <x:v>71.2</x:v>
      </x:c>
      <x:c r="X1113" s="93" t="n">
        <x:f>IF(V1113="Returned",Q1113*R1113*10%,Q1113*R1113)</x:f>
        <x:v>36</x:v>
      </x:c>
      <x:c r="Y1113" s="93" t="n">
        <x:f>W1113-X1113</x:f>
        <x:v>35.2</x:v>
      </x:c>
      <x:c r="Z1113" s="94" t="n">
        <x:f>IFERROR(Y1113/W1113,0)</x:f>
        <x:v>0.49438202247191015</x:v>
      </x:c>
      <x:c r="AA1113" s="84" t="str">
        <x:f>PROPER(TRIM('Raw Sales'!M1113))</x:f>
        <x:v>Credit Card</x:v>
      </x:c>
      <x:c r="AB1113" s="84" t="str">
        <x:f>PROPER(TRIM('Raw Sales'!N1113))</x:f>
        <x:v>Leo Martinez</x:v>
      </x:c>
      <x:c r="AC1113" s="85" t="n">
        <x:f>'Raw Sales'!O1113</x:f>
        <x:v>45654</x:v>
      </x:c>
      <x:c r="AD1113" s="84" t="n">
        <x:f>AC1113-B1113</x:f>
        <x:v>0</x:v>
      </x:c>
      <x:c r="AE1113" s="84" t="str">
        <x:f>IF(COUNTIF($A$5:A1113,A1113)&gt;1,"Duplicate","Keep")</x:f>
        <x:v>Keep</x:v>
      </x:c>
      <x:c r="AF1113" s="84" t="str">
        <x:f>IF(OR(R1113&lt;=0,AC1113&lt;B1113,H1113="Unknown",M1113="Unknown Product"),"Review","Valid")</x:f>
        <x:v>Valid</x:v>
      </x:c>
      <x:c r="AG1113" s="84" t="n">
        <x:f>IF(AND(AE1113="Keep",AF1113="Valid"),1,0)</x:f>
        <x:v>1</x:v>
      </x:c>
      <x:c r="AH1113" s="84" t="n">
        <x:f>IF(AND(AG1113=1,OR('Dashboard'!$B$4="All",I1113='Dashboard'!$B$4),OR('Dashboard'!$E$4="All",N1113='Dashboard'!$E$4),OR('Dashboard'!$H$4="All",K1113='Dashboard'!$H$4),OR('Dashboard'!$K$4="All",C1113='Dashboard'!$K$4)),1,0)</x:f>
        <x:v>1</x:v>
      </x:c>
      <x:c r="AI1113" s="84" t="n">
        <x:f>IF(AND(AG1113=1,OR('Dashboard'!$B$4="All",I1113='Dashboard'!$B$4),OR('Dashboard'!$E$4="All",N1113='Dashboard'!$E$4),OR('Dashboard'!$H$4="All",K1113='Dashboard'!$H$4)),1,0)</x:f>
        <x:v>1</x:v>
      </x:c>
    </x:row>
    <x:row r="1114">
      <x:c r="A1114" s="84" t="str">
        <x:f>'Raw Sales'!A1114</x:f>
        <x:v>ORD-2024-00127</x:v>
      </x:c>
      <x:c r="B1114" s="85" t="n">
        <x:f>'Raw Sales'!B1114</x:f>
        <x:v>45655</x:v>
      </x:c>
      <x:c r="C1114" s="84" t="n">
        <x:f>YEAR(B1114)</x:f>
        <x:v>2024</x:v>
      </x:c>
      <x:c r="D1114" s="91" t="n">
        <x:f>DATE(YEAR(B1114),MONTH(B1114),1)</x:f>
        <x:v>45627</x:v>
      </x:c>
      <x:c r="E1114" s="84" t="str">
        <x:f>TEXT(B1114,"mmm")</x:f>
        <x:v>Dec</x:v>
      </x:c>
      <x:c r="F1114" s="84" t="str">
        <x:f>'Raw Sales'!C1114</x:f>
        <x:v>CUST-0590</x:v>
      </x:c>
      <x:c r="G1114" s="84" t="str">
        <x:f>PROPER(TRIM('Raw Sales'!D1114))</x:f>
        <x:v>Theo Young</x:v>
      </x:c>
      <x:c r="H1114" s="84" t="str">
        <x:f>IF(TRIM('Raw Sales'!E1114)="","Unknown",PROPER(TRIM('Raw Sales'!E1114)))</x:f>
        <x:v>Consumer</x:v>
      </x:c>
      <x:c r="I1114" s="84" t="str">
        <x:f>PROPER(TRIM('Raw Sales'!F1114))</x:f>
        <x:v>Southeast</x:v>
      </x:c>
      <x:c r="J1114" s="84" t="str">
        <x:f>PROPER(TRIM('Raw Sales'!G1114))</x:f>
        <x:v>Atlanta</x:v>
      </x:c>
      <x:c r="K1114" s="84" t="str">
        <x:f>PROPER(TRIM('Raw Sales'!H1114))</x:f>
        <x:v>Retail Store</x:v>
      </x:c>
      <x:c r="L1114" s="84" t="str">
        <x:f>'Raw Sales'!I1114</x:f>
        <x:v>FITN-005</x:v>
      </x:c>
      <x:c r="M1114" s="84" t="str">
        <x:f>IFERROR(VLOOKUP(L1114,'Reference Data'!$A$5:$F$40,2,FALSE),"Unknown Product")</x:f>
        <x:v>Sports Water Bottle</x:v>
      </x:c>
      <x:c r="N1114" s="84" t="str">
        <x:f>IFERROR(VLOOKUP(L1114,'Reference Data'!$A$5:$F$40,3,FALSE),"Unknown")</x:f>
        <x:v>Fitness</x:v>
      </x:c>
      <x:c r="O1114" s="84" t="str">
        <x:f>IFERROR(VLOOKUP(L1114,'Reference Data'!$A$5:$F$40,4,FALSE),"Unknown")</x:f>
        <x:v>Accessories</x:v>
      </x:c>
      <x:c r="P1114" s="92" t="n">
        <x:f>IFERROR(VLOOKUP(L1114,'Reference Data'!$A$5:$F$40,5,FALSE),0)</x:f>
        <x:v>22</x:v>
      </x:c>
      <x:c r="Q1114" s="92" t="n">
        <x:f>IFERROR(VLOOKUP(L1114,'Reference Data'!$A$5:$F$40,6,FALSE),0)</x:f>
        <x:v>7</x:v>
      </x:c>
      <x:c r="R1114" s="84" t="n">
        <x:f>'Raw Sales'!J1114</x:f>
        <x:v>1</x:v>
      </x:c>
      <x:c r="S1114" s="87" t="n">
        <x:f>'Raw Sales'!K1114</x:f>
        <x:v>0.1</x:v>
      </x:c>
      <x:c r="T1114" s="93" t="n">
        <x:f>P1114*R1114</x:f>
        <x:v>22</x:v>
      </x:c>
      <x:c r="U1114" s="93" t="n">
        <x:f>T1114*S1114</x:f>
        <x:v>2.2</x:v>
      </x:c>
      <x:c r="V1114" s="93" t="str">
        <x:f>PROPER(TRIM('Raw Sales'!L1114))</x:f>
        <x:v>Completed</x:v>
      </x:c>
      <x:c r="W1114" s="93" t="n">
        <x:f>IF(V1114="Returned",0,T1114-U1114)</x:f>
        <x:v>19.8</x:v>
      </x:c>
      <x:c r="X1114" s="93" t="n">
        <x:f>IF(V1114="Returned",Q1114*R1114*10%,Q1114*R1114)</x:f>
        <x:v>7</x:v>
      </x:c>
      <x:c r="Y1114" s="93" t="n">
        <x:f>W1114-X1114</x:f>
        <x:v>12.8</x:v>
      </x:c>
      <x:c r="Z1114" s="94" t="n">
        <x:f>IFERROR(Y1114/W1114,0)</x:f>
        <x:v>0.6464646464646465</x:v>
      </x:c>
      <x:c r="AA1114" s="84" t="str">
        <x:f>PROPER(TRIM('Raw Sales'!M1114))</x:f>
        <x:v>Cash</x:v>
      </x:c>
      <x:c r="AB1114" s="84" t="str">
        <x:f>PROPER(TRIM('Raw Sales'!N1114))</x:f>
        <x:v>Noah Reed</x:v>
      </x:c>
      <x:c r="AC1114" s="85" t="n">
        <x:f>'Raw Sales'!O1114</x:f>
        <x:v>45656</x:v>
      </x:c>
      <x:c r="AD1114" s="84" t="n">
        <x:f>AC1114-B1114</x:f>
        <x:v>1</x:v>
      </x:c>
      <x:c r="AE1114" s="84" t="str">
        <x:f>IF(COUNTIF($A$5:A1114,A1114)&gt;1,"Duplicate","Keep")</x:f>
        <x:v>Keep</x:v>
      </x:c>
      <x:c r="AF1114" s="84" t="str">
        <x:f>IF(OR(R1114&lt;=0,AC1114&lt;B1114,H1114="Unknown",M1114="Unknown Product"),"Review","Valid")</x:f>
        <x:v>Valid</x:v>
      </x:c>
      <x:c r="AG1114" s="84" t="n">
        <x:f>IF(AND(AE1114="Keep",AF1114="Valid"),1,0)</x:f>
        <x:v>1</x:v>
      </x:c>
      <x:c r="AH1114" s="84" t="n">
        <x:f>IF(AND(AG1114=1,OR('Dashboard'!$B$4="All",I1114='Dashboard'!$B$4),OR('Dashboard'!$E$4="All",N1114='Dashboard'!$E$4),OR('Dashboard'!$H$4="All",K1114='Dashboard'!$H$4),OR('Dashboard'!$K$4="All",C1114='Dashboard'!$K$4)),1,0)</x:f>
        <x:v>1</x:v>
      </x:c>
      <x:c r="AI1114" s="84" t="n">
        <x:f>IF(AND(AG1114=1,OR('Dashboard'!$B$4="All",I1114='Dashboard'!$B$4),OR('Dashboard'!$E$4="All",N1114='Dashboard'!$E$4),OR('Dashboard'!$H$4="All",K1114='Dashboard'!$H$4)),1,0)</x:f>
        <x:v>1</x:v>
      </x:c>
    </x:row>
    <x:row r="1115">
      <x:c r="A1115" s="84" t="str">
        <x:f>'Raw Sales'!A1115</x:f>
        <x:v>ORD-2024-00281</x:v>
      </x:c>
      <x:c r="B1115" s="85" t="n">
        <x:f>'Raw Sales'!B1115</x:f>
        <x:v>45655</x:v>
      </x:c>
      <x:c r="C1115" s="84" t="n">
        <x:f>YEAR(B1115)</x:f>
        <x:v>2024</x:v>
      </x:c>
      <x:c r="D1115" s="91" t="n">
        <x:f>DATE(YEAR(B1115),MONTH(B1115),1)</x:f>
        <x:v>45627</x:v>
      </x:c>
      <x:c r="E1115" s="84" t="str">
        <x:f>TEXT(B1115,"mmm")</x:f>
        <x:v>Dec</x:v>
      </x:c>
      <x:c r="F1115" s="84" t="str">
        <x:f>'Raw Sales'!C1115</x:f>
        <x:v>CUST-0339</x:v>
      </x:c>
      <x:c r="G1115" s="84" t="str">
        <x:f>PROPER(TRIM('Raw Sales'!D1115))</x:f>
        <x:v>Marcus Walker</x:v>
      </x:c>
      <x:c r="H1115" s="84" t="str">
        <x:f>IF(TRIM('Raw Sales'!E1115)="","Unknown",PROPER(TRIM('Raw Sales'!E1115)))</x:f>
        <x:v>Consumer</x:v>
      </x:c>
      <x:c r="I1115" s="84" t="str">
        <x:f>PROPER(TRIM('Raw Sales'!F1115))</x:f>
        <x:v>Midwest</x:v>
      </x:c>
      <x:c r="J1115" s="84" t="str">
        <x:f>PROPER(TRIM('Raw Sales'!G1115))</x:f>
        <x:v>Columbus</x:v>
      </x:c>
      <x:c r="K1115" s="84" t="str">
        <x:f>PROPER(TRIM('Raw Sales'!H1115))</x:f>
        <x:v>Retail Store</x:v>
      </x:c>
      <x:c r="L1115" s="84" t="str">
        <x:f>'Raw Sales'!I1115</x:f>
        <x:v>HOME-005</x:v>
      </x:c>
      <x:c r="M1115" s="84" t="str">
        <x:f>IFERROR(VLOOKUP(L1115,'Reference Data'!$A$5:$F$40,2,FALSE),"Unknown Product")</x:f>
        <x:v>Cordless Vacuum</x:v>
      </x:c>
      <x:c r="N1115" s="84" t="str">
        <x:f>IFERROR(VLOOKUP(L1115,'Reference Data'!$A$5:$F$40,3,FALSE),"Unknown")</x:f>
        <x:v>Home &amp; Kitchen</x:v>
      </x:c>
      <x:c r="O1115" s="84" t="str">
        <x:f>IFERROR(VLOOKUP(L1115,'Reference Data'!$A$5:$F$40,4,FALSE),"Unknown")</x:f>
        <x:v>Cleaning</x:v>
      </x:c>
      <x:c r="P1115" s="92" t="n">
        <x:f>IFERROR(VLOOKUP(L1115,'Reference Data'!$A$5:$F$40,5,FALSE),0)</x:f>
        <x:v>179</x:v>
      </x:c>
      <x:c r="Q1115" s="92" t="n">
        <x:f>IFERROR(VLOOKUP(L1115,'Reference Data'!$A$5:$F$40,6,FALSE),0)</x:f>
        <x:v>102</x:v>
      </x:c>
      <x:c r="R1115" s="84" t="n">
        <x:f>'Raw Sales'!J1115</x:f>
        <x:v>1</x:v>
      </x:c>
      <x:c r="S1115" s="87" t="n">
        <x:f>'Raw Sales'!K1115</x:f>
        <x:v>0.15</x:v>
      </x:c>
      <x:c r="T1115" s="93" t="n">
        <x:f>P1115*R1115</x:f>
        <x:v>179</x:v>
      </x:c>
      <x:c r="U1115" s="93" t="n">
        <x:f>T1115*S1115</x:f>
        <x:v>26.849999999999998</x:v>
      </x:c>
      <x:c r="V1115" s="93" t="str">
        <x:f>PROPER(TRIM('Raw Sales'!L1115))</x:f>
        <x:v>Completed</x:v>
      </x:c>
      <x:c r="W1115" s="93" t="n">
        <x:f>IF(V1115="Returned",0,T1115-U1115)</x:f>
        <x:v>152.15</x:v>
      </x:c>
      <x:c r="X1115" s="93" t="n">
        <x:f>IF(V1115="Returned",Q1115*R1115*10%,Q1115*R1115)</x:f>
        <x:v>102</x:v>
      </x:c>
      <x:c r="Y1115" s="93" t="n">
        <x:f>W1115-X1115</x:f>
        <x:v>50.150000000000006</x:v>
      </x:c>
      <x:c r="Z1115" s="94" t="n">
        <x:f>IFERROR(Y1115/W1115,0)</x:f>
        <x:v>0.3296089385474861</x:v>
      </x:c>
      <x:c r="AA1115" s="84" t="str">
        <x:f>PROPER(TRIM('Raw Sales'!M1115))</x:f>
        <x:v>Credit Card</x:v>
      </x:c>
      <x:c r="AB1115" s="84" t="str">
        <x:f>PROPER(TRIM('Raw Sales'!N1115))</x:f>
        <x:v>Emma Hayes</x:v>
      </x:c>
      <x:c r="AC1115" s="85" t="n">
        <x:f>'Raw Sales'!O1115</x:f>
        <x:v>45655</x:v>
      </x:c>
      <x:c r="AD1115" s="84" t="n">
        <x:f>AC1115-B1115</x:f>
        <x:v>0</x:v>
      </x:c>
      <x:c r="AE1115" s="84" t="str">
        <x:f>IF(COUNTIF($A$5:A1115,A1115)&gt;1,"Duplicate","Keep")</x:f>
        <x:v>Keep</x:v>
      </x:c>
      <x:c r="AF1115" s="84" t="str">
        <x:f>IF(OR(R1115&lt;=0,AC1115&lt;B1115,H1115="Unknown",M1115="Unknown Product"),"Review","Valid")</x:f>
        <x:v>Valid</x:v>
      </x:c>
      <x:c r="AG1115" s="84" t="n">
        <x:f>IF(AND(AE1115="Keep",AF1115="Valid"),1,0)</x:f>
        <x:v>1</x:v>
      </x:c>
      <x:c r="AH1115" s="84" t="n">
        <x:f>IF(AND(AG1115=1,OR('Dashboard'!$B$4="All",I1115='Dashboard'!$B$4),OR('Dashboard'!$E$4="All",N1115='Dashboard'!$E$4),OR('Dashboard'!$H$4="All",K1115='Dashboard'!$H$4),OR('Dashboard'!$K$4="All",C1115='Dashboard'!$K$4)),1,0)</x:f>
        <x:v>1</x:v>
      </x:c>
      <x:c r="AI1115" s="84" t="n">
        <x:f>IF(AND(AG1115=1,OR('Dashboard'!$B$4="All",I1115='Dashboard'!$B$4),OR('Dashboard'!$E$4="All",N1115='Dashboard'!$E$4),OR('Dashboard'!$H$4="All",K1115='Dashboard'!$H$4)),1,0)</x:f>
        <x:v>1</x:v>
      </x:c>
    </x:row>
    <x:row r="1116">
      <x:c r="A1116" s="84" t="str">
        <x:f>'Raw Sales'!A1116</x:f>
        <x:v>ORD-2024-00357</x:v>
      </x:c>
      <x:c r="B1116" s="85" t="n">
        <x:f>'Raw Sales'!B1116</x:f>
        <x:v>45655</x:v>
      </x:c>
      <x:c r="C1116" s="84" t="n">
        <x:f>YEAR(B1116)</x:f>
        <x:v>2024</x:v>
      </x:c>
      <x:c r="D1116" s="91" t="n">
        <x:f>DATE(YEAR(B1116),MONTH(B1116),1)</x:f>
        <x:v>45627</x:v>
      </x:c>
      <x:c r="E1116" s="84" t="str">
        <x:f>TEXT(B1116,"mmm")</x:f>
        <x:v>Dec</x:v>
      </x:c>
      <x:c r="F1116" s="84" t="str">
        <x:f>'Raw Sales'!C1116</x:f>
        <x:v>CUST-0544</x:v>
      </x:c>
      <x:c r="G1116" s="84" t="str">
        <x:f>PROPER(TRIM('Raw Sales'!D1116))</x:f>
        <x:v>Victoria Garcia</x:v>
      </x:c>
      <x:c r="H1116" s="84" t="str">
        <x:f>IF(TRIM('Raw Sales'!E1116)="","Unknown",PROPER(TRIM('Raw Sales'!E1116)))</x:f>
        <x:v>Consumer</x:v>
      </x:c>
      <x:c r="I1116" s="84" t="str">
        <x:f>PROPER(TRIM('Raw Sales'!F1116))</x:f>
        <x:v>West</x:v>
      </x:c>
      <x:c r="J1116" s="84" t="str">
        <x:f>PROPER(TRIM('Raw Sales'!G1116))</x:f>
        <x:v>Seattle</x:v>
      </x:c>
      <x:c r="K1116" s="84" t="str">
        <x:f>PROPER(TRIM('Raw Sales'!H1116))</x:f>
        <x:v>Online</x:v>
      </x:c>
      <x:c r="L1116" s="84" t="str">
        <x:f>'Raw Sales'!I1116</x:f>
        <x:v>HOME-002</x:v>
      </x:c>
      <x:c r="M1116" s="84" t="str">
        <x:f>IFERROR(VLOOKUP(L1116,'Reference Data'!$A$5:$F$40,2,FALSE),"Unknown Product")</x:f>
        <x:v>Electric Kettle</x:v>
      </x:c>
      <x:c r="N1116" s="84" t="str">
        <x:f>IFERROR(VLOOKUP(L1116,'Reference Data'!$A$5:$F$40,3,FALSE),"Unknown")</x:f>
        <x:v>Home &amp; Kitchen</x:v>
      </x:c>
      <x:c r="O1116" s="84" t="str">
        <x:f>IFERROR(VLOOKUP(L1116,'Reference Data'!$A$5:$F$40,4,FALSE),"Unknown")</x:f>
        <x:v>Small Appliances</x:v>
      </x:c>
      <x:c r="P1116" s="92" t="n">
        <x:f>IFERROR(VLOOKUP(L1116,'Reference Data'!$A$5:$F$40,5,FALSE),0)</x:f>
        <x:v>49</x:v>
      </x:c>
      <x:c r="Q1116" s="92" t="n">
        <x:f>IFERROR(VLOOKUP(L1116,'Reference Data'!$A$5:$F$40,6,FALSE),0)</x:f>
        <x:v>23</x:v>
      </x:c>
      <x:c r="R1116" s="84" t="n">
        <x:f>'Raw Sales'!J1116</x:f>
        <x:v>2</x:v>
      </x:c>
      <x:c r="S1116" s="87" t="n">
        <x:f>'Raw Sales'!K1116</x:f>
        <x:v>0</x:v>
      </x:c>
      <x:c r="T1116" s="93" t="n">
        <x:f>P1116*R1116</x:f>
        <x:v>98</x:v>
      </x:c>
      <x:c r="U1116" s="93" t="n">
        <x:f>T1116*S1116</x:f>
        <x:v>0</x:v>
      </x:c>
      <x:c r="V1116" s="93" t="str">
        <x:f>PROPER(TRIM('Raw Sales'!L1116))</x:f>
        <x:v>Completed</x:v>
      </x:c>
      <x:c r="W1116" s="93" t="n">
        <x:f>IF(V1116="Returned",0,T1116-U1116)</x:f>
        <x:v>98</x:v>
      </x:c>
      <x:c r="X1116" s="93" t="n">
        <x:f>IF(V1116="Returned",Q1116*R1116*10%,Q1116*R1116)</x:f>
        <x:v>46</x:v>
      </x:c>
      <x:c r="Y1116" s="93" t="n">
        <x:f>W1116-X1116</x:f>
        <x:v>52</x:v>
      </x:c>
      <x:c r="Z1116" s="94" t="n">
        <x:f>IFERROR(Y1116/W1116,0)</x:f>
        <x:v>0.5306122448979592</x:v>
      </x:c>
      <x:c r="AA1116" s="84" t="str">
        <x:f>PROPER(TRIM('Raw Sales'!M1116))</x:f>
        <x:v>Credit Card</x:v>
      </x:c>
      <x:c r="AB1116" s="84" t="str">
        <x:f>PROPER(TRIM('Raw Sales'!N1116))</x:f>
        <x:v>Mia Chen</x:v>
      </x:c>
      <x:c r="AC1116" s="85" t="n">
        <x:f>'Raw Sales'!O1116</x:f>
        <x:v>45659</x:v>
      </x:c>
      <x:c r="AD1116" s="84" t="n">
        <x:f>AC1116-B1116</x:f>
        <x:v>4</x:v>
      </x:c>
      <x:c r="AE1116" s="84" t="str">
        <x:f>IF(COUNTIF($A$5:A1116,A1116)&gt;1,"Duplicate","Keep")</x:f>
        <x:v>Keep</x:v>
      </x:c>
      <x:c r="AF1116" s="84" t="str">
        <x:f>IF(OR(R1116&lt;=0,AC1116&lt;B1116,H1116="Unknown",M1116="Unknown Product"),"Review","Valid")</x:f>
        <x:v>Valid</x:v>
      </x:c>
      <x:c r="AG1116" s="84" t="n">
        <x:f>IF(AND(AE1116="Keep",AF1116="Valid"),1,0)</x:f>
        <x:v>1</x:v>
      </x:c>
      <x:c r="AH1116" s="84" t="n">
        <x:f>IF(AND(AG1116=1,OR('Dashboard'!$B$4="All",I1116='Dashboard'!$B$4),OR('Dashboard'!$E$4="All",N1116='Dashboard'!$E$4),OR('Dashboard'!$H$4="All",K1116='Dashboard'!$H$4),OR('Dashboard'!$K$4="All",C1116='Dashboard'!$K$4)),1,0)</x:f>
        <x:v>1</x:v>
      </x:c>
      <x:c r="AI1116" s="84" t="n">
        <x:f>IF(AND(AG1116=1,OR('Dashboard'!$B$4="All",I1116='Dashboard'!$B$4),OR('Dashboard'!$E$4="All",N1116='Dashboard'!$E$4),OR('Dashboard'!$H$4="All",K1116='Dashboard'!$H$4)),1,0)</x:f>
        <x:v>1</x:v>
      </x:c>
    </x:row>
    <x:row r="1117">
      <x:c r="A1117" s="84" t="str">
        <x:f>'Raw Sales'!A1117</x:f>
        <x:v>ORD-2024-00368</x:v>
      </x:c>
      <x:c r="B1117" s="85" t="n">
        <x:f>'Raw Sales'!B1117</x:f>
        <x:v>45655</x:v>
      </x:c>
      <x:c r="C1117" s="84" t="n">
        <x:f>YEAR(B1117)</x:f>
        <x:v>2024</x:v>
      </x:c>
      <x:c r="D1117" s="91" t="n">
        <x:f>DATE(YEAR(B1117),MONTH(B1117),1)</x:f>
        <x:v>45627</x:v>
      </x:c>
      <x:c r="E1117" s="84" t="str">
        <x:f>TEXT(B1117,"mmm")</x:f>
        <x:v>Dec</x:v>
      </x:c>
      <x:c r="F1117" s="84" t="str">
        <x:f>'Raw Sales'!C1117</x:f>
        <x:v>CUST-0084</x:v>
      </x:c>
      <x:c r="G1117" s="84" t="str">
        <x:f>PROPER(TRIM('Raw Sales'!D1117))</x:f>
        <x:v>Marcus Davis</x:v>
      </x:c>
      <x:c r="H1117" s="84" t="str">
        <x:f>IF(TRIM('Raw Sales'!E1117)="","Unknown",PROPER(TRIM('Raw Sales'!E1117)))</x:f>
        <x:v>Corporate</x:v>
      </x:c>
      <x:c r="I1117" s="84" t="str">
        <x:f>PROPER(TRIM('Raw Sales'!F1117))</x:f>
        <x:v>Southeast</x:v>
      </x:c>
      <x:c r="J1117" s="84" t="str">
        <x:f>PROPER(TRIM('Raw Sales'!G1117))</x:f>
        <x:v>Miami</x:v>
      </x:c>
      <x:c r="K1117" s="84" t="str">
        <x:f>PROPER(TRIM('Raw Sales'!H1117))</x:f>
        <x:v>Retail Store</x:v>
      </x:c>
      <x:c r="L1117" s="84" t="str">
        <x:f>'Raw Sales'!I1117</x:f>
        <x:v>FITN-004</x:v>
      </x:c>
      <x:c r="M1117" s="84" t="str">
        <x:f>IFERROR(VLOOKUP(L1117,'Reference Data'!$A$5:$F$40,2,FALSE),"Unknown Product")</x:f>
        <x:v>Fitness Tracker</x:v>
      </x:c>
      <x:c r="N1117" s="84" t="str">
        <x:f>IFERROR(VLOOKUP(L1117,'Reference Data'!$A$5:$F$40,3,FALSE),"Unknown")</x:f>
        <x:v>Fitness</x:v>
      </x:c>
      <x:c r="O1117" s="84" t="str">
        <x:f>IFERROR(VLOOKUP(L1117,'Reference Data'!$A$5:$F$40,4,FALSE),"Unknown")</x:f>
        <x:v>Wearables</x:v>
      </x:c>
      <x:c r="P1117" s="92" t="n">
        <x:f>IFERROR(VLOOKUP(L1117,'Reference Data'!$A$5:$F$40,5,FALSE),0)</x:f>
        <x:v>89</x:v>
      </x:c>
      <x:c r="Q1117" s="92" t="n">
        <x:f>IFERROR(VLOOKUP(L1117,'Reference Data'!$A$5:$F$40,6,FALSE),0)</x:f>
        <x:v>44</x:v>
      </x:c>
      <x:c r="R1117" s="84" t="n">
        <x:f>'Raw Sales'!J1117</x:f>
        <x:v>6</x:v>
      </x:c>
      <x:c r="S1117" s="87" t="n">
        <x:f>'Raw Sales'!K1117</x:f>
        <x:v>0.1</x:v>
      </x:c>
      <x:c r="T1117" s="93" t="n">
        <x:f>P1117*R1117</x:f>
        <x:v>534</x:v>
      </x:c>
      <x:c r="U1117" s="93" t="n">
        <x:f>T1117*S1117</x:f>
        <x:v>53.400000000000006</x:v>
      </x:c>
      <x:c r="V1117" s="93" t="str">
        <x:f>PROPER(TRIM('Raw Sales'!L1117))</x:f>
        <x:v>Completed</x:v>
      </x:c>
      <x:c r="W1117" s="93" t="n">
        <x:f>IF(V1117="Returned",0,T1117-U1117)</x:f>
        <x:v>480.6</x:v>
      </x:c>
      <x:c r="X1117" s="93" t="n">
        <x:f>IF(V1117="Returned",Q1117*R1117*10%,Q1117*R1117)</x:f>
        <x:v>264</x:v>
      </x:c>
      <x:c r="Y1117" s="93" t="n">
        <x:f>W1117-X1117</x:f>
        <x:v>216.60000000000002</x:v>
      </x:c>
      <x:c r="Z1117" s="94" t="n">
        <x:f>IFERROR(Y1117/W1117,0)</x:f>
        <x:v>0.4506866416978777</x:v>
      </x:c>
      <x:c r="AA1117" s="84" t="str">
        <x:f>PROPER(TRIM('Raw Sales'!M1117))</x:f>
        <x:v>Debit Card</x:v>
      </x:c>
      <x:c r="AB1117" s="84" t="str">
        <x:f>PROPER(TRIM('Raw Sales'!N1117))</x:f>
        <x:v>Ava Mitchell</x:v>
      </x:c>
      <x:c r="AC1117" s="85" t="n">
        <x:f>'Raw Sales'!O1117</x:f>
        <x:v>45655</x:v>
      </x:c>
      <x:c r="AD1117" s="84" t="n">
        <x:f>AC1117-B1117</x:f>
        <x:v>0</x:v>
      </x:c>
      <x:c r="AE1117" s="84" t="str">
        <x:f>IF(COUNTIF($A$5:A1117,A1117)&gt;1,"Duplicate","Keep")</x:f>
        <x:v>Keep</x:v>
      </x:c>
      <x:c r="AF1117" s="84" t="str">
        <x:f>IF(OR(R1117&lt;=0,AC1117&lt;B1117,H1117="Unknown",M1117="Unknown Product"),"Review","Valid")</x:f>
        <x:v>Valid</x:v>
      </x:c>
      <x:c r="AG1117" s="84" t="n">
        <x:f>IF(AND(AE1117="Keep",AF1117="Valid"),1,0)</x:f>
        <x:v>1</x:v>
      </x:c>
      <x:c r="AH1117" s="84" t="n">
        <x:f>IF(AND(AG1117=1,OR('Dashboard'!$B$4="All",I1117='Dashboard'!$B$4),OR('Dashboard'!$E$4="All",N1117='Dashboard'!$E$4),OR('Dashboard'!$H$4="All",K1117='Dashboard'!$H$4),OR('Dashboard'!$K$4="All",C1117='Dashboard'!$K$4)),1,0)</x:f>
        <x:v>1</x:v>
      </x:c>
      <x:c r="AI1117" s="84" t="n">
        <x:f>IF(AND(AG1117=1,OR('Dashboard'!$B$4="All",I1117='Dashboard'!$B$4),OR('Dashboard'!$E$4="All",N1117='Dashboard'!$E$4),OR('Dashboard'!$H$4="All",K1117='Dashboard'!$H$4)),1,0)</x:f>
        <x:v>1</x:v>
      </x:c>
    </x:row>
    <x:row r="1118">
      <x:c r="A1118" s="84" t="str">
        <x:f>'Raw Sales'!A1118</x:f>
        <x:v>ORD-2024-00813</x:v>
      </x:c>
      <x:c r="B1118" s="85" t="n">
        <x:f>'Raw Sales'!B1118</x:f>
        <x:v>45655</x:v>
      </x:c>
      <x:c r="C1118" s="84" t="n">
        <x:f>YEAR(B1118)</x:f>
        <x:v>2024</x:v>
      </x:c>
      <x:c r="D1118" s="91" t="n">
        <x:f>DATE(YEAR(B1118),MONTH(B1118),1)</x:f>
        <x:v>45627</x:v>
      </x:c>
      <x:c r="E1118" s="84" t="str">
        <x:f>TEXT(B1118,"mmm")</x:f>
        <x:v>Dec</x:v>
      </x:c>
      <x:c r="F1118" s="84" t="str">
        <x:f>'Raw Sales'!C1118</x:f>
        <x:v>CUST-0087</x:v>
      </x:c>
      <x:c r="G1118" s="84" t="str">
        <x:f>PROPER(TRIM('Raw Sales'!D1118))</x:f>
        <x:v>Amelia Evans</x:v>
      </x:c>
      <x:c r="H1118" s="84" t="str">
        <x:f>IF(TRIM('Raw Sales'!E1118)="","Unknown",PROPER(TRIM('Raw Sales'!E1118)))</x:f>
        <x:v>Consumer</x:v>
      </x:c>
      <x:c r="I1118" s="84" t="str">
        <x:f>PROPER(TRIM('Raw Sales'!F1118))</x:f>
        <x:v>West</x:v>
      </x:c>
      <x:c r="J1118" s="84" t="str">
        <x:f>PROPER(TRIM('Raw Sales'!G1118))</x:f>
        <x:v>Los Angeles</x:v>
      </x:c>
      <x:c r="K1118" s="84" t="str">
        <x:f>PROPER(TRIM('Raw Sales'!H1118))</x:f>
        <x:v>Online</x:v>
      </x:c>
      <x:c r="L1118" s="84" t="str">
        <x:f>'Raw Sales'!I1118</x:f>
        <x:v>FITN-001</x:v>
      </x:c>
      <x:c r="M1118" s="84" t="str">
        <x:f>IFERROR(VLOOKUP(L1118,'Reference Data'!$A$5:$F$40,2,FALSE),"Unknown Product")</x:f>
        <x:v>Yoga Mat</x:v>
      </x:c>
      <x:c r="N1118" s="84" t="str">
        <x:f>IFERROR(VLOOKUP(L1118,'Reference Data'!$A$5:$F$40,3,FALSE),"Unknown")</x:f>
        <x:v>Fitness</x:v>
      </x:c>
      <x:c r="O1118" s="84" t="str">
        <x:f>IFERROR(VLOOKUP(L1118,'Reference Data'!$A$5:$F$40,4,FALSE),"Unknown")</x:f>
        <x:v>Yoga</x:v>
      </x:c>
      <x:c r="P1118" s="92" t="n">
        <x:f>IFERROR(VLOOKUP(L1118,'Reference Data'!$A$5:$F$40,5,FALSE),0)</x:f>
        <x:v>35</x:v>
      </x:c>
      <x:c r="Q1118" s="92" t="n">
        <x:f>IFERROR(VLOOKUP(L1118,'Reference Data'!$A$5:$F$40,6,FALSE),0)</x:f>
        <x:v>13</x:v>
      </x:c>
      <x:c r="R1118" s="84" t="n">
        <x:f>'Raw Sales'!J1118</x:f>
        <x:v>1</x:v>
      </x:c>
      <x:c r="S1118" s="87" t="n">
        <x:f>'Raw Sales'!K1118</x:f>
        <x:v>0</x:v>
      </x:c>
      <x:c r="T1118" s="93" t="n">
        <x:f>P1118*R1118</x:f>
        <x:v>35</x:v>
      </x:c>
      <x:c r="U1118" s="93" t="n">
        <x:f>T1118*S1118</x:f>
        <x:v>0</x:v>
      </x:c>
      <x:c r="V1118" s="93" t="str">
        <x:f>PROPER(TRIM('Raw Sales'!L1118))</x:f>
        <x:v>Returned</x:v>
      </x:c>
      <x:c r="W1118" s="93" t="n">
        <x:f>IF(V1118="Returned",0,T1118-U1118)</x:f>
        <x:v>0</x:v>
      </x:c>
      <x:c r="X1118" s="93" t="n">
        <x:f>IF(V1118="Returned",Q1118*R1118*10%,Q1118*R1118)</x:f>
        <x:v>1.3</x:v>
      </x:c>
      <x:c r="Y1118" s="93" t="n">
        <x:f>W1118-X1118</x:f>
        <x:v>-1.3</x:v>
      </x:c>
      <x:c r="Z1118" s="94" t="n">
        <x:f>IFERROR(Y1118/W1118,0)</x:f>
        <x:v>0</x:v>
      </x:c>
      <x:c r="AA1118" s="84" t="str">
        <x:f>PROPER(TRIM('Raw Sales'!M1118))</x:f>
        <x:v>Debit Card</x:v>
      </x:c>
      <x:c r="AB1118" s="84" t="str">
        <x:f>PROPER(TRIM('Raw Sales'!N1118))</x:f>
        <x:v>Nora Kim</x:v>
      </x:c>
      <x:c r="AC1118" s="85" t="n">
        <x:f>'Raw Sales'!O1118</x:f>
        <x:v>45658</x:v>
      </x:c>
      <x:c r="AD1118" s="84" t="n">
        <x:f>AC1118-B1118</x:f>
        <x:v>3</x:v>
      </x:c>
      <x:c r="AE1118" s="84" t="str">
        <x:f>IF(COUNTIF($A$5:A1118,A1118)&gt;1,"Duplicate","Keep")</x:f>
        <x:v>Keep</x:v>
      </x:c>
      <x:c r="AF1118" s="84" t="str">
        <x:f>IF(OR(R1118&lt;=0,AC1118&lt;B1118,H1118="Unknown",M1118="Unknown Product"),"Review","Valid")</x:f>
        <x:v>Valid</x:v>
      </x:c>
      <x:c r="AG1118" s="84" t="n">
        <x:f>IF(AND(AE1118="Keep",AF1118="Valid"),1,0)</x:f>
        <x:v>1</x:v>
      </x:c>
      <x:c r="AH1118" s="84" t="n">
        <x:f>IF(AND(AG1118=1,OR('Dashboard'!$B$4="All",I1118='Dashboard'!$B$4),OR('Dashboard'!$E$4="All",N1118='Dashboard'!$E$4),OR('Dashboard'!$H$4="All",K1118='Dashboard'!$H$4),OR('Dashboard'!$K$4="All",C1118='Dashboard'!$K$4)),1,0)</x:f>
        <x:v>1</x:v>
      </x:c>
      <x:c r="AI1118" s="84" t="n">
        <x:f>IF(AND(AG1118=1,OR('Dashboard'!$B$4="All",I1118='Dashboard'!$B$4),OR('Dashboard'!$E$4="All",N1118='Dashboard'!$E$4),OR('Dashboard'!$H$4="All",K1118='Dashboard'!$H$4)),1,0)</x:f>
        <x:v>1</x:v>
      </x:c>
    </x:row>
    <x:row r="1119">
      <x:c r="A1119" s="84" t="str">
        <x:f>'Raw Sales'!A1119</x:f>
        <x:v>ORD-2024-00939</x:v>
      </x:c>
      <x:c r="B1119" s="85" t="n">
        <x:f>'Raw Sales'!B1119</x:f>
        <x:v>45655</x:v>
      </x:c>
      <x:c r="C1119" s="84" t="n">
        <x:f>YEAR(B1119)</x:f>
        <x:v>2024</x:v>
      </x:c>
      <x:c r="D1119" s="91" t="n">
        <x:f>DATE(YEAR(B1119),MONTH(B1119),1)</x:f>
        <x:v>45627</x:v>
      </x:c>
      <x:c r="E1119" s="84" t="str">
        <x:f>TEXT(B1119,"mmm")</x:f>
        <x:v>Dec</x:v>
      </x:c>
      <x:c r="F1119" s="84" t="str">
        <x:f>'Raw Sales'!C1119</x:f>
        <x:v>CUST-0478</x:v>
      </x:c>
      <x:c r="G1119" s="84" t="str">
        <x:f>PROPER(TRIM('Raw Sales'!D1119))</x:f>
        <x:v>Owen Smith</x:v>
      </x:c>
      <x:c r="H1119" s="84" t="str">
        <x:f>IF(TRIM('Raw Sales'!E1119)="","Unknown",PROPER(TRIM('Raw Sales'!E1119)))</x:f>
        <x:v>Small Business</x:v>
      </x:c>
      <x:c r="I1119" s="84" t="str">
        <x:f>PROPER(TRIM('Raw Sales'!F1119))</x:f>
        <x:v>Northeast</x:v>
      </x:c>
      <x:c r="J1119" s="84" t="str">
        <x:f>PROPER(TRIM('Raw Sales'!G1119))</x:f>
        <x:v>New York</x:v>
      </x:c>
      <x:c r="K1119" s="84" t="str">
        <x:f>PROPER(TRIM('Raw Sales'!H1119))</x:f>
        <x:v>Retail Store</x:v>
      </x:c>
      <x:c r="L1119" s="84" t="str">
        <x:f>'Raw Sales'!I1119</x:f>
        <x:v>ACCS-006</x:v>
      </x:c>
      <x:c r="M1119" s="84" t="str">
        <x:f>IFERROR(VLOOKUP(L1119,'Reference Data'!$A$5:$F$40,2,FALSE),"Unknown Product")</x:f>
        <x:v>Insulated Lunch Bag</x:v>
      </x:c>
      <x:c r="N1119" s="84" t="str">
        <x:f>IFERROR(VLOOKUP(L1119,'Reference Data'!$A$5:$F$40,3,FALSE),"Unknown")</x:f>
        <x:v>Accessories</x:v>
      </x:c>
      <x:c r="O1119" s="84" t="str">
        <x:f>IFERROR(VLOOKUP(L1119,'Reference Data'!$A$5:$F$40,4,FALSE),"Unknown")</x:f>
        <x:v>Bags</x:v>
      </x:c>
      <x:c r="P1119" s="92" t="n">
        <x:f>IFERROR(VLOOKUP(L1119,'Reference Data'!$A$5:$F$40,5,FALSE),0)</x:f>
        <x:v>29</x:v>
      </x:c>
      <x:c r="Q1119" s="92" t="n">
        <x:f>IFERROR(VLOOKUP(L1119,'Reference Data'!$A$5:$F$40,6,FALSE),0)</x:f>
        <x:v>10</x:v>
      </x:c>
      <x:c r="R1119" s="84" t="n">
        <x:f>'Raw Sales'!J1119</x:f>
        <x:v>3</x:v>
      </x:c>
      <x:c r="S1119" s="87" t="n">
        <x:f>'Raw Sales'!K1119</x:f>
        <x:v>0.1</x:v>
      </x:c>
      <x:c r="T1119" s="93" t="n">
        <x:f>P1119*R1119</x:f>
        <x:v>87</x:v>
      </x:c>
      <x:c r="U1119" s="93" t="n">
        <x:f>T1119*S1119</x:f>
        <x:v>8.700000000000001</x:v>
      </x:c>
      <x:c r="V1119" s="93" t="str">
        <x:f>PROPER(TRIM('Raw Sales'!L1119))</x:f>
        <x:v>Completed</x:v>
      </x:c>
      <x:c r="W1119" s="93" t="n">
        <x:f>IF(V1119="Returned",0,T1119-U1119)</x:f>
        <x:v>78.3</x:v>
      </x:c>
      <x:c r="X1119" s="93" t="n">
        <x:f>IF(V1119="Returned",Q1119*R1119*10%,Q1119*R1119)</x:f>
        <x:v>30</x:v>
      </x:c>
      <x:c r="Y1119" s="93" t="n">
        <x:f>W1119-X1119</x:f>
        <x:v>48.3</x:v>
      </x:c>
      <x:c r="Z1119" s="94" t="n">
        <x:f>IFERROR(Y1119/W1119,0)</x:f>
        <x:v>0.6168582375478927</x:v>
      </x:c>
      <x:c r="AA1119" s="84" t="str">
        <x:f>PROPER(TRIM('Raw Sales'!M1119))</x:f>
        <x:v>Cash</x:v>
      </x:c>
      <x:c r="AB1119" s="84" t="str">
        <x:f>PROPER(TRIM('Raw Sales'!N1119))</x:f>
        <x:v>Sofia Bennett</x:v>
      </x:c>
      <x:c r="AC1119" s="85" t="n">
        <x:f>'Raw Sales'!O1119</x:f>
        <x:v>45655</x:v>
      </x:c>
      <x:c r="AD1119" s="84" t="n">
        <x:f>AC1119-B1119</x:f>
        <x:v>0</x:v>
      </x:c>
      <x:c r="AE1119" s="84" t="str">
        <x:f>IF(COUNTIF($A$5:A1119,A1119)&gt;1,"Duplicate","Keep")</x:f>
        <x:v>Keep</x:v>
      </x:c>
      <x:c r="AF1119" s="84" t="str">
        <x:f>IF(OR(R1119&lt;=0,AC1119&lt;B1119,H1119="Unknown",M1119="Unknown Product"),"Review","Valid")</x:f>
        <x:v>Valid</x:v>
      </x:c>
      <x:c r="AG1119" s="84" t="n">
        <x:f>IF(AND(AE1119="Keep",AF1119="Valid"),1,0)</x:f>
        <x:v>1</x:v>
      </x:c>
      <x:c r="AH1119" s="84" t="n">
        <x:f>IF(AND(AG1119=1,OR('Dashboard'!$B$4="All",I1119='Dashboard'!$B$4),OR('Dashboard'!$E$4="All",N1119='Dashboard'!$E$4),OR('Dashboard'!$H$4="All",K1119='Dashboard'!$H$4),OR('Dashboard'!$K$4="All",C1119='Dashboard'!$K$4)),1,0)</x:f>
        <x:v>1</x:v>
      </x:c>
      <x:c r="AI1119" s="84" t="n">
        <x:f>IF(AND(AG1119=1,OR('Dashboard'!$B$4="All",I1119='Dashboard'!$B$4),OR('Dashboard'!$E$4="All",N1119='Dashboard'!$E$4),OR('Dashboard'!$H$4="All",K1119='Dashboard'!$H$4)),1,0)</x:f>
        <x:v>1</x:v>
      </x:c>
    </x:row>
    <x:row r="1120">
      <x:c r="A1120" s="84" t="str">
        <x:f>'Raw Sales'!A1120</x:f>
        <x:v>ORD-2024-01161</x:v>
      </x:c>
      <x:c r="B1120" s="85" t="n">
        <x:f>'Raw Sales'!B1120</x:f>
        <x:v>45655</x:v>
      </x:c>
      <x:c r="C1120" s="84" t="n">
        <x:f>YEAR(B1120)</x:f>
        <x:v>2024</x:v>
      </x:c>
      <x:c r="D1120" s="91" t="n">
        <x:f>DATE(YEAR(B1120),MONTH(B1120),1)</x:f>
        <x:v>45627</x:v>
      </x:c>
      <x:c r="E1120" s="84" t="str">
        <x:f>TEXT(B1120,"mmm")</x:f>
        <x:v>Dec</x:v>
      </x:c>
      <x:c r="F1120" s="84" t="str">
        <x:f>'Raw Sales'!C1120</x:f>
        <x:v>CUST-0241</x:v>
      </x:c>
      <x:c r="G1120" s="84" t="str">
        <x:f>PROPER(TRIM('Raw Sales'!D1120))</x:f>
        <x:v>Maya Young</x:v>
      </x:c>
      <x:c r="H1120" s="84" t="str">
        <x:f>IF(TRIM('Raw Sales'!E1120)="","Unknown",PROPER(TRIM('Raw Sales'!E1120)))</x:f>
        <x:v>Small Business</x:v>
      </x:c>
      <x:c r="I1120" s="84" t="str">
        <x:f>PROPER(TRIM('Raw Sales'!F1120))</x:f>
        <x:v>Southeast</x:v>
      </x:c>
      <x:c r="J1120" s="84" t="str">
        <x:f>PROPER(TRIM('Raw Sales'!G1120))</x:f>
        <x:v>Atlanta</x:v>
      </x:c>
      <x:c r="K1120" s="84" t="str">
        <x:f>PROPER(TRIM('Raw Sales'!H1120))</x:f>
        <x:v>Retail Store</x:v>
      </x:c>
      <x:c r="L1120" s="84" t="str">
        <x:f>'Raw Sales'!I1120</x:f>
        <x:v>ELEC-003</x:v>
      </x:c>
      <x:c r="M1120" s="84" t="str">
        <x:f>IFERROR(VLOOKUP(L1120,'Reference Data'!$A$5:$F$40,2,FALSE),"Unknown Product")</x:f>
        <x:v>Bluetooth Speaker</x:v>
      </x:c>
      <x:c r="N1120" s="84" t="str">
        <x:f>IFERROR(VLOOKUP(L1120,'Reference Data'!$A$5:$F$40,3,FALSE),"Unknown")</x:f>
        <x:v>Electronics</x:v>
      </x:c>
      <x:c r="O1120" s="84" t="str">
        <x:f>IFERROR(VLOOKUP(L1120,'Reference Data'!$A$5:$F$40,4,FALSE),"Unknown")</x:f>
        <x:v>Audio</x:v>
      </x:c>
      <x:c r="P1120" s="92" t="n">
        <x:f>IFERROR(VLOOKUP(L1120,'Reference Data'!$A$5:$F$40,5,FALSE),0)</x:f>
        <x:v>89</x:v>
      </x:c>
      <x:c r="Q1120" s="92" t="n">
        <x:f>IFERROR(VLOOKUP(L1120,'Reference Data'!$A$5:$F$40,6,FALSE),0)</x:f>
        <x:v>44</x:v>
      </x:c>
      <x:c r="R1120" s="84" t="n">
        <x:f>'Raw Sales'!J1120</x:f>
        <x:v>1</x:v>
      </x:c>
      <x:c r="S1120" s="87" t="n">
        <x:f>'Raw Sales'!K1120</x:f>
        <x:v>0.15</x:v>
      </x:c>
      <x:c r="T1120" s="93" t="n">
        <x:f>P1120*R1120</x:f>
        <x:v>89</x:v>
      </x:c>
      <x:c r="U1120" s="93" t="n">
        <x:f>T1120*S1120</x:f>
        <x:v>13.35</x:v>
      </x:c>
      <x:c r="V1120" s="93" t="str">
        <x:f>PROPER(TRIM('Raw Sales'!L1120))</x:f>
        <x:v>Completed</x:v>
      </x:c>
      <x:c r="W1120" s="93" t="n">
        <x:f>IF(V1120="Returned",0,T1120-U1120)</x:f>
        <x:v>75.65</x:v>
      </x:c>
      <x:c r="X1120" s="93" t="n">
        <x:f>IF(V1120="Returned",Q1120*R1120*10%,Q1120*R1120)</x:f>
        <x:v>44</x:v>
      </x:c>
      <x:c r="Y1120" s="93" t="n">
        <x:f>W1120-X1120</x:f>
        <x:v>31.650000000000006</x:v>
      </x:c>
      <x:c r="Z1120" s="94" t="n">
        <x:f>IFERROR(Y1120/W1120,0)</x:f>
        <x:v>0.4183740912095176</x:v>
      </x:c>
      <x:c r="AA1120" s="84" t="str">
        <x:f>PROPER(TRIM('Raw Sales'!M1120))</x:f>
        <x:v>Mobile Wallet</x:v>
      </x:c>
      <x:c r="AB1120" s="84" t="str">
        <x:f>PROPER(TRIM('Raw Sales'!N1120))</x:f>
        <x:v>Ava Mitchell</x:v>
      </x:c>
      <x:c r="AC1120" s="85" t="n">
        <x:f>'Raw Sales'!O1120</x:f>
        <x:v>45655</x:v>
      </x:c>
      <x:c r="AD1120" s="84" t="n">
        <x:f>AC1120-B1120</x:f>
        <x:v>0</x:v>
      </x:c>
      <x:c r="AE1120" s="84" t="str">
        <x:f>IF(COUNTIF($A$5:A1120,A1120)&gt;1,"Duplicate","Keep")</x:f>
        <x:v>Keep</x:v>
      </x:c>
      <x:c r="AF1120" s="84" t="str">
        <x:f>IF(OR(R1120&lt;=0,AC1120&lt;B1120,H1120="Unknown",M1120="Unknown Product"),"Review","Valid")</x:f>
        <x:v>Valid</x:v>
      </x:c>
      <x:c r="AG1120" s="84" t="n">
        <x:f>IF(AND(AE1120="Keep",AF1120="Valid"),1,0)</x:f>
        <x:v>1</x:v>
      </x:c>
      <x:c r="AH1120" s="84" t="n">
        <x:f>IF(AND(AG1120=1,OR('Dashboard'!$B$4="All",I1120='Dashboard'!$B$4),OR('Dashboard'!$E$4="All",N1120='Dashboard'!$E$4),OR('Dashboard'!$H$4="All",K1120='Dashboard'!$H$4),OR('Dashboard'!$K$4="All",C1120='Dashboard'!$K$4)),1,0)</x:f>
        <x:v>1</x:v>
      </x:c>
      <x:c r="AI1120" s="84" t="n">
        <x:f>IF(AND(AG1120=1,OR('Dashboard'!$B$4="All",I1120='Dashboard'!$B$4),OR('Dashboard'!$E$4="All",N1120='Dashboard'!$E$4),OR('Dashboard'!$H$4="All",K1120='Dashboard'!$H$4)),1,0)</x:f>
        <x:v>1</x:v>
      </x:c>
    </x:row>
    <x:row r="1121">
      <x:c r="A1121" s="84" t="str">
        <x:f>'Raw Sales'!A1121</x:f>
        <x:v>ORD-2024-00306</x:v>
      </x:c>
      <x:c r="B1121" s="85" t="n">
        <x:f>'Raw Sales'!B1121</x:f>
        <x:v>45656</x:v>
      </x:c>
      <x:c r="C1121" s="84" t="n">
        <x:f>YEAR(B1121)</x:f>
        <x:v>2024</x:v>
      </x:c>
      <x:c r="D1121" s="91" t="n">
        <x:f>DATE(YEAR(B1121),MONTH(B1121),1)</x:f>
        <x:v>45627</x:v>
      </x:c>
      <x:c r="E1121" s="84" t="str">
        <x:f>TEXT(B1121,"mmm")</x:f>
        <x:v>Dec</x:v>
      </x:c>
      <x:c r="F1121" s="84" t="str">
        <x:f>'Raw Sales'!C1121</x:f>
        <x:v>CUST-0248</x:v>
      </x:c>
      <x:c r="G1121" s="84" t="str">
        <x:f>PROPER(TRIM('Raw Sales'!D1121))</x:f>
        <x:v>Chloe Khan</x:v>
      </x:c>
      <x:c r="H1121" s="84" t="str">
        <x:f>IF(TRIM('Raw Sales'!E1121)="","Unknown",PROPER(TRIM('Raw Sales'!E1121)))</x:f>
        <x:v>Corporate</x:v>
      </x:c>
      <x:c r="I1121" s="84" t="str">
        <x:f>PROPER(TRIM('Raw Sales'!F1121))</x:f>
        <x:v>Midwest</x:v>
      </x:c>
      <x:c r="J1121" s="84" t="str">
        <x:f>PROPER(TRIM('Raw Sales'!G1121))</x:f>
        <x:v>Chicago</x:v>
      </x:c>
      <x:c r="K1121" s="84" t="str">
        <x:f>PROPER(TRIM('Raw Sales'!H1121))</x:f>
        <x:v>Retail Store</x:v>
      </x:c>
      <x:c r="L1121" s="84" t="str">
        <x:f>'Raw Sales'!I1121</x:f>
        <x:v>ELEC-006</x:v>
      </x:c>
      <x:c r="M1121" s="84" t="str">
        <x:f>IFERROR(VLOOKUP(L1121,'Reference Data'!$A$5:$F$40,2,FALSE),"Unknown Product")</x:f>
        <x:v>Portable SSD</x:v>
      </x:c>
      <x:c r="N1121" s="84" t="str">
        <x:f>IFERROR(VLOOKUP(L1121,'Reference Data'!$A$5:$F$40,3,FALSE),"Unknown")</x:f>
        <x:v>Electronics</x:v>
      </x:c>
      <x:c r="O1121" s="84" t="str">
        <x:f>IFERROR(VLOOKUP(L1121,'Reference Data'!$A$5:$F$40,4,FALSE),"Unknown")</x:f>
        <x:v>Storage</x:v>
      </x:c>
      <x:c r="P1121" s="92" t="n">
        <x:f>IFERROR(VLOOKUP(L1121,'Reference Data'!$A$5:$F$40,5,FALSE),0)</x:f>
        <x:v>129</x:v>
      </x:c>
      <x:c r="Q1121" s="92" t="n">
        <x:f>IFERROR(VLOOKUP(L1121,'Reference Data'!$A$5:$F$40,6,FALSE),0)</x:f>
        <x:v>75</x:v>
      </x:c>
      <x:c r="R1121" s="84" t="n">
        <x:f>'Raw Sales'!J1121</x:f>
        <x:v>8</x:v>
      </x:c>
      <x:c r="S1121" s="87" t="n">
        <x:f>'Raw Sales'!K1121</x:f>
        <x:v>0.15</x:v>
      </x:c>
      <x:c r="T1121" s="93" t="n">
        <x:f>P1121*R1121</x:f>
        <x:v>1032</x:v>
      </x:c>
      <x:c r="U1121" s="93" t="n">
        <x:f>T1121*S1121</x:f>
        <x:v>154.79999999999998</x:v>
      </x:c>
      <x:c r="V1121" s="93" t="str">
        <x:f>PROPER(TRIM('Raw Sales'!L1121))</x:f>
        <x:v>Completed</x:v>
      </x:c>
      <x:c r="W1121" s="93" t="n">
        <x:f>IF(V1121="Returned",0,T1121-U1121)</x:f>
        <x:v>877.2</x:v>
      </x:c>
      <x:c r="X1121" s="93" t="n">
        <x:f>IF(V1121="Returned",Q1121*R1121*10%,Q1121*R1121)</x:f>
        <x:v>600</x:v>
      </x:c>
      <x:c r="Y1121" s="93" t="n">
        <x:f>W1121-X1121</x:f>
        <x:v>277.20000000000005</x:v>
      </x:c>
      <x:c r="Z1121" s="94" t="n">
        <x:f>IFERROR(Y1121/W1121,0)</x:f>
        <x:v>0.31600547195622436</x:v>
      </x:c>
      <x:c r="AA1121" s="84" t="str">
        <x:f>PROPER(TRIM('Raw Sales'!M1121))</x:f>
        <x:v>Cash</x:v>
      </x:c>
      <x:c r="AB1121" s="84" t="str">
        <x:f>PROPER(TRIM('Raw Sales'!N1121))</x:f>
        <x:v>Zoe Turner</x:v>
      </x:c>
      <x:c r="AC1121" s="85" t="n">
        <x:f>'Raw Sales'!O1121</x:f>
        <x:v>45656</x:v>
      </x:c>
      <x:c r="AD1121" s="84" t="n">
        <x:f>AC1121-B1121</x:f>
        <x:v>0</x:v>
      </x:c>
      <x:c r="AE1121" s="84" t="str">
        <x:f>IF(COUNTIF($A$5:A1121,A1121)&gt;1,"Duplicate","Keep")</x:f>
        <x:v>Keep</x:v>
      </x:c>
      <x:c r="AF1121" s="84" t="str">
        <x:f>IF(OR(R1121&lt;=0,AC1121&lt;B1121,H1121="Unknown",M1121="Unknown Product"),"Review","Valid")</x:f>
        <x:v>Valid</x:v>
      </x:c>
      <x:c r="AG1121" s="84" t="n">
        <x:f>IF(AND(AE1121="Keep",AF1121="Valid"),1,0)</x:f>
        <x:v>1</x:v>
      </x:c>
      <x:c r="AH1121" s="84" t="n">
        <x:f>IF(AND(AG1121=1,OR('Dashboard'!$B$4="All",I1121='Dashboard'!$B$4),OR('Dashboard'!$E$4="All",N1121='Dashboard'!$E$4),OR('Dashboard'!$H$4="All",K1121='Dashboard'!$H$4),OR('Dashboard'!$K$4="All",C1121='Dashboard'!$K$4)),1,0)</x:f>
        <x:v>1</x:v>
      </x:c>
      <x:c r="AI1121" s="84" t="n">
        <x:f>IF(AND(AG1121=1,OR('Dashboard'!$B$4="All",I1121='Dashboard'!$B$4),OR('Dashboard'!$E$4="All",N1121='Dashboard'!$E$4),OR('Dashboard'!$H$4="All",K1121='Dashboard'!$H$4)),1,0)</x:f>
        <x:v>1</x:v>
      </x:c>
    </x:row>
    <x:row r="1122">
      <x:c r="A1122" s="84" t="str">
        <x:f>'Raw Sales'!A1122</x:f>
        <x:v>ORD-2024-00400</x:v>
      </x:c>
      <x:c r="B1122" s="85" t="n">
        <x:f>'Raw Sales'!B1122</x:f>
        <x:v>45656</x:v>
      </x:c>
      <x:c r="C1122" s="84" t="n">
        <x:f>YEAR(B1122)</x:f>
        <x:v>2024</x:v>
      </x:c>
      <x:c r="D1122" s="91" t="n">
        <x:f>DATE(YEAR(B1122),MONTH(B1122),1)</x:f>
        <x:v>45627</x:v>
      </x:c>
      <x:c r="E1122" s="84" t="str">
        <x:f>TEXT(B1122,"mmm")</x:f>
        <x:v>Dec</x:v>
      </x:c>
      <x:c r="F1122" s="84" t="str">
        <x:f>'Raw Sales'!C1122</x:f>
        <x:v>CUST-0265</x:v>
      </x:c>
      <x:c r="G1122" s="84" t="str">
        <x:f>PROPER(TRIM('Raw Sales'!D1122))</x:f>
        <x:v>Sara Adams</x:v>
      </x:c>
      <x:c r="H1122" s="84" t="str">
        <x:f>IF(TRIM('Raw Sales'!E1122)="","Unknown",PROPER(TRIM('Raw Sales'!E1122)))</x:f>
        <x:v>Consumer</x:v>
      </x:c>
      <x:c r="I1122" s="84" t="str">
        <x:f>PROPER(TRIM('Raw Sales'!F1122))</x:f>
        <x:v>Southeast</x:v>
      </x:c>
      <x:c r="J1122" s="84" t="str">
        <x:f>PROPER(TRIM('Raw Sales'!G1122))</x:f>
        <x:v>Nashville</x:v>
      </x:c>
      <x:c r="K1122" s="84" t="str">
        <x:f>PROPER(TRIM('Raw Sales'!H1122))</x:f>
        <x:v>Retail Store</x:v>
      </x:c>
      <x:c r="L1122" s="84" t="str">
        <x:f>'Raw Sales'!I1122</x:f>
        <x:v>ELEC-006</x:v>
      </x:c>
      <x:c r="M1122" s="84" t="str">
        <x:f>IFERROR(VLOOKUP(L1122,'Reference Data'!$A$5:$F$40,2,FALSE),"Unknown Product")</x:f>
        <x:v>Portable SSD</x:v>
      </x:c>
      <x:c r="N1122" s="84" t="str">
        <x:f>IFERROR(VLOOKUP(L1122,'Reference Data'!$A$5:$F$40,3,FALSE),"Unknown")</x:f>
        <x:v>Electronics</x:v>
      </x:c>
      <x:c r="O1122" s="84" t="str">
        <x:f>IFERROR(VLOOKUP(L1122,'Reference Data'!$A$5:$F$40,4,FALSE),"Unknown")</x:f>
        <x:v>Storage</x:v>
      </x:c>
      <x:c r="P1122" s="92" t="n">
        <x:f>IFERROR(VLOOKUP(L1122,'Reference Data'!$A$5:$F$40,5,FALSE),0)</x:f>
        <x:v>129</x:v>
      </x:c>
      <x:c r="Q1122" s="92" t="n">
        <x:f>IFERROR(VLOOKUP(L1122,'Reference Data'!$A$5:$F$40,6,FALSE),0)</x:f>
        <x:v>75</x:v>
      </x:c>
      <x:c r="R1122" s="84" t="n">
        <x:f>'Raw Sales'!J1122</x:f>
        <x:v>1</x:v>
      </x:c>
      <x:c r="S1122" s="87" t="n">
        <x:f>'Raw Sales'!K1122</x:f>
        <x:v>0.1</x:v>
      </x:c>
      <x:c r="T1122" s="93" t="n">
        <x:f>P1122*R1122</x:f>
        <x:v>129</x:v>
      </x:c>
      <x:c r="U1122" s="93" t="n">
        <x:f>T1122*S1122</x:f>
        <x:v>12.9</x:v>
      </x:c>
      <x:c r="V1122" s="93" t="str">
        <x:f>PROPER(TRIM('Raw Sales'!L1122))</x:f>
        <x:v>Completed</x:v>
      </x:c>
      <x:c r="W1122" s="93" t="n">
        <x:f>IF(V1122="Returned",0,T1122-U1122)</x:f>
        <x:v>116.1</x:v>
      </x:c>
      <x:c r="X1122" s="93" t="n">
        <x:f>IF(V1122="Returned",Q1122*R1122*10%,Q1122*R1122)</x:f>
        <x:v>75</x:v>
      </x:c>
      <x:c r="Y1122" s="93" t="n">
        <x:f>W1122-X1122</x:f>
        <x:v>41.099999999999994</x:v>
      </x:c>
      <x:c r="Z1122" s="94" t="n">
        <x:f>IFERROR(Y1122/W1122,0)</x:f>
        <x:v>0.3540051679586563</x:v>
      </x:c>
      <x:c r="AA1122" s="84" t="str">
        <x:f>PROPER(TRIM('Raw Sales'!M1122))</x:f>
        <x:v>Debit Card</x:v>
      </x:c>
      <x:c r="AB1122" s="84" t="str">
        <x:f>PROPER(TRIM('Raw Sales'!N1122))</x:f>
        <x:v>Ava Mitchell</x:v>
      </x:c>
      <x:c r="AC1122" s="85" t="n">
        <x:f>'Raw Sales'!O1122</x:f>
        <x:v>45656</x:v>
      </x:c>
      <x:c r="AD1122" s="84" t="n">
        <x:f>AC1122-B1122</x:f>
        <x:v>0</x:v>
      </x:c>
      <x:c r="AE1122" s="84" t="str">
        <x:f>IF(COUNTIF($A$5:A1122,A1122)&gt;1,"Duplicate","Keep")</x:f>
        <x:v>Keep</x:v>
      </x:c>
      <x:c r="AF1122" s="84" t="str">
        <x:f>IF(OR(R1122&lt;=0,AC1122&lt;B1122,H1122="Unknown",M1122="Unknown Product"),"Review","Valid")</x:f>
        <x:v>Valid</x:v>
      </x:c>
      <x:c r="AG1122" s="84" t="n">
        <x:f>IF(AND(AE1122="Keep",AF1122="Valid"),1,0)</x:f>
        <x:v>1</x:v>
      </x:c>
      <x:c r="AH1122" s="84" t="n">
        <x:f>IF(AND(AG1122=1,OR('Dashboard'!$B$4="All",I1122='Dashboard'!$B$4),OR('Dashboard'!$E$4="All",N1122='Dashboard'!$E$4),OR('Dashboard'!$H$4="All",K1122='Dashboard'!$H$4),OR('Dashboard'!$K$4="All",C1122='Dashboard'!$K$4)),1,0)</x:f>
        <x:v>1</x:v>
      </x:c>
      <x:c r="AI1122" s="84" t="n">
        <x:f>IF(AND(AG1122=1,OR('Dashboard'!$B$4="All",I1122='Dashboard'!$B$4),OR('Dashboard'!$E$4="All",N1122='Dashboard'!$E$4),OR('Dashboard'!$H$4="All",K1122='Dashboard'!$H$4)),1,0)</x:f>
        <x:v>1</x:v>
      </x:c>
    </x:row>
    <x:row r="1123">
      <x:c r="A1123" s="84" t="str">
        <x:f>'Raw Sales'!A1123</x:f>
        <x:v>ORD-2024-01362</x:v>
      </x:c>
      <x:c r="B1123" s="85" t="n">
        <x:f>'Raw Sales'!B1123</x:f>
        <x:v>45656</x:v>
      </x:c>
      <x:c r="C1123" s="84" t="n">
        <x:f>YEAR(B1123)</x:f>
        <x:v>2024</x:v>
      </x:c>
      <x:c r="D1123" s="91" t="n">
        <x:f>DATE(YEAR(B1123),MONTH(B1123),1)</x:f>
        <x:v>45627</x:v>
      </x:c>
      <x:c r="E1123" s="84" t="str">
        <x:f>TEXT(B1123,"mmm")</x:f>
        <x:v>Dec</x:v>
      </x:c>
      <x:c r="F1123" s="84" t="str">
        <x:f>'Raw Sales'!C1123</x:f>
        <x:v>CUST-0003</x:v>
      </x:c>
      <x:c r="G1123" s="84" t="str">
        <x:f>PROPER(TRIM('Raw Sales'!D1123))</x:f>
        <x:v>Victoria Foster</x:v>
      </x:c>
      <x:c r="H1123" s="84" t="str">
        <x:f>IF(TRIM('Raw Sales'!E1123)="","Unknown",PROPER(TRIM('Raw Sales'!E1123)))</x:f>
        <x:v>Consumer</x:v>
      </x:c>
      <x:c r="I1123" s="84" t="str">
        <x:f>PROPER(TRIM('Raw Sales'!F1123))</x:f>
        <x:v>West</x:v>
      </x:c>
      <x:c r="J1123" s="84" t="str">
        <x:f>PROPER(TRIM('Raw Sales'!G1123))</x:f>
        <x:v>Seattle</x:v>
      </x:c>
      <x:c r="K1123" s="84" t="str">
        <x:f>PROPER(TRIM('Raw Sales'!H1123))</x:f>
        <x:v>Marketplace</x:v>
      </x:c>
      <x:c r="L1123" s="84" t="str">
        <x:f>'Raw Sales'!I1123</x:f>
        <x:v>CARE-005</x:v>
      </x:c>
      <x:c r="M1123" s="84" t="str">
        <x:f>IFERROR(VLOOKUP(L1123,'Reference Data'!$A$5:$F$40,2,FALSE),"Unknown Product")</x:f>
        <x:v>Skin Care Starter Kit</x:v>
      </x:c>
      <x:c r="N1123" s="84" t="str">
        <x:f>IFERROR(VLOOKUP(L1123,'Reference Data'!$A$5:$F$40,3,FALSE),"Unknown")</x:f>
        <x:v>Personal Care</x:v>
      </x:c>
      <x:c r="O1123" s="84" t="str">
        <x:f>IFERROR(VLOOKUP(L1123,'Reference Data'!$A$5:$F$40,4,FALSE),"Unknown")</x:f>
        <x:v>Skin Care</x:v>
      </x:c>
      <x:c r="P1123" s="92" t="n">
        <x:f>IFERROR(VLOOKUP(L1123,'Reference Data'!$A$5:$F$40,5,FALSE),0)</x:f>
        <x:v>58</x:v>
      </x:c>
      <x:c r="Q1123" s="92" t="n">
        <x:f>IFERROR(VLOOKUP(L1123,'Reference Data'!$A$5:$F$40,6,FALSE),0)</x:f>
        <x:v>24</x:v>
      </x:c>
      <x:c r="R1123" s="84" t="n">
        <x:f>'Raw Sales'!J1123</x:f>
        <x:v>1</x:v>
      </x:c>
      <x:c r="S1123" s="87" t="n">
        <x:f>'Raw Sales'!K1123</x:f>
        <x:v>0.15</x:v>
      </x:c>
      <x:c r="T1123" s="93" t="n">
        <x:f>P1123*R1123</x:f>
        <x:v>58</x:v>
      </x:c>
      <x:c r="U1123" s="93" t="n">
        <x:f>T1123*S1123</x:f>
        <x:v>8.7</x:v>
      </x:c>
      <x:c r="V1123" s="93" t="str">
        <x:f>PROPER(TRIM('Raw Sales'!L1123))</x:f>
        <x:v>Returned</x:v>
      </x:c>
      <x:c r="W1123" s="93" t="n">
        <x:f>IF(V1123="Returned",0,T1123-U1123)</x:f>
        <x:v>0</x:v>
      </x:c>
      <x:c r="X1123" s="93" t="n">
        <x:f>IF(V1123="Returned",Q1123*R1123*10%,Q1123*R1123)</x:f>
        <x:v>2.4000000000000004</x:v>
      </x:c>
      <x:c r="Y1123" s="93" t="n">
        <x:f>W1123-X1123</x:f>
        <x:v>-2.4000000000000004</x:v>
      </x:c>
      <x:c r="Z1123" s="94" t="n">
        <x:f>IFERROR(Y1123/W1123,0)</x:f>
        <x:v>0</x:v>
      </x:c>
      <x:c r="AA1123" s="84" t="str">
        <x:f>PROPER(TRIM('Raw Sales'!M1123))</x:f>
        <x:v>Mobile Wallet</x:v>
      </x:c>
      <x:c r="AB1123" s="84" t="str">
        <x:f>PROPER(TRIM('Raw Sales'!N1123))</x:f>
        <x:v>Nora Kim</x:v>
      </x:c>
      <x:c r="AC1123" s="85" t="n">
        <x:f>'Raw Sales'!O1123</x:f>
        <x:v>45663</x:v>
      </x:c>
      <x:c r="AD1123" s="84" t="n">
        <x:f>AC1123-B1123</x:f>
        <x:v>7</x:v>
      </x:c>
      <x:c r="AE1123" s="84" t="str">
        <x:f>IF(COUNTIF($A$5:A1123,A1123)&gt;1,"Duplicate","Keep")</x:f>
        <x:v>Keep</x:v>
      </x:c>
      <x:c r="AF1123" s="84" t="str">
        <x:f>IF(OR(R1123&lt;=0,AC1123&lt;B1123,H1123="Unknown",M1123="Unknown Product"),"Review","Valid")</x:f>
        <x:v>Valid</x:v>
      </x:c>
      <x:c r="AG1123" s="84" t="n">
        <x:f>IF(AND(AE1123="Keep",AF1123="Valid"),1,0)</x:f>
        <x:v>1</x:v>
      </x:c>
      <x:c r="AH1123" s="84" t="n">
        <x:f>IF(AND(AG1123=1,OR('Dashboard'!$B$4="All",I1123='Dashboard'!$B$4),OR('Dashboard'!$E$4="All",N1123='Dashboard'!$E$4),OR('Dashboard'!$H$4="All",K1123='Dashboard'!$H$4),OR('Dashboard'!$K$4="All",C1123='Dashboard'!$K$4)),1,0)</x:f>
        <x:v>1</x:v>
      </x:c>
      <x:c r="AI1123" s="84" t="n">
        <x:f>IF(AND(AG1123=1,OR('Dashboard'!$B$4="All",I1123='Dashboard'!$B$4),OR('Dashboard'!$E$4="All",N1123='Dashboard'!$E$4),OR('Dashboard'!$H$4="All",K1123='Dashboard'!$H$4)),1,0)</x:f>
        <x:v>1</x:v>
      </x:c>
    </x:row>
    <x:row r="1124">
      <x:c r="A1124" s="84" t="str">
        <x:f>'Raw Sales'!A1124</x:f>
        <x:v>ORD-2024-01374</x:v>
      </x:c>
      <x:c r="B1124" s="85" t="n">
        <x:f>'Raw Sales'!B1124</x:f>
        <x:v>45656</x:v>
      </x:c>
      <x:c r="C1124" s="84" t="n">
        <x:f>YEAR(B1124)</x:f>
        <x:v>2024</x:v>
      </x:c>
      <x:c r="D1124" s="91" t="n">
        <x:f>DATE(YEAR(B1124),MONTH(B1124),1)</x:f>
        <x:v>45627</x:v>
      </x:c>
      <x:c r="E1124" s="84" t="str">
        <x:f>TEXT(B1124,"mmm")</x:f>
        <x:v>Dec</x:v>
      </x:c>
      <x:c r="F1124" s="84" t="str">
        <x:f>'Raw Sales'!C1124</x:f>
        <x:v>CUST-0063</x:v>
      </x:c>
      <x:c r="G1124" s="84" t="str">
        <x:f>PROPER(TRIM('Raw Sales'!D1124))</x:f>
        <x:v>Jonah Irwin</x:v>
      </x:c>
      <x:c r="H1124" s="84" t="str">
        <x:f>IF(TRIM('Raw Sales'!E1124)="","Unknown",PROPER(TRIM('Raw Sales'!E1124)))</x:f>
        <x:v>Small Business</x:v>
      </x:c>
      <x:c r="I1124" s="84" t="str">
        <x:f>PROPER(TRIM('Raw Sales'!F1124))</x:f>
        <x:v>Midwest</x:v>
      </x:c>
      <x:c r="J1124" s="84" t="str">
        <x:f>PROPER(TRIM('Raw Sales'!G1124))</x:f>
        <x:v>Detroit</x:v>
      </x:c>
      <x:c r="K1124" s="84" t="str">
        <x:f>PROPER(TRIM('Raw Sales'!H1124))</x:f>
        <x:v>Online</x:v>
      </x:c>
      <x:c r="L1124" s="84" t="str">
        <x:f>'Raw Sales'!I1124</x:f>
        <x:v>CARE-006</x:v>
      </x:c>
      <x:c r="M1124" s="84" t="str">
        <x:f>IFERROR(VLOOKUP(L1124,'Reference Data'!$A$5:$F$40,2,FALSE),"Unknown Product")</x:f>
        <x:v>Percussion Massage Gun</x:v>
      </x:c>
      <x:c r="N1124" s="84" t="str">
        <x:f>IFERROR(VLOOKUP(L1124,'Reference Data'!$A$5:$F$40,3,FALSE),"Unknown")</x:f>
        <x:v>Personal Care</x:v>
      </x:c>
      <x:c r="O1124" s="84" t="str">
        <x:f>IFERROR(VLOOKUP(L1124,'Reference Data'!$A$5:$F$40,4,FALSE),"Unknown")</x:f>
        <x:v>Wellness</x:v>
      </x:c>
      <x:c r="P1124" s="92" t="n">
        <x:f>IFERROR(VLOOKUP(L1124,'Reference Data'!$A$5:$F$40,5,FALSE),0)</x:f>
        <x:v>129</x:v>
      </x:c>
      <x:c r="Q1124" s="92" t="n">
        <x:f>IFERROR(VLOOKUP(L1124,'Reference Data'!$A$5:$F$40,6,FALSE),0)</x:f>
        <x:v>70</x:v>
      </x:c>
      <x:c r="R1124" s="84" t="n">
        <x:f>'Raw Sales'!J1124</x:f>
        <x:v>2</x:v>
      </x:c>
      <x:c r="S1124" s="87" t="n">
        <x:f>'Raw Sales'!K1124</x:f>
        <x:v>0.05</x:v>
      </x:c>
      <x:c r="T1124" s="93" t="n">
        <x:f>P1124*R1124</x:f>
        <x:v>258</x:v>
      </x:c>
      <x:c r="U1124" s="93" t="n">
        <x:f>T1124*S1124</x:f>
        <x:v>12.9</x:v>
      </x:c>
      <x:c r="V1124" s="93" t="str">
        <x:f>PROPER(TRIM('Raw Sales'!L1124))</x:f>
        <x:v>Completed</x:v>
      </x:c>
      <x:c r="W1124" s="93" t="n">
        <x:f>IF(V1124="Returned",0,T1124-U1124)</x:f>
        <x:v>245.1</x:v>
      </x:c>
      <x:c r="X1124" s="93" t="n">
        <x:f>IF(V1124="Returned",Q1124*R1124*10%,Q1124*R1124)</x:f>
        <x:v>140</x:v>
      </x:c>
      <x:c r="Y1124" s="93" t="n">
        <x:f>W1124-X1124</x:f>
        <x:v>105.1</x:v>
      </x:c>
      <x:c r="Z1124" s="94" t="n">
        <x:f>IFERROR(Y1124/W1124,0)</x:f>
        <x:v>0.4288045695634435</x:v>
      </x:c>
      <x:c r="AA1124" s="84" t="str">
        <x:f>PROPER(TRIM('Raw Sales'!M1124))</x:f>
        <x:v>Paypal</x:v>
      </x:c>
      <x:c r="AB1124" s="84" t="str">
        <x:f>PROPER(TRIM('Raw Sales'!N1124))</x:f>
        <x:v>Zoe Turner</x:v>
      </x:c>
      <x:c r="AC1124" s="85" t="n">
        <x:f>'Raw Sales'!O1124</x:f>
        <x:v>45660</x:v>
      </x:c>
      <x:c r="AD1124" s="84" t="n">
        <x:f>AC1124-B1124</x:f>
        <x:v>4</x:v>
      </x:c>
      <x:c r="AE1124" s="84" t="str">
        <x:f>IF(COUNTIF($A$5:A1124,A1124)&gt;1,"Duplicate","Keep")</x:f>
        <x:v>Keep</x:v>
      </x:c>
      <x:c r="AF1124" s="84" t="str">
        <x:f>IF(OR(R1124&lt;=0,AC1124&lt;B1124,H1124="Unknown",M1124="Unknown Product"),"Review","Valid")</x:f>
        <x:v>Valid</x:v>
      </x:c>
      <x:c r="AG1124" s="84" t="n">
        <x:f>IF(AND(AE1124="Keep",AF1124="Valid"),1,0)</x:f>
        <x:v>1</x:v>
      </x:c>
      <x:c r="AH1124" s="84" t="n">
        <x:f>IF(AND(AG1124=1,OR('Dashboard'!$B$4="All",I1124='Dashboard'!$B$4),OR('Dashboard'!$E$4="All",N1124='Dashboard'!$E$4),OR('Dashboard'!$H$4="All",K1124='Dashboard'!$H$4),OR('Dashboard'!$K$4="All",C1124='Dashboard'!$K$4)),1,0)</x:f>
        <x:v>1</x:v>
      </x:c>
      <x:c r="AI1124" s="84" t="n">
        <x:f>IF(AND(AG1124=1,OR('Dashboard'!$B$4="All",I1124='Dashboard'!$B$4),OR('Dashboard'!$E$4="All",N1124='Dashboard'!$E$4),OR('Dashboard'!$H$4="All",K1124='Dashboard'!$H$4)),1,0)</x:f>
        <x:v>1</x:v>
      </x:c>
    </x:row>
    <x:row r="1125">
      <x:c r="A1125" s="84" t="str">
        <x:f>'Raw Sales'!A1125</x:f>
        <x:v>ORD-2024-00202</x:v>
      </x:c>
      <x:c r="B1125" s="85" t="n">
        <x:f>'Raw Sales'!B1125</x:f>
        <x:v>45657</x:v>
      </x:c>
      <x:c r="C1125" s="84" t="n">
        <x:f>YEAR(B1125)</x:f>
        <x:v>2024</x:v>
      </x:c>
      <x:c r="D1125" s="91" t="n">
        <x:f>DATE(YEAR(B1125),MONTH(B1125),1)</x:f>
        <x:v>45627</x:v>
      </x:c>
      <x:c r="E1125" s="84" t="str">
        <x:f>TEXT(B1125,"mmm")</x:f>
        <x:v>Dec</x:v>
      </x:c>
      <x:c r="F1125" s="84" t="str">
        <x:f>'Raw Sales'!C1125</x:f>
        <x:v>CUST-0487</x:v>
      </x:c>
      <x:c r="G1125" s="84" t="str">
        <x:f>PROPER(TRIM('Raw Sales'!D1125))</x:f>
        <x:v>Marcus Adams</x:v>
      </x:c>
      <x:c r="H1125" s="84" t="str">
        <x:f>IF(TRIM('Raw Sales'!E1125)="","Unknown",PROPER(TRIM('Raw Sales'!E1125)))</x:f>
        <x:v>Consumer</x:v>
      </x:c>
      <x:c r="I1125" s="84" t="str">
        <x:f>PROPER(TRIM('Raw Sales'!F1125))</x:f>
        <x:v>Southeast</x:v>
      </x:c>
      <x:c r="J1125" s="84" t="str">
        <x:f>PROPER(TRIM('Raw Sales'!G1125))</x:f>
        <x:v>Atlanta</x:v>
      </x:c>
      <x:c r="K1125" s="84" t="str">
        <x:f>PROPER(TRIM('Raw Sales'!H1125))</x:f>
        <x:v>Retail Store</x:v>
      </x:c>
      <x:c r="L1125" s="84" t="str">
        <x:f>'Raw Sales'!I1125</x:f>
        <x:v>ACCS-005</x:v>
      </x:c>
      <x:c r="M1125" s="84" t="str">
        <x:f>IFERROR(VLOOKUP(L1125,'Reference Data'!$A$5:$F$40,2,FALSE),"Unknown Product")</x:f>
        <x:v>Protective Phone Case</x:v>
      </x:c>
      <x:c r="N1125" s="84" t="str">
        <x:f>IFERROR(VLOOKUP(L1125,'Reference Data'!$A$5:$F$40,3,FALSE),"Unknown")</x:f>
        <x:v>Accessories</x:v>
      </x:c>
      <x:c r="O1125" s="84" t="str">
        <x:f>IFERROR(VLOOKUP(L1125,'Reference Data'!$A$5:$F$40,4,FALSE),"Unknown")</x:f>
        <x:v>Mobile Accessories</x:v>
      </x:c>
      <x:c r="P1125" s="92" t="n">
        <x:f>IFERROR(VLOOKUP(L1125,'Reference Data'!$A$5:$F$40,5,FALSE),0)</x:f>
        <x:v>24</x:v>
      </x:c>
      <x:c r="Q1125" s="92" t="n">
        <x:f>IFERROR(VLOOKUP(L1125,'Reference Data'!$A$5:$F$40,6,FALSE),0)</x:f>
        <x:v>5</x:v>
      </x:c>
      <x:c r="R1125" s="84" t="n">
        <x:f>'Raw Sales'!J1125</x:f>
        <x:v>3</x:v>
      </x:c>
      <x:c r="S1125" s="87" t="n">
        <x:f>'Raw Sales'!K1125</x:f>
        <x:v>0</x:v>
      </x:c>
      <x:c r="T1125" s="93" t="n">
        <x:f>P1125*R1125</x:f>
        <x:v>72</x:v>
      </x:c>
      <x:c r="U1125" s="93" t="n">
        <x:f>T1125*S1125</x:f>
        <x:v>0</x:v>
      </x:c>
      <x:c r="V1125" s="93" t="str">
        <x:f>PROPER(TRIM('Raw Sales'!L1125))</x:f>
        <x:v>Completed</x:v>
      </x:c>
      <x:c r="W1125" s="93" t="n">
        <x:f>IF(V1125="Returned",0,T1125-U1125)</x:f>
        <x:v>72</x:v>
      </x:c>
      <x:c r="X1125" s="93" t="n">
        <x:f>IF(V1125="Returned",Q1125*R1125*10%,Q1125*R1125)</x:f>
        <x:v>15</x:v>
      </x:c>
      <x:c r="Y1125" s="93" t="n">
        <x:f>W1125-X1125</x:f>
        <x:v>57</x:v>
      </x:c>
      <x:c r="Z1125" s="94" t="n">
        <x:f>IFERROR(Y1125/W1125,0)</x:f>
        <x:v>0.7916666666666666</x:v>
      </x:c>
      <x:c r="AA1125" s="84" t="str">
        <x:f>PROPER(TRIM('Raw Sales'!M1125))</x:f>
        <x:v>Mobile Wallet</x:v>
      </x:c>
      <x:c r="AB1125" s="84" t="str">
        <x:f>PROPER(TRIM('Raw Sales'!N1125))</x:f>
        <x:v>Liam Parker</x:v>
      </x:c>
      <x:c r="AC1125" s="85" t="n">
        <x:f>'Raw Sales'!O1125</x:f>
        <x:v>45657</x:v>
      </x:c>
      <x:c r="AD1125" s="84" t="n">
        <x:f>AC1125-B1125</x:f>
        <x:v>0</x:v>
      </x:c>
      <x:c r="AE1125" s="84" t="str">
        <x:f>IF(COUNTIF($A$5:A1125,A1125)&gt;1,"Duplicate","Keep")</x:f>
        <x:v>Keep</x:v>
      </x:c>
      <x:c r="AF1125" s="84" t="str">
        <x:f>IF(OR(R1125&lt;=0,AC1125&lt;B1125,H1125="Unknown",M1125="Unknown Product"),"Review","Valid")</x:f>
        <x:v>Valid</x:v>
      </x:c>
      <x:c r="AG1125" s="84" t="n">
        <x:f>IF(AND(AE1125="Keep",AF1125="Valid"),1,0)</x:f>
        <x:v>1</x:v>
      </x:c>
      <x:c r="AH1125" s="84" t="n">
        <x:f>IF(AND(AG1125=1,OR('Dashboard'!$B$4="All",I1125='Dashboard'!$B$4),OR('Dashboard'!$E$4="All",N1125='Dashboard'!$E$4),OR('Dashboard'!$H$4="All",K1125='Dashboard'!$H$4),OR('Dashboard'!$K$4="All",C1125='Dashboard'!$K$4)),1,0)</x:f>
        <x:v>1</x:v>
      </x:c>
      <x:c r="AI1125" s="84" t="n">
        <x:f>IF(AND(AG1125=1,OR('Dashboard'!$B$4="All",I1125='Dashboard'!$B$4),OR('Dashboard'!$E$4="All",N1125='Dashboard'!$E$4),OR('Dashboard'!$H$4="All",K1125='Dashboard'!$H$4)),1,0)</x:f>
        <x:v>1</x:v>
      </x:c>
    </x:row>
    <x:row r="1126">
      <x:c r="A1126" s="84" t="str">
        <x:f>'Raw Sales'!A1126</x:f>
        <x:v>ORD-2024-01208</x:v>
      </x:c>
      <x:c r="B1126" s="85" t="n">
        <x:f>'Raw Sales'!B1126</x:f>
        <x:v>45657</x:v>
      </x:c>
      <x:c r="C1126" s="84" t="n">
        <x:f>YEAR(B1126)</x:f>
        <x:v>2024</x:v>
      </x:c>
      <x:c r="D1126" s="91" t="n">
        <x:f>DATE(YEAR(B1126),MONTH(B1126),1)</x:f>
        <x:v>45627</x:v>
      </x:c>
      <x:c r="E1126" s="84" t="str">
        <x:f>TEXT(B1126,"mmm")</x:f>
        <x:v>Dec</x:v>
      </x:c>
      <x:c r="F1126" s="84" t="str">
        <x:f>'Raw Sales'!C1126</x:f>
        <x:v>CUST-0059</x:v>
      </x:c>
      <x:c r="G1126" s="84" t="str">
        <x:f>PROPER(TRIM('Raw Sales'!D1126))</x:f>
        <x:v>Samuel Lewis</x:v>
      </x:c>
      <x:c r="H1126" s="84" t="str">
        <x:f>IF(TRIM('Raw Sales'!E1126)="","Unknown",PROPER(TRIM('Raw Sales'!E1126)))</x:f>
        <x:v>Consumer</x:v>
      </x:c>
      <x:c r="I1126" s="84" t="str">
        <x:f>PROPER(TRIM('Raw Sales'!F1126))</x:f>
        <x:v>Midwest</x:v>
      </x:c>
      <x:c r="J1126" s="84" t="str">
        <x:f>PROPER(TRIM('Raw Sales'!G1126))</x:f>
        <x:v>Minneapolis</x:v>
      </x:c>
      <x:c r="K1126" s="84" t="str">
        <x:f>PROPER(TRIM('Raw Sales'!H1126))</x:f>
        <x:v>Retail Store</x:v>
      </x:c>
      <x:c r="L1126" s="84" t="str">
        <x:f>'Raw Sales'!I1126</x:f>
        <x:v>FITN-003</x:v>
      </x:c>
      <x:c r="M1126" s="84" t="str">
        <x:f>IFERROR(VLOOKUP(L1126,'Reference Data'!$A$5:$F$40,2,FALSE),"Unknown Product")</x:f>
        <x:v>Resistance Band Set</x:v>
      </x:c>
      <x:c r="N1126" s="84" t="str">
        <x:f>IFERROR(VLOOKUP(L1126,'Reference Data'!$A$5:$F$40,3,FALSE),"Unknown")</x:f>
        <x:v>Fitness</x:v>
      </x:c>
      <x:c r="O1126" s="84" t="str">
        <x:f>IFERROR(VLOOKUP(L1126,'Reference Data'!$A$5:$F$40,4,FALSE),"Unknown")</x:f>
        <x:v>Strength</x:v>
      </x:c>
      <x:c r="P1126" s="92" t="n">
        <x:f>IFERROR(VLOOKUP(L1126,'Reference Data'!$A$5:$F$40,5,FALSE),0)</x:f>
        <x:v>24</x:v>
      </x:c>
      <x:c r="Q1126" s="92" t="n">
        <x:f>IFERROR(VLOOKUP(L1126,'Reference Data'!$A$5:$F$40,6,FALSE),0)</x:f>
        <x:v>8</x:v>
      </x:c>
      <x:c r="R1126" s="84" t="n">
        <x:f>'Raw Sales'!J1126</x:f>
        <x:v>2</x:v>
      </x:c>
      <x:c r="S1126" s="87" t="n">
        <x:f>'Raw Sales'!K1126</x:f>
        <x:v>0.2</x:v>
      </x:c>
      <x:c r="T1126" s="93" t="n">
        <x:f>P1126*R1126</x:f>
        <x:v>48</x:v>
      </x:c>
      <x:c r="U1126" s="93" t="n">
        <x:f>T1126*S1126</x:f>
        <x:v>9.600000000000001</x:v>
      </x:c>
      <x:c r="V1126" s="93" t="str">
        <x:f>PROPER(TRIM('Raw Sales'!L1126))</x:f>
        <x:v>Completed</x:v>
      </x:c>
      <x:c r="W1126" s="93" t="n">
        <x:f>IF(V1126="Returned",0,T1126-U1126)</x:f>
        <x:v>38.4</x:v>
      </x:c>
      <x:c r="X1126" s="93" t="n">
        <x:f>IF(V1126="Returned",Q1126*R1126*10%,Q1126*R1126)</x:f>
        <x:v>16</x:v>
      </x:c>
      <x:c r="Y1126" s="93" t="n">
        <x:f>W1126-X1126</x:f>
        <x:v>22.4</x:v>
      </x:c>
      <x:c r="Z1126" s="94" t="n">
        <x:f>IFERROR(Y1126/W1126,0)</x:f>
        <x:v>0.5833333333333334</x:v>
      </x:c>
      <x:c r="AA1126" s="84" t="str">
        <x:f>PROPER(TRIM('Raw Sales'!M1126))</x:f>
        <x:v>Credit Card</x:v>
      </x:c>
      <x:c r="AB1126" s="84" t="str">
        <x:f>PROPER(TRIM('Raw Sales'!N1126))</x:f>
        <x:v>Emma Hayes</x:v>
      </x:c>
      <x:c r="AC1126" s="85" t="n">
        <x:f>'Raw Sales'!O1126</x:f>
        <x:v>45657</x:v>
      </x:c>
      <x:c r="AD1126" s="84" t="n">
        <x:f>AC1126-B1126</x:f>
        <x:v>0</x:v>
      </x:c>
      <x:c r="AE1126" s="84" t="str">
        <x:f>IF(COUNTIF($A$5:A1126,A1126)&gt;1,"Duplicate","Keep")</x:f>
        <x:v>Keep</x:v>
      </x:c>
      <x:c r="AF1126" s="84" t="str">
        <x:f>IF(OR(R1126&lt;=0,AC1126&lt;B1126,H1126="Unknown",M1126="Unknown Product"),"Review","Valid")</x:f>
        <x:v>Valid</x:v>
      </x:c>
      <x:c r="AG1126" s="84" t="n">
        <x:f>IF(AND(AE1126="Keep",AF1126="Valid"),1,0)</x:f>
        <x:v>1</x:v>
      </x:c>
      <x:c r="AH1126" s="84" t="n">
        <x:f>IF(AND(AG1126=1,OR('Dashboard'!$B$4="All",I1126='Dashboard'!$B$4),OR('Dashboard'!$E$4="All",N1126='Dashboard'!$E$4),OR('Dashboard'!$H$4="All",K1126='Dashboard'!$H$4),OR('Dashboard'!$K$4="All",C1126='Dashboard'!$K$4)),1,0)</x:f>
        <x:v>1</x:v>
      </x:c>
      <x:c r="AI1126" s="84" t="n">
        <x:f>IF(AND(AG1126=1,OR('Dashboard'!$B$4="All",I1126='Dashboard'!$B$4),OR('Dashboard'!$E$4="All",N1126='Dashboard'!$E$4),OR('Dashboard'!$H$4="All",K1126='Dashboard'!$H$4)),1,0)</x:f>
        <x:v>1</x:v>
      </x:c>
    </x:row>
    <x:row r="1127">
      <x:c r="A1127" s="84" t="str">
        <x:f>'Raw Sales'!A1127</x:f>
        <x:v>ORD-2024-01646</x:v>
      </x:c>
      <x:c r="B1127" s="85" t="n">
        <x:f>'Raw Sales'!B1127</x:f>
        <x:v>45657</x:v>
      </x:c>
      <x:c r="C1127" s="84" t="n">
        <x:f>YEAR(B1127)</x:f>
        <x:v>2024</x:v>
      </x:c>
      <x:c r="D1127" s="91" t="n">
        <x:f>DATE(YEAR(B1127),MONTH(B1127),1)</x:f>
        <x:v>45627</x:v>
      </x:c>
      <x:c r="E1127" s="84" t="str">
        <x:f>TEXT(B1127,"mmm")</x:f>
        <x:v>Dec</x:v>
      </x:c>
      <x:c r="F1127" s="84" t="str">
        <x:f>'Raw Sales'!C1127</x:f>
        <x:v>CUST-0451</x:v>
      </x:c>
      <x:c r="G1127" s="84" t="str">
        <x:f>PROPER(TRIM('Raw Sales'!D1127))</x:f>
        <x:v>Theo Roberts</x:v>
      </x:c>
      <x:c r="H1127" s="84" t="str">
        <x:f>IF(TRIM('Raw Sales'!E1127)="","Unknown",PROPER(TRIM('Raw Sales'!E1127)))</x:f>
        <x:v>Small Business</x:v>
      </x:c>
      <x:c r="I1127" s="84" t="str">
        <x:f>PROPER(TRIM('Raw Sales'!F1127))</x:f>
        <x:v>West</x:v>
      </x:c>
      <x:c r="J1127" s="84" t="str">
        <x:f>PROPER(TRIM('Raw Sales'!G1127))</x:f>
        <x:v>Phoenix</x:v>
      </x:c>
      <x:c r="K1127" s="84" t="str">
        <x:f>PROPER(TRIM('Raw Sales'!H1127))</x:f>
        <x:v>Online</x:v>
      </x:c>
      <x:c r="L1127" s="84" t="str">
        <x:f>'Raw Sales'!I1127</x:f>
        <x:v>ELEC-001</x:v>
      </x:c>
      <x:c r="M1127" s="84" t="str">
        <x:f>IFERROR(VLOOKUP(L1127,'Reference Data'!$A$5:$F$40,2,FALSE),"Unknown Product")</x:f>
        <x:v>Wireless Earbuds</x:v>
      </x:c>
      <x:c r="N1127" s="84" t="str">
        <x:f>IFERROR(VLOOKUP(L1127,'Reference Data'!$A$5:$F$40,3,FALSE),"Unknown")</x:f>
        <x:v>Electronics</x:v>
      </x:c>
      <x:c r="O1127" s="84" t="str">
        <x:f>IFERROR(VLOOKUP(L1127,'Reference Data'!$A$5:$F$40,4,FALSE),"Unknown")</x:f>
        <x:v>Audio</x:v>
      </x:c>
      <x:c r="P1127" s="92" t="n">
        <x:f>IFERROR(VLOOKUP(L1127,'Reference Data'!$A$5:$F$40,5,FALSE),0)</x:f>
        <x:v>69</x:v>
      </x:c>
      <x:c r="Q1127" s="92" t="n">
        <x:f>IFERROR(VLOOKUP(L1127,'Reference Data'!$A$5:$F$40,6,FALSE),0)</x:f>
        <x:v>36</x:v>
      </x:c>
      <x:c r="R1127" s="84" t="n">
        <x:f>'Raw Sales'!J1127</x:f>
        <x:v>1</x:v>
      </x:c>
      <x:c r="S1127" s="87" t="n">
        <x:f>'Raw Sales'!K1127</x:f>
        <x:v>0.05</x:v>
      </x:c>
      <x:c r="T1127" s="93" t="n">
        <x:f>P1127*R1127</x:f>
        <x:v>69</x:v>
      </x:c>
      <x:c r="U1127" s="93" t="n">
        <x:f>T1127*S1127</x:f>
        <x:v>3.45</x:v>
      </x:c>
      <x:c r="V1127" s="93" t="str">
        <x:f>PROPER(TRIM('Raw Sales'!L1127))</x:f>
        <x:v>Completed</x:v>
      </x:c>
      <x:c r="W1127" s="93" t="n">
        <x:f>IF(V1127="Returned",0,T1127-U1127)</x:f>
        <x:v>65.55</x:v>
      </x:c>
      <x:c r="X1127" s="93" t="n">
        <x:f>IF(V1127="Returned",Q1127*R1127*10%,Q1127*R1127)</x:f>
        <x:v>36</x:v>
      </x:c>
      <x:c r="Y1127" s="93" t="n">
        <x:f>W1127-X1127</x:f>
        <x:v>29.549999999999997</x:v>
      </x:c>
      <x:c r="Z1127" s="94" t="n">
        <x:f>IFERROR(Y1127/W1127,0)</x:f>
        <x:v>0.45080091533180777</x:v>
      </x:c>
      <x:c r="AA1127" s="84" t="str">
        <x:f>PROPER(TRIM('Raw Sales'!M1127))</x:f>
        <x:v>Paypal</x:v>
      </x:c>
      <x:c r="AB1127" s="84" t="str">
        <x:f>PROPER(TRIM('Raw Sales'!N1127))</x:f>
        <x:v>Nora Kim</x:v>
      </x:c>
      <x:c r="AC1127" s="85" t="n">
        <x:f>'Raw Sales'!O1127</x:f>
        <x:v>45659</x:v>
      </x:c>
      <x:c r="AD1127" s="84" t="n">
        <x:f>AC1127-B1127</x:f>
        <x:v>2</x:v>
      </x:c>
      <x:c r="AE1127" s="84" t="str">
        <x:f>IF(COUNTIF($A$5:A1127,A1127)&gt;1,"Duplicate","Keep")</x:f>
        <x:v>Keep</x:v>
      </x:c>
      <x:c r="AF1127" s="84" t="str">
        <x:f>IF(OR(R1127&lt;=0,AC1127&lt;B1127,H1127="Unknown",M1127="Unknown Product"),"Review","Valid")</x:f>
        <x:v>Valid</x:v>
      </x:c>
      <x:c r="AG1127" s="84" t="n">
        <x:f>IF(AND(AE1127="Keep",AF1127="Valid"),1,0)</x:f>
        <x:v>1</x:v>
      </x:c>
      <x:c r="AH1127" s="84" t="n">
        <x:f>IF(AND(AG1127=1,OR('Dashboard'!$B$4="All",I1127='Dashboard'!$B$4),OR('Dashboard'!$E$4="All",N1127='Dashboard'!$E$4),OR('Dashboard'!$H$4="All",K1127='Dashboard'!$H$4),OR('Dashboard'!$K$4="All",C1127='Dashboard'!$K$4)),1,0)</x:f>
        <x:v>1</x:v>
      </x:c>
      <x:c r="AI1127" s="84" t="n">
        <x:f>IF(AND(AG1127=1,OR('Dashboard'!$B$4="All",I1127='Dashboard'!$B$4),OR('Dashboard'!$E$4="All",N1127='Dashboard'!$E$4),OR('Dashboard'!$H$4="All",K1127='Dashboard'!$H$4)),1,0)</x:f>
        <x:v>1</x:v>
      </x:c>
    </x:row>
    <x:row r="1128">
      <x:c r="A1128" s="84" t="str">
        <x:f>'Raw Sales'!A1128</x:f>
        <x:v>ORD-2024-01870</x:v>
      </x:c>
      <x:c r="B1128" s="85" t="n">
        <x:f>'Raw Sales'!B1128</x:f>
        <x:v>45657</x:v>
      </x:c>
      <x:c r="C1128" s="84" t="n">
        <x:f>YEAR(B1128)</x:f>
        <x:v>2024</x:v>
      </x:c>
      <x:c r="D1128" s="91" t="n">
        <x:f>DATE(YEAR(B1128),MONTH(B1128),1)</x:f>
        <x:v>45627</x:v>
      </x:c>
      <x:c r="E1128" s="84" t="str">
        <x:f>TEXT(B1128,"mmm")</x:f>
        <x:v>Dec</x:v>
      </x:c>
      <x:c r="F1128" s="84" t="str">
        <x:f>'Raw Sales'!C1128</x:f>
        <x:v>CUST-0575</x:v>
      </x:c>
      <x:c r="G1128" s="84" t="str">
        <x:f>PROPER(TRIM('Raw Sales'!D1128))</x:f>
        <x:v>Elena Walker</x:v>
      </x:c>
      <x:c r="H1128" s="84" t="str">
        <x:f>IF(TRIM('Raw Sales'!E1128)="","Unknown",PROPER(TRIM('Raw Sales'!E1128)))</x:f>
        <x:v>Consumer</x:v>
      </x:c>
      <x:c r="I1128" s="84" t="str">
        <x:f>PROPER(TRIM('Raw Sales'!F1128))</x:f>
        <x:v>Northeast</x:v>
      </x:c>
      <x:c r="J1128" s="84" t="str">
        <x:f>PROPER(TRIM('Raw Sales'!G1128))</x:f>
        <x:v>Philadelphia</x:v>
      </x:c>
      <x:c r="K1128" s="84" t="str">
        <x:f>PROPER(TRIM('Raw Sales'!H1128))</x:f>
        <x:v>Marketplace</x:v>
      </x:c>
      <x:c r="L1128" s="84" t="str">
        <x:f>'Raw Sales'!I1128</x:f>
        <x:v>ELEC-006</x:v>
      </x:c>
      <x:c r="M1128" s="84" t="str">
        <x:f>IFERROR(VLOOKUP(L1128,'Reference Data'!$A$5:$F$40,2,FALSE),"Unknown Product")</x:f>
        <x:v>Portable SSD</x:v>
      </x:c>
      <x:c r="N1128" s="84" t="str">
        <x:f>IFERROR(VLOOKUP(L1128,'Reference Data'!$A$5:$F$40,3,FALSE),"Unknown")</x:f>
        <x:v>Electronics</x:v>
      </x:c>
      <x:c r="O1128" s="84" t="str">
        <x:f>IFERROR(VLOOKUP(L1128,'Reference Data'!$A$5:$F$40,4,FALSE),"Unknown")</x:f>
        <x:v>Storage</x:v>
      </x:c>
      <x:c r="P1128" s="92" t="n">
        <x:f>IFERROR(VLOOKUP(L1128,'Reference Data'!$A$5:$F$40,5,FALSE),0)</x:f>
        <x:v>129</x:v>
      </x:c>
      <x:c r="Q1128" s="92" t="n">
        <x:f>IFERROR(VLOOKUP(L1128,'Reference Data'!$A$5:$F$40,6,FALSE),0)</x:f>
        <x:v>75</x:v>
      </x:c>
      <x:c r="R1128" s="84" t="n">
        <x:f>'Raw Sales'!J1128</x:f>
        <x:v>3</x:v>
      </x:c>
      <x:c r="S1128" s="87" t="n">
        <x:f>'Raw Sales'!K1128</x:f>
        <x:v>0.15</x:v>
      </x:c>
      <x:c r="T1128" s="93" t="n">
        <x:f>P1128*R1128</x:f>
        <x:v>387</x:v>
      </x:c>
      <x:c r="U1128" s="93" t="n">
        <x:f>T1128*S1128</x:f>
        <x:v>58.05</x:v>
      </x:c>
      <x:c r="V1128" s="93" t="str">
        <x:f>PROPER(TRIM('Raw Sales'!L1128))</x:f>
        <x:v>Completed</x:v>
      </x:c>
      <x:c r="W1128" s="93" t="n">
        <x:f>IF(V1128="Returned",0,T1128-U1128)</x:f>
        <x:v>328.95</x:v>
      </x:c>
      <x:c r="X1128" s="93" t="n">
        <x:f>IF(V1128="Returned",Q1128*R1128*10%,Q1128*R1128)</x:f>
        <x:v>225</x:v>
      </x:c>
      <x:c r="Y1128" s="93" t="n">
        <x:f>W1128-X1128</x:f>
        <x:v>103.94999999999999</x:v>
      </x:c>
      <x:c r="Z1128" s="94" t="n">
        <x:f>IFERROR(Y1128/W1128,0)</x:f>
        <x:v>0.3160054719562243</x:v>
      </x:c>
      <x:c r="AA1128" s="84" t="str">
        <x:f>PROPER(TRIM('Raw Sales'!M1128))</x:f>
        <x:v>Paypal</x:v>
      </x:c>
      <x:c r="AB1128" s="84" t="str">
        <x:f>PROPER(TRIM('Raw Sales'!N1128))</x:f>
        <x:v>Ethan Cole</x:v>
      </x:c>
      <x:c r="AC1128" s="85" t="n">
        <x:f>'Raw Sales'!O1128</x:f>
        <x:v>45662</x:v>
      </x:c>
      <x:c r="AD1128" s="84" t="n">
        <x:f>AC1128-B1128</x:f>
        <x:v>5</x:v>
      </x:c>
      <x:c r="AE1128" s="84" t="str">
        <x:f>IF(COUNTIF($A$5:A1128,A1128)&gt;1,"Duplicate","Keep")</x:f>
        <x:v>Keep</x:v>
      </x:c>
      <x:c r="AF1128" s="84" t="str">
        <x:f>IF(OR(R1128&lt;=0,AC1128&lt;B1128,H1128="Unknown",M1128="Unknown Product"),"Review","Valid")</x:f>
        <x:v>Valid</x:v>
      </x:c>
      <x:c r="AG1128" s="84" t="n">
        <x:f>IF(AND(AE1128="Keep",AF1128="Valid"),1,0)</x:f>
        <x:v>1</x:v>
      </x:c>
      <x:c r="AH1128" s="84" t="n">
        <x:f>IF(AND(AG1128=1,OR('Dashboard'!$B$4="All",I1128='Dashboard'!$B$4),OR('Dashboard'!$E$4="All",N1128='Dashboard'!$E$4),OR('Dashboard'!$H$4="All",K1128='Dashboard'!$H$4),OR('Dashboard'!$K$4="All",C1128='Dashboard'!$K$4)),1,0)</x:f>
        <x:v>1</x:v>
      </x:c>
      <x:c r="AI1128" s="84" t="n">
        <x:f>IF(AND(AG1128=1,OR('Dashboard'!$B$4="All",I1128='Dashboard'!$B$4),OR('Dashboard'!$E$4="All",N1128='Dashboard'!$E$4),OR('Dashboard'!$H$4="All",K1128='Dashboard'!$H$4)),1,0)</x:f>
        <x:v>1</x:v>
      </x:c>
    </x:row>
    <x:row r="1129">
      <x:c r="A1129" s="84" t="str">
        <x:f>'Raw Sales'!A1129</x:f>
        <x:v>ORD-2024-02036</x:v>
      </x:c>
      <x:c r="B1129" s="85" t="n">
        <x:f>'Raw Sales'!B1129</x:f>
        <x:v>45657</x:v>
      </x:c>
      <x:c r="C1129" s="84" t="n">
        <x:f>YEAR(B1129)</x:f>
        <x:v>2024</x:v>
      </x:c>
      <x:c r="D1129" s="91" t="n">
        <x:f>DATE(YEAR(B1129),MONTH(B1129),1)</x:f>
        <x:v>45627</x:v>
      </x:c>
      <x:c r="E1129" s="84" t="str">
        <x:f>TEXT(B1129,"mmm")</x:f>
        <x:v>Dec</x:v>
      </x:c>
      <x:c r="F1129" s="84" t="str">
        <x:f>'Raw Sales'!C1129</x:f>
        <x:v>CUST-0378</x:v>
      </x:c>
      <x:c r="G1129" s="84" t="str">
        <x:f>PROPER(TRIM('Raw Sales'!D1129))</x:f>
        <x:v>Victoria Nelson</x:v>
      </x:c>
      <x:c r="H1129" s="84" t="str">
        <x:f>IF(TRIM('Raw Sales'!E1129)="","Unknown",PROPER(TRIM('Raw Sales'!E1129)))</x:f>
        <x:v>Consumer</x:v>
      </x:c>
      <x:c r="I1129" s="84" t="str">
        <x:f>PROPER(TRIM('Raw Sales'!F1129))</x:f>
        <x:v>Midwest</x:v>
      </x:c>
      <x:c r="J1129" s="84" t="str">
        <x:f>PROPER(TRIM('Raw Sales'!G1129))</x:f>
        <x:v>Chicago</x:v>
      </x:c>
      <x:c r="K1129" s="84" t="str">
        <x:f>PROPER(TRIM('Raw Sales'!H1129))</x:f>
        <x:v>Retail Store</x:v>
      </x:c>
      <x:c r="L1129" s="84" t="str">
        <x:f>'Raw Sales'!I1129</x:f>
        <x:v>ACCS-003</x:v>
      </x:c>
      <x:c r="M1129" s="84" t="str">
        <x:f>IFERROR(VLOOKUP(L1129,'Reference Data'!$A$5:$F$40,2,FALSE),"Unknown Product")</x:f>
        <x:v>Polarized Sunglasses</x:v>
      </x:c>
      <x:c r="N1129" s="84" t="str">
        <x:f>IFERROR(VLOOKUP(L1129,'Reference Data'!$A$5:$F$40,3,FALSE),"Unknown")</x:f>
        <x:v>Accessories</x:v>
      </x:c>
      <x:c r="O1129" s="84" t="str">
        <x:f>IFERROR(VLOOKUP(L1129,'Reference Data'!$A$5:$F$40,4,FALSE),"Unknown")</x:f>
        <x:v>Eyewear</x:v>
      </x:c>
      <x:c r="P1129" s="92" t="n">
        <x:f>IFERROR(VLOOKUP(L1129,'Reference Data'!$A$5:$F$40,5,FALSE),0)</x:f>
        <x:v>59</x:v>
      </x:c>
      <x:c r="Q1129" s="92" t="n">
        <x:f>IFERROR(VLOOKUP(L1129,'Reference Data'!$A$5:$F$40,6,FALSE),0)</x:f>
        <x:v>17</x:v>
      </x:c>
      <x:c r="R1129" s="84" t="n">
        <x:f>'Raw Sales'!J1129</x:f>
        <x:v>4</x:v>
      </x:c>
      <x:c r="S1129" s="87" t="n">
        <x:f>'Raw Sales'!K1129</x:f>
        <x:v>0.1</x:v>
      </x:c>
      <x:c r="T1129" s="93" t="n">
        <x:f>P1129*R1129</x:f>
        <x:v>236</x:v>
      </x:c>
      <x:c r="U1129" s="93" t="n">
        <x:f>T1129*S1129</x:f>
        <x:v>23.6</x:v>
      </x:c>
      <x:c r="V1129" s="93" t="str">
        <x:f>PROPER(TRIM('Raw Sales'!L1129))</x:f>
        <x:v>Completed</x:v>
      </x:c>
      <x:c r="W1129" s="93" t="n">
        <x:f>IF(V1129="Returned",0,T1129-U1129)</x:f>
        <x:v>212.4</x:v>
      </x:c>
      <x:c r="X1129" s="93" t="n">
        <x:f>IF(V1129="Returned",Q1129*R1129*10%,Q1129*R1129)</x:f>
        <x:v>68</x:v>
      </x:c>
      <x:c r="Y1129" s="93" t="n">
        <x:f>W1129-X1129</x:f>
        <x:v>144.4</x:v>
      </x:c>
      <x:c r="Z1129" s="94" t="n">
        <x:f>IFERROR(Y1129/W1129,0)</x:f>
        <x:v>0.67984934086629</x:v>
      </x:c>
      <x:c r="AA1129" s="84" t="str">
        <x:f>PROPER(TRIM('Raw Sales'!M1129))</x:f>
        <x:v>Cash</x:v>
      </x:c>
      <x:c r="AB1129" s="84" t="str">
        <x:f>PROPER(TRIM('Raw Sales'!N1129))</x:f>
        <x:v>Zoe Turner</x:v>
      </x:c>
      <x:c r="AC1129" s="85" t="n">
        <x:f>'Raw Sales'!O1129</x:f>
        <x:v>45657</x:v>
      </x:c>
      <x:c r="AD1129" s="84" t="n">
        <x:f>AC1129-B1129</x:f>
        <x:v>0</x:v>
      </x:c>
      <x:c r="AE1129" s="84" t="str">
        <x:f>IF(COUNTIF($A$5:A1129,A1129)&gt;1,"Duplicate","Keep")</x:f>
        <x:v>Keep</x:v>
      </x:c>
      <x:c r="AF1129" s="84" t="str">
        <x:f>IF(OR(R1129&lt;=0,AC1129&lt;B1129,H1129="Unknown",M1129="Unknown Product"),"Review","Valid")</x:f>
        <x:v>Valid</x:v>
      </x:c>
      <x:c r="AG1129" s="84" t="n">
        <x:f>IF(AND(AE1129="Keep",AF1129="Valid"),1,0)</x:f>
        <x:v>1</x:v>
      </x:c>
      <x:c r="AH1129" s="84" t="n">
        <x:f>IF(AND(AG1129=1,OR('Dashboard'!$B$4="All",I1129='Dashboard'!$B$4),OR('Dashboard'!$E$4="All",N1129='Dashboard'!$E$4),OR('Dashboard'!$H$4="All",K1129='Dashboard'!$H$4),OR('Dashboard'!$K$4="All",C1129='Dashboard'!$K$4)),1,0)</x:f>
        <x:v>1</x:v>
      </x:c>
      <x:c r="AI1129" s="84" t="n">
        <x:f>IF(AND(AG1129=1,OR('Dashboard'!$B$4="All",I1129='Dashboard'!$B$4),OR('Dashboard'!$E$4="All",N1129='Dashboard'!$E$4),OR('Dashboard'!$H$4="All",K1129='Dashboard'!$H$4)),1,0)</x:f>
        <x:v>1</x:v>
      </x:c>
    </x:row>
    <x:row r="1130">
      <x:c r="A1130" s="84" t="str">
        <x:f>'Raw Sales'!A1130</x:f>
        <x:v>ORD-2025-00615</x:v>
      </x:c>
      <x:c r="B1130" s="85" t="n">
        <x:f>'Raw Sales'!B1130</x:f>
        <x:v>45658</x:v>
      </x:c>
      <x:c r="C1130" s="84" t="n">
        <x:f>YEAR(B1130)</x:f>
        <x:v>2025</x:v>
      </x:c>
      <x:c r="D1130" s="91" t="n">
        <x:f>DATE(YEAR(B1130),MONTH(B1130),1)</x:f>
        <x:v>45658</x:v>
      </x:c>
      <x:c r="E1130" s="84" t="str">
        <x:f>TEXT(B1130,"mmm")</x:f>
        <x:v>Jan</x:v>
      </x:c>
      <x:c r="F1130" s="84" t="str">
        <x:f>'Raw Sales'!C1130</x:f>
        <x:v>CUST-0021</x:v>
      </x:c>
      <x:c r="G1130" s="84" t="str">
        <x:f>PROPER(TRIM('Raw Sales'!D1130))</x:f>
        <x:v>Elena Adams</x:v>
      </x:c>
      <x:c r="H1130" s="84" t="str">
        <x:f>IF(TRIM('Raw Sales'!E1130)="","Unknown",PROPER(TRIM('Raw Sales'!E1130)))</x:f>
        <x:v>Consumer</x:v>
      </x:c>
      <x:c r="I1130" s="84" t="str">
        <x:f>PROPER(TRIM('Raw Sales'!F1130))</x:f>
        <x:v>West</x:v>
      </x:c>
      <x:c r="J1130" s="84" t="str">
        <x:f>PROPER(TRIM('Raw Sales'!G1130))</x:f>
        <x:v>Denver</x:v>
      </x:c>
      <x:c r="K1130" s="84" t="str">
        <x:f>PROPER(TRIM('Raw Sales'!H1130))</x:f>
        <x:v>Online</x:v>
      </x:c>
      <x:c r="L1130" s="84" t="str">
        <x:f>'Raw Sales'!I1130</x:f>
        <x:v>ELEC-003</x:v>
      </x:c>
      <x:c r="M1130" s="84" t="str">
        <x:f>IFERROR(VLOOKUP(L1130,'Reference Data'!$A$5:$F$40,2,FALSE),"Unknown Product")</x:f>
        <x:v>Bluetooth Speaker</x:v>
      </x:c>
      <x:c r="N1130" s="84" t="str">
        <x:f>IFERROR(VLOOKUP(L1130,'Reference Data'!$A$5:$F$40,3,FALSE),"Unknown")</x:f>
        <x:v>Electronics</x:v>
      </x:c>
      <x:c r="O1130" s="84" t="str">
        <x:f>IFERROR(VLOOKUP(L1130,'Reference Data'!$A$5:$F$40,4,FALSE),"Unknown")</x:f>
        <x:v>Audio</x:v>
      </x:c>
      <x:c r="P1130" s="92" t="n">
        <x:f>IFERROR(VLOOKUP(L1130,'Reference Data'!$A$5:$F$40,5,FALSE),0)</x:f>
        <x:v>89</x:v>
      </x:c>
      <x:c r="Q1130" s="92" t="n">
        <x:f>IFERROR(VLOOKUP(L1130,'Reference Data'!$A$5:$F$40,6,FALSE),0)</x:f>
        <x:v>44</x:v>
      </x:c>
      <x:c r="R1130" s="84" t="n">
        <x:f>'Raw Sales'!J1130</x:f>
        <x:v>1</x:v>
      </x:c>
      <x:c r="S1130" s="87" t="n">
        <x:f>'Raw Sales'!K1130</x:f>
        <x:v>0</x:v>
      </x:c>
      <x:c r="T1130" s="93" t="n">
        <x:f>P1130*R1130</x:f>
        <x:v>89</x:v>
      </x:c>
      <x:c r="U1130" s="93" t="n">
        <x:f>T1130*S1130</x:f>
        <x:v>0</x:v>
      </x:c>
      <x:c r="V1130" s="93" t="str">
        <x:f>PROPER(TRIM('Raw Sales'!L1130))</x:f>
        <x:v>Completed</x:v>
      </x:c>
      <x:c r="W1130" s="93" t="n">
        <x:f>IF(V1130="Returned",0,T1130-U1130)</x:f>
        <x:v>89</x:v>
      </x:c>
      <x:c r="X1130" s="93" t="n">
        <x:f>IF(V1130="Returned",Q1130*R1130*10%,Q1130*R1130)</x:f>
        <x:v>44</x:v>
      </x:c>
      <x:c r="Y1130" s="93" t="n">
        <x:f>W1130-X1130</x:f>
        <x:v>45</x:v>
      </x:c>
      <x:c r="Z1130" s="94" t="n">
        <x:f>IFERROR(Y1130/W1130,0)</x:f>
        <x:v>0.5056179775280899</x:v>
      </x:c>
      <x:c r="AA1130" s="84" t="str">
        <x:f>PROPER(TRIM('Raw Sales'!M1130))</x:f>
        <x:v>Credit Card</x:v>
      </x:c>
      <x:c r="AB1130" s="84" t="str">
        <x:f>PROPER(TRIM('Raw Sales'!N1130))</x:f>
        <x:v>Nora Kim</x:v>
      </x:c>
      <x:c r="AC1130" s="85" t="n">
        <x:f>'Raw Sales'!O1130</x:f>
        <x:v>45663</x:v>
      </x:c>
      <x:c r="AD1130" s="84" t="n">
        <x:f>AC1130-B1130</x:f>
        <x:v>5</x:v>
      </x:c>
      <x:c r="AE1130" s="84" t="str">
        <x:f>IF(COUNTIF($A$5:A1130,A1130)&gt;1,"Duplicate","Keep")</x:f>
        <x:v>Keep</x:v>
      </x:c>
      <x:c r="AF1130" s="84" t="str">
        <x:f>IF(OR(R1130&lt;=0,AC1130&lt;B1130,H1130="Unknown",M1130="Unknown Product"),"Review","Valid")</x:f>
        <x:v>Valid</x:v>
      </x:c>
      <x:c r="AG1130" s="84" t="n">
        <x:f>IF(AND(AE1130="Keep",AF1130="Valid"),1,0)</x:f>
        <x:v>1</x:v>
      </x:c>
      <x:c r="AH1130" s="84" t="n">
        <x:f>IF(AND(AG1130=1,OR('Dashboard'!$B$4="All",I1130='Dashboard'!$B$4),OR('Dashboard'!$E$4="All",N1130='Dashboard'!$E$4),OR('Dashboard'!$H$4="All",K1130='Dashboard'!$H$4),OR('Dashboard'!$K$4="All",C1130='Dashboard'!$K$4)),1,0)</x:f>
        <x:v>1</x:v>
      </x:c>
      <x:c r="AI1130" s="84" t="n">
        <x:f>IF(AND(AG1130=1,OR('Dashboard'!$B$4="All",I1130='Dashboard'!$B$4),OR('Dashboard'!$E$4="All",N1130='Dashboard'!$E$4),OR('Dashboard'!$H$4="All",K1130='Dashboard'!$H$4)),1,0)</x:f>
        <x:v>1</x:v>
      </x:c>
    </x:row>
    <x:row r="1131">
      <x:c r="A1131" s="84" t="str">
        <x:f>'Raw Sales'!A1131</x:f>
        <x:v>ORD-2025-01149</x:v>
      </x:c>
      <x:c r="B1131" s="85" t="n">
        <x:f>'Raw Sales'!B1131</x:f>
        <x:v>45658</x:v>
      </x:c>
      <x:c r="C1131" s="84" t="n">
        <x:f>YEAR(B1131)</x:f>
        <x:v>2025</x:v>
      </x:c>
      <x:c r="D1131" s="91" t="n">
        <x:f>DATE(YEAR(B1131),MONTH(B1131),1)</x:f>
        <x:v>45658</x:v>
      </x:c>
      <x:c r="E1131" s="84" t="str">
        <x:f>TEXT(B1131,"mmm")</x:f>
        <x:v>Jan</x:v>
      </x:c>
      <x:c r="F1131" s="84" t="str">
        <x:f>'Raw Sales'!C1131</x:f>
        <x:v>CUST-0505</x:v>
      </x:c>
      <x:c r="G1131" s="84" t="str">
        <x:f>PROPER(TRIM('Raw Sales'!D1131))</x:f>
        <x:v>Daniel Taylor</x:v>
      </x:c>
      <x:c r="H1131" s="84" t="str">
        <x:f>IF(TRIM('Raw Sales'!E1131)="","Unknown",PROPER(TRIM('Raw Sales'!E1131)))</x:f>
        <x:v>Small Business</x:v>
      </x:c>
      <x:c r="I1131" s="84" t="str">
        <x:f>PROPER(TRIM('Raw Sales'!F1131))</x:f>
        <x:v>Northeast</x:v>
      </x:c>
      <x:c r="J1131" s="84" t="str">
        <x:f>PROPER(TRIM('Raw Sales'!G1131))</x:f>
        <x:v>Boston</x:v>
      </x:c>
      <x:c r="K1131" s="84" t="str">
        <x:f>PROPER(TRIM('Raw Sales'!H1131))</x:f>
        <x:v>Retail Store</x:v>
      </x:c>
      <x:c r="L1131" s="84" t="str">
        <x:f>'Raw Sales'!I1131</x:f>
        <x:v>OFFC-003</x:v>
      </x:c>
      <x:c r="M1131" s="84" t="str">
        <x:f>IFERROR(VLOOKUP(L1131,'Reference Data'!$A$5:$F$40,2,FALSE),"Unknown Product")</x:f>
        <x:v>LED Desk Lamp</x:v>
      </x:c>
      <x:c r="N1131" s="84" t="str">
        <x:f>IFERROR(VLOOKUP(L1131,'Reference Data'!$A$5:$F$40,3,FALSE),"Unknown")</x:f>
        <x:v>Office</x:v>
      </x:c>
      <x:c r="O1131" s="84" t="str">
        <x:f>IFERROR(VLOOKUP(L1131,'Reference Data'!$A$5:$F$40,4,FALSE),"Unknown")</x:f>
        <x:v>Desk Accessories</x:v>
      </x:c>
      <x:c r="P1131" s="92" t="n">
        <x:f>IFERROR(VLOOKUP(L1131,'Reference Data'!$A$5:$F$40,5,FALSE),0)</x:f>
        <x:v>45</x:v>
      </x:c>
      <x:c r="Q1131" s="92" t="n">
        <x:f>IFERROR(VLOOKUP(L1131,'Reference Data'!$A$5:$F$40,6,FALSE),0)</x:f>
        <x:v>20</x:v>
      </x:c>
      <x:c r="R1131" s="84" t="n">
        <x:f>'Raw Sales'!J1131</x:f>
        <x:v>2</x:v>
      </x:c>
      <x:c r="S1131" s="87" t="n">
        <x:f>'Raw Sales'!K1131</x:f>
        <x:v>0</x:v>
      </x:c>
      <x:c r="T1131" s="93" t="n">
        <x:f>P1131*R1131</x:f>
        <x:v>90</x:v>
      </x:c>
      <x:c r="U1131" s="93" t="n">
        <x:f>T1131*S1131</x:f>
        <x:v>0</x:v>
      </x:c>
      <x:c r="V1131" s="93" t="str">
        <x:f>PROPER(TRIM('Raw Sales'!L1131))</x:f>
        <x:v>Completed</x:v>
      </x:c>
      <x:c r="W1131" s="93" t="n">
        <x:f>IF(V1131="Returned",0,T1131-U1131)</x:f>
        <x:v>90</x:v>
      </x:c>
      <x:c r="X1131" s="93" t="n">
        <x:f>IF(V1131="Returned",Q1131*R1131*10%,Q1131*R1131)</x:f>
        <x:v>40</x:v>
      </x:c>
      <x:c r="Y1131" s="93" t="n">
        <x:f>W1131-X1131</x:f>
        <x:v>50</x:v>
      </x:c>
      <x:c r="Z1131" s="94" t="n">
        <x:f>IFERROR(Y1131/W1131,0)</x:f>
        <x:v>0.5555555555555556</x:v>
      </x:c>
      <x:c r="AA1131" s="84" t="str">
        <x:f>PROPER(TRIM('Raw Sales'!M1131))</x:f>
        <x:v>Cash</x:v>
      </x:c>
      <x:c r="AB1131" s="84" t="str">
        <x:f>PROPER(TRIM('Raw Sales'!N1131))</x:f>
        <x:v>Ethan Cole</x:v>
      </x:c>
      <x:c r="AC1131" s="85" t="n">
        <x:f>'Raw Sales'!O1131</x:f>
        <x:v>45658</x:v>
      </x:c>
      <x:c r="AD1131" s="84" t="n">
        <x:f>AC1131-B1131</x:f>
        <x:v>0</x:v>
      </x:c>
      <x:c r="AE1131" s="84" t="str">
        <x:f>IF(COUNTIF($A$5:A1131,A1131)&gt;1,"Duplicate","Keep")</x:f>
        <x:v>Keep</x:v>
      </x:c>
      <x:c r="AF1131" s="84" t="str">
        <x:f>IF(OR(R1131&lt;=0,AC1131&lt;B1131,H1131="Unknown",M1131="Unknown Product"),"Review","Valid")</x:f>
        <x:v>Valid</x:v>
      </x:c>
      <x:c r="AG1131" s="84" t="n">
        <x:f>IF(AND(AE1131="Keep",AF1131="Valid"),1,0)</x:f>
        <x:v>1</x:v>
      </x:c>
      <x:c r="AH1131" s="84" t="n">
        <x:f>IF(AND(AG1131=1,OR('Dashboard'!$B$4="All",I1131='Dashboard'!$B$4),OR('Dashboard'!$E$4="All",N1131='Dashboard'!$E$4),OR('Dashboard'!$H$4="All",K1131='Dashboard'!$H$4),OR('Dashboard'!$K$4="All",C1131='Dashboard'!$K$4)),1,0)</x:f>
        <x:v>1</x:v>
      </x:c>
      <x:c r="AI1131" s="84" t="n">
        <x:f>IF(AND(AG1131=1,OR('Dashboard'!$B$4="All",I1131='Dashboard'!$B$4),OR('Dashboard'!$E$4="All",N1131='Dashboard'!$E$4),OR('Dashboard'!$H$4="All",K1131='Dashboard'!$H$4)),1,0)</x:f>
        <x:v>1</x:v>
      </x:c>
    </x:row>
    <x:row r="1132">
      <x:c r="A1132" s="84" t="str">
        <x:f>'Raw Sales'!A1132</x:f>
        <x:v>ORD-2025-01404</x:v>
      </x:c>
      <x:c r="B1132" s="85" t="n">
        <x:f>'Raw Sales'!B1132</x:f>
        <x:v>45658</x:v>
      </x:c>
      <x:c r="C1132" s="84" t="n">
        <x:f>YEAR(B1132)</x:f>
        <x:v>2025</x:v>
      </x:c>
      <x:c r="D1132" s="91" t="n">
        <x:f>DATE(YEAR(B1132),MONTH(B1132),1)</x:f>
        <x:v>45658</x:v>
      </x:c>
      <x:c r="E1132" s="84" t="str">
        <x:f>TEXT(B1132,"mmm")</x:f>
        <x:v>Jan</x:v>
      </x:c>
      <x:c r="F1132" s="84" t="str">
        <x:f>'Raw Sales'!C1132</x:f>
        <x:v>CUST-0337</x:v>
      </x:c>
      <x:c r="G1132" s="84" t="str">
        <x:f>PROPER(TRIM('Raw Sales'!D1132))</x:f>
        <x:v>Owen Garcia</x:v>
      </x:c>
      <x:c r="H1132" s="84" t="str">
        <x:f>IF(TRIM('Raw Sales'!E1132)="","Unknown",PROPER(TRIM('Raw Sales'!E1132)))</x:f>
        <x:v>Consumer</x:v>
      </x:c>
      <x:c r="I1132" s="84" t="str">
        <x:f>PROPER(TRIM('Raw Sales'!F1132))</x:f>
        <x:v>West</x:v>
      </x:c>
      <x:c r="J1132" s="84" t="str">
        <x:f>PROPER(TRIM('Raw Sales'!G1132))</x:f>
        <x:v>Los Angeles</x:v>
      </x:c>
      <x:c r="K1132" s="84" t="str">
        <x:f>PROPER(TRIM('Raw Sales'!H1132))</x:f>
        <x:v>Marketplace</x:v>
      </x:c>
      <x:c r="L1132" s="84" t="str">
        <x:f>'Raw Sales'!I1132</x:f>
        <x:v>ELEC-004</x:v>
      </x:c>
      <x:c r="M1132" s="84" t="str">
        <x:f>IFERROR(VLOOKUP(L1132,'Reference Data'!$A$5:$F$40,2,FALSE),"Unknown Product")</x:f>
        <x:v>Power Bank</x:v>
      </x:c>
      <x:c r="N1132" s="84" t="str">
        <x:f>IFERROR(VLOOKUP(L1132,'Reference Data'!$A$5:$F$40,3,FALSE),"Unknown")</x:f>
        <x:v>Electronics</x:v>
      </x:c>
      <x:c r="O1132" s="84" t="str">
        <x:f>IFERROR(VLOOKUP(L1132,'Reference Data'!$A$5:$F$40,4,FALSE),"Unknown")</x:f>
        <x:v>Mobile Accessories</x:v>
      </x:c>
      <x:c r="P1132" s="92" t="n">
        <x:f>IFERROR(VLOOKUP(L1132,'Reference Data'!$A$5:$F$40,5,FALSE),0)</x:f>
        <x:v>39</x:v>
      </x:c>
      <x:c r="Q1132" s="92" t="n">
        <x:f>IFERROR(VLOOKUP(L1132,'Reference Data'!$A$5:$F$40,6,FALSE),0)</x:f>
        <x:v>18</x:v>
      </x:c>
      <x:c r="R1132" s="84" t="n">
        <x:f>'Raw Sales'!J1132</x:f>
        <x:v>1</x:v>
      </x:c>
      <x:c r="S1132" s="87" t="n">
        <x:f>'Raw Sales'!K1132</x:f>
        <x:v>0.05</x:v>
      </x:c>
      <x:c r="T1132" s="93" t="n">
        <x:f>P1132*R1132</x:f>
        <x:v>39</x:v>
      </x:c>
      <x:c r="U1132" s="93" t="n">
        <x:f>T1132*S1132</x:f>
        <x:v>1.9500000000000002</x:v>
      </x:c>
      <x:c r="V1132" s="93" t="str">
        <x:f>PROPER(TRIM('Raw Sales'!L1132))</x:f>
        <x:v>Returned</x:v>
      </x:c>
      <x:c r="W1132" s="93" t="n">
        <x:f>IF(V1132="Returned",0,T1132-U1132)</x:f>
        <x:v>0</x:v>
      </x:c>
      <x:c r="X1132" s="93" t="n">
        <x:f>IF(V1132="Returned",Q1132*R1132*10%,Q1132*R1132)</x:f>
        <x:v>1.8</x:v>
      </x:c>
      <x:c r="Y1132" s="93" t="n">
        <x:f>W1132-X1132</x:f>
        <x:v>-1.8</x:v>
      </x:c>
      <x:c r="Z1132" s="94" t="n">
        <x:f>IFERROR(Y1132/W1132,0)</x:f>
        <x:v>0</x:v>
      </x:c>
      <x:c r="AA1132" s="84" t="str">
        <x:f>PROPER(TRIM('Raw Sales'!M1132))</x:f>
        <x:v>Debit Card</x:v>
      </x:c>
      <x:c r="AB1132" s="84" t="str">
        <x:f>PROPER(TRIM('Raw Sales'!N1132))</x:f>
        <x:v>Leo Martinez</x:v>
      </x:c>
      <x:c r="AC1132" s="85" t="n">
        <x:f>'Raw Sales'!O1132</x:f>
        <x:v>45663</x:v>
      </x:c>
      <x:c r="AD1132" s="84" t="n">
        <x:f>AC1132-B1132</x:f>
        <x:v>5</x:v>
      </x:c>
      <x:c r="AE1132" s="84" t="str">
        <x:f>IF(COUNTIF($A$5:A1132,A1132)&gt;1,"Duplicate","Keep")</x:f>
        <x:v>Keep</x:v>
      </x:c>
      <x:c r="AF1132" s="84" t="str">
        <x:f>IF(OR(R1132&lt;=0,AC1132&lt;B1132,H1132="Unknown",M1132="Unknown Product"),"Review","Valid")</x:f>
        <x:v>Valid</x:v>
      </x:c>
      <x:c r="AG1132" s="84" t="n">
        <x:f>IF(AND(AE1132="Keep",AF1132="Valid"),1,0)</x:f>
        <x:v>1</x:v>
      </x:c>
      <x:c r="AH1132" s="84" t="n">
        <x:f>IF(AND(AG1132=1,OR('Dashboard'!$B$4="All",I1132='Dashboard'!$B$4),OR('Dashboard'!$E$4="All",N1132='Dashboard'!$E$4),OR('Dashboard'!$H$4="All",K1132='Dashboard'!$H$4),OR('Dashboard'!$K$4="All",C1132='Dashboard'!$K$4)),1,0)</x:f>
        <x:v>1</x:v>
      </x:c>
      <x:c r="AI1132" s="84" t="n">
        <x:f>IF(AND(AG1132=1,OR('Dashboard'!$B$4="All",I1132='Dashboard'!$B$4),OR('Dashboard'!$E$4="All",N1132='Dashboard'!$E$4),OR('Dashboard'!$H$4="All",K1132='Dashboard'!$H$4)),1,0)</x:f>
        <x:v>1</x:v>
      </x:c>
    </x:row>
    <x:row r="1133">
      <x:c r="A1133" s="84" t="str">
        <x:f>'Raw Sales'!A1133</x:f>
        <x:v>ORD-2025-01523</x:v>
      </x:c>
      <x:c r="B1133" s="85" t="n">
        <x:f>'Raw Sales'!B1133</x:f>
        <x:v>45658</x:v>
      </x:c>
      <x:c r="C1133" s="84" t="n">
        <x:f>YEAR(B1133)</x:f>
        <x:v>2025</x:v>
      </x:c>
      <x:c r="D1133" s="91" t="n">
        <x:f>DATE(YEAR(B1133),MONTH(B1133),1)</x:f>
        <x:v>45658</x:v>
      </x:c>
      <x:c r="E1133" s="84" t="str">
        <x:f>TEXT(B1133,"mmm")</x:f>
        <x:v>Jan</x:v>
      </x:c>
      <x:c r="F1133" s="84" t="str">
        <x:f>'Raw Sales'!C1133</x:f>
        <x:v>CUST-0304</x:v>
      </x:c>
      <x:c r="G1133" s="84" t="str">
        <x:f>PROPER(TRIM('Raw Sales'!D1133))</x:f>
        <x:v>Isaac Carter</x:v>
      </x:c>
      <x:c r="H1133" s="84" t="str">
        <x:f>IF(TRIM('Raw Sales'!E1133)="","Unknown",PROPER(TRIM('Raw Sales'!E1133)))</x:f>
        <x:v>Corporate</x:v>
      </x:c>
      <x:c r="I1133" s="84" t="str">
        <x:f>PROPER(TRIM('Raw Sales'!F1133))</x:f>
        <x:v>Northeast</x:v>
      </x:c>
      <x:c r="J1133" s="84" t="str">
        <x:f>PROPER(TRIM('Raw Sales'!G1133))</x:f>
        <x:v>New York</x:v>
      </x:c>
      <x:c r="K1133" s="84" t="str">
        <x:f>PROPER(TRIM('Raw Sales'!H1133))</x:f>
        <x:v>Marketplace</x:v>
      </x:c>
      <x:c r="L1133" s="84" t="str">
        <x:f>'Raw Sales'!I1133</x:f>
        <x:v>OFFC-002</x:v>
      </x:c>
      <x:c r="M1133" s="84" t="str">
        <x:f>IFERROR(VLOOKUP(L1133,'Reference Data'!$A$5:$F$40,2,FALSE),"Unknown Product")</x:f>
        <x:v>Standing Desk</x:v>
      </x:c>
      <x:c r="N1133" s="84" t="str">
        <x:f>IFERROR(VLOOKUP(L1133,'Reference Data'!$A$5:$F$40,3,FALSE),"Unknown")</x:f>
        <x:v>Office</x:v>
      </x:c>
      <x:c r="O1133" s="84" t="str">
        <x:f>IFERROR(VLOOKUP(L1133,'Reference Data'!$A$5:$F$40,4,FALSE),"Unknown")</x:f>
        <x:v>Furniture</x:v>
      </x:c>
      <x:c r="P1133" s="92" t="n">
        <x:f>IFERROR(VLOOKUP(L1133,'Reference Data'!$A$5:$F$40,5,FALSE),0)</x:f>
        <x:v>399</x:v>
      </x:c>
      <x:c r="Q1133" s="92" t="n">
        <x:f>IFERROR(VLOOKUP(L1133,'Reference Data'!$A$5:$F$40,6,FALSE),0)</x:f>
        <x:v>235</x:v>
      </x:c>
      <x:c r="R1133" s="84" t="n">
        <x:f>'Raw Sales'!J1133</x:f>
        <x:v>3</x:v>
      </x:c>
      <x:c r="S1133" s="87" t="n">
        <x:f>'Raw Sales'!K1133</x:f>
        <x:v>0.1</x:v>
      </x:c>
      <x:c r="T1133" s="93" t="n">
        <x:f>P1133*R1133</x:f>
        <x:v>1197</x:v>
      </x:c>
      <x:c r="U1133" s="93" t="n">
        <x:f>T1133*S1133</x:f>
        <x:v>119.7</x:v>
      </x:c>
      <x:c r="V1133" s="93" t="str">
        <x:f>PROPER(TRIM('Raw Sales'!L1133))</x:f>
        <x:v>Completed</x:v>
      </x:c>
      <x:c r="W1133" s="93" t="n">
        <x:f>IF(V1133="Returned",0,T1133-U1133)</x:f>
        <x:v>1077.3</x:v>
      </x:c>
      <x:c r="X1133" s="93" t="n">
        <x:f>IF(V1133="Returned",Q1133*R1133*10%,Q1133*R1133)</x:f>
        <x:v>705</x:v>
      </x:c>
      <x:c r="Y1133" s="93" t="n">
        <x:f>W1133-X1133</x:f>
        <x:v>372.29999999999995</x:v>
      </x:c>
      <x:c r="Z1133" s="94" t="n">
        <x:f>IFERROR(Y1133/W1133,0)</x:f>
        <x:v>0.34558618769145083</x:v>
      </x:c>
      <x:c r="AA1133" s="84" t="str">
        <x:f>PROPER(TRIM('Raw Sales'!M1133))</x:f>
        <x:v>Debit Card</x:v>
      </x:c>
      <x:c r="AB1133" s="84" t="str">
        <x:f>PROPER(TRIM('Raw Sales'!N1133))</x:f>
        <x:v>Ethan Cole</x:v>
      </x:c>
      <x:c r="AC1133" s="85" t="n">
        <x:f>'Raw Sales'!O1133</x:f>
        <x:v>45661</x:v>
      </x:c>
      <x:c r="AD1133" s="84" t="n">
        <x:f>AC1133-B1133</x:f>
        <x:v>3</x:v>
      </x:c>
      <x:c r="AE1133" s="84" t="str">
        <x:f>IF(COUNTIF($A$5:A1133,A1133)&gt;1,"Duplicate","Keep")</x:f>
        <x:v>Keep</x:v>
      </x:c>
      <x:c r="AF1133" s="84" t="str">
        <x:f>IF(OR(R1133&lt;=0,AC1133&lt;B1133,H1133="Unknown",M1133="Unknown Product"),"Review","Valid")</x:f>
        <x:v>Valid</x:v>
      </x:c>
      <x:c r="AG1133" s="84" t="n">
        <x:f>IF(AND(AE1133="Keep",AF1133="Valid"),1,0)</x:f>
        <x:v>1</x:v>
      </x:c>
      <x:c r="AH1133" s="84" t="n">
        <x:f>IF(AND(AG1133=1,OR('Dashboard'!$B$4="All",I1133='Dashboard'!$B$4),OR('Dashboard'!$E$4="All",N1133='Dashboard'!$E$4),OR('Dashboard'!$H$4="All",K1133='Dashboard'!$H$4),OR('Dashboard'!$K$4="All",C1133='Dashboard'!$K$4)),1,0)</x:f>
        <x:v>1</x:v>
      </x:c>
      <x:c r="AI1133" s="84" t="n">
        <x:f>IF(AND(AG1133=1,OR('Dashboard'!$B$4="All",I1133='Dashboard'!$B$4),OR('Dashboard'!$E$4="All",N1133='Dashboard'!$E$4),OR('Dashboard'!$H$4="All",K1133='Dashboard'!$H$4)),1,0)</x:f>
        <x:v>1</x:v>
      </x:c>
    </x:row>
    <x:row r="1134">
      <x:c r="A1134" s="84" t="str">
        <x:f>'Raw Sales'!A1134</x:f>
        <x:v>ORD-2025-01744</x:v>
      </x:c>
      <x:c r="B1134" s="85" t="n">
        <x:f>'Raw Sales'!B1134</x:f>
        <x:v>45658</x:v>
      </x:c>
      <x:c r="C1134" s="84" t="n">
        <x:f>YEAR(B1134)</x:f>
        <x:v>2025</x:v>
      </x:c>
      <x:c r="D1134" s="91" t="n">
        <x:f>DATE(YEAR(B1134),MONTH(B1134),1)</x:f>
        <x:v>45658</x:v>
      </x:c>
      <x:c r="E1134" s="84" t="str">
        <x:f>TEXT(B1134,"mmm")</x:f>
        <x:v>Jan</x:v>
      </x:c>
      <x:c r="F1134" s="84" t="str">
        <x:f>'Raw Sales'!C1134</x:f>
        <x:v>CUST-0588</x:v>
      </x:c>
      <x:c r="G1134" s="84" t="str">
        <x:f>PROPER(TRIM('Raw Sales'!D1134))</x:f>
        <x:v>Nathan Johnson</x:v>
      </x:c>
      <x:c r="H1134" s="84" t="str">
        <x:f>IF(TRIM('Raw Sales'!E1134)="","Unknown",PROPER(TRIM('Raw Sales'!E1134)))</x:f>
        <x:v>Consumer</x:v>
      </x:c>
      <x:c r="I1134" s="84" t="str">
        <x:f>PROPER(TRIM('Raw Sales'!F1134))</x:f>
        <x:v>Midwest</x:v>
      </x:c>
      <x:c r="J1134" s="84" t="str">
        <x:f>PROPER(TRIM('Raw Sales'!G1134))</x:f>
        <x:v>Detroit</x:v>
      </x:c>
      <x:c r="K1134" s="84" t="str">
        <x:f>PROPER(TRIM('Raw Sales'!H1134))</x:f>
        <x:v>Retail Store</x:v>
      </x:c>
      <x:c r="L1134" s="84" t="str">
        <x:f>'Raw Sales'!I1134</x:f>
        <x:v>OFFC-004</x:v>
      </x:c>
      <x:c r="M1134" s="84" t="str">
        <x:f>IFERROR(VLOOKUP(L1134,'Reference Data'!$A$5:$F$40,2,FALSE),"Unknown Product")</x:f>
        <x:v>Premium Notebook Pack</x:v>
      </x:c>
      <x:c r="N1134" s="84" t="str">
        <x:f>IFERROR(VLOOKUP(L1134,'Reference Data'!$A$5:$F$40,3,FALSE),"Unknown")</x:f>
        <x:v>Office</x:v>
      </x:c>
      <x:c r="O1134" s="84" t="str">
        <x:f>IFERROR(VLOOKUP(L1134,'Reference Data'!$A$5:$F$40,4,FALSE),"Unknown")</x:f>
        <x:v>Stationery</x:v>
      </x:c>
      <x:c r="P1134" s="92" t="n">
        <x:f>IFERROR(VLOOKUP(L1134,'Reference Data'!$A$5:$F$40,5,FALSE),0)</x:f>
        <x:v>18</x:v>
      </x:c>
      <x:c r="Q1134" s="92" t="n">
        <x:f>IFERROR(VLOOKUP(L1134,'Reference Data'!$A$5:$F$40,6,FALSE),0)</x:f>
        <x:v>6.5</x:v>
      </x:c>
      <x:c r="R1134" s="84" t="n">
        <x:f>'Raw Sales'!J1134</x:f>
        <x:v>2</x:v>
      </x:c>
      <x:c r="S1134" s="87" t="n">
        <x:f>'Raw Sales'!K1134</x:f>
        <x:v>0</x:v>
      </x:c>
      <x:c r="T1134" s="93" t="n">
        <x:f>P1134*R1134</x:f>
        <x:v>36</x:v>
      </x:c>
      <x:c r="U1134" s="93" t="n">
        <x:f>T1134*S1134</x:f>
        <x:v>0</x:v>
      </x:c>
      <x:c r="V1134" s="93" t="str">
        <x:f>PROPER(TRIM('Raw Sales'!L1134))</x:f>
        <x:v>Completed</x:v>
      </x:c>
      <x:c r="W1134" s="93" t="n">
        <x:f>IF(V1134="Returned",0,T1134-U1134)</x:f>
        <x:v>36</x:v>
      </x:c>
      <x:c r="X1134" s="93" t="n">
        <x:f>IF(V1134="Returned",Q1134*R1134*10%,Q1134*R1134)</x:f>
        <x:v>13</x:v>
      </x:c>
      <x:c r="Y1134" s="93" t="n">
        <x:f>W1134-X1134</x:f>
        <x:v>23</x:v>
      </x:c>
      <x:c r="Z1134" s="94" t="n">
        <x:f>IFERROR(Y1134/W1134,0)</x:f>
        <x:v>0.6388888888888888</x:v>
      </x:c>
      <x:c r="AA1134" s="84" t="str">
        <x:f>PROPER(TRIM('Raw Sales'!M1134))</x:f>
        <x:v>Credit Card</x:v>
      </x:c>
      <x:c r="AB1134" s="84" t="str">
        <x:f>PROPER(TRIM('Raw Sales'!N1134))</x:f>
        <x:v>Zoe Turner</x:v>
      </x:c>
      <x:c r="AC1134" s="85" t="n">
        <x:f>'Raw Sales'!O1134</x:f>
        <x:v>45658</x:v>
      </x:c>
      <x:c r="AD1134" s="84" t="n">
        <x:f>AC1134-B1134</x:f>
        <x:v>0</x:v>
      </x:c>
      <x:c r="AE1134" s="84" t="str">
        <x:f>IF(COUNTIF($A$5:A1134,A1134)&gt;1,"Duplicate","Keep")</x:f>
        <x:v>Keep</x:v>
      </x:c>
      <x:c r="AF1134" s="84" t="str">
        <x:f>IF(OR(R1134&lt;=0,AC1134&lt;B1134,H1134="Unknown",M1134="Unknown Product"),"Review","Valid")</x:f>
        <x:v>Valid</x:v>
      </x:c>
      <x:c r="AG1134" s="84" t="n">
        <x:f>IF(AND(AE1134="Keep",AF1134="Valid"),1,0)</x:f>
        <x:v>1</x:v>
      </x:c>
      <x:c r="AH1134" s="84" t="n">
        <x:f>IF(AND(AG1134=1,OR('Dashboard'!$B$4="All",I1134='Dashboard'!$B$4),OR('Dashboard'!$E$4="All",N1134='Dashboard'!$E$4),OR('Dashboard'!$H$4="All",K1134='Dashboard'!$H$4),OR('Dashboard'!$K$4="All",C1134='Dashboard'!$K$4)),1,0)</x:f>
        <x:v>1</x:v>
      </x:c>
      <x:c r="AI1134" s="84" t="n">
        <x:f>IF(AND(AG1134=1,OR('Dashboard'!$B$4="All",I1134='Dashboard'!$B$4),OR('Dashboard'!$E$4="All",N1134='Dashboard'!$E$4),OR('Dashboard'!$H$4="All",K1134='Dashboard'!$H$4)),1,0)</x:f>
        <x:v>1</x:v>
      </x:c>
    </x:row>
    <x:row r="1135">
      <x:c r="A1135" s="84" t="str">
        <x:f>'Raw Sales'!A1135</x:f>
        <x:v>ORD-2025-00165</x:v>
      </x:c>
      <x:c r="B1135" s="85" t="n">
        <x:f>'Raw Sales'!B1135</x:f>
        <x:v>45659</x:v>
      </x:c>
      <x:c r="C1135" s="84" t="n">
        <x:f>YEAR(B1135)</x:f>
        <x:v>2025</x:v>
      </x:c>
      <x:c r="D1135" s="91" t="n">
        <x:f>DATE(YEAR(B1135),MONTH(B1135),1)</x:f>
        <x:v>45658</x:v>
      </x:c>
      <x:c r="E1135" s="84" t="str">
        <x:f>TEXT(B1135,"mmm")</x:f>
        <x:v>Jan</x:v>
      </x:c>
      <x:c r="F1135" s="84" t="str">
        <x:f>'Raw Sales'!C1135</x:f>
        <x:v>CUST-0421</x:v>
      </x:c>
      <x:c r="G1135" s="84" t="str">
        <x:f>PROPER(TRIM('Raw Sales'!D1135))</x:f>
        <x:v>Daniel Hall</x:v>
      </x:c>
      <x:c r="H1135" s="84" t="str">
        <x:f>IF(TRIM('Raw Sales'!E1135)="","Unknown",PROPER(TRIM('Raw Sales'!E1135)))</x:f>
        <x:v>Consumer</x:v>
      </x:c>
      <x:c r="I1135" s="84" t="str">
        <x:f>PROPER(TRIM('Raw Sales'!F1135))</x:f>
        <x:v>Northeast</x:v>
      </x:c>
      <x:c r="J1135" s="84" t="str">
        <x:f>PROPER(TRIM('Raw Sales'!G1135))</x:f>
        <x:v>New York</x:v>
      </x:c>
      <x:c r="K1135" s="84" t="str">
        <x:f>PROPER(TRIM('Raw Sales'!H1135))</x:f>
        <x:v>Online</x:v>
      </x:c>
      <x:c r="L1135" s="84" t="str">
        <x:f>'Raw Sales'!I1135</x:f>
        <x:v>FITN-004</x:v>
      </x:c>
      <x:c r="M1135" s="84" t="str">
        <x:f>IFERROR(VLOOKUP(L1135,'Reference Data'!$A$5:$F$40,2,FALSE),"Unknown Product")</x:f>
        <x:v>Fitness Tracker</x:v>
      </x:c>
      <x:c r="N1135" s="84" t="str">
        <x:f>IFERROR(VLOOKUP(L1135,'Reference Data'!$A$5:$F$40,3,FALSE),"Unknown")</x:f>
        <x:v>Fitness</x:v>
      </x:c>
      <x:c r="O1135" s="84" t="str">
        <x:f>IFERROR(VLOOKUP(L1135,'Reference Data'!$A$5:$F$40,4,FALSE),"Unknown")</x:f>
        <x:v>Wearables</x:v>
      </x:c>
      <x:c r="P1135" s="92" t="n">
        <x:f>IFERROR(VLOOKUP(L1135,'Reference Data'!$A$5:$F$40,5,FALSE),0)</x:f>
        <x:v>89</x:v>
      </x:c>
      <x:c r="Q1135" s="92" t="n">
        <x:f>IFERROR(VLOOKUP(L1135,'Reference Data'!$A$5:$F$40,6,FALSE),0)</x:f>
        <x:v>44</x:v>
      </x:c>
      <x:c r="R1135" s="84" t="n">
        <x:f>'Raw Sales'!J1135</x:f>
        <x:v>3</x:v>
      </x:c>
      <x:c r="S1135" s="87" t="n">
        <x:f>'Raw Sales'!K1135</x:f>
        <x:v>0.05</x:v>
      </x:c>
      <x:c r="T1135" s="93" t="n">
        <x:f>P1135*R1135</x:f>
        <x:v>267</x:v>
      </x:c>
      <x:c r="U1135" s="93" t="n">
        <x:f>T1135*S1135</x:f>
        <x:v>13.350000000000001</x:v>
      </x:c>
      <x:c r="V1135" s="93" t="str">
        <x:f>PROPER(TRIM('Raw Sales'!L1135))</x:f>
        <x:v>Completed</x:v>
      </x:c>
      <x:c r="W1135" s="93" t="n">
        <x:f>IF(V1135="Returned",0,T1135-U1135)</x:f>
        <x:v>253.65</x:v>
      </x:c>
      <x:c r="X1135" s="93" t="n">
        <x:f>IF(V1135="Returned",Q1135*R1135*10%,Q1135*R1135)</x:f>
        <x:v>132</x:v>
      </x:c>
      <x:c r="Y1135" s="93" t="n">
        <x:f>W1135-X1135</x:f>
        <x:v>121.65</x:v>
      </x:c>
      <x:c r="Z1135" s="94" t="n">
        <x:f>IFERROR(Y1135/W1135,0)</x:f>
        <x:v>0.47959787108219987</x:v>
      </x:c>
      <x:c r="AA1135" s="84" t="str">
        <x:f>PROPER(TRIM('Raw Sales'!M1135))</x:f>
        <x:v>Paypal</x:v>
      </x:c>
      <x:c r="AB1135" s="84" t="str">
        <x:f>PROPER(TRIM('Raw Sales'!N1135))</x:f>
        <x:v>Ethan Cole</x:v>
      </x:c>
      <x:c r="AC1135" s="85" t="n">
        <x:f>'Raw Sales'!O1135</x:f>
        <x:v>45663</x:v>
      </x:c>
      <x:c r="AD1135" s="84" t="n">
        <x:f>AC1135-B1135</x:f>
        <x:v>4</x:v>
      </x:c>
      <x:c r="AE1135" s="84" t="str">
        <x:f>IF(COUNTIF($A$5:A1135,A1135)&gt;1,"Duplicate","Keep")</x:f>
        <x:v>Keep</x:v>
      </x:c>
      <x:c r="AF1135" s="84" t="str">
        <x:f>IF(OR(R1135&lt;=0,AC1135&lt;B1135,H1135="Unknown",M1135="Unknown Product"),"Review","Valid")</x:f>
        <x:v>Valid</x:v>
      </x:c>
      <x:c r="AG1135" s="84" t="n">
        <x:f>IF(AND(AE1135="Keep",AF1135="Valid"),1,0)</x:f>
        <x:v>1</x:v>
      </x:c>
      <x:c r="AH1135" s="84" t="n">
        <x:f>IF(AND(AG1135=1,OR('Dashboard'!$B$4="All",I1135='Dashboard'!$B$4),OR('Dashboard'!$E$4="All",N1135='Dashboard'!$E$4),OR('Dashboard'!$H$4="All",K1135='Dashboard'!$H$4),OR('Dashboard'!$K$4="All",C1135='Dashboard'!$K$4)),1,0)</x:f>
        <x:v>1</x:v>
      </x:c>
      <x:c r="AI1135" s="84" t="n">
        <x:f>IF(AND(AG1135=1,OR('Dashboard'!$B$4="All",I1135='Dashboard'!$B$4),OR('Dashboard'!$E$4="All",N1135='Dashboard'!$E$4),OR('Dashboard'!$H$4="All",K1135='Dashboard'!$H$4)),1,0)</x:f>
        <x:v>1</x:v>
      </x:c>
    </x:row>
    <x:row r="1136">
      <x:c r="A1136" s="84" t="str">
        <x:f>'Raw Sales'!A1136</x:f>
        <x:v>ORD-2025-00165</x:v>
      </x:c>
      <x:c r="B1136" s="85" t="n">
        <x:f>'Raw Sales'!B1136</x:f>
        <x:v>45659</x:v>
      </x:c>
      <x:c r="C1136" s="84" t="n">
        <x:f>YEAR(B1136)</x:f>
        <x:v>2025</x:v>
      </x:c>
      <x:c r="D1136" s="91" t="n">
        <x:f>DATE(YEAR(B1136),MONTH(B1136),1)</x:f>
        <x:v>45658</x:v>
      </x:c>
      <x:c r="E1136" s="84" t="str">
        <x:f>TEXT(B1136,"mmm")</x:f>
        <x:v>Jan</x:v>
      </x:c>
      <x:c r="F1136" s="84" t="str">
        <x:f>'Raw Sales'!C1136</x:f>
        <x:v>CUST-0421</x:v>
      </x:c>
      <x:c r="G1136" s="84" t="str">
        <x:f>PROPER(TRIM('Raw Sales'!D1136))</x:f>
        <x:v>Daniel Hall</x:v>
      </x:c>
      <x:c r="H1136" s="84" t="str">
        <x:f>IF(TRIM('Raw Sales'!E1136)="","Unknown",PROPER(TRIM('Raw Sales'!E1136)))</x:f>
        <x:v>Consumer</x:v>
      </x:c>
      <x:c r="I1136" s="84" t="str">
        <x:f>PROPER(TRIM('Raw Sales'!F1136))</x:f>
        <x:v>Northeast</x:v>
      </x:c>
      <x:c r="J1136" s="84" t="str">
        <x:f>PROPER(TRIM('Raw Sales'!G1136))</x:f>
        <x:v>New York</x:v>
      </x:c>
      <x:c r="K1136" s="84" t="str">
        <x:f>PROPER(TRIM('Raw Sales'!H1136))</x:f>
        <x:v>Online</x:v>
      </x:c>
      <x:c r="L1136" s="84" t="str">
        <x:f>'Raw Sales'!I1136</x:f>
        <x:v>FITN-004</x:v>
      </x:c>
      <x:c r="M1136" s="84" t="str">
        <x:f>IFERROR(VLOOKUP(L1136,'Reference Data'!$A$5:$F$40,2,FALSE),"Unknown Product")</x:f>
        <x:v>Fitness Tracker</x:v>
      </x:c>
      <x:c r="N1136" s="84" t="str">
        <x:f>IFERROR(VLOOKUP(L1136,'Reference Data'!$A$5:$F$40,3,FALSE),"Unknown")</x:f>
        <x:v>Fitness</x:v>
      </x:c>
      <x:c r="O1136" s="84" t="str">
        <x:f>IFERROR(VLOOKUP(L1136,'Reference Data'!$A$5:$F$40,4,FALSE),"Unknown")</x:f>
        <x:v>Wearables</x:v>
      </x:c>
      <x:c r="P1136" s="92" t="n">
        <x:f>IFERROR(VLOOKUP(L1136,'Reference Data'!$A$5:$F$40,5,FALSE),0)</x:f>
        <x:v>89</x:v>
      </x:c>
      <x:c r="Q1136" s="92" t="n">
        <x:f>IFERROR(VLOOKUP(L1136,'Reference Data'!$A$5:$F$40,6,FALSE),0)</x:f>
        <x:v>44</x:v>
      </x:c>
      <x:c r="R1136" s="84" t="n">
        <x:f>'Raw Sales'!J1136</x:f>
        <x:v>3</x:v>
      </x:c>
      <x:c r="S1136" s="87" t="n">
        <x:f>'Raw Sales'!K1136</x:f>
        <x:v>0.05</x:v>
      </x:c>
      <x:c r="T1136" s="93" t="n">
        <x:f>P1136*R1136</x:f>
        <x:v>267</x:v>
      </x:c>
      <x:c r="U1136" s="93" t="n">
        <x:f>T1136*S1136</x:f>
        <x:v>13.350000000000001</x:v>
      </x:c>
      <x:c r="V1136" s="93" t="str">
        <x:f>PROPER(TRIM('Raw Sales'!L1136))</x:f>
        <x:v>Completed</x:v>
      </x:c>
      <x:c r="W1136" s="93" t="n">
        <x:f>IF(V1136="Returned",0,T1136-U1136)</x:f>
        <x:v>253.65</x:v>
      </x:c>
      <x:c r="X1136" s="93" t="n">
        <x:f>IF(V1136="Returned",Q1136*R1136*10%,Q1136*R1136)</x:f>
        <x:v>132</x:v>
      </x:c>
      <x:c r="Y1136" s="93" t="n">
        <x:f>W1136-X1136</x:f>
        <x:v>121.65</x:v>
      </x:c>
      <x:c r="Z1136" s="94" t="n">
        <x:f>IFERROR(Y1136/W1136,0)</x:f>
        <x:v>0.47959787108219987</x:v>
      </x:c>
      <x:c r="AA1136" s="84" t="str">
        <x:f>PROPER(TRIM('Raw Sales'!M1136))</x:f>
        <x:v>Paypal</x:v>
      </x:c>
      <x:c r="AB1136" s="84" t="str">
        <x:f>PROPER(TRIM('Raw Sales'!N1136))</x:f>
        <x:v>Ethan Cole</x:v>
      </x:c>
      <x:c r="AC1136" s="85" t="n">
        <x:f>'Raw Sales'!O1136</x:f>
        <x:v>45663</x:v>
      </x:c>
      <x:c r="AD1136" s="84" t="n">
        <x:f>AC1136-B1136</x:f>
        <x:v>4</x:v>
      </x:c>
      <x:c r="AE1136" s="84" t="str">
        <x:f>IF(COUNTIF($A$5:A1136,A1136)&gt;1,"Duplicate","Keep")</x:f>
        <x:v>Duplicate</x:v>
      </x:c>
      <x:c r="AF1136" s="84" t="str">
        <x:f>IF(OR(R1136&lt;=0,AC1136&lt;B1136,H1136="Unknown",M1136="Unknown Product"),"Review","Valid")</x:f>
        <x:v>Valid</x:v>
      </x:c>
      <x:c r="AG1136" s="84" t="n">
        <x:f>IF(AND(AE1136="Keep",AF1136="Valid"),1,0)</x:f>
        <x:v>0</x:v>
      </x:c>
      <x:c r="AH1136" s="84" t="n">
        <x:f>IF(AND(AG1136=1,OR('Dashboard'!$B$4="All",I1136='Dashboard'!$B$4),OR('Dashboard'!$E$4="All",N1136='Dashboard'!$E$4),OR('Dashboard'!$H$4="All",K1136='Dashboard'!$H$4),OR('Dashboard'!$K$4="All",C1136='Dashboard'!$K$4)),1,0)</x:f>
        <x:v>0</x:v>
      </x:c>
      <x:c r="AI1136" s="84" t="n">
        <x:f>IF(AND(AG1136=1,OR('Dashboard'!$B$4="All",I1136='Dashboard'!$B$4),OR('Dashboard'!$E$4="All",N1136='Dashboard'!$E$4),OR('Dashboard'!$H$4="All",K1136='Dashboard'!$H$4)),1,0)</x:f>
        <x:v>0</x:v>
      </x:c>
    </x:row>
    <x:row r="1137">
      <x:c r="A1137" s="84" t="str">
        <x:f>'Raw Sales'!A1137</x:f>
        <x:v>ORD-2025-00374</x:v>
      </x:c>
      <x:c r="B1137" s="85" t="n">
        <x:f>'Raw Sales'!B1137</x:f>
        <x:v>45659</x:v>
      </x:c>
      <x:c r="C1137" s="84" t="n">
        <x:f>YEAR(B1137)</x:f>
        <x:v>2025</x:v>
      </x:c>
      <x:c r="D1137" s="91" t="n">
        <x:f>DATE(YEAR(B1137),MONTH(B1137),1)</x:f>
        <x:v>45658</x:v>
      </x:c>
      <x:c r="E1137" s="84" t="str">
        <x:f>TEXT(B1137,"mmm")</x:f>
        <x:v>Jan</x:v>
      </x:c>
      <x:c r="F1137" s="84" t="str">
        <x:f>'Raw Sales'!C1137</x:f>
        <x:v>CUST-0392</x:v>
      </x:c>
      <x:c r="G1137" s="84" t="str">
        <x:f>PROPER(TRIM('Raw Sales'!D1137))</x:f>
        <x:v>Elias Nelson</x:v>
      </x:c>
      <x:c r="H1137" s="84" t="str">
        <x:f>IF(TRIM('Raw Sales'!E1137)="","Unknown",PROPER(TRIM('Raw Sales'!E1137)))</x:f>
        <x:v>Consumer</x:v>
      </x:c>
      <x:c r="I1137" s="84" t="str">
        <x:f>PROPER(TRIM('Raw Sales'!F1137))</x:f>
        <x:v>Northeast</x:v>
      </x:c>
      <x:c r="J1137" s="84" t="str">
        <x:f>PROPER(TRIM('Raw Sales'!G1137))</x:f>
        <x:v>Newark</x:v>
      </x:c>
      <x:c r="K1137" s="84" t="str">
        <x:f>PROPER(TRIM('Raw Sales'!H1137))</x:f>
        <x:v>Retail Store</x:v>
      </x:c>
      <x:c r="L1137" s="84" t="str">
        <x:f>'Raw Sales'!I1137</x:f>
        <x:v>ELEC-004</x:v>
      </x:c>
      <x:c r="M1137" s="84" t="str">
        <x:f>IFERROR(VLOOKUP(L1137,'Reference Data'!$A$5:$F$40,2,FALSE),"Unknown Product")</x:f>
        <x:v>Power Bank</x:v>
      </x:c>
      <x:c r="N1137" s="84" t="str">
        <x:f>IFERROR(VLOOKUP(L1137,'Reference Data'!$A$5:$F$40,3,FALSE),"Unknown")</x:f>
        <x:v>Electronics</x:v>
      </x:c>
      <x:c r="O1137" s="84" t="str">
        <x:f>IFERROR(VLOOKUP(L1137,'Reference Data'!$A$5:$F$40,4,FALSE),"Unknown")</x:f>
        <x:v>Mobile Accessories</x:v>
      </x:c>
      <x:c r="P1137" s="92" t="n">
        <x:f>IFERROR(VLOOKUP(L1137,'Reference Data'!$A$5:$F$40,5,FALSE),0)</x:f>
        <x:v>39</x:v>
      </x:c>
      <x:c r="Q1137" s="92" t="n">
        <x:f>IFERROR(VLOOKUP(L1137,'Reference Data'!$A$5:$F$40,6,FALSE),0)</x:f>
        <x:v>18</x:v>
      </x:c>
      <x:c r="R1137" s="84" t="n">
        <x:f>'Raw Sales'!J1137</x:f>
        <x:v>1</x:v>
      </x:c>
      <x:c r="S1137" s="87" t="n">
        <x:f>'Raw Sales'!K1137</x:f>
        <x:v>0</x:v>
      </x:c>
      <x:c r="T1137" s="93" t="n">
        <x:f>P1137*R1137</x:f>
        <x:v>39</x:v>
      </x:c>
      <x:c r="U1137" s="93" t="n">
        <x:f>T1137*S1137</x:f>
        <x:v>0</x:v>
      </x:c>
      <x:c r="V1137" s="93" t="str">
        <x:f>PROPER(TRIM('Raw Sales'!L1137))</x:f>
        <x:v>Returned</x:v>
      </x:c>
      <x:c r="W1137" s="93" t="n">
        <x:f>IF(V1137="Returned",0,T1137-U1137)</x:f>
        <x:v>0</x:v>
      </x:c>
      <x:c r="X1137" s="93" t="n">
        <x:f>IF(V1137="Returned",Q1137*R1137*10%,Q1137*R1137)</x:f>
        <x:v>1.8</x:v>
      </x:c>
      <x:c r="Y1137" s="93" t="n">
        <x:f>W1137-X1137</x:f>
        <x:v>-1.8</x:v>
      </x:c>
      <x:c r="Z1137" s="94" t="n">
        <x:f>IFERROR(Y1137/W1137,0)</x:f>
        <x:v>0</x:v>
      </x:c>
      <x:c r="AA1137" s="84" t="str">
        <x:f>PROPER(TRIM('Raw Sales'!M1137))</x:f>
        <x:v>Debit Card</x:v>
      </x:c>
      <x:c r="AB1137" s="84" t="str">
        <x:f>PROPER(TRIM('Raw Sales'!N1137))</x:f>
        <x:v>Sofia Bennett</x:v>
      </x:c>
      <x:c r="AC1137" s="85" t="n">
        <x:f>'Raw Sales'!O1137</x:f>
        <x:v>45659</x:v>
      </x:c>
      <x:c r="AD1137" s="84" t="n">
        <x:f>AC1137-B1137</x:f>
        <x:v>0</x:v>
      </x:c>
      <x:c r="AE1137" s="84" t="str">
        <x:f>IF(COUNTIF($A$5:A1137,A1137)&gt;1,"Duplicate","Keep")</x:f>
        <x:v>Keep</x:v>
      </x:c>
      <x:c r="AF1137" s="84" t="str">
        <x:f>IF(OR(R1137&lt;=0,AC1137&lt;B1137,H1137="Unknown",M1137="Unknown Product"),"Review","Valid")</x:f>
        <x:v>Valid</x:v>
      </x:c>
      <x:c r="AG1137" s="84" t="n">
        <x:f>IF(AND(AE1137="Keep",AF1137="Valid"),1,0)</x:f>
        <x:v>1</x:v>
      </x:c>
      <x:c r="AH1137" s="84" t="n">
        <x:f>IF(AND(AG1137=1,OR('Dashboard'!$B$4="All",I1137='Dashboard'!$B$4),OR('Dashboard'!$E$4="All",N1137='Dashboard'!$E$4),OR('Dashboard'!$H$4="All",K1137='Dashboard'!$H$4),OR('Dashboard'!$K$4="All",C1137='Dashboard'!$K$4)),1,0)</x:f>
        <x:v>1</x:v>
      </x:c>
      <x:c r="AI1137" s="84" t="n">
        <x:f>IF(AND(AG1137=1,OR('Dashboard'!$B$4="All",I1137='Dashboard'!$B$4),OR('Dashboard'!$E$4="All",N1137='Dashboard'!$E$4),OR('Dashboard'!$H$4="All",K1137='Dashboard'!$H$4)),1,0)</x:f>
        <x:v>1</x:v>
      </x:c>
    </x:row>
    <x:row r="1138">
      <x:c r="A1138" s="84" t="str">
        <x:f>'Raw Sales'!A1138</x:f>
        <x:v>ORD-2025-01217</x:v>
      </x:c>
      <x:c r="B1138" s="85" t="n">
        <x:f>'Raw Sales'!B1138</x:f>
        <x:v>45659</x:v>
      </x:c>
      <x:c r="C1138" s="84" t="n">
        <x:f>YEAR(B1138)</x:f>
        <x:v>2025</x:v>
      </x:c>
      <x:c r="D1138" s="91" t="n">
        <x:f>DATE(YEAR(B1138),MONTH(B1138),1)</x:f>
        <x:v>45658</x:v>
      </x:c>
      <x:c r="E1138" s="84" t="str">
        <x:f>TEXT(B1138,"mmm")</x:f>
        <x:v>Jan</x:v>
      </x:c>
      <x:c r="F1138" s="84" t="str">
        <x:f>'Raw Sales'!C1138</x:f>
        <x:v>CUST-0465</x:v>
      </x:c>
      <x:c r="G1138" s="84" t="str">
        <x:f>PROPER(TRIM('Raw Sales'!D1138))</x:f>
        <x:v>Owen Irwin</x:v>
      </x:c>
      <x:c r="H1138" s="84" t="str">
        <x:f>IF(TRIM('Raw Sales'!E1138)="","Unknown",PROPER(TRIM('Raw Sales'!E1138)))</x:f>
        <x:v>Consumer</x:v>
      </x:c>
      <x:c r="I1138" s="84" t="str">
        <x:f>PROPER(TRIM('Raw Sales'!F1138))</x:f>
        <x:v>Midwest</x:v>
      </x:c>
      <x:c r="J1138" s="84" t="str">
        <x:f>PROPER(TRIM('Raw Sales'!G1138))</x:f>
        <x:v>Columbus</x:v>
      </x:c>
      <x:c r="K1138" s="84" t="str">
        <x:f>PROPER(TRIM('Raw Sales'!H1138))</x:f>
        <x:v>Online</x:v>
      </x:c>
      <x:c r="L1138" s="84" t="str">
        <x:f>'Raw Sales'!I1138</x:f>
        <x:v>HOME-002</x:v>
      </x:c>
      <x:c r="M1138" s="84" t="str">
        <x:f>IFERROR(VLOOKUP(L1138,'Reference Data'!$A$5:$F$40,2,FALSE),"Unknown Product")</x:f>
        <x:v>Electric Kettle</x:v>
      </x:c>
      <x:c r="N1138" s="84" t="str">
        <x:f>IFERROR(VLOOKUP(L1138,'Reference Data'!$A$5:$F$40,3,FALSE),"Unknown")</x:f>
        <x:v>Home &amp; Kitchen</x:v>
      </x:c>
      <x:c r="O1138" s="84" t="str">
        <x:f>IFERROR(VLOOKUP(L1138,'Reference Data'!$A$5:$F$40,4,FALSE),"Unknown")</x:f>
        <x:v>Small Appliances</x:v>
      </x:c>
      <x:c r="P1138" s="92" t="n">
        <x:f>IFERROR(VLOOKUP(L1138,'Reference Data'!$A$5:$F$40,5,FALSE),0)</x:f>
        <x:v>49</x:v>
      </x:c>
      <x:c r="Q1138" s="92" t="n">
        <x:f>IFERROR(VLOOKUP(L1138,'Reference Data'!$A$5:$F$40,6,FALSE),0)</x:f>
        <x:v>23</x:v>
      </x:c>
      <x:c r="R1138" s="84" t="n">
        <x:f>'Raw Sales'!J1138</x:f>
        <x:v>1</x:v>
      </x:c>
      <x:c r="S1138" s="87" t="n">
        <x:f>'Raw Sales'!K1138</x:f>
        <x:v>0.05</x:v>
      </x:c>
      <x:c r="T1138" s="93" t="n">
        <x:f>P1138*R1138</x:f>
        <x:v>49</x:v>
      </x:c>
      <x:c r="U1138" s="93" t="n">
        <x:f>T1138*S1138</x:f>
        <x:v>2.45</x:v>
      </x:c>
      <x:c r="V1138" s="93" t="str">
        <x:f>PROPER(TRIM('Raw Sales'!L1138))</x:f>
        <x:v>Completed</x:v>
      </x:c>
      <x:c r="W1138" s="93" t="n">
        <x:f>IF(V1138="Returned",0,T1138-U1138)</x:f>
        <x:v>46.55</x:v>
      </x:c>
      <x:c r="X1138" s="93" t="n">
        <x:f>IF(V1138="Returned",Q1138*R1138*10%,Q1138*R1138)</x:f>
        <x:v>23</x:v>
      </x:c>
      <x:c r="Y1138" s="93" t="n">
        <x:f>W1138-X1138</x:f>
        <x:v>23.549999999999997</x:v>
      </x:c>
      <x:c r="Z1138" s="94" t="n">
        <x:f>IFERROR(Y1138/W1138,0)</x:f>
        <x:v>0.505907626208378</x:v>
      </x:c>
      <x:c r="AA1138" s="84" t="str">
        <x:f>PROPER(TRIM('Raw Sales'!M1138))</x:f>
        <x:v>Credit Card</x:v>
      </x:c>
      <x:c r="AB1138" s="84" t="str">
        <x:f>PROPER(TRIM('Raw Sales'!N1138))</x:f>
        <x:v>Zoe Turner</x:v>
      </x:c>
      <x:c r="AC1138" s="85" t="n">
        <x:f>'Raw Sales'!O1138</x:f>
        <x:v>45661</x:v>
      </x:c>
      <x:c r="AD1138" s="84" t="n">
        <x:f>AC1138-B1138</x:f>
        <x:v>2</x:v>
      </x:c>
      <x:c r="AE1138" s="84" t="str">
        <x:f>IF(COUNTIF($A$5:A1138,A1138)&gt;1,"Duplicate","Keep")</x:f>
        <x:v>Keep</x:v>
      </x:c>
      <x:c r="AF1138" s="84" t="str">
        <x:f>IF(OR(R1138&lt;=0,AC1138&lt;B1138,H1138="Unknown",M1138="Unknown Product"),"Review","Valid")</x:f>
        <x:v>Valid</x:v>
      </x:c>
      <x:c r="AG1138" s="84" t="n">
        <x:f>IF(AND(AE1138="Keep",AF1138="Valid"),1,0)</x:f>
        <x:v>1</x:v>
      </x:c>
      <x:c r="AH1138" s="84" t="n">
        <x:f>IF(AND(AG1138=1,OR('Dashboard'!$B$4="All",I1138='Dashboard'!$B$4),OR('Dashboard'!$E$4="All",N1138='Dashboard'!$E$4),OR('Dashboard'!$H$4="All",K1138='Dashboard'!$H$4),OR('Dashboard'!$K$4="All",C1138='Dashboard'!$K$4)),1,0)</x:f>
        <x:v>1</x:v>
      </x:c>
      <x:c r="AI1138" s="84" t="n">
        <x:f>IF(AND(AG1138=1,OR('Dashboard'!$B$4="All",I1138='Dashboard'!$B$4),OR('Dashboard'!$E$4="All",N1138='Dashboard'!$E$4),OR('Dashboard'!$H$4="All",K1138='Dashboard'!$H$4)),1,0)</x:f>
        <x:v>1</x:v>
      </x:c>
    </x:row>
    <x:row r="1139">
      <x:c r="A1139" s="84" t="str">
        <x:f>'Raw Sales'!A1139</x:f>
        <x:v>ORD-2025-01759</x:v>
      </x:c>
      <x:c r="B1139" s="85" t="n">
        <x:f>'Raw Sales'!B1139</x:f>
        <x:v>45659</x:v>
      </x:c>
      <x:c r="C1139" s="84" t="n">
        <x:f>YEAR(B1139)</x:f>
        <x:v>2025</x:v>
      </x:c>
      <x:c r="D1139" s="91" t="n">
        <x:f>DATE(YEAR(B1139),MONTH(B1139),1)</x:f>
        <x:v>45658</x:v>
      </x:c>
      <x:c r="E1139" s="84" t="str">
        <x:f>TEXT(B1139,"mmm")</x:f>
        <x:v>Jan</x:v>
      </x:c>
      <x:c r="F1139" s="84" t="str">
        <x:f>'Raw Sales'!C1139</x:f>
        <x:v>CUST-0254</x:v>
      </x:c>
      <x:c r="G1139" s="84" t="str">
        <x:f>PROPER(TRIM('Raw Sales'!D1139))</x:f>
        <x:v>Marcus Carter</x:v>
      </x:c>
      <x:c r="H1139" s="84" t="str">
        <x:f>IF(TRIM('Raw Sales'!E1139)="","Unknown",PROPER(TRIM('Raw Sales'!E1139)))</x:f>
        <x:v>Consumer</x:v>
      </x:c>
      <x:c r="I1139" s="84" t="str">
        <x:f>PROPER(TRIM('Raw Sales'!F1139))</x:f>
        <x:v>Northeast</x:v>
      </x:c>
      <x:c r="J1139" s="84" t="str">
        <x:f>PROPER(TRIM('Raw Sales'!G1139))</x:f>
        <x:v>Boston</x:v>
      </x:c>
      <x:c r="K1139" s="84" t="str">
        <x:f>PROPER(TRIM('Raw Sales'!H1139))</x:f>
        <x:v>Retail Store</x:v>
      </x:c>
      <x:c r="L1139" s="84" t="str">
        <x:f>'Raw Sales'!I1139</x:f>
        <x:v>HOME-006</x:v>
      </x:c>
      <x:c r="M1139" s="84" t="str">
        <x:f>IFERROR(VLOOKUP(L1139,'Reference Data'!$A$5:$F$40,2,FALSE),"Unknown Product")</x:f>
        <x:v>Food Storage Set</x:v>
      </x:c>
      <x:c r="N1139" s="84" t="str">
        <x:f>IFERROR(VLOOKUP(L1139,'Reference Data'!$A$5:$F$40,3,FALSE),"Unknown")</x:f>
        <x:v>Home &amp; Kitchen</x:v>
      </x:c>
      <x:c r="O1139" s="84" t="str">
        <x:f>IFERROR(VLOOKUP(L1139,'Reference Data'!$A$5:$F$40,4,FALSE),"Unknown")</x:f>
        <x:v>Kitchenware</x:v>
      </x:c>
      <x:c r="P1139" s="92" t="n">
        <x:f>IFERROR(VLOOKUP(L1139,'Reference Data'!$A$5:$F$40,5,FALSE),0)</x:f>
        <x:v>34</x:v>
      </x:c>
      <x:c r="Q1139" s="92" t="n">
        <x:f>IFERROR(VLOOKUP(L1139,'Reference Data'!$A$5:$F$40,6,FALSE),0)</x:f>
        <x:v>15</x:v>
      </x:c>
      <x:c r="R1139" s="84" t="n">
        <x:f>'Raw Sales'!J1139</x:f>
        <x:v>1</x:v>
      </x:c>
      <x:c r="S1139" s="87" t="n">
        <x:f>'Raw Sales'!K1139</x:f>
        <x:v>0.1</x:v>
      </x:c>
      <x:c r="T1139" s="93" t="n">
        <x:f>P1139*R1139</x:f>
        <x:v>34</x:v>
      </x:c>
      <x:c r="U1139" s="93" t="n">
        <x:f>T1139*S1139</x:f>
        <x:v>3.4000000000000004</x:v>
      </x:c>
      <x:c r="V1139" s="93" t="str">
        <x:f>PROPER(TRIM('Raw Sales'!L1139))</x:f>
        <x:v>Completed</x:v>
      </x:c>
      <x:c r="W1139" s="93" t="n">
        <x:f>IF(V1139="Returned",0,T1139-U1139)</x:f>
        <x:v>30.6</x:v>
      </x:c>
      <x:c r="X1139" s="93" t="n">
        <x:f>IF(V1139="Returned",Q1139*R1139*10%,Q1139*R1139)</x:f>
        <x:v>15</x:v>
      </x:c>
      <x:c r="Y1139" s="93" t="n">
        <x:f>W1139-X1139</x:f>
        <x:v>15.600000000000001</x:v>
      </x:c>
      <x:c r="Z1139" s="94" t="n">
        <x:f>IFERROR(Y1139/W1139,0)</x:f>
        <x:v>0.5098039215686275</x:v>
      </x:c>
      <x:c r="AA1139" s="84" t="str">
        <x:f>PROPER(TRIM('Raw Sales'!M1139))</x:f>
        <x:v>Mobile Wallet</x:v>
      </x:c>
      <x:c r="AB1139" s="84" t="str">
        <x:f>PROPER(TRIM('Raw Sales'!N1139))</x:f>
        <x:v>Sofia Bennett</x:v>
      </x:c>
      <x:c r="AC1139" s="85" t="n">
        <x:f>'Raw Sales'!O1139</x:f>
        <x:v>45659</x:v>
      </x:c>
      <x:c r="AD1139" s="84" t="n">
        <x:f>AC1139-B1139</x:f>
        <x:v>0</x:v>
      </x:c>
      <x:c r="AE1139" s="84" t="str">
        <x:f>IF(COUNTIF($A$5:A1139,A1139)&gt;1,"Duplicate","Keep")</x:f>
        <x:v>Keep</x:v>
      </x:c>
      <x:c r="AF1139" s="84" t="str">
        <x:f>IF(OR(R1139&lt;=0,AC1139&lt;B1139,H1139="Unknown",M1139="Unknown Product"),"Review","Valid")</x:f>
        <x:v>Valid</x:v>
      </x:c>
      <x:c r="AG1139" s="84" t="n">
        <x:f>IF(AND(AE1139="Keep",AF1139="Valid"),1,0)</x:f>
        <x:v>1</x:v>
      </x:c>
      <x:c r="AH1139" s="84" t="n">
        <x:f>IF(AND(AG1139=1,OR('Dashboard'!$B$4="All",I1139='Dashboard'!$B$4),OR('Dashboard'!$E$4="All",N1139='Dashboard'!$E$4),OR('Dashboard'!$H$4="All",K1139='Dashboard'!$H$4),OR('Dashboard'!$K$4="All",C1139='Dashboard'!$K$4)),1,0)</x:f>
        <x:v>1</x:v>
      </x:c>
      <x:c r="AI1139" s="84" t="n">
        <x:f>IF(AND(AG1139=1,OR('Dashboard'!$B$4="All",I1139='Dashboard'!$B$4),OR('Dashboard'!$E$4="All",N1139='Dashboard'!$E$4),OR('Dashboard'!$H$4="All",K1139='Dashboard'!$H$4)),1,0)</x:f>
        <x:v>1</x:v>
      </x:c>
    </x:row>
    <x:row r="1140">
      <x:c r="A1140" s="84" t="str">
        <x:f>'Raw Sales'!A1140</x:f>
        <x:v>ORD-2025-00284</x:v>
      </x:c>
      <x:c r="B1140" s="85" t="n">
        <x:f>'Raw Sales'!B1140</x:f>
        <x:v>45660</x:v>
      </x:c>
      <x:c r="C1140" s="84" t="n">
        <x:f>YEAR(B1140)</x:f>
        <x:v>2025</x:v>
      </x:c>
      <x:c r="D1140" s="91" t="n">
        <x:f>DATE(YEAR(B1140),MONTH(B1140),1)</x:f>
        <x:v>45658</x:v>
      </x:c>
      <x:c r="E1140" s="84" t="str">
        <x:f>TEXT(B1140,"mmm")</x:f>
        <x:v>Jan</x:v>
      </x:c>
      <x:c r="F1140" s="84" t="str">
        <x:f>'Raw Sales'!C1140</x:f>
        <x:v>CUST-0171</x:v>
      </x:c>
      <x:c r="G1140" s="84" t="str">
        <x:f>PROPER(TRIM('Raw Sales'!D1140))</x:f>
        <x:v>Jonah Nelson</x:v>
      </x:c>
      <x:c r="H1140" s="84" t="str">
        <x:f>IF(TRIM('Raw Sales'!E1140)="","Unknown",PROPER(TRIM('Raw Sales'!E1140)))</x:f>
        <x:v>Small Business</x:v>
      </x:c>
      <x:c r="I1140" s="84" t="str">
        <x:f>PROPER(TRIM('Raw Sales'!F1140))</x:f>
        <x:v>Southeast</x:v>
      </x:c>
      <x:c r="J1140" s="84" t="str">
        <x:f>PROPER(TRIM('Raw Sales'!G1140))</x:f>
        <x:v>Atlanta</x:v>
      </x:c>
      <x:c r="K1140" s="84" t="str">
        <x:f>PROPER(TRIM('Raw Sales'!H1140))</x:f>
        <x:v>Online</x:v>
      </x:c>
      <x:c r="L1140" s="84" t="str">
        <x:f>'Raw Sales'!I1140</x:f>
        <x:v>ELEC-004</x:v>
      </x:c>
      <x:c r="M1140" s="84" t="str">
        <x:f>IFERROR(VLOOKUP(L1140,'Reference Data'!$A$5:$F$40,2,FALSE),"Unknown Product")</x:f>
        <x:v>Power Bank</x:v>
      </x:c>
      <x:c r="N1140" s="84" t="str">
        <x:f>IFERROR(VLOOKUP(L1140,'Reference Data'!$A$5:$F$40,3,FALSE),"Unknown")</x:f>
        <x:v>Electronics</x:v>
      </x:c>
      <x:c r="O1140" s="84" t="str">
        <x:f>IFERROR(VLOOKUP(L1140,'Reference Data'!$A$5:$F$40,4,FALSE),"Unknown")</x:f>
        <x:v>Mobile Accessories</x:v>
      </x:c>
      <x:c r="P1140" s="92" t="n">
        <x:f>IFERROR(VLOOKUP(L1140,'Reference Data'!$A$5:$F$40,5,FALSE),0)</x:f>
        <x:v>39</x:v>
      </x:c>
      <x:c r="Q1140" s="92" t="n">
        <x:f>IFERROR(VLOOKUP(L1140,'Reference Data'!$A$5:$F$40,6,FALSE),0)</x:f>
        <x:v>18</x:v>
      </x:c>
      <x:c r="R1140" s="84" t="n">
        <x:f>'Raw Sales'!J1140</x:f>
        <x:v>1</x:v>
      </x:c>
      <x:c r="S1140" s="87" t="n">
        <x:f>'Raw Sales'!K1140</x:f>
        <x:v>0.05</x:v>
      </x:c>
      <x:c r="T1140" s="93" t="n">
        <x:f>P1140*R1140</x:f>
        <x:v>39</x:v>
      </x:c>
      <x:c r="U1140" s="93" t="n">
        <x:f>T1140*S1140</x:f>
        <x:v>1.9500000000000002</x:v>
      </x:c>
      <x:c r="V1140" s="93" t="str">
        <x:f>PROPER(TRIM('Raw Sales'!L1140))</x:f>
        <x:v>Completed</x:v>
      </x:c>
      <x:c r="W1140" s="93" t="n">
        <x:f>IF(V1140="Returned",0,T1140-U1140)</x:f>
        <x:v>37.05</x:v>
      </x:c>
      <x:c r="X1140" s="93" t="n">
        <x:f>IF(V1140="Returned",Q1140*R1140*10%,Q1140*R1140)</x:f>
        <x:v>18</x:v>
      </x:c>
      <x:c r="Y1140" s="93" t="n">
        <x:f>W1140-X1140</x:f>
        <x:v>19.049999999999997</x:v>
      </x:c>
      <x:c r="Z1140" s="94" t="n">
        <x:f>IFERROR(Y1140/W1140,0)</x:f>
        <x:v>0.5141700404858299</x:v>
      </x:c>
      <x:c r="AA1140" s="84" t="str">
        <x:f>PROPER(TRIM('Raw Sales'!M1140))</x:f>
        <x:v>Debit Card</x:v>
      </x:c>
      <x:c r="AB1140" s="84" t="str">
        <x:f>PROPER(TRIM('Raw Sales'!N1140))</x:f>
        <x:v>Noah Reed</x:v>
      </x:c>
      <x:c r="AC1140" s="85" t="n">
        <x:f>'Raw Sales'!O1140</x:f>
        <x:v>45664</x:v>
      </x:c>
      <x:c r="AD1140" s="84" t="n">
        <x:f>AC1140-B1140</x:f>
        <x:v>4</x:v>
      </x:c>
      <x:c r="AE1140" s="84" t="str">
        <x:f>IF(COUNTIF($A$5:A1140,A1140)&gt;1,"Duplicate","Keep")</x:f>
        <x:v>Keep</x:v>
      </x:c>
      <x:c r="AF1140" s="84" t="str">
        <x:f>IF(OR(R1140&lt;=0,AC1140&lt;B1140,H1140="Unknown",M1140="Unknown Product"),"Review","Valid")</x:f>
        <x:v>Valid</x:v>
      </x:c>
      <x:c r="AG1140" s="84" t="n">
        <x:f>IF(AND(AE1140="Keep",AF1140="Valid"),1,0)</x:f>
        <x:v>1</x:v>
      </x:c>
      <x:c r="AH1140" s="84" t="n">
        <x:f>IF(AND(AG1140=1,OR('Dashboard'!$B$4="All",I1140='Dashboard'!$B$4),OR('Dashboard'!$E$4="All",N1140='Dashboard'!$E$4),OR('Dashboard'!$H$4="All",K1140='Dashboard'!$H$4),OR('Dashboard'!$K$4="All",C1140='Dashboard'!$K$4)),1,0)</x:f>
        <x:v>1</x:v>
      </x:c>
      <x:c r="AI1140" s="84" t="n">
        <x:f>IF(AND(AG1140=1,OR('Dashboard'!$B$4="All",I1140='Dashboard'!$B$4),OR('Dashboard'!$E$4="All",N1140='Dashboard'!$E$4),OR('Dashboard'!$H$4="All",K1140='Dashboard'!$H$4)),1,0)</x:f>
        <x:v>1</x:v>
      </x:c>
    </x:row>
    <x:row r="1141">
      <x:c r="A1141" s="84" t="str">
        <x:f>'Raw Sales'!A1141</x:f>
        <x:v>ORD-2025-01357</x:v>
      </x:c>
      <x:c r="B1141" s="85" t="n">
        <x:f>'Raw Sales'!B1141</x:f>
        <x:v>45660</x:v>
      </x:c>
      <x:c r="C1141" s="84" t="n">
        <x:f>YEAR(B1141)</x:f>
        <x:v>2025</x:v>
      </x:c>
      <x:c r="D1141" s="91" t="n">
        <x:f>DATE(YEAR(B1141),MONTH(B1141),1)</x:f>
        <x:v>45658</x:v>
      </x:c>
      <x:c r="E1141" s="84" t="str">
        <x:f>TEXT(B1141,"mmm")</x:f>
        <x:v>Jan</x:v>
      </x:c>
      <x:c r="F1141" s="84" t="str">
        <x:f>'Raw Sales'!C1141</x:f>
        <x:v>CUST-0085</x:v>
      </x:c>
      <x:c r="G1141" s="84" t="str">
        <x:f>PROPER(TRIM('Raw Sales'!D1141))</x:f>
        <x:v>Amelia Adams</x:v>
      </x:c>
      <x:c r="H1141" s="84" t="str">
        <x:f>IF(TRIM('Raw Sales'!E1141)="","Unknown",PROPER(TRIM('Raw Sales'!E1141)))</x:f>
        <x:v>Small Business</x:v>
      </x:c>
      <x:c r="I1141" s="84" t="str">
        <x:f>PROPER(TRIM('Raw Sales'!F1141))</x:f>
        <x:v>West</x:v>
      </x:c>
      <x:c r="J1141" s="84" t="str">
        <x:f>PROPER(TRIM('Raw Sales'!G1141))</x:f>
        <x:v>Phoenix</x:v>
      </x:c>
      <x:c r="K1141" s="84" t="str">
        <x:f>PROPER(TRIM('Raw Sales'!H1141))</x:f>
        <x:v>Online</x:v>
      </x:c>
      <x:c r="L1141" s="84" t="str">
        <x:f>'Raw Sales'!I1141</x:f>
        <x:v>OFFC-002</x:v>
      </x:c>
      <x:c r="M1141" s="84" t="str">
        <x:f>IFERROR(VLOOKUP(L1141,'Reference Data'!$A$5:$F$40,2,FALSE),"Unknown Product")</x:f>
        <x:v>Standing Desk</x:v>
      </x:c>
      <x:c r="N1141" s="84" t="str">
        <x:f>IFERROR(VLOOKUP(L1141,'Reference Data'!$A$5:$F$40,3,FALSE),"Unknown")</x:f>
        <x:v>Office</x:v>
      </x:c>
      <x:c r="O1141" s="84" t="str">
        <x:f>IFERROR(VLOOKUP(L1141,'Reference Data'!$A$5:$F$40,4,FALSE),"Unknown")</x:f>
        <x:v>Furniture</x:v>
      </x:c>
      <x:c r="P1141" s="92" t="n">
        <x:f>IFERROR(VLOOKUP(L1141,'Reference Data'!$A$5:$F$40,5,FALSE),0)</x:f>
        <x:v>399</x:v>
      </x:c>
      <x:c r="Q1141" s="92" t="n">
        <x:f>IFERROR(VLOOKUP(L1141,'Reference Data'!$A$5:$F$40,6,FALSE),0)</x:f>
        <x:v>235</x:v>
      </x:c>
      <x:c r="R1141" s="84" t="n">
        <x:f>'Raw Sales'!J1141</x:f>
        <x:v>3</x:v>
      </x:c>
      <x:c r="S1141" s="87" t="n">
        <x:f>'Raw Sales'!K1141</x:f>
        <x:v>0.15</x:v>
      </x:c>
      <x:c r="T1141" s="93" t="n">
        <x:f>P1141*R1141</x:f>
        <x:v>1197</x:v>
      </x:c>
      <x:c r="U1141" s="93" t="n">
        <x:f>T1141*S1141</x:f>
        <x:v>179.54999999999998</x:v>
      </x:c>
      <x:c r="V1141" s="93" t="str">
        <x:f>PROPER(TRIM('Raw Sales'!L1141))</x:f>
        <x:v>Completed</x:v>
      </x:c>
      <x:c r="W1141" s="93" t="n">
        <x:f>IF(V1141="Returned",0,T1141-U1141)</x:f>
        <x:v>1017.45</x:v>
      </x:c>
      <x:c r="X1141" s="93" t="n">
        <x:f>IF(V1141="Returned",Q1141*R1141*10%,Q1141*R1141)</x:f>
        <x:v>705</x:v>
      </x:c>
      <x:c r="Y1141" s="93" t="n">
        <x:f>W1141-X1141</x:f>
        <x:v>312.45000000000005</x:v>
      </x:c>
      <x:c r="Z1141" s="94" t="n">
        <x:f>IFERROR(Y1141/W1141,0)</x:f>
        <x:v>0.30709125755565386</x:v>
      </x:c>
      <x:c r="AA1141" s="84" t="str">
        <x:f>PROPER(TRIM('Raw Sales'!M1141))</x:f>
        <x:v>Mobile Wallet</x:v>
      </x:c>
      <x:c r="AB1141" s="84" t="str">
        <x:f>PROPER(TRIM('Raw Sales'!N1141))</x:f>
        <x:v>Nora Kim</x:v>
      </x:c>
      <x:c r="AC1141" s="85" t="n">
        <x:f>'Raw Sales'!O1141</x:f>
        <x:v>45665</x:v>
      </x:c>
      <x:c r="AD1141" s="84" t="n">
        <x:f>AC1141-B1141</x:f>
        <x:v>5</x:v>
      </x:c>
      <x:c r="AE1141" s="84" t="str">
        <x:f>IF(COUNTIF($A$5:A1141,A1141)&gt;1,"Duplicate","Keep")</x:f>
        <x:v>Keep</x:v>
      </x:c>
      <x:c r="AF1141" s="84" t="str">
        <x:f>IF(OR(R1141&lt;=0,AC1141&lt;B1141,H1141="Unknown",M1141="Unknown Product"),"Review","Valid")</x:f>
        <x:v>Valid</x:v>
      </x:c>
      <x:c r="AG1141" s="84" t="n">
        <x:f>IF(AND(AE1141="Keep",AF1141="Valid"),1,0)</x:f>
        <x:v>1</x:v>
      </x:c>
      <x:c r="AH1141" s="84" t="n">
        <x:f>IF(AND(AG1141=1,OR('Dashboard'!$B$4="All",I1141='Dashboard'!$B$4),OR('Dashboard'!$E$4="All",N1141='Dashboard'!$E$4),OR('Dashboard'!$H$4="All",K1141='Dashboard'!$H$4),OR('Dashboard'!$K$4="All",C1141='Dashboard'!$K$4)),1,0)</x:f>
        <x:v>1</x:v>
      </x:c>
      <x:c r="AI1141" s="84" t="n">
        <x:f>IF(AND(AG1141=1,OR('Dashboard'!$B$4="All",I1141='Dashboard'!$B$4),OR('Dashboard'!$E$4="All",N1141='Dashboard'!$E$4),OR('Dashboard'!$H$4="All",K1141='Dashboard'!$H$4)),1,0)</x:f>
        <x:v>1</x:v>
      </x:c>
    </x:row>
    <x:row r="1142">
      <x:c r="A1142" s="84" t="str">
        <x:f>'Raw Sales'!A1142</x:f>
        <x:v>ORD-2025-01376</x:v>
      </x:c>
      <x:c r="B1142" s="85" t="n">
        <x:f>'Raw Sales'!B1142</x:f>
        <x:v>45662</x:v>
      </x:c>
      <x:c r="C1142" s="84" t="n">
        <x:f>YEAR(B1142)</x:f>
        <x:v>2025</x:v>
      </x:c>
      <x:c r="D1142" s="91" t="n">
        <x:f>DATE(YEAR(B1142),MONTH(B1142),1)</x:f>
        <x:v>45658</x:v>
      </x:c>
      <x:c r="E1142" s="84" t="str">
        <x:f>TEXT(B1142,"mmm")</x:f>
        <x:v>Jan</x:v>
      </x:c>
      <x:c r="F1142" s="84" t="str">
        <x:f>'Raw Sales'!C1142</x:f>
        <x:v>CUST-0230</x:v>
      </x:c>
      <x:c r="G1142" s="84" t="str">
        <x:f>PROPER(TRIM('Raw Sales'!D1142))</x:f>
        <x:v>Elias Evans</x:v>
      </x:c>
      <x:c r="H1142" s="84" t="str">
        <x:f>IF(TRIM('Raw Sales'!E1142)="","Unknown",PROPER(TRIM('Raw Sales'!E1142)))</x:f>
        <x:v>Small Business</x:v>
      </x:c>
      <x:c r="I1142" s="84" t="str">
        <x:f>PROPER(TRIM('Raw Sales'!F1142))</x:f>
        <x:v>Southeast</x:v>
      </x:c>
      <x:c r="J1142" s="84" t="str">
        <x:f>PROPER(TRIM('Raw Sales'!G1142))</x:f>
        <x:v>Miami</x:v>
      </x:c>
      <x:c r="K1142" s="84" t="str">
        <x:f>PROPER(TRIM('Raw Sales'!H1142))</x:f>
        <x:v>Online</x:v>
      </x:c>
      <x:c r="L1142" s="84" t="str">
        <x:f>'Raw Sales'!I1142</x:f>
        <x:v>HOME-003</x:v>
      </x:c>
      <x:c r="M1142" s="84" t="str">
        <x:f>IFERROR(VLOOKUP(L1142,'Reference Data'!$A$5:$F$40,2,FALSE),"Unknown Product")</x:f>
        <x:v>Countertop Blender</x:v>
      </x:c>
      <x:c r="N1142" s="84" t="str">
        <x:f>IFERROR(VLOOKUP(L1142,'Reference Data'!$A$5:$F$40,3,FALSE),"Unknown")</x:f>
        <x:v>Home &amp; Kitchen</x:v>
      </x:c>
      <x:c r="O1142" s="84" t="str">
        <x:f>IFERROR(VLOOKUP(L1142,'Reference Data'!$A$5:$F$40,4,FALSE),"Unknown")</x:f>
        <x:v>Small Appliances</x:v>
      </x:c>
      <x:c r="P1142" s="92" t="n">
        <x:f>IFERROR(VLOOKUP(L1142,'Reference Data'!$A$5:$F$40,5,FALSE),0)</x:f>
        <x:v>89</x:v>
      </x:c>
      <x:c r="Q1142" s="92" t="n">
        <x:f>IFERROR(VLOOKUP(L1142,'Reference Data'!$A$5:$F$40,6,FALSE),0)</x:f>
        <x:v>46</x:v>
      </x:c>
      <x:c r="R1142" s="84" t="n">
        <x:f>'Raw Sales'!J1142</x:f>
        <x:v>1</x:v>
      </x:c>
      <x:c r="S1142" s="87" t="n">
        <x:f>'Raw Sales'!K1142</x:f>
        <x:v>0</x:v>
      </x:c>
      <x:c r="T1142" s="93" t="n">
        <x:f>P1142*R1142</x:f>
        <x:v>89</x:v>
      </x:c>
      <x:c r="U1142" s="93" t="n">
        <x:f>T1142*S1142</x:f>
        <x:v>0</x:v>
      </x:c>
      <x:c r="V1142" s="93" t="str">
        <x:f>PROPER(TRIM('Raw Sales'!L1142))</x:f>
        <x:v>Completed</x:v>
      </x:c>
      <x:c r="W1142" s="93" t="n">
        <x:f>IF(V1142="Returned",0,T1142-U1142)</x:f>
        <x:v>89</x:v>
      </x:c>
      <x:c r="X1142" s="93" t="n">
        <x:f>IF(V1142="Returned",Q1142*R1142*10%,Q1142*R1142)</x:f>
        <x:v>46</x:v>
      </x:c>
      <x:c r="Y1142" s="93" t="n">
        <x:f>W1142-X1142</x:f>
        <x:v>43</x:v>
      </x:c>
      <x:c r="Z1142" s="94" t="n">
        <x:f>IFERROR(Y1142/W1142,0)</x:f>
        <x:v>0.48314606741573035</x:v>
      </x:c>
      <x:c r="AA1142" s="84" t="str">
        <x:f>PROPER(TRIM('Raw Sales'!M1142))</x:f>
        <x:v>Debit Card</x:v>
      </x:c>
      <x:c r="AB1142" s="84" t="str">
        <x:f>PROPER(TRIM('Raw Sales'!N1142))</x:f>
        <x:v>Noah Reed</x:v>
      </x:c>
      <x:c r="AC1142" s="85" t="n">
        <x:f>'Raw Sales'!O1142</x:f>
        <x:v>45666</x:v>
      </x:c>
      <x:c r="AD1142" s="84" t="n">
        <x:f>AC1142-B1142</x:f>
        <x:v>4</x:v>
      </x:c>
      <x:c r="AE1142" s="84" t="str">
        <x:f>IF(COUNTIF($A$5:A1142,A1142)&gt;1,"Duplicate","Keep")</x:f>
        <x:v>Keep</x:v>
      </x:c>
      <x:c r="AF1142" s="84" t="str">
        <x:f>IF(OR(R1142&lt;=0,AC1142&lt;B1142,H1142="Unknown",M1142="Unknown Product"),"Review","Valid")</x:f>
        <x:v>Valid</x:v>
      </x:c>
      <x:c r="AG1142" s="84" t="n">
        <x:f>IF(AND(AE1142="Keep",AF1142="Valid"),1,0)</x:f>
        <x:v>1</x:v>
      </x:c>
      <x:c r="AH1142" s="84" t="n">
        <x:f>IF(AND(AG1142=1,OR('Dashboard'!$B$4="All",I1142='Dashboard'!$B$4),OR('Dashboard'!$E$4="All",N1142='Dashboard'!$E$4),OR('Dashboard'!$H$4="All",K1142='Dashboard'!$H$4),OR('Dashboard'!$K$4="All",C1142='Dashboard'!$K$4)),1,0)</x:f>
        <x:v>1</x:v>
      </x:c>
      <x:c r="AI1142" s="84" t="n">
        <x:f>IF(AND(AG1142=1,OR('Dashboard'!$B$4="All",I1142='Dashboard'!$B$4),OR('Dashboard'!$E$4="All",N1142='Dashboard'!$E$4),OR('Dashboard'!$H$4="All",K1142='Dashboard'!$H$4)),1,0)</x:f>
        <x:v>1</x:v>
      </x:c>
    </x:row>
    <x:row r="1143">
      <x:c r="A1143" s="84" t="str">
        <x:f>'Raw Sales'!A1143</x:f>
        <x:v>ORD-2025-01476</x:v>
      </x:c>
      <x:c r="B1143" s="85" t="n">
        <x:f>'Raw Sales'!B1143</x:f>
        <x:v>45662</x:v>
      </x:c>
      <x:c r="C1143" s="84" t="n">
        <x:f>YEAR(B1143)</x:f>
        <x:v>2025</x:v>
      </x:c>
      <x:c r="D1143" s="91" t="n">
        <x:f>DATE(YEAR(B1143),MONTH(B1143),1)</x:f>
        <x:v>45658</x:v>
      </x:c>
      <x:c r="E1143" s="84" t="str">
        <x:f>TEXT(B1143,"mmm")</x:f>
        <x:v>Jan</x:v>
      </x:c>
      <x:c r="F1143" s="84" t="str">
        <x:f>'Raw Sales'!C1143</x:f>
        <x:v>CUST-0415</x:v>
      </x:c>
      <x:c r="G1143" s="84" t="str">
        <x:f>PROPER(TRIM('Raw Sales'!D1143))</x:f>
        <x:v>Zara Foster</x:v>
      </x:c>
      <x:c r="H1143" s="84" t="str">
        <x:f>IF(TRIM('Raw Sales'!E1143)="","Unknown",PROPER(TRIM('Raw Sales'!E1143)))</x:f>
        <x:v>Corporate</x:v>
      </x:c>
      <x:c r="I1143" s="84" t="str">
        <x:f>PROPER(TRIM('Raw Sales'!F1143))</x:f>
        <x:v>Southeast</x:v>
      </x:c>
      <x:c r="J1143" s="84" t="str">
        <x:f>PROPER(TRIM('Raw Sales'!G1143))</x:f>
        <x:v>Charlotte</x:v>
      </x:c>
      <x:c r="K1143" s="84" t="str">
        <x:f>PROPER(TRIM('Raw Sales'!H1143))</x:f>
        <x:v>Marketplace</x:v>
      </x:c>
      <x:c r="L1143" s="84" t="str">
        <x:f>'Raw Sales'!I1143</x:f>
        <x:v>HOME-003</x:v>
      </x:c>
      <x:c r="M1143" s="84" t="str">
        <x:f>IFERROR(VLOOKUP(L1143,'Reference Data'!$A$5:$F$40,2,FALSE),"Unknown Product")</x:f>
        <x:v>Countertop Blender</x:v>
      </x:c>
      <x:c r="N1143" s="84" t="str">
        <x:f>IFERROR(VLOOKUP(L1143,'Reference Data'!$A$5:$F$40,3,FALSE),"Unknown")</x:f>
        <x:v>Home &amp; Kitchen</x:v>
      </x:c>
      <x:c r="O1143" s="84" t="str">
        <x:f>IFERROR(VLOOKUP(L1143,'Reference Data'!$A$5:$F$40,4,FALSE),"Unknown")</x:f>
        <x:v>Small Appliances</x:v>
      </x:c>
      <x:c r="P1143" s="92" t="n">
        <x:f>IFERROR(VLOOKUP(L1143,'Reference Data'!$A$5:$F$40,5,FALSE),0)</x:f>
        <x:v>89</x:v>
      </x:c>
      <x:c r="Q1143" s="92" t="n">
        <x:f>IFERROR(VLOOKUP(L1143,'Reference Data'!$A$5:$F$40,6,FALSE),0)</x:f>
        <x:v>46</x:v>
      </x:c>
      <x:c r="R1143" s="84" t="n">
        <x:f>'Raw Sales'!J1143</x:f>
        <x:v>5</x:v>
      </x:c>
      <x:c r="S1143" s="87" t="n">
        <x:f>'Raw Sales'!K1143</x:f>
        <x:v>0</x:v>
      </x:c>
      <x:c r="T1143" s="93" t="n">
        <x:f>P1143*R1143</x:f>
        <x:v>445</x:v>
      </x:c>
      <x:c r="U1143" s="93" t="n">
        <x:f>T1143*S1143</x:f>
        <x:v>0</x:v>
      </x:c>
      <x:c r="V1143" s="93" t="str">
        <x:f>PROPER(TRIM('Raw Sales'!L1143))</x:f>
        <x:v>Completed</x:v>
      </x:c>
      <x:c r="W1143" s="93" t="n">
        <x:f>IF(V1143="Returned",0,T1143-U1143)</x:f>
        <x:v>445</x:v>
      </x:c>
      <x:c r="X1143" s="93" t="n">
        <x:f>IF(V1143="Returned",Q1143*R1143*10%,Q1143*R1143)</x:f>
        <x:v>230</x:v>
      </x:c>
      <x:c r="Y1143" s="93" t="n">
        <x:f>W1143-X1143</x:f>
        <x:v>215</x:v>
      </x:c>
      <x:c r="Z1143" s="94" t="n">
        <x:f>IFERROR(Y1143/W1143,0)</x:f>
        <x:v>0.48314606741573035</x:v>
      </x:c>
      <x:c r="AA1143" s="84" t="str">
        <x:f>PROPER(TRIM('Raw Sales'!M1143))</x:f>
        <x:v>Credit Card</x:v>
      </x:c>
      <x:c r="AB1143" s="84" t="str">
        <x:f>PROPER(TRIM('Raw Sales'!N1143))</x:f>
        <x:v>Ava Mitchell</x:v>
      </x:c>
      <x:c r="AC1143" s="85" t="n">
        <x:f>'Raw Sales'!O1143</x:f>
        <x:v>45667</x:v>
      </x:c>
      <x:c r="AD1143" s="84" t="n">
        <x:f>AC1143-B1143</x:f>
        <x:v>5</x:v>
      </x:c>
      <x:c r="AE1143" s="84" t="str">
        <x:f>IF(COUNTIF($A$5:A1143,A1143)&gt;1,"Duplicate","Keep")</x:f>
        <x:v>Keep</x:v>
      </x:c>
      <x:c r="AF1143" s="84" t="str">
        <x:f>IF(OR(R1143&lt;=0,AC1143&lt;B1143,H1143="Unknown",M1143="Unknown Product"),"Review","Valid")</x:f>
        <x:v>Valid</x:v>
      </x:c>
      <x:c r="AG1143" s="84" t="n">
        <x:f>IF(AND(AE1143="Keep",AF1143="Valid"),1,0)</x:f>
        <x:v>1</x:v>
      </x:c>
      <x:c r="AH1143" s="84" t="n">
        <x:f>IF(AND(AG1143=1,OR('Dashboard'!$B$4="All",I1143='Dashboard'!$B$4),OR('Dashboard'!$E$4="All",N1143='Dashboard'!$E$4),OR('Dashboard'!$H$4="All",K1143='Dashboard'!$H$4),OR('Dashboard'!$K$4="All",C1143='Dashboard'!$K$4)),1,0)</x:f>
        <x:v>1</x:v>
      </x:c>
      <x:c r="AI1143" s="84" t="n">
        <x:f>IF(AND(AG1143=1,OR('Dashboard'!$B$4="All",I1143='Dashboard'!$B$4),OR('Dashboard'!$E$4="All",N1143='Dashboard'!$E$4),OR('Dashboard'!$H$4="All",K1143='Dashboard'!$H$4)),1,0)</x:f>
        <x:v>1</x:v>
      </x:c>
    </x:row>
    <x:row r="1144">
      <x:c r="A1144" s="84" t="str">
        <x:f>'Raw Sales'!A1144</x:f>
        <x:v>ORD-2025-01553</x:v>
      </x:c>
      <x:c r="B1144" s="85" t="n">
        <x:f>'Raw Sales'!B1144</x:f>
        <x:v>45662</x:v>
      </x:c>
      <x:c r="C1144" s="84" t="n">
        <x:f>YEAR(B1144)</x:f>
        <x:v>2025</x:v>
      </x:c>
      <x:c r="D1144" s="91" t="n">
        <x:f>DATE(YEAR(B1144),MONTH(B1144),1)</x:f>
        <x:v>45658</x:v>
      </x:c>
      <x:c r="E1144" s="84" t="str">
        <x:f>TEXT(B1144,"mmm")</x:f>
        <x:v>Jan</x:v>
      </x:c>
      <x:c r="F1144" s="84" t="str">
        <x:f>'Raw Sales'!C1144</x:f>
        <x:v>CUST-0190</x:v>
      </x:c>
      <x:c r="G1144" s="84" t="str">
        <x:f>PROPER(TRIM('Raw Sales'!D1144))</x:f>
        <x:v>Samuel Evans</x:v>
      </x:c>
      <x:c r="H1144" s="84" t="str">
        <x:f>IF(TRIM('Raw Sales'!E1144)="","Unknown",PROPER(TRIM('Raw Sales'!E1144)))</x:f>
        <x:v>Consumer</x:v>
      </x:c>
      <x:c r="I1144" s="84" t="str">
        <x:f>PROPER(TRIM('Raw Sales'!F1144))</x:f>
        <x:v>Midwest</x:v>
      </x:c>
      <x:c r="J1144" s="84" t="str">
        <x:f>PROPER(TRIM('Raw Sales'!G1144))</x:f>
        <x:v>Detroit</x:v>
      </x:c>
      <x:c r="K1144" s="84" t="str">
        <x:f>PROPER(TRIM('Raw Sales'!H1144))</x:f>
        <x:v>Online</x:v>
      </x:c>
      <x:c r="L1144" s="84" t="str">
        <x:f>'Raw Sales'!I1144</x:f>
        <x:v>HOME-005</x:v>
      </x:c>
      <x:c r="M1144" s="84" t="str">
        <x:f>IFERROR(VLOOKUP(L1144,'Reference Data'!$A$5:$F$40,2,FALSE),"Unknown Product")</x:f>
        <x:v>Cordless Vacuum</x:v>
      </x:c>
      <x:c r="N1144" s="84" t="str">
        <x:f>IFERROR(VLOOKUP(L1144,'Reference Data'!$A$5:$F$40,3,FALSE),"Unknown")</x:f>
        <x:v>Home &amp; Kitchen</x:v>
      </x:c>
      <x:c r="O1144" s="84" t="str">
        <x:f>IFERROR(VLOOKUP(L1144,'Reference Data'!$A$5:$F$40,4,FALSE),"Unknown")</x:f>
        <x:v>Cleaning</x:v>
      </x:c>
      <x:c r="P1144" s="92" t="n">
        <x:f>IFERROR(VLOOKUP(L1144,'Reference Data'!$A$5:$F$40,5,FALSE),0)</x:f>
        <x:v>179</x:v>
      </x:c>
      <x:c r="Q1144" s="92" t="n">
        <x:f>IFERROR(VLOOKUP(L1144,'Reference Data'!$A$5:$F$40,6,FALSE),0)</x:f>
        <x:v>102</x:v>
      </x:c>
      <x:c r="R1144" s="84" t="n">
        <x:f>'Raw Sales'!J1144</x:f>
        <x:v>1</x:v>
      </x:c>
      <x:c r="S1144" s="87" t="n">
        <x:f>'Raw Sales'!K1144</x:f>
        <x:v>0</x:v>
      </x:c>
      <x:c r="T1144" s="93" t="n">
        <x:f>P1144*R1144</x:f>
        <x:v>179</x:v>
      </x:c>
      <x:c r="U1144" s="93" t="n">
        <x:f>T1144*S1144</x:f>
        <x:v>0</x:v>
      </x:c>
      <x:c r="V1144" s="93" t="str">
        <x:f>PROPER(TRIM('Raw Sales'!L1144))</x:f>
        <x:v>Completed</x:v>
      </x:c>
      <x:c r="W1144" s="93" t="n">
        <x:f>IF(V1144="Returned",0,T1144-U1144)</x:f>
        <x:v>179</x:v>
      </x:c>
      <x:c r="X1144" s="93" t="n">
        <x:f>IF(V1144="Returned",Q1144*R1144*10%,Q1144*R1144)</x:f>
        <x:v>102</x:v>
      </x:c>
      <x:c r="Y1144" s="93" t="n">
        <x:f>W1144-X1144</x:f>
        <x:v>77</x:v>
      </x:c>
      <x:c r="Z1144" s="94" t="n">
        <x:f>IFERROR(Y1144/W1144,0)</x:f>
        <x:v>0.4301675977653631</x:v>
      </x:c>
      <x:c r="AA1144" s="84" t="str">
        <x:f>PROPER(TRIM('Raw Sales'!M1144))</x:f>
        <x:v>Paypal</x:v>
      </x:c>
      <x:c r="AB1144" s="84" t="str">
        <x:f>PROPER(TRIM('Raw Sales'!N1144))</x:f>
        <x:v>Zoe Turner</x:v>
      </x:c>
      <x:c r="AC1144" s="85" t="n">
        <x:f>'Raw Sales'!O1144</x:f>
        <x:v>45664</x:v>
      </x:c>
      <x:c r="AD1144" s="84" t="n">
        <x:f>AC1144-B1144</x:f>
        <x:v>2</x:v>
      </x:c>
      <x:c r="AE1144" s="84" t="str">
        <x:f>IF(COUNTIF($A$5:A1144,A1144)&gt;1,"Duplicate","Keep")</x:f>
        <x:v>Keep</x:v>
      </x:c>
      <x:c r="AF1144" s="84" t="str">
        <x:f>IF(OR(R1144&lt;=0,AC1144&lt;B1144,H1144="Unknown",M1144="Unknown Product"),"Review","Valid")</x:f>
        <x:v>Valid</x:v>
      </x:c>
      <x:c r="AG1144" s="84" t="n">
        <x:f>IF(AND(AE1144="Keep",AF1144="Valid"),1,0)</x:f>
        <x:v>1</x:v>
      </x:c>
      <x:c r="AH1144" s="84" t="n">
        <x:f>IF(AND(AG1144=1,OR('Dashboard'!$B$4="All",I1144='Dashboard'!$B$4),OR('Dashboard'!$E$4="All",N1144='Dashboard'!$E$4),OR('Dashboard'!$H$4="All",K1144='Dashboard'!$H$4),OR('Dashboard'!$K$4="All",C1144='Dashboard'!$K$4)),1,0)</x:f>
        <x:v>1</x:v>
      </x:c>
      <x:c r="AI1144" s="84" t="n">
        <x:f>IF(AND(AG1144=1,OR('Dashboard'!$B$4="All",I1144='Dashboard'!$B$4),OR('Dashboard'!$E$4="All",N1144='Dashboard'!$E$4),OR('Dashboard'!$H$4="All",K1144='Dashboard'!$H$4)),1,0)</x:f>
        <x:v>1</x:v>
      </x:c>
    </x:row>
    <x:row r="1145">
      <x:c r="A1145" s="84" t="str">
        <x:f>'Raw Sales'!A1145</x:f>
        <x:v>ORD-2025-01775</x:v>
      </x:c>
      <x:c r="B1145" s="85" t="n">
        <x:f>'Raw Sales'!B1145</x:f>
        <x:v>45662</x:v>
      </x:c>
      <x:c r="C1145" s="84" t="n">
        <x:f>YEAR(B1145)</x:f>
        <x:v>2025</x:v>
      </x:c>
      <x:c r="D1145" s="91" t="n">
        <x:f>DATE(YEAR(B1145),MONTH(B1145),1)</x:f>
        <x:v>45658</x:v>
      </x:c>
      <x:c r="E1145" s="84" t="str">
        <x:f>TEXT(B1145,"mmm")</x:f>
        <x:v>Jan</x:v>
      </x:c>
      <x:c r="F1145" s="84" t="str">
        <x:f>'Raw Sales'!C1145</x:f>
        <x:v>CUST-0370</x:v>
      </x:c>
      <x:c r="G1145" s="84" t="str">
        <x:f>PROPER(TRIM('Raw Sales'!D1145))</x:f>
        <x:v>Aiden Moore</x:v>
      </x:c>
      <x:c r="H1145" s="84" t="str">
        <x:f>IF(TRIM('Raw Sales'!E1145)="","Unknown",PROPER(TRIM('Raw Sales'!E1145)))</x:f>
        <x:v>Small Business</x:v>
      </x:c>
      <x:c r="I1145" s="84" t="str">
        <x:f>PROPER(TRIM('Raw Sales'!F1145))</x:f>
        <x:v>West</x:v>
      </x:c>
      <x:c r="J1145" s="84" t="str">
        <x:f>PROPER(TRIM('Raw Sales'!G1145))</x:f>
        <x:v>Phoenix</x:v>
      </x:c>
      <x:c r="K1145" s="84" t="str">
        <x:f>PROPER(TRIM('Raw Sales'!H1145))</x:f>
        <x:v>Online</x:v>
      </x:c>
      <x:c r="L1145" s="84" t="str">
        <x:f>'Raw Sales'!I1145</x:f>
        <x:v>ACCS-002</x:v>
      </x:c>
      <x:c r="M1145" s="84" t="str">
        <x:f>IFERROR(VLOOKUP(L1145,'Reference Data'!$A$5:$F$40,2,FALSE),"Unknown Product")</x:f>
        <x:v>Travel Backpack</x:v>
      </x:c>
      <x:c r="N1145" s="84" t="str">
        <x:f>IFERROR(VLOOKUP(L1145,'Reference Data'!$A$5:$F$40,3,FALSE),"Unknown")</x:f>
        <x:v>Accessories</x:v>
      </x:c>
      <x:c r="O1145" s="84" t="str">
        <x:f>IFERROR(VLOOKUP(L1145,'Reference Data'!$A$5:$F$40,4,FALSE),"Unknown")</x:f>
        <x:v>Bags</x:v>
      </x:c>
      <x:c r="P1145" s="92" t="n">
        <x:f>IFERROR(VLOOKUP(L1145,'Reference Data'!$A$5:$F$40,5,FALSE),0)</x:f>
        <x:v>89</x:v>
      </x:c>
      <x:c r="Q1145" s="92" t="n">
        <x:f>IFERROR(VLOOKUP(L1145,'Reference Data'!$A$5:$F$40,6,FALSE),0)</x:f>
        <x:v>36</x:v>
      </x:c>
      <x:c r="R1145" s="84" t="n">
        <x:f>'Raw Sales'!J1145</x:f>
        <x:v>1</x:v>
      </x:c>
      <x:c r="S1145" s="87" t="n">
        <x:f>'Raw Sales'!K1145</x:f>
        <x:v>0</x:v>
      </x:c>
      <x:c r="T1145" s="93" t="n">
        <x:f>P1145*R1145</x:f>
        <x:v>89</x:v>
      </x:c>
      <x:c r="U1145" s="93" t="n">
        <x:f>T1145*S1145</x:f>
        <x:v>0</x:v>
      </x:c>
      <x:c r="V1145" s="93" t="str">
        <x:f>PROPER(TRIM('Raw Sales'!L1145))</x:f>
        <x:v>Completed</x:v>
      </x:c>
      <x:c r="W1145" s="93" t="n">
        <x:f>IF(V1145="Returned",0,T1145-U1145)</x:f>
        <x:v>89</x:v>
      </x:c>
      <x:c r="X1145" s="93" t="n">
        <x:f>IF(V1145="Returned",Q1145*R1145*10%,Q1145*R1145)</x:f>
        <x:v>36</x:v>
      </x:c>
      <x:c r="Y1145" s="93" t="n">
        <x:f>W1145-X1145</x:f>
        <x:v>53</x:v>
      </x:c>
      <x:c r="Z1145" s="94" t="n">
        <x:f>IFERROR(Y1145/W1145,0)</x:f>
        <x:v>0.5955056179775281</x:v>
      </x:c>
      <x:c r="AA1145" s="84" t="str">
        <x:f>PROPER(TRIM('Raw Sales'!M1145))</x:f>
        <x:v>Debit Card</x:v>
      </x:c>
      <x:c r="AB1145" s="84" t="str">
        <x:f>PROPER(TRIM('Raw Sales'!N1145))</x:f>
        <x:v>Mia Chen</x:v>
      </x:c>
      <x:c r="AC1145" s="85" t="n">
        <x:f>'Raw Sales'!O1145</x:f>
        <x:v>45666</x:v>
      </x:c>
      <x:c r="AD1145" s="84" t="n">
        <x:f>AC1145-B1145</x:f>
        <x:v>4</x:v>
      </x:c>
      <x:c r="AE1145" s="84" t="str">
        <x:f>IF(COUNTIF($A$5:A1145,A1145)&gt;1,"Duplicate","Keep")</x:f>
        <x:v>Keep</x:v>
      </x:c>
      <x:c r="AF1145" s="84" t="str">
        <x:f>IF(OR(R1145&lt;=0,AC1145&lt;B1145,H1145="Unknown",M1145="Unknown Product"),"Review","Valid")</x:f>
        <x:v>Valid</x:v>
      </x:c>
      <x:c r="AG1145" s="84" t="n">
        <x:f>IF(AND(AE1145="Keep",AF1145="Valid"),1,0)</x:f>
        <x:v>1</x:v>
      </x:c>
      <x:c r="AH1145" s="84" t="n">
        <x:f>IF(AND(AG1145=1,OR('Dashboard'!$B$4="All",I1145='Dashboard'!$B$4),OR('Dashboard'!$E$4="All",N1145='Dashboard'!$E$4),OR('Dashboard'!$H$4="All",K1145='Dashboard'!$H$4),OR('Dashboard'!$K$4="All",C1145='Dashboard'!$K$4)),1,0)</x:f>
        <x:v>1</x:v>
      </x:c>
      <x:c r="AI1145" s="84" t="n">
        <x:f>IF(AND(AG1145=1,OR('Dashboard'!$B$4="All",I1145='Dashboard'!$B$4),OR('Dashboard'!$E$4="All",N1145='Dashboard'!$E$4),OR('Dashboard'!$H$4="All",K1145='Dashboard'!$H$4)),1,0)</x:f>
        <x:v>1</x:v>
      </x:c>
    </x:row>
    <x:row r="1146">
      <x:c r="A1146" s="84" t="str">
        <x:f>'Raw Sales'!A1146</x:f>
        <x:v>ORD-2025-00113</x:v>
      </x:c>
      <x:c r="B1146" s="85" t="n">
        <x:f>'Raw Sales'!B1146</x:f>
        <x:v>45663</x:v>
      </x:c>
      <x:c r="C1146" s="84" t="n">
        <x:f>YEAR(B1146)</x:f>
        <x:v>2025</x:v>
      </x:c>
      <x:c r="D1146" s="91" t="n">
        <x:f>DATE(YEAR(B1146),MONTH(B1146),1)</x:f>
        <x:v>45658</x:v>
      </x:c>
      <x:c r="E1146" s="84" t="str">
        <x:f>TEXT(B1146,"mmm")</x:f>
        <x:v>Jan</x:v>
      </x:c>
      <x:c r="F1146" s="84" t="str">
        <x:f>'Raw Sales'!C1146</x:f>
        <x:v>CUST-0124</x:v>
      </x:c>
      <x:c r="G1146" s="84" t="str">
        <x:f>PROPER(TRIM('Raw Sales'!D1146))</x:f>
        <x:v>Priya Lewis</x:v>
      </x:c>
      <x:c r="H1146" s="84" t="str">
        <x:f>IF(TRIM('Raw Sales'!E1146)="","Unknown",PROPER(TRIM('Raw Sales'!E1146)))</x:f>
        <x:v>Consumer</x:v>
      </x:c>
      <x:c r="I1146" s="84" t="str">
        <x:f>PROPER(TRIM('Raw Sales'!F1146))</x:f>
        <x:v>Midwest</x:v>
      </x:c>
      <x:c r="J1146" s="84" t="str">
        <x:f>PROPER(TRIM('Raw Sales'!G1146))</x:f>
        <x:v>Chicago</x:v>
      </x:c>
      <x:c r="K1146" s="84" t="str">
        <x:f>PROPER(TRIM('Raw Sales'!H1146))</x:f>
        <x:v>Online</x:v>
      </x:c>
      <x:c r="L1146" s="84" t="str">
        <x:f>'Raw Sales'!I1146</x:f>
        <x:v>HOME-001</x:v>
      </x:c>
      <x:c r="M1146" s="84" t="str">
        <x:f>IFERROR(VLOOKUP(L1146,'Reference Data'!$A$5:$F$40,2,FALSE),"Unknown Product")</x:f>
        <x:v>Air Fryer</x:v>
      </x:c>
      <x:c r="N1146" s="84" t="str">
        <x:f>IFERROR(VLOOKUP(L1146,'Reference Data'!$A$5:$F$40,3,FALSE),"Unknown")</x:f>
        <x:v>Home &amp; Kitchen</x:v>
      </x:c>
      <x:c r="O1146" s="84" t="str">
        <x:f>IFERROR(VLOOKUP(L1146,'Reference Data'!$A$5:$F$40,4,FALSE),"Unknown")</x:f>
        <x:v>Small Appliances</x:v>
      </x:c>
      <x:c r="P1146" s="92" t="n">
        <x:f>IFERROR(VLOOKUP(L1146,'Reference Data'!$A$5:$F$40,5,FALSE),0)</x:f>
        <x:v>119</x:v>
      </x:c>
      <x:c r="Q1146" s="92" t="n">
        <x:f>IFERROR(VLOOKUP(L1146,'Reference Data'!$A$5:$F$40,6,FALSE),0)</x:f>
        <x:v>68</x:v>
      </x:c>
      <x:c r="R1146" s="84" t="n">
        <x:f>'Raw Sales'!J1146</x:f>
        <x:v>1</x:v>
      </x:c>
      <x:c r="S1146" s="87" t="n">
        <x:f>'Raw Sales'!K1146</x:f>
        <x:v>0.05</x:v>
      </x:c>
      <x:c r="T1146" s="93" t="n">
        <x:f>P1146*R1146</x:f>
        <x:v>119</x:v>
      </x:c>
      <x:c r="U1146" s="93" t="n">
        <x:f>T1146*S1146</x:f>
        <x:v>5.95</x:v>
      </x:c>
      <x:c r="V1146" s="93" t="str">
        <x:f>PROPER(TRIM('Raw Sales'!L1146))</x:f>
        <x:v>Completed</x:v>
      </x:c>
      <x:c r="W1146" s="93" t="n">
        <x:f>IF(V1146="Returned",0,T1146-U1146)</x:f>
        <x:v>113.05</x:v>
      </x:c>
      <x:c r="X1146" s="93" t="n">
        <x:f>IF(V1146="Returned",Q1146*R1146*10%,Q1146*R1146)</x:f>
        <x:v>68</x:v>
      </x:c>
      <x:c r="Y1146" s="93" t="n">
        <x:f>W1146-X1146</x:f>
        <x:v>45.05</x:v>
      </x:c>
      <x:c r="Z1146" s="94" t="n">
        <x:f>IFERROR(Y1146/W1146,0)</x:f>
        <x:v>0.39849624060150374</x:v>
      </x:c>
      <x:c r="AA1146" s="84" t="str">
        <x:f>PROPER(TRIM('Raw Sales'!M1146))</x:f>
        <x:v>Debit Card</x:v>
      </x:c>
      <x:c r="AB1146" s="84" t="str">
        <x:f>PROPER(TRIM('Raw Sales'!N1146))</x:f>
        <x:v>Lucas Grant</x:v>
      </x:c>
      <x:c r="AC1146" s="85" t="n">
        <x:f>'Raw Sales'!O1146</x:f>
        <x:v>45667</x:v>
      </x:c>
      <x:c r="AD1146" s="84" t="n">
        <x:f>AC1146-B1146</x:f>
        <x:v>4</x:v>
      </x:c>
      <x:c r="AE1146" s="84" t="str">
        <x:f>IF(COUNTIF($A$5:A1146,A1146)&gt;1,"Duplicate","Keep")</x:f>
        <x:v>Keep</x:v>
      </x:c>
      <x:c r="AF1146" s="84" t="str">
        <x:f>IF(OR(R1146&lt;=0,AC1146&lt;B1146,H1146="Unknown",M1146="Unknown Product"),"Review","Valid")</x:f>
        <x:v>Valid</x:v>
      </x:c>
      <x:c r="AG1146" s="84" t="n">
        <x:f>IF(AND(AE1146="Keep",AF1146="Valid"),1,0)</x:f>
        <x:v>1</x:v>
      </x:c>
      <x:c r="AH1146" s="84" t="n">
        <x:f>IF(AND(AG1146=1,OR('Dashboard'!$B$4="All",I1146='Dashboard'!$B$4),OR('Dashboard'!$E$4="All",N1146='Dashboard'!$E$4),OR('Dashboard'!$H$4="All",K1146='Dashboard'!$H$4),OR('Dashboard'!$K$4="All",C1146='Dashboard'!$K$4)),1,0)</x:f>
        <x:v>1</x:v>
      </x:c>
      <x:c r="AI1146" s="84" t="n">
        <x:f>IF(AND(AG1146=1,OR('Dashboard'!$B$4="All",I1146='Dashboard'!$B$4),OR('Dashboard'!$E$4="All",N1146='Dashboard'!$E$4),OR('Dashboard'!$H$4="All",K1146='Dashboard'!$H$4)),1,0)</x:f>
        <x:v>1</x:v>
      </x:c>
    </x:row>
    <x:row r="1147">
      <x:c r="A1147" s="84" t="str">
        <x:f>'Raw Sales'!A1147</x:f>
        <x:v>ORD-2025-00829</x:v>
      </x:c>
      <x:c r="B1147" s="85" t="n">
        <x:f>'Raw Sales'!B1147</x:f>
        <x:v>45664</x:v>
      </x:c>
      <x:c r="C1147" s="84" t="n">
        <x:f>YEAR(B1147)</x:f>
        <x:v>2025</x:v>
      </x:c>
      <x:c r="D1147" s="91" t="n">
        <x:f>DATE(YEAR(B1147),MONTH(B1147),1)</x:f>
        <x:v>45658</x:v>
      </x:c>
      <x:c r="E1147" s="84" t="str">
        <x:f>TEXT(B1147,"mmm")</x:f>
        <x:v>Jan</x:v>
      </x:c>
      <x:c r="F1147" s="84" t="str">
        <x:f>'Raw Sales'!C1147</x:f>
        <x:v>CUST-0087</x:v>
      </x:c>
      <x:c r="G1147" s="84" t="str">
        <x:f>PROPER(TRIM('Raw Sales'!D1147))</x:f>
        <x:v>Amelia Evans</x:v>
      </x:c>
      <x:c r="H1147" s="84" t="str">
        <x:f>IF(TRIM('Raw Sales'!E1147)="","Unknown",PROPER(TRIM('Raw Sales'!E1147)))</x:f>
        <x:v>Consumer</x:v>
      </x:c>
      <x:c r="I1147" s="84" t="str">
        <x:f>PROPER(TRIM('Raw Sales'!F1147))</x:f>
        <x:v>West</x:v>
      </x:c>
      <x:c r="J1147" s="84" t="str">
        <x:f>PROPER(TRIM('Raw Sales'!G1147))</x:f>
        <x:v>Los Angeles</x:v>
      </x:c>
      <x:c r="K1147" s="84" t="str">
        <x:f>PROPER(TRIM('Raw Sales'!H1147))</x:f>
        <x:v>Retail Store</x:v>
      </x:c>
      <x:c r="L1147" s="84" t="str">
        <x:f>'Raw Sales'!I1147</x:f>
        <x:v>FITN-002</x:v>
      </x:c>
      <x:c r="M1147" s="84" t="str">
        <x:f>IFERROR(VLOOKUP(L1147,'Reference Data'!$A$5:$F$40,2,FALSE),"Unknown Product")</x:f>
        <x:v>Adjustable Dumbbell Set</x:v>
      </x:c>
      <x:c r="N1147" s="84" t="str">
        <x:f>IFERROR(VLOOKUP(L1147,'Reference Data'!$A$5:$F$40,3,FALSE),"Unknown")</x:f>
        <x:v>Fitness</x:v>
      </x:c>
      <x:c r="O1147" s="84" t="str">
        <x:f>IFERROR(VLOOKUP(L1147,'Reference Data'!$A$5:$F$40,4,FALSE),"Unknown")</x:f>
        <x:v>Strength</x:v>
      </x:c>
      <x:c r="P1147" s="92" t="n">
        <x:f>IFERROR(VLOOKUP(L1147,'Reference Data'!$A$5:$F$40,5,FALSE),0)</x:f>
        <x:v>99</x:v>
      </x:c>
      <x:c r="Q1147" s="92" t="n">
        <x:f>IFERROR(VLOOKUP(L1147,'Reference Data'!$A$5:$F$40,6,FALSE),0)</x:f>
        <x:v>57</x:v>
      </x:c>
      <x:c r="R1147" s="84" t="n">
        <x:f>'Raw Sales'!J1147</x:f>
        <x:v>2</x:v>
      </x:c>
      <x:c r="S1147" s="87" t="n">
        <x:f>'Raw Sales'!K1147</x:f>
        <x:v>0.05</x:v>
      </x:c>
      <x:c r="T1147" s="93" t="n">
        <x:f>P1147*R1147</x:f>
        <x:v>198</x:v>
      </x:c>
      <x:c r="U1147" s="93" t="n">
        <x:f>T1147*S1147</x:f>
        <x:v>9.9</x:v>
      </x:c>
      <x:c r="V1147" s="93" t="str">
        <x:f>PROPER(TRIM('Raw Sales'!L1147))</x:f>
        <x:v>Completed</x:v>
      </x:c>
      <x:c r="W1147" s="93" t="n">
        <x:f>IF(V1147="Returned",0,T1147-U1147)</x:f>
        <x:v>188.1</x:v>
      </x:c>
      <x:c r="X1147" s="93" t="n">
        <x:f>IF(V1147="Returned",Q1147*R1147*10%,Q1147*R1147)</x:f>
        <x:v>114</x:v>
      </x:c>
      <x:c r="Y1147" s="93" t="n">
        <x:f>W1147-X1147</x:f>
        <x:v>74.1</x:v>
      </x:c>
      <x:c r="Z1147" s="94" t="n">
        <x:f>IFERROR(Y1147/W1147,0)</x:f>
        <x:v>0.3939393939393939</x:v>
      </x:c>
      <x:c r="AA1147" s="84" t="str">
        <x:f>PROPER(TRIM('Raw Sales'!M1147))</x:f>
        <x:v>Cash</x:v>
      </x:c>
      <x:c r="AB1147" s="84" t="str">
        <x:f>PROPER(TRIM('Raw Sales'!N1147))</x:f>
        <x:v>Leo Martinez</x:v>
      </x:c>
      <x:c r="AC1147" s="85" t="n">
        <x:f>'Raw Sales'!O1147</x:f>
        <x:v>45664</x:v>
      </x:c>
      <x:c r="AD1147" s="84" t="n">
        <x:f>AC1147-B1147</x:f>
        <x:v>0</x:v>
      </x:c>
      <x:c r="AE1147" s="84" t="str">
        <x:f>IF(COUNTIF($A$5:A1147,A1147)&gt;1,"Duplicate","Keep")</x:f>
        <x:v>Keep</x:v>
      </x:c>
      <x:c r="AF1147" s="84" t="str">
        <x:f>IF(OR(R1147&lt;=0,AC1147&lt;B1147,H1147="Unknown",M1147="Unknown Product"),"Review","Valid")</x:f>
        <x:v>Valid</x:v>
      </x:c>
      <x:c r="AG1147" s="84" t="n">
        <x:f>IF(AND(AE1147="Keep",AF1147="Valid"),1,0)</x:f>
        <x:v>1</x:v>
      </x:c>
      <x:c r="AH1147" s="84" t="n">
        <x:f>IF(AND(AG1147=1,OR('Dashboard'!$B$4="All",I1147='Dashboard'!$B$4),OR('Dashboard'!$E$4="All",N1147='Dashboard'!$E$4),OR('Dashboard'!$H$4="All",K1147='Dashboard'!$H$4),OR('Dashboard'!$K$4="All",C1147='Dashboard'!$K$4)),1,0)</x:f>
        <x:v>1</x:v>
      </x:c>
      <x:c r="AI1147" s="84" t="n">
        <x:f>IF(AND(AG1147=1,OR('Dashboard'!$B$4="All",I1147='Dashboard'!$B$4),OR('Dashboard'!$E$4="All",N1147='Dashboard'!$E$4),OR('Dashboard'!$H$4="All",K1147='Dashboard'!$H$4)),1,0)</x:f>
        <x:v>1</x:v>
      </x:c>
    </x:row>
    <x:row r="1148">
      <x:c r="A1148" s="84" t="str">
        <x:f>'Raw Sales'!A1148</x:f>
        <x:v>ORD-2025-01692</x:v>
      </x:c>
      <x:c r="B1148" s="85" t="n">
        <x:f>'Raw Sales'!B1148</x:f>
        <x:v>45664</x:v>
      </x:c>
      <x:c r="C1148" s="84" t="n">
        <x:f>YEAR(B1148)</x:f>
        <x:v>2025</x:v>
      </x:c>
      <x:c r="D1148" s="91" t="n">
        <x:f>DATE(YEAR(B1148),MONTH(B1148),1)</x:f>
        <x:v>45658</x:v>
      </x:c>
      <x:c r="E1148" s="84" t="str">
        <x:f>TEXT(B1148,"mmm")</x:f>
        <x:v>Jan</x:v>
      </x:c>
      <x:c r="F1148" s="84" t="str">
        <x:f>'Raw Sales'!C1148</x:f>
        <x:v>CUST-0595</x:v>
      </x:c>
      <x:c r="G1148" s="84" t="str">
        <x:f>PROPER(TRIM('Raw Sales'!D1148))</x:f>
        <x:v>Daniel Evans</x:v>
      </x:c>
      <x:c r="H1148" s="84" t="str">
        <x:f>IF(TRIM('Raw Sales'!E1148)="","Unknown",PROPER(TRIM('Raw Sales'!E1148)))</x:f>
        <x:v>Corporate</x:v>
      </x:c>
      <x:c r="I1148" s="84" t="str">
        <x:f>PROPER(TRIM('Raw Sales'!F1148))</x:f>
        <x:v>Northeast</x:v>
      </x:c>
      <x:c r="J1148" s="84" t="str">
        <x:f>PROPER(TRIM('Raw Sales'!G1148))</x:f>
        <x:v>Newark</x:v>
      </x:c>
      <x:c r="K1148" s="84" t="str">
        <x:f>PROPER(TRIM('Raw Sales'!H1148))</x:f>
        <x:v>Online</x:v>
      </x:c>
      <x:c r="L1148" s="84" t="str">
        <x:f>'Raw Sales'!I1148</x:f>
        <x:v>FITN-002</x:v>
      </x:c>
      <x:c r="M1148" s="84" t="str">
        <x:f>IFERROR(VLOOKUP(L1148,'Reference Data'!$A$5:$F$40,2,FALSE),"Unknown Product")</x:f>
        <x:v>Adjustable Dumbbell Set</x:v>
      </x:c>
      <x:c r="N1148" s="84" t="str">
        <x:f>IFERROR(VLOOKUP(L1148,'Reference Data'!$A$5:$F$40,3,FALSE),"Unknown")</x:f>
        <x:v>Fitness</x:v>
      </x:c>
      <x:c r="O1148" s="84" t="str">
        <x:f>IFERROR(VLOOKUP(L1148,'Reference Data'!$A$5:$F$40,4,FALSE),"Unknown")</x:f>
        <x:v>Strength</x:v>
      </x:c>
      <x:c r="P1148" s="92" t="n">
        <x:f>IFERROR(VLOOKUP(L1148,'Reference Data'!$A$5:$F$40,5,FALSE),0)</x:f>
        <x:v>99</x:v>
      </x:c>
      <x:c r="Q1148" s="92" t="n">
        <x:f>IFERROR(VLOOKUP(L1148,'Reference Data'!$A$5:$F$40,6,FALSE),0)</x:f>
        <x:v>57</x:v>
      </x:c>
      <x:c r="R1148" s="84" t="n">
        <x:f>'Raw Sales'!J1148</x:f>
        <x:v>1</x:v>
      </x:c>
      <x:c r="S1148" s="87" t="n">
        <x:f>'Raw Sales'!K1148</x:f>
        <x:v>0.1</x:v>
      </x:c>
      <x:c r="T1148" s="93" t="n">
        <x:f>P1148*R1148</x:f>
        <x:v>99</x:v>
      </x:c>
      <x:c r="U1148" s="93" t="n">
        <x:f>T1148*S1148</x:f>
        <x:v>9.9</x:v>
      </x:c>
      <x:c r="V1148" s="93" t="str">
        <x:f>PROPER(TRIM('Raw Sales'!L1148))</x:f>
        <x:v>Completed</x:v>
      </x:c>
      <x:c r="W1148" s="93" t="n">
        <x:f>IF(V1148="Returned",0,T1148-U1148)</x:f>
        <x:v>89.1</x:v>
      </x:c>
      <x:c r="X1148" s="93" t="n">
        <x:f>IF(V1148="Returned",Q1148*R1148*10%,Q1148*R1148)</x:f>
        <x:v>57</x:v>
      </x:c>
      <x:c r="Y1148" s="93" t="n">
        <x:f>W1148-X1148</x:f>
        <x:v>32.099999999999994</x:v>
      </x:c>
      <x:c r="Z1148" s="94" t="n">
        <x:f>IFERROR(Y1148/W1148,0)</x:f>
        <x:v>0.36026936026936024</x:v>
      </x:c>
      <x:c r="AA1148" s="84" t="str">
        <x:f>PROPER(TRIM('Raw Sales'!M1148))</x:f>
        <x:v>Credit Card</x:v>
      </x:c>
      <x:c r="AB1148" s="84" t="str">
        <x:f>PROPER(TRIM('Raw Sales'!N1148))</x:f>
        <x:v>Sofia Bennett</x:v>
      </x:c>
      <x:c r="AC1148" s="85" t="n">
        <x:f>'Raw Sales'!O1148</x:f>
        <x:v>45668</x:v>
      </x:c>
      <x:c r="AD1148" s="84" t="n">
        <x:f>AC1148-B1148</x:f>
        <x:v>4</x:v>
      </x:c>
      <x:c r="AE1148" s="84" t="str">
        <x:f>IF(COUNTIF($A$5:A1148,A1148)&gt;1,"Duplicate","Keep")</x:f>
        <x:v>Keep</x:v>
      </x:c>
      <x:c r="AF1148" s="84" t="str">
        <x:f>IF(OR(R1148&lt;=0,AC1148&lt;B1148,H1148="Unknown",M1148="Unknown Product"),"Review","Valid")</x:f>
        <x:v>Valid</x:v>
      </x:c>
      <x:c r="AG1148" s="84" t="n">
        <x:f>IF(AND(AE1148="Keep",AF1148="Valid"),1,0)</x:f>
        <x:v>1</x:v>
      </x:c>
      <x:c r="AH1148" s="84" t="n">
        <x:f>IF(AND(AG1148=1,OR('Dashboard'!$B$4="All",I1148='Dashboard'!$B$4),OR('Dashboard'!$E$4="All",N1148='Dashboard'!$E$4),OR('Dashboard'!$H$4="All",K1148='Dashboard'!$H$4),OR('Dashboard'!$K$4="All",C1148='Dashboard'!$K$4)),1,0)</x:f>
        <x:v>1</x:v>
      </x:c>
      <x:c r="AI1148" s="84" t="n">
        <x:f>IF(AND(AG1148=1,OR('Dashboard'!$B$4="All",I1148='Dashboard'!$B$4),OR('Dashboard'!$E$4="All",N1148='Dashboard'!$E$4),OR('Dashboard'!$H$4="All",K1148='Dashboard'!$H$4)),1,0)</x:f>
        <x:v>1</x:v>
      </x:c>
    </x:row>
    <x:row r="1149">
      <x:c r="A1149" s="84" t="str">
        <x:f>'Raw Sales'!A1149</x:f>
        <x:v>ORD-2025-00489</x:v>
      </x:c>
      <x:c r="B1149" s="85" t="n">
        <x:f>'Raw Sales'!B1149</x:f>
        <x:v>45665</x:v>
      </x:c>
      <x:c r="C1149" s="84" t="n">
        <x:f>YEAR(B1149)</x:f>
        <x:v>2025</x:v>
      </x:c>
      <x:c r="D1149" s="91" t="n">
        <x:f>DATE(YEAR(B1149),MONTH(B1149),1)</x:f>
        <x:v>45658</x:v>
      </x:c>
      <x:c r="E1149" s="84" t="str">
        <x:f>TEXT(B1149,"mmm")</x:f>
        <x:v>Jan</x:v>
      </x:c>
      <x:c r="F1149" s="84" t="str">
        <x:f>'Raw Sales'!C1149</x:f>
        <x:v>CUST-0299</x:v>
      </x:c>
      <x:c r="G1149" s="84" t="str">
        <x:f>PROPER(TRIM('Raw Sales'!D1149))</x:f>
        <x:v>Caleb Lewis</x:v>
      </x:c>
      <x:c r="H1149" s="84" t="str">
        <x:f>IF(TRIM('Raw Sales'!E1149)="","Unknown",PROPER(TRIM('Raw Sales'!E1149)))</x:f>
        <x:v>Consumer</x:v>
      </x:c>
      <x:c r="I1149" s="84" t="str">
        <x:f>PROPER(TRIM('Raw Sales'!F1149))</x:f>
        <x:v>Northeast</x:v>
      </x:c>
      <x:c r="J1149" s="84" t="str">
        <x:f>PROPER(TRIM('Raw Sales'!G1149))</x:f>
        <x:v>New York</x:v>
      </x:c>
      <x:c r="K1149" s="84" t="str">
        <x:f>PROPER(TRIM('Raw Sales'!H1149))</x:f>
        <x:v>Online</x:v>
      </x:c>
      <x:c r="L1149" s="84" t="str">
        <x:f>'Raw Sales'!I1149</x:f>
        <x:v>ACCS-006</x:v>
      </x:c>
      <x:c r="M1149" s="84" t="str">
        <x:f>IFERROR(VLOOKUP(L1149,'Reference Data'!$A$5:$F$40,2,FALSE),"Unknown Product")</x:f>
        <x:v>Insulated Lunch Bag</x:v>
      </x:c>
      <x:c r="N1149" s="84" t="str">
        <x:f>IFERROR(VLOOKUP(L1149,'Reference Data'!$A$5:$F$40,3,FALSE),"Unknown")</x:f>
        <x:v>Accessories</x:v>
      </x:c>
      <x:c r="O1149" s="84" t="str">
        <x:f>IFERROR(VLOOKUP(L1149,'Reference Data'!$A$5:$F$40,4,FALSE),"Unknown")</x:f>
        <x:v>Bags</x:v>
      </x:c>
      <x:c r="P1149" s="92" t="n">
        <x:f>IFERROR(VLOOKUP(L1149,'Reference Data'!$A$5:$F$40,5,FALSE),0)</x:f>
        <x:v>29</x:v>
      </x:c>
      <x:c r="Q1149" s="92" t="n">
        <x:f>IFERROR(VLOOKUP(L1149,'Reference Data'!$A$5:$F$40,6,FALSE),0)</x:f>
        <x:v>10</x:v>
      </x:c>
      <x:c r="R1149" s="84" t="n">
        <x:f>'Raw Sales'!J1149</x:f>
        <x:v>2</x:v>
      </x:c>
      <x:c r="S1149" s="87" t="n">
        <x:f>'Raw Sales'!K1149</x:f>
        <x:v>0.05</x:v>
      </x:c>
      <x:c r="T1149" s="93" t="n">
        <x:f>P1149*R1149</x:f>
        <x:v>58</x:v>
      </x:c>
      <x:c r="U1149" s="93" t="n">
        <x:f>T1149*S1149</x:f>
        <x:v>2.9000000000000004</x:v>
      </x:c>
      <x:c r="V1149" s="93" t="str">
        <x:f>PROPER(TRIM('Raw Sales'!L1149))</x:f>
        <x:v>Completed</x:v>
      </x:c>
      <x:c r="W1149" s="93" t="n">
        <x:f>IF(V1149="Returned",0,T1149-U1149)</x:f>
        <x:v>55.1</x:v>
      </x:c>
      <x:c r="X1149" s="93" t="n">
        <x:f>IF(V1149="Returned",Q1149*R1149*10%,Q1149*R1149)</x:f>
        <x:v>20</x:v>
      </x:c>
      <x:c r="Y1149" s="93" t="n">
        <x:f>W1149-X1149</x:f>
        <x:v>35.1</x:v>
      </x:c>
      <x:c r="Z1149" s="94" t="n">
        <x:f>IFERROR(Y1149/W1149,0)</x:f>
        <x:v>0.6370235934664247</x:v>
      </x:c>
      <x:c r="AA1149" s="84" t="str">
        <x:f>PROPER(TRIM('Raw Sales'!M1149))</x:f>
        <x:v>Debit Card</x:v>
      </x:c>
      <x:c r="AB1149" s="84" t="str">
        <x:f>PROPER(TRIM('Raw Sales'!N1149))</x:f>
        <x:v>Ethan Cole</x:v>
      </x:c>
      <x:c r="AC1149" s="85" t="n">
        <x:f>'Raw Sales'!O1149</x:f>
        <x:v>45668</x:v>
      </x:c>
      <x:c r="AD1149" s="84" t="n">
        <x:f>AC1149-B1149</x:f>
        <x:v>3</x:v>
      </x:c>
      <x:c r="AE1149" s="84" t="str">
        <x:f>IF(COUNTIF($A$5:A1149,A1149)&gt;1,"Duplicate","Keep")</x:f>
        <x:v>Keep</x:v>
      </x:c>
      <x:c r="AF1149" s="84" t="str">
        <x:f>IF(OR(R1149&lt;=0,AC1149&lt;B1149,H1149="Unknown",M1149="Unknown Product"),"Review","Valid")</x:f>
        <x:v>Valid</x:v>
      </x:c>
      <x:c r="AG1149" s="84" t="n">
        <x:f>IF(AND(AE1149="Keep",AF1149="Valid"),1,0)</x:f>
        <x:v>1</x:v>
      </x:c>
      <x:c r="AH1149" s="84" t="n">
        <x:f>IF(AND(AG1149=1,OR('Dashboard'!$B$4="All",I1149='Dashboard'!$B$4),OR('Dashboard'!$E$4="All",N1149='Dashboard'!$E$4),OR('Dashboard'!$H$4="All",K1149='Dashboard'!$H$4),OR('Dashboard'!$K$4="All",C1149='Dashboard'!$K$4)),1,0)</x:f>
        <x:v>1</x:v>
      </x:c>
      <x:c r="AI1149" s="84" t="n">
        <x:f>IF(AND(AG1149=1,OR('Dashboard'!$B$4="All",I1149='Dashboard'!$B$4),OR('Dashboard'!$E$4="All",N1149='Dashboard'!$E$4),OR('Dashboard'!$H$4="All",K1149='Dashboard'!$H$4)),1,0)</x:f>
        <x:v>1</x:v>
      </x:c>
    </x:row>
    <x:row r="1150">
      <x:c r="A1150" s="84" t="str">
        <x:f>'Raw Sales'!A1150</x:f>
        <x:v>ORD-2025-00570</x:v>
      </x:c>
      <x:c r="B1150" s="85" t="n">
        <x:f>'Raw Sales'!B1150</x:f>
        <x:v>45665</x:v>
      </x:c>
      <x:c r="C1150" s="84" t="n">
        <x:f>YEAR(B1150)</x:f>
        <x:v>2025</x:v>
      </x:c>
      <x:c r="D1150" s="91" t="n">
        <x:f>DATE(YEAR(B1150),MONTH(B1150),1)</x:f>
        <x:v>45658</x:v>
      </x:c>
      <x:c r="E1150" s="84" t="str">
        <x:f>TEXT(B1150,"mmm")</x:f>
        <x:v>Jan</x:v>
      </x:c>
      <x:c r="F1150" s="84" t="str">
        <x:f>'Raw Sales'!C1150</x:f>
        <x:v>CUST-0344</x:v>
      </x:c>
      <x:c r="G1150" s="84" t="str">
        <x:f>PROPER(TRIM('Raw Sales'!D1150))</x:f>
        <x:v>Elena Quinn</x:v>
      </x:c>
      <x:c r="H1150" s="84" t="str">
        <x:f>IF(TRIM('Raw Sales'!E1150)="","Unknown",PROPER(TRIM('Raw Sales'!E1150)))</x:f>
        <x:v>Small Business</x:v>
      </x:c>
      <x:c r="I1150" s="84" t="str">
        <x:f>PROPER(TRIM('Raw Sales'!F1150))</x:f>
        <x:v>Northeast</x:v>
      </x:c>
      <x:c r="J1150" s="84" t="str">
        <x:f>PROPER(TRIM('Raw Sales'!G1150))</x:f>
        <x:v>Newark</x:v>
      </x:c>
      <x:c r="K1150" s="84" t="str">
        <x:f>PROPER(TRIM('Raw Sales'!H1150))</x:f>
        <x:v>Online</x:v>
      </x:c>
      <x:c r="L1150" s="84" t="str">
        <x:f>'Raw Sales'!I1150</x:f>
        <x:v>CARE-001</x:v>
      </x:c>
      <x:c r="M1150" s="84" t="str">
        <x:f>IFERROR(VLOOKUP(L1150,'Reference Data'!$A$5:$F$40,2,FALSE),"Unknown Product")</x:f>
        <x:v>Ionic Hair Dryer</x:v>
      </x:c>
      <x:c r="N1150" s="84" t="str">
        <x:f>IFERROR(VLOOKUP(L1150,'Reference Data'!$A$5:$F$40,3,FALSE),"Unknown")</x:f>
        <x:v>Personal Care</x:v>
      </x:c>
      <x:c r="O1150" s="84" t="str">
        <x:f>IFERROR(VLOOKUP(L1150,'Reference Data'!$A$5:$F$40,4,FALSE),"Unknown")</x:f>
        <x:v>Hair Care</x:v>
      </x:c>
      <x:c r="P1150" s="92" t="n">
        <x:f>IFERROR(VLOOKUP(L1150,'Reference Data'!$A$5:$F$40,5,FALSE),0)</x:f>
        <x:v>54</x:v>
      </x:c>
      <x:c r="Q1150" s="92" t="n">
        <x:f>IFERROR(VLOOKUP(L1150,'Reference Data'!$A$5:$F$40,6,FALSE),0)</x:f>
        <x:v>25</x:v>
      </x:c>
      <x:c r="R1150" s="84" t="n">
        <x:f>'Raw Sales'!J1150</x:f>
        <x:v>2</x:v>
      </x:c>
      <x:c r="S1150" s="87" t="n">
        <x:f>'Raw Sales'!K1150</x:f>
        <x:v>0.1</x:v>
      </x:c>
      <x:c r="T1150" s="93" t="n">
        <x:f>P1150*R1150</x:f>
        <x:v>108</x:v>
      </x:c>
      <x:c r="U1150" s="93" t="n">
        <x:f>T1150*S1150</x:f>
        <x:v>10.8</x:v>
      </x:c>
      <x:c r="V1150" s="93" t="str">
        <x:f>PROPER(TRIM('Raw Sales'!L1150))</x:f>
        <x:v>Completed</x:v>
      </x:c>
      <x:c r="W1150" s="93" t="n">
        <x:f>IF(V1150="Returned",0,T1150-U1150)</x:f>
        <x:v>97.2</x:v>
      </x:c>
      <x:c r="X1150" s="93" t="n">
        <x:f>IF(V1150="Returned",Q1150*R1150*10%,Q1150*R1150)</x:f>
        <x:v>50</x:v>
      </x:c>
      <x:c r="Y1150" s="93" t="n">
        <x:f>W1150-X1150</x:f>
        <x:v>47.2</x:v>
      </x:c>
      <x:c r="Z1150" s="94" t="n">
        <x:f>IFERROR(Y1150/W1150,0)</x:f>
        <x:v>0.48559670781893005</x:v>
      </x:c>
      <x:c r="AA1150" s="84" t="str">
        <x:f>PROPER(TRIM('Raw Sales'!M1150))</x:f>
        <x:v>Credit Card</x:v>
      </x:c>
      <x:c r="AB1150" s="84" t="str">
        <x:f>PROPER(TRIM('Raw Sales'!N1150))</x:f>
        <x:v>Sofia Bennett</x:v>
      </x:c>
      <x:c r="AC1150" s="85" t="n">
        <x:f>'Raw Sales'!O1150</x:f>
        <x:v>45669</x:v>
      </x:c>
      <x:c r="AD1150" s="84" t="n">
        <x:f>AC1150-B1150</x:f>
        <x:v>4</x:v>
      </x:c>
      <x:c r="AE1150" s="84" t="str">
        <x:f>IF(COUNTIF($A$5:A1150,A1150)&gt;1,"Duplicate","Keep")</x:f>
        <x:v>Keep</x:v>
      </x:c>
      <x:c r="AF1150" s="84" t="str">
        <x:f>IF(OR(R1150&lt;=0,AC1150&lt;B1150,H1150="Unknown",M1150="Unknown Product"),"Review","Valid")</x:f>
        <x:v>Valid</x:v>
      </x:c>
      <x:c r="AG1150" s="84" t="n">
        <x:f>IF(AND(AE1150="Keep",AF1150="Valid"),1,0)</x:f>
        <x:v>1</x:v>
      </x:c>
      <x:c r="AH1150" s="84" t="n">
        <x:f>IF(AND(AG1150=1,OR('Dashboard'!$B$4="All",I1150='Dashboard'!$B$4),OR('Dashboard'!$E$4="All",N1150='Dashboard'!$E$4),OR('Dashboard'!$H$4="All",K1150='Dashboard'!$H$4),OR('Dashboard'!$K$4="All",C1150='Dashboard'!$K$4)),1,0)</x:f>
        <x:v>1</x:v>
      </x:c>
      <x:c r="AI1150" s="84" t="n">
        <x:f>IF(AND(AG1150=1,OR('Dashboard'!$B$4="All",I1150='Dashboard'!$B$4),OR('Dashboard'!$E$4="All",N1150='Dashboard'!$E$4),OR('Dashboard'!$H$4="All",K1150='Dashboard'!$H$4)),1,0)</x:f>
        <x:v>1</x:v>
      </x:c>
    </x:row>
    <x:row r="1151">
      <x:c r="A1151" s="84" t="str">
        <x:f>'Raw Sales'!A1151</x:f>
        <x:v>ORD-2025-01683</x:v>
      </x:c>
      <x:c r="B1151" s="85" t="n">
        <x:f>'Raw Sales'!B1151</x:f>
        <x:v>45665</x:v>
      </x:c>
      <x:c r="C1151" s="84" t="n">
        <x:f>YEAR(B1151)</x:f>
        <x:v>2025</x:v>
      </x:c>
      <x:c r="D1151" s="91" t="n">
        <x:f>DATE(YEAR(B1151),MONTH(B1151),1)</x:f>
        <x:v>45658</x:v>
      </x:c>
      <x:c r="E1151" s="84" t="str">
        <x:f>TEXT(B1151,"mmm")</x:f>
        <x:v>Jan</x:v>
      </x:c>
      <x:c r="F1151" s="84" t="str">
        <x:f>'Raw Sales'!C1151</x:f>
        <x:v>CUST-0386</x:v>
      </x:c>
      <x:c r="G1151" s="84" t="str">
        <x:f>PROPER(TRIM('Raw Sales'!D1151))</x:f>
        <x:v>Marcus Foster</x:v>
      </x:c>
      <x:c r="H1151" s="84" t="str">
        <x:f>IF(TRIM('Raw Sales'!E1151)="","Unknown",PROPER(TRIM('Raw Sales'!E1151)))</x:f>
        <x:v>Small Business</x:v>
      </x:c>
      <x:c r="I1151" s="84" t="str">
        <x:f>PROPER(TRIM('Raw Sales'!F1151))</x:f>
        <x:v>Southeast</x:v>
      </x:c>
      <x:c r="J1151" s="84" t="str">
        <x:f>PROPER(TRIM('Raw Sales'!G1151))</x:f>
        <x:v>Miami</x:v>
      </x:c>
      <x:c r="K1151" s="84" t="str">
        <x:f>PROPER(TRIM('Raw Sales'!H1151))</x:f>
        <x:v>Retail Store</x:v>
      </x:c>
      <x:c r="L1151" s="84" t="str">
        <x:f>'Raw Sales'!I1151</x:f>
        <x:v>ACCS-004</x:v>
      </x:c>
      <x:c r="M1151" s="84" t="str">
        <x:f>IFERROR(VLOOKUP(L1151,'Reference Data'!$A$5:$F$40,2,FALSE),"Unknown Product")</x:f>
        <x:v>Leather Wallet</x:v>
      </x:c>
      <x:c r="N1151" s="84" t="str">
        <x:f>IFERROR(VLOOKUP(L1151,'Reference Data'!$A$5:$F$40,3,FALSE),"Unknown")</x:f>
        <x:v>Accessories</x:v>
      </x:c>
      <x:c r="O1151" s="84" t="str">
        <x:f>IFERROR(VLOOKUP(L1151,'Reference Data'!$A$5:$F$40,4,FALSE),"Unknown")</x:f>
        <x:v>Wallets</x:v>
      </x:c>
      <x:c r="P1151" s="92" t="n">
        <x:f>IFERROR(VLOOKUP(L1151,'Reference Data'!$A$5:$F$40,5,FALSE),0)</x:f>
        <x:v>49</x:v>
      </x:c>
      <x:c r="Q1151" s="92" t="n">
        <x:f>IFERROR(VLOOKUP(L1151,'Reference Data'!$A$5:$F$40,6,FALSE),0)</x:f>
        <x:v>18</x:v>
      </x:c>
      <x:c r="R1151" s="84" t="n">
        <x:f>'Raw Sales'!J1151</x:f>
        <x:v>1</x:v>
      </x:c>
      <x:c r="S1151" s="87" t="n">
        <x:f>'Raw Sales'!K1151</x:f>
        <x:v>0.1</x:v>
      </x:c>
      <x:c r="T1151" s="93" t="n">
        <x:f>P1151*R1151</x:f>
        <x:v>49</x:v>
      </x:c>
      <x:c r="U1151" s="93" t="n">
        <x:f>T1151*S1151</x:f>
        <x:v>4.9</x:v>
      </x:c>
      <x:c r="V1151" s="93" t="str">
        <x:f>PROPER(TRIM('Raw Sales'!L1151))</x:f>
        <x:v>Completed</x:v>
      </x:c>
      <x:c r="W1151" s="93" t="n">
        <x:f>IF(V1151="Returned",0,T1151-U1151)</x:f>
        <x:v>44.1</x:v>
      </x:c>
      <x:c r="X1151" s="93" t="n">
        <x:f>IF(V1151="Returned",Q1151*R1151*10%,Q1151*R1151)</x:f>
        <x:v>18</x:v>
      </x:c>
      <x:c r="Y1151" s="93" t="n">
        <x:f>W1151-X1151</x:f>
        <x:v>26.1</x:v>
      </x:c>
      <x:c r="Z1151" s="94" t="n">
        <x:f>IFERROR(Y1151/W1151,0)</x:f>
        <x:v>0.5918367346938775</x:v>
      </x:c>
      <x:c r="AA1151" s="84" t="str">
        <x:f>PROPER(TRIM('Raw Sales'!M1151))</x:f>
        <x:v>Mobile Wallet</x:v>
      </x:c>
      <x:c r="AB1151" s="84" t="str">
        <x:f>PROPER(TRIM('Raw Sales'!N1151))</x:f>
        <x:v>Noah Reed</x:v>
      </x:c>
      <x:c r="AC1151" s="85" t="n">
        <x:f>'Raw Sales'!O1151</x:f>
        <x:v>45665</x:v>
      </x:c>
      <x:c r="AD1151" s="84" t="n">
        <x:f>AC1151-B1151</x:f>
        <x:v>0</x:v>
      </x:c>
      <x:c r="AE1151" s="84" t="str">
        <x:f>IF(COUNTIF($A$5:A1151,A1151)&gt;1,"Duplicate","Keep")</x:f>
        <x:v>Keep</x:v>
      </x:c>
      <x:c r="AF1151" s="84" t="str">
        <x:f>IF(OR(R1151&lt;=0,AC1151&lt;B1151,H1151="Unknown",M1151="Unknown Product"),"Review","Valid")</x:f>
        <x:v>Valid</x:v>
      </x:c>
      <x:c r="AG1151" s="84" t="n">
        <x:f>IF(AND(AE1151="Keep",AF1151="Valid"),1,0)</x:f>
        <x:v>1</x:v>
      </x:c>
      <x:c r="AH1151" s="84" t="n">
        <x:f>IF(AND(AG1151=1,OR('Dashboard'!$B$4="All",I1151='Dashboard'!$B$4),OR('Dashboard'!$E$4="All",N1151='Dashboard'!$E$4),OR('Dashboard'!$H$4="All",K1151='Dashboard'!$H$4),OR('Dashboard'!$K$4="All",C1151='Dashboard'!$K$4)),1,0)</x:f>
        <x:v>1</x:v>
      </x:c>
      <x:c r="AI1151" s="84" t="n">
        <x:f>IF(AND(AG1151=1,OR('Dashboard'!$B$4="All",I1151='Dashboard'!$B$4),OR('Dashboard'!$E$4="All",N1151='Dashboard'!$E$4),OR('Dashboard'!$H$4="All",K1151='Dashboard'!$H$4)),1,0)</x:f>
        <x:v>1</x:v>
      </x:c>
    </x:row>
    <x:row r="1152">
      <x:c r="A1152" s="84" t="str">
        <x:f>'Raw Sales'!A1152</x:f>
        <x:v>ORD-2025-02200</x:v>
      </x:c>
      <x:c r="B1152" s="85" t="n">
        <x:f>'Raw Sales'!B1152</x:f>
        <x:v>45665</x:v>
      </x:c>
      <x:c r="C1152" s="84" t="n">
        <x:f>YEAR(B1152)</x:f>
        <x:v>2025</x:v>
      </x:c>
      <x:c r="D1152" s="91" t="n">
        <x:f>DATE(YEAR(B1152),MONTH(B1152),1)</x:f>
        <x:v>45658</x:v>
      </x:c>
      <x:c r="E1152" s="84" t="str">
        <x:f>TEXT(B1152,"mmm")</x:f>
        <x:v>Jan</x:v>
      </x:c>
      <x:c r="F1152" s="84" t="str">
        <x:f>'Raw Sales'!C1152</x:f>
        <x:v>CUST-0104</x:v>
      </x:c>
      <x:c r="G1152" s="84" t="str">
        <x:f>PROPER(TRIM('Raw Sales'!D1152))</x:f>
        <x:v>Isaac Nelson</x:v>
      </x:c>
      <x:c r="H1152" s="84" t="str">
        <x:f>IF(TRIM('Raw Sales'!E1152)="","Unknown",PROPER(TRIM('Raw Sales'!E1152)))</x:f>
        <x:v>Consumer</x:v>
      </x:c>
      <x:c r="I1152" s="84" t="str">
        <x:f>PROPER(TRIM('Raw Sales'!F1152))</x:f>
        <x:v>Northeast</x:v>
      </x:c>
      <x:c r="J1152" s="84" t="str">
        <x:f>PROPER(TRIM('Raw Sales'!G1152))</x:f>
        <x:v>Boston</x:v>
      </x:c>
      <x:c r="K1152" s="84" t="str">
        <x:f>PROPER(TRIM('Raw Sales'!H1152))</x:f>
        <x:v>Online</x:v>
      </x:c>
      <x:c r="L1152" s="84" t="str">
        <x:f>'Raw Sales'!I1152</x:f>
        <x:v>HOME-003</x:v>
      </x:c>
      <x:c r="M1152" s="84" t="str">
        <x:f>IFERROR(VLOOKUP(L1152,'Reference Data'!$A$5:$F$40,2,FALSE),"Unknown Product")</x:f>
        <x:v>Countertop Blender</x:v>
      </x:c>
      <x:c r="N1152" s="84" t="str">
        <x:f>IFERROR(VLOOKUP(L1152,'Reference Data'!$A$5:$F$40,3,FALSE),"Unknown")</x:f>
        <x:v>Home &amp; Kitchen</x:v>
      </x:c>
      <x:c r="O1152" s="84" t="str">
        <x:f>IFERROR(VLOOKUP(L1152,'Reference Data'!$A$5:$F$40,4,FALSE),"Unknown")</x:f>
        <x:v>Small Appliances</x:v>
      </x:c>
      <x:c r="P1152" s="92" t="n">
        <x:f>IFERROR(VLOOKUP(L1152,'Reference Data'!$A$5:$F$40,5,FALSE),0)</x:f>
        <x:v>89</x:v>
      </x:c>
      <x:c r="Q1152" s="92" t="n">
        <x:f>IFERROR(VLOOKUP(L1152,'Reference Data'!$A$5:$F$40,6,FALSE),0)</x:f>
        <x:v>46</x:v>
      </x:c>
      <x:c r="R1152" s="84" t="n">
        <x:f>'Raw Sales'!J1152</x:f>
        <x:v>3</x:v>
      </x:c>
      <x:c r="S1152" s="87" t="n">
        <x:f>'Raw Sales'!K1152</x:f>
        <x:v>0</x:v>
      </x:c>
      <x:c r="T1152" s="93" t="n">
        <x:f>P1152*R1152</x:f>
        <x:v>267</x:v>
      </x:c>
      <x:c r="U1152" s="93" t="n">
        <x:f>T1152*S1152</x:f>
        <x:v>0</x:v>
      </x:c>
      <x:c r="V1152" s="93" t="str">
        <x:f>PROPER(TRIM('Raw Sales'!L1152))</x:f>
        <x:v>Completed</x:v>
      </x:c>
      <x:c r="W1152" s="93" t="n">
        <x:f>IF(V1152="Returned",0,T1152-U1152)</x:f>
        <x:v>267</x:v>
      </x:c>
      <x:c r="X1152" s="93" t="n">
        <x:f>IF(V1152="Returned",Q1152*R1152*10%,Q1152*R1152)</x:f>
        <x:v>138</x:v>
      </x:c>
      <x:c r="Y1152" s="93" t="n">
        <x:f>W1152-X1152</x:f>
        <x:v>129</x:v>
      </x:c>
      <x:c r="Z1152" s="94" t="n">
        <x:f>IFERROR(Y1152/W1152,0)</x:f>
        <x:v>0.48314606741573035</x:v>
      </x:c>
      <x:c r="AA1152" s="84" t="str">
        <x:f>PROPER(TRIM('Raw Sales'!M1152))</x:f>
        <x:v>Credit Card</x:v>
      </x:c>
      <x:c r="AB1152" s="84" t="str">
        <x:f>PROPER(TRIM('Raw Sales'!N1152))</x:f>
        <x:v>Maya Brooks</x:v>
      </x:c>
      <x:c r="AC1152" s="85" t="n">
        <x:f>'Raw Sales'!O1152</x:f>
        <x:v>45668</x:v>
      </x:c>
      <x:c r="AD1152" s="84" t="n">
        <x:f>AC1152-B1152</x:f>
        <x:v>3</x:v>
      </x:c>
      <x:c r="AE1152" s="84" t="str">
        <x:f>IF(COUNTIF($A$5:A1152,A1152)&gt;1,"Duplicate","Keep")</x:f>
        <x:v>Keep</x:v>
      </x:c>
      <x:c r="AF1152" s="84" t="str">
        <x:f>IF(OR(R1152&lt;=0,AC1152&lt;B1152,H1152="Unknown",M1152="Unknown Product"),"Review","Valid")</x:f>
        <x:v>Valid</x:v>
      </x:c>
      <x:c r="AG1152" s="84" t="n">
        <x:f>IF(AND(AE1152="Keep",AF1152="Valid"),1,0)</x:f>
        <x:v>1</x:v>
      </x:c>
      <x:c r="AH1152" s="84" t="n">
        <x:f>IF(AND(AG1152=1,OR('Dashboard'!$B$4="All",I1152='Dashboard'!$B$4),OR('Dashboard'!$E$4="All",N1152='Dashboard'!$E$4),OR('Dashboard'!$H$4="All",K1152='Dashboard'!$H$4),OR('Dashboard'!$K$4="All",C1152='Dashboard'!$K$4)),1,0)</x:f>
        <x:v>1</x:v>
      </x:c>
      <x:c r="AI1152" s="84" t="n">
        <x:f>IF(AND(AG1152=1,OR('Dashboard'!$B$4="All",I1152='Dashboard'!$B$4),OR('Dashboard'!$E$4="All",N1152='Dashboard'!$E$4),OR('Dashboard'!$H$4="All",K1152='Dashboard'!$H$4)),1,0)</x:f>
        <x:v>1</x:v>
      </x:c>
    </x:row>
    <x:row r="1153">
      <x:c r="A1153" s="84" t="str">
        <x:f>'Raw Sales'!A1153</x:f>
        <x:v>ORD-2025-02041</x:v>
      </x:c>
      <x:c r="B1153" s="85" t="n">
        <x:f>'Raw Sales'!B1153</x:f>
        <x:v>45666</x:v>
      </x:c>
      <x:c r="C1153" s="84" t="n">
        <x:f>YEAR(B1153)</x:f>
        <x:v>2025</x:v>
      </x:c>
      <x:c r="D1153" s="91" t="n">
        <x:f>DATE(YEAR(B1153),MONTH(B1153),1)</x:f>
        <x:v>45658</x:v>
      </x:c>
      <x:c r="E1153" s="84" t="str">
        <x:f>TEXT(B1153,"mmm")</x:f>
        <x:v>Jan</x:v>
      </x:c>
      <x:c r="F1153" s="84" t="str">
        <x:f>'Raw Sales'!C1153</x:f>
        <x:v>CUST-0397</x:v>
      </x:c>
      <x:c r="G1153" s="84" t="str">
        <x:f>PROPER(TRIM('Raw Sales'!D1153))</x:f>
        <x:v>Amelia Baker</x:v>
      </x:c>
      <x:c r="H1153" s="84" t="str">
        <x:f>IF(TRIM('Raw Sales'!E1153)="","Unknown",PROPER(TRIM('Raw Sales'!E1153)))</x:f>
        <x:v>Corporate</x:v>
      </x:c>
      <x:c r="I1153" s="84" t="str">
        <x:f>PROPER(TRIM('Raw Sales'!F1153))</x:f>
        <x:v>Northeast</x:v>
      </x:c>
      <x:c r="J1153" s="84" t="str">
        <x:f>PROPER(TRIM('Raw Sales'!G1153))</x:f>
        <x:v>Newark</x:v>
      </x:c>
      <x:c r="K1153" s="84" t="str">
        <x:f>PROPER(TRIM('Raw Sales'!H1153))</x:f>
        <x:v>Marketplace</x:v>
      </x:c>
      <x:c r="L1153" s="84" t="str">
        <x:f>'Raw Sales'!I1153</x:f>
        <x:v>ACCS-003</x:v>
      </x:c>
      <x:c r="M1153" s="84" t="str">
        <x:f>IFERROR(VLOOKUP(L1153,'Reference Data'!$A$5:$F$40,2,FALSE),"Unknown Product")</x:f>
        <x:v>Polarized Sunglasses</x:v>
      </x:c>
      <x:c r="N1153" s="84" t="str">
        <x:f>IFERROR(VLOOKUP(L1153,'Reference Data'!$A$5:$F$40,3,FALSE),"Unknown")</x:f>
        <x:v>Accessories</x:v>
      </x:c>
      <x:c r="O1153" s="84" t="str">
        <x:f>IFERROR(VLOOKUP(L1153,'Reference Data'!$A$5:$F$40,4,FALSE),"Unknown")</x:f>
        <x:v>Eyewear</x:v>
      </x:c>
      <x:c r="P1153" s="92" t="n">
        <x:f>IFERROR(VLOOKUP(L1153,'Reference Data'!$A$5:$F$40,5,FALSE),0)</x:f>
        <x:v>59</x:v>
      </x:c>
      <x:c r="Q1153" s="92" t="n">
        <x:f>IFERROR(VLOOKUP(L1153,'Reference Data'!$A$5:$F$40,6,FALSE),0)</x:f>
        <x:v>17</x:v>
      </x:c>
      <x:c r="R1153" s="84" t="n">
        <x:f>'Raw Sales'!J1153</x:f>
        <x:v>2</x:v>
      </x:c>
      <x:c r="S1153" s="87" t="n">
        <x:f>'Raw Sales'!K1153</x:f>
        <x:v>0.1</x:v>
      </x:c>
      <x:c r="T1153" s="93" t="n">
        <x:f>P1153*R1153</x:f>
        <x:v>118</x:v>
      </x:c>
      <x:c r="U1153" s="93" t="n">
        <x:f>T1153*S1153</x:f>
        <x:v>11.8</x:v>
      </x:c>
      <x:c r="V1153" s="93" t="str">
        <x:f>PROPER(TRIM('Raw Sales'!L1153))</x:f>
        <x:v>Completed</x:v>
      </x:c>
      <x:c r="W1153" s="93" t="n">
        <x:f>IF(V1153="Returned",0,T1153-U1153)</x:f>
        <x:v>106.2</x:v>
      </x:c>
      <x:c r="X1153" s="93" t="n">
        <x:f>IF(V1153="Returned",Q1153*R1153*10%,Q1153*R1153)</x:f>
        <x:v>34</x:v>
      </x:c>
      <x:c r="Y1153" s="93" t="n">
        <x:f>W1153-X1153</x:f>
        <x:v>72.2</x:v>
      </x:c>
      <x:c r="Z1153" s="94" t="n">
        <x:f>IFERROR(Y1153/W1153,0)</x:f>
        <x:v>0.67984934086629</x:v>
      </x:c>
      <x:c r="AA1153" s="84" t="str">
        <x:f>PROPER(TRIM('Raw Sales'!M1153))</x:f>
        <x:v>Mobile Wallet</x:v>
      </x:c>
      <x:c r="AB1153" s="84" t="str">
        <x:f>PROPER(TRIM('Raw Sales'!N1153))</x:f>
        <x:v>Maya Brooks</x:v>
      </x:c>
      <x:c r="AC1153" s="85" t="n">
        <x:f>'Raw Sales'!O1153</x:f>
        <x:v>45674</x:v>
      </x:c>
      <x:c r="AD1153" s="84" t="n">
        <x:f>AC1153-B1153</x:f>
        <x:v>8</x:v>
      </x:c>
      <x:c r="AE1153" s="84" t="str">
        <x:f>IF(COUNTIF($A$5:A1153,A1153)&gt;1,"Duplicate","Keep")</x:f>
        <x:v>Keep</x:v>
      </x:c>
      <x:c r="AF1153" s="84" t="str">
        <x:f>IF(OR(R1153&lt;=0,AC1153&lt;B1153,H1153="Unknown",M1153="Unknown Product"),"Review","Valid")</x:f>
        <x:v>Valid</x:v>
      </x:c>
      <x:c r="AG1153" s="84" t="n">
        <x:f>IF(AND(AE1153="Keep",AF1153="Valid"),1,0)</x:f>
        <x:v>1</x:v>
      </x:c>
      <x:c r="AH1153" s="84" t="n">
        <x:f>IF(AND(AG1153=1,OR('Dashboard'!$B$4="All",I1153='Dashboard'!$B$4),OR('Dashboard'!$E$4="All",N1153='Dashboard'!$E$4),OR('Dashboard'!$H$4="All",K1153='Dashboard'!$H$4),OR('Dashboard'!$K$4="All",C1153='Dashboard'!$K$4)),1,0)</x:f>
        <x:v>1</x:v>
      </x:c>
      <x:c r="AI1153" s="84" t="n">
        <x:f>IF(AND(AG1153=1,OR('Dashboard'!$B$4="All",I1153='Dashboard'!$B$4),OR('Dashboard'!$E$4="All",N1153='Dashboard'!$E$4),OR('Dashboard'!$H$4="All",K1153='Dashboard'!$H$4)),1,0)</x:f>
        <x:v>1</x:v>
      </x:c>
    </x:row>
    <x:row r="1154">
      <x:c r="A1154" s="84" t="str">
        <x:f>'Raw Sales'!A1154</x:f>
        <x:v>ORD-2025-00168</x:v>
      </x:c>
      <x:c r="B1154" s="85" t="n">
        <x:f>'Raw Sales'!B1154</x:f>
        <x:v>45667</x:v>
      </x:c>
      <x:c r="C1154" s="84" t="n">
        <x:f>YEAR(B1154)</x:f>
        <x:v>2025</x:v>
      </x:c>
      <x:c r="D1154" s="91" t="n">
        <x:f>DATE(YEAR(B1154),MONTH(B1154),1)</x:f>
        <x:v>45658</x:v>
      </x:c>
      <x:c r="E1154" s="84" t="str">
        <x:f>TEXT(B1154,"mmm")</x:f>
        <x:v>Jan</x:v>
      </x:c>
      <x:c r="F1154" s="84" t="str">
        <x:f>'Raw Sales'!C1154</x:f>
        <x:v>CUST-0189</x:v>
      </x:c>
      <x:c r="G1154" s="84" t="str">
        <x:f>PROPER(TRIM('Raw Sales'!D1154))</x:f>
        <x:v>Marcus Taylor</x:v>
      </x:c>
      <x:c r="H1154" s="84" t="str">
        <x:f>IF(TRIM('Raw Sales'!E1154)="","Unknown",PROPER(TRIM('Raw Sales'!E1154)))</x:f>
        <x:v>Consumer</x:v>
      </x:c>
      <x:c r="I1154" s="84" t="str">
        <x:f>PROPER(TRIM('Raw Sales'!F1154))</x:f>
        <x:v>Midwest</x:v>
      </x:c>
      <x:c r="J1154" s="84" t="str">
        <x:f>PROPER(TRIM('Raw Sales'!G1154))</x:f>
        <x:v>Chicago</x:v>
      </x:c>
      <x:c r="K1154" s="84" t="str">
        <x:f>PROPER(TRIM('Raw Sales'!H1154))</x:f>
        <x:v>Online</x:v>
      </x:c>
      <x:c r="L1154" s="84" t="str">
        <x:f>'Raw Sales'!I1154</x:f>
        <x:v>FITN-003</x:v>
      </x:c>
      <x:c r="M1154" s="84" t="str">
        <x:f>IFERROR(VLOOKUP(L1154,'Reference Data'!$A$5:$F$40,2,FALSE),"Unknown Product")</x:f>
        <x:v>Resistance Band Set</x:v>
      </x:c>
      <x:c r="N1154" s="84" t="str">
        <x:f>IFERROR(VLOOKUP(L1154,'Reference Data'!$A$5:$F$40,3,FALSE),"Unknown")</x:f>
        <x:v>Fitness</x:v>
      </x:c>
      <x:c r="O1154" s="84" t="str">
        <x:f>IFERROR(VLOOKUP(L1154,'Reference Data'!$A$5:$F$40,4,FALSE),"Unknown")</x:f>
        <x:v>Strength</x:v>
      </x:c>
      <x:c r="P1154" s="92" t="n">
        <x:f>IFERROR(VLOOKUP(L1154,'Reference Data'!$A$5:$F$40,5,FALSE),0)</x:f>
        <x:v>24</x:v>
      </x:c>
      <x:c r="Q1154" s="92" t="n">
        <x:f>IFERROR(VLOOKUP(L1154,'Reference Data'!$A$5:$F$40,6,FALSE),0)</x:f>
        <x:v>8</x:v>
      </x:c>
      <x:c r="R1154" s="84" t="n">
        <x:f>'Raw Sales'!J1154</x:f>
        <x:v>2</x:v>
      </x:c>
      <x:c r="S1154" s="87" t="n">
        <x:f>'Raw Sales'!K1154</x:f>
        <x:v>0.15</x:v>
      </x:c>
      <x:c r="T1154" s="93" t="n">
        <x:f>P1154*R1154</x:f>
        <x:v>48</x:v>
      </x:c>
      <x:c r="U1154" s="93" t="n">
        <x:f>T1154*S1154</x:f>
        <x:v>7.199999999999999</x:v>
      </x:c>
      <x:c r="V1154" s="93" t="str">
        <x:f>PROPER(TRIM('Raw Sales'!L1154))</x:f>
        <x:v>Completed</x:v>
      </x:c>
      <x:c r="W1154" s="93" t="n">
        <x:f>IF(V1154="Returned",0,T1154-U1154)</x:f>
        <x:v>40.8</x:v>
      </x:c>
      <x:c r="X1154" s="93" t="n">
        <x:f>IF(V1154="Returned",Q1154*R1154*10%,Q1154*R1154)</x:f>
        <x:v>16</x:v>
      </x:c>
      <x:c r="Y1154" s="93" t="n">
        <x:f>W1154-X1154</x:f>
        <x:v>24.799999999999997</x:v>
      </x:c>
      <x:c r="Z1154" s="94" t="n">
        <x:f>IFERROR(Y1154/W1154,0)</x:f>
        <x:v>0.6078431372549019</x:v>
      </x:c>
      <x:c r="AA1154" s="84" t="str">
        <x:f>PROPER(TRIM('Raw Sales'!M1154))</x:f>
        <x:v>Mobile Wallet</x:v>
      </x:c>
      <x:c r="AB1154" s="84" t="str">
        <x:f>PROPER(TRIM('Raw Sales'!N1154))</x:f>
        <x:v>Emma Hayes</x:v>
      </x:c>
      <x:c r="AC1154" s="85" t="n">
        <x:f>'Raw Sales'!O1154</x:f>
        <x:v>45670</x:v>
      </x:c>
      <x:c r="AD1154" s="84" t="n">
        <x:f>AC1154-B1154</x:f>
        <x:v>3</x:v>
      </x:c>
      <x:c r="AE1154" s="84" t="str">
        <x:f>IF(COUNTIF($A$5:A1154,A1154)&gt;1,"Duplicate","Keep")</x:f>
        <x:v>Keep</x:v>
      </x:c>
      <x:c r="AF1154" s="84" t="str">
        <x:f>IF(OR(R1154&lt;=0,AC1154&lt;B1154,H1154="Unknown",M1154="Unknown Product"),"Review","Valid")</x:f>
        <x:v>Valid</x:v>
      </x:c>
      <x:c r="AG1154" s="84" t="n">
        <x:f>IF(AND(AE1154="Keep",AF1154="Valid"),1,0)</x:f>
        <x:v>1</x:v>
      </x:c>
      <x:c r="AH1154" s="84" t="n">
        <x:f>IF(AND(AG1154=1,OR('Dashboard'!$B$4="All",I1154='Dashboard'!$B$4),OR('Dashboard'!$E$4="All",N1154='Dashboard'!$E$4),OR('Dashboard'!$H$4="All",K1154='Dashboard'!$H$4),OR('Dashboard'!$K$4="All",C1154='Dashboard'!$K$4)),1,0)</x:f>
        <x:v>1</x:v>
      </x:c>
      <x:c r="AI1154" s="84" t="n">
        <x:f>IF(AND(AG1154=1,OR('Dashboard'!$B$4="All",I1154='Dashboard'!$B$4),OR('Dashboard'!$E$4="All",N1154='Dashboard'!$E$4),OR('Dashboard'!$H$4="All",K1154='Dashboard'!$H$4)),1,0)</x:f>
        <x:v>1</x:v>
      </x:c>
    </x:row>
    <x:row r="1155">
      <x:c r="A1155" s="84" t="str">
        <x:f>'Raw Sales'!A1155</x:f>
        <x:v>ORD-2025-00836</x:v>
      </x:c>
      <x:c r="B1155" s="85" t="n">
        <x:f>'Raw Sales'!B1155</x:f>
        <x:v>45667</x:v>
      </x:c>
      <x:c r="C1155" s="84" t="n">
        <x:f>YEAR(B1155)</x:f>
        <x:v>2025</x:v>
      </x:c>
      <x:c r="D1155" s="91" t="n">
        <x:f>DATE(YEAR(B1155),MONTH(B1155),1)</x:f>
        <x:v>45658</x:v>
      </x:c>
      <x:c r="E1155" s="84" t="str">
        <x:f>TEXT(B1155,"mmm")</x:f>
        <x:v>Jan</x:v>
      </x:c>
      <x:c r="F1155" s="84" t="str">
        <x:f>'Raw Sales'!C1155</x:f>
        <x:v>CUST-0030</x:v>
      </x:c>
      <x:c r="G1155" s="84" t="str">
        <x:f>PROPER(TRIM('Raw Sales'!D1155))</x:f>
        <x:v>Owen Patel</x:v>
      </x:c>
      <x:c r="H1155" s="84" t="str">
        <x:f>IF(TRIM('Raw Sales'!E1155)="","Unknown",PROPER(TRIM('Raw Sales'!E1155)))</x:f>
        <x:v>Corporate</x:v>
      </x:c>
      <x:c r="I1155" s="84" t="str">
        <x:f>PROPER(TRIM('Raw Sales'!F1155))</x:f>
        <x:v>Southeast</x:v>
      </x:c>
      <x:c r="J1155" s="84" t="str">
        <x:f>PROPER(TRIM('Raw Sales'!G1155))</x:f>
        <x:v>Charlotte</x:v>
      </x:c>
      <x:c r="K1155" s="84" t="str">
        <x:f>PROPER(TRIM('Raw Sales'!H1155))</x:f>
        <x:v>Online</x:v>
      </x:c>
      <x:c r="L1155" s="84" t="str">
        <x:f>'Raw Sales'!I1155</x:f>
        <x:v>FITN-003</x:v>
      </x:c>
      <x:c r="M1155" s="84" t="str">
        <x:f>IFERROR(VLOOKUP(L1155,'Reference Data'!$A$5:$F$40,2,FALSE),"Unknown Product")</x:f>
        <x:v>Resistance Band Set</x:v>
      </x:c>
      <x:c r="N1155" s="84" t="str">
        <x:f>IFERROR(VLOOKUP(L1155,'Reference Data'!$A$5:$F$40,3,FALSE),"Unknown")</x:f>
        <x:v>Fitness</x:v>
      </x:c>
      <x:c r="O1155" s="84" t="str">
        <x:f>IFERROR(VLOOKUP(L1155,'Reference Data'!$A$5:$F$40,4,FALSE),"Unknown")</x:f>
        <x:v>Strength</x:v>
      </x:c>
      <x:c r="P1155" s="92" t="n">
        <x:f>IFERROR(VLOOKUP(L1155,'Reference Data'!$A$5:$F$40,5,FALSE),0)</x:f>
        <x:v>24</x:v>
      </x:c>
      <x:c r="Q1155" s="92" t="n">
        <x:f>IFERROR(VLOOKUP(L1155,'Reference Data'!$A$5:$F$40,6,FALSE),0)</x:f>
        <x:v>8</x:v>
      </x:c>
      <x:c r="R1155" s="84" t="n">
        <x:f>'Raw Sales'!J1155</x:f>
        <x:v>4</x:v>
      </x:c>
      <x:c r="S1155" s="87" t="n">
        <x:f>'Raw Sales'!K1155</x:f>
        <x:v>0.05</x:v>
      </x:c>
      <x:c r="T1155" s="93" t="n">
        <x:f>P1155*R1155</x:f>
        <x:v>96</x:v>
      </x:c>
      <x:c r="U1155" s="93" t="n">
        <x:f>T1155*S1155</x:f>
        <x:v>4.800000000000001</x:v>
      </x:c>
      <x:c r="V1155" s="93" t="str">
        <x:f>PROPER(TRIM('Raw Sales'!L1155))</x:f>
        <x:v>Completed</x:v>
      </x:c>
      <x:c r="W1155" s="93" t="n">
        <x:f>IF(V1155="Returned",0,T1155-U1155)</x:f>
        <x:v>91.2</x:v>
      </x:c>
      <x:c r="X1155" s="93" t="n">
        <x:f>IF(V1155="Returned",Q1155*R1155*10%,Q1155*R1155)</x:f>
        <x:v>32</x:v>
      </x:c>
      <x:c r="Y1155" s="93" t="n">
        <x:f>W1155-X1155</x:f>
        <x:v>59.2</x:v>
      </x:c>
      <x:c r="Z1155" s="94" t="n">
        <x:f>IFERROR(Y1155/W1155,0)</x:f>
        <x:v>0.6491228070175439</x:v>
      </x:c>
      <x:c r="AA1155" s="84" t="str">
        <x:f>PROPER(TRIM('Raw Sales'!M1155))</x:f>
        <x:v>Debit Card</x:v>
      </x:c>
      <x:c r="AB1155" s="84" t="str">
        <x:f>PROPER(TRIM('Raw Sales'!N1155))</x:f>
        <x:v>Liam Parker</x:v>
      </x:c>
      <x:c r="AC1155" s="85" t="n">
        <x:f>'Raw Sales'!O1155</x:f>
        <x:v>45669</x:v>
      </x:c>
      <x:c r="AD1155" s="84" t="n">
        <x:f>AC1155-B1155</x:f>
        <x:v>2</x:v>
      </x:c>
      <x:c r="AE1155" s="84" t="str">
        <x:f>IF(COUNTIF($A$5:A1155,A1155)&gt;1,"Duplicate","Keep")</x:f>
        <x:v>Keep</x:v>
      </x:c>
      <x:c r="AF1155" s="84" t="str">
        <x:f>IF(OR(R1155&lt;=0,AC1155&lt;B1155,H1155="Unknown",M1155="Unknown Product"),"Review","Valid")</x:f>
        <x:v>Valid</x:v>
      </x:c>
      <x:c r="AG1155" s="84" t="n">
        <x:f>IF(AND(AE1155="Keep",AF1155="Valid"),1,0)</x:f>
        <x:v>1</x:v>
      </x:c>
      <x:c r="AH1155" s="84" t="n">
        <x:f>IF(AND(AG1155=1,OR('Dashboard'!$B$4="All",I1155='Dashboard'!$B$4),OR('Dashboard'!$E$4="All",N1155='Dashboard'!$E$4),OR('Dashboard'!$H$4="All",K1155='Dashboard'!$H$4),OR('Dashboard'!$K$4="All",C1155='Dashboard'!$K$4)),1,0)</x:f>
        <x:v>1</x:v>
      </x:c>
      <x:c r="AI1155" s="84" t="n">
        <x:f>IF(AND(AG1155=1,OR('Dashboard'!$B$4="All",I1155='Dashboard'!$B$4),OR('Dashboard'!$E$4="All",N1155='Dashboard'!$E$4),OR('Dashboard'!$H$4="All",K1155='Dashboard'!$H$4)),1,0)</x:f>
        <x:v>1</x:v>
      </x:c>
    </x:row>
    <x:row r="1156">
      <x:c r="A1156" s="84" t="str">
        <x:f>'Raw Sales'!A1156</x:f>
        <x:v>ORD-2025-01272</x:v>
      </x:c>
      <x:c r="B1156" s="85" t="n">
        <x:f>'Raw Sales'!B1156</x:f>
        <x:v>45667</x:v>
      </x:c>
      <x:c r="C1156" s="84" t="n">
        <x:f>YEAR(B1156)</x:f>
        <x:v>2025</x:v>
      </x:c>
      <x:c r="D1156" s="91" t="n">
        <x:f>DATE(YEAR(B1156),MONTH(B1156),1)</x:f>
        <x:v>45658</x:v>
      </x:c>
      <x:c r="E1156" s="84" t="str">
        <x:f>TEXT(B1156,"mmm")</x:f>
        <x:v>Jan</x:v>
      </x:c>
      <x:c r="F1156" s="84" t="str">
        <x:f>'Raw Sales'!C1156</x:f>
        <x:v>CUST-0062</x:v>
      </x:c>
      <x:c r="G1156" s="84" t="str">
        <x:f>PROPER(TRIM('Raw Sales'!D1156))</x:f>
        <x:v>Caleb Davis</x:v>
      </x:c>
      <x:c r="H1156" s="84" t="str">
        <x:f>IF(TRIM('Raw Sales'!E1156)="","Unknown",PROPER(TRIM('Raw Sales'!E1156)))</x:f>
        <x:v>Consumer</x:v>
      </x:c>
      <x:c r="I1156" s="84" t="str">
        <x:f>PROPER(TRIM('Raw Sales'!F1156))</x:f>
        <x:v>Northeast</x:v>
      </x:c>
      <x:c r="J1156" s="84" t="str">
        <x:f>PROPER(TRIM('Raw Sales'!G1156))</x:f>
        <x:v>New York</x:v>
      </x:c>
      <x:c r="K1156" s="84" t="str">
        <x:f>PROPER(TRIM('Raw Sales'!H1156))</x:f>
        <x:v>Marketplace</x:v>
      </x:c>
      <x:c r="L1156" s="84" t="str">
        <x:f>'Raw Sales'!I1156</x:f>
        <x:v>CARE-006</x:v>
      </x:c>
      <x:c r="M1156" s="84" t="str">
        <x:f>IFERROR(VLOOKUP(L1156,'Reference Data'!$A$5:$F$40,2,FALSE),"Unknown Product")</x:f>
        <x:v>Percussion Massage Gun</x:v>
      </x:c>
      <x:c r="N1156" s="84" t="str">
        <x:f>IFERROR(VLOOKUP(L1156,'Reference Data'!$A$5:$F$40,3,FALSE),"Unknown")</x:f>
        <x:v>Personal Care</x:v>
      </x:c>
      <x:c r="O1156" s="84" t="str">
        <x:f>IFERROR(VLOOKUP(L1156,'Reference Data'!$A$5:$F$40,4,FALSE),"Unknown")</x:f>
        <x:v>Wellness</x:v>
      </x:c>
      <x:c r="P1156" s="92" t="n">
        <x:f>IFERROR(VLOOKUP(L1156,'Reference Data'!$A$5:$F$40,5,FALSE),0)</x:f>
        <x:v>129</x:v>
      </x:c>
      <x:c r="Q1156" s="92" t="n">
        <x:f>IFERROR(VLOOKUP(L1156,'Reference Data'!$A$5:$F$40,6,FALSE),0)</x:f>
        <x:v>70</x:v>
      </x:c>
      <x:c r="R1156" s="84" t="n">
        <x:f>'Raw Sales'!J1156</x:f>
        <x:v>1</x:v>
      </x:c>
      <x:c r="S1156" s="87" t="n">
        <x:f>'Raw Sales'!K1156</x:f>
        <x:v>0</x:v>
      </x:c>
      <x:c r="T1156" s="93" t="n">
        <x:f>P1156*R1156</x:f>
        <x:v>129</x:v>
      </x:c>
      <x:c r="U1156" s="93" t="n">
        <x:f>T1156*S1156</x:f>
        <x:v>0</x:v>
      </x:c>
      <x:c r="V1156" s="93" t="str">
        <x:f>PROPER(TRIM('Raw Sales'!L1156))</x:f>
        <x:v>Completed</x:v>
      </x:c>
      <x:c r="W1156" s="93" t="n">
        <x:f>IF(V1156="Returned",0,T1156-U1156)</x:f>
        <x:v>129</x:v>
      </x:c>
      <x:c r="X1156" s="93" t="n">
        <x:f>IF(V1156="Returned",Q1156*R1156*10%,Q1156*R1156)</x:f>
        <x:v>70</x:v>
      </x:c>
      <x:c r="Y1156" s="93" t="n">
        <x:f>W1156-X1156</x:f>
        <x:v>59</x:v>
      </x:c>
      <x:c r="Z1156" s="94" t="n">
        <x:f>IFERROR(Y1156/W1156,0)</x:f>
        <x:v>0.4573643410852713</x:v>
      </x:c>
      <x:c r="AA1156" s="84" t="str">
        <x:f>PROPER(TRIM('Raw Sales'!M1156))</x:f>
        <x:v>Credit Card</x:v>
      </x:c>
      <x:c r="AB1156" s="84" t="str">
        <x:f>PROPER(TRIM('Raw Sales'!N1156))</x:f>
        <x:v>Sofia Bennett</x:v>
      </x:c>
      <x:c r="AC1156" s="85" t="n">
        <x:f>'Raw Sales'!O1156</x:f>
        <x:v>45672</x:v>
      </x:c>
      <x:c r="AD1156" s="84" t="n">
        <x:f>AC1156-B1156</x:f>
        <x:v>5</x:v>
      </x:c>
      <x:c r="AE1156" s="84" t="str">
        <x:f>IF(COUNTIF($A$5:A1156,A1156)&gt;1,"Duplicate","Keep")</x:f>
        <x:v>Keep</x:v>
      </x:c>
      <x:c r="AF1156" s="84" t="str">
        <x:f>IF(OR(R1156&lt;=0,AC1156&lt;B1156,H1156="Unknown",M1156="Unknown Product"),"Review","Valid")</x:f>
        <x:v>Valid</x:v>
      </x:c>
      <x:c r="AG1156" s="84" t="n">
        <x:f>IF(AND(AE1156="Keep",AF1156="Valid"),1,0)</x:f>
        <x:v>1</x:v>
      </x:c>
      <x:c r="AH1156" s="84" t="n">
        <x:f>IF(AND(AG1156=1,OR('Dashboard'!$B$4="All",I1156='Dashboard'!$B$4),OR('Dashboard'!$E$4="All",N1156='Dashboard'!$E$4),OR('Dashboard'!$H$4="All",K1156='Dashboard'!$H$4),OR('Dashboard'!$K$4="All",C1156='Dashboard'!$K$4)),1,0)</x:f>
        <x:v>1</x:v>
      </x:c>
      <x:c r="AI1156" s="84" t="n">
        <x:f>IF(AND(AG1156=1,OR('Dashboard'!$B$4="All",I1156='Dashboard'!$B$4),OR('Dashboard'!$E$4="All",N1156='Dashboard'!$E$4),OR('Dashboard'!$H$4="All",K1156='Dashboard'!$H$4)),1,0)</x:f>
        <x:v>1</x:v>
      </x:c>
    </x:row>
    <x:row r="1157">
      <x:c r="A1157" s="84" t="str">
        <x:f>'Raw Sales'!A1157</x:f>
        <x:v>ORD-2025-01570</x:v>
      </x:c>
      <x:c r="B1157" s="85" t="n">
        <x:f>'Raw Sales'!B1157</x:f>
        <x:v>45667</x:v>
      </x:c>
      <x:c r="C1157" s="84" t="n">
        <x:f>YEAR(B1157)</x:f>
        <x:v>2025</x:v>
      </x:c>
      <x:c r="D1157" s="91" t="n">
        <x:f>DATE(YEAR(B1157),MONTH(B1157),1)</x:f>
        <x:v>45658</x:v>
      </x:c>
      <x:c r="E1157" s="84" t="str">
        <x:f>TEXT(B1157,"mmm")</x:f>
        <x:v>Jan</x:v>
      </x:c>
      <x:c r="F1157" s="84" t="str">
        <x:f>'Raw Sales'!C1157</x:f>
        <x:v>CUST-0258</x:v>
      </x:c>
      <x:c r="G1157" s="84" t="str">
        <x:f>PROPER(TRIM('Raw Sales'!D1157))</x:f>
        <x:v>Nina Walker</x:v>
      </x:c>
      <x:c r="H1157" s="84" t="str">
        <x:f>IF(TRIM('Raw Sales'!E1157)="","Unknown",PROPER(TRIM('Raw Sales'!E1157)))</x:f>
        <x:v>Consumer</x:v>
      </x:c>
      <x:c r="I1157" s="84" t="str">
        <x:f>PROPER(TRIM('Raw Sales'!F1157))</x:f>
        <x:v>West</x:v>
      </x:c>
      <x:c r="J1157" s="84" t="str">
        <x:f>PROPER(TRIM('Raw Sales'!G1157))</x:f>
        <x:v>Denver</x:v>
      </x:c>
      <x:c r="K1157" s="84" t="str">
        <x:f>PROPER(TRIM('Raw Sales'!H1157))</x:f>
        <x:v>Online</x:v>
      </x:c>
      <x:c r="L1157" s="84" t="str">
        <x:f>'Raw Sales'!I1157</x:f>
        <x:v>ELEC-003</x:v>
      </x:c>
      <x:c r="M1157" s="84" t="str">
        <x:f>IFERROR(VLOOKUP(L1157,'Reference Data'!$A$5:$F$40,2,FALSE),"Unknown Product")</x:f>
        <x:v>Bluetooth Speaker</x:v>
      </x:c>
      <x:c r="N1157" s="84" t="str">
        <x:f>IFERROR(VLOOKUP(L1157,'Reference Data'!$A$5:$F$40,3,FALSE),"Unknown")</x:f>
        <x:v>Electronics</x:v>
      </x:c>
      <x:c r="O1157" s="84" t="str">
        <x:f>IFERROR(VLOOKUP(L1157,'Reference Data'!$A$5:$F$40,4,FALSE),"Unknown")</x:f>
        <x:v>Audio</x:v>
      </x:c>
      <x:c r="P1157" s="92" t="n">
        <x:f>IFERROR(VLOOKUP(L1157,'Reference Data'!$A$5:$F$40,5,FALSE),0)</x:f>
        <x:v>89</x:v>
      </x:c>
      <x:c r="Q1157" s="92" t="n">
        <x:f>IFERROR(VLOOKUP(L1157,'Reference Data'!$A$5:$F$40,6,FALSE),0)</x:f>
        <x:v>44</x:v>
      </x:c>
      <x:c r="R1157" s="84" t="n">
        <x:f>'Raw Sales'!J1157</x:f>
        <x:v>1</x:v>
      </x:c>
      <x:c r="S1157" s="87" t="n">
        <x:f>'Raw Sales'!K1157</x:f>
        <x:v>0</x:v>
      </x:c>
      <x:c r="T1157" s="93" t="n">
        <x:f>P1157*R1157</x:f>
        <x:v>89</x:v>
      </x:c>
      <x:c r="U1157" s="93" t="n">
        <x:f>T1157*S1157</x:f>
        <x:v>0</x:v>
      </x:c>
      <x:c r="V1157" s="93" t="str">
        <x:f>PROPER(TRIM('Raw Sales'!L1157))</x:f>
        <x:v>Completed</x:v>
      </x:c>
      <x:c r="W1157" s="93" t="n">
        <x:f>IF(V1157="Returned",0,T1157-U1157)</x:f>
        <x:v>89</x:v>
      </x:c>
      <x:c r="X1157" s="93" t="n">
        <x:f>IF(V1157="Returned",Q1157*R1157*10%,Q1157*R1157)</x:f>
        <x:v>44</x:v>
      </x:c>
      <x:c r="Y1157" s="93" t="n">
        <x:f>W1157-X1157</x:f>
        <x:v>45</x:v>
      </x:c>
      <x:c r="Z1157" s="94" t="n">
        <x:f>IFERROR(Y1157/W1157,0)</x:f>
        <x:v>0.5056179775280899</x:v>
      </x:c>
      <x:c r="AA1157" s="84" t="str">
        <x:f>PROPER(TRIM('Raw Sales'!M1157))</x:f>
        <x:v>Credit Card</x:v>
      </x:c>
      <x:c r="AB1157" s="84" t="str">
        <x:f>PROPER(TRIM('Raw Sales'!N1157))</x:f>
        <x:v>Nora Kim</x:v>
      </x:c>
      <x:c r="AC1157" s="85" t="n">
        <x:f>'Raw Sales'!O1157</x:f>
        <x:v>45671</x:v>
      </x:c>
      <x:c r="AD1157" s="84" t="n">
        <x:f>AC1157-B1157</x:f>
        <x:v>4</x:v>
      </x:c>
      <x:c r="AE1157" s="84" t="str">
        <x:f>IF(COUNTIF($A$5:A1157,A1157)&gt;1,"Duplicate","Keep")</x:f>
        <x:v>Keep</x:v>
      </x:c>
      <x:c r="AF1157" s="84" t="str">
        <x:f>IF(OR(R1157&lt;=0,AC1157&lt;B1157,H1157="Unknown",M1157="Unknown Product"),"Review","Valid")</x:f>
        <x:v>Valid</x:v>
      </x:c>
      <x:c r="AG1157" s="84" t="n">
        <x:f>IF(AND(AE1157="Keep",AF1157="Valid"),1,0)</x:f>
        <x:v>1</x:v>
      </x:c>
      <x:c r="AH1157" s="84" t="n">
        <x:f>IF(AND(AG1157=1,OR('Dashboard'!$B$4="All",I1157='Dashboard'!$B$4),OR('Dashboard'!$E$4="All",N1157='Dashboard'!$E$4),OR('Dashboard'!$H$4="All",K1157='Dashboard'!$H$4),OR('Dashboard'!$K$4="All",C1157='Dashboard'!$K$4)),1,0)</x:f>
        <x:v>1</x:v>
      </x:c>
      <x:c r="AI1157" s="84" t="n">
        <x:f>IF(AND(AG1157=1,OR('Dashboard'!$B$4="All",I1157='Dashboard'!$B$4),OR('Dashboard'!$E$4="All",N1157='Dashboard'!$E$4),OR('Dashboard'!$H$4="All",K1157='Dashboard'!$H$4)),1,0)</x:f>
        <x:v>1</x:v>
      </x:c>
    </x:row>
    <x:row r="1158">
      <x:c r="A1158" s="84" t="str">
        <x:f>'Raw Sales'!A1158</x:f>
        <x:v>ORD-2025-00873</x:v>
      </x:c>
      <x:c r="B1158" s="85" t="n">
        <x:f>'Raw Sales'!B1158</x:f>
        <x:v>45668</x:v>
      </x:c>
      <x:c r="C1158" s="84" t="n">
        <x:f>YEAR(B1158)</x:f>
        <x:v>2025</x:v>
      </x:c>
      <x:c r="D1158" s="91" t="n">
        <x:f>DATE(YEAR(B1158),MONTH(B1158),1)</x:f>
        <x:v>45658</x:v>
      </x:c>
      <x:c r="E1158" s="84" t="str">
        <x:f>TEXT(B1158,"mmm")</x:f>
        <x:v>Jan</x:v>
      </x:c>
      <x:c r="F1158" s="84" t="str">
        <x:f>'Raw Sales'!C1158</x:f>
        <x:v>CUST-0227</x:v>
      </x:c>
      <x:c r="G1158" s="84" t="str">
        <x:f>PROPER(TRIM('Raw Sales'!D1158))</x:f>
        <x:v>Maya Foster</x:v>
      </x:c>
      <x:c r="H1158" s="84" t="str">
        <x:f>IF(TRIM('Raw Sales'!E1158)="","Unknown",PROPER(TRIM('Raw Sales'!E1158)))</x:f>
        <x:v>Consumer</x:v>
      </x:c>
      <x:c r="I1158" s="84" t="str">
        <x:f>PROPER(TRIM('Raw Sales'!F1158))</x:f>
        <x:v>West</x:v>
      </x:c>
      <x:c r="J1158" s="84" t="str">
        <x:f>PROPER(TRIM('Raw Sales'!G1158))</x:f>
        <x:v>Phoenix</x:v>
      </x:c>
      <x:c r="K1158" s="84" t="str">
        <x:f>PROPER(TRIM('Raw Sales'!H1158))</x:f>
        <x:v>Retail Store</x:v>
      </x:c>
      <x:c r="L1158" s="84" t="str">
        <x:f>'Raw Sales'!I1158</x:f>
        <x:v>ELEC-005</x:v>
      </x:c>
      <x:c r="M1158" s="84" t="str">
        <x:f>IFERROR(VLOOKUP(L1158,'Reference Data'!$A$5:$F$40,2,FALSE),"Unknown Product")</x:f>
        <x:v>HD Webcam</x:v>
      </x:c>
      <x:c r="N1158" s="84" t="str">
        <x:f>IFERROR(VLOOKUP(L1158,'Reference Data'!$A$5:$F$40,3,FALSE),"Unknown")</x:f>
        <x:v>Electronics</x:v>
      </x:c>
      <x:c r="O1158" s="84" t="str">
        <x:f>IFERROR(VLOOKUP(L1158,'Reference Data'!$A$5:$F$40,4,FALSE),"Unknown")</x:f>
        <x:v>Computer Accessories</x:v>
      </x:c>
      <x:c r="P1158" s="92" t="n">
        <x:f>IFERROR(VLOOKUP(L1158,'Reference Data'!$A$5:$F$40,5,FALSE),0)</x:f>
        <x:v>79</x:v>
      </x:c>
      <x:c r="Q1158" s="92" t="n">
        <x:f>IFERROR(VLOOKUP(L1158,'Reference Data'!$A$5:$F$40,6,FALSE),0)</x:f>
        <x:v>37</x:v>
      </x:c>
      <x:c r="R1158" s="84" t="n">
        <x:f>'Raw Sales'!J1158</x:f>
        <x:v>1</x:v>
      </x:c>
      <x:c r="S1158" s="87" t="n">
        <x:f>'Raw Sales'!K1158</x:f>
        <x:v>0.05</x:v>
      </x:c>
      <x:c r="T1158" s="93" t="n">
        <x:f>P1158*R1158</x:f>
        <x:v>79</x:v>
      </x:c>
      <x:c r="U1158" s="93" t="n">
        <x:f>T1158*S1158</x:f>
        <x:v>3.95</x:v>
      </x:c>
      <x:c r="V1158" s="93" t="str">
        <x:f>PROPER(TRIM('Raw Sales'!L1158))</x:f>
        <x:v>Completed</x:v>
      </x:c>
      <x:c r="W1158" s="93" t="n">
        <x:f>IF(V1158="Returned",0,T1158-U1158)</x:f>
        <x:v>75.05</x:v>
      </x:c>
      <x:c r="X1158" s="93" t="n">
        <x:f>IF(V1158="Returned",Q1158*R1158*10%,Q1158*R1158)</x:f>
        <x:v>37</x:v>
      </x:c>
      <x:c r="Y1158" s="93" t="n">
        <x:f>W1158-X1158</x:f>
        <x:v>38.05</x:v>
      </x:c>
      <x:c r="Z1158" s="94" t="n">
        <x:f>IFERROR(Y1158/W1158,0)</x:f>
        <x:v>0.5069953364423717</x:v>
      </x:c>
      <x:c r="AA1158" s="84" t="str">
        <x:f>PROPER(TRIM('Raw Sales'!M1158))</x:f>
        <x:v>Debit Card</x:v>
      </x:c>
      <x:c r="AB1158" s="84" t="str">
        <x:f>PROPER(TRIM('Raw Sales'!N1158))</x:f>
        <x:v>Leo Martinez</x:v>
      </x:c>
      <x:c r="AC1158" s="85" t="n">
        <x:f>'Raw Sales'!O1158</x:f>
        <x:v>45668</x:v>
      </x:c>
      <x:c r="AD1158" s="84" t="n">
        <x:f>AC1158-B1158</x:f>
        <x:v>0</x:v>
      </x:c>
      <x:c r="AE1158" s="84" t="str">
        <x:f>IF(COUNTIF($A$5:A1158,A1158)&gt;1,"Duplicate","Keep")</x:f>
        <x:v>Keep</x:v>
      </x:c>
      <x:c r="AF1158" s="84" t="str">
        <x:f>IF(OR(R1158&lt;=0,AC1158&lt;B1158,H1158="Unknown",M1158="Unknown Product"),"Review","Valid")</x:f>
        <x:v>Valid</x:v>
      </x:c>
      <x:c r="AG1158" s="84" t="n">
        <x:f>IF(AND(AE1158="Keep",AF1158="Valid"),1,0)</x:f>
        <x:v>1</x:v>
      </x:c>
      <x:c r="AH1158" s="84" t="n">
        <x:f>IF(AND(AG1158=1,OR('Dashboard'!$B$4="All",I1158='Dashboard'!$B$4),OR('Dashboard'!$E$4="All",N1158='Dashboard'!$E$4),OR('Dashboard'!$H$4="All",K1158='Dashboard'!$H$4),OR('Dashboard'!$K$4="All",C1158='Dashboard'!$K$4)),1,0)</x:f>
        <x:v>1</x:v>
      </x:c>
      <x:c r="AI1158" s="84" t="n">
        <x:f>IF(AND(AG1158=1,OR('Dashboard'!$B$4="All",I1158='Dashboard'!$B$4),OR('Dashboard'!$E$4="All",N1158='Dashboard'!$E$4),OR('Dashboard'!$H$4="All",K1158='Dashboard'!$H$4)),1,0)</x:f>
        <x:v>1</x:v>
      </x:c>
    </x:row>
    <x:row r="1159">
      <x:c r="A1159" s="84" t="str">
        <x:f>'Raw Sales'!A1159</x:f>
        <x:v>ORD-2025-00647</x:v>
      </x:c>
      <x:c r="B1159" s="85" t="n">
        <x:f>'Raw Sales'!B1159</x:f>
        <x:v>45669</x:v>
      </x:c>
      <x:c r="C1159" s="84" t="n">
        <x:f>YEAR(B1159)</x:f>
        <x:v>2025</x:v>
      </x:c>
      <x:c r="D1159" s="91" t="n">
        <x:f>DATE(YEAR(B1159),MONTH(B1159),1)</x:f>
        <x:v>45658</x:v>
      </x:c>
      <x:c r="E1159" s="84" t="str">
        <x:f>TEXT(B1159,"mmm")</x:f>
        <x:v>Jan</x:v>
      </x:c>
      <x:c r="F1159" s="84" t="str">
        <x:f>'Raw Sales'!C1159</x:f>
        <x:v>CUST-0356</x:v>
      </x:c>
      <x:c r="G1159" s="84" t="str">
        <x:f>PROPER(TRIM('Raw Sales'!D1159))</x:f>
        <x:v>Grace Davis</x:v>
      </x:c>
      <x:c r="H1159" s="84" t="str">
        <x:f>IF(TRIM('Raw Sales'!E1159)="","Unknown",PROPER(TRIM('Raw Sales'!E1159)))</x:f>
        <x:v>Consumer</x:v>
      </x:c>
      <x:c r="I1159" s="84" t="str">
        <x:f>PROPER(TRIM('Raw Sales'!F1159))</x:f>
        <x:v>Northeast</x:v>
      </x:c>
      <x:c r="J1159" s="84" t="str">
        <x:f>PROPER(TRIM('Raw Sales'!G1159))</x:f>
        <x:v>Philadelphia</x:v>
      </x:c>
      <x:c r="K1159" s="84" t="str">
        <x:f>PROPER(TRIM('Raw Sales'!H1159))</x:f>
        <x:v>Retail Store</x:v>
      </x:c>
      <x:c r="L1159" s="84" t="str">
        <x:f>'Raw Sales'!I1159</x:f>
        <x:v>HOME-006</x:v>
      </x:c>
      <x:c r="M1159" s="84" t="str">
        <x:f>IFERROR(VLOOKUP(L1159,'Reference Data'!$A$5:$F$40,2,FALSE),"Unknown Product")</x:f>
        <x:v>Food Storage Set</x:v>
      </x:c>
      <x:c r="N1159" s="84" t="str">
        <x:f>IFERROR(VLOOKUP(L1159,'Reference Data'!$A$5:$F$40,3,FALSE),"Unknown")</x:f>
        <x:v>Home &amp; Kitchen</x:v>
      </x:c>
      <x:c r="O1159" s="84" t="str">
        <x:f>IFERROR(VLOOKUP(L1159,'Reference Data'!$A$5:$F$40,4,FALSE),"Unknown")</x:f>
        <x:v>Kitchenware</x:v>
      </x:c>
      <x:c r="P1159" s="92" t="n">
        <x:f>IFERROR(VLOOKUP(L1159,'Reference Data'!$A$5:$F$40,5,FALSE),0)</x:f>
        <x:v>34</x:v>
      </x:c>
      <x:c r="Q1159" s="92" t="n">
        <x:f>IFERROR(VLOOKUP(L1159,'Reference Data'!$A$5:$F$40,6,FALSE),0)</x:f>
        <x:v>15</x:v>
      </x:c>
      <x:c r="R1159" s="84" t="n">
        <x:f>'Raw Sales'!J1159</x:f>
        <x:v>1</x:v>
      </x:c>
      <x:c r="S1159" s="87" t="n">
        <x:f>'Raw Sales'!K1159</x:f>
        <x:v>0</x:v>
      </x:c>
      <x:c r="T1159" s="93" t="n">
        <x:f>P1159*R1159</x:f>
        <x:v>34</x:v>
      </x:c>
      <x:c r="U1159" s="93" t="n">
        <x:f>T1159*S1159</x:f>
        <x:v>0</x:v>
      </x:c>
      <x:c r="V1159" s="93" t="str">
        <x:f>PROPER(TRIM('Raw Sales'!L1159))</x:f>
        <x:v>Completed</x:v>
      </x:c>
      <x:c r="W1159" s="93" t="n">
        <x:f>IF(V1159="Returned",0,T1159-U1159)</x:f>
        <x:v>34</x:v>
      </x:c>
      <x:c r="X1159" s="93" t="n">
        <x:f>IF(V1159="Returned",Q1159*R1159*10%,Q1159*R1159)</x:f>
        <x:v>15</x:v>
      </x:c>
      <x:c r="Y1159" s="93" t="n">
        <x:f>W1159-X1159</x:f>
        <x:v>19</x:v>
      </x:c>
      <x:c r="Z1159" s="94" t="n">
        <x:f>IFERROR(Y1159/W1159,0)</x:f>
        <x:v>0.5588235294117647</x:v>
      </x:c>
      <x:c r="AA1159" s="84" t="str">
        <x:f>PROPER(TRIM('Raw Sales'!M1159))</x:f>
        <x:v>Debit Card</x:v>
      </x:c>
      <x:c r="AB1159" s="84" t="str">
        <x:f>PROPER(TRIM('Raw Sales'!N1159))</x:f>
        <x:v>Maya Brooks</x:v>
      </x:c>
      <x:c r="AC1159" s="85" t="n">
        <x:f>'Raw Sales'!O1159</x:f>
        <x:v>45669</x:v>
      </x:c>
      <x:c r="AD1159" s="84" t="n">
        <x:f>AC1159-B1159</x:f>
        <x:v>0</x:v>
      </x:c>
      <x:c r="AE1159" s="84" t="str">
        <x:f>IF(COUNTIF($A$5:A1159,A1159)&gt;1,"Duplicate","Keep")</x:f>
        <x:v>Keep</x:v>
      </x:c>
      <x:c r="AF1159" s="84" t="str">
        <x:f>IF(OR(R1159&lt;=0,AC1159&lt;B1159,H1159="Unknown",M1159="Unknown Product"),"Review","Valid")</x:f>
        <x:v>Valid</x:v>
      </x:c>
      <x:c r="AG1159" s="84" t="n">
        <x:f>IF(AND(AE1159="Keep",AF1159="Valid"),1,0)</x:f>
        <x:v>1</x:v>
      </x:c>
      <x:c r="AH1159" s="84" t="n">
        <x:f>IF(AND(AG1159=1,OR('Dashboard'!$B$4="All",I1159='Dashboard'!$B$4),OR('Dashboard'!$E$4="All",N1159='Dashboard'!$E$4),OR('Dashboard'!$H$4="All",K1159='Dashboard'!$H$4),OR('Dashboard'!$K$4="All",C1159='Dashboard'!$K$4)),1,0)</x:f>
        <x:v>1</x:v>
      </x:c>
      <x:c r="AI1159" s="84" t="n">
        <x:f>IF(AND(AG1159=1,OR('Dashboard'!$B$4="All",I1159='Dashboard'!$B$4),OR('Dashboard'!$E$4="All",N1159='Dashboard'!$E$4),OR('Dashboard'!$H$4="All",K1159='Dashboard'!$H$4)),1,0)</x:f>
        <x:v>1</x:v>
      </x:c>
    </x:row>
    <x:row r="1160">
      <x:c r="A1160" s="84" t="str">
        <x:f>'Raw Sales'!A1160</x:f>
        <x:v>ORD-2025-01039</x:v>
      </x:c>
      <x:c r="B1160" s="85" t="n">
        <x:f>'Raw Sales'!B1160</x:f>
        <x:v>45669</x:v>
      </x:c>
      <x:c r="C1160" s="84" t="n">
        <x:f>YEAR(B1160)</x:f>
        <x:v>2025</x:v>
      </x:c>
      <x:c r="D1160" s="91" t="n">
        <x:f>DATE(YEAR(B1160),MONTH(B1160),1)</x:f>
        <x:v>45658</x:v>
      </x:c>
      <x:c r="E1160" s="84" t="str">
        <x:f>TEXT(B1160,"mmm")</x:f>
        <x:v>Jan</x:v>
      </x:c>
      <x:c r="F1160" s="84" t="str">
        <x:f>'Raw Sales'!C1160</x:f>
        <x:v>CUST-0472</x:v>
      </x:c>
      <x:c r="G1160" s="84" t="str">
        <x:f>PROPER(TRIM('Raw Sales'!D1160))</x:f>
        <x:v>Owen Davis</x:v>
      </x:c>
      <x:c r="H1160" s="84" t="str">
        <x:f>IF(TRIM('Raw Sales'!E1160)="","Unknown",PROPER(TRIM('Raw Sales'!E1160)))</x:f>
        <x:v>Corporate</x:v>
      </x:c>
      <x:c r="I1160" s="84" t="str">
        <x:f>PROPER(TRIM('Raw Sales'!F1160))</x:f>
        <x:v>West</x:v>
      </x:c>
      <x:c r="J1160" s="84" t="str">
        <x:f>PROPER(TRIM('Raw Sales'!G1160))</x:f>
        <x:v>Los Angeles</x:v>
      </x:c>
      <x:c r="K1160" s="84" t="str">
        <x:f>PROPER(TRIM('Raw Sales'!H1160))</x:f>
        <x:v>Retail Store</x:v>
      </x:c>
      <x:c r="L1160" s="84" t="str">
        <x:f>'Raw Sales'!I1160</x:f>
        <x:v>HOME-003</x:v>
      </x:c>
      <x:c r="M1160" s="84" t="str">
        <x:f>IFERROR(VLOOKUP(L1160,'Reference Data'!$A$5:$F$40,2,FALSE),"Unknown Product")</x:f>
        <x:v>Countertop Blender</x:v>
      </x:c>
      <x:c r="N1160" s="84" t="str">
        <x:f>IFERROR(VLOOKUP(L1160,'Reference Data'!$A$5:$F$40,3,FALSE),"Unknown")</x:f>
        <x:v>Home &amp; Kitchen</x:v>
      </x:c>
      <x:c r="O1160" s="84" t="str">
        <x:f>IFERROR(VLOOKUP(L1160,'Reference Data'!$A$5:$F$40,4,FALSE),"Unknown")</x:f>
        <x:v>Small Appliances</x:v>
      </x:c>
      <x:c r="P1160" s="92" t="n">
        <x:f>IFERROR(VLOOKUP(L1160,'Reference Data'!$A$5:$F$40,5,FALSE),0)</x:f>
        <x:v>89</x:v>
      </x:c>
      <x:c r="Q1160" s="92" t="n">
        <x:f>IFERROR(VLOOKUP(L1160,'Reference Data'!$A$5:$F$40,6,FALSE),0)</x:f>
        <x:v>46</x:v>
      </x:c>
      <x:c r="R1160" s="84" t="n">
        <x:f>'Raw Sales'!J1160</x:f>
        <x:v>2</x:v>
      </x:c>
      <x:c r="S1160" s="87" t="n">
        <x:f>'Raw Sales'!K1160</x:f>
        <x:v>0.1</x:v>
      </x:c>
      <x:c r="T1160" s="93" t="n">
        <x:f>P1160*R1160</x:f>
        <x:v>178</x:v>
      </x:c>
      <x:c r="U1160" s="93" t="n">
        <x:f>T1160*S1160</x:f>
        <x:v>17.8</x:v>
      </x:c>
      <x:c r="V1160" s="93" t="str">
        <x:f>PROPER(TRIM('Raw Sales'!L1160))</x:f>
        <x:v>Completed</x:v>
      </x:c>
      <x:c r="W1160" s="93" t="n">
        <x:f>IF(V1160="Returned",0,T1160-U1160)</x:f>
        <x:v>160.2</x:v>
      </x:c>
      <x:c r="X1160" s="93" t="n">
        <x:f>IF(V1160="Returned",Q1160*R1160*10%,Q1160*R1160)</x:f>
        <x:v>92</x:v>
      </x:c>
      <x:c r="Y1160" s="93" t="n">
        <x:f>W1160-X1160</x:f>
        <x:v>68.19999999999999</x:v>
      </x:c>
      <x:c r="Z1160" s="94" t="n">
        <x:f>IFERROR(Y1160/W1160,0)</x:f>
        <x:v>0.4257178526841448</x:v>
      </x:c>
      <x:c r="AA1160" s="84" t="str">
        <x:f>PROPER(TRIM('Raw Sales'!M1160))</x:f>
        <x:v>Debit Card</x:v>
      </x:c>
      <x:c r="AB1160" s="84" t="str">
        <x:f>PROPER(TRIM('Raw Sales'!N1160))</x:f>
        <x:v>Mia Chen</x:v>
      </x:c>
      <x:c r="AC1160" s="85" t="n">
        <x:f>'Raw Sales'!O1160</x:f>
        <x:v>45670</x:v>
      </x:c>
      <x:c r="AD1160" s="84" t="n">
        <x:f>AC1160-B1160</x:f>
        <x:v>1</x:v>
      </x:c>
      <x:c r="AE1160" s="84" t="str">
        <x:f>IF(COUNTIF($A$5:A1160,A1160)&gt;1,"Duplicate","Keep")</x:f>
        <x:v>Keep</x:v>
      </x:c>
      <x:c r="AF1160" s="84" t="str">
        <x:f>IF(OR(R1160&lt;=0,AC1160&lt;B1160,H1160="Unknown",M1160="Unknown Product"),"Review","Valid")</x:f>
        <x:v>Valid</x:v>
      </x:c>
      <x:c r="AG1160" s="84" t="n">
        <x:f>IF(AND(AE1160="Keep",AF1160="Valid"),1,0)</x:f>
        <x:v>1</x:v>
      </x:c>
      <x:c r="AH1160" s="84" t="n">
        <x:f>IF(AND(AG1160=1,OR('Dashboard'!$B$4="All",I1160='Dashboard'!$B$4),OR('Dashboard'!$E$4="All",N1160='Dashboard'!$E$4),OR('Dashboard'!$H$4="All",K1160='Dashboard'!$H$4),OR('Dashboard'!$K$4="All",C1160='Dashboard'!$K$4)),1,0)</x:f>
        <x:v>1</x:v>
      </x:c>
      <x:c r="AI1160" s="84" t="n">
        <x:f>IF(AND(AG1160=1,OR('Dashboard'!$B$4="All",I1160='Dashboard'!$B$4),OR('Dashboard'!$E$4="All",N1160='Dashboard'!$E$4),OR('Dashboard'!$H$4="All",K1160='Dashboard'!$H$4)),1,0)</x:f>
        <x:v>1</x:v>
      </x:c>
    </x:row>
    <x:row r="1161">
      <x:c r="A1161" s="84" t="str">
        <x:f>'Raw Sales'!A1161</x:f>
        <x:v>ORD-2025-01414</x:v>
      </x:c>
      <x:c r="B1161" s="85" t="n">
        <x:f>'Raw Sales'!B1161</x:f>
        <x:v>45669</x:v>
      </x:c>
      <x:c r="C1161" s="84" t="n">
        <x:f>YEAR(B1161)</x:f>
        <x:v>2025</x:v>
      </x:c>
      <x:c r="D1161" s="91" t="n">
        <x:f>DATE(YEAR(B1161),MONTH(B1161),1)</x:f>
        <x:v>45658</x:v>
      </x:c>
      <x:c r="E1161" s="84" t="str">
        <x:f>TEXT(B1161,"mmm")</x:f>
        <x:v>Jan</x:v>
      </x:c>
      <x:c r="F1161" s="84" t="str">
        <x:f>'Raw Sales'!C1161</x:f>
        <x:v>CUST-0343</x:v>
      </x:c>
      <x:c r="G1161" s="84" t="str">
        <x:f>PROPER(TRIM('Raw Sales'!D1161))</x:f>
        <x:v>Elias Hall</x:v>
      </x:c>
      <x:c r="H1161" s="84" t="str">
        <x:f>IF(TRIM('Raw Sales'!E1161)="","Unknown",PROPER(TRIM('Raw Sales'!E1161)))</x:f>
        <x:v>Consumer</x:v>
      </x:c>
      <x:c r="I1161" s="84" t="str">
        <x:f>PROPER(TRIM('Raw Sales'!F1161))</x:f>
        <x:v>Northeast</x:v>
      </x:c>
      <x:c r="J1161" s="84" t="str">
        <x:f>PROPER(TRIM('Raw Sales'!G1161))</x:f>
        <x:v>Philadelphia</x:v>
      </x:c>
      <x:c r="K1161" s="84" t="str">
        <x:f>PROPER(TRIM('Raw Sales'!H1161))</x:f>
        <x:v>Online</x:v>
      </x:c>
      <x:c r="L1161" s="84" t="str">
        <x:f>'Raw Sales'!I1161</x:f>
        <x:v>FITN-006</x:v>
      </x:c>
      <x:c r="M1161" s="84" t="str">
        <x:f>IFERROR(VLOOKUP(L1161,'Reference Data'!$A$5:$F$40,2,FALSE),"Unknown Product")</x:f>
        <x:v>Foam Roller</x:v>
      </x:c>
      <x:c r="N1161" s="84" t="str">
        <x:f>IFERROR(VLOOKUP(L1161,'Reference Data'!$A$5:$F$40,3,FALSE),"Unknown")</x:f>
        <x:v>Fitness</x:v>
      </x:c>
      <x:c r="O1161" s="84" t="str">
        <x:f>IFERROR(VLOOKUP(L1161,'Reference Data'!$A$5:$F$40,4,FALSE),"Unknown")</x:f>
        <x:v>Recovery</x:v>
      </x:c>
      <x:c r="P1161" s="92" t="n">
        <x:f>IFERROR(VLOOKUP(L1161,'Reference Data'!$A$5:$F$40,5,FALSE),0)</x:f>
        <x:v>31</x:v>
      </x:c>
      <x:c r="Q1161" s="92" t="n">
        <x:f>IFERROR(VLOOKUP(L1161,'Reference Data'!$A$5:$F$40,6,FALSE),0)</x:f>
        <x:v>12</x:v>
      </x:c>
      <x:c r="R1161" s="84" t="n">
        <x:f>'Raw Sales'!J1161</x:f>
        <x:v>2</x:v>
      </x:c>
      <x:c r="S1161" s="87" t="n">
        <x:f>'Raw Sales'!K1161</x:f>
        <x:v>0.05</x:v>
      </x:c>
      <x:c r="T1161" s="93" t="n">
        <x:f>P1161*R1161</x:f>
        <x:v>62</x:v>
      </x:c>
      <x:c r="U1161" s="93" t="n">
        <x:f>T1161*S1161</x:f>
        <x:v>3.1</x:v>
      </x:c>
      <x:c r="V1161" s="93" t="str">
        <x:f>PROPER(TRIM('Raw Sales'!L1161))</x:f>
        <x:v>Completed</x:v>
      </x:c>
      <x:c r="W1161" s="93" t="n">
        <x:f>IF(V1161="Returned",0,T1161-U1161)</x:f>
        <x:v>58.9</x:v>
      </x:c>
      <x:c r="X1161" s="93" t="n">
        <x:f>IF(V1161="Returned",Q1161*R1161*10%,Q1161*R1161)</x:f>
        <x:v>24</x:v>
      </x:c>
      <x:c r="Y1161" s="93" t="n">
        <x:f>W1161-X1161</x:f>
        <x:v>34.9</x:v>
      </x:c>
      <x:c r="Z1161" s="94" t="n">
        <x:f>IFERROR(Y1161/W1161,0)</x:f>
        <x:v>0.5925297113752123</x:v>
      </x:c>
      <x:c r="AA1161" s="84" t="str">
        <x:f>PROPER(TRIM('Raw Sales'!M1161))</x:f>
        <x:v>Credit Card</x:v>
      </x:c>
      <x:c r="AB1161" s="84" t="str">
        <x:f>PROPER(TRIM('Raw Sales'!N1161))</x:f>
        <x:v>Sofia Bennett</x:v>
      </x:c>
      <x:c r="AC1161" s="85" t="n">
        <x:f>'Raw Sales'!O1161</x:f>
        <x:v>45674</x:v>
      </x:c>
      <x:c r="AD1161" s="84" t="n">
        <x:f>AC1161-B1161</x:f>
        <x:v>5</x:v>
      </x:c>
      <x:c r="AE1161" s="84" t="str">
        <x:f>IF(COUNTIF($A$5:A1161,A1161)&gt;1,"Duplicate","Keep")</x:f>
        <x:v>Keep</x:v>
      </x:c>
      <x:c r="AF1161" s="84" t="str">
        <x:f>IF(OR(R1161&lt;=0,AC1161&lt;B1161,H1161="Unknown",M1161="Unknown Product"),"Review","Valid")</x:f>
        <x:v>Valid</x:v>
      </x:c>
      <x:c r="AG1161" s="84" t="n">
        <x:f>IF(AND(AE1161="Keep",AF1161="Valid"),1,0)</x:f>
        <x:v>1</x:v>
      </x:c>
      <x:c r="AH1161" s="84" t="n">
        <x:f>IF(AND(AG1161=1,OR('Dashboard'!$B$4="All",I1161='Dashboard'!$B$4),OR('Dashboard'!$E$4="All",N1161='Dashboard'!$E$4),OR('Dashboard'!$H$4="All",K1161='Dashboard'!$H$4),OR('Dashboard'!$K$4="All",C1161='Dashboard'!$K$4)),1,0)</x:f>
        <x:v>1</x:v>
      </x:c>
      <x:c r="AI1161" s="84" t="n">
        <x:f>IF(AND(AG1161=1,OR('Dashboard'!$B$4="All",I1161='Dashboard'!$B$4),OR('Dashboard'!$E$4="All",N1161='Dashboard'!$E$4),OR('Dashboard'!$H$4="All",K1161='Dashboard'!$H$4)),1,0)</x:f>
        <x:v>1</x:v>
      </x:c>
    </x:row>
    <x:row r="1162">
      <x:c r="A1162" s="84" t="str">
        <x:f>'Raw Sales'!A1162</x:f>
        <x:v>ORD-2025-01916</x:v>
      </x:c>
      <x:c r="B1162" s="85" t="n">
        <x:f>'Raw Sales'!B1162</x:f>
        <x:v>45669</x:v>
      </x:c>
      <x:c r="C1162" s="84" t="n">
        <x:f>YEAR(B1162)</x:f>
        <x:v>2025</x:v>
      </x:c>
      <x:c r="D1162" s="91" t="n">
        <x:f>DATE(YEAR(B1162),MONTH(B1162),1)</x:f>
        <x:v>45658</x:v>
      </x:c>
      <x:c r="E1162" s="84" t="str">
        <x:f>TEXT(B1162,"mmm")</x:f>
        <x:v>Jan</x:v>
      </x:c>
      <x:c r="F1162" s="84" t="str">
        <x:f>'Raw Sales'!C1162</x:f>
        <x:v>CUST-0630</x:v>
      </x:c>
      <x:c r="G1162" s="84" t="str">
        <x:f>PROPER(TRIM('Raw Sales'!D1162))</x:f>
        <x:v>Jasmine Foster</x:v>
      </x:c>
      <x:c r="H1162" s="84" t="str">
        <x:f>IF(TRIM('Raw Sales'!E1162)="","Unknown",PROPER(TRIM('Raw Sales'!E1162)))</x:f>
        <x:v>Consumer</x:v>
      </x:c>
      <x:c r="I1162" s="84" t="str">
        <x:f>PROPER(TRIM('Raw Sales'!F1162))</x:f>
        <x:v>Southeast</x:v>
      </x:c>
      <x:c r="J1162" s="84" t="str">
        <x:f>PROPER(TRIM('Raw Sales'!G1162))</x:f>
        <x:v>Miami</x:v>
      </x:c>
      <x:c r="K1162" s="84" t="str">
        <x:f>PROPER(TRIM('Raw Sales'!H1162))</x:f>
        <x:v>Retail Store</x:v>
      </x:c>
      <x:c r="L1162" s="84" t="str">
        <x:f>'Raw Sales'!I1162</x:f>
        <x:v>ELEC-004</x:v>
      </x:c>
      <x:c r="M1162" s="84" t="str">
        <x:f>IFERROR(VLOOKUP(L1162,'Reference Data'!$A$5:$F$40,2,FALSE),"Unknown Product")</x:f>
        <x:v>Power Bank</x:v>
      </x:c>
      <x:c r="N1162" s="84" t="str">
        <x:f>IFERROR(VLOOKUP(L1162,'Reference Data'!$A$5:$F$40,3,FALSE),"Unknown")</x:f>
        <x:v>Electronics</x:v>
      </x:c>
      <x:c r="O1162" s="84" t="str">
        <x:f>IFERROR(VLOOKUP(L1162,'Reference Data'!$A$5:$F$40,4,FALSE),"Unknown")</x:f>
        <x:v>Mobile Accessories</x:v>
      </x:c>
      <x:c r="P1162" s="92" t="n">
        <x:f>IFERROR(VLOOKUP(L1162,'Reference Data'!$A$5:$F$40,5,FALSE),0)</x:f>
        <x:v>39</x:v>
      </x:c>
      <x:c r="Q1162" s="92" t="n">
        <x:f>IFERROR(VLOOKUP(L1162,'Reference Data'!$A$5:$F$40,6,FALSE),0)</x:f>
        <x:v>18</x:v>
      </x:c>
      <x:c r="R1162" s="84" t="n">
        <x:f>'Raw Sales'!J1162</x:f>
        <x:v>1</x:v>
      </x:c>
      <x:c r="S1162" s="87" t="n">
        <x:f>'Raw Sales'!K1162</x:f>
        <x:v>0</x:v>
      </x:c>
      <x:c r="T1162" s="93" t="n">
        <x:f>P1162*R1162</x:f>
        <x:v>39</x:v>
      </x:c>
      <x:c r="U1162" s="93" t="n">
        <x:f>T1162*S1162</x:f>
        <x:v>0</x:v>
      </x:c>
      <x:c r="V1162" s="93" t="str">
        <x:f>PROPER(TRIM('Raw Sales'!L1162))</x:f>
        <x:v>Completed</x:v>
      </x:c>
      <x:c r="W1162" s="93" t="n">
        <x:f>IF(V1162="Returned",0,T1162-U1162)</x:f>
        <x:v>39</x:v>
      </x:c>
      <x:c r="X1162" s="93" t="n">
        <x:f>IF(V1162="Returned",Q1162*R1162*10%,Q1162*R1162)</x:f>
        <x:v>18</x:v>
      </x:c>
      <x:c r="Y1162" s="93" t="n">
        <x:f>W1162-X1162</x:f>
        <x:v>21</x:v>
      </x:c>
      <x:c r="Z1162" s="94" t="n">
        <x:f>IFERROR(Y1162/W1162,0)</x:f>
        <x:v>0.5384615384615384</x:v>
      </x:c>
      <x:c r="AA1162" s="84" t="str">
        <x:f>PROPER(TRIM('Raw Sales'!M1162))</x:f>
        <x:v>Credit Card</x:v>
      </x:c>
      <x:c r="AB1162" s="84" t="str">
        <x:f>PROPER(TRIM('Raw Sales'!N1162))</x:f>
        <x:v>Liam Parker</x:v>
      </x:c>
      <x:c r="AC1162" s="85" t="n">
        <x:f>'Raw Sales'!O1162</x:f>
        <x:v>45669</x:v>
      </x:c>
      <x:c r="AD1162" s="84" t="n">
        <x:f>AC1162-B1162</x:f>
        <x:v>0</x:v>
      </x:c>
      <x:c r="AE1162" s="84" t="str">
        <x:f>IF(COUNTIF($A$5:A1162,A1162)&gt;1,"Duplicate","Keep")</x:f>
        <x:v>Keep</x:v>
      </x:c>
      <x:c r="AF1162" s="84" t="str">
        <x:f>IF(OR(R1162&lt;=0,AC1162&lt;B1162,H1162="Unknown",M1162="Unknown Product"),"Review","Valid")</x:f>
        <x:v>Valid</x:v>
      </x:c>
      <x:c r="AG1162" s="84" t="n">
        <x:f>IF(AND(AE1162="Keep",AF1162="Valid"),1,0)</x:f>
        <x:v>1</x:v>
      </x:c>
      <x:c r="AH1162" s="84" t="n">
        <x:f>IF(AND(AG1162=1,OR('Dashboard'!$B$4="All",I1162='Dashboard'!$B$4),OR('Dashboard'!$E$4="All",N1162='Dashboard'!$E$4),OR('Dashboard'!$H$4="All",K1162='Dashboard'!$H$4),OR('Dashboard'!$K$4="All",C1162='Dashboard'!$K$4)),1,0)</x:f>
        <x:v>1</x:v>
      </x:c>
      <x:c r="AI1162" s="84" t="n">
        <x:f>IF(AND(AG1162=1,OR('Dashboard'!$B$4="All",I1162='Dashboard'!$B$4),OR('Dashboard'!$E$4="All",N1162='Dashboard'!$E$4),OR('Dashboard'!$H$4="All",K1162='Dashboard'!$H$4)),1,0)</x:f>
        <x:v>1</x:v>
      </x:c>
    </x:row>
    <x:row r="1163">
      <x:c r="A1163" s="84" t="str">
        <x:f>'Raw Sales'!A1163</x:f>
        <x:v>ORD-2025-00848</x:v>
      </x:c>
      <x:c r="B1163" s="85" t="n">
        <x:f>'Raw Sales'!B1163</x:f>
        <x:v>45670</x:v>
      </x:c>
      <x:c r="C1163" s="84" t="n">
        <x:f>YEAR(B1163)</x:f>
        <x:v>2025</x:v>
      </x:c>
      <x:c r="D1163" s="91" t="n">
        <x:f>DATE(YEAR(B1163),MONTH(B1163),1)</x:f>
        <x:v>45658</x:v>
      </x:c>
      <x:c r="E1163" s="84" t="str">
        <x:f>TEXT(B1163,"mmm")</x:f>
        <x:v>Jan</x:v>
      </x:c>
      <x:c r="F1163" s="84" t="str">
        <x:f>'Raw Sales'!C1163</x:f>
        <x:v>CUST-0034</x:v>
      </x:c>
      <x:c r="G1163" s="84" t="str">
        <x:f>PROPER(TRIM('Raw Sales'!D1163))</x:f>
        <x:v>Priya Roberts</x:v>
      </x:c>
      <x:c r="H1163" s="84" t="str">
        <x:f>IF(TRIM('Raw Sales'!E1163)="","Unknown",PROPER(TRIM('Raw Sales'!E1163)))</x:f>
        <x:v>Consumer</x:v>
      </x:c>
      <x:c r="I1163" s="84" t="str">
        <x:f>PROPER(TRIM('Raw Sales'!F1163))</x:f>
        <x:v>Southeast</x:v>
      </x:c>
      <x:c r="J1163" s="84" t="str">
        <x:f>PROPER(TRIM('Raw Sales'!G1163))</x:f>
        <x:v>Nashville</x:v>
      </x:c>
      <x:c r="K1163" s="84" t="str">
        <x:f>PROPER(TRIM('Raw Sales'!H1163))</x:f>
        <x:v>Marketplace</x:v>
      </x:c>
      <x:c r="L1163" s="84" t="str">
        <x:f>'Raw Sales'!I1163</x:f>
        <x:v>ACCS-006</x:v>
      </x:c>
      <x:c r="M1163" s="84" t="str">
        <x:f>IFERROR(VLOOKUP(L1163,'Reference Data'!$A$5:$F$40,2,FALSE),"Unknown Product")</x:f>
        <x:v>Insulated Lunch Bag</x:v>
      </x:c>
      <x:c r="N1163" s="84" t="str">
        <x:f>IFERROR(VLOOKUP(L1163,'Reference Data'!$A$5:$F$40,3,FALSE),"Unknown")</x:f>
        <x:v>Accessories</x:v>
      </x:c>
      <x:c r="O1163" s="84" t="str">
        <x:f>IFERROR(VLOOKUP(L1163,'Reference Data'!$A$5:$F$40,4,FALSE),"Unknown")</x:f>
        <x:v>Bags</x:v>
      </x:c>
      <x:c r="P1163" s="92" t="n">
        <x:f>IFERROR(VLOOKUP(L1163,'Reference Data'!$A$5:$F$40,5,FALSE),0)</x:f>
        <x:v>29</x:v>
      </x:c>
      <x:c r="Q1163" s="92" t="n">
        <x:f>IFERROR(VLOOKUP(L1163,'Reference Data'!$A$5:$F$40,6,FALSE),0)</x:f>
        <x:v>10</x:v>
      </x:c>
      <x:c r="R1163" s="84" t="n">
        <x:f>'Raw Sales'!J1163</x:f>
        <x:v>1</x:v>
      </x:c>
      <x:c r="S1163" s="87" t="n">
        <x:f>'Raw Sales'!K1163</x:f>
        <x:v>0.05</x:v>
      </x:c>
      <x:c r="T1163" s="93" t="n">
        <x:f>P1163*R1163</x:f>
        <x:v>29</x:v>
      </x:c>
      <x:c r="U1163" s="93" t="n">
        <x:f>T1163*S1163</x:f>
        <x:v>1.4500000000000002</x:v>
      </x:c>
      <x:c r="V1163" s="93" t="str">
        <x:f>PROPER(TRIM('Raw Sales'!L1163))</x:f>
        <x:v>Completed</x:v>
      </x:c>
      <x:c r="W1163" s="93" t="n">
        <x:f>IF(V1163="Returned",0,T1163-U1163)</x:f>
        <x:v>27.55</x:v>
      </x:c>
      <x:c r="X1163" s="93" t="n">
        <x:f>IF(V1163="Returned",Q1163*R1163*10%,Q1163*R1163)</x:f>
        <x:v>10</x:v>
      </x:c>
      <x:c r="Y1163" s="93" t="n">
        <x:f>W1163-X1163</x:f>
        <x:v>17.55</x:v>
      </x:c>
      <x:c r="Z1163" s="94" t="n">
        <x:f>IFERROR(Y1163/W1163,0)</x:f>
        <x:v>0.6370235934664247</x:v>
      </x:c>
      <x:c r="AA1163" s="84" t="str">
        <x:f>PROPER(TRIM('Raw Sales'!M1163))</x:f>
        <x:v>Debit Card</x:v>
      </x:c>
      <x:c r="AB1163" s="84" t="str">
        <x:f>PROPER(TRIM('Raw Sales'!N1163))</x:f>
        <x:v>Noah Reed</x:v>
      </x:c>
      <x:c r="AC1163" s="85" t="n">
        <x:f>'Raw Sales'!O1163</x:f>
        <x:v>45673</x:v>
      </x:c>
      <x:c r="AD1163" s="84" t="n">
        <x:f>AC1163-B1163</x:f>
        <x:v>3</x:v>
      </x:c>
      <x:c r="AE1163" s="84" t="str">
        <x:f>IF(COUNTIF($A$5:A1163,A1163)&gt;1,"Duplicate","Keep")</x:f>
        <x:v>Keep</x:v>
      </x:c>
      <x:c r="AF1163" s="84" t="str">
        <x:f>IF(OR(R1163&lt;=0,AC1163&lt;B1163,H1163="Unknown",M1163="Unknown Product"),"Review","Valid")</x:f>
        <x:v>Valid</x:v>
      </x:c>
      <x:c r="AG1163" s="84" t="n">
        <x:f>IF(AND(AE1163="Keep",AF1163="Valid"),1,0)</x:f>
        <x:v>1</x:v>
      </x:c>
      <x:c r="AH1163" s="84" t="n">
        <x:f>IF(AND(AG1163=1,OR('Dashboard'!$B$4="All",I1163='Dashboard'!$B$4),OR('Dashboard'!$E$4="All",N1163='Dashboard'!$E$4),OR('Dashboard'!$H$4="All",K1163='Dashboard'!$H$4),OR('Dashboard'!$K$4="All",C1163='Dashboard'!$K$4)),1,0)</x:f>
        <x:v>1</x:v>
      </x:c>
      <x:c r="AI1163" s="84" t="n">
        <x:f>IF(AND(AG1163=1,OR('Dashboard'!$B$4="All",I1163='Dashboard'!$B$4),OR('Dashboard'!$E$4="All",N1163='Dashboard'!$E$4),OR('Dashboard'!$H$4="All",K1163='Dashboard'!$H$4)),1,0)</x:f>
        <x:v>1</x:v>
      </x:c>
    </x:row>
    <x:row r="1164">
      <x:c r="A1164" s="84" t="str">
        <x:f>'Raw Sales'!A1164</x:f>
        <x:v>ORD-2025-01724</x:v>
      </x:c>
      <x:c r="B1164" s="85" t="n">
        <x:f>'Raw Sales'!B1164</x:f>
        <x:v>45670</x:v>
      </x:c>
      <x:c r="C1164" s="84" t="n">
        <x:f>YEAR(B1164)</x:f>
        <x:v>2025</x:v>
      </x:c>
      <x:c r="D1164" s="91" t="n">
        <x:f>DATE(YEAR(B1164),MONTH(B1164),1)</x:f>
        <x:v>45658</x:v>
      </x:c>
      <x:c r="E1164" s="84" t="str">
        <x:f>TEXT(B1164,"mmm")</x:f>
        <x:v>Jan</x:v>
      </x:c>
      <x:c r="F1164" s="84" t="str">
        <x:f>'Raw Sales'!C1164</x:f>
        <x:v>CUST-0623</x:v>
      </x:c>
      <x:c r="G1164" s="84" t="str">
        <x:f>PROPER(TRIM('Raw Sales'!D1164))</x:f>
        <x:v>Theo Roberts</x:v>
      </x:c>
      <x:c r="H1164" s="84" t="str">
        <x:f>IF(TRIM('Raw Sales'!E1164)="","Unknown",PROPER(TRIM('Raw Sales'!E1164)))</x:f>
        <x:v>Small Business</x:v>
      </x:c>
      <x:c r="I1164" s="84" t="str">
        <x:f>PROPER(TRIM('Raw Sales'!F1164))</x:f>
        <x:v>Midwest</x:v>
      </x:c>
      <x:c r="J1164" s="84" t="str">
        <x:f>PROPER(TRIM('Raw Sales'!G1164))</x:f>
        <x:v>Detroit</x:v>
      </x:c>
      <x:c r="K1164" s="84" t="str">
        <x:f>PROPER(TRIM('Raw Sales'!H1164))</x:f>
        <x:v>Online</x:v>
      </x:c>
      <x:c r="L1164" s="84" t="str">
        <x:f>'Raw Sales'!I1164</x:f>
        <x:v>ACCS-001</x:v>
      </x:c>
      <x:c r="M1164" s="84" t="str">
        <x:f>IFERROR(VLOOKUP(L1164,'Reference Data'!$A$5:$F$40,2,FALSE),"Unknown Product")</x:f>
        <x:v>Canvas Tote Bag</x:v>
      </x:c>
      <x:c r="N1164" s="84" t="str">
        <x:f>IFERROR(VLOOKUP(L1164,'Reference Data'!$A$5:$F$40,3,FALSE),"Unknown")</x:f>
        <x:v>Accessories</x:v>
      </x:c>
      <x:c r="O1164" s="84" t="str">
        <x:f>IFERROR(VLOOKUP(L1164,'Reference Data'!$A$5:$F$40,4,FALSE),"Unknown")</x:f>
        <x:v>Bags</x:v>
      </x:c>
      <x:c r="P1164" s="92" t="n">
        <x:f>IFERROR(VLOOKUP(L1164,'Reference Data'!$A$5:$F$40,5,FALSE),0)</x:f>
        <x:v>39</x:v>
      </x:c>
      <x:c r="Q1164" s="92" t="n">
        <x:f>IFERROR(VLOOKUP(L1164,'Reference Data'!$A$5:$F$40,6,FALSE),0)</x:f>
        <x:v>14</x:v>
      </x:c>
      <x:c r="R1164" s="84" t="n">
        <x:f>'Raw Sales'!J1164</x:f>
        <x:v>1</x:v>
      </x:c>
      <x:c r="S1164" s="87" t="n">
        <x:f>'Raw Sales'!K1164</x:f>
        <x:v>0</x:v>
      </x:c>
      <x:c r="T1164" s="93" t="n">
        <x:f>P1164*R1164</x:f>
        <x:v>39</x:v>
      </x:c>
      <x:c r="U1164" s="93" t="n">
        <x:f>T1164*S1164</x:f>
        <x:v>0</x:v>
      </x:c>
      <x:c r="V1164" s="93" t="str">
        <x:f>PROPER(TRIM('Raw Sales'!L1164))</x:f>
        <x:v>Completed</x:v>
      </x:c>
      <x:c r="W1164" s="93" t="n">
        <x:f>IF(V1164="Returned",0,T1164-U1164)</x:f>
        <x:v>39</x:v>
      </x:c>
      <x:c r="X1164" s="93" t="n">
        <x:f>IF(V1164="Returned",Q1164*R1164*10%,Q1164*R1164)</x:f>
        <x:v>14</x:v>
      </x:c>
      <x:c r="Y1164" s="93" t="n">
        <x:f>W1164-X1164</x:f>
        <x:v>25</x:v>
      </x:c>
      <x:c r="Z1164" s="94" t="n">
        <x:f>IFERROR(Y1164/W1164,0)</x:f>
        <x:v>0.6410256410256411</x:v>
      </x:c>
      <x:c r="AA1164" s="84" t="str">
        <x:f>PROPER(TRIM('Raw Sales'!M1164))</x:f>
        <x:v>Credit Card</x:v>
      </x:c>
      <x:c r="AB1164" s="84" t="str">
        <x:f>PROPER(TRIM('Raw Sales'!N1164))</x:f>
        <x:v>Emma Hayes</x:v>
      </x:c>
      <x:c r="AC1164" s="85" t="n">
        <x:f>'Raw Sales'!O1164</x:f>
        <x:v>45674</x:v>
      </x:c>
      <x:c r="AD1164" s="84" t="n">
        <x:f>AC1164-B1164</x:f>
        <x:v>4</x:v>
      </x:c>
      <x:c r="AE1164" s="84" t="str">
        <x:f>IF(COUNTIF($A$5:A1164,A1164)&gt;1,"Duplicate","Keep")</x:f>
        <x:v>Keep</x:v>
      </x:c>
      <x:c r="AF1164" s="84" t="str">
        <x:f>IF(OR(R1164&lt;=0,AC1164&lt;B1164,H1164="Unknown",M1164="Unknown Product"),"Review","Valid")</x:f>
        <x:v>Valid</x:v>
      </x:c>
      <x:c r="AG1164" s="84" t="n">
        <x:f>IF(AND(AE1164="Keep",AF1164="Valid"),1,0)</x:f>
        <x:v>1</x:v>
      </x:c>
      <x:c r="AH1164" s="84" t="n">
        <x:f>IF(AND(AG1164=1,OR('Dashboard'!$B$4="All",I1164='Dashboard'!$B$4),OR('Dashboard'!$E$4="All",N1164='Dashboard'!$E$4),OR('Dashboard'!$H$4="All",K1164='Dashboard'!$H$4),OR('Dashboard'!$K$4="All",C1164='Dashboard'!$K$4)),1,0)</x:f>
        <x:v>1</x:v>
      </x:c>
      <x:c r="AI1164" s="84" t="n">
        <x:f>IF(AND(AG1164=1,OR('Dashboard'!$B$4="All",I1164='Dashboard'!$B$4),OR('Dashboard'!$E$4="All",N1164='Dashboard'!$E$4),OR('Dashboard'!$H$4="All",K1164='Dashboard'!$H$4)),1,0)</x:f>
        <x:v>1</x:v>
      </x:c>
    </x:row>
    <x:row r="1165">
      <x:c r="A1165" s="84" t="str">
        <x:f>'Raw Sales'!A1165</x:f>
        <x:v>ORD-2025-00237</x:v>
      </x:c>
      <x:c r="B1165" s="85" t="n">
        <x:f>'Raw Sales'!B1165</x:f>
        <x:v>45671</x:v>
      </x:c>
      <x:c r="C1165" s="84" t="n">
        <x:f>YEAR(B1165)</x:f>
        <x:v>2025</x:v>
      </x:c>
      <x:c r="D1165" s="91" t="n">
        <x:f>DATE(YEAR(B1165),MONTH(B1165),1)</x:f>
        <x:v>45658</x:v>
      </x:c>
      <x:c r="E1165" s="84" t="str">
        <x:f>TEXT(B1165,"mmm")</x:f>
        <x:v>Jan</x:v>
      </x:c>
      <x:c r="F1165" s="84" t="str">
        <x:f>'Raw Sales'!C1165</x:f>
        <x:v>CUST-0632</x:v>
      </x:c>
      <x:c r="G1165" s="84" t="str">
        <x:f>PROPER(TRIM('Raw Sales'!D1165))</x:f>
        <x:v>Caleb Adams</x:v>
      </x:c>
      <x:c r="H1165" s="84" t="str">
        <x:f>IF(TRIM('Raw Sales'!E1165)="","Unknown",PROPER(TRIM('Raw Sales'!E1165)))</x:f>
        <x:v>Consumer</x:v>
      </x:c>
      <x:c r="I1165" s="84" t="str">
        <x:f>PROPER(TRIM('Raw Sales'!F1165))</x:f>
        <x:v>West</x:v>
      </x:c>
      <x:c r="J1165" s="84" t="str">
        <x:f>PROPER(TRIM('Raw Sales'!G1165))</x:f>
        <x:v>Phoenix</x:v>
      </x:c>
      <x:c r="K1165" s="84" t="str">
        <x:f>PROPER(TRIM('Raw Sales'!H1165))</x:f>
        <x:v>Online</x:v>
      </x:c>
      <x:c r="L1165" s="84" t="str">
        <x:f>'Raw Sales'!I1165</x:f>
        <x:v>CARE-002</x:v>
      </x:c>
      <x:c r="M1165" s="84" t="str">
        <x:f>IFERROR(VLOOKUP(L1165,'Reference Data'!$A$5:$F$40,2,FALSE),"Unknown Product")</x:f>
        <x:v>Rechargeable Trimmer</x:v>
      </x:c>
      <x:c r="N1165" s="84" t="str">
        <x:f>IFERROR(VLOOKUP(L1165,'Reference Data'!$A$5:$F$40,3,FALSE),"Unknown")</x:f>
        <x:v>Personal Care</x:v>
      </x:c>
      <x:c r="O1165" s="84" t="str">
        <x:f>IFERROR(VLOOKUP(L1165,'Reference Data'!$A$5:$F$40,4,FALSE),"Unknown")</x:f>
        <x:v>Grooming</x:v>
      </x:c>
      <x:c r="P1165" s="92" t="n">
        <x:f>IFERROR(VLOOKUP(L1165,'Reference Data'!$A$5:$F$40,5,FALSE),0)</x:f>
        <x:v>45</x:v>
      </x:c>
      <x:c r="Q1165" s="92" t="n">
        <x:f>IFERROR(VLOOKUP(L1165,'Reference Data'!$A$5:$F$40,6,FALSE),0)</x:f>
        <x:v>19</x:v>
      </x:c>
      <x:c r="R1165" s="84" t="n">
        <x:f>'Raw Sales'!J1165</x:f>
        <x:v>1</x:v>
      </x:c>
      <x:c r="S1165" s="87" t="n">
        <x:f>'Raw Sales'!K1165</x:f>
        <x:v>0.05</x:v>
      </x:c>
      <x:c r="T1165" s="93" t="n">
        <x:f>P1165*R1165</x:f>
        <x:v>45</x:v>
      </x:c>
      <x:c r="U1165" s="93" t="n">
        <x:f>T1165*S1165</x:f>
        <x:v>2.25</x:v>
      </x:c>
      <x:c r="V1165" s="93" t="str">
        <x:f>PROPER(TRIM('Raw Sales'!L1165))</x:f>
        <x:v>Returned</x:v>
      </x:c>
      <x:c r="W1165" s="93" t="n">
        <x:f>IF(V1165="Returned",0,T1165-U1165)</x:f>
        <x:v>0</x:v>
      </x:c>
      <x:c r="X1165" s="93" t="n">
        <x:f>IF(V1165="Returned",Q1165*R1165*10%,Q1165*R1165)</x:f>
        <x:v>1.9000000000000001</x:v>
      </x:c>
      <x:c r="Y1165" s="93" t="n">
        <x:f>W1165-X1165</x:f>
        <x:v>-1.9000000000000001</x:v>
      </x:c>
      <x:c r="Z1165" s="94" t="n">
        <x:f>IFERROR(Y1165/W1165,0)</x:f>
        <x:v>0</x:v>
      </x:c>
      <x:c r="AA1165" s="84" t="str">
        <x:f>PROPER(TRIM('Raw Sales'!M1165))</x:f>
        <x:v>Debit Card</x:v>
      </x:c>
      <x:c r="AB1165" s="84" t="str">
        <x:f>PROPER(TRIM('Raw Sales'!N1165))</x:f>
        <x:v>Nora Kim</x:v>
      </x:c>
      <x:c r="AC1165" s="85" t="n">
        <x:f>'Raw Sales'!O1165</x:f>
        <x:v>45675</x:v>
      </x:c>
      <x:c r="AD1165" s="84" t="n">
        <x:f>AC1165-B1165</x:f>
        <x:v>4</x:v>
      </x:c>
      <x:c r="AE1165" s="84" t="str">
        <x:f>IF(COUNTIF($A$5:A1165,A1165)&gt;1,"Duplicate","Keep")</x:f>
        <x:v>Keep</x:v>
      </x:c>
      <x:c r="AF1165" s="84" t="str">
        <x:f>IF(OR(R1165&lt;=0,AC1165&lt;B1165,H1165="Unknown",M1165="Unknown Product"),"Review","Valid")</x:f>
        <x:v>Valid</x:v>
      </x:c>
      <x:c r="AG1165" s="84" t="n">
        <x:f>IF(AND(AE1165="Keep",AF1165="Valid"),1,0)</x:f>
        <x:v>1</x:v>
      </x:c>
      <x:c r="AH1165" s="84" t="n">
        <x:f>IF(AND(AG1165=1,OR('Dashboard'!$B$4="All",I1165='Dashboard'!$B$4),OR('Dashboard'!$E$4="All",N1165='Dashboard'!$E$4),OR('Dashboard'!$H$4="All",K1165='Dashboard'!$H$4),OR('Dashboard'!$K$4="All",C1165='Dashboard'!$K$4)),1,0)</x:f>
        <x:v>1</x:v>
      </x:c>
      <x:c r="AI1165" s="84" t="n">
        <x:f>IF(AND(AG1165=1,OR('Dashboard'!$B$4="All",I1165='Dashboard'!$B$4),OR('Dashboard'!$E$4="All",N1165='Dashboard'!$E$4),OR('Dashboard'!$H$4="All",K1165='Dashboard'!$H$4)),1,0)</x:f>
        <x:v>1</x:v>
      </x:c>
    </x:row>
    <x:row r="1166">
      <x:c r="A1166" s="84" t="str">
        <x:f>'Raw Sales'!A1166</x:f>
        <x:v>ORD-2025-01450</x:v>
      </x:c>
      <x:c r="B1166" s="85" t="n">
        <x:f>'Raw Sales'!B1166</x:f>
        <x:v>45671</x:v>
      </x:c>
      <x:c r="C1166" s="84" t="n">
        <x:f>YEAR(B1166)</x:f>
        <x:v>2025</x:v>
      </x:c>
      <x:c r="D1166" s="91" t="n">
        <x:f>DATE(YEAR(B1166),MONTH(B1166),1)</x:f>
        <x:v>45658</x:v>
      </x:c>
      <x:c r="E1166" s="84" t="str">
        <x:f>TEXT(B1166,"mmm")</x:f>
        <x:v>Jan</x:v>
      </x:c>
      <x:c r="F1166" s="84" t="str">
        <x:f>'Raw Sales'!C1166</x:f>
        <x:v>CUST-0487</x:v>
      </x:c>
      <x:c r="G1166" s="84" t="str">
        <x:f>PROPER(TRIM('Raw Sales'!D1166))</x:f>
        <x:v>Marcus Adams</x:v>
      </x:c>
      <x:c r="H1166" s="84" t="str">
        <x:f>IF(TRIM('Raw Sales'!E1166)="","Unknown",PROPER(TRIM('Raw Sales'!E1166)))</x:f>
        <x:v>Consumer</x:v>
      </x:c>
      <x:c r="I1166" s="84" t="str">
        <x:f>PROPER(TRIM('Raw Sales'!F1166))</x:f>
        <x:v>Southeast</x:v>
      </x:c>
      <x:c r="J1166" s="84" t="str">
        <x:f>PROPER(TRIM('Raw Sales'!G1166))</x:f>
        <x:v>Atlanta</x:v>
      </x:c>
      <x:c r="K1166" s="84" t="str">
        <x:f>PROPER(TRIM('Raw Sales'!H1166))</x:f>
        <x:v>Online</x:v>
      </x:c>
      <x:c r="L1166" s="84" t="str">
        <x:f>'Raw Sales'!I1166</x:f>
        <x:v>CARE-001</x:v>
      </x:c>
      <x:c r="M1166" s="84" t="str">
        <x:f>IFERROR(VLOOKUP(L1166,'Reference Data'!$A$5:$F$40,2,FALSE),"Unknown Product")</x:f>
        <x:v>Ionic Hair Dryer</x:v>
      </x:c>
      <x:c r="N1166" s="84" t="str">
        <x:f>IFERROR(VLOOKUP(L1166,'Reference Data'!$A$5:$F$40,3,FALSE),"Unknown")</x:f>
        <x:v>Personal Care</x:v>
      </x:c>
      <x:c r="O1166" s="84" t="str">
        <x:f>IFERROR(VLOOKUP(L1166,'Reference Data'!$A$5:$F$40,4,FALSE),"Unknown")</x:f>
        <x:v>Hair Care</x:v>
      </x:c>
      <x:c r="P1166" s="92" t="n">
        <x:f>IFERROR(VLOOKUP(L1166,'Reference Data'!$A$5:$F$40,5,FALSE),0)</x:f>
        <x:v>54</x:v>
      </x:c>
      <x:c r="Q1166" s="92" t="n">
        <x:f>IFERROR(VLOOKUP(L1166,'Reference Data'!$A$5:$F$40,6,FALSE),0)</x:f>
        <x:v>25</x:v>
      </x:c>
      <x:c r="R1166" s="84" t="n">
        <x:f>'Raw Sales'!J1166</x:f>
        <x:v>2</x:v>
      </x:c>
      <x:c r="S1166" s="87" t="n">
        <x:f>'Raw Sales'!K1166</x:f>
        <x:v>0</x:v>
      </x:c>
      <x:c r="T1166" s="93" t="n">
        <x:f>P1166*R1166</x:f>
        <x:v>108</x:v>
      </x:c>
      <x:c r="U1166" s="93" t="n">
        <x:f>T1166*S1166</x:f>
        <x:v>0</x:v>
      </x:c>
      <x:c r="V1166" s="93" t="str">
        <x:f>PROPER(TRIM('Raw Sales'!L1166))</x:f>
        <x:v>Completed</x:v>
      </x:c>
      <x:c r="W1166" s="93" t="n">
        <x:f>IF(V1166="Returned",0,T1166-U1166)</x:f>
        <x:v>108</x:v>
      </x:c>
      <x:c r="X1166" s="93" t="n">
        <x:f>IF(V1166="Returned",Q1166*R1166*10%,Q1166*R1166)</x:f>
        <x:v>50</x:v>
      </x:c>
      <x:c r="Y1166" s="93" t="n">
        <x:f>W1166-X1166</x:f>
        <x:v>58</x:v>
      </x:c>
      <x:c r="Z1166" s="94" t="n">
        <x:f>IFERROR(Y1166/W1166,0)</x:f>
        <x:v>0.5370370370370371</x:v>
      </x:c>
      <x:c r="AA1166" s="84" t="str">
        <x:f>PROPER(TRIM('Raw Sales'!M1166))</x:f>
        <x:v>Paypal</x:v>
      </x:c>
      <x:c r="AB1166" s="84" t="str">
        <x:f>PROPER(TRIM('Raw Sales'!N1166))</x:f>
        <x:v>Ava Mitchell</x:v>
      </x:c>
      <x:c r="AC1166" s="85" t="n">
        <x:f>'Raw Sales'!O1166</x:f>
        <x:v>45673</x:v>
      </x:c>
      <x:c r="AD1166" s="84" t="n">
        <x:f>AC1166-B1166</x:f>
        <x:v>2</x:v>
      </x:c>
      <x:c r="AE1166" s="84" t="str">
        <x:f>IF(COUNTIF($A$5:A1166,A1166)&gt;1,"Duplicate","Keep")</x:f>
        <x:v>Keep</x:v>
      </x:c>
      <x:c r="AF1166" s="84" t="str">
        <x:f>IF(OR(R1166&lt;=0,AC1166&lt;B1166,H1166="Unknown",M1166="Unknown Product"),"Review","Valid")</x:f>
        <x:v>Valid</x:v>
      </x:c>
      <x:c r="AG1166" s="84" t="n">
        <x:f>IF(AND(AE1166="Keep",AF1166="Valid"),1,0)</x:f>
        <x:v>1</x:v>
      </x:c>
      <x:c r="AH1166" s="84" t="n">
        <x:f>IF(AND(AG1166=1,OR('Dashboard'!$B$4="All",I1166='Dashboard'!$B$4),OR('Dashboard'!$E$4="All",N1166='Dashboard'!$E$4),OR('Dashboard'!$H$4="All",K1166='Dashboard'!$H$4),OR('Dashboard'!$K$4="All",C1166='Dashboard'!$K$4)),1,0)</x:f>
        <x:v>1</x:v>
      </x:c>
      <x:c r="AI1166" s="84" t="n">
        <x:f>IF(AND(AG1166=1,OR('Dashboard'!$B$4="All",I1166='Dashboard'!$B$4),OR('Dashboard'!$E$4="All",N1166='Dashboard'!$E$4),OR('Dashboard'!$H$4="All",K1166='Dashboard'!$H$4)),1,0)</x:f>
        <x:v>1</x:v>
      </x:c>
    </x:row>
    <x:row r="1167">
      <x:c r="A1167" s="84" t="str">
        <x:f>'Raw Sales'!A1167</x:f>
        <x:v>ORD-2025-01828</x:v>
      </x:c>
      <x:c r="B1167" s="85" t="n">
        <x:f>'Raw Sales'!B1167</x:f>
        <x:v>45671</x:v>
      </x:c>
      <x:c r="C1167" s="84" t="n">
        <x:f>YEAR(B1167)</x:f>
        <x:v>2025</x:v>
      </x:c>
      <x:c r="D1167" s="91" t="n">
        <x:f>DATE(YEAR(B1167),MONTH(B1167),1)</x:f>
        <x:v>45658</x:v>
      </x:c>
      <x:c r="E1167" s="84" t="str">
        <x:f>TEXT(B1167,"mmm")</x:f>
        <x:v>Jan</x:v>
      </x:c>
      <x:c r="F1167" s="84" t="str">
        <x:f>'Raw Sales'!C1167</x:f>
        <x:v>CUST-0131</x:v>
      </x:c>
      <x:c r="G1167" s="84" t="str">
        <x:f>PROPER(TRIM('Raw Sales'!D1167))</x:f>
        <x:v>Theo Patel</x:v>
      </x:c>
      <x:c r="H1167" s="84" t="str">
        <x:f>IF(TRIM('Raw Sales'!E1167)="","Unknown",PROPER(TRIM('Raw Sales'!E1167)))</x:f>
        <x:v>Consumer</x:v>
      </x:c>
      <x:c r="I1167" s="84" t="str">
        <x:f>PROPER(TRIM('Raw Sales'!F1167))</x:f>
        <x:v>Southeast</x:v>
      </x:c>
      <x:c r="J1167" s="84" t="str">
        <x:f>PROPER(TRIM('Raw Sales'!G1167))</x:f>
        <x:v>Nashville</x:v>
      </x:c>
      <x:c r="K1167" s="84" t="str">
        <x:f>PROPER(TRIM('Raw Sales'!H1167))</x:f>
        <x:v>Marketplace</x:v>
      </x:c>
      <x:c r="L1167" s="84" t="str">
        <x:f>'Raw Sales'!I1167</x:f>
        <x:v>HOME-003</x:v>
      </x:c>
      <x:c r="M1167" s="84" t="str">
        <x:f>IFERROR(VLOOKUP(L1167,'Reference Data'!$A$5:$F$40,2,FALSE),"Unknown Product")</x:f>
        <x:v>Countertop Blender</x:v>
      </x:c>
      <x:c r="N1167" s="84" t="str">
        <x:f>IFERROR(VLOOKUP(L1167,'Reference Data'!$A$5:$F$40,3,FALSE),"Unknown")</x:f>
        <x:v>Home &amp; Kitchen</x:v>
      </x:c>
      <x:c r="O1167" s="84" t="str">
        <x:f>IFERROR(VLOOKUP(L1167,'Reference Data'!$A$5:$F$40,4,FALSE),"Unknown")</x:f>
        <x:v>Small Appliances</x:v>
      </x:c>
      <x:c r="P1167" s="92" t="n">
        <x:f>IFERROR(VLOOKUP(L1167,'Reference Data'!$A$5:$F$40,5,FALSE),0)</x:f>
        <x:v>89</x:v>
      </x:c>
      <x:c r="Q1167" s="92" t="n">
        <x:f>IFERROR(VLOOKUP(L1167,'Reference Data'!$A$5:$F$40,6,FALSE),0)</x:f>
        <x:v>46</x:v>
      </x:c>
      <x:c r="R1167" s="84" t="n">
        <x:f>'Raw Sales'!J1167</x:f>
        <x:v>2</x:v>
      </x:c>
      <x:c r="S1167" s="87" t="n">
        <x:f>'Raw Sales'!K1167</x:f>
        <x:v>0</x:v>
      </x:c>
      <x:c r="T1167" s="93" t="n">
        <x:f>P1167*R1167</x:f>
        <x:v>178</x:v>
      </x:c>
      <x:c r="U1167" s="93" t="n">
        <x:f>T1167*S1167</x:f>
        <x:v>0</x:v>
      </x:c>
      <x:c r="V1167" s="93" t="str">
        <x:f>PROPER(TRIM('Raw Sales'!L1167))</x:f>
        <x:v>Completed</x:v>
      </x:c>
      <x:c r="W1167" s="93" t="n">
        <x:f>IF(V1167="Returned",0,T1167-U1167)</x:f>
        <x:v>178</x:v>
      </x:c>
      <x:c r="X1167" s="93" t="n">
        <x:f>IF(V1167="Returned",Q1167*R1167*10%,Q1167*R1167)</x:f>
        <x:v>92</x:v>
      </x:c>
      <x:c r="Y1167" s="93" t="n">
        <x:f>W1167-X1167</x:f>
        <x:v>86</x:v>
      </x:c>
      <x:c r="Z1167" s="94" t="n">
        <x:f>IFERROR(Y1167/W1167,0)</x:f>
        <x:v>0.48314606741573035</x:v>
      </x:c>
      <x:c r="AA1167" s="84" t="str">
        <x:f>PROPER(TRIM('Raw Sales'!M1167))</x:f>
        <x:v>Debit Card</x:v>
      </x:c>
      <x:c r="AB1167" s="84" t="str">
        <x:f>PROPER(TRIM('Raw Sales'!N1167))</x:f>
        <x:v>Ava Mitchell</x:v>
      </x:c>
      <x:c r="AC1167" s="85" t="n">
        <x:f>'Raw Sales'!O1167</x:f>
        <x:v>45677</x:v>
      </x:c>
      <x:c r="AD1167" s="84" t="n">
        <x:f>AC1167-B1167</x:f>
        <x:v>6</x:v>
      </x:c>
      <x:c r="AE1167" s="84" t="str">
        <x:f>IF(COUNTIF($A$5:A1167,A1167)&gt;1,"Duplicate","Keep")</x:f>
        <x:v>Keep</x:v>
      </x:c>
      <x:c r="AF1167" s="84" t="str">
        <x:f>IF(OR(R1167&lt;=0,AC1167&lt;B1167,H1167="Unknown",M1167="Unknown Product"),"Review","Valid")</x:f>
        <x:v>Valid</x:v>
      </x:c>
      <x:c r="AG1167" s="84" t="n">
        <x:f>IF(AND(AE1167="Keep",AF1167="Valid"),1,0)</x:f>
        <x:v>1</x:v>
      </x:c>
      <x:c r="AH1167" s="84" t="n">
        <x:f>IF(AND(AG1167=1,OR('Dashboard'!$B$4="All",I1167='Dashboard'!$B$4),OR('Dashboard'!$E$4="All",N1167='Dashboard'!$E$4),OR('Dashboard'!$H$4="All",K1167='Dashboard'!$H$4),OR('Dashboard'!$K$4="All",C1167='Dashboard'!$K$4)),1,0)</x:f>
        <x:v>1</x:v>
      </x:c>
      <x:c r="AI1167" s="84" t="n">
        <x:f>IF(AND(AG1167=1,OR('Dashboard'!$B$4="All",I1167='Dashboard'!$B$4),OR('Dashboard'!$E$4="All",N1167='Dashboard'!$E$4),OR('Dashboard'!$H$4="All",K1167='Dashboard'!$H$4)),1,0)</x:f>
        <x:v>1</x:v>
      </x:c>
    </x:row>
    <x:row r="1168">
      <x:c r="A1168" s="84" t="str">
        <x:f>'Raw Sales'!A1168</x:f>
        <x:v>ORD-2025-00275</x:v>
      </x:c>
      <x:c r="B1168" s="85" t="n">
        <x:f>'Raw Sales'!B1168</x:f>
        <x:v>45673</x:v>
      </x:c>
      <x:c r="C1168" s="84" t="n">
        <x:f>YEAR(B1168)</x:f>
        <x:v>2025</x:v>
      </x:c>
      <x:c r="D1168" s="91" t="n">
        <x:f>DATE(YEAR(B1168),MONTH(B1168),1)</x:f>
        <x:v>45658</x:v>
      </x:c>
      <x:c r="E1168" s="84" t="str">
        <x:f>TEXT(B1168,"mmm")</x:f>
        <x:v>Jan</x:v>
      </x:c>
      <x:c r="F1168" s="84" t="str">
        <x:f>'Raw Sales'!C1168</x:f>
        <x:v>CUST-0095</x:v>
      </x:c>
      <x:c r="G1168" s="84" t="str">
        <x:f>PROPER(TRIM('Raw Sales'!D1168))</x:f>
        <x:v>Elena Irwin</x:v>
      </x:c>
      <x:c r="H1168" s="84" t="str">
        <x:f>IF(TRIM('Raw Sales'!E1168)="","Unknown",PROPER(TRIM('Raw Sales'!E1168)))</x:f>
        <x:v>Corporate</x:v>
      </x:c>
      <x:c r="I1168" s="84" t="str">
        <x:f>PROPER(TRIM('Raw Sales'!F1168))</x:f>
        <x:v>Northeast</x:v>
      </x:c>
      <x:c r="J1168" s="84" t="str">
        <x:f>PROPER(TRIM('Raw Sales'!G1168))</x:f>
        <x:v>Newark</x:v>
      </x:c>
      <x:c r="K1168" s="84" t="str">
        <x:f>PROPER(TRIM('Raw Sales'!H1168))</x:f>
        <x:v>Marketplace</x:v>
      </x:c>
      <x:c r="L1168" s="84" t="str">
        <x:f>'Raw Sales'!I1168</x:f>
        <x:v>ELEC-006</x:v>
      </x:c>
      <x:c r="M1168" s="84" t="str">
        <x:f>IFERROR(VLOOKUP(L1168,'Reference Data'!$A$5:$F$40,2,FALSE),"Unknown Product")</x:f>
        <x:v>Portable SSD</x:v>
      </x:c>
      <x:c r="N1168" s="84" t="str">
        <x:f>IFERROR(VLOOKUP(L1168,'Reference Data'!$A$5:$F$40,3,FALSE),"Unknown")</x:f>
        <x:v>Electronics</x:v>
      </x:c>
      <x:c r="O1168" s="84" t="str">
        <x:f>IFERROR(VLOOKUP(L1168,'Reference Data'!$A$5:$F$40,4,FALSE),"Unknown")</x:f>
        <x:v>Storage</x:v>
      </x:c>
      <x:c r="P1168" s="92" t="n">
        <x:f>IFERROR(VLOOKUP(L1168,'Reference Data'!$A$5:$F$40,5,FALSE),0)</x:f>
        <x:v>129</x:v>
      </x:c>
      <x:c r="Q1168" s="92" t="n">
        <x:f>IFERROR(VLOOKUP(L1168,'Reference Data'!$A$5:$F$40,6,FALSE),0)</x:f>
        <x:v>75</x:v>
      </x:c>
      <x:c r="R1168" s="84" t="n">
        <x:f>'Raw Sales'!J1168</x:f>
        <x:v>2</x:v>
      </x:c>
      <x:c r="S1168" s="87" t="n">
        <x:f>'Raw Sales'!K1168</x:f>
        <x:v>0.05</x:v>
      </x:c>
      <x:c r="T1168" s="93" t="n">
        <x:f>P1168*R1168</x:f>
        <x:v>258</x:v>
      </x:c>
      <x:c r="U1168" s="93" t="n">
        <x:f>T1168*S1168</x:f>
        <x:v>12.9</x:v>
      </x:c>
      <x:c r="V1168" s="93" t="str">
        <x:f>PROPER(TRIM('Raw Sales'!L1168))</x:f>
        <x:v>Completed</x:v>
      </x:c>
      <x:c r="W1168" s="93" t="n">
        <x:f>IF(V1168="Returned",0,T1168-U1168)</x:f>
        <x:v>245.1</x:v>
      </x:c>
      <x:c r="X1168" s="93" t="n">
        <x:f>IF(V1168="Returned",Q1168*R1168*10%,Q1168*R1168)</x:f>
        <x:v>150</x:v>
      </x:c>
      <x:c r="Y1168" s="93" t="n">
        <x:f>W1168-X1168</x:f>
        <x:v>95.1</x:v>
      </x:c>
      <x:c r="Z1168" s="94" t="n">
        <x:f>IFERROR(Y1168/W1168,0)</x:f>
        <x:v>0.3880048959608323</x:v>
      </x:c>
      <x:c r="AA1168" s="84" t="str">
        <x:f>PROPER(TRIM('Raw Sales'!M1168))</x:f>
        <x:v>Credit Card</x:v>
      </x:c>
      <x:c r="AB1168" s="84" t="str">
        <x:f>PROPER(TRIM('Raw Sales'!N1168))</x:f>
        <x:v>Maya Brooks</x:v>
      </x:c>
      <x:c r="AC1168" s="85" t="n">
        <x:f>'Raw Sales'!O1168</x:f>
        <x:v>45678</x:v>
      </x:c>
      <x:c r="AD1168" s="84" t="n">
        <x:f>AC1168-B1168</x:f>
        <x:v>5</x:v>
      </x:c>
      <x:c r="AE1168" s="84" t="str">
        <x:f>IF(COUNTIF($A$5:A1168,A1168)&gt;1,"Duplicate","Keep")</x:f>
        <x:v>Keep</x:v>
      </x:c>
      <x:c r="AF1168" s="84" t="str">
        <x:f>IF(OR(R1168&lt;=0,AC1168&lt;B1168,H1168="Unknown",M1168="Unknown Product"),"Review","Valid")</x:f>
        <x:v>Valid</x:v>
      </x:c>
      <x:c r="AG1168" s="84" t="n">
        <x:f>IF(AND(AE1168="Keep",AF1168="Valid"),1,0)</x:f>
        <x:v>1</x:v>
      </x:c>
      <x:c r="AH1168" s="84" t="n">
        <x:f>IF(AND(AG1168=1,OR('Dashboard'!$B$4="All",I1168='Dashboard'!$B$4),OR('Dashboard'!$E$4="All",N1168='Dashboard'!$E$4),OR('Dashboard'!$H$4="All",K1168='Dashboard'!$H$4),OR('Dashboard'!$K$4="All",C1168='Dashboard'!$K$4)),1,0)</x:f>
        <x:v>1</x:v>
      </x:c>
      <x:c r="AI1168" s="84" t="n">
        <x:f>IF(AND(AG1168=1,OR('Dashboard'!$B$4="All",I1168='Dashboard'!$B$4),OR('Dashboard'!$E$4="All",N1168='Dashboard'!$E$4),OR('Dashboard'!$H$4="All",K1168='Dashboard'!$H$4)),1,0)</x:f>
        <x:v>1</x:v>
      </x:c>
    </x:row>
    <x:row r="1169">
      <x:c r="A1169" s="84" t="str">
        <x:f>'Raw Sales'!A1169</x:f>
        <x:v>ORD-2025-00502</x:v>
      </x:c>
      <x:c r="B1169" s="85" t="n">
        <x:f>'Raw Sales'!B1169</x:f>
        <x:v>45673</x:v>
      </x:c>
      <x:c r="C1169" s="84" t="n">
        <x:f>YEAR(B1169)</x:f>
        <x:v>2025</x:v>
      </x:c>
      <x:c r="D1169" s="91" t="n">
        <x:f>DATE(YEAR(B1169),MONTH(B1169),1)</x:f>
        <x:v>45658</x:v>
      </x:c>
      <x:c r="E1169" s="84" t="str">
        <x:f>TEXT(B1169,"mmm")</x:f>
        <x:v>Jan</x:v>
      </x:c>
      <x:c r="F1169" s="84" t="str">
        <x:f>'Raw Sales'!C1169</x:f>
        <x:v>CUST-0109</x:v>
      </x:c>
      <x:c r="G1169" s="84" t="str">
        <x:f>PROPER(TRIM('Raw Sales'!D1169))</x:f>
        <x:v>Maya Evans</x:v>
      </x:c>
      <x:c r="H1169" s="84" t="str">
        <x:f>IF(TRIM('Raw Sales'!E1169)="","Unknown",PROPER(TRIM('Raw Sales'!E1169)))</x:f>
        <x:v>Consumer</x:v>
      </x:c>
      <x:c r="I1169" s="84" t="str">
        <x:f>PROPER(TRIM('Raw Sales'!F1169))</x:f>
        <x:v>West</x:v>
      </x:c>
      <x:c r="J1169" s="84" t="str">
        <x:f>PROPER(TRIM('Raw Sales'!G1169))</x:f>
        <x:v>Seattle</x:v>
      </x:c>
      <x:c r="K1169" s="84" t="str">
        <x:f>PROPER(TRIM('Raw Sales'!H1169))</x:f>
        <x:v>Retail Store</x:v>
      </x:c>
      <x:c r="L1169" s="84" t="str">
        <x:f>'Raw Sales'!I1169</x:f>
        <x:v>FITN-006</x:v>
      </x:c>
      <x:c r="M1169" s="84" t="str">
        <x:f>IFERROR(VLOOKUP(L1169,'Reference Data'!$A$5:$F$40,2,FALSE),"Unknown Product")</x:f>
        <x:v>Foam Roller</x:v>
      </x:c>
      <x:c r="N1169" s="84" t="str">
        <x:f>IFERROR(VLOOKUP(L1169,'Reference Data'!$A$5:$F$40,3,FALSE),"Unknown")</x:f>
        <x:v>Fitness</x:v>
      </x:c>
      <x:c r="O1169" s="84" t="str">
        <x:f>IFERROR(VLOOKUP(L1169,'Reference Data'!$A$5:$F$40,4,FALSE),"Unknown")</x:f>
        <x:v>Recovery</x:v>
      </x:c>
      <x:c r="P1169" s="92" t="n">
        <x:f>IFERROR(VLOOKUP(L1169,'Reference Data'!$A$5:$F$40,5,FALSE),0)</x:f>
        <x:v>31</x:v>
      </x:c>
      <x:c r="Q1169" s="92" t="n">
        <x:f>IFERROR(VLOOKUP(L1169,'Reference Data'!$A$5:$F$40,6,FALSE),0)</x:f>
        <x:v>12</x:v>
      </x:c>
      <x:c r="R1169" s="84" t="n">
        <x:f>'Raw Sales'!J1169</x:f>
        <x:v>3</x:v>
      </x:c>
      <x:c r="S1169" s="87" t="n">
        <x:f>'Raw Sales'!K1169</x:f>
        <x:v>0</x:v>
      </x:c>
      <x:c r="T1169" s="93" t="n">
        <x:f>P1169*R1169</x:f>
        <x:v>93</x:v>
      </x:c>
      <x:c r="U1169" s="93" t="n">
        <x:f>T1169*S1169</x:f>
        <x:v>0</x:v>
      </x:c>
      <x:c r="V1169" s="93" t="str">
        <x:f>PROPER(TRIM('Raw Sales'!L1169))</x:f>
        <x:v>Completed</x:v>
      </x:c>
      <x:c r="W1169" s="93" t="n">
        <x:f>IF(V1169="Returned",0,T1169-U1169)</x:f>
        <x:v>93</x:v>
      </x:c>
      <x:c r="X1169" s="93" t="n">
        <x:f>IF(V1169="Returned",Q1169*R1169*10%,Q1169*R1169)</x:f>
        <x:v>36</x:v>
      </x:c>
      <x:c r="Y1169" s="93" t="n">
        <x:f>W1169-X1169</x:f>
        <x:v>57</x:v>
      </x:c>
      <x:c r="Z1169" s="94" t="n">
        <x:f>IFERROR(Y1169/W1169,0)</x:f>
        <x:v>0.6129032258064516</x:v>
      </x:c>
      <x:c r="AA1169" s="84" t="str">
        <x:f>PROPER(TRIM('Raw Sales'!M1169))</x:f>
        <x:v>Credit Card</x:v>
      </x:c>
      <x:c r="AB1169" s="84" t="str">
        <x:f>PROPER(TRIM('Raw Sales'!N1169))</x:f>
        <x:v>Leo Martinez</x:v>
      </x:c>
      <x:c r="AC1169" s="85" t="n">
        <x:f>'Raw Sales'!O1169</x:f>
        <x:v>45673</x:v>
      </x:c>
      <x:c r="AD1169" s="84" t="n">
        <x:f>AC1169-B1169</x:f>
        <x:v>0</x:v>
      </x:c>
      <x:c r="AE1169" s="84" t="str">
        <x:f>IF(COUNTIF($A$5:A1169,A1169)&gt;1,"Duplicate","Keep")</x:f>
        <x:v>Keep</x:v>
      </x:c>
      <x:c r="AF1169" s="84" t="str">
        <x:f>IF(OR(R1169&lt;=0,AC1169&lt;B1169,H1169="Unknown",M1169="Unknown Product"),"Review","Valid")</x:f>
        <x:v>Valid</x:v>
      </x:c>
      <x:c r="AG1169" s="84" t="n">
        <x:f>IF(AND(AE1169="Keep",AF1169="Valid"),1,0)</x:f>
        <x:v>1</x:v>
      </x:c>
      <x:c r="AH1169" s="84" t="n">
        <x:f>IF(AND(AG1169=1,OR('Dashboard'!$B$4="All",I1169='Dashboard'!$B$4),OR('Dashboard'!$E$4="All",N1169='Dashboard'!$E$4),OR('Dashboard'!$H$4="All",K1169='Dashboard'!$H$4),OR('Dashboard'!$K$4="All",C1169='Dashboard'!$K$4)),1,0)</x:f>
        <x:v>1</x:v>
      </x:c>
      <x:c r="AI1169" s="84" t="n">
        <x:f>IF(AND(AG1169=1,OR('Dashboard'!$B$4="All",I1169='Dashboard'!$B$4),OR('Dashboard'!$E$4="All",N1169='Dashboard'!$E$4),OR('Dashboard'!$H$4="All",K1169='Dashboard'!$H$4)),1,0)</x:f>
        <x:v>1</x:v>
      </x:c>
    </x:row>
    <x:row r="1170">
      <x:c r="A1170" s="84" t="str">
        <x:f>'Raw Sales'!A1170</x:f>
        <x:v>ORD-2025-00979</x:v>
      </x:c>
      <x:c r="B1170" s="85" t="n">
        <x:f>'Raw Sales'!B1170</x:f>
        <x:v>45674</x:v>
      </x:c>
      <x:c r="C1170" s="84" t="n">
        <x:f>YEAR(B1170)</x:f>
        <x:v>2025</x:v>
      </x:c>
      <x:c r="D1170" s="91" t="n">
        <x:f>DATE(YEAR(B1170),MONTH(B1170),1)</x:f>
        <x:v>45658</x:v>
      </x:c>
      <x:c r="E1170" s="84" t="str">
        <x:f>TEXT(B1170,"mmm")</x:f>
        <x:v>Jan</x:v>
      </x:c>
      <x:c r="F1170" s="84" t="str">
        <x:f>'Raw Sales'!C1170</x:f>
        <x:v>CUST-0052</x:v>
      </x:c>
      <x:c r="G1170" s="84" t="str">
        <x:f>PROPER(TRIM('Raw Sales'!D1170))</x:f>
        <x:v>Elias Adams</x:v>
      </x:c>
      <x:c r="H1170" s="84" t="str">
        <x:f>IF(TRIM('Raw Sales'!E1170)="","Unknown",PROPER(TRIM('Raw Sales'!E1170)))</x:f>
        <x:v>Consumer</x:v>
      </x:c>
      <x:c r="I1170" s="84" t="str">
        <x:f>PROPER(TRIM('Raw Sales'!F1170))</x:f>
        <x:v>Southeast</x:v>
      </x:c>
      <x:c r="J1170" s="84" t="str">
        <x:f>PROPER(TRIM('Raw Sales'!G1170))</x:f>
        <x:v>Atlanta</x:v>
      </x:c>
      <x:c r="K1170" s="84" t="str">
        <x:f>PROPER(TRIM('Raw Sales'!H1170))</x:f>
        <x:v>Online</x:v>
      </x:c>
      <x:c r="L1170" s="84" t="str">
        <x:f>'Raw Sales'!I1170</x:f>
        <x:v>OFFC-001</x:v>
      </x:c>
      <x:c r="M1170" s="84" t="str">
        <x:f>IFERROR(VLOOKUP(L1170,'Reference Data'!$A$5:$F$40,2,FALSE),"Unknown Product")</x:f>
        <x:v>Ergonomic Chair</x:v>
      </x:c>
      <x:c r="N1170" s="84" t="str">
        <x:f>IFERROR(VLOOKUP(L1170,'Reference Data'!$A$5:$F$40,3,FALSE),"Unknown")</x:f>
        <x:v>Office</x:v>
      </x:c>
      <x:c r="O1170" s="84" t="str">
        <x:f>IFERROR(VLOOKUP(L1170,'Reference Data'!$A$5:$F$40,4,FALSE),"Unknown")</x:f>
        <x:v>Furniture</x:v>
      </x:c>
      <x:c r="P1170" s="92" t="n">
        <x:f>IFERROR(VLOOKUP(L1170,'Reference Data'!$A$5:$F$40,5,FALSE),0)</x:f>
        <x:v>249</x:v>
      </x:c>
      <x:c r="Q1170" s="92" t="n">
        <x:f>IFERROR(VLOOKUP(L1170,'Reference Data'!$A$5:$F$40,6,FALSE),0)</x:f>
        <x:v>145</x:v>
      </x:c>
      <x:c r="R1170" s="84" t="n">
        <x:f>'Raw Sales'!J1170</x:f>
        <x:v>4</x:v>
      </x:c>
      <x:c r="S1170" s="87" t="n">
        <x:f>'Raw Sales'!K1170</x:f>
        <x:v>0</x:v>
      </x:c>
      <x:c r="T1170" s="93" t="n">
        <x:f>P1170*R1170</x:f>
        <x:v>996</x:v>
      </x:c>
      <x:c r="U1170" s="93" t="n">
        <x:f>T1170*S1170</x:f>
        <x:v>0</x:v>
      </x:c>
      <x:c r="V1170" s="93" t="str">
        <x:f>PROPER(TRIM('Raw Sales'!L1170))</x:f>
        <x:v>Completed</x:v>
      </x:c>
      <x:c r="W1170" s="93" t="n">
        <x:f>IF(V1170="Returned",0,T1170-U1170)</x:f>
        <x:v>996</x:v>
      </x:c>
      <x:c r="X1170" s="93" t="n">
        <x:f>IF(V1170="Returned",Q1170*R1170*10%,Q1170*R1170)</x:f>
        <x:v>580</x:v>
      </x:c>
      <x:c r="Y1170" s="93" t="n">
        <x:f>W1170-X1170</x:f>
        <x:v>416</x:v>
      </x:c>
      <x:c r="Z1170" s="94" t="n">
        <x:f>IFERROR(Y1170/W1170,0)</x:f>
        <x:v>0.41767068273092367</x:v>
      </x:c>
      <x:c r="AA1170" s="84" t="str">
        <x:f>PROPER(TRIM('Raw Sales'!M1170))</x:f>
        <x:v>Mobile Wallet</x:v>
      </x:c>
      <x:c r="AB1170" s="84" t="str">
        <x:f>PROPER(TRIM('Raw Sales'!N1170))</x:f>
        <x:v>Ava Mitchell</x:v>
      </x:c>
      <x:c r="AC1170" s="85" t="n">
        <x:f>'Raw Sales'!O1170</x:f>
        <x:v>45676</x:v>
      </x:c>
      <x:c r="AD1170" s="84" t="n">
        <x:f>AC1170-B1170</x:f>
        <x:v>2</x:v>
      </x:c>
      <x:c r="AE1170" s="84" t="str">
        <x:f>IF(COUNTIF($A$5:A1170,A1170)&gt;1,"Duplicate","Keep")</x:f>
        <x:v>Keep</x:v>
      </x:c>
      <x:c r="AF1170" s="84" t="str">
        <x:f>IF(OR(R1170&lt;=0,AC1170&lt;B1170,H1170="Unknown",M1170="Unknown Product"),"Review","Valid")</x:f>
        <x:v>Valid</x:v>
      </x:c>
      <x:c r="AG1170" s="84" t="n">
        <x:f>IF(AND(AE1170="Keep",AF1170="Valid"),1,0)</x:f>
        <x:v>1</x:v>
      </x:c>
      <x:c r="AH1170" s="84" t="n">
        <x:f>IF(AND(AG1170=1,OR('Dashboard'!$B$4="All",I1170='Dashboard'!$B$4),OR('Dashboard'!$E$4="All",N1170='Dashboard'!$E$4),OR('Dashboard'!$H$4="All",K1170='Dashboard'!$H$4),OR('Dashboard'!$K$4="All",C1170='Dashboard'!$K$4)),1,0)</x:f>
        <x:v>1</x:v>
      </x:c>
      <x:c r="AI1170" s="84" t="n">
        <x:f>IF(AND(AG1170=1,OR('Dashboard'!$B$4="All",I1170='Dashboard'!$B$4),OR('Dashboard'!$E$4="All",N1170='Dashboard'!$E$4),OR('Dashboard'!$H$4="All",K1170='Dashboard'!$H$4)),1,0)</x:f>
        <x:v>1</x:v>
      </x:c>
    </x:row>
    <x:row r="1171">
      <x:c r="A1171" s="84" t="str">
        <x:f>'Raw Sales'!A1171</x:f>
        <x:v>ORD-2025-02346</x:v>
      </x:c>
      <x:c r="B1171" s="85" t="n">
        <x:f>'Raw Sales'!B1171</x:f>
        <x:v>45674</x:v>
      </x:c>
      <x:c r="C1171" s="84" t="n">
        <x:f>YEAR(B1171)</x:f>
        <x:v>2025</x:v>
      </x:c>
      <x:c r="D1171" s="91" t="n">
        <x:f>DATE(YEAR(B1171),MONTH(B1171),1)</x:f>
        <x:v>45658</x:v>
      </x:c>
      <x:c r="E1171" s="84" t="str">
        <x:f>TEXT(B1171,"mmm")</x:f>
        <x:v>Jan</x:v>
      </x:c>
      <x:c r="F1171" s="84" t="str">
        <x:f>'Raw Sales'!C1171</x:f>
        <x:v>CUST-0573</x:v>
      </x:c>
      <x:c r="G1171" s="84" t="str">
        <x:f>PROPER(TRIM('Raw Sales'!D1171))</x:f>
        <x:v>Priya Johnson</x:v>
      </x:c>
      <x:c r="H1171" s="84" t="str">
        <x:f>IF(TRIM('Raw Sales'!E1171)="","Unknown",PROPER(TRIM('Raw Sales'!E1171)))</x:f>
        <x:v>Corporate</x:v>
      </x:c>
      <x:c r="I1171" s="84" t="str">
        <x:f>PROPER(TRIM('Raw Sales'!F1171))</x:f>
        <x:v>West</x:v>
      </x:c>
      <x:c r="J1171" s="84" t="str">
        <x:f>PROPER(TRIM('Raw Sales'!G1171))</x:f>
        <x:v>Los Angeles</x:v>
      </x:c>
      <x:c r="K1171" s="84" t="str">
        <x:f>PROPER(TRIM('Raw Sales'!H1171))</x:f>
        <x:v>Retail Store</x:v>
      </x:c>
      <x:c r="L1171" s="84" t="str">
        <x:f>'Raw Sales'!I1171</x:f>
        <x:v>FITN-003</x:v>
      </x:c>
      <x:c r="M1171" s="84" t="str">
        <x:f>IFERROR(VLOOKUP(L1171,'Reference Data'!$A$5:$F$40,2,FALSE),"Unknown Product")</x:f>
        <x:v>Resistance Band Set</x:v>
      </x:c>
      <x:c r="N1171" s="84" t="str">
        <x:f>IFERROR(VLOOKUP(L1171,'Reference Data'!$A$5:$F$40,3,FALSE),"Unknown")</x:f>
        <x:v>Fitness</x:v>
      </x:c>
      <x:c r="O1171" s="84" t="str">
        <x:f>IFERROR(VLOOKUP(L1171,'Reference Data'!$A$5:$F$40,4,FALSE),"Unknown")</x:f>
        <x:v>Strength</x:v>
      </x:c>
      <x:c r="P1171" s="92" t="n">
        <x:f>IFERROR(VLOOKUP(L1171,'Reference Data'!$A$5:$F$40,5,FALSE),0)</x:f>
        <x:v>24</x:v>
      </x:c>
      <x:c r="Q1171" s="92" t="n">
        <x:f>IFERROR(VLOOKUP(L1171,'Reference Data'!$A$5:$F$40,6,FALSE),0)</x:f>
        <x:v>8</x:v>
      </x:c>
      <x:c r="R1171" s="84" t="n">
        <x:f>'Raw Sales'!J1171</x:f>
        <x:v>1</x:v>
      </x:c>
      <x:c r="S1171" s="87" t="n">
        <x:f>'Raw Sales'!K1171</x:f>
        <x:v>0.2</x:v>
      </x:c>
      <x:c r="T1171" s="93" t="n">
        <x:f>P1171*R1171</x:f>
        <x:v>24</x:v>
      </x:c>
      <x:c r="U1171" s="93" t="n">
        <x:f>T1171*S1171</x:f>
        <x:v>4.800000000000001</x:v>
      </x:c>
      <x:c r="V1171" s="93" t="str">
        <x:f>PROPER(TRIM('Raw Sales'!L1171))</x:f>
        <x:v>Completed</x:v>
      </x:c>
      <x:c r="W1171" s="93" t="n">
        <x:f>IF(V1171="Returned",0,T1171-U1171)</x:f>
        <x:v>19.2</x:v>
      </x:c>
      <x:c r="X1171" s="93" t="n">
        <x:f>IF(V1171="Returned",Q1171*R1171*10%,Q1171*R1171)</x:f>
        <x:v>8</x:v>
      </x:c>
      <x:c r="Y1171" s="93" t="n">
        <x:f>W1171-X1171</x:f>
        <x:v>11.2</x:v>
      </x:c>
      <x:c r="Z1171" s="94" t="n">
        <x:f>IFERROR(Y1171/W1171,0)</x:f>
        <x:v>0.5833333333333334</x:v>
      </x:c>
      <x:c r="AA1171" s="84" t="str">
        <x:f>PROPER(TRIM('Raw Sales'!M1171))</x:f>
        <x:v>Credit Card</x:v>
      </x:c>
      <x:c r="AB1171" s="84" t="str">
        <x:f>PROPER(TRIM('Raw Sales'!N1171))</x:f>
        <x:v>Nora Kim</x:v>
      </x:c>
      <x:c r="AC1171" s="85" t="n">
        <x:f>'Raw Sales'!O1171</x:f>
        <x:v>45674</x:v>
      </x:c>
      <x:c r="AD1171" s="84" t="n">
        <x:f>AC1171-B1171</x:f>
        <x:v>0</x:v>
      </x:c>
      <x:c r="AE1171" s="84" t="str">
        <x:f>IF(COUNTIF($A$5:A1171,A1171)&gt;1,"Duplicate","Keep")</x:f>
        <x:v>Keep</x:v>
      </x:c>
      <x:c r="AF1171" s="84" t="str">
        <x:f>IF(OR(R1171&lt;=0,AC1171&lt;B1171,H1171="Unknown",M1171="Unknown Product"),"Review","Valid")</x:f>
        <x:v>Valid</x:v>
      </x:c>
      <x:c r="AG1171" s="84" t="n">
        <x:f>IF(AND(AE1171="Keep",AF1171="Valid"),1,0)</x:f>
        <x:v>1</x:v>
      </x:c>
      <x:c r="AH1171" s="84" t="n">
        <x:f>IF(AND(AG1171=1,OR('Dashboard'!$B$4="All",I1171='Dashboard'!$B$4),OR('Dashboard'!$E$4="All",N1171='Dashboard'!$E$4),OR('Dashboard'!$H$4="All",K1171='Dashboard'!$H$4),OR('Dashboard'!$K$4="All",C1171='Dashboard'!$K$4)),1,0)</x:f>
        <x:v>1</x:v>
      </x:c>
      <x:c r="AI1171" s="84" t="n">
        <x:f>IF(AND(AG1171=1,OR('Dashboard'!$B$4="All",I1171='Dashboard'!$B$4),OR('Dashboard'!$E$4="All",N1171='Dashboard'!$E$4),OR('Dashboard'!$H$4="All",K1171='Dashboard'!$H$4)),1,0)</x:f>
        <x:v>1</x:v>
      </x:c>
    </x:row>
    <x:row r="1172">
      <x:c r="A1172" s="84" t="str">
        <x:f>'Raw Sales'!A1172</x:f>
        <x:v>ORD-2025-01360</x:v>
      </x:c>
      <x:c r="B1172" s="85" t="n">
        <x:f>'Raw Sales'!B1172</x:f>
        <x:v>45675</x:v>
      </x:c>
      <x:c r="C1172" s="84" t="n">
        <x:f>YEAR(B1172)</x:f>
        <x:v>2025</x:v>
      </x:c>
      <x:c r="D1172" s="91" t="n">
        <x:f>DATE(YEAR(B1172),MONTH(B1172),1)</x:f>
        <x:v>45658</x:v>
      </x:c>
      <x:c r="E1172" s="84" t="str">
        <x:f>TEXT(B1172,"mmm")</x:f>
        <x:v>Jan</x:v>
      </x:c>
      <x:c r="F1172" s="84" t="str">
        <x:f>'Raw Sales'!C1172</x:f>
        <x:v>CUST-0391</x:v>
      </x:c>
      <x:c r="G1172" s="84" t="str">
        <x:f>PROPER(TRIM('Raw Sales'!D1172))</x:f>
        <x:v>Amelia Taylor</x:v>
      </x:c>
      <x:c r="H1172" s="84" t="str">
        <x:f>IF(TRIM('Raw Sales'!E1172)="","Unknown",PROPER(TRIM('Raw Sales'!E1172)))</x:f>
        <x:v>Corporate</x:v>
      </x:c>
      <x:c r="I1172" s="84" t="str">
        <x:f>PROPER(TRIM('Raw Sales'!F1172))</x:f>
        <x:v>Northeast</x:v>
      </x:c>
      <x:c r="J1172" s="84" t="str">
        <x:f>PROPER(TRIM('Raw Sales'!G1172))</x:f>
        <x:v>New York</x:v>
      </x:c>
      <x:c r="K1172" s="84" t="str">
        <x:f>PROPER(TRIM('Raw Sales'!H1172))</x:f>
        <x:v>Retail Store</x:v>
      </x:c>
      <x:c r="L1172" s="84" t="str">
        <x:f>'Raw Sales'!I1172</x:f>
        <x:v>CARE-006</x:v>
      </x:c>
      <x:c r="M1172" s="84" t="str">
        <x:f>IFERROR(VLOOKUP(L1172,'Reference Data'!$A$5:$F$40,2,FALSE),"Unknown Product")</x:f>
        <x:v>Percussion Massage Gun</x:v>
      </x:c>
      <x:c r="N1172" s="84" t="str">
        <x:f>IFERROR(VLOOKUP(L1172,'Reference Data'!$A$5:$F$40,3,FALSE),"Unknown")</x:f>
        <x:v>Personal Care</x:v>
      </x:c>
      <x:c r="O1172" s="84" t="str">
        <x:f>IFERROR(VLOOKUP(L1172,'Reference Data'!$A$5:$F$40,4,FALSE),"Unknown")</x:f>
        <x:v>Wellness</x:v>
      </x:c>
      <x:c r="P1172" s="92" t="n">
        <x:f>IFERROR(VLOOKUP(L1172,'Reference Data'!$A$5:$F$40,5,FALSE),0)</x:f>
        <x:v>129</x:v>
      </x:c>
      <x:c r="Q1172" s="92" t="n">
        <x:f>IFERROR(VLOOKUP(L1172,'Reference Data'!$A$5:$F$40,6,FALSE),0)</x:f>
        <x:v>70</x:v>
      </x:c>
      <x:c r="R1172" s="84" t="n">
        <x:f>'Raw Sales'!J1172</x:f>
        <x:v>4</x:v>
      </x:c>
      <x:c r="S1172" s="87" t="n">
        <x:f>'Raw Sales'!K1172</x:f>
        <x:v>0.05</x:v>
      </x:c>
      <x:c r="T1172" s="93" t="n">
        <x:f>P1172*R1172</x:f>
        <x:v>516</x:v>
      </x:c>
      <x:c r="U1172" s="93" t="n">
        <x:f>T1172*S1172</x:f>
        <x:v>25.8</x:v>
      </x:c>
      <x:c r="V1172" s="93" t="str">
        <x:f>PROPER(TRIM('Raw Sales'!L1172))</x:f>
        <x:v>Completed</x:v>
      </x:c>
      <x:c r="W1172" s="93" t="n">
        <x:f>IF(V1172="Returned",0,T1172-U1172)</x:f>
        <x:v>490.2</x:v>
      </x:c>
      <x:c r="X1172" s="93" t="n">
        <x:f>IF(V1172="Returned",Q1172*R1172*10%,Q1172*R1172)</x:f>
        <x:v>280</x:v>
      </x:c>
      <x:c r="Y1172" s="93" t="n">
        <x:f>W1172-X1172</x:f>
        <x:v>210.2</x:v>
      </x:c>
      <x:c r="Z1172" s="94" t="n">
        <x:f>IFERROR(Y1172/W1172,0)</x:f>
        <x:v>0.4288045695634435</x:v>
      </x:c>
      <x:c r="AA1172" s="84" t="str">
        <x:f>PROPER(TRIM('Raw Sales'!M1172))</x:f>
        <x:v>Debit Card</x:v>
      </x:c>
      <x:c r="AB1172" s="84" t="str">
        <x:f>PROPER(TRIM('Raw Sales'!N1172))</x:f>
        <x:v>Sofia Bennett</x:v>
      </x:c>
      <x:c r="AC1172" s="85" t="n">
        <x:f>'Raw Sales'!O1172</x:f>
        <x:v>45675</x:v>
      </x:c>
      <x:c r="AD1172" s="84" t="n">
        <x:f>AC1172-B1172</x:f>
        <x:v>0</x:v>
      </x:c>
      <x:c r="AE1172" s="84" t="str">
        <x:f>IF(COUNTIF($A$5:A1172,A1172)&gt;1,"Duplicate","Keep")</x:f>
        <x:v>Keep</x:v>
      </x:c>
      <x:c r="AF1172" s="84" t="str">
        <x:f>IF(OR(R1172&lt;=0,AC1172&lt;B1172,H1172="Unknown",M1172="Unknown Product"),"Review","Valid")</x:f>
        <x:v>Valid</x:v>
      </x:c>
      <x:c r="AG1172" s="84" t="n">
        <x:f>IF(AND(AE1172="Keep",AF1172="Valid"),1,0)</x:f>
        <x:v>1</x:v>
      </x:c>
      <x:c r="AH1172" s="84" t="n">
        <x:f>IF(AND(AG1172=1,OR('Dashboard'!$B$4="All",I1172='Dashboard'!$B$4),OR('Dashboard'!$E$4="All",N1172='Dashboard'!$E$4),OR('Dashboard'!$H$4="All",K1172='Dashboard'!$H$4),OR('Dashboard'!$K$4="All",C1172='Dashboard'!$K$4)),1,0)</x:f>
        <x:v>1</x:v>
      </x:c>
      <x:c r="AI1172" s="84" t="n">
        <x:f>IF(AND(AG1172=1,OR('Dashboard'!$B$4="All",I1172='Dashboard'!$B$4),OR('Dashboard'!$E$4="All",N1172='Dashboard'!$E$4),OR('Dashboard'!$H$4="All",K1172='Dashboard'!$H$4)),1,0)</x:f>
        <x:v>1</x:v>
      </x:c>
    </x:row>
    <x:row r="1173">
      <x:c r="A1173" s="84" t="str">
        <x:f>'Raw Sales'!A1173</x:f>
        <x:v>ORD-2025-01829</x:v>
      </x:c>
      <x:c r="B1173" s="85" t="n">
        <x:f>'Raw Sales'!B1173</x:f>
        <x:v>45675</x:v>
      </x:c>
      <x:c r="C1173" s="84" t="n">
        <x:f>YEAR(B1173)</x:f>
        <x:v>2025</x:v>
      </x:c>
      <x:c r="D1173" s="91" t="n">
        <x:f>DATE(YEAR(B1173),MONTH(B1173),1)</x:f>
        <x:v>45658</x:v>
      </x:c>
      <x:c r="E1173" s="84" t="str">
        <x:f>TEXT(B1173,"mmm")</x:f>
        <x:v>Jan</x:v>
      </x:c>
      <x:c r="F1173" s="84" t="str">
        <x:f>'Raw Sales'!C1173</x:f>
        <x:v>CUST-0345</x:v>
      </x:c>
      <x:c r="G1173" s="84" t="str">
        <x:f>PROPER(TRIM('Raw Sales'!D1173))</x:f>
        <x:v>Samuel Taylor</x:v>
      </x:c>
      <x:c r="H1173" s="84" t="str">
        <x:f>IF(TRIM('Raw Sales'!E1173)="","Unknown",PROPER(TRIM('Raw Sales'!E1173)))</x:f>
        <x:v>Consumer</x:v>
      </x:c>
      <x:c r="I1173" s="84" t="str">
        <x:f>PROPER(TRIM('Raw Sales'!F1173))</x:f>
        <x:v>Southeast</x:v>
      </x:c>
      <x:c r="J1173" s="84" t="str">
        <x:f>PROPER(TRIM('Raw Sales'!G1173))</x:f>
        <x:v>Charlotte</x:v>
      </x:c>
      <x:c r="K1173" s="84" t="str">
        <x:f>PROPER(TRIM('Raw Sales'!H1173))</x:f>
        <x:v>Retail Store</x:v>
      </x:c>
      <x:c r="L1173" s="84" t="str">
        <x:f>'Raw Sales'!I1173</x:f>
        <x:v>OFFC-002</x:v>
      </x:c>
      <x:c r="M1173" s="84" t="str">
        <x:f>IFERROR(VLOOKUP(L1173,'Reference Data'!$A$5:$F$40,2,FALSE),"Unknown Product")</x:f>
        <x:v>Standing Desk</x:v>
      </x:c>
      <x:c r="N1173" s="84" t="str">
        <x:f>IFERROR(VLOOKUP(L1173,'Reference Data'!$A$5:$F$40,3,FALSE),"Unknown")</x:f>
        <x:v>Office</x:v>
      </x:c>
      <x:c r="O1173" s="84" t="str">
        <x:f>IFERROR(VLOOKUP(L1173,'Reference Data'!$A$5:$F$40,4,FALSE),"Unknown")</x:f>
        <x:v>Furniture</x:v>
      </x:c>
      <x:c r="P1173" s="92" t="n">
        <x:f>IFERROR(VLOOKUP(L1173,'Reference Data'!$A$5:$F$40,5,FALSE),0)</x:f>
        <x:v>399</x:v>
      </x:c>
      <x:c r="Q1173" s="92" t="n">
        <x:f>IFERROR(VLOOKUP(L1173,'Reference Data'!$A$5:$F$40,6,FALSE),0)</x:f>
        <x:v>235</x:v>
      </x:c>
      <x:c r="R1173" s="84" t="n">
        <x:f>'Raw Sales'!J1173</x:f>
        <x:v>1</x:v>
      </x:c>
      <x:c r="S1173" s="87" t="n">
        <x:f>'Raw Sales'!K1173</x:f>
        <x:v>0</x:v>
      </x:c>
      <x:c r="T1173" s="93" t="n">
        <x:f>P1173*R1173</x:f>
        <x:v>399</x:v>
      </x:c>
      <x:c r="U1173" s="93" t="n">
        <x:f>T1173*S1173</x:f>
        <x:v>0</x:v>
      </x:c>
      <x:c r="V1173" s="93" t="str">
        <x:f>PROPER(TRIM('Raw Sales'!L1173))</x:f>
        <x:v>Completed</x:v>
      </x:c>
      <x:c r="W1173" s="93" t="n">
        <x:f>IF(V1173="Returned",0,T1173-U1173)</x:f>
        <x:v>399</x:v>
      </x:c>
      <x:c r="X1173" s="93" t="n">
        <x:f>IF(V1173="Returned",Q1173*R1173*10%,Q1173*R1173)</x:f>
        <x:v>235</x:v>
      </x:c>
      <x:c r="Y1173" s="93" t="n">
        <x:f>W1173-X1173</x:f>
        <x:v>164</x:v>
      </x:c>
      <x:c r="Z1173" s="94" t="n">
        <x:f>IFERROR(Y1173/W1173,0)</x:f>
        <x:v>0.41102756892230574</x:v>
      </x:c>
      <x:c r="AA1173" s="84" t="str">
        <x:f>PROPER(TRIM('Raw Sales'!M1173))</x:f>
        <x:v>Credit Card</x:v>
      </x:c>
      <x:c r="AB1173" s="84" t="str">
        <x:f>PROPER(TRIM('Raw Sales'!N1173))</x:f>
        <x:v>Liam Parker</x:v>
      </x:c>
      <x:c r="AC1173" s="85" t="n">
        <x:f>'Raw Sales'!O1173</x:f>
        <x:v>45676</x:v>
      </x:c>
      <x:c r="AD1173" s="84" t="n">
        <x:f>AC1173-B1173</x:f>
        <x:v>1</x:v>
      </x:c>
      <x:c r="AE1173" s="84" t="str">
        <x:f>IF(COUNTIF($A$5:A1173,A1173)&gt;1,"Duplicate","Keep")</x:f>
        <x:v>Keep</x:v>
      </x:c>
      <x:c r="AF1173" s="84" t="str">
        <x:f>IF(OR(R1173&lt;=0,AC1173&lt;B1173,H1173="Unknown",M1173="Unknown Product"),"Review","Valid")</x:f>
        <x:v>Valid</x:v>
      </x:c>
      <x:c r="AG1173" s="84" t="n">
        <x:f>IF(AND(AE1173="Keep",AF1173="Valid"),1,0)</x:f>
        <x:v>1</x:v>
      </x:c>
      <x:c r="AH1173" s="84" t="n">
        <x:f>IF(AND(AG1173=1,OR('Dashboard'!$B$4="All",I1173='Dashboard'!$B$4),OR('Dashboard'!$E$4="All",N1173='Dashboard'!$E$4),OR('Dashboard'!$H$4="All",K1173='Dashboard'!$H$4),OR('Dashboard'!$K$4="All",C1173='Dashboard'!$K$4)),1,0)</x:f>
        <x:v>1</x:v>
      </x:c>
      <x:c r="AI1173" s="84" t="n">
        <x:f>IF(AND(AG1173=1,OR('Dashboard'!$B$4="All",I1173='Dashboard'!$B$4),OR('Dashboard'!$E$4="All",N1173='Dashboard'!$E$4),OR('Dashboard'!$H$4="All",K1173='Dashboard'!$H$4)),1,0)</x:f>
        <x:v>1</x:v>
      </x:c>
    </x:row>
    <x:row r="1174">
      <x:c r="A1174" s="84" t="str">
        <x:f>'Raw Sales'!A1174</x:f>
        <x:v>ORD-2025-01025</x:v>
      </x:c>
      <x:c r="B1174" s="85" t="n">
        <x:f>'Raw Sales'!B1174</x:f>
        <x:v>45676</x:v>
      </x:c>
      <x:c r="C1174" s="84" t="n">
        <x:f>YEAR(B1174)</x:f>
        <x:v>2025</x:v>
      </x:c>
      <x:c r="D1174" s="91" t="n">
        <x:f>DATE(YEAR(B1174),MONTH(B1174),1)</x:f>
        <x:v>45658</x:v>
      </x:c>
      <x:c r="E1174" s="84" t="str">
        <x:f>TEXT(B1174,"mmm")</x:f>
        <x:v>Jan</x:v>
      </x:c>
      <x:c r="F1174" s="84" t="str">
        <x:f>'Raw Sales'!C1174</x:f>
        <x:v>CUST-0599</x:v>
      </x:c>
      <x:c r="G1174" s="84" t="str">
        <x:f>PROPER(TRIM('Raw Sales'!D1174))</x:f>
        <x:v>Caleb Adams</x:v>
      </x:c>
      <x:c r="H1174" s="84" t="str">
        <x:f>IF(TRIM('Raw Sales'!E1174)="","Unknown",PROPER(TRIM('Raw Sales'!E1174)))</x:f>
        <x:v>Consumer</x:v>
      </x:c>
      <x:c r="I1174" s="84" t="str">
        <x:f>PROPER(TRIM('Raw Sales'!F1174))</x:f>
        <x:v>West</x:v>
      </x:c>
      <x:c r="J1174" s="84" t="str">
        <x:f>PROPER(TRIM('Raw Sales'!G1174))</x:f>
        <x:v>Phoenix</x:v>
      </x:c>
      <x:c r="K1174" s="84" t="str">
        <x:f>PROPER(TRIM('Raw Sales'!H1174))</x:f>
        <x:v>Online</x:v>
      </x:c>
      <x:c r="L1174" s="84" t="str">
        <x:f>'Raw Sales'!I1174</x:f>
        <x:v>ACCS-004</x:v>
      </x:c>
      <x:c r="M1174" s="84" t="str">
        <x:f>IFERROR(VLOOKUP(L1174,'Reference Data'!$A$5:$F$40,2,FALSE),"Unknown Product")</x:f>
        <x:v>Leather Wallet</x:v>
      </x:c>
      <x:c r="N1174" s="84" t="str">
        <x:f>IFERROR(VLOOKUP(L1174,'Reference Data'!$A$5:$F$40,3,FALSE),"Unknown")</x:f>
        <x:v>Accessories</x:v>
      </x:c>
      <x:c r="O1174" s="84" t="str">
        <x:f>IFERROR(VLOOKUP(L1174,'Reference Data'!$A$5:$F$40,4,FALSE),"Unknown")</x:f>
        <x:v>Wallets</x:v>
      </x:c>
      <x:c r="P1174" s="92" t="n">
        <x:f>IFERROR(VLOOKUP(L1174,'Reference Data'!$A$5:$F$40,5,FALSE),0)</x:f>
        <x:v>49</x:v>
      </x:c>
      <x:c r="Q1174" s="92" t="n">
        <x:f>IFERROR(VLOOKUP(L1174,'Reference Data'!$A$5:$F$40,6,FALSE),0)</x:f>
        <x:v>18</x:v>
      </x:c>
      <x:c r="R1174" s="84" t="n">
        <x:f>'Raw Sales'!J1174</x:f>
        <x:v>1</x:v>
      </x:c>
      <x:c r="S1174" s="87" t="n">
        <x:f>'Raw Sales'!K1174</x:f>
        <x:v>0.1</x:v>
      </x:c>
      <x:c r="T1174" s="93" t="n">
        <x:f>P1174*R1174</x:f>
        <x:v>49</x:v>
      </x:c>
      <x:c r="U1174" s="93" t="n">
        <x:f>T1174*S1174</x:f>
        <x:v>4.9</x:v>
      </x:c>
      <x:c r="V1174" s="93" t="str">
        <x:f>PROPER(TRIM('Raw Sales'!L1174))</x:f>
        <x:v>Completed</x:v>
      </x:c>
      <x:c r="W1174" s="93" t="n">
        <x:f>IF(V1174="Returned",0,T1174-U1174)</x:f>
        <x:v>44.1</x:v>
      </x:c>
      <x:c r="X1174" s="93" t="n">
        <x:f>IF(V1174="Returned",Q1174*R1174*10%,Q1174*R1174)</x:f>
        <x:v>18</x:v>
      </x:c>
      <x:c r="Y1174" s="93" t="n">
        <x:f>W1174-X1174</x:f>
        <x:v>26.1</x:v>
      </x:c>
      <x:c r="Z1174" s="94" t="n">
        <x:f>IFERROR(Y1174/W1174,0)</x:f>
        <x:v>0.5918367346938775</x:v>
      </x:c>
      <x:c r="AA1174" s="84" t="str">
        <x:f>PROPER(TRIM('Raw Sales'!M1174))</x:f>
        <x:v>Credit Card</x:v>
      </x:c>
      <x:c r="AB1174" s="84" t="str">
        <x:f>PROPER(TRIM('Raw Sales'!N1174))</x:f>
        <x:v>Mia Chen</x:v>
      </x:c>
      <x:c r="AC1174" s="85" t="n">
        <x:f>'Raw Sales'!O1174</x:f>
        <x:v>45678</x:v>
      </x:c>
      <x:c r="AD1174" s="84" t="n">
        <x:f>AC1174-B1174</x:f>
        <x:v>2</x:v>
      </x:c>
      <x:c r="AE1174" s="84" t="str">
        <x:f>IF(COUNTIF($A$5:A1174,A1174)&gt;1,"Duplicate","Keep")</x:f>
        <x:v>Keep</x:v>
      </x:c>
      <x:c r="AF1174" s="84" t="str">
        <x:f>IF(OR(R1174&lt;=0,AC1174&lt;B1174,H1174="Unknown",M1174="Unknown Product"),"Review","Valid")</x:f>
        <x:v>Valid</x:v>
      </x:c>
      <x:c r="AG1174" s="84" t="n">
        <x:f>IF(AND(AE1174="Keep",AF1174="Valid"),1,0)</x:f>
        <x:v>1</x:v>
      </x:c>
      <x:c r="AH1174" s="84" t="n">
        <x:f>IF(AND(AG1174=1,OR('Dashboard'!$B$4="All",I1174='Dashboard'!$B$4),OR('Dashboard'!$E$4="All",N1174='Dashboard'!$E$4),OR('Dashboard'!$H$4="All",K1174='Dashboard'!$H$4),OR('Dashboard'!$K$4="All",C1174='Dashboard'!$K$4)),1,0)</x:f>
        <x:v>1</x:v>
      </x:c>
      <x:c r="AI1174" s="84" t="n">
        <x:f>IF(AND(AG1174=1,OR('Dashboard'!$B$4="All",I1174='Dashboard'!$B$4),OR('Dashboard'!$E$4="All",N1174='Dashboard'!$E$4),OR('Dashboard'!$H$4="All",K1174='Dashboard'!$H$4)),1,0)</x:f>
        <x:v>1</x:v>
      </x:c>
    </x:row>
    <x:row r="1175">
      <x:c r="A1175" s="84" t="str">
        <x:f>'Raw Sales'!A1175</x:f>
        <x:v>ORD-2025-01101</x:v>
      </x:c>
      <x:c r="B1175" s="85" t="n">
        <x:f>'Raw Sales'!B1175</x:f>
        <x:v>45676</x:v>
      </x:c>
      <x:c r="C1175" s="84" t="n">
        <x:f>YEAR(B1175)</x:f>
        <x:v>2025</x:v>
      </x:c>
      <x:c r="D1175" s="91" t="n">
        <x:f>DATE(YEAR(B1175),MONTH(B1175),1)</x:f>
        <x:v>45658</x:v>
      </x:c>
      <x:c r="E1175" s="84" t="str">
        <x:f>TEXT(B1175,"mmm")</x:f>
        <x:v>Jan</x:v>
      </x:c>
      <x:c r="F1175" s="84" t="str">
        <x:f>'Raw Sales'!C1175</x:f>
        <x:v>CUST-0142</x:v>
      </x:c>
      <x:c r="G1175" s="84" t="str">
        <x:f>PROPER(TRIM('Raw Sales'!D1175))</x:f>
        <x:v>Elena Adams</x:v>
      </x:c>
      <x:c r="H1175" s="84" t="str">
        <x:f>IF(TRIM('Raw Sales'!E1175)="","Unknown",PROPER(TRIM('Raw Sales'!E1175)))</x:f>
        <x:v>Consumer</x:v>
      </x:c>
      <x:c r="I1175" s="84" t="str">
        <x:f>PROPER(TRIM('Raw Sales'!F1175))</x:f>
        <x:v>Midwest</x:v>
      </x:c>
      <x:c r="J1175" s="84" t="str">
        <x:f>PROPER(TRIM('Raw Sales'!G1175))</x:f>
        <x:v>Chicago</x:v>
      </x:c>
      <x:c r="K1175" s="84" t="str">
        <x:f>PROPER(TRIM('Raw Sales'!H1175))</x:f>
        <x:v>Online</x:v>
      </x:c>
      <x:c r="L1175" s="84" t="str">
        <x:f>'Raw Sales'!I1175</x:f>
        <x:v>FITN-005</x:v>
      </x:c>
      <x:c r="M1175" s="84" t="str">
        <x:f>IFERROR(VLOOKUP(L1175,'Reference Data'!$A$5:$F$40,2,FALSE),"Unknown Product")</x:f>
        <x:v>Sports Water Bottle</x:v>
      </x:c>
      <x:c r="N1175" s="84" t="str">
        <x:f>IFERROR(VLOOKUP(L1175,'Reference Data'!$A$5:$F$40,3,FALSE),"Unknown")</x:f>
        <x:v>Fitness</x:v>
      </x:c>
      <x:c r="O1175" s="84" t="str">
        <x:f>IFERROR(VLOOKUP(L1175,'Reference Data'!$A$5:$F$40,4,FALSE),"Unknown")</x:f>
        <x:v>Accessories</x:v>
      </x:c>
      <x:c r="P1175" s="92" t="n">
        <x:f>IFERROR(VLOOKUP(L1175,'Reference Data'!$A$5:$F$40,5,FALSE),0)</x:f>
        <x:v>22</x:v>
      </x:c>
      <x:c r="Q1175" s="92" t="n">
        <x:f>IFERROR(VLOOKUP(L1175,'Reference Data'!$A$5:$F$40,6,FALSE),0)</x:f>
        <x:v>7</x:v>
      </x:c>
      <x:c r="R1175" s="84" t="n">
        <x:f>'Raw Sales'!J1175</x:f>
        <x:v>1</x:v>
      </x:c>
      <x:c r="S1175" s="87" t="n">
        <x:f>'Raw Sales'!K1175</x:f>
        <x:v>0.05</x:v>
      </x:c>
      <x:c r="T1175" s="93" t="n">
        <x:f>P1175*R1175</x:f>
        <x:v>22</x:v>
      </x:c>
      <x:c r="U1175" s="93" t="n">
        <x:f>T1175*S1175</x:f>
        <x:v>1.1</x:v>
      </x:c>
      <x:c r="V1175" s="93" t="str">
        <x:f>PROPER(TRIM('Raw Sales'!L1175))</x:f>
        <x:v>Completed</x:v>
      </x:c>
      <x:c r="W1175" s="93" t="n">
        <x:f>IF(V1175="Returned",0,T1175-U1175)</x:f>
        <x:v>20.9</x:v>
      </x:c>
      <x:c r="X1175" s="93" t="n">
        <x:f>IF(V1175="Returned",Q1175*R1175*10%,Q1175*R1175)</x:f>
        <x:v>7</x:v>
      </x:c>
      <x:c r="Y1175" s="93" t="n">
        <x:f>W1175-X1175</x:f>
        <x:v>13.899999999999999</x:v>
      </x:c>
      <x:c r="Z1175" s="94" t="n">
        <x:f>IFERROR(Y1175/W1175,0)</x:f>
        <x:v>0.6650717703349283</x:v>
      </x:c>
      <x:c r="AA1175" s="84" t="str">
        <x:f>PROPER(TRIM('Raw Sales'!M1175))</x:f>
        <x:v>Debit Card</x:v>
      </x:c>
      <x:c r="AB1175" s="84" t="str">
        <x:f>PROPER(TRIM('Raw Sales'!N1175))</x:f>
        <x:v>Emma Hayes</x:v>
      </x:c>
      <x:c r="AC1175" s="85" t="n">
        <x:f>'Raw Sales'!O1175</x:f>
        <x:v>45679</x:v>
      </x:c>
      <x:c r="AD1175" s="84" t="n">
        <x:f>AC1175-B1175</x:f>
        <x:v>3</x:v>
      </x:c>
      <x:c r="AE1175" s="84" t="str">
        <x:f>IF(COUNTIF($A$5:A1175,A1175)&gt;1,"Duplicate","Keep")</x:f>
        <x:v>Keep</x:v>
      </x:c>
      <x:c r="AF1175" s="84" t="str">
        <x:f>IF(OR(R1175&lt;=0,AC1175&lt;B1175,H1175="Unknown",M1175="Unknown Product"),"Review","Valid")</x:f>
        <x:v>Valid</x:v>
      </x:c>
      <x:c r="AG1175" s="84" t="n">
        <x:f>IF(AND(AE1175="Keep",AF1175="Valid"),1,0)</x:f>
        <x:v>1</x:v>
      </x:c>
      <x:c r="AH1175" s="84" t="n">
        <x:f>IF(AND(AG1175=1,OR('Dashboard'!$B$4="All",I1175='Dashboard'!$B$4),OR('Dashboard'!$E$4="All",N1175='Dashboard'!$E$4),OR('Dashboard'!$H$4="All",K1175='Dashboard'!$H$4),OR('Dashboard'!$K$4="All",C1175='Dashboard'!$K$4)),1,0)</x:f>
        <x:v>1</x:v>
      </x:c>
      <x:c r="AI1175" s="84" t="n">
        <x:f>IF(AND(AG1175=1,OR('Dashboard'!$B$4="All",I1175='Dashboard'!$B$4),OR('Dashboard'!$E$4="All",N1175='Dashboard'!$E$4),OR('Dashboard'!$H$4="All",K1175='Dashboard'!$H$4)),1,0)</x:f>
        <x:v>1</x:v>
      </x:c>
    </x:row>
    <x:row r="1176">
      <x:c r="A1176" s="84" t="str">
        <x:f>'Raw Sales'!A1176</x:f>
        <x:v>ORD-2025-00414</x:v>
      </x:c>
      <x:c r="B1176" s="85" t="n">
        <x:f>'Raw Sales'!B1176</x:f>
        <x:v>45678</x:v>
      </x:c>
      <x:c r="C1176" s="84" t="n">
        <x:f>YEAR(B1176)</x:f>
        <x:v>2025</x:v>
      </x:c>
      <x:c r="D1176" s="91" t="n">
        <x:f>DATE(YEAR(B1176),MONTH(B1176),1)</x:f>
        <x:v>45658</x:v>
      </x:c>
      <x:c r="E1176" s="84" t="str">
        <x:f>TEXT(B1176,"mmm")</x:f>
        <x:v>Jan</x:v>
      </x:c>
      <x:c r="F1176" s="84" t="str">
        <x:f>'Raw Sales'!C1176</x:f>
        <x:v>CUST-0062</x:v>
      </x:c>
      <x:c r="G1176" s="84" t="str">
        <x:f>PROPER(TRIM('Raw Sales'!D1176))</x:f>
        <x:v>Caleb Davis</x:v>
      </x:c>
      <x:c r="H1176" s="84" t="str">
        <x:f>IF(TRIM('Raw Sales'!E1176)="","Unknown",PROPER(TRIM('Raw Sales'!E1176)))</x:f>
        <x:v>Consumer</x:v>
      </x:c>
      <x:c r="I1176" s="84" t="str">
        <x:f>PROPER(TRIM('Raw Sales'!F1176))</x:f>
        <x:v>Northeast</x:v>
      </x:c>
      <x:c r="J1176" s="84" t="str">
        <x:f>PROPER(TRIM('Raw Sales'!G1176))</x:f>
        <x:v>New York</x:v>
      </x:c>
      <x:c r="K1176" s="84" t="str">
        <x:f>PROPER(TRIM('Raw Sales'!H1176))</x:f>
        <x:v>Marketplace</x:v>
      </x:c>
      <x:c r="L1176" s="84" t="str">
        <x:f>'Raw Sales'!I1176</x:f>
        <x:v>OFFC-004</x:v>
      </x:c>
      <x:c r="M1176" s="84" t="str">
        <x:f>IFERROR(VLOOKUP(L1176,'Reference Data'!$A$5:$F$40,2,FALSE),"Unknown Product")</x:f>
        <x:v>Premium Notebook Pack</x:v>
      </x:c>
      <x:c r="N1176" s="84" t="str">
        <x:f>IFERROR(VLOOKUP(L1176,'Reference Data'!$A$5:$F$40,3,FALSE),"Unknown")</x:f>
        <x:v>Office</x:v>
      </x:c>
      <x:c r="O1176" s="84" t="str">
        <x:f>IFERROR(VLOOKUP(L1176,'Reference Data'!$A$5:$F$40,4,FALSE),"Unknown")</x:f>
        <x:v>Stationery</x:v>
      </x:c>
      <x:c r="P1176" s="92" t="n">
        <x:f>IFERROR(VLOOKUP(L1176,'Reference Data'!$A$5:$F$40,5,FALSE),0)</x:f>
        <x:v>18</x:v>
      </x:c>
      <x:c r="Q1176" s="92" t="n">
        <x:f>IFERROR(VLOOKUP(L1176,'Reference Data'!$A$5:$F$40,6,FALSE),0)</x:f>
        <x:v>6.5</x:v>
      </x:c>
      <x:c r="R1176" s="84" t="n">
        <x:f>'Raw Sales'!J1176</x:f>
        <x:v>2</x:v>
      </x:c>
      <x:c r="S1176" s="87" t="n">
        <x:f>'Raw Sales'!K1176</x:f>
        <x:v>0.15</x:v>
      </x:c>
      <x:c r="T1176" s="93" t="n">
        <x:f>P1176*R1176</x:f>
        <x:v>36</x:v>
      </x:c>
      <x:c r="U1176" s="93" t="n">
        <x:f>T1176*S1176</x:f>
        <x:v>5.3999999999999995</x:v>
      </x:c>
      <x:c r="V1176" s="93" t="str">
        <x:f>PROPER(TRIM('Raw Sales'!L1176))</x:f>
        <x:v>Completed</x:v>
      </x:c>
      <x:c r="W1176" s="93" t="n">
        <x:f>IF(V1176="Returned",0,T1176-U1176)</x:f>
        <x:v>30.6</x:v>
      </x:c>
      <x:c r="X1176" s="93" t="n">
        <x:f>IF(V1176="Returned",Q1176*R1176*10%,Q1176*R1176)</x:f>
        <x:v>13</x:v>
      </x:c>
      <x:c r="Y1176" s="93" t="n">
        <x:f>W1176-X1176</x:f>
        <x:v>17.6</x:v>
      </x:c>
      <x:c r="Z1176" s="94" t="n">
        <x:f>IFERROR(Y1176/W1176,0)</x:f>
        <x:v>0.5751633986928105</x:v>
      </x:c>
      <x:c r="AA1176" s="84" t="str">
        <x:f>PROPER(TRIM('Raw Sales'!M1176))</x:f>
        <x:v>Paypal</x:v>
      </x:c>
      <x:c r="AB1176" s="84" t="str">
        <x:f>PROPER(TRIM('Raw Sales'!N1176))</x:f>
        <x:v>Maya Brooks</x:v>
      </x:c>
      <x:c r="AC1176" s="85" t="n">
        <x:f>'Raw Sales'!O1176</x:f>
        <x:v>45683</x:v>
      </x:c>
      <x:c r="AD1176" s="84" t="n">
        <x:f>AC1176-B1176</x:f>
        <x:v>5</x:v>
      </x:c>
      <x:c r="AE1176" s="84" t="str">
        <x:f>IF(COUNTIF($A$5:A1176,A1176)&gt;1,"Duplicate","Keep")</x:f>
        <x:v>Keep</x:v>
      </x:c>
      <x:c r="AF1176" s="84" t="str">
        <x:f>IF(OR(R1176&lt;=0,AC1176&lt;B1176,H1176="Unknown",M1176="Unknown Product"),"Review","Valid")</x:f>
        <x:v>Valid</x:v>
      </x:c>
      <x:c r="AG1176" s="84" t="n">
        <x:f>IF(AND(AE1176="Keep",AF1176="Valid"),1,0)</x:f>
        <x:v>1</x:v>
      </x:c>
      <x:c r="AH1176" s="84" t="n">
        <x:f>IF(AND(AG1176=1,OR('Dashboard'!$B$4="All",I1176='Dashboard'!$B$4),OR('Dashboard'!$E$4="All",N1176='Dashboard'!$E$4),OR('Dashboard'!$H$4="All",K1176='Dashboard'!$H$4),OR('Dashboard'!$K$4="All",C1176='Dashboard'!$K$4)),1,0)</x:f>
        <x:v>1</x:v>
      </x:c>
      <x:c r="AI1176" s="84" t="n">
        <x:f>IF(AND(AG1176=1,OR('Dashboard'!$B$4="All",I1176='Dashboard'!$B$4),OR('Dashboard'!$E$4="All",N1176='Dashboard'!$E$4),OR('Dashboard'!$H$4="All",K1176='Dashboard'!$H$4)),1,0)</x:f>
        <x:v>1</x:v>
      </x:c>
    </x:row>
    <x:row r="1177">
      <x:c r="A1177" s="84" t="str">
        <x:f>'Raw Sales'!A1177</x:f>
        <x:v>ORD-2025-00451</x:v>
      </x:c>
      <x:c r="B1177" s="85" t="n">
        <x:f>'Raw Sales'!B1177</x:f>
        <x:v>45678</x:v>
      </x:c>
      <x:c r="C1177" s="84" t="n">
        <x:f>YEAR(B1177)</x:f>
        <x:v>2025</x:v>
      </x:c>
      <x:c r="D1177" s="91" t="n">
        <x:f>DATE(YEAR(B1177),MONTH(B1177),1)</x:f>
        <x:v>45658</x:v>
      </x:c>
      <x:c r="E1177" s="84" t="str">
        <x:f>TEXT(B1177,"mmm")</x:f>
        <x:v>Jan</x:v>
      </x:c>
      <x:c r="F1177" s="84" t="str">
        <x:f>'Raw Sales'!C1177</x:f>
        <x:v>CUST-0099</x:v>
      </x:c>
      <x:c r="G1177" s="84" t="str">
        <x:f>PROPER(TRIM('Raw Sales'!D1177))</x:f>
        <x:v>Maya Adams</x:v>
      </x:c>
      <x:c r="H1177" s="84" t="str">
        <x:f>IF(TRIM('Raw Sales'!E1177)="","Unknown",PROPER(TRIM('Raw Sales'!E1177)))</x:f>
        <x:v>Consumer</x:v>
      </x:c>
      <x:c r="I1177" s="84" t="str">
        <x:f>PROPER(TRIM('Raw Sales'!F1177))</x:f>
        <x:v>Southeast</x:v>
      </x:c>
      <x:c r="J1177" s="84" t="str">
        <x:f>PROPER(TRIM('Raw Sales'!G1177))</x:f>
        <x:v>Miami</x:v>
      </x:c>
      <x:c r="K1177" s="84" t="str">
        <x:f>PROPER(TRIM('Raw Sales'!H1177))</x:f>
        <x:v>Retail Store</x:v>
      </x:c>
      <x:c r="L1177" s="84" t="str">
        <x:f>'Raw Sales'!I1177</x:f>
        <x:v>CARE-005</x:v>
      </x:c>
      <x:c r="M1177" s="84" t="str">
        <x:f>IFERROR(VLOOKUP(L1177,'Reference Data'!$A$5:$F$40,2,FALSE),"Unknown Product")</x:f>
        <x:v>Skin Care Starter Kit</x:v>
      </x:c>
      <x:c r="N1177" s="84" t="str">
        <x:f>IFERROR(VLOOKUP(L1177,'Reference Data'!$A$5:$F$40,3,FALSE),"Unknown")</x:f>
        <x:v>Personal Care</x:v>
      </x:c>
      <x:c r="O1177" s="84" t="str">
        <x:f>IFERROR(VLOOKUP(L1177,'Reference Data'!$A$5:$F$40,4,FALSE),"Unknown")</x:f>
        <x:v>Skin Care</x:v>
      </x:c>
      <x:c r="P1177" s="92" t="n">
        <x:f>IFERROR(VLOOKUP(L1177,'Reference Data'!$A$5:$F$40,5,FALSE),0)</x:f>
        <x:v>58</x:v>
      </x:c>
      <x:c r="Q1177" s="92" t="n">
        <x:f>IFERROR(VLOOKUP(L1177,'Reference Data'!$A$5:$F$40,6,FALSE),0)</x:f>
        <x:v>24</x:v>
      </x:c>
      <x:c r="R1177" s="84" t="n">
        <x:f>'Raw Sales'!J1177</x:f>
        <x:v>1</x:v>
      </x:c>
      <x:c r="S1177" s="87" t="n">
        <x:f>'Raw Sales'!K1177</x:f>
        <x:v>0.05</x:v>
      </x:c>
      <x:c r="T1177" s="93" t="n">
        <x:f>P1177*R1177</x:f>
        <x:v>58</x:v>
      </x:c>
      <x:c r="U1177" s="93" t="n">
        <x:f>T1177*S1177</x:f>
        <x:v>2.9000000000000004</x:v>
      </x:c>
      <x:c r="V1177" s="93" t="str">
        <x:f>PROPER(TRIM('Raw Sales'!L1177))</x:f>
        <x:v>Completed</x:v>
      </x:c>
      <x:c r="W1177" s="93" t="n">
        <x:f>IF(V1177="Returned",0,T1177-U1177)</x:f>
        <x:v>55.1</x:v>
      </x:c>
      <x:c r="X1177" s="93" t="n">
        <x:f>IF(V1177="Returned",Q1177*R1177*10%,Q1177*R1177)</x:f>
        <x:v>24</x:v>
      </x:c>
      <x:c r="Y1177" s="93" t="n">
        <x:f>W1177-X1177</x:f>
        <x:v>31.1</x:v>
      </x:c>
      <x:c r="Z1177" s="94" t="n">
        <x:f>IFERROR(Y1177/W1177,0)</x:f>
        <x:v>0.5644283121597097</x:v>
      </x:c>
      <x:c r="AA1177" s="84" t="str">
        <x:f>PROPER(TRIM('Raw Sales'!M1177))</x:f>
        <x:v>Credit Card</x:v>
      </x:c>
      <x:c r="AB1177" s="84" t="str">
        <x:f>PROPER(TRIM('Raw Sales'!N1177))</x:f>
        <x:v>Ava Mitchell</x:v>
      </x:c>
      <x:c r="AC1177" s="85" t="n">
        <x:f>'Raw Sales'!O1177</x:f>
        <x:v>45678</x:v>
      </x:c>
      <x:c r="AD1177" s="84" t="n">
        <x:f>AC1177-B1177</x:f>
        <x:v>0</x:v>
      </x:c>
      <x:c r="AE1177" s="84" t="str">
        <x:f>IF(COUNTIF($A$5:A1177,A1177)&gt;1,"Duplicate","Keep")</x:f>
        <x:v>Keep</x:v>
      </x:c>
      <x:c r="AF1177" s="84" t="str">
        <x:f>IF(OR(R1177&lt;=0,AC1177&lt;B1177,H1177="Unknown",M1177="Unknown Product"),"Review","Valid")</x:f>
        <x:v>Valid</x:v>
      </x:c>
      <x:c r="AG1177" s="84" t="n">
        <x:f>IF(AND(AE1177="Keep",AF1177="Valid"),1,0)</x:f>
        <x:v>1</x:v>
      </x:c>
      <x:c r="AH1177" s="84" t="n">
        <x:f>IF(AND(AG1177=1,OR('Dashboard'!$B$4="All",I1177='Dashboard'!$B$4),OR('Dashboard'!$E$4="All",N1177='Dashboard'!$E$4),OR('Dashboard'!$H$4="All",K1177='Dashboard'!$H$4),OR('Dashboard'!$K$4="All",C1177='Dashboard'!$K$4)),1,0)</x:f>
        <x:v>1</x:v>
      </x:c>
      <x:c r="AI1177" s="84" t="n">
        <x:f>IF(AND(AG1177=1,OR('Dashboard'!$B$4="All",I1177='Dashboard'!$B$4),OR('Dashboard'!$E$4="All",N1177='Dashboard'!$E$4),OR('Dashboard'!$H$4="All",K1177='Dashboard'!$H$4)),1,0)</x:f>
        <x:v>1</x:v>
      </x:c>
    </x:row>
    <x:row r="1178">
      <x:c r="A1178" s="84" t="str">
        <x:f>'Raw Sales'!A1178</x:f>
        <x:v>ORD-2025-01588</x:v>
      </x:c>
      <x:c r="B1178" s="85" t="n">
        <x:f>'Raw Sales'!B1178</x:f>
        <x:v>45678</x:v>
      </x:c>
      <x:c r="C1178" s="84" t="n">
        <x:f>YEAR(B1178)</x:f>
        <x:v>2025</x:v>
      </x:c>
      <x:c r="D1178" s="91" t="n">
        <x:f>DATE(YEAR(B1178),MONTH(B1178),1)</x:f>
        <x:v>45658</x:v>
      </x:c>
      <x:c r="E1178" s="84" t="str">
        <x:f>TEXT(B1178,"mmm")</x:f>
        <x:v>Jan</x:v>
      </x:c>
      <x:c r="F1178" s="84" t="str">
        <x:f>'Raw Sales'!C1178</x:f>
        <x:v>CUST-0379</x:v>
      </x:c>
      <x:c r="G1178" s="84" t="str">
        <x:f>PROPER(TRIM('Raw Sales'!D1178))</x:f>
        <x:v>Sara Adams</x:v>
      </x:c>
      <x:c r="H1178" s="84" t="str">
        <x:f>IF(TRIM('Raw Sales'!E1178)="","Unknown",PROPER(TRIM('Raw Sales'!E1178)))</x:f>
        <x:v>Consumer</x:v>
      </x:c>
      <x:c r="I1178" s="84" t="str">
        <x:f>PROPER(TRIM('Raw Sales'!F1178))</x:f>
        <x:v>Southeast</x:v>
      </x:c>
      <x:c r="J1178" s="84" t="str">
        <x:f>PROPER(TRIM('Raw Sales'!G1178))</x:f>
        <x:v>Atlanta</x:v>
      </x:c>
      <x:c r="K1178" s="84" t="str">
        <x:f>PROPER(TRIM('Raw Sales'!H1178))</x:f>
        <x:v>Retail Store</x:v>
      </x:c>
      <x:c r="L1178" s="84" t="str">
        <x:f>'Raw Sales'!I1178</x:f>
        <x:v>HOME-002</x:v>
      </x:c>
      <x:c r="M1178" s="84" t="str">
        <x:f>IFERROR(VLOOKUP(L1178,'Reference Data'!$A$5:$F$40,2,FALSE),"Unknown Product")</x:f>
        <x:v>Electric Kettle</x:v>
      </x:c>
      <x:c r="N1178" s="84" t="str">
        <x:f>IFERROR(VLOOKUP(L1178,'Reference Data'!$A$5:$F$40,3,FALSE),"Unknown")</x:f>
        <x:v>Home &amp; Kitchen</x:v>
      </x:c>
      <x:c r="O1178" s="84" t="str">
        <x:f>IFERROR(VLOOKUP(L1178,'Reference Data'!$A$5:$F$40,4,FALSE),"Unknown")</x:f>
        <x:v>Small Appliances</x:v>
      </x:c>
      <x:c r="P1178" s="92" t="n">
        <x:f>IFERROR(VLOOKUP(L1178,'Reference Data'!$A$5:$F$40,5,FALSE),0)</x:f>
        <x:v>49</x:v>
      </x:c>
      <x:c r="Q1178" s="92" t="n">
        <x:f>IFERROR(VLOOKUP(L1178,'Reference Data'!$A$5:$F$40,6,FALSE),0)</x:f>
        <x:v>23</x:v>
      </x:c>
      <x:c r="R1178" s="84" t="n">
        <x:f>'Raw Sales'!J1178</x:f>
        <x:v>1</x:v>
      </x:c>
      <x:c r="S1178" s="87" t="n">
        <x:f>'Raw Sales'!K1178</x:f>
        <x:v>0.1</x:v>
      </x:c>
      <x:c r="T1178" s="93" t="n">
        <x:f>P1178*R1178</x:f>
        <x:v>49</x:v>
      </x:c>
      <x:c r="U1178" s="93" t="n">
        <x:f>T1178*S1178</x:f>
        <x:v>4.9</x:v>
      </x:c>
      <x:c r="V1178" s="93" t="str">
        <x:f>PROPER(TRIM('Raw Sales'!L1178))</x:f>
        <x:v>Completed</x:v>
      </x:c>
      <x:c r="W1178" s="93" t="n">
        <x:f>IF(V1178="Returned",0,T1178-U1178)</x:f>
        <x:v>44.1</x:v>
      </x:c>
      <x:c r="X1178" s="93" t="n">
        <x:f>IF(V1178="Returned",Q1178*R1178*10%,Q1178*R1178)</x:f>
        <x:v>23</x:v>
      </x:c>
      <x:c r="Y1178" s="93" t="n">
        <x:f>W1178-X1178</x:f>
        <x:v>21.1</x:v>
      </x:c>
      <x:c r="Z1178" s="94" t="n">
        <x:f>IFERROR(Y1178/W1178,0)</x:f>
        <x:v>0.47845804988662133</x:v>
      </x:c>
      <x:c r="AA1178" s="84" t="str">
        <x:f>PROPER(TRIM('Raw Sales'!M1178))</x:f>
        <x:v>Cash</x:v>
      </x:c>
      <x:c r="AB1178" s="84" t="str">
        <x:f>PROPER(TRIM('Raw Sales'!N1178))</x:f>
        <x:v>Noah Reed</x:v>
      </x:c>
      <x:c r="AC1178" s="85" t="n">
        <x:f>'Raw Sales'!O1178</x:f>
        <x:v>45679</x:v>
      </x:c>
      <x:c r="AD1178" s="84" t="n">
        <x:f>AC1178-B1178</x:f>
        <x:v>1</x:v>
      </x:c>
      <x:c r="AE1178" s="84" t="str">
        <x:f>IF(COUNTIF($A$5:A1178,A1178)&gt;1,"Duplicate","Keep")</x:f>
        <x:v>Keep</x:v>
      </x:c>
      <x:c r="AF1178" s="84" t="str">
        <x:f>IF(OR(R1178&lt;=0,AC1178&lt;B1178,H1178="Unknown",M1178="Unknown Product"),"Review","Valid")</x:f>
        <x:v>Valid</x:v>
      </x:c>
      <x:c r="AG1178" s="84" t="n">
        <x:f>IF(AND(AE1178="Keep",AF1178="Valid"),1,0)</x:f>
        <x:v>1</x:v>
      </x:c>
      <x:c r="AH1178" s="84" t="n">
        <x:f>IF(AND(AG1178=1,OR('Dashboard'!$B$4="All",I1178='Dashboard'!$B$4),OR('Dashboard'!$E$4="All",N1178='Dashboard'!$E$4),OR('Dashboard'!$H$4="All",K1178='Dashboard'!$H$4),OR('Dashboard'!$K$4="All",C1178='Dashboard'!$K$4)),1,0)</x:f>
        <x:v>1</x:v>
      </x:c>
      <x:c r="AI1178" s="84" t="n">
        <x:f>IF(AND(AG1178=1,OR('Dashboard'!$B$4="All",I1178='Dashboard'!$B$4),OR('Dashboard'!$E$4="All",N1178='Dashboard'!$E$4),OR('Dashboard'!$H$4="All",K1178='Dashboard'!$H$4)),1,0)</x:f>
        <x:v>1</x:v>
      </x:c>
    </x:row>
    <x:row r="1179">
      <x:c r="A1179" s="84" t="str">
        <x:f>'Raw Sales'!A1179</x:f>
        <x:v>ORD-2025-00625</x:v>
      </x:c>
      <x:c r="B1179" s="85" t="n">
        <x:f>'Raw Sales'!B1179</x:f>
        <x:v>45679</x:v>
      </x:c>
      <x:c r="C1179" s="84" t="n">
        <x:f>YEAR(B1179)</x:f>
        <x:v>2025</x:v>
      </x:c>
      <x:c r="D1179" s="91" t="n">
        <x:f>DATE(YEAR(B1179),MONTH(B1179),1)</x:f>
        <x:v>45658</x:v>
      </x:c>
      <x:c r="E1179" s="84" t="str">
        <x:f>TEXT(B1179,"mmm")</x:f>
        <x:v>Jan</x:v>
      </x:c>
      <x:c r="F1179" s="84" t="str">
        <x:f>'Raw Sales'!C1179</x:f>
        <x:v>CUST-0014</x:v>
      </x:c>
      <x:c r="G1179" s="84" t="str">
        <x:f>PROPER(TRIM('Raw Sales'!D1179))</x:f>
        <x:v>Jonah Irwin</x:v>
      </x:c>
      <x:c r="H1179" s="84" t="str">
        <x:f>IF(TRIM('Raw Sales'!E1179)="","Unknown",PROPER(TRIM('Raw Sales'!E1179)))</x:f>
        <x:v>Consumer</x:v>
      </x:c>
      <x:c r="I1179" s="84" t="str">
        <x:f>PROPER(TRIM('Raw Sales'!F1179))</x:f>
        <x:v>Southeast</x:v>
      </x:c>
      <x:c r="J1179" s="84" t="str">
        <x:f>PROPER(TRIM('Raw Sales'!G1179))</x:f>
        <x:v>Miami</x:v>
      </x:c>
      <x:c r="K1179" s="84" t="str">
        <x:f>PROPER(TRIM('Raw Sales'!H1179))</x:f>
        <x:v>Online</x:v>
      </x:c>
      <x:c r="L1179" s="84" t="str">
        <x:f>'Raw Sales'!I1179</x:f>
        <x:v>OFFC-002</x:v>
      </x:c>
      <x:c r="M1179" s="84" t="str">
        <x:f>IFERROR(VLOOKUP(L1179,'Reference Data'!$A$5:$F$40,2,FALSE),"Unknown Product")</x:f>
        <x:v>Standing Desk</x:v>
      </x:c>
      <x:c r="N1179" s="84" t="str">
        <x:f>IFERROR(VLOOKUP(L1179,'Reference Data'!$A$5:$F$40,3,FALSE),"Unknown")</x:f>
        <x:v>Office</x:v>
      </x:c>
      <x:c r="O1179" s="84" t="str">
        <x:f>IFERROR(VLOOKUP(L1179,'Reference Data'!$A$5:$F$40,4,FALSE),"Unknown")</x:f>
        <x:v>Furniture</x:v>
      </x:c>
      <x:c r="P1179" s="92" t="n">
        <x:f>IFERROR(VLOOKUP(L1179,'Reference Data'!$A$5:$F$40,5,FALSE),0)</x:f>
        <x:v>399</x:v>
      </x:c>
      <x:c r="Q1179" s="92" t="n">
        <x:f>IFERROR(VLOOKUP(L1179,'Reference Data'!$A$5:$F$40,6,FALSE),0)</x:f>
        <x:v>235</x:v>
      </x:c>
      <x:c r="R1179" s="84" t="n">
        <x:f>'Raw Sales'!J1179</x:f>
        <x:v>2</x:v>
      </x:c>
      <x:c r="S1179" s="87" t="n">
        <x:f>'Raw Sales'!K1179</x:f>
        <x:v>0.1</x:v>
      </x:c>
      <x:c r="T1179" s="93" t="n">
        <x:f>P1179*R1179</x:f>
        <x:v>798</x:v>
      </x:c>
      <x:c r="U1179" s="93" t="n">
        <x:f>T1179*S1179</x:f>
        <x:v>79.80000000000001</x:v>
      </x:c>
      <x:c r="V1179" s="93" t="str">
        <x:f>PROPER(TRIM('Raw Sales'!L1179))</x:f>
        <x:v>Completed</x:v>
      </x:c>
      <x:c r="W1179" s="93" t="n">
        <x:f>IF(V1179="Returned",0,T1179-U1179)</x:f>
        <x:v>718.2</x:v>
      </x:c>
      <x:c r="X1179" s="93" t="n">
        <x:f>IF(V1179="Returned",Q1179*R1179*10%,Q1179*R1179)</x:f>
        <x:v>470</x:v>
      </x:c>
      <x:c r="Y1179" s="93" t="n">
        <x:f>W1179-X1179</x:f>
        <x:v>248.20000000000005</x:v>
      </x:c>
      <x:c r="Z1179" s="94" t="n">
        <x:f>IFERROR(Y1179/W1179,0)</x:f>
        <x:v>0.3455861876914509</x:v>
      </x:c>
      <x:c r="AA1179" s="84" t="str">
        <x:f>PROPER(TRIM('Raw Sales'!M1179))</x:f>
        <x:v>Mobile Wallet</x:v>
      </x:c>
      <x:c r="AB1179" s="84" t="str">
        <x:f>PROPER(TRIM('Raw Sales'!N1179))</x:f>
        <x:v>Noah Reed</x:v>
      </x:c>
      <x:c r="AC1179" s="85" t="n">
        <x:f>'Raw Sales'!O1179</x:f>
        <x:v>45682</x:v>
      </x:c>
      <x:c r="AD1179" s="84" t="n">
        <x:f>AC1179-B1179</x:f>
        <x:v>3</x:v>
      </x:c>
      <x:c r="AE1179" s="84" t="str">
        <x:f>IF(COUNTIF($A$5:A1179,A1179)&gt;1,"Duplicate","Keep")</x:f>
        <x:v>Keep</x:v>
      </x:c>
      <x:c r="AF1179" s="84" t="str">
        <x:f>IF(OR(R1179&lt;=0,AC1179&lt;B1179,H1179="Unknown",M1179="Unknown Product"),"Review","Valid")</x:f>
        <x:v>Valid</x:v>
      </x:c>
      <x:c r="AG1179" s="84" t="n">
        <x:f>IF(AND(AE1179="Keep",AF1179="Valid"),1,0)</x:f>
        <x:v>1</x:v>
      </x:c>
      <x:c r="AH1179" s="84" t="n">
        <x:f>IF(AND(AG1179=1,OR('Dashboard'!$B$4="All",I1179='Dashboard'!$B$4),OR('Dashboard'!$E$4="All",N1179='Dashboard'!$E$4),OR('Dashboard'!$H$4="All",K1179='Dashboard'!$H$4),OR('Dashboard'!$K$4="All",C1179='Dashboard'!$K$4)),1,0)</x:f>
        <x:v>1</x:v>
      </x:c>
      <x:c r="AI1179" s="84" t="n">
        <x:f>IF(AND(AG1179=1,OR('Dashboard'!$B$4="All",I1179='Dashboard'!$B$4),OR('Dashboard'!$E$4="All",N1179='Dashboard'!$E$4),OR('Dashboard'!$H$4="All",K1179='Dashboard'!$H$4)),1,0)</x:f>
        <x:v>1</x:v>
      </x:c>
    </x:row>
    <x:row r="1180">
      <x:c r="A1180" s="84" t="str">
        <x:f>'Raw Sales'!A1180</x:f>
        <x:v>ORD-2025-01342</x:v>
      </x:c>
      <x:c r="B1180" s="85" t="n">
        <x:f>'Raw Sales'!B1180</x:f>
        <x:v>45679</x:v>
      </x:c>
      <x:c r="C1180" s="84" t="n">
        <x:f>YEAR(B1180)</x:f>
        <x:v>2025</x:v>
      </x:c>
      <x:c r="D1180" s="91" t="n">
        <x:f>DATE(YEAR(B1180),MONTH(B1180),1)</x:f>
        <x:v>45658</x:v>
      </x:c>
      <x:c r="E1180" s="84" t="str">
        <x:f>TEXT(B1180,"mmm")</x:f>
        <x:v>Jan</x:v>
      </x:c>
      <x:c r="F1180" s="84" t="str">
        <x:f>'Raw Sales'!C1180</x:f>
        <x:v>CUST-0178</x:v>
      </x:c>
      <x:c r="G1180" s="84" t="str">
        <x:f>PROPER(TRIM('Raw Sales'!D1180))</x:f>
        <x:v>Jasmine Baker</x:v>
      </x:c>
      <x:c r="H1180" s="84" t="str">
        <x:f>IF(TRIM('Raw Sales'!E1180)="","Unknown",PROPER(TRIM('Raw Sales'!E1180)))</x:f>
        <x:v>Unknown</x:v>
      </x:c>
      <x:c r="I1180" s="84" t="str">
        <x:f>PROPER(TRIM('Raw Sales'!F1180))</x:f>
        <x:v>Northeast</x:v>
      </x:c>
      <x:c r="J1180" s="84" t="str">
        <x:f>PROPER(TRIM('Raw Sales'!G1180))</x:f>
        <x:v>New York</x:v>
      </x:c>
      <x:c r="K1180" s="84" t="str">
        <x:f>PROPER(TRIM('Raw Sales'!H1180))</x:f>
        <x:v>Marketplace</x:v>
      </x:c>
      <x:c r="L1180" s="84" t="str">
        <x:f>'Raw Sales'!I1180</x:f>
        <x:v>HOME-006</x:v>
      </x:c>
      <x:c r="M1180" s="84" t="str">
        <x:f>IFERROR(VLOOKUP(L1180,'Reference Data'!$A$5:$F$40,2,FALSE),"Unknown Product")</x:f>
        <x:v>Food Storage Set</x:v>
      </x:c>
      <x:c r="N1180" s="84" t="str">
        <x:f>IFERROR(VLOOKUP(L1180,'Reference Data'!$A$5:$F$40,3,FALSE),"Unknown")</x:f>
        <x:v>Home &amp; Kitchen</x:v>
      </x:c>
      <x:c r="O1180" s="84" t="str">
        <x:f>IFERROR(VLOOKUP(L1180,'Reference Data'!$A$5:$F$40,4,FALSE),"Unknown")</x:f>
        <x:v>Kitchenware</x:v>
      </x:c>
      <x:c r="P1180" s="92" t="n">
        <x:f>IFERROR(VLOOKUP(L1180,'Reference Data'!$A$5:$F$40,5,FALSE),0)</x:f>
        <x:v>34</x:v>
      </x:c>
      <x:c r="Q1180" s="92" t="n">
        <x:f>IFERROR(VLOOKUP(L1180,'Reference Data'!$A$5:$F$40,6,FALSE),0)</x:f>
        <x:v>15</x:v>
      </x:c>
      <x:c r="R1180" s="84" t="n">
        <x:f>'Raw Sales'!J1180</x:f>
        <x:v>4</x:v>
      </x:c>
      <x:c r="S1180" s="87" t="n">
        <x:f>'Raw Sales'!K1180</x:f>
        <x:v>0.2</x:v>
      </x:c>
      <x:c r="T1180" s="93" t="n">
        <x:f>P1180*R1180</x:f>
        <x:v>136</x:v>
      </x:c>
      <x:c r="U1180" s="93" t="n">
        <x:f>T1180*S1180</x:f>
        <x:v>27.200000000000003</x:v>
      </x:c>
      <x:c r="V1180" s="93" t="str">
        <x:f>PROPER(TRIM('Raw Sales'!L1180))</x:f>
        <x:v>Completed</x:v>
      </x:c>
      <x:c r="W1180" s="93" t="n">
        <x:f>IF(V1180="Returned",0,T1180-U1180)</x:f>
        <x:v>108.8</x:v>
      </x:c>
      <x:c r="X1180" s="93" t="n">
        <x:f>IF(V1180="Returned",Q1180*R1180*10%,Q1180*R1180)</x:f>
        <x:v>60</x:v>
      </x:c>
      <x:c r="Y1180" s="93" t="n">
        <x:f>W1180-X1180</x:f>
        <x:v>48.8</x:v>
      </x:c>
      <x:c r="Z1180" s="94" t="n">
        <x:f>IFERROR(Y1180/W1180,0)</x:f>
        <x:v>0.44852941176470584</x:v>
      </x:c>
      <x:c r="AA1180" s="84" t="str">
        <x:f>PROPER(TRIM('Raw Sales'!M1180))</x:f>
        <x:v>Credit Card</x:v>
      </x:c>
      <x:c r="AB1180" s="84" t="str">
        <x:f>PROPER(TRIM('Raw Sales'!N1180))</x:f>
        <x:v>Ethan Cole</x:v>
      </x:c>
      <x:c r="AC1180" s="85" t="n">
        <x:f>'Raw Sales'!O1180</x:f>
        <x:v>45682</x:v>
      </x:c>
      <x:c r="AD1180" s="84" t="n">
        <x:f>AC1180-B1180</x:f>
        <x:v>3</x:v>
      </x:c>
      <x:c r="AE1180" s="84" t="str">
        <x:f>IF(COUNTIF($A$5:A1180,A1180)&gt;1,"Duplicate","Keep")</x:f>
        <x:v>Keep</x:v>
      </x:c>
      <x:c r="AF1180" s="84" t="str">
        <x:f>IF(OR(R1180&lt;=0,AC1180&lt;B1180,H1180="Unknown",M1180="Unknown Product"),"Review","Valid")</x:f>
        <x:v>Review</x:v>
      </x:c>
      <x:c r="AG1180" s="84" t="n">
        <x:f>IF(AND(AE1180="Keep",AF1180="Valid"),1,0)</x:f>
        <x:v>0</x:v>
      </x:c>
      <x:c r="AH1180" s="84" t="n">
        <x:f>IF(AND(AG1180=1,OR('Dashboard'!$B$4="All",I1180='Dashboard'!$B$4),OR('Dashboard'!$E$4="All",N1180='Dashboard'!$E$4),OR('Dashboard'!$H$4="All",K1180='Dashboard'!$H$4),OR('Dashboard'!$K$4="All",C1180='Dashboard'!$K$4)),1,0)</x:f>
        <x:v>0</x:v>
      </x:c>
      <x:c r="AI1180" s="84" t="n">
        <x:f>IF(AND(AG1180=1,OR('Dashboard'!$B$4="All",I1180='Dashboard'!$B$4),OR('Dashboard'!$E$4="All",N1180='Dashboard'!$E$4),OR('Dashboard'!$H$4="All",K1180='Dashboard'!$H$4)),1,0)</x:f>
        <x:v>0</x:v>
      </x:c>
    </x:row>
    <x:row r="1181">
      <x:c r="A1181" s="84" t="str">
        <x:f>'Raw Sales'!A1181</x:f>
        <x:v>ORD-2025-01592</x:v>
      </x:c>
      <x:c r="B1181" s="85" t="n">
        <x:f>'Raw Sales'!B1181</x:f>
        <x:v>45679</x:v>
      </x:c>
      <x:c r="C1181" s="84" t="n">
        <x:f>YEAR(B1181)</x:f>
        <x:v>2025</x:v>
      </x:c>
      <x:c r="D1181" s="91" t="n">
        <x:f>DATE(YEAR(B1181),MONTH(B1181),1)</x:f>
        <x:v>45658</x:v>
      </x:c>
      <x:c r="E1181" s="84" t="str">
        <x:f>TEXT(B1181,"mmm")</x:f>
        <x:v>Jan</x:v>
      </x:c>
      <x:c r="F1181" s="84" t="str">
        <x:f>'Raw Sales'!C1181</x:f>
        <x:v>CUST-0327</x:v>
      </x:c>
      <x:c r="G1181" s="84" t="str">
        <x:f>PROPER(TRIM('Raw Sales'!D1181))</x:f>
        <x:v>Samuel Hall</x:v>
      </x:c>
      <x:c r="H1181" s="84" t="str">
        <x:f>IF(TRIM('Raw Sales'!E1181)="","Unknown",PROPER(TRIM('Raw Sales'!E1181)))</x:f>
        <x:v>Consumer</x:v>
      </x:c>
      <x:c r="I1181" s="84" t="str">
        <x:f>PROPER(TRIM('Raw Sales'!F1181))</x:f>
        <x:v>West</x:v>
      </x:c>
      <x:c r="J1181" s="84" t="str">
        <x:f>PROPER(TRIM('Raw Sales'!G1181))</x:f>
        <x:v>Los Angeles</x:v>
      </x:c>
      <x:c r="K1181" s="84" t="str">
        <x:f>PROPER(TRIM('Raw Sales'!H1181))</x:f>
        <x:v>Online</x:v>
      </x:c>
      <x:c r="L1181" s="84" t="str">
        <x:f>'Raw Sales'!I1181</x:f>
        <x:v>HOME-004</x:v>
      </x:c>
      <x:c r="M1181" s="84" t="str">
        <x:f>IFERROR(VLOOKUP(L1181,'Reference Data'!$A$5:$F$40,2,FALSE),"Unknown Product")</x:f>
        <x:v>Coffee Maker</x:v>
      </x:c>
      <x:c r="N1181" s="84" t="str">
        <x:f>IFERROR(VLOOKUP(L1181,'Reference Data'!$A$5:$F$40,3,FALSE),"Unknown")</x:f>
        <x:v>Home &amp; Kitchen</x:v>
      </x:c>
      <x:c r="O1181" s="84" t="str">
        <x:f>IFERROR(VLOOKUP(L1181,'Reference Data'!$A$5:$F$40,4,FALSE),"Unknown")</x:f>
        <x:v>Small Appliances</x:v>
      </x:c>
      <x:c r="P1181" s="92" t="n">
        <x:f>IFERROR(VLOOKUP(L1181,'Reference Data'!$A$5:$F$40,5,FALSE),0)</x:f>
        <x:v>99</x:v>
      </x:c>
      <x:c r="Q1181" s="92" t="n">
        <x:f>IFERROR(VLOOKUP(L1181,'Reference Data'!$A$5:$F$40,6,FALSE),0)</x:f>
        <x:v>51</x:v>
      </x:c>
      <x:c r="R1181" s="84" t="n">
        <x:f>'Raw Sales'!J1181</x:f>
        <x:v>1</x:v>
      </x:c>
      <x:c r="S1181" s="87" t="n">
        <x:f>'Raw Sales'!K1181</x:f>
        <x:v>0.05</x:v>
      </x:c>
      <x:c r="T1181" s="93" t="n">
        <x:f>P1181*R1181</x:f>
        <x:v>99</x:v>
      </x:c>
      <x:c r="U1181" s="93" t="n">
        <x:f>T1181*S1181</x:f>
        <x:v>4.95</x:v>
      </x:c>
      <x:c r="V1181" s="93" t="str">
        <x:f>PROPER(TRIM('Raw Sales'!L1181))</x:f>
        <x:v>Completed</x:v>
      </x:c>
      <x:c r="W1181" s="93" t="n">
        <x:f>IF(V1181="Returned",0,T1181-U1181)</x:f>
        <x:v>94.05</x:v>
      </x:c>
      <x:c r="X1181" s="93" t="n">
        <x:f>IF(V1181="Returned",Q1181*R1181*10%,Q1181*R1181)</x:f>
        <x:v>51</x:v>
      </x:c>
      <x:c r="Y1181" s="93" t="n">
        <x:f>W1181-X1181</x:f>
        <x:v>43.05</x:v>
      </x:c>
      <x:c r="Z1181" s="94" t="n">
        <x:f>IFERROR(Y1181/W1181,0)</x:f>
        <x:v>0.4577352472089314</x:v>
      </x:c>
      <x:c r="AA1181" s="84" t="str">
        <x:f>PROPER(TRIM('Raw Sales'!M1181))</x:f>
        <x:v>Credit Card</x:v>
      </x:c>
      <x:c r="AB1181" s="84" t="str">
        <x:f>PROPER(TRIM('Raw Sales'!N1181))</x:f>
        <x:v>Leo Martinez</x:v>
      </x:c>
      <x:c r="AC1181" s="85" t="n">
        <x:f>'Raw Sales'!O1181</x:f>
        <x:v>45684</x:v>
      </x:c>
      <x:c r="AD1181" s="84" t="n">
        <x:f>AC1181-B1181</x:f>
        <x:v>5</x:v>
      </x:c>
      <x:c r="AE1181" s="84" t="str">
        <x:f>IF(COUNTIF($A$5:A1181,A1181)&gt;1,"Duplicate","Keep")</x:f>
        <x:v>Keep</x:v>
      </x:c>
      <x:c r="AF1181" s="84" t="str">
        <x:f>IF(OR(R1181&lt;=0,AC1181&lt;B1181,H1181="Unknown",M1181="Unknown Product"),"Review","Valid")</x:f>
        <x:v>Valid</x:v>
      </x:c>
      <x:c r="AG1181" s="84" t="n">
        <x:f>IF(AND(AE1181="Keep",AF1181="Valid"),1,0)</x:f>
        <x:v>1</x:v>
      </x:c>
      <x:c r="AH1181" s="84" t="n">
        <x:f>IF(AND(AG1181=1,OR('Dashboard'!$B$4="All",I1181='Dashboard'!$B$4),OR('Dashboard'!$E$4="All",N1181='Dashboard'!$E$4),OR('Dashboard'!$H$4="All",K1181='Dashboard'!$H$4),OR('Dashboard'!$K$4="All",C1181='Dashboard'!$K$4)),1,0)</x:f>
        <x:v>1</x:v>
      </x:c>
      <x:c r="AI1181" s="84" t="n">
        <x:f>IF(AND(AG1181=1,OR('Dashboard'!$B$4="All",I1181='Dashboard'!$B$4),OR('Dashboard'!$E$4="All",N1181='Dashboard'!$E$4),OR('Dashboard'!$H$4="All",K1181='Dashboard'!$H$4)),1,0)</x:f>
        <x:v>1</x:v>
      </x:c>
    </x:row>
    <x:row r="1182">
      <x:c r="A1182" s="84" t="str">
        <x:f>'Raw Sales'!A1182</x:f>
        <x:v>ORD-2025-01701</x:v>
      </x:c>
      <x:c r="B1182" s="85" t="n">
        <x:f>'Raw Sales'!B1182</x:f>
        <x:v>45679</x:v>
      </x:c>
      <x:c r="C1182" s="84" t="n">
        <x:f>YEAR(B1182)</x:f>
        <x:v>2025</x:v>
      </x:c>
      <x:c r="D1182" s="91" t="n">
        <x:f>DATE(YEAR(B1182),MONTH(B1182),1)</x:f>
        <x:v>45658</x:v>
      </x:c>
      <x:c r="E1182" s="84" t="str">
        <x:f>TEXT(B1182,"mmm")</x:f>
        <x:v>Jan</x:v>
      </x:c>
      <x:c r="F1182" s="84" t="str">
        <x:f>'Raw Sales'!C1182</x:f>
        <x:v>CUST-0433</x:v>
      </x:c>
      <x:c r="G1182" s="84" t="str">
        <x:f>PROPER(TRIM('Raw Sales'!D1182))</x:f>
        <x:v>Aiden Johnson</x:v>
      </x:c>
      <x:c r="H1182" s="84" t="str">
        <x:f>IF(TRIM('Raw Sales'!E1182)="","Unknown",PROPER(TRIM('Raw Sales'!E1182)))</x:f>
        <x:v>Corporate</x:v>
      </x:c>
      <x:c r="I1182" s="84" t="str">
        <x:f>PROPER(TRIM('Raw Sales'!F1182))</x:f>
        <x:v>Midwest</x:v>
      </x:c>
      <x:c r="J1182" s="84" t="str">
        <x:f>PROPER(TRIM('Raw Sales'!G1182))</x:f>
        <x:v>Columbus</x:v>
      </x:c>
      <x:c r="K1182" s="84" t="str">
        <x:f>PROPER(TRIM('Raw Sales'!H1182))</x:f>
        <x:v>Marketplace</x:v>
      </x:c>
      <x:c r="L1182" s="84" t="str">
        <x:f>'Raw Sales'!I1182</x:f>
        <x:v>HOME-002</x:v>
      </x:c>
      <x:c r="M1182" s="84" t="str">
        <x:f>IFERROR(VLOOKUP(L1182,'Reference Data'!$A$5:$F$40,2,FALSE),"Unknown Product")</x:f>
        <x:v>Electric Kettle</x:v>
      </x:c>
      <x:c r="N1182" s="84" t="str">
        <x:f>IFERROR(VLOOKUP(L1182,'Reference Data'!$A$5:$F$40,3,FALSE),"Unknown")</x:f>
        <x:v>Home &amp; Kitchen</x:v>
      </x:c>
      <x:c r="O1182" s="84" t="str">
        <x:f>IFERROR(VLOOKUP(L1182,'Reference Data'!$A$5:$F$40,4,FALSE),"Unknown")</x:f>
        <x:v>Small Appliances</x:v>
      </x:c>
      <x:c r="P1182" s="92" t="n">
        <x:f>IFERROR(VLOOKUP(L1182,'Reference Data'!$A$5:$F$40,5,FALSE),0)</x:f>
        <x:v>49</x:v>
      </x:c>
      <x:c r="Q1182" s="92" t="n">
        <x:f>IFERROR(VLOOKUP(L1182,'Reference Data'!$A$5:$F$40,6,FALSE),0)</x:f>
        <x:v>23</x:v>
      </x:c>
      <x:c r="R1182" s="84" t="n">
        <x:f>'Raw Sales'!J1182</x:f>
        <x:v>1</x:v>
      </x:c>
      <x:c r="S1182" s="87" t="n">
        <x:f>'Raw Sales'!K1182</x:f>
        <x:v>0.15</x:v>
      </x:c>
      <x:c r="T1182" s="93" t="n">
        <x:f>P1182*R1182</x:f>
        <x:v>49</x:v>
      </x:c>
      <x:c r="U1182" s="93" t="n">
        <x:f>T1182*S1182</x:f>
        <x:v>7.35</x:v>
      </x:c>
      <x:c r="V1182" s="93" t="str">
        <x:f>PROPER(TRIM('Raw Sales'!L1182))</x:f>
        <x:v>Completed</x:v>
      </x:c>
      <x:c r="W1182" s="93" t="n">
        <x:f>IF(V1182="Returned",0,T1182-U1182)</x:f>
        <x:v>41.65</x:v>
      </x:c>
      <x:c r="X1182" s="93" t="n">
        <x:f>IF(V1182="Returned",Q1182*R1182*10%,Q1182*R1182)</x:f>
        <x:v>23</x:v>
      </x:c>
      <x:c r="Y1182" s="93" t="n">
        <x:f>W1182-X1182</x:f>
        <x:v>18.65</x:v>
      </x:c>
      <x:c r="Z1182" s="94" t="n">
        <x:f>IFERROR(Y1182/W1182,0)</x:f>
        <x:v>0.44777911164465783</x:v>
      </x:c>
      <x:c r="AA1182" s="84" t="str">
        <x:f>PROPER(TRIM('Raw Sales'!M1182))</x:f>
        <x:v>Mobile Wallet</x:v>
      </x:c>
      <x:c r="AB1182" s="84" t="str">
        <x:f>PROPER(TRIM('Raw Sales'!N1182))</x:f>
        <x:v>Zoe Turner</x:v>
      </x:c>
      <x:c r="AC1182" s="85" t="n">
        <x:f>'Raw Sales'!O1182</x:f>
        <x:v>45684</x:v>
      </x:c>
      <x:c r="AD1182" s="84" t="n">
        <x:f>AC1182-B1182</x:f>
        <x:v>5</x:v>
      </x:c>
      <x:c r="AE1182" s="84" t="str">
        <x:f>IF(COUNTIF($A$5:A1182,A1182)&gt;1,"Duplicate","Keep")</x:f>
        <x:v>Keep</x:v>
      </x:c>
      <x:c r="AF1182" s="84" t="str">
        <x:f>IF(OR(R1182&lt;=0,AC1182&lt;B1182,H1182="Unknown",M1182="Unknown Product"),"Review","Valid")</x:f>
        <x:v>Valid</x:v>
      </x:c>
      <x:c r="AG1182" s="84" t="n">
        <x:f>IF(AND(AE1182="Keep",AF1182="Valid"),1,0)</x:f>
        <x:v>1</x:v>
      </x:c>
      <x:c r="AH1182" s="84" t="n">
        <x:f>IF(AND(AG1182=1,OR('Dashboard'!$B$4="All",I1182='Dashboard'!$B$4),OR('Dashboard'!$E$4="All",N1182='Dashboard'!$E$4),OR('Dashboard'!$H$4="All",K1182='Dashboard'!$H$4),OR('Dashboard'!$K$4="All",C1182='Dashboard'!$K$4)),1,0)</x:f>
        <x:v>1</x:v>
      </x:c>
      <x:c r="AI1182" s="84" t="n">
        <x:f>IF(AND(AG1182=1,OR('Dashboard'!$B$4="All",I1182='Dashboard'!$B$4),OR('Dashboard'!$E$4="All",N1182='Dashboard'!$E$4),OR('Dashboard'!$H$4="All",K1182='Dashboard'!$H$4)),1,0)</x:f>
        <x:v>1</x:v>
      </x:c>
    </x:row>
    <x:row r="1183">
      <x:c r="A1183" s="84" t="str">
        <x:f>'Raw Sales'!A1183</x:f>
        <x:v>ORD-2025-00335</x:v>
      </x:c>
      <x:c r="B1183" s="85" t="n">
        <x:f>'Raw Sales'!B1183</x:f>
        <x:v>45680</x:v>
      </x:c>
      <x:c r="C1183" s="84" t="n">
        <x:f>YEAR(B1183)</x:f>
        <x:v>2025</x:v>
      </x:c>
      <x:c r="D1183" s="91" t="n">
        <x:f>DATE(YEAR(B1183),MONTH(B1183),1)</x:f>
        <x:v>45658</x:v>
      </x:c>
      <x:c r="E1183" s="84" t="str">
        <x:f>TEXT(B1183,"mmm")</x:f>
        <x:v>Jan</x:v>
      </x:c>
      <x:c r="F1183" s="84" t="str">
        <x:f>'Raw Sales'!C1183</x:f>
        <x:v>CUST-0361</x:v>
      </x:c>
      <x:c r="G1183" s="84" t="str">
        <x:f>PROPER(TRIM('Raw Sales'!D1183))</x:f>
        <x:v>Priya Moore</x:v>
      </x:c>
      <x:c r="H1183" s="84" t="str">
        <x:f>IF(TRIM('Raw Sales'!E1183)="","Unknown",PROPER(TRIM('Raw Sales'!E1183)))</x:f>
        <x:v>Corporate</x:v>
      </x:c>
      <x:c r="I1183" s="84" t="str">
        <x:f>PROPER(TRIM('Raw Sales'!F1183))</x:f>
        <x:v>West</x:v>
      </x:c>
      <x:c r="J1183" s="84" t="str">
        <x:f>PROPER(TRIM('Raw Sales'!G1183))</x:f>
        <x:v>Phoenix</x:v>
      </x:c>
      <x:c r="K1183" s="84" t="str">
        <x:f>PROPER(TRIM('Raw Sales'!H1183))</x:f>
        <x:v>Retail Store</x:v>
      </x:c>
      <x:c r="L1183" s="84" t="str">
        <x:f>'Raw Sales'!I1183</x:f>
        <x:v>OFFC-001</x:v>
      </x:c>
      <x:c r="M1183" s="84" t="str">
        <x:f>IFERROR(VLOOKUP(L1183,'Reference Data'!$A$5:$F$40,2,FALSE),"Unknown Product")</x:f>
        <x:v>Ergonomic Chair</x:v>
      </x:c>
      <x:c r="N1183" s="84" t="str">
        <x:f>IFERROR(VLOOKUP(L1183,'Reference Data'!$A$5:$F$40,3,FALSE),"Unknown")</x:f>
        <x:v>Office</x:v>
      </x:c>
      <x:c r="O1183" s="84" t="str">
        <x:f>IFERROR(VLOOKUP(L1183,'Reference Data'!$A$5:$F$40,4,FALSE),"Unknown")</x:f>
        <x:v>Furniture</x:v>
      </x:c>
      <x:c r="P1183" s="92" t="n">
        <x:f>IFERROR(VLOOKUP(L1183,'Reference Data'!$A$5:$F$40,5,FALSE),0)</x:f>
        <x:v>249</x:v>
      </x:c>
      <x:c r="Q1183" s="92" t="n">
        <x:f>IFERROR(VLOOKUP(L1183,'Reference Data'!$A$5:$F$40,6,FALSE),0)</x:f>
        <x:v>145</x:v>
      </x:c>
      <x:c r="R1183" s="84" t="n">
        <x:f>'Raw Sales'!J1183</x:f>
        <x:v>3</x:v>
      </x:c>
      <x:c r="S1183" s="87" t="n">
        <x:f>'Raw Sales'!K1183</x:f>
        <x:v>0.1</x:v>
      </x:c>
      <x:c r="T1183" s="93" t="n">
        <x:f>P1183*R1183</x:f>
        <x:v>747</x:v>
      </x:c>
      <x:c r="U1183" s="93" t="n">
        <x:f>T1183*S1183</x:f>
        <x:v>74.7</x:v>
      </x:c>
      <x:c r="V1183" s="93" t="str">
        <x:f>PROPER(TRIM('Raw Sales'!L1183))</x:f>
        <x:v>Completed</x:v>
      </x:c>
      <x:c r="W1183" s="93" t="n">
        <x:f>IF(V1183="Returned",0,T1183-U1183)</x:f>
        <x:v>672.3</x:v>
      </x:c>
      <x:c r="X1183" s="93" t="n">
        <x:f>IF(V1183="Returned",Q1183*R1183*10%,Q1183*R1183)</x:f>
        <x:v>435</x:v>
      </x:c>
      <x:c r="Y1183" s="93" t="n">
        <x:f>W1183-X1183</x:f>
        <x:v>237.29999999999995</x:v>
      </x:c>
      <x:c r="Z1183" s="94" t="n">
        <x:f>IFERROR(Y1183/W1183,0)</x:f>
        <x:v>0.3529674252565818</x:v>
      </x:c>
      <x:c r="AA1183" s="84" t="str">
        <x:f>PROPER(TRIM('Raw Sales'!M1183))</x:f>
        <x:v>Mobile Wallet</x:v>
      </x:c>
      <x:c r="AB1183" s="84" t="str">
        <x:f>PROPER(TRIM('Raw Sales'!N1183))</x:f>
        <x:v>Nora Kim</x:v>
      </x:c>
      <x:c r="AC1183" s="85" t="n">
        <x:f>'Raw Sales'!O1183</x:f>
        <x:v>45681</x:v>
      </x:c>
      <x:c r="AD1183" s="84" t="n">
        <x:f>AC1183-B1183</x:f>
        <x:v>1</x:v>
      </x:c>
      <x:c r="AE1183" s="84" t="str">
        <x:f>IF(COUNTIF($A$5:A1183,A1183)&gt;1,"Duplicate","Keep")</x:f>
        <x:v>Keep</x:v>
      </x:c>
      <x:c r="AF1183" s="84" t="str">
        <x:f>IF(OR(R1183&lt;=0,AC1183&lt;B1183,H1183="Unknown",M1183="Unknown Product"),"Review","Valid")</x:f>
        <x:v>Valid</x:v>
      </x:c>
      <x:c r="AG1183" s="84" t="n">
        <x:f>IF(AND(AE1183="Keep",AF1183="Valid"),1,0)</x:f>
        <x:v>1</x:v>
      </x:c>
      <x:c r="AH1183" s="84" t="n">
        <x:f>IF(AND(AG1183=1,OR('Dashboard'!$B$4="All",I1183='Dashboard'!$B$4),OR('Dashboard'!$E$4="All",N1183='Dashboard'!$E$4),OR('Dashboard'!$H$4="All",K1183='Dashboard'!$H$4),OR('Dashboard'!$K$4="All",C1183='Dashboard'!$K$4)),1,0)</x:f>
        <x:v>1</x:v>
      </x:c>
      <x:c r="AI1183" s="84" t="n">
        <x:f>IF(AND(AG1183=1,OR('Dashboard'!$B$4="All",I1183='Dashboard'!$B$4),OR('Dashboard'!$E$4="All",N1183='Dashboard'!$E$4),OR('Dashboard'!$H$4="All",K1183='Dashboard'!$H$4)),1,0)</x:f>
        <x:v>1</x:v>
      </x:c>
    </x:row>
    <x:row r="1184">
      <x:c r="A1184" s="84" t="str">
        <x:f>'Raw Sales'!A1184</x:f>
        <x:v>ORD-2025-00794</x:v>
      </x:c>
      <x:c r="B1184" s="85" t="n">
        <x:f>'Raw Sales'!B1184</x:f>
        <x:v>45680</x:v>
      </x:c>
      <x:c r="C1184" s="84" t="n">
        <x:f>YEAR(B1184)</x:f>
        <x:v>2025</x:v>
      </x:c>
      <x:c r="D1184" s="91" t="n">
        <x:f>DATE(YEAR(B1184),MONTH(B1184),1)</x:f>
        <x:v>45658</x:v>
      </x:c>
      <x:c r="E1184" s="84" t="str">
        <x:f>TEXT(B1184,"mmm")</x:f>
        <x:v>Jan</x:v>
      </x:c>
      <x:c r="F1184" s="84" t="str">
        <x:f>'Raw Sales'!C1184</x:f>
        <x:v>CUST-0590</x:v>
      </x:c>
      <x:c r="G1184" s="84" t="str">
        <x:f>PROPER(TRIM('Raw Sales'!D1184))</x:f>
        <x:v>Theo Young</x:v>
      </x:c>
      <x:c r="H1184" s="84" t="str">
        <x:f>IF(TRIM('Raw Sales'!E1184)="","Unknown",PROPER(TRIM('Raw Sales'!E1184)))</x:f>
        <x:v>Consumer</x:v>
      </x:c>
      <x:c r="I1184" s="84" t="str">
        <x:f>PROPER(TRIM('Raw Sales'!F1184))</x:f>
        <x:v>Southeast</x:v>
      </x:c>
      <x:c r="J1184" s="84" t="str">
        <x:f>PROPER(TRIM('Raw Sales'!G1184))</x:f>
        <x:v>Atlanta</x:v>
      </x:c>
      <x:c r="K1184" s="84" t="str">
        <x:f>PROPER(TRIM('Raw Sales'!H1184))</x:f>
        <x:v>Marketplace</x:v>
      </x:c>
      <x:c r="L1184" s="84" t="str">
        <x:f>'Raw Sales'!I1184</x:f>
        <x:v>ACCS-001</x:v>
      </x:c>
      <x:c r="M1184" s="84" t="str">
        <x:f>IFERROR(VLOOKUP(L1184,'Reference Data'!$A$5:$F$40,2,FALSE),"Unknown Product")</x:f>
        <x:v>Canvas Tote Bag</x:v>
      </x:c>
      <x:c r="N1184" s="84" t="str">
        <x:f>IFERROR(VLOOKUP(L1184,'Reference Data'!$A$5:$F$40,3,FALSE),"Unknown")</x:f>
        <x:v>Accessories</x:v>
      </x:c>
      <x:c r="O1184" s="84" t="str">
        <x:f>IFERROR(VLOOKUP(L1184,'Reference Data'!$A$5:$F$40,4,FALSE),"Unknown")</x:f>
        <x:v>Bags</x:v>
      </x:c>
      <x:c r="P1184" s="92" t="n">
        <x:f>IFERROR(VLOOKUP(L1184,'Reference Data'!$A$5:$F$40,5,FALSE),0)</x:f>
        <x:v>39</x:v>
      </x:c>
      <x:c r="Q1184" s="92" t="n">
        <x:f>IFERROR(VLOOKUP(L1184,'Reference Data'!$A$5:$F$40,6,FALSE),0)</x:f>
        <x:v>14</x:v>
      </x:c>
      <x:c r="R1184" s="84" t="n">
        <x:f>'Raw Sales'!J1184</x:f>
        <x:v>1</x:v>
      </x:c>
      <x:c r="S1184" s="87" t="n">
        <x:f>'Raw Sales'!K1184</x:f>
        <x:v>0.2</x:v>
      </x:c>
      <x:c r="T1184" s="93" t="n">
        <x:f>P1184*R1184</x:f>
        <x:v>39</x:v>
      </x:c>
      <x:c r="U1184" s="93" t="n">
        <x:f>T1184*S1184</x:f>
        <x:v>7.800000000000001</x:v>
      </x:c>
      <x:c r="V1184" s="93" t="str">
        <x:f>PROPER(TRIM('Raw Sales'!L1184))</x:f>
        <x:v>Completed</x:v>
      </x:c>
      <x:c r="W1184" s="93" t="n">
        <x:f>IF(V1184="Returned",0,T1184-U1184)</x:f>
        <x:v>31.2</x:v>
      </x:c>
      <x:c r="X1184" s="93" t="n">
        <x:f>IF(V1184="Returned",Q1184*R1184*10%,Q1184*R1184)</x:f>
        <x:v>14</x:v>
      </x:c>
      <x:c r="Y1184" s="93" t="n">
        <x:f>W1184-X1184</x:f>
        <x:v>17.2</x:v>
      </x:c>
      <x:c r="Z1184" s="94" t="n">
        <x:f>IFERROR(Y1184/W1184,0)</x:f>
        <x:v>0.5512820512820513</x:v>
      </x:c>
      <x:c r="AA1184" s="84" t="str">
        <x:f>PROPER(TRIM('Raw Sales'!M1184))</x:f>
        <x:v>Debit Card</x:v>
      </x:c>
      <x:c r="AB1184" s="84" t="str">
        <x:f>PROPER(TRIM('Raw Sales'!N1184))</x:f>
        <x:v>Liam Parker</x:v>
      </x:c>
      <x:c r="AC1184" s="85" t="n">
        <x:f>'Raw Sales'!O1184</x:f>
        <x:v>45686</x:v>
      </x:c>
      <x:c r="AD1184" s="84" t="n">
        <x:f>AC1184-B1184</x:f>
        <x:v>6</x:v>
      </x:c>
      <x:c r="AE1184" s="84" t="str">
        <x:f>IF(COUNTIF($A$5:A1184,A1184)&gt;1,"Duplicate","Keep")</x:f>
        <x:v>Keep</x:v>
      </x:c>
      <x:c r="AF1184" s="84" t="str">
        <x:f>IF(OR(R1184&lt;=0,AC1184&lt;B1184,H1184="Unknown",M1184="Unknown Product"),"Review","Valid")</x:f>
        <x:v>Valid</x:v>
      </x:c>
      <x:c r="AG1184" s="84" t="n">
        <x:f>IF(AND(AE1184="Keep",AF1184="Valid"),1,0)</x:f>
        <x:v>1</x:v>
      </x:c>
      <x:c r="AH1184" s="84" t="n">
        <x:f>IF(AND(AG1184=1,OR('Dashboard'!$B$4="All",I1184='Dashboard'!$B$4),OR('Dashboard'!$E$4="All",N1184='Dashboard'!$E$4),OR('Dashboard'!$H$4="All",K1184='Dashboard'!$H$4),OR('Dashboard'!$K$4="All",C1184='Dashboard'!$K$4)),1,0)</x:f>
        <x:v>1</x:v>
      </x:c>
      <x:c r="AI1184" s="84" t="n">
        <x:f>IF(AND(AG1184=1,OR('Dashboard'!$B$4="All",I1184='Dashboard'!$B$4),OR('Dashboard'!$E$4="All",N1184='Dashboard'!$E$4),OR('Dashboard'!$H$4="All",K1184='Dashboard'!$H$4)),1,0)</x:f>
        <x:v>1</x:v>
      </x:c>
    </x:row>
    <x:row r="1185">
      <x:c r="A1185" s="84" t="str">
        <x:f>'Raw Sales'!A1185</x:f>
        <x:v>ORD-2025-01276</x:v>
      </x:c>
      <x:c r="B1185" s="85" t="n">
        <x:f>'Raw Sales'!B1185</x:f>
        <x:v>45680</x:v>
      </x:c>
      <x:c r="C1185" s="84" t="n">
        <x:f>YEAR(B1185)</x:f>
        <x:v>2025</x:v>
      </x:c>
      <x:c r="D1185" s="91" t="n">
        <x:f>DATE(YEAR(B1185),MONTH(B1185),1)</x:f>
        <x:v>45658</x:v>
      </x:c>
      <x:c r="E1185" s="84" t="str">
        <x:f>TEXT(B1185,"mmm")</x:f>
        <x:v>Jan</x:v>
      </x:c>
      <x:c r="F1185" s="84" t="str">
        <x:f>'Raw Sales'!C1185</x:f>
        <x:v>CUST-0467</x:v>
      </x:c>
      <x:c r="G1185" s="84" t="str">
        <x:f>PROPER(TRIM('Raw Sales'!D1185))</x:f>
        <x:v>Owen Khan</x:v>
      </x:c>
      <x:c r="H1185" s="84" t="str">
        <x:f>IF(TRIM('Raw Sales'!E1185)="","Unknown",PROPER(TRIM('Raw Sales'!E1185)))</x:f>
        <x:v>Consumer</x:v>
      </x:c>
      <x:c r="I1185" s="84" t="str">
        <x:f>PROPER(TRIM('Raw Sales'!F1185))</x:f>
        <x:v>Northeast</x:v>
      </x:c>
      <x:c r="J1185" s="84" t="str">
        <x:f>PROPER(TRIM('Raw Sales'!G1185))</x:f>
        <x:v>New York</x:v>
      </x:c>
      <x:c r="K1185" s="84" t="str">
        <x:f>PROPER(TRIM('Raw Sales'!H1185))</x:f>
        <x:v>Marketplace</x:v>
      </x:c>
      <x:c r="L1185" s="84" t="str">
        <x:f>'Raw Sales'!I1185</x:f>
        <x:v>FITN-006</x:v>
      </x:c>
      <x:c r="M1185" s="84" t="str">
        <x:f>IFERROR(VLOOKUP(L1185,'Reference Data'!$A$5:$F$40,2,FALSE),"Unknown Product")</x:f>
        <x:v>Foam Roller</x:v>
      </x:c>
      <x:c r="N1185" s="84" t="str">
        <x:f>IFERROR(VLOOKUP(L1185,'Reference Data'!$A$5:$F$40,3,FALSE),"Unknown")</x:f>
        <x:v>Fitness</x:v>
      </x:c>
      <x:c r="O1185" s="84" t="str">
        <x:f>IFERROR(VLOOKUP(L1185,'Reference Data'!$A$5:$F$40,4,FALSE),"Unknown")</x:f>
        <x:v>Recovery</x:v>
      </x:c>
      <x:c r="P1185" s="92" t="n">
        <x:f>IFERROR(VLOOKUP(L1185,'Reference Data'!$A$5:$F$40,5,FALSE),0)</x:f>
        <x:v>31</x:v>
      </x:c>
      <x:c r="Q1185" s="92" t="n">
        <x:f>IFERROR(VLOOKUP(L1185,'Reference Data'!$A$5:$F$40,6,FALSE),0)</x:f>
        <x:v>12</x:v>
      </x:c>
      <x:c r="R1185" s="84" t="n">
        <x:f>'Raw Sales'!J1185</x:f>
        <x:v>1</x:v>
      </x:c>
      <x:c r="S1185" s="87" t="n">
        <x:f>'Raw Sales'!K1185</x:f>
        <x:v>0.05</x:v>
      </x:c>
      <x:c r="T1185" s="93" t="n">
        <x:f>P1185*R1185</x:f>
        <x:v>31</x:v>
      </x:c>
      <x:c r="U1185" s="93" t="n">
        <x:f>T1185*S1185</x:f>
        <x:v>1.55</x:v>
      </x:c>
      <x:c r="V1185" s="93" t="str">
        <x:f>PROPER(TRIM('Raw Sales'!L1185))</x:f>
        <x:v>Completed</x:v>
      </x:c>
      <x:c r="W1185" s="93" t="n">
        <x:f>IF(V1185="Returned",0,T1185-U1185)</x:f>
        <x:v>29.45</x:v>
      </x:c>
      <x:c r="X1185" s="93" t="n">
        <x:f>IF(V1185="Returned",Q1185*R1185*10%,Q1185*R1185)</x:f>
        <x:v>12</x:v>
      </x:c>
      <x:c r="Y1185" s="93" t="n">
        <x:f>W1185-X1185</x:f>
        <x:v>17.45</x:v>
      </x:c>
      <x:c r="Z1185" s="94" t="n">
        <x:f>IFERROR(Y1185/W1185,0)</x:f>
        <x:v>0.5925297113752123</x:v>
      </x:c>
      <x:c r="AA1185" s="84" t="str">
        <x:f>PROPER(TRIM('Raw Sales'!M1185))</x:f>
        <x:v>Mobile Wallet</x:v>
      </x:c>
      <x:c r="AB1185" s="84" t="str">
        <x:f>PROPER(TRIM('Raw Sales'!N1185))</x:f>
        <x:v>Maya Brooks</x:v>
      </x:c>
      <x:c r="AC1185" s="85" t="n">
        <x:f>'Raw Sales'!O1185</x:f>
        <x:v>45685</x:v>
      </x:c>
      <x:c r="AD1185" s="84" t="n">
        <x:f>AC1185-B1185</x:f>
        <x:v>5</x:v>
      </x:c>
      <x:c r="AE1185" s="84" t="str">
        <x:f>IF(COUNTIF($A$5:A1185,A1185)&gt;1,"Duplicate","Keep")</x:f>
        <x:v>Keep</x:v>
      </x:c>
      <x:c r="AF1185" s="84" t="str">
        <x:f>IF(OR(R1185&lt;=0,AC1185&lt;B1185,H1185="Unknown",M1185="Unknown Product"),"Review","Valid")</x:f>
        <x:v>Valid</x:v>
      </x:c>
      <x:c r="AG1185" s="84" t="n">
        <x:f>IF(AND(AE1185="Keep",AF1185="Valid"),1,0)</x:f>
        <x:v>1</x:v>
      </x:c>
      <x:c r="AH1185" s="84" t="n">
        <x:f>IF(AND(AG1185=1,OR('Dashboard'!$B$4="All",I1185='Dashboard'!$B$4),OR('Dashboard'!$E$4="All",N1185='Dashboard'!$E$4),OR('Dashboard'!$H$4="All",K1185='Dashboard'!$H$4),OR('Dashboard'!$K$4="All",C1185='Dashboard'!$K$4)),1,0)</x:f>
        <x:v>1</x:v>
      </x:c>
      <x:c r="AI1185" s="84" t="n">
        <x:f>IF(AND(AG1185=1,OR('Dashboard'!$B$4="All",I1185='Dashboard'!$B$4),OR('Dashboard'!$E$4="All",N1185='Dashboard'!$E$4),OR('Dashboard'!$H$4="All",K1185='Dashboard'!$H$4)),1,0)</x:f>
        <x:v>1</x:v>
      </x:c>
    </x:row>
    <x:row r="1186">
      <x:c r="A1186" s="84" t="str">
        <x:f>'Raw Sales'!A1186</x:f>
        <x:v>ORD-2025-01569</x:v>
      </x:c>
      <x:c r="B1186" s="85" t="n">
        <x:f>'Raw Sales'!B1186</x:f>
        <x:v>45680</x:v>
      </x:c>
      <x:c r="C1186" s="84" t="n">
        <x:f>YEAR(B1186)</x:f>
        <x:v>2025</x:v>
      </x:c>
      <x:c r="D1186" s="91" t="n">
        <x:f>DATE(YEAR(B1186),MONTH(B1186),1)</x:f>
        <x:v>45658</x:v>
      </x:c>
      <x:c r="E1186" s="84" t="str">
        <x:f>TEXT(B1186,"mmm")</x:f>
        <x:v>Jan</x:v>
      </x:c>
      <x:c r="F1186" s="84" t="str">
        <x:f>'Raw Sales'!C1186</x:f>
        <x:v>CUST-0566</x:v>
      </x:c>
      <x:c r="G1186" s="84" t="str">
        <x:f>PROPER(TRIM('Raw Sales'!D1186))</x:f>
        <x:v>Jonah Quinn</x:v>
      </x:c>
      <x:c r="H1186" s="84" t="str">
        <x:f>IF(TRIM('Raw Sales'!E1186)="","Unknown",PROPER(TRIM('Raw Sales'!E1186)))</x:f>
        <x:v>Small Business</x:v>
      </x:c>
      <x:c r="I1186" s="84" t="str">
        <x:f>PROPER(TRIM('Raw Sales'!F1186))</x:f>
        <x:v>Northeast</x:v>
      </x:c>
      <x:c r="J1186" s="84" t="str">
        <x:f>PROPER(TRIM('Raw Sales'!G1186))</x:f>
        <x:v>New York</x:v>
      </x:c>
      <x:c r="K1186" s="84" t="str">
        <x:f>PROPER(TRIM('Raw Sales'!H1186))</x:f>
        <x:v>Online</x:v>
      </x:c>
      <x:c r="L1186" s="84" t="str">
        <x:f>'Raw Sales'!I1186</x:f>
        <x:v>ACCS-003</x:v>
      </x:c>
      <x:c r="M1186" s="84" t="str">
        <x:f>IFERROR(VLOOKUP(L1186,'Reference Data'!$A$5:$F$40,2,FALSE),"Unknown Product")</x:f>
        <x:v>Polarized Sunglasses</x:v>
      </x:c>
      <x:c r="N1186" s="84" t="str">
        <x:f>IFERROR(VLOOKUP(L1186,'Reference Data'!$A$5:$F$40,3,FALSE),"Unknown")</x:f>
        <x:v>Accessories</x:v>
      </x:c>
      <x:c r="O1186" s="84" t="str">
        <x:f>IFERROR(VLOOKUP(L1186,'Reference Data'!$A$5:$F$40,4,FALSE),"Unknown")</x:f>
        <x:v>Eyewear</x:v>
      </x:c>
      <x:c r="P1186" s="92" t="n">
        <x:f>IFERROR(VLOOKUP(L1186,'Reference Data'!$A$5:$F$40,5,FALSE),0)</x:f>
        <x:v>59</x:v>
      </x:c>
      <x:c r="Q1186" s="92" t="n">
        <x:f>IFERROR(VLOOKUP(L1186,'Reference Data'!$A$5:$F$40,6,FALSE),0)</x:f>
        <x:v>17</x:v>
      </x:c>
      <x:c r="R1186" s="84" t="n">
        <x:f>'Raw Sales'!J1186</x:f>
        <x:v>1</x:v>
      </x:c>
      <x:c r="S1186" s="87" t="n">
        <x:f>'Raw Sales'!K1186</x:f>
        <x:v>0</x:v>
      </x:c>
      <x:c r="T1186" s="93" t="n">
        <x:f>P1186*R1186</x:f>
        <x:v>59</x:v>
      </x:c>
      <x:c r="U1186" s="93" t="n">
        <x:f>T1186*S1186</x:f>
        <x:v>0</x:v>
      </x:c>
      <x:c r="V1186" s="93" t="str">
        <x:f>PROPER(TRIM('Raw Sales'!L1186))</x:f>
        <x:v>Completed</x:v>
      </x:c>
      <x:c r="W1186" s="93" t="n">
        <x:f>IF(V1186="Returned",0,T1186-U1186)</x:f>
        <x:v>59</x:v>
      </x:c>
      <x:c r="X1186" s="93" t="n">
        <x:f>IF(V1186="Returned",Q1186*R1186*10%,Q1186*R1186)</x:f>
        <x:v>17</x:v>
      </x:c>
      <x:c r="Y1186" s="93" t="n">
        <x:f>W1186-X1186</x:f>
        <x:v>42</x:v>
      </x:c>
      <x:c r="Z1186" s="94" t="n">
        <x:f>IFERROR(Y1186/W1186,0)</x:f>
        <x:v>0.711864406779661</x:v>
      </x:c>
      <x:c r="AA1186" s="84" t="str">
        <x:f>PROPER(TRIM('Raw Sales'!M1186))</x:f>
        <x:v>Mobile Wallet</x:v>
      </x:c>
      <x:c r="AB1186" s="84" t="str">
        <x:f>PROPER(TRIM('Raw Sales'!N1186))</x:f>
        <x:v>Sofia Bennett</x:v>
      </x:c>
      <x:c r="AC1186" s="85" t="n">
        <x:f>'Raw Sales'!O1186</x:f>
        <x:v>45683</x:v>
      </x:c>
      <x:c r="AD1186" s="84" t="n">
        <x:f>AC1186-B1186</x:f>
        <x:v>3</x:v>
      </x:c>
      <x:c r="AE1186" s="84" t="str">
        <x:f>IF(COUNTIF($A$5:A1186,A1186)&gt;1,"Duplicate","Keep")</x:f>
        <x:v>Keep</x:v>
      </x:c>
      <x:c r="AF1186" s="84" t="str">
        <x:f>IF(OR(R1186&lt;=0,AC1186&lt;B1186,H1186="Unknown",M1186="Unknown Product"),"Review","Valid")</x:f>
        <x:v>Valid</x:v>
      </x:c>
      <x:c r="AG1186" s="84" t="n">
        <x:f>IF(AND(AE1186="Keep",AF1186="Valid"),1,0)</x:f>
        <x:v>1</x:v>
      </x:c>
      <x:c r="AH1186" s="84" t="n">
        <x:f>IF(AND(AG1186=1,OR('Dashboard'!$B$4="All",I1186='Dashboard'!$B$4),OR('Dashboard'!$E$4="All",N1186='Dashboard'!$E$4),OR('Dashboard'!$H$4="All",K1186='Dashboard'!$H$4),OR('Dashboard'!$K$4="All",C1186='Dashboard'!$K$4)),1,0)</x:f>
        <x:v>1</x:v>
      </x:c>
      <x:c r="AI1186" s="84" t="n">
        <x:f>IF(AND(AG1186=1,OR('Dashboard'!$B$4="All",I1186='Dashboard'!$B$4),OR('Dashboard'!$E$4="All",N1186='Dashboard'!$E$4),OR('Dashboard'!$H$4="All",K1186='Dashboard'!$H$4)),1,0)</x:f>
        <x:v>1</x:v>
      </x:c>
    </x:row>
    <x:row r="1187">
      <x:c r="A1187" s="84" t="str">
        <x:f>'Raw Sales'!A1187</x:f>
        <x:v>ORD-2025-01740</x:v>
      </x:c>
      <x:c r="B1187" s="85" t="n">
        <x:f>'Raw Sales'!B1187</x:f>
        <x:v>45680</x:v>
      </x:c>
      <x:c r="C1187" s="84" t="n">
        <x:f>YEAR(B1187)</x:f>
        <x:v>2025</x:v>
      </x:c>
      <x:c r="D1187" s="91" t="n">
        <x:f>DATE(YEAR(B1187),MONTH(B1187),1)</x:f>
        <x:v>45658</x:v>
      </x:c>
      <x:c r="E1187" s="84" t="str">
        <x:f>TEXT(B1187,"mmm")</x:f>
        <x:v>Jan</x:v>
      </x:c>
      <x:c r="F1187" s="84" t="str">
        <x:f>'Raw Sales'!C1187</x:f>
        <x:v>CUST-0449</x:v>
      </x:c>
      <x:c r="G1187" s="84" t="str">
        <x:f>PROPER(TRIM('Raw Sales'!D1187))</x:f>
        <x:v>Chloe Taylor</x:v>
      </x:c>
      <x:c r="H1187" s="84" t="str">
        <x:f>IF(TRIM('Raw Sales'!E1187)="","Unknown",PROPER(TRIM('Raw Sales'!E1187)))</x:f>
        <x:v>Corporate</x:v>
      </x:c>
      <x:c r="I1187" s="84" t="str">
        <x:f>PROPER(TRIM('Raw Sales'!F1187))</x:f>
        <x:v>West</x:v>
      </x:c>
      <x:c r="J1187" s="84" t="str">
        <x:f>PROPER(TRIM('Raw Sales'!G1187))</x:f>
        <x:v>Seattle</x:v>
      </x:c>
      <x:c r="K1187" s="84" t="str">
        <x:f>PROPER(TRIM('Raw Sales'!H1187))</x:f>
        <x:v>Marketplace</x:v>
      </x:c>
      <x:c r="L1187" s="84" t="str">
        <x:f>'Raw Sales'!I1187</x:f>
        <x:v>ELEC-001</x:v>
      </x:c>
      <x:c r="M1187" s="84" t="str">
        <x:f>IFERROR(VLOOKUP(L1187,'Reference Data'!$A$5:$F$40,2,FALSE),"Unknown Product")</x:f>
        <x:v>Wireless Earbuds</x:v>
      </x:c>
      <x:c r="N1187" s="84" t="str">
        <x:f>IFERROR(VLOOKUP(L1187,'Reference Data'!$A$5:$F$40,3,FALSE),"Unknown")</x:f>
        <x:v>Electronics</x:v>
      </x:c>
      <x:c r="O1187" s="84" t="str">
        <x:f>IFERROR(VLOOKUP(L1187,'Reference Data'!$A$5:$F$40,4,FALSE),"Unknown")</x:f>
        <x:v>Audio</x:v>
      </x:c>
      <x:c r="P1187" s="92" t="n">
        <x:f>IFERROR(VLOOKUP(L1187,'Reference Data'!$A$5:$F$40,5,FALSE),0)</x:f>
        <x:v>69</x:v>
      </x:c>
      <x:c r="Q1187" s="92" t="n">
        <x:f>IFERROR(VLOOKUP(L1187,'Reference Data'!$A$5:$F$40,6,FALSE),0)</x:f>
        <x:v>36</x:v>
      </x:c>
      <x:c r="R1187" s="84" t="n">
        <x:f>'Raw Sales'!J1187</x:f>
        <x:v>1</x:v>
      </x:c>
      <x:c r="S1187" s="87" t="n">
        <x:f>'Raw Sales'!K1187</x:f>
        <x:v>0.05</x:v>
      </x:c>
      <x:c r="T1187" s="93" t="n">
        <x:f>P1187*R1187</x:f>
        <x:v>69</x:v>
      </x:c>
      <x:c r="U1187" s="93" t="n">
        <x:f>T1187*S1187</x:f>
        <x:v>3.45</x:v>
      </x:c>
      <x:c r="V1187" s="93" t="str">
        <x:f>PROPER(TRIM('Raw Sales'!L1187))</x:f>
        <x:v>Completed</x:v>
      </x:c>
      <x:c r="W1187" s="93" t="n">
        <x:f>IF(V1187="Returned",0,T1187-U1187)</x:f>
        <x:v>65.55</x:v>
      </x:c>
      <x:c r="X1187" s="93" t="n">
        <x:f>IF(V1187="Returned",Q1187*R1187*10%,Q1187*R1187)</x:f>
        <x:v>36</x:v>
      </x:c>
      <x:c r="Y1187" s="93" t="n">
        <x:f>W1187-X1187</x:f>
        <x:v>29.549999999999997</x:v>
      </x:c>
      <x:c r="Z1187" s="94" t="n">
        <x:f>IFERROR(Y1187/W1187,0)</x:f>
        <x:v>0.45080091533180777</x:v>
      </x:c>
      <x:c r="AA1187" s="84" t="str">
        <x:f>PROPER(TRIM('Raw Sales'!M1187))</x:f>
        <x:v>Credit Card</x:v>
      </x:c>
      <x:c r="AB1187" s="84" t="str">
        <x:f>PROPER(TRIM('Raw Sales'!N1187))</x:f>
        <x:v>Nora Kim</x:v>
      </x:c>
      <x:c r="AC1187" s="85" t="n">
        <x:f>'Raw Sales'!O1187</x:f>
        <x:v>45684</x:v>
      </x:c>
      <x:c r="AD1187" s="84" t="n">
        <x:f>AC1187-B1187</x:f>
        <x:v>4</x:v>
      </x:c>
      <x:c r="AE1187" s="84" t="str">
        <x:f>IF(COUNTIF($A$5:A1187,A1187)&gt;1,"Duplicate","Keep")</x:f>
        <x:v>Keep</x:v>
      </x:c>
      <x:c r="AF1187" s="84" t="str">
        <x:f>IF(OR(R1187&lt;=0,AC1187&lt;B1187,H1187="Unknown",M1187="Unknown Product"),"Review","Valid")</x:f>
        <x:v>Valid</x:v>
      </x:c>
      <x:c r="AG1187" s="84" t="n">
        <x:f>IF(AND(AE1187="Keep",AF1187="Valid"),1,0)</x:f>
        <x:v>1</x:v>
      </x:c>
      <x:c r="AH1187" s="84" t="n">
        <x:f>IF(AND(AG1187=1,OR('Dashboard'!$B$4="All",I1187='Dashboard'!$B$4),OR('Dashboard'!$E$4="All",N1187='Dashboard'!$E$4),OR('Dashboard'!$H$4="All",K1187='Dashboard'!$H$4),OR('Dashboard'!$K$4="All",C1187='Dashboard'!$K$4)),1,0)</x:f>
        <x:v>1</x:v>
      </x:c>
      <x:c r="AI1187" s="84" t="n">
        <x:f>IF(AND(AG1187=1,OR('Dashboard'!$B$4="All",I1187='Dashboard'!$B$4),OR('Dashboard'!$E$4="All",N1187='Dashboard'!$E$4),OR('Dashboard'!$H$4="All",K1187='Dashboard'!$H$4)),1,0)</x:f>
        <x:v>1</x:v>
      </x:c>
    </x:row>
    <x:row r="1188">
      <x:c r="A1188" s="84" t="str">
        <x:f>'Raw Sales'!A1188</x:f>
        <x:v>ORD-2025-00410</x:v>
      </x:c>
      <x:c r="B1188" s="85" t="n">
        <x:f>'Raw Sales'!B1188</x:f>
        <x:v>45681</x:v>
      </x:c>
      <x:c r="C1188" s="84" t="n">
        <x:f>YEAR(B1188)</x:f>
        <x:v>2025</x:v>
      </x:c>
      <x:c r="D1188" s="91" t="n">
        <x:f>DATE(YEAR(B1188),MONTH(B1188),1)</x:f>
        <x:v>45658</x:v>
      </x:c>
      <x:c r="E1188" s="84" t="str">
        <x:f>TEXT(B1188,"mmm")</x:f>
        <x:v>Jan</x:v>
      </x:c>
      <x:c r="F1188" s="84" t="str">
        <x:f>'Raw Sales'!C1188</x:f>
        <x:v>CUST-0292</x:v>
      </x:c>
      <x:c r="G1188" s="84" t="str">
        <x:f>PROPER(TRIM('Raw Sales'!D1188))</x:f>
        <x:v>Caleb Nelson</x:v>
      </x:c>
      <x:c r="H1188" s="84" t="str">
        <x:f>IF(TRIM('Raw Sales'!E1188)="","Unknown",PROPER(TRIM('Raw Sales'!E1188)))</x:f>
        <x:v>Small Business</x:v>
      </x:c>
      <x:c r="I1188" s="84" t="str">
        <x:f>PROPER(TRIM('Raw Sales'!F1188))</x:f>
        <x:v>Midwest</x:v>
      </x:c>
      <x:c r="J1188" s="84" t="str">
        <x:f>PROPER(TRIM('Raw Sales'!G1188))</x:f>
        <x:v>Columbus</x:v>
      </x:c>
      <x:c r="K1188" s="84" t="str">
        <x:f>PROPER(TRIM('Raw Sales'!H1188))</x:f>
        <x:v>Marketplace</x:v>
      </x:c>
      <x:c r="L1188" s="84" t="str">
        <x:f>'Raw Sales'!I1188</x:f>
        <x:v>ACCS-005</x:v>
      </x:c>
      <x:c r="M1188" s="84" t="str">
        <x:f>IFERROR(VLOOKUP(L1188,'Reference Data'!$A$5:$F$40,2,FALSE),"Unknown Product")</x:f>
        <x:v>Protective Phone Case</x:v>
      </x:c>
      <x:c r="N1188" s="84" t="str">
        <x:f>IFERROR(VLOOKUP(L1188,'Reference Data'!$A$5:$F$40,3,FALSE),"Unknown")</x:f>
        <x:v>Accessories</x:v>
      </x:c>
      <x:c r="O1188" s="84" t="str">
        <x:f>IFERROR(VLOOKUP(L1188,'Reference Data'!$A$5:$F$40,4,FALSE),"Unknown")</x:f>
        <x:v>Mobile Accessories</x:v>
      </x:c>
      <x:c r="P1188" s="92" t="n">
        <x:f>IFERROR(VLOOKUP(L1188,'Reference Data'!$A$5:$F$40,5,FALSE),0)</x:f>
        <x:v>24</x:v>
      </x:c>
      <x:c r="Q1188" s="92" t="n">
        <x:f>IFERROR(VLOOKUP(L1188,'Reference Data'!$A$5:$F$40,6,FALSE),0)</x:f>
        <x:v>5</x:v>
      </x:c>
      <x:c r="R1188" s="84" t="n">
        <x:f>'Raw Sales'!J1188</x:f>
        <x:v>1</x:v>
      </x:c>
      <x:c r="S1188" s="87" t="n">
        <x:f>'Raw Sales'!K1188</x:f>
        <x:v>0</x:v>
      </x:c>
      <x:c r="T1188" s="93" t="n">
        <x:f>P1188*R1188</x:f>
        <x:v>24</x:v>
      </x:c>
      <x:c r="U1188" s="93" t="n">
        <x:f>T1188*S1188</x:f>
        <x:v>0</x:v>
      </x:c>
      <x:c r="V1188" s="93" t="str">
        <x:f>PROPER(TRIM('Raw Sales'!L1188))</x:f>
        <x:v>Completed</x:v>
      </x:c>
      <x:c r="W1188" s="93" t="n">
        <x:f>IF(V1188="Returned",0,T1188-U1188)</x:f>
        <x:v>24</x:v>
      </x:c>
      <x:c r="X1188" s="93" t="n">
        <x:f>IF(V1188="Returned",Q1188*R1188*10%,Q1188*R1188)</x:f>
        <x:v>5</x:v>
      </x:c>
      <x:c r="Y1188" s="93" t="n">
        <x:f>W1188-X1188</x:f>
        <x:v>19</x:v>
      </x:c>
      <x:c r="Z1188" s="94" t="n">
        <x:f>IFERROR(Y1188/W1188,0)</x:f>
        <x:v>0.7916666666666666</x:v>
      </x:c>
      <x:c r="AA1188" s="84" t="str">
        <x:f>PROPER(TRIM('Raw Sales'!M1188))</x:f>
        <x:v>Debit Card</x:v>
      </x:c>
      <x:c r="AB1188" s="84" t="str">
        <x:f>PROPER(TRIM('Raw Sales'!N1188))</x:f>
        <x:v>Zoe Turner</x:v>
      </x:c>
      <x:c r="AC1188" s="85" t="n">
        <x:f>'Raw Sales'!O1188</x:f>
        <x:v>45685</x:v>
      </x:c>
      <x:c r="AD1188" s="84" t="n">
        <x:f>AC1188-B1188</x:f>
        <x:v>4</x:v>
      </x:c>
      <x:c r="AE1188" s="84" t="str">
        <x:f>IF(COUNTIF($A$5:A1188,A1188)&gt;1,"Duplicate","Keep")</x:f>
        <x:v>Keep</x:v>
      </x:c>
      <x:c r="AF1188" s="84" t="str">
        <x:f>IF(OR(R1188&lt;=0,AC1188&lt;B1188,H1188="Unknown",M1188="Unknown Product"),"Review","Valid")</x:f>
        <x:v>Valid</x:v>
      </x:c>
      <x:c r="AG1188" s="84" t="n">
        <x:f>IF(AND(AE1188="Keep",AF1188="Valid"),1,0)</x:f>
        <x:v>1</x:v>
      </x:c>
      <x:c r="AH1188" s="84" t="n">
        <x:f>IF(AND(AG1188=1,OR('Dashboard'!$B$4="All",I1188='Dashboard'!$B$4),OR('Dashboard'!$E$4="All",N1188='Dashboard'!$E$4),OR('Dashboard'!$H$4="All",K1188='Dashboard'!$H$4),OR('Dashboard'!$K$4="All",C1188='Dashboard'!$K$4)),1,0)</x:f>
        <x:v>1</x:v>
      </x:c>
      <x:c r="AI1188" s="84" t="n">
        <x:f>IF(AND(AG1188=1,OR('Dashboard'!$B$4="All",I1188='Dashboard'!$B$4),OR('Dashboard'!$E$4="All",N1188='Dashboard'!$E$4),OR('Dashboard'!$H$4="All",K1188='Dashboard'!$H$4)),1,0)</x:f>
        <x:v>1</x:v>
      </x:c>
    </x:row>
    <x:row r="1189">
      <x:c r="A1189" s="84" t="str">
        <x:f>'Raw Sales'!A1189</x:f>
        <x:v>ORD-2025-00826</x:v>
      </x:c>
      <x:c r="B1189" s="85" t="n">
        <x:f>'Raw Sales'!B1189</x:f>
        <x:v>45681</x:v>
      </x:c>
      <x:c r="C1189" s="84" t="n">
        <x:f>YEAR(B1189)</x:f>
        <x:v>2025</x:v>
      </x:c>
      <x:c r="D1189" s="91" t="n">
        <x:f>DATE(YEAR(B1189),MONTH(B1189),1)</x:f>
        <x:v>45658</x:v>
      </x:c>
      <x:c r="E1189" s="84" t="str">
        <x:f>TEXT(B1189,"mmm")</x:f>
        <x:v>Jan</x:v>
      </x:c>
      <x:c r="F1189" s="84" t="str">
        <x:f>'Raw Sales'!C1189</x:f>
        <x:v>CUST-0470</x:v>
      </x:c>
      <x:c r="G1189" s="84" t="str">
        <x:f>PROPER(TRIM('Raw Sales'!D1189))</x:f>
        <x:v>Jasmine Lewis</x:v>
      </x:c>
      <x:c r="H1189" s="84" t="str">
        <x:f>IF(TRIM('Raw Sales'!E1189)="","Unknown",PROPER(TRIM('Raw Sales'!E1189)))</x:f>
        <x:v>Corporate</x:v>
      </x:c>
      <x:c r="I1189" s="84" t="str">
        <x:f>PROPER(TRIM('Raw Sales'!F1189))</x:f>
        <x:v>Southeast</x:v>
      </x:c>
      <x:c r="J1189" s="84" t="str">
        <x:f>PROPER(TRIM('Raw Sales'!G1189))</x:f>
        <x:v>Miami</x:v>
      </x:c>
      <x:c r="K1189" s="84" t="str">
        <x:f>PROPER(TRIM('Raw Sales'!H1189))</x:f>
        <x:v>Retail Store</x:v>
      </x:c>
      <x:c r="L1189" s="84" t="str">
        <x:f>'Raw Sales'!I1189</x:f>
        <x:v>CARE-001</x:v>
      </x:c>
      <x:c r="M1189" s="84" t="str">
        <x:f>IFERROR(VLOOKUP(L1189,'Reference Data'!$A$5:$F$40,2,FALSE),"Unknown Product")</x:f>
        <x:v>Ionic Hair Dryer</x:v>
      </x:c>
      <x:c r="N1189" s="84" t="str">
        <x:f>IFERROR(VLOOKUP(L1189,'Reference Data'!$A$5:$F$40,3,FALSE),"Unknown")</x:f>
        <x:v>Personal Care</x:v>
      </x:c>
      <x:c r="O1189" s="84" t="str">
        <x:f>IFERROR(VLOOKUP(L1189,'Reference Data'!$A$5:$F$40,4,FALSE),"Unknown")</x:f>
        <x:v>Hair Care</x:v>
      </x:c>
      <x:c r="P1189" s="92" t="n">
        <x:f>IFERROR(VLOOKUP(L1189,'Reference Data'!$A$5:$F$40,5,FALSE),0)</x:f>
        <x:v>54</x:v>
      </x:c>
      <x:c r="Q1189" s="92" t="n">
        <x:f>IFERROR(VLOOKUP(L1189,'Reference Data'!$A$5:$F$40,6,FALSE),0)</x:f>
        <x:v>25</x:v>
      </x:c>
      <x:c r="R1189" s="84" t="n">
        <x:f>'Raw Sales'!J1189</x:f>
        <x:v>2</x:v>
      </x:c>
      <x:c r="S1189" s="87" t="n">
        <x:f>'Raw Sales'!K1189</x:f>
        <x:v>0.05</x:v>
      </x:c>
      <x:c r="T1189" s="93" t="n">
        <x:f>P1189*R1189</x:f>
        <x:v>108</x:v>
      </x:c>
      <x:c r="U1189" s="93" t="n">
        <x:f>T1189*S1189</x:f>
        <x:v>5.4</x:v>
      </x:c>
      <x:c r="V1189" s="93" t="str">
        <x:f>PROPER(TRIM('Raw Sales'!L1189))</x:f>
        <x:v>Completed</x:v>
      </x:c>
      <x:c r="W1189" s="93" t="n">
        <x:f>IF(V1189="Returned",0,T1189-U1189)</x:f>
        <x:v>102.6</x:v>
      </x:c>
      <x:c r="X1189" s="93" t="n">
        <x:f>IF(V1189="Returned",Q1189*R1189*10%,Q1189*R1189)</x:f>
        <x:v>50</x:v>
      </x:c>
      <x:c r="Y1189" s="93" t="n">
        <x:f>W1189-X1189</x:f>
        <x:v>52.599999999999994</x:v>
      </x:c>
      <x:c r="Z1189" s="94" t="n">
        <x:f>IFERROR(Y1189/W1189,0)</x:f>
        <x:v>0.5126705653021443</x:v>
      </x:c>
      <x:c r="AA1189" s="84" t="str">
        <x:f>PROPER(TRIM('Raw Sales'!M1189))</x:f>
        <x:v>Credit Card</x:v>
      </x:c>
      <x:c r="AB1189" s="84" t="str">
        <x:f>PROPER(TRIM('Raw Sales'!N1189))</x:f>
        <x:v>Ava Mitchell</x:v>
      </x:c>
      <x:c r="AC1189" s="85" t="n">
        <x:f>'Raw Sales'!O1189</x:f>
        <x:v>45681</x:v>
      </x:c>
      <x:c r="AD1189" s="84" t="n">
        <x:f>AC1189-B1189</x:f>
        <x:v>0</x:v>
      </x:c>
      <x:c r="AE1189" s="84" t="str">
        <x:f>IF(COUNTIF($A$5:A1189,A1189)&gt;1,"Duplicate","Keep")</x:f>
        <x:v>Keep</x:v>
      </x:c>
      <x:c r="AF1189" s="84" t="str">
        <x:f>IF(OR(R1189&lt;=0,AC1189&lt;B1189,H1189="Unknown",M1189="Unknown Product"),"Review","Valid")</x:f>
        <x:v>Valid</x:v>
      </x:c>
      <x:c r="AG1189" s="84" t="n">
        <x:f>IF(AND(AE1189="Keep",AF1189="Valid"),1,0)</x:f>
        <x:v>1</x:v>
      </x:c>
      <x:c r="AH1189" s="84" t="n">
        <x:f>IF(AND(AG1189=1,OR('Dashboard'!$B$4="All",I1189='Dashboard'!$B$4),OR('Dashboard'!$E$4="All",N1189='Dashboard'!$E$4),OR('Dashboard'!$H$4="All",K1189='Dashboard'!$H$4),OR('Dashboard'!$K$4="All",C1189='Dashboard'!$K$4)),1,0)</x:f>
        <x:v>1</x:v>
      </x:c>
      <x:c r="AI1189" s="84" t="n">
        <x:f>IF(AND(AG1189=1,OR('Dashboard'!$B$4="All",I1189='Dashboard'!$B$4),OR('Dashboard'!$E$4="All",N1189='Dashboard'!$E$4),OR('Dashboard'!$H$4="All",K1189='Dashboard'!$H$4)),1,0)</x:f>
        <x:v>1</x:v>
      </x:c>
    </x:row>
    <x:row r="1190">
      <x:c r="A1190" s="84" t="str">
        <x:f>'Raw Sales'!A1190</x:f>
        <x:v>ORD-2025-01600</x:v>
      </x:c>
      <x:c r="B1190" s="85" t="n">
        <x:f>'Raw Sales'!B1190</x:f>
        <x:v>45681</x:v>
      </x:c>
      <x:c r="C1190" s="84" t="n">
        <x:f>YEAR(B1190)</x:f>
        <x:v>2025</x:v>
      </x:c>
      <x:c r="D1190" s="91" t="n">
        <x:f>DATE(YEAR(B1190),MONTH(B1190),1)</x:f>
        <x:v>45658</x:v>
      </x:c>
      <x:c r="E1190" s="84" t="str">
        <x:f>TEXT(B1190,"mmm")</x:f>
        <x:v>Jan</x:v>
      </x:c>
      <x:c r="F1190" s="84" t="str">
        <x:f>'Raw Sales'!C1190</x:f>
        <x:v>CUST-0199</x:v>
      </x:c>
      <x:c r="G1190" s="84" t="str">
        <x:f>PROPER(TRIM('Raw Sales'!D1190))</x:f>
        <x:v>Theo Adams</x:v>
      </x:c>
      <x:c r="H1190" s="84" t="str">
        <x:f>IF(TRIM('Raw Sales'!E1190)="","Unknown",PROPER(TRIM('Raw Sales'!E1190)))</x:f>
        <x:v>Corporate</x:v>
      </x:c>
      <x:c r="I1190" s="84" t="str">
        <x:f>PROPER(TRIM('Raw Sales'!F1190))</x:f>
        <x:v>Northeast</x:v>
      </x:c>
      <x:c r="J1190" s="84" t="str">
        <x:f>PROPER(TRIM('Raw Sales'!G1190))</x:f>
        <x:v>Philadelphia</x:v>
      </x:c>
      <x:c r="K1190" s="84" t="str">
        <x:f>PROPER(TRIM('Raw Sales'!H1190))</x:f>
        <x:v>Marketplace</x:v>
      </x:c>
      <x:c r="L1190" s="84" t="str">
        <x:f>'Raw Sales'!I1190</x:f>
        <x:v>ELEC-001</x:v>
      </x:c>
      <x:c r="M1190" s="84" t="str">
        <x:f>IFERROR(VLOOKUP(L1190,'Reference Data'!$A$5:$F$40,2,FALSE),"Unknown Product")</x:f>
        <x:v>Wireless Earbuds</x:v>
      </x:c>
      <x:c r="N1190" s="84" t="str">
        <x:f>IFERROR(VLOOKUP(L1190,'Reference Data'!$A$5:$F$40,3,FALSE),"Unknown")</x:f>
        <x:v>Electronics</x:v>
      </x:c>
      <x:c r="O1190" s="84" t="str">
        <x:f>IFERROR(VLOOKUP(L1190,'Reference Data'!$A$5:$F$40,4,FALSE),"Unknown")</x:f>
        <x:v>Audio</x:v>
      </x:c>
      <x:c r="P1190" s="92" t="n">
        <x:f>IFERROR(VLOOKUP(L1190,'Reference Data'!$A$5:$F$40,5,FALSE),0)</x:f>
        <x:v>69</x:v>
      </x:c>
      <x:c r="Q1190" s="92" t="n">
        <x:f>IFERROR(VLOOKUP(L1190,'Reference Data'!$A$5:$F$40,6,FALSE),0)</x:f>
        <x:v>36</x:v>
      </x:c>
      <x:c r="R1190" s="84" t="n">
        <x:f>'Raw Sales'!J1190</x:f>
        <x:v>3</x:v>
      </x:c>
      <x:c r="S1190" s="87" t="n">
        <x:f>'Raw Sales'!K1190</x:f>
        <x:v>0.1</x:v>
      </x:c>
      <x:c r="T1190" s="93" t="n">
        <x:f>P1190*R1190</x:f>
        <x:v>207</x:v>
      </x:c>
      <x:c r="U1190" s="93" t="n">
        <x:f>T1190*S1190</x:f>
        <x:v>20.700000000000003</x:v>
      </x:c>
      <x:c r="V1190" s="93" t="str">
        <x:f>PROPER(TRIM('Raw Sales'!L1190))</x:f>
        <x:v>Completed</x:v>
      </x:c>
      <x:c r="W1190" s="93" t="n">
        <x:f>IF(V1190="Returned",0,T1190-U1190)</x:f>
        <x:v>186.3</x:v>
      </x:c>
      <x:c r="X1190" s="93" t="n">
        <x:f>IF(V1190="Returned",Q1190*R1190*10%,Q1190*R1190)</x:f>
        <x:v>108</x:v>
      </x:c>
      <x:c r="Y1190" s="93" t="n">
        <x:f>W1190-X1190</x:f>
        <x:v>78.30000000000001</x:v>
      </x:c>
      <x:c r="Z1190" s="94" t="n">
        <x:f>IFERROR(Y1190/W1190,0)</x:f>
        <x:v>0.4202898550724638</x:v>
      </x:c>
      <x:c r="AA1190" s="84" t="str">
        <x:f>PROPER(TRIM('Raw Sales'!M1190))</x:f>
        <x:v>Debit Card</x:v>
      </x:c>
      <x:c r="AB1190" s="84" t="str">
        <x:f>PROPER(TRIM('Raw Sales'!N1190))</x:f>
        <x:v>Ethan Cole</x:v>
      </x:c>
      <x:c r="AC1190" s="85" t="n">
        <x:f>'Raw Sales'!O1190</x:f>
        <x:v>45686</x:v>
      </x:c>
      <x:c r="AD1190" s="84" t="n">
        <x:f>AC1190-B1190</x:f>
        <x:v>5</x:v>
      </x:c>
      <x:c r="AE1190" s="84" t="str">
        <x:f>IF(COUNTIF($A$5:A1190,A1190)&gt;1,"Duplicate","Keep")</x:f>
        <x:v>Keep</x:v>
      </x:c>
      <x:c r="AF1190" s="84" t="str">
        <x:f>IF(OR(R1190&lt;=0,AC1190&lt;B1190,H1190="Unknown",M1190="Unknown Product"),"Review","Valid")</x:f>
        <x:v>Valid</x:v>
      </x:c>
      <x:c r="AG1190" s="84" t="n">
        <x:f>IF(AND(AE1190="Keep",AF1190="Valid"),1,0)</x:f>
        <x:v>1</x:v>
      </x:c>
      <x:c r="AH1190" s="84" t="n">
        <x:f>IF(AND(AG1190=1,OR('Dashboard'!$B$4="All",I1190='Dashboard'!$B$4),OR('Dashboard'!$E$4="All",N1190='Dashboard'!$E$4),OR('Dashboard'!$H$4="All",K1190='Dashboard'!$H$4),OR('Dashboard'!$K$4="All",C1190='Dashboard'!$K$4)),1,0)</x:f>
        <x:v>1</x:v>
      </x:c>
      <x:c r="AI1190" s="84" t="n">
        <x:f>IF(AND(AG1190=1,OR('Dashboard'!$B$4="All",I1190='Dashboard'!$B$4),OR('Dashboard'!$E$4="All",N1190='Dashboard'!$E$4),OR('Dashboard'!$H$4="All",K1190='Dashboard'!$H$4)),1,0)</x:f>
        <x:v>1</x:v>
      </x:c>
    </x:row>
    <x:row r="1191">
      <x:c r="A1191" s="84" t="str">
        <x:f>'Raw Sales'!A1191</x:f>
        <x:v>ORD-2025-02127</x:v>
      </x:c>
      <x:c r="B1191" s="85" t="n">
        <x:f>'Raw Sales'!B1191</x:f>
        <x:v>45681</x:v>
      </x:c>
      <x:c r="C1191" s="84" t="n">
        <x:f>YEAR(B1191)</x:f>
        <x:v>2025</x:v>
      </x:c>
      <x:c r="D1191" s="91" t="n">
        <x:f>DATE(YEAR(B1191),MONTH(B1191),1)</x:f>
        <x:v>45658</x:v>
      </x:c>
      <x:c r="E1191" s="84" t="str">
        <x:f>TEXT(B1191,"mmm")</x:f>
        <x:v>Jan</x:v>
      </x:c>
      <x:c r="F1191" s="84" t="str">
        <x:f>'Raw Sales'!C1191</x:f>
        <x:v>CUST-0098</x:v>
      </x:c>
      <x:c r="G1191" s="84" t="str">
        <x:f>PROPER(TRIM('Raw Sales'!D1191))</x:f>
        <x:v>Sara Irwin</x:v>
      </x:c>
      <x:c r="H1191" s="84" t="str">
        <x:f>IF(TRIM('Raw Sales'!E1191)="","Unknown",PROPER(TRIM('Raw Sales'!E1191)))</x:f>
        <x:v>Small Business</x:v>
      </x:c>
      <x:c r="I1191" s="84" t="str">
        <x:f>PROPER(TRIM('Raw Sales'!F1191))</x:f>
        <x:v>Southeast</x:v>
      </x:c>
      <x:c r="J1191" s="84" t="str">
        <x:f>PROPER(TRIM('Raw Sales'!G1191))</x:f>
        <x:v>Nashville</x:v>
      </x:c>
      <x:c r="K1191" s="84" t="str">
        <x:f>PROPER(TRIM('Raw Sales'!H1191))</x:f>
        <x:v>Retail Store</x:v>
      </x:c>
      <x:c r="L1191" s="84" t="str">
        <x:f>'Raw Sales'!I1191</x:f>
        <x:v>HOME-005</x:v>
      </x:c>
      <x:c r="M1191" s="84" t="str">
        <x:f>IFERROR(VLOOKUP(L1191,'Reference Data'!$A$5:$F$40,2,FALSE),"Unknown Product")</x:f>
        <x:v>Cordless Vacuum</x:v>
      </x:c>
      <x:c r="N1191" s="84" t="str">
        <x:f>IFERROR(VLOOKUP(L1191,'Reference Data'!$A$5:$F$40,3,FALSE),"Unknown")</x:f>
        <x:v>Home &amp; Kitchen</x:v>
      </x:c>
      <x:c r="O1191" s="84" t="str">
        <x:f>IFERROR(VLOOKUP(L1191,'Reference Data'!$A$5:$F$40,4,FALSE),"Unknown")</x:f>
        <x:v>Cleaning</x:v>
      </x:c>
      <x:c r="P1191" s="92" t="n">
        <x:f>IFERROR(VLOOKUP(L1191,'Reference Data'!$A$5:$F$40,5,FALSE),0)</x:f>
        <x:v>179</x:v>
      </x:c>
      <x:c r="Q1191" s="92" t="n">
        <x:f>IFERROR(VLOOKUP(L1191,'Reference Data'!$A$5:$F$40,6,FALSE),0)</x:f>
        <x:v>102</x:v>
      </x:c>
      <x:c r="R1191" s="84" t="n">
        <x:f>'Raw Sales'!J1191</x:f>
        <x:v>1</x:v>
      </x:c>
      <x:c r="S1191" s="87" t="n">
        <x:f>'Raw Sales'!K1191</x:f>
        <x:v>0.05</x:v>
      </x:c>
      <x:c r="T1191" s="93" t="n">
        <x:f>P1191*R1191</x:f>
        <x:v>179</x:v>
      </x:c>
      <x:c r="U1191" s="93" t="n">
        <x:f>T1191*S1191</x:f>
        <x:v>8.950000000000001</x:v>
      </x:c>
      <x:c r="V1191" s="93" t="str">
        <x:f>PROPER(TRIM('Raw Sales'!L1191))</x:f>
        <x:v>Completed</x:v>
      </x:c>
      <x:c r="W1191" s="93" t="n">
        <x:f>IF(V1191="Returned",0,T1191-U1191)</x:f>
        <x:v>170.05</x:v>
      </x:c>
      <x:c r="X1191" s="93" t="n">
        <x:f>IF(V1191="Returned",Q1191*R1191*10%,Q1191*R1191)</x:f>
        <x:v>102</x:v>
      </x:c>
      <x:c r="Y1191" s="93" t="n">
        <x:f>W1191-X1191</x:f>
        <x:v>68.05000000000001</x:v>
      </x:c>
      <x:c r="Z1191" s="94" t="n">
        <x:f>IFERROR(Y1191/W1191,0)</x:f>
        <x:v>0.4001764187003823</x:v>
      </x:c>
      <x:c r="AA1191" s="84" t="str">
        <x:f>PROPER(TRIM('Raw Sales'!M1191))</x:f>
        <x:v>Credit Card</x:v>
      </x:c>
      <x:c r="AB1191" s="84" t="str">
        <x:f>PROPER(TRIM('Raw Sales'!N1191))</x:f>
        <x:v>Noah Reed</x:v>
      </x:c>
      <x:c r="AC1191" s="85" t="n">
        <x:f>'Raw Sales'!O1191</x:f>
        <x:v>45681</x:v>
      </x:c>
      <x:c r="AD1191" s="84" t="n">
        <x:f>AC1191-B1191</x:f>
        <x:v>0</x:v>
      </x:c>
      <x:c r="AE1191" s="84" t="str">
        <x:f>IF(COUNTIF($A$5:A1191,A1191)&gt;1,"Duplicate","Keep")</x:f>
        <x:v>Keep</x:v>
      </x:c>
      <x:c r="AF1191" s="84" t="str">
        <x:f>IF(OR(R1191&lt;=0,AC1191&lt;B1191,H1191="Unknown",M1191="Unknown Product"),"Review","Valid")</x:f>
        <x:v>Valid</x:v>
      </x:c>
      <x:c r="AG1191" s="84" t="n">
        <x:f>IF(AND(AE1191="Keep",AF1191="Valid"),1,0)</x:f>
        <x:v>1</x:v>
      </x:c>
      <x:c r="AH1191" s="84" t="n">
        <x:f>IF(AND(AG1191=1,OR('Dashboard'!$B$4="All",I1191='Dashboard'!$B$4),OR('Dashboard'!$E$4="All",N1191='Dashboard'!$E$4),OR('Dashboard'!$H$4="All",K1191='Dashboard'!$H$4),OR('Dashboard'!$K$4="All",C1191='Dashboard'!$K$4)),1,0)</x:f>
        <x:v>1</x:v>
      </x:c>
      <x:c r="AI1191" s="84" t="n">
        <x:f>IF(AND(AG1191=1,OR('Dashboard'!$B$4="All",I1191='Dashboard'!$B$4),OR('Dashboard'!$E$4="All",N1191='Dashboard'!$E$4),OR('Dashboard'!$H$4="All",K1191='Dashboard'!$H$4)),1,0)</x:f>
        <x:v>1</x:v>
      </x:c>
    </x:row>
    <x:row r="1192">
      <x:c r="A1192" s="84" t="str">
        <x:f>'Raw Sales'!A1192</x:f>
        <x:v>ORD-2025-01326</x:v>
      </x:c>
      <x:c r="B1192" s="85" t="n">
        <x:f>'Raw Sales'!B1192</x:f>
        <x:v>45682</x:v>
      </x:c>
      <x:c r="C1192" s="84" t="n">
        <x:f>YEAR(B1192)</x:f>
        <x:v>2025</x:v>
      </x:c>
      <x:c r="D1192" s="91" t="n">
        <x:f>DATE(YEAR(B1192),MONTH(B1192),1)</x:f>
        <x:v>45658</x:v>
      </x:c>
      <x:c r="E1192" s="84" t="str">
        <x:f>TEXT(B1192,"mmm")</x:f>
        <x:v>Jan</x:v>
      </x:c>
      <x:c r="F1192" s="84" t="str">
        <x:f>'Raw Sales'!C1192</x:f>
        <x:v>CUST-0064</x:v>
      </x:c>
      <x:c r="G1192" s="84" t="str">
        <x:f>PROPER(TRIM('Raw Sales'!D1192))</x:f>
        <x:v>Nina Walker</x:v>
      </x:c>
      <x:c r="H1192" s="84" t="str">
        <x:f>IF(TRIM('Raw Sales'!E1192)="","Unknown",PROPER(TRIM('Raw Sales'!E1192)))</x:f>
        <x:v>Consumer</x:v>
      </x:c>
      <x:c r="I1192" s="84" t="str">
        <x:f>PROPER(TRIM('Raw Sales'!F1192))</x:f>
        <x:v>Midwest</x:v>
      </x:c>
      <x:c r="J1192" s="84" t="str">
        <x:f>PROPER(TRIM('Raw Sales'!G1192))</x:f>
        <x:v>Columbus</x:v>
      </x:c>
      <x:c r="K1192" s="84" t="str">
        <x:f>PROPER(TRIM('Raw Sales'!H1192))</x:f>
        <x:v>Retail Store</x:v>
      </x:c>
      <x:c r="L1192" s="84" t="str">
        <x:f>'Raw Sales'!I1192</x:f>
        <x:v>ELEC-004</x:v>
      </x:c>
      <x:c r="M1192" s="84" t="str">
        <x:f>IFERROR(VLOOKUP(L1192,'Reference Data'!$A$5:$F$40,2,FALSE),"Unknown Product")</x:f>
        <x:v>Power Bank</x:v>
      </x:c>
      <x:c r="N1192" s="84" t="str">
        <x:f>IFERROR(VLOOKUP(L1192,'Reference Data'!$A$5:$F$40,3,FALSE),"Unknown")</x:f>
        <x:v>Electronics</x:v>
      </x:c>
      <x:c r="O1192" s="84" t="str">
        <x:f>IFERROR(VLOOKUP(L1192,'Reference Data'!$A$5:$F$40,4,FALSE),"Unknown")</x:f>
        <x:v>Mobile Accessories</x:v>
      </x:c>
      <x:c r="P1192" s="92" t="n">
        <x:f>IFERROR(VLOOKUP(L1192,'Reference Data'!$A$5:$F$40,5,FALSE),0)</x:f>
        <x:v>39</x:v>
      </x:c>
      <x:c r="Q1192" s="92" t="n">
        <x:f>IFERROR(VLOOKUP(L1192,'Reference Data'!$A$5:$F$40,6,FALSE),0)</x:f>
        <x:v>18</x:v>
      </x:c>
      <x:c r="R1192" s="84" t="n">
        <x:f>'Raw Sales'!J1192</x:f>
        <x:v>3</x:v>
      </x:c>
      <x:c r="S1192" s="87" t="n">
        <x:f>'Raw Sales'!K1192</x:f>
        <x:v>0.1</x:v>
      </x:c>
      <x:c r="T1192" s="93" t="n">
        <x:f>P1192*R1192</x:f>
        <x:v>117</x:v>
      </x:c>
      <x:c r="U1192" s="93" t="n">
        <x:f>T1192*S1192</x:f>
        <x:v>11.700000000000001</x:v>
      </x:c>
      <x:c r="V1192" s="93" t="str">
        <x:f>PROPER(TRIM('Raw Sales'!L1192))</x:f>
        <x:v>Completed</x:v>
      </x:c>
      <x:c r="W1192" s="93" t="n">
        <x:f>IF(V1192="Returned",0,T1192-U1192)</x:f>
        <x:v>105.3</x:v>
      </x:c>
      <x:c r="X1192" s="93" t="n">
        <x:f>IF(V1192="Returned",Q1192*R1192*10%,Q1192*R1192)</x:f>
        <x:v>54</x:v>
      </x:c>
      <x:c r="Y1192" s="93" t="n">
        <x:f>W1192-X1192</x:f>
        <x:v>51.3</x:v>
      </x:c>
      <x:c r="Z1192" s="94" t="n">
        <x:f>IFERROR(Y1192/W1192,0)</x:f>
        <x:v>0.48717948717948717</x:v>
      </x:c>
      <x:c r="AA1192" s="84" t="str">
        <x:f>PROPER(TRIM('Raw Sales'!M1192))</x:f>
        <x:v>Credit Card</x:v>
      </x:c>
      <x:c r="AB1192" s="84" t="str">
        <x:f>PROPER(TRIM('Raw Sales'!N1192))</x:f>
        <x:v>Lucas Grant</x:v>
      </x:c>
      <x:c r="AC1192" s="85" t="n">
        <x:f>'Raw Sales'!O1192</x:f>
        <x:v>45682</x:v>
      </x:c>
      <x:c r="AD1192" s="84" t="n">
        <x:f>AC1192-B1192</x:f>
        <x:v>0</x:v>
      </x:c>
      <x:c r="AE1192" s="84" t="str">
        <x:f>IF(COUNTIF($A$5:A1192,A1192)&gt;1,"Duplicate","Keep")</x:f>
        <x:v>Keep</x:v>
      </x:c>
      <x:c r="AF1192" s="84" t="str">
        <x:f>IF(OR(R1192&lt;=0,AC1192&lt;B1192,H1192="Unknown",M1192="Unknown Product"),"Review","Valid")</x:f>
        <x:v>Valid</x:v>
      </x:c>
      <x:c r="AG1192" s="84" t="n">
        <x:f>IF(AND(AE1192="Keep",AF1192="Valid"),1,0)</x:f>
        <x:v>1</x:v>
      </x:c>
      <x:c r="AH1192" s="84" t="n">
        <x:f>IF(AND(AG1192=1,OR('Dashboard'!$B$4="All",I1192='Dashboard'!$B$4),OR('Dashboard'!$E$4="All",N1192='Dashboard'!$E$4),OR('Dashboard'!$H$4="All",K1192='Dashboard'!$H$4),OR('Dashboard'!$K$4="All",C1192='Dashboard'!$K$4)),1,0)</x:f>
        <x:v>1</x:v>
      </x:c>
      <x:c r="AI1192" s="84" t="n">
        <x:f>IF(AND(AG1192=1,OR('Dashboard'!$B$4="All",I1192='Dashboard'!$B$4),OR('Dashboard'!$E$4="All",N1192='Dashboard'!$E$4),OR('Dashboard'!$H$4="All",K1192='Dashboard'!$H$4)),1,0)</x:f>
        <x:v>1</x:v>
      </x:c>
    </x:row>
    <x:row r="1193">
      <x:c r="A1193" s="84" t="str">
        <x:f>'Raw Sales'!A1193</x:f>
        <x:v>ORD-2025-01708</x:v>
      </x:c>
      <x:c r="B1193" s="85" t="n">
        <x:f>'Raw Sales'!B1193</x:f>
        <x:v>45682</x:v>
      </x:c>
      <x:c r="C1193" s="84" t="n">
        <x:f>YEAR(B1193)</x:f>
        <x:v>2025</x:v>
      </x:c>
      <x:c r="D1193" s="91" t="n">
        <x:f>DATE(YEAR(B1193),MONTH(B1193),1)</x:f>
        <x:v>45658</x:v>
      </x:c>
      <x:c r="E1193" s="84" t="str">
        <x:f>TEXT(B1193,"mmm")</x:f>
        <x:v>Jan</x:v>
      </x:c>
      <x:c r="F1193" s="84" t="str">
        <x:f>'Raw Sales'!C1193</x:f>
        <x:v>CUST-0156</x:v>
      </x:c>
      <x:c r="G1193" s="84" t="str">
        <x:f>PROPER(TRIM('Raw Sales'!D1193))</x:f>
        <x:v>Nina Ortiz</x:v>
      </x:c>
      <x:c r="H1193" s="84" t="str">
        <x:f>IF(TRIM('Raw Sales'!E1193)="","Unknown",PROPER(TRIM('Raw Sales'!E1193)))</x:f>
        <x:v>Unknown</x:v>
      </x:c>
      <x:c r="I1193" s="84" t="str">
        <x:f>PROPER(TRIM('Raw Sales'!F1193))</x:f>
        <x:v>Southeast</x:v>
      </x:c>
      <x:c r="J1193" s="84" t="str">
        <x:f>PROPER(TRIM('Raw Sales'!G1193))</x:f>
        <x:v>Charlotte</x:v>
      </x:c>
      <x:c r="K1193" s="84" t="str">
        <x:f>PROPER(TRIM('Raw Sales'!H1193))</x:f>
        <x:v>Online</x:v>
      </x:c>
      <x:c r="L1193" s="84" t="str">
        <x:f>'Raw Sales'!I1193</x:f>
        <x:v>HOME-005</x:v>
      </x:c>
      <x:c r="M1193" s="84" t="str">
        <x:f>IFERROR(VLOOKUP(L1193,'Reference Data'!$A$5:$F$40,2,FALSE),"Unknown Product")</x:f>
        <x:v>Cordless Vacuum</x:v>
      </x:c>
      <x:c r="N1193" s="84" t="str">
        <x:f>IFERROR(VLOOKUP(L1193,'Reference Data'!$A$5:$F$40,3,FALSE),"Unknown")</x:f>
        <x:v>Home &amp; Kitchen</x:v>
      </x:c>
      <x:c r="O1193" s="84" t="str">
        <x:f>IFERROR(VLOOKUP(L1193,'Reference Data'!$A$5:$F$40,4,FALSE),"Unknown")</x:f>
        <x:v>Cleaning</x:v>
      </x:c>
      <x:c r="P1193" s="92" t="n">
        <x:f>IFERROR(VLOOKUP(L1193,'Reference Data'!$A$5:$F$40,5,FALSE),0)</x:f>
        <x:v>179</x:v>
      </x:c>
      <x:c r="Q1193" s="92" t="n">
        <x:f>IFERROR(VLOOKUP(L1193,'Reference Data'!$A$5:$F$40,6,FALSE),0)</x:f>
        <x:v>102</x:v>
      </x:c>
      <x:c r="R1193" s="84" t="n">
        <x:f>'Raw Sales'!J1193</x:f>
        <x:v>1</x:v>
      </x:c>
      <x:c r="S1193" s="87" t="n">
        <x:f>'Raw Sales'!K1193</x:f>
        <x:v>0.15</x:v>
      </x:c>
      <x:c r="T1193" s="93" t="n">
        <x:f>P1193*R1193</x:f>
        <x:v>179</x:v>
      </x:c>
      <x:c r="U1193" s="93" t="n">
        <x:f>T1193*S1193</x:f>
        <x:v>26.849999999999998</x:v>
      </x:c>
      <x:c r="V1193" s="93" t="str">
        <x:f>PROPER(TRIM('Raw Sales'!L1193))</x:f>
        <x:v>Completed</x:v>
      </x:c>
      <x:c r="W1193" s="93" t="n">
        <x:f>IF(V1193="Returned",0,T1193-U1193)</x:f>
        <x:v>152.15</x:v>
      </x:c>
      <x:c r="X1193" s="93" t="n">
        <x:f>IF(V1193="Returned",Q1193*R1193*10%,Q1193*R1193)</x:f>
        <x:v>102</x:v>
      </x:c>
      <x:c r="Y1193" s="93" t="n">
        <x:f>W1193-X1193</x:f>
        <x:v>50.150000000000006</x:v>
      </x:c>
      <x:c r="Z1193" s="94" t="n">
        <x:f>IFERROR(Y1193/W1193,0)</x:f>
        <x:v>0.3296089385474861</x:v>
      </x:c>
      <x:c r="AA1193" s="84" t="str">
        <x:f>PROPER(TRIM('Raw Sales'!M1193))</x:f>
        <x:v>Debit Card</x:v>
      </x:c>
      <x:c r="AB1193" s="84" t="str">
        <x:f>PROPER(TRIM('Raw Sales'!N1193))</x:f>
        <x:v>Noah Reed</x:v>
      </x:c>
      <x:c r="AC1193" s="85" t="n">
        <x:f>'Raw Sales'!O1193</x:f>
        <x:v>45688</x:v>
      </x:c>
      <x:c r="AD1193" s="84" t="n">
        <x:f>AC1193-B1193</x:f>
        <x:v>6</x:v>
      </x:c>
      <x:c r="AE1193" s="84" t="str">
        <x:f>IF(COUNTIF($A$5:A1193,A1193)&gt;1,"Duplicate","Keep")</x:f>
        <x:v>Keep</x:v>
      </x:c>
      <x:c r="AF1193" s="84" t="str">
        <x:f>IF(OR(R1193&lt;=0,AC1193&lt;B1193,H1193="Unknown",M1193="Unknown Product"),"Review","Valid")</x:f>
        <x:v>Review</x:v>
      </x:c>
      <x:c r="AG1193" s="84" t="n">
        <x:f>IF(AND(AE1193="Keep",AF1193="Valid"),1,0)</x:f>
        <x:v>0</x:v>
      </x:c>
      <x:c r="AH1193" s="84" t="n">
        <x:f>IF(AND(AG1193=1,OR('Dashboard'!$B$4="All",I1193='Dashboard'!$B$4),OR('Dashboard'!$E$4="All",N1193='Dashboard'!$E$4),OR('Dashboard'!$H$4="All",K1193='Dashboard'!$H$4),OR('Dashboard'!$K$4="All",C1193='Dashboard'!$K$4)),1,0)</x:f>
        <x:v>0</x:v>
      </x:c>
      <x:c r="AI1193" s="84" t="n">
        <x:f>IF(AND(AG1193=1,OR('Dashboard'!$B$4="All",I1193='Dashboard'!$B$4),OR('Dashboard'!$E$4="All",N1193='Dashboard'!$E$4),OR('Dashboard'!$H$4="All",K1193='Dashboard'!$H$4)),1,0)</x:f>
        <x:v>0</x:v>
      </x:c>
    </x:row>
    <x:row r="1194">
      <x:c r="A1194" s="84" t="str">
        <x:f>'Raw Sales'!A1194</x:f>
        <x:v>ORD-2025-00459</x:v>
      </x:c>
      <x:c r="B1194" s="85" t="n">
        <x:f>'Raw Sales'!B1194</x:f>
        <x:v>45683</x:v>
      </x:c>
      <x:c r="C1194" s="84" t="n">
        <x:f>YEAR(B1194)</x:f>
        <x:v>2025</x:v>
      </x:c>
      <x:c r="D1194" s="91" t="n">
        <x:f>DATE(YEAR(B1194),MONTH(B1194),1)</x:f>
        <x:v>45658</x:v>
      </x:c>
      <x:c r="E1194" s="84" t="str">
        <x:f>TEXT(B1194,"mmm")</x:f>
        <x:v>Jan</x:v>
      </x:c>
      <x:c r="F1194" s="84" t="str">
        <x:f>'Raw Sales'!C1194</x:f>
        <x:v>CUST-0450</x:v>
      </x:c>
      <x:c r="G1194" s="84" t="str">
        <x:f>PROPER(TRIM('Raw Sales'!D1194))</x:f>
        <x:v>Samuel Garcia</x:v>
      </x:c>
      <x:c r="H1194" s="84" t="str">
        <x:f>IF(TRIM('Raw Sales'!E1194)="","Unknown",PROPER(TRIM('Raw Sales'!E1194)))</x:f>
        <x:v>Small Business</x:v>
      </x:c>
      <x:c r="I1194" s="84" t="str">
        <x:f>PROPER(TRIM('Raw Sales'!F1194))</x:f>
        <x:v>West</x:v>
      </x:c>
      <x:c r="J1194" s="84" t="str">
        <x:f>PROPER(TRIM('Raw Sales'!G1194))</x:f>
        <x:v>Seattle</x:v>
      </x:c>
      <x:c r="K1194" s="84" t="str">
        <x:f>PROPER(TRIM('Raw Sales'!H1194))</x:f>
        <x:v>Retail Store</x:v>
      </x:c>
      <x:c r="L1194" s="84" t="str">
        <x:f>'Raw Sales'!I1194</x:f>
        <x:v>FITN-006</x:v>
      </x:c>
      <x:c r="M1194" s="84" t="str">
        <x:f>IFERROR(VLOOKUP(L1194,'Reference Data'!$A$5:$F$40,2,FALSE),"Unknown Product")</x:f>
        <x:v>Foam Roller</x:v>
      </x:c>
      <x:c r="N1194" s="84" t="str">
        <x:f>IFERROR(VLOOKUP(L1194,'Reference Data'!$A$5:$F$40,3,FALSE),"Unknown")</x:f>
        <x:v>Fitness</x:v>
      </x:c>
      <x:c r="O1194" s="84" t="str">
        <x:f>IFERROR(VLOOKUP(L1194,'Reference Data'!$A$5:$F$40,4,FALSE),"Unknown")</x:f>
        <x:v>Recovery</x:v>
      </x:c>
      <x:c r="P1194" s="92" t="n">
        <x:f>IFERROR(VLOOKUP(L1194,'Reference Data'!$A$5:$F$40,5,FALSE),0)</x:f>
        <x:v>31</x:v>
      </x:c>
      <x:c r="Q1194" s="92" t="n">
        <x:f>IFERROR(VLOOKUP(L1194,'Reference Data'!$A$5:$F$40,6,FALSE),0)</x:f>
        <x:v>12</x:v>
      </x:c>
      <x:c r="R1194" s="84" t="n">
        <x:f>'Raw Sales'!J1194</x:f>
        <x:v>1</x:v>
      </x:c>
      <x:c r="S1194" s="87" t="n">
        <x:f>'Raw Sales'!K1194</x:f>
        <x:v>0.1</x:v>
      </x:c>
      <x:c r="T1194" s="93" t="n">
        <x:f>P1194*R1194</x:f>
        <x:v>31</x:v>
      </x:c>
      <x:c r="U1194" s="93" t="n">
        <x:f>T1194*S1194</x:f>
        <x:v>3.1</x:v>
      </x:c>
      <x:c r="V1194" s="93" t="str">
        <x:f>PROPER(TRIM('Raw Sales'!L1194))</x:f>
        <x:v>Completed</x:v>
      </x:c>
      <x:c r="W1194" s="93" t="n">
        <x:f>IF(V1194="Returned",0,T1194-U1194)</x:f>
        <x:v>27.9</x:v>
      </x:c>
      <x:c r="X1194" s="93" t="n">
        <x:f>IF(V1194="Returned",Q1194*R1194*10%,Q1194*R1194)</x:f>
        <x:v>12</x:v>
      </x:c>
      <x:c r="Y1194" s="93" t="n">
        <x:f>W1194-X1194</x:f>
        <x:v>15.899999999999999</x:v>
      </x:c>
      <x:c r="Z1194" s="94" t="n">
        <x:f>IFERROR(Y1194/W1194,0)</x:f>
        <x:v>0.5698924731182795</x:v>
      </x:c>
      <x:c r="AA1194" s="84" t="str">
        <x:f>PROPER(TRIM('Raw Sales'!M1194))</x:f>
        <x:v>Credit Card</x:v>
      </x:c>
      <x:c r="AB1194" s="84" t="str">
        <x:f>PROPER(TRIM('Raw Sales'!N1194))</x:f>
        <x:v>Mia Chen</x:v>
      </x:c>
      <x:c r="AC1194" s="85" t="n">
        <x:f>'Raw Sales'!O1194</x:f>
        <x:v>45683</x:v>
      </x:c>
      <x:c r="AD1194" s="84" t="n">
        <x:f>AC1194-B1194</x:f>
        <x:v>0</x:v>
      </x:c>
      <x:c r="AE1194" s="84" t="str">
        <x:f>IF(COUNTIF($A$5:A1194,A1194)&gt;1,"Duplicate","Keep")</x:f>
        <x:v>Keep</x:v>
      </x:c>
      <x:c r="AF1194" s="84" t="str">
        <x:f>IF(OR(R1194&lt;=0,AC1194&lt;B1194,H1194="Unknown",M1194="Unknown Product"),"Review","Valid")</x:f>
        <x:v>Valid</x:v>
      </x:c>
      <x:c r="AG1194" s="84" t="n">
        <x:f>IF(AND(AE1194="Keep",AF1194="Valid"),1,0)</x:f>
        <x:v>1</x:v>
      </x:c>
      <x:c r="AH1194" s="84" t="n">
        <x:f>IF(AND(AG1194=1,OR('Dashboard'!$B$4="All",I1194='Dashboard'!$B$4),OR('Dashboard'!$E$4="All",N1194='Dashboard'!$E$4),OR('Dashboard'!$H$4="All",K1194='Dashboard'!$H$4),OR('Dashboard'!$K$4="All",C1194='Dashboard'!$K$4)),1,0)</x:f>
        <x:v>1</x:v>
      </x:c>
      <x:c r="AI1194" s="84" t="n">
        <x:f>IF(AND(AG1194=1,OR('Dashboard'!$B$4="All",I1194='Dashboard'!$B$4),OR('Dashboard'!$E$4="All",N1194='Dashboard'!$E$4),OR('Dashboard'!$H$4="All",K1194='Dashboard'!$H$4)),1,0)</x:f>
        <x:v>1</x:v>
      </x:c>
    </x:row>
    <x:row r="1195">
      <x:c r="A1195" s="84" t="str">
        <x:f>'Raw Sales'!A1195</x:f>
        <x:v>ORD-2025-01520</x:v>
      </x:c>
      <x:c r="B1195" s="85" t="n">
        <x:f>'Raw Sales'!B1195</x:f>
        <x:v>45683</x:v>
      </x:c>
      <x:c r="C1195" s="84" t="n">
        <x:f>YEAR(B1195)</x:f>
        <x:v>2025</x:v>
      </x:c>
      <x:c r="D1195" s="91" t="n">
        <x:f>DATE(YEAR(B1195),MONTH(B1195),1)</x:f>
        <x:v>45658</x:v>
      </x:c>
      <x:c r="E1195" s="84" t="str">
        <x:f>TEXT(B1195,"mmm")</x:f>
        <x:v>Jan</x:v>
      </x:c>
      <x:c r="F1195" s="84" t="str">
        <x:f>'Raw Sales'!C1195</x:f>
        <x:v>CUST-0357</x:v>
      </x:c>
      <x:c r="G1195" s="84" t="str">
        <x:f>PROPER(TRIM('Raw Sales'!D1195))</x:f>
        <x:v>Priya Baker</x:v>
      </x:c>
      <x:c r="H1195" s="84" t="str">
        <x:f>IF(TRIM('Raw Sales'!E1195)="","Unknown",PROPER(TRIM('Raw Sales'!E1195)))</x:f>
        <x:v>Consumer</x:v>
      </x:c>
      <x:c r="I1195" s="84" t="str">
        <x:f>PROPER(TRIM('Raw Sales'!F1195))</x:f>
        <x:v>Southeast</x:v>
      </x:c>
      <x:c r="J1195" s="84" t="str">
        <x:f>PROPER(TRIM('Raw Sales'!G1195))</x:f>
        <x:v>Atlanta</x:v>
      </x:c>
      <x:c r="K1195" s="84" t="str">
        <x:f>PROPER(TRIM('Raw Sales'!H1195))</x:f>
        <x:v>Marketplace</x:v>
      </x:c>
      <x:c r="L1195" s="84" t="str">
        <x:f>'Raw Sales'!I1195</x:f>
        <x:v>CARE-004</x:v>
      </x:c>
      <x:c r="M1195" s="84" t="str">
        <x:f>IFERROR(VLOOKUP(L1195,'Reference Data'!$A$5:$F$40,2,FALSE),"Unknown Product")</x:f>
        <x:v>Electric Toothbrush</x:v>
      </x:c>
      <x:c r="N1195" s="84" t="str">
        <x:f>IFERROR(VLOOKUP(L1195,'Reference Data'!$A$5:$F$40,3,FALSE),"Unknown")</x:f>
        <x:v>Personal Care</x:v>
      </x:c>
      <x:c r="O1195" s="84" t="str">
        <x:f>IFERROR(VLOOKUP(L1195,'Reference Data'!$A$5:$F$40,4,FALSE),"Unknown")</x:f>
        <x:v>Oral Care</x:v>
      </x:c>
      <x:c r="P1195" s="92" t="n">
        <x:f>IFERROR(VLOOKUP(L1195,'Reference Data'!$A$5:$F$40,5,FALSE),0)</x:f>
        <x:v>69</x:v>
      </x:c>
      <x:c r="Q1195" s="92" t="n">
        <x:f>IFERROR(VLOOKUP(L1195,'Reference Data'!$A$5:$F$40,6,FALSE),0)</x:f>
        <x:v>31</x:v>
      </x:c>
      <x:c r="R1195" s="84" t="n">
        <x:f>'Raw Sales'!J1195</x:f>
        <x:v>1</x:v>
      </x:c>
      <x:c r="S1195" s="87" t="n">
        <x:f>'Raw Sales'!K1195</x:f>
        <x:v>0.1</x:v>
      </x:c>
      <x:c r="T1195" s="93" t="n">
        <x:f>P1195*R1195</x:f>
        <x:v>69</x:v>
      </x:c>
      <x:c r="U1195" s="93" t="n">
        <x:f>T1195*S1195</x:f>
        <x:v>6.9</x:v>
      </x:c>
      <x:c r="V1195" s="93" t="str">
        <x:f>PROPER(TRIM('Raw Sales'!L1195))</x:f>
        <x:v>Completed</x:v>
      </x:c>
      <x:c r="W1195" s="93" t="n">
        <x:f>IF(V1195="Returned",0,T1195-U1195)</x:f>
        <x:v>62.1</x:v>
      </x:c>
      <x:c r="X1195" s="93" t="n">
        <x:f>IF(V1195="Returned",Q1195*R1195*10%,Q1195*R1195)</x:f>
        <x:v>31</x:v>
      </x:c>
      <x:c r="Y1195" s="93" t="n">
        <x:f>W1195-X1195</x:f>
        <x:v>31.1</x:v>
      </x:c>
      <x:c r="Z1195" s="94" t="n">
        <x:f>IFERROR(Y1195/W1195,0)</x:f>
        <x:v>0.500805152979066</x:v>
      </x:c>
      <x:c r="AA1195" s="84" t="str">
        <x:f>PROPER(TRIM('Raw Sales'!M1195))</x:f>
        <x:v>Mobile Wallet</x:v>
      </x:c>
      <x:c r="AB1195" s="84" t="str">
        <x:f>PROPER(TRIM('Raw Sales'!N1195))</x:f>
        <x:v>Liam Parker</x:v>
      </x:c>
      <x:c r="AC1195" s="85" t="n">
        <x:f>'Raw Sales'!O1195</x:f>
        <x:v>45690</x:v>
      </x:c>
      <x:c r="AD1195" s="84" t="n">
        <x:f>AC1195-B1195</x:f>
        <x:v>7</x:v>
      </x:c>
      <x:c r="AE1195" s="84" t="str">
        <x:f>IF(COUNTIF($A$5:A1195,A1195)&gt;1,"Duplicate","Keep")</x:f>
        <x:v>Keep</x:v>
      </x:c>
      <x:c r="AF1195" s="84" t="str">
        <x:f>IF(OR(R1195&lt;=0,AC1195&lt;B1195,H1195="Unknown",M1195="Unknown Product"),"Review","Valid")</x:f>
        <x:v>Valid</x:v>
      </x:c>
      <x:c r="AG1195" s="84" t="n">
        <x:f>IF(AND(AE1195="Keep",AF1195="Valid"),1,0)</x:f>
        <x:v>1</x:v>
      </x:c>
      <x:c r="AH1195" s="84" t="n">
        <x:f>IF(AND(AG1195=1,OR('Dashboard'!$B$4="All",I1195='Dashboard'!$B$4),OR('Dashboard'!$E$4="All",N1195='Dashboard'!$E$4),OR('Dashboard'!$H$4="All",K1195='Dashboard'!$H$4),OR('Dashboard'!$K$4="All",C1195='Dashboard'!$K$4)),1,0)</x:f>
        <x:v>1</x:v>
      </x:c>
      <x:c r="AI1195" s="84" t="n">
        <x:f>IF(AND(AG1195=1,OR('Dashboard'!$B$4="All",I1195='Dashboard'!$B$4),OR('Dashboard'!$E$4="All",N1195='Dashboard'!$E$4),OR('Dashboard'!$H$4="All",K1195='Dashboard'!$H$4)),1,0)</x:f>
        <x:v>1</x:v>
      </x:c>
    </x:row>
    <x:row r="1196">
      <x:c r="A1196" s="84" t="str">
        <x:f>'Raw Sales'!A1196</x:f>
        <x:v>ORD-2025-01469</x:v>
      </x:c>
      <x:c r="B1196" s="85" t="n">
        <x:f>'Raw Sales'!B1196</x:f>
        <x:v>45685</x:v>
      </x:c>
      <x:c r="C1196" s="84" t="n">
        <x:f>YEAR(B1196)</x:f>
        <x:v>2025</x:v>
      </x:c>
      <x:c r="D1196" s="91" t="n">
        <x:f>DATE(YEAR(B1196),MONTH(B1196),1)</x:f>
        <x:v>45658</x:v>
      </x:c>
      <x:c r="E1196" s="84" t="str">
        <x:f>TEXT(B1196,"mmm")</x:f>
        <x:v>Jan</x:v>
      </x:c>
      <x:c r="F1196" s="84" t="str">
        <x:f>'Raw Sales'!C1196</x:f>
        <x:v>CUST-0269</x:v>
      </x:c>
      <x:c r="G1196" s="84" t="str">
        <x:f>PROPER(TRIM('Raw Sales'!D1196))</x:f>
        <x:v>Daniel Evans</x:v>
      </x:c>
      <x:c r="H1196" s="84" t="str">
        <x:f>IF(TRIM('Raw Sales'!E1196)="","Unknown",PROPER(TRIM('Raw Sales'!E1196)))</x:f>
        <x:v>Small Business</x:v>
      </x:c>
      <x:c r="I1196" s="84" t="str">
        <x:f>PROPER(TRIM('Raw Sales'!F1196))</x:f>
        <x:v>Southeast</x:v>
      </x:c>
      <x:c r="J1196" s="84" t="str">
        <x:f>PROPER(TRIM('Raw Sales'!G1196))</x:f>
        <x:v>Charlotte</x:v>
      </x:c>
      <x:c r="K1196" s="84" t="str">
        <x:f>PROPER(TRIM('Raw Sales'!H1196))</x:f>
        <x:v>Online</x:v>
      </x:c>
      <x:c r="L1196" s="84" t="str">
        <x:f>'Raw Sales'!I1196</x:f>
        <x:v>ELEC-003</x:v>
      </x:c>
      <x:c r="M1196" s="84" t="str">
        <x:f>IFERROR(VLOOKUP(L1196,'Reference Data'!$A$5:$F$40,2,FALSE),"Unknown Product")</x:f>
        <x:v>Bluetooth Speaker</x:v>
      </x:c>
      <x:c r="N1196" s="84" t="str">
        <x:f>IFERROR(VLOOKUP(L1196,'Reference Data'!$A$5:$F$40,3,FALSE),"Unknown")</x:f>
        <x:v>Electronics</x:v>
      </x:c>
      <x:c r="O1196" s="84" t="str">
        <x:f>IFERROR(VLOOKUP(L1196,'Reference Data'!$A$5:$F$40,4,FALSE),"Unknown")</x:f>
        <x:v>Audio</x:v>
      </x:c>
      <x:c r="P1196" s="92" t="n">
        <x:f>IFERROR(VLOOKUP(L1196,'Reference Data'!$A$5:$F$40,5,FALSE),0)</x:f>
        <x:v>89</x:v>
      </x:c>
      <x:c r="Q1196" s="92" t="n">
        <x:f>IFERROR(VLOOKUP(L1196,'Reference Data'!$A$5:$F$40,6,FALSE),0)</x:f>
        <x:v>44</x:v>
      </x:c>
      <x:c r="R1196" s="84" t="n">
        <x:f>'Raw Sales'!J1196</x:f>
        <x:v>2</x:v>
      </x:c>
      <x:c r="S1196" s="87" t="n">
        <x:f>'Raw Sales'!K1196</x:f>
        <x:v>0</x:v>
      </x:c>
      <x:c r="T1196" s="93" t="n">
        <x:f>P1196*R1196</x:f>
        <x:v>178</x:v>
      </x:c>
      <x:c r="U1196" s="93" t="n">
        <x:f>T1196*S1196</x:f>
        <x:v>0</x:v>
      </x:c>
      <x:c r="V1196" s="93" t="str">
        <x:f>PROPER(TRIM('Raw Sales'!L1196))</x:f>
        <x:v>Completed</x:v>
      </x:c>
      <x:c r="W1196" s="93" t="n">
        <x:f>IF(V1196="Returned",0,T1196-U1196)</x:f>
        <x:v>178</x:v>
      </x:c>
      <x:c r="X1196" s="93" t="n">
        <x:f>IF(V1196="Returned",Q1196*R1196*10%,Q1196*R1196)</x:f>
        <x:v>88</x:v>
      </x:c>
      <x:c r="Y1196" s="93" t="n">
        <x:f>W1196-X1196</x:f>
        <x:v>90</x:v>
      </x:c>
      <x:c r="Z1196" s="94" t="n">
        <x:f>IFERROR(Y1196/W1196,0)</x:f>
        <x:v>0.5056179775280899</x:v>
      </x:c>
      <x:c r="AA1196" s="84" t="str">
        <x:f>PROPER(TRIM('Raw Sales'!M1196))</x:f>
        <x:v>Credit Card</x:v>
      </x:c>
      <x:c r="AB1196" s="84" t="str">
        <x:f>PROPER(TRIM('Raw Sales'!N1196))</x:f>
        <x:v>Noah Reed</x:v>
      </x:c>
      <x:c r="AC1196" s="85" t="n">
        <x:f>'Raw Sales'!O1196</x:f>
        <x:v>45689</x:v>
      </x:c>
      <x:c r="AD1196" s="84" t="n">
        <x:f>AC1196-B1196</x:f>
        <x:v>4</x:v>
      </x:c>
      <x:c r="AE1196" s="84" t="str">
        <x:f>IF(COUNTIF($A$5:A1196,A1196)&gt;1,"Duplicate","Keep")</x:f>
        <x:v>Keep</x:v>
      </x:c>
      <x:c r="AF1196" s="84" t="str">
        <x:f>IF(OR(R1196&lt;=0,AC1196&lt;B1196,H1196="Unknown",M1196="Unknown Product"),"Review","Valid")</x:f>
        <x:v>Valid</x:v>
      </x:c>
      <x:c r="AG1196" s="84" t="n">
        <x:f>IF(AND(AE1196="Keep",AF1196="Valid"),1,0)</x:f>
        <x:v>1</x:v>
      </x:c>
      <x:c r="AH1196" s="84" t="n">
        <x:f>IF(AND(AG1196=1,OR('Dashboard'!$B$4="All",I1196='Dashboard'!$B$4),OR('Dashboard'!$E$4="All",N1196='Dashboard'!$E$4),OR('Dashboard'!$H$4="All",K1196='Dashboard'!$H$4),OR('Dashboard'!$K$4="All",C1196='Dashboard'!$K$4)),1,0)</x:f>
        <x:v>1</x:v>
      </x:c>
      <x:c r="AI1196" s="84" t="n">
        <x:f>IF(AND(AG1196=1,OR('Dashboard'!$B$4="All",I1196='Dashboard'!$B$4),OR('Dashboard'!$E$4="All",N1196='Dashboard'!$E$4),OR('Dashboard'!$H$4="All",K1196='Dashboard'!$H$4)),1,0)</x:f>
        <x:v>1</x:v>
      </x:c>
    </x:row>
    <x:row r="1197">
      <x:c r="A1197" s="84" t="str">
        <x:f>'Raw Sales'!A1197</x:f>
        <x:v>ORD-2025-02020</x:v>
      </x:c>
      <x:c r="B1197" s="85" t="n">
        <x:f>'Raw Sales'!B1197</x:f>
        <x:v>45685</x:v>
      </x:c>
      <x:c r="C1197" s="84" t="n">
        <x:f>YEAR(B1197)</x:f>
        <x:v>2025</x:v>
      </x:c>
      <x:c r="D1197" s="91" t="n">
        <x:f>DATE(YEAR(B1197),MONTH(B1197),1)</x:f>
        <x:v>45658</x:v>
      </x:c>
      <x:c r="E1197" s="84" t="str">
        <x:f>TEXT(B1197,"mmm")</x:f>
        <x:v>Jan</x:v>
      </x:c>
      <x:c r="F1197" s="84" t="str">
        <x:f>'Raw Sales'!C1197</x:f>
        <x:v>CUST-0090</x:v>
      </x:c>
      <x:c r="G1197" s="84" t="str">
        <x:f>PROPER(TRIM('Raw Sales'!D1197))</x:f>
        <x:v>Jasmine Baker</x:v>
      </x:c>
      <x:c r="H1197" s="84" t="str">
        <x:f>IF(TRIM('Raw Sales'!E1197)="","Unknown",PROPER(TRIM('Raw Sales'!E1197)))</x:f>
        <x:v>Consumer</x:v>
      </x:c>
      <x:c r="I1197" s="84" t="str">
        <x:f>PROPER(TRIM('Raw Sales'!F1197))</x:f>
        <x:v>West</x:v>
      </x:c>
      <x:c r="J1197" s="84" t="str">
        <x:f>PROPER(TRIM('Raw Sales'!G1197))</x:f>
        <x:v>Los Angeles</x:v>
      </x:c>
      <x:c r="K1197" s="84" t="str">
        <x:f>PROPER(TRIM('Raw Sales'!H1197))</x:f>
        <x:v>Online</x:v>
      </x:c>
      <x:c r="L1197" s="84" t="str">
        <x:f>'Raw Sales'!I1197</x:f>
        <x:v>HOME-006</x:v>
      </x:c>
      <x:c r="M1197" s="84" t="str">
        <x:f>IFERROR(VLOOKUP(L1197,'Reference Data'!$A$5:$F$40,2,FALSE),"Unknown Product")</x:f>
        <x:v>Food Storage Set</x:v>
      </x:c>
      <x:c r="N1197" s="84" t="str">
        <x:f>IFERROR(VLOOKUP(L1197,'Reference Data'!$A$5:$F$40,3,FALSE),"Unknown")</x:f>
        <x:v>Home &amp; Kitchen</x:v>
      </x:c>
      <x:c r="O1197" s="84" t="str">
        <x:f>IFERROR(VLOOKUP(L1197,'Reference Data'!$A$5:$F$40,4,FALSE),"Unknown")</x:f>
        <x:v>Kitchenware</x:v>
      </x:c>
      <x:c r="P1197" s="92" t="n">
        <x:f>IFERROR(VLOOKUP(L1197,'Reference Data'!$A$5:$F$40,5,FALSE),0)</x:f>
        <x:v>34</x:v>
      </x:c>
      <x:c r="Q1197" s="92" t="n">
        <x:f>IFERROR(VLOOKUP(L1197,'Reference Data'!$A$5:$F$40,6,FALSE),0)</x:f>
        <x:v>15</x:v>
      </x:c>
      <x:c r="R1197" s="84" t="n">
        <x:f>'Raw Sales'!J1197</x:f>
        <x:v>2</x:v>
      </x:c>
      <x:c r="S1197" s="87" t="n">
        <x:f>'Raw Sales'!K1197</x:f>
        <x:v>0.05</x:v>
      </x:c>
      <x:c r="T1197" s="93" t="n">
        <x:f>P1197*R1197</x:f>
        <x:v>68</x:v>
      </x:c>
      <x:c r="U1197" s="93" t="n">
        <x:f>T1197*S1197</x:f>
        <x:v>3.4000000000000004</x:v>
      </x:c>
      <x:c r="V1197" s="93" t="str">
        <x:f>PROPER(TRIM('Raw Sales'!L1197))</x:f>
        <x:v>Completed</x:v>
      </x:c>
      <x:c r="W1197" s="93" t="n">
        <x:f>IF(V1197="Returned",0,T1197-U1197)</x:f>
        <x:v>64.6</x:v>
      </x:c>
      <x:c r="X1197" s="93" t="n">
        <x:f>IF(V1197="Returned",Q1197*R1197*10%,Q1197*R1197)</x:f>
        <x:v>30</x:v>
      </x:c>
      <x:c r="Y1197" s="93" t="n">
        <x:f>W1197-X1197</x:f>
        <x:v>34.599999999999994</x:v>
      </x:c>
      <x:c r="Z1197" s="94" t="n">
        <x:f>IFERROR(Y1197/W1197,0)</x:f>
        <x:v>0.5356037151702786</x:v>
      </x:c>
      <x:c r="AA1197" s="84" t="str">
        <x:f>PROPER(TRIM('Raw Sales'!M1197))</x:f>
        <x:v>Debit Card</x:v>
      </x:c>
      <x:c r="AB1197" s="84" t="str">
        <x:f>PROPER(TRIM('Raw Sales'!N1197))</x:f>
        <x:v>Mia Chen</x:v>
      </x:c>
      <x:c r="AC1197" s="85" t="n">
        <x:f>'Raw Sales'!O1197</x:f>
        <x:v>45688</x:v>
      </x:c>
      <x:c r="AD1197" s="84" t="n">
        <x:f>AC1197-B1197</x:f>
        <x:v>3</x:v>
      </x:c>
      <x:c r="AE1197" s="84" t="str">
        <x:f>IF(COUNTIF($A$5:A1197,A1197)&gt;1,"Duplicate","Keep")</x:f>
        <x:v>Keep</x:v>
      </x:c>
      <x:c r="AF1197" s="84" t="str">
        <x:f>IF(OR(R1197&lt;=0,AC1197&lt;B1197,H1197="Unknown",M1197="Unknown Product"),"Review","Valid")</x:f>
        <x:v>Valid</x:v>
      </x:c>
      <x:c r="AG1197" s="84" t="n">
        <x:f>IF(AND(AE1197="Keep",AF1197="Valid"),1,0)</x:f>
        <x:v>1</x:v>
      </x:c>
      <x:c r="AH1197" s="84" t="n">
        <x:f>IF(AND(AG1197=1,OR('Dashboard'!$B$4="All",I1197='Dashboard'!$B$4),OR('Dashboard'!$E$4="All",N1197='Dashboard'!$E$4),OR('Dashboard'!$H$4="All",K1197='Dashboard'!$H$4),OR('Dashboard'!$K$4="All",C1197='Dashboard'!$K$4)),1,0)</x:f>
        <x:v>1</x:v>
      </x:c>
      <x:c r="AI1197" s="84" t="n">
        <x:f>IF(AND(AG1197=1,OR('Dashboard'!$B$4="All",I1197='Dashboard'!$B$4),OR('Dashboard'!$E$4="All",N1197='Dashboard'!$E$4),OR('Dashboard'!$H$4="All",K1197='Dashboard'!$H$4)),1,0)</x:f>
        <x:v>1</x:v>
      </x:c>
    </x:row>
    <x:row r="1198">
      <x:c r="A1198" s="84" t="str">
        <x:f>'Raw Sales'!A1198</x:f>
        <x:v>ORD-2025-02186</x:v>
      </x:c>
      <x:c r="B1198" s="85" t="n">
        <x:f>'Raw Sales'!B1198</x:f>
        <x:v>45685</x:v>
      </x:c>
      <x:c r="C1198" s="84" t="n">
        <x:f>YEAR(B1198)</x:f>
        <x:v>2025</x:v>
      </x:c>
      <x:c r="D1198" s="91" t="n">
        <x:f>DATE(YEAR(B1198),MONTH(B1198),1)</x:f>
        <x:v>45658</x:v>
      </x:c>
      <x:c r="E1198" s="84" t="str">
        <x:f>TEXT(B1198,"mmm")</x:f>
        <x:v>Jan</x:v>
      </x:c>
      <x:c r="F1198" s="84" t="str">
        <x:f>'Raw Sales'!C1198</x:f>
        <x:v>CUST-0615</x:v>
      </x:c>
      <x:c r="G1198" s="84" t="str">
        <x:f>PROPER(TRIM('Raw Sales'!D1198))</x:f>
        <x:v>Jonah Quinn</x:v>
      </x:c>
      <x:c r="H1198" s="84" t="str">
        <x:f>IF(TRIM('Raw Sales'!E1198)="","Unknown",PROPER(TRIM('Raw Sales'!E1198)))</x:f>
        <x:v>Consumer</x:v>
      </x:c>
      <x:c r="I1198" s="84" t="str">
        <x:f>PROPER(TRIM('Raw Sales'!F1198))</x:f>
        <x:v>Midwest</x:v>
      </x:c>
      <x:c r="J1198" s="84" t="str">
        <x:f>PROPER(TRIM('Raw Sales'!G1198))</x:f>
        <x:v>Minneapolis</x:v>
      </x:c>
      <x:c r="K1198" s="84" t="str">
        <x:f>PROPER(TRIM('Raw Sales'!H1198))</x:f>
        <x:v>Online</x:v>
      </x:c>
      <x:c r="L1198" s="84" t="str">
        <x:f>'Raw Sales'!I1198</x:f>
        <x:v>ACCS-006</x:v>
      </x:c>
      <x:c r="M1198" s="84" t="str">
        <x:f>IFERROR(VLOOKUP(L1198,'Reference Data'!$A$5:$F$40,2,FALSE),"Unknown Product")</x:f>
        <x:v>Insulated Lunch Bag</x:v>
      </x:c>
      <x:c r="N1198" s="84" t="str">
        <x:f>IFERROR(VLOOKUP(L1198,'Reference Data'!$A$5:$F$40,3,FALSE),"Unknown")</x:f>
        <x:v>Accessories</x:v>
      </x:c>
      <x:c r="O1198" s="84" t="str">
        <x:f>IFERROR(VLOOKUP(L1198,'Reference Data'!$A$5:$F$40,4,FALSE),"Unknown")</x:f>
        <x:v>Bags</x:v>
      </x:c>
      <x:c r="P1198" s="92" t="n">
        <x:f>IFERROR(VLOOKUP(L1198,'Reference Data'!$A$5:$F$40,5,FALSE),0)</x:f>
        <x:v>29</x:v>
      </x:c>
      <x:c r="Q1198" s="92" t="n">
        <x:f>IFERROR(VLOOKUP(L1198,'Reference Data'!$A$5:$F$40,6,FALSE),0)</x:f>
        <x:v>10</x:v>
      </x:c>
      <x:c r="R1198" s="84" t="n">
        <x:f>'Raw Sales'!J1198</x:f>
        <x:v>3</x:v>
      </x:c>
      <x:c r="S1198" s="87" t="n">
        <x:f>'Raw Sales'!K1198</x:f>
        <x:v>0.15</x:v>
      </x:c>
      <x:c r="T1198" s="93" t="n">
        <x:f>P1198*R1198</x:f>
        <x:v>87</x:v>
      </x:c>
      <x:c r="U1198" s="93" t="n">
        <x:f>T1198*S1198</x:f>
        <x:v>13.049999999999999</x:v>
      </x:c>
      <x:c r="V1198" s="93" t="str">
        <x:f>PROPER(TRIM('Raw Sales'!L1198))</x:f>
        <x:v>Completed</x:v>
      </x:c>
      <x:c r="W1198" s="93" t="n">
        <x:f>IF(V1198="Returned",0,T1198-U1198)</x:f>
        <x:v>73.95</x:v>
      </x:c>
      <x:c r="X1198" s="93" t="n">
        <x:f>IF(V1198="Returned",Q1198*R1198*10%,Q1198*R1198)</x:f>
        <x:v>30</x:v>
      </x:c>
      <x:c r="Y1198" s="93" t="n">
        <x:f>W1198-X1198</x:f>
        <x:v>43.95</x:v>
      </x:c>
      <x:c r="Z1198" s="94" t="n">
        <x:f>IFERROR(Y1198/W1198,0)</x:f>
        <x:v>0.5943204868154158</x:v>
      </x:c>
      <x:c r="AA1198" s="84" t="str">
        <x:f>PROPER(TRIM('Raw Sales'!M1198))</x:f>
        <x:v>Debit Card</x:v>
      </x:c>
      <x:c r="AB1198" s="84" t="str">
        <x:f>PROPER(TRIM('Raw Sales'!N1198))</x:f>
        <x:v>Emma Hayes</x:v>
      </x:c>
      <x:c r="AC1198" s="85" t="n">
        <x:f>'Raw Sales'!O1198</x:f>
        <x:v>45690</x:v>
      </x:c>
      <x:c r="AD1198" s="84" t="n">
        <x:f>AC1198-B1198</x:f>
        <x:v>5</x:v>
      </x:c>
      <x:c r="AE1198" s="84" t="str">
        <x:f>IF(COUNTIF($A$5:A1198,A1198)&gt;1,"Duplicate","Keep")</x:f>
        <x:v>Keep</x:v>
      </x:c>
      <x:c r="AF1198" s="84" t="str">
        <x:f>IF(OR(R1198&lt;=0,AC1198&lt;B1198,H1198="Unknown",M1198="Unknown Product"),"Review","Valid")</x:f>
        <x:v>Valid</x:v>
      </x:c>
      <x:c r="AG1198" s="84" t="n">
        <x:f>IF(AND(AE1198="Keep",AF1198="Valid"),1,0)</x:f>
        <x:v>1</x:v>
      </x:c>
      <x:c r="AH1198" s="84" t="n">
        <x:f>IF(AND(AG1198=1,OR('Dashboard'!$B$4="All",I1198='Dashboard'!$B$4),OR('Dashboard'!$E$4="All",N1198='Dashboard'!$E$4),OR('Dashboard'!$H$4="All",K1198='Dashboard'!$H$4),OR('Dashboard'!$K$4="All",C1198='Dashboard'!$K$4)),1,0)</x:f>
        <x:v>1</x:v>
      </x:c>
      <x:c r="AI1198" s="84" t="n">
        <x:f>IF(AND(AG1198=1,OR('Dashboard'!$B$4="All",I1198='Dashboard'!$B$4),OR('Dashboard'!$E$4="All",N1198='Dashboard'!$E$4),OR('Dashboard'!$H$4="All",K1198='Dashboard'!$H$4)),1,0)</x:f>
        <x:v>1</x:v>
      </x:c>
    </x:row>
    <x:row r="1199">
      <x:c r="A1199" s="84" t="str">
        <x:f>'Raw Sales'!A1199</x:f>
        <x:v>ORD-2025-01032</x:v>
      </x:c>
      <x:c r="B1199" s="85" t="n">
        <x:f>'Raw Sales'!B1199</x:f>
        <x:v>45686</x:v>
      </x:c>
      <x:c r="C1199" s="84" t="n">
        <x:f>YEAR(B1199)</x:f>
        <x:v>2025</x:v>
      </x:c>
      <x:c r="D1199" s="91" t="n">
        <x:f>DATE(YEAR(B1199),MONTH(B1199),1)</x:f>
        <x:v>45658</x:v>
      </x:c>
      <x:c r="E1199" s="84" t="str">
        <x:f>TEXT(B1199,"mmm")</x:f>
        <x:v>Jan</x:v>
      </x:c>
      <x:c r="F1199" s="84" t="str">
        <x:f>'Raw Sales'!C1199</x:f>
        <x:v>CUST-0601</x:v>
      </x:c>
      <x:c r="G1199" s="84" t="str">
        <x:f>PROPER(TRIM('Raw Sales'!D1199))</x:f>
        <x:v>Grace Taylor</x:v>
      </x:c>
      <x:c r="H1199" s="84" t="str">
        <x:f>IF(TRIM('Raw Sales'!E1199)="","Unknown",PROPER(TRIM('Raw Sales'!E1199)))</x:f>
        <x:v>Small Business</x:v>
      </x:c>
      <x:c r="I1199" s="84" t="str">
        <x:f>PROPER(TRIM('Raw Sales'!F1199))</x:f>
        <x:v>Northeast</x:v>
      </x:c>
      <x:c r="J1199" s="84" t="str">
        <x:f>PROPER(TRIM('Raw Sales'!G1199))</x:f>
        <x:v>Philadelphia</x:v>
      </x:c>
      <x:c r="K1199" s="84" t="str">
        <x:f>PROPER(TRIM('Raw Sales'!H1199))</x:f>
        <x:v>Online</x:v>
      </x:c>
      <x:c r="L1199" s="84" t="str">
        <x:f>'Raw Sales'!I1199</x:f>
        <x:v>ELEC-004</x:v>
      </x:c>
      <x:c r="M1199" s="84" t="str">
        <x:f>IFERROR(VLOOKUP(L1199,'Reference Data'!$A$5:$F$40,2,FALSE),"Unknown Product")</x:f>
        <x:v>Power Bank</x:v>
      </x:c>
      <x:c r="N1199" s="84" t="str">
        <x:f>IFERROR(VLOOKUP(L1199,'Reference Data'!$A$5:$F$40,3,FALSE),"Unknown")</x:f>
        <x:v>Electronics</x:v>
      </x:c>
      <x:c r="O1199" s="84" t="str">
        <x:f>IFERROR(VLOOKUP(L1199,'Reference Data'!$A$5:$F$40,4,FALSE),"Unknown")</x:f>
        <x:v>Mobile Accessories</x:v>
      </x:c>
      <x:c r="P1199" s="92" t="n">
        <x:f>IFERROR(VLOOKUP(L1199,'Reference Data'!$A$5:$F$40,5,FALSE),0)</x:f>
        <x:v>39</x:v>
      </x:c>
      <x:c r="Q1199" s="92" t="n">
        <x:f>IFERROR(VLOOKUP(L1199,'Reference Data'!$A$5:$F$40,6,FALSE),0)</x:f>
        <x:v>18</x:v>
      </x:c>
      <x:c r="R1199" s="84" t="n">
        <x:f>'Raw Sales'!J1199</x:f>
        <x:v>1</x:v>
      </x:c>
      <x:c r="S1199" s="87" t="n">
        <x:f>'Raw Sales'!K1199</x:f>
        <x:v>0</x:v>
      </x:c>
      <x:c r="T1199" s="93" t="n">
        <x:f>P1199*R1199</x:f>
        <x:v>39</x:v>
      </x:c>
      <x:c r="U1199" s="93" t="n">
        <x:f>T1199*S1199</x:f>
        <x:v>0</x:v>
      </x:c>
      <x:c r="V1199" s="93" t="str">
        <x:f>PROPER(TRIM('Raw Sales'!L1199))</x:f>
        <x:v>Returned</x:v>
      </x:c>
      <x:c r="W1199" s="93" t="n">
        <x:f>IF(V1199="Returned",0,T1199-U1199)</x:f>
        <x:v>0</x:v>
      </x:c>
      <x:c r="X1199" s="93" t="n">
        <x:f>IF(V1199="Returned",Q1199*R1199*10%,Q1199*R1199)</x:f>
        <x:v>1.8</x:v>
      </x:c>
      <x:c r="Y1199" s="93" t="n">
        <x:f>W1199-X1199</x:f>
        <x:v>-1.8</x:v>
      </x:c>
      <x:c r="Z1199" s="94" t="n">
        <x:f>IFERROR(Y1199/W1199,0)</x:f>
        <x:v>0</x:v>
      </x:c>
      <x:c r="AA1199" s="84" t="str">
        <x:f>PROPER(TRIM('Raw Sales'!M1199))</x:f>
        <x:v>Debit Card</x:v>
      </x:c>
      <x:c r="AB1199" s="84" t="str">
        <x:f>PROPER(TRIM('Raw Sales'!N1199))</x:f>
        <x:v>Sofia Bennett</x:v>
      </x:c>
      <x:c r="AC1199" s="85" t="n">
        <x:f>'Raw Sales'!O1199</x:f>
        <x:v>45690</x:v>
      </x:c>
      <x:c r="AD1199" s="84" t="n">
        <x:f>AC1199-B1199</x:f>
        <x:v>4</x:v>
      </x:c>
      <x:c r="AE1199" s="84" t="str">
        <x:f>IF(COUNTIF($A$5:A1199,A1199)&gt;1,"Duplicate","Keep")</x:f>
        <x:v>Keep</x:v>
      </x:c>
      <x:c r="AF1199" s="84" t="str">
        <x:f>IF(OR(R1199&lt;=0,AC1199&lt;B1199,H1199="Unknown",M1199="Unknown Product"),"Review","Valid")</x:f>
        <x:v>Valid</x:v>
      </x:c>
      <x:c r="AG1199" s="84" t="n">
        <x:f>IF(AND(AE1199="Keep",AF1199="Valid"),1,0)</x:f>
        <x:v>1</x:v>
      </x:c>
      <x:c r="AH1199" s="84" t="n">
        <x:f>IF(AND(AG1199=1,OR('Dashboard'!$B$4="All",I1199='Dashboard'!$B$4),OR('Dashboard'!$E$4="All",N1199='Dashboard'!$E$4),OR('Dashboard'!$H$4="All",K1199='Dashboard'!$H$4),OR('Dashboard'!$K$4="All",C1199='Dashboard'!$K$4)),1,0)</x:f>
        <x:v>1</x:v>
      </x:c>
      <x:c r="AI1199" s="84" t="n">
        <x:f>IF(AND(AG1199=1,OR('Dashboard'!$B$4="All",I1199='Dashboard'!$B$4),OR('Dashboard'!$E$4="All",N1199='Dashboard'!$E$4),OR('Dashboard'!$H$4="All",K1199='Dashboard'!$H$4)),1,0)</x:f>
        <x:v>1</x:v>
      </x:c>
    </x:row>
    <x:row r="1200">
      <x:c r="A1200" s="84" t="str">
        <x:f>'Raw Sales'!A1200</x:f>
        <x:v>ORD-2025-01206</x:v>
      </x:c>
      <x:c r="B1200" s="85" t="n">
        <x:f>'Raw Sales'!B1200</x:f>
        <x:v>45686</x:v>
      </x:c>
      <x:c r="C1200" s="84" t="n">
        <x:f>YEAR(B1200)</x:f>
        <x:v>2025</x:v>
      </x:c>
      <x:c r="D1200" s="91" t="n">
        <x:f>DATE(YEAR(B1200),MONTH(B1200),1)</x:f>
        <x:v>45658</x:v>
      </x:c>
      <x:c r="E1200" s="84" t="str">
        <x:f>TEXT(B1200,"mmm")</x:f>
        <x:v>Jan</x:v>
      </x:c>
      <x:c r="F1200" s="84" t="str">
        <x:f>'Raw Sales'!C1200</x:f>
        <x:v>CUST-0145</x:v>
      </x:c>
      <x:c r="G1200" s="84" t="str">
        <x:f>PROPER(TRIM('Raw Sales'!D1200))</x:f>
        <x:v>Samuel Adams</x:v>
      </x:c>
      <x:c r="H1200" s="84" t="str">
        <x:f>IF(TRIM('Raw Sales'!E1200)="","Unknown",PROPER(TRIM('Raw Sales'!E1200)))</x:f>
        <x:v>Consumer</x:v>
      </x:c>
      <x:c r="I1200" s="84" t="str">
        <x:f>PROPER(TRIM('Raw Sales'!F1200))</x:f>
        <x:v>Southeast</x:v>
      </x:c>
      <x:c r="J1200" s="84" t="str">
        <x:f>PROPER(TRIM('Raw Sales'!G1200))</x:f>
        <x:v>Nashville</x:v>
      </x:c>
      <x:c r="K1200" s="84" t="str">
        <x:f>PROPER(TRIM('Raw Sales'!H1200))</x:f>
        <x:v>Marketplace</x:v>
      </x:c>
      <x:c r="L1200" s="84" t="str">
        <x:f>'Raw Sales'!I1200</x:f>
        <x:v>ACCS-004</x:v>
      </x:c>
      <x:c r="M1200" s="84" t="str">
        <x:f>IFERROR(VLOOKUP(L1200,'Reference Data'!$A$5:$F$40,2,FALSE),"Unknown Product")</x:f>
        <x:v>Leather Wallet</x:v>
      </x:c>
      <x:c r="N1200" s="84" t="str">
        <x:f>IFERROR(VLOOKUP(L1200,'Reference Data'!$A$5:$F$40,3,FALSE),"Unknown")</x:f>
        <x:v>Accessories</x:v>
      </x:c>
      <x:c r="O1200" s="84" t="str">
        <x:f>IFERROR(VLOOKUP(L1200,'Reference Data'!$A$5:$F$40,4,FALSE),"Unknown")</x:f>
        <x:v>Wallets</x:v>
      </x:c>
      <x:c r="P1200" s="92" t="n">
        <x:f>IFERROR(VLOOKUP(L1200,'Reference Data'!$A$5:$F$40,5,FALSE),0)</x:f>
        <x:v>49</x:v>
      </x:c>
      <x:c r="Q1200" s="92" t="n">
        <x:f>IFERROR(VLOOKUP(L1200,'Reference Data'!$A$5:$F$40,6,FALSE),0)</x:f>
        <x:v>18</x:v>
      </x:c>
      <x:c r="R1200" s="84" t="n">
        <x:f>'Raw Sales'!J1200</x:f>
        <x:v>1</x:v>
      </x:c>
      <x:c r="S1200" s="87" t="n">
        <x:f>'Raw Sales'!K1200</x:f>
        <x:v>0.15</x:v>
      </x:c>
      <x:c r="T1200" s="93" t="n">
        <x:f>P1200*R1200</x:f>
        <x:v>49</x:v>
      </x:c>
      <x:c r="U1200" s="93" t="n">
        <x:f>T1200*S1200</x:f>
        <x:v>7.35</x:v>
      </x:c>
      <x:c r="V1200" s="93" t="str">
        <x:f>PROPER(TRIM('Raw Sales'!L1200))</x:f>
        <x:v>Completed</x:v>
      </x:c>
      <x:c r="W1200" s="93" t="n">
        <x:f>IF(V1200="Returned",0,T1200-U1200)</x:f>
        <x:v>41.65</x:v>
      </x:c>
      <x:c r="X1200" s="93" t="n">
        <x:f>IF(V1200="Returned",Q1200*R1200*10%,Q1200*R1200)</x:f>
        <x:v>18</x:v>
      </x:c>
      <x:c r="Y1200" s="93" t="n">
        <x:f>W1200-X1200</x:f>
        <x:v>23.65</x:v>
      </x:c>
      <x:c r="Z1200" s="94" t="n">
        <x:f>IFERROR(Y1200/W1200,0)</x:f>
        <x:v>0.5678271308523409</x:v>
      </x:c>
      <x:c r="AA1200" s="84" t="str">
        <x:f>PROPER(TRIM('Raw Sales'!M1200))</x:f>
        <x:v>Debit Card</x:v>
      </x:c>
      <x:c r="AB1200" s="84" t="str">
        <x:f>PROPER(TRIM('Raw Sales'!N1200))</x:f>
        <x:v>Liam Parker</x:v>
      </x:c>
      <x:c r="AC1200" s="85" t="n">
        <x:f>'Raw Sales'!O1200</x:f>
        <x:v>45692</x:v>
      </x:c>
      <x:c r="AD1200" s="84" t="n">
        <x:f>AC1200-B1200</x:f>
        <x:v>6</x:v>
      </x:c>
      <x:c r="AE1200" s="84" t="str">
        <x:f>IF(COUNTIF($A$5:A1200,A1200)&gt;1,"Duplicate","Keep")</x:f>
        <x:v>Keep</x:v>
      </x:c>
      <x:c r="AF1200" s="84" t="str">
        <x:f>IF(OR(R1200&lt;=0,AC1200&lt;B1200,H1200="Unknown",M1200="Unknown Product"),"Review","Valid")</x:f>
        <x:v>Valid</x:v>
      </x:c>
      <x:c r="AG1200" s="84" t="n">
        <x:f>IF(AND(AE1200="Keep",AF1200="Valid"),1,0)</x:f>
        <x:v>1</x:v>
      </x:c>
      <x:c r="AH1200" s="84" t="n">
        <x:f>IF(AND(AG1200=1,OR('Dashboard'!$B$4="All",I1200='Dashboard'!$B$4),OR('Dashboard'!$E$4="All",N1200='Dashboard'!$E$4),OR('Dashboard'!$H$4="All",K1200='Dashboard'!$H$4),OR('Dashboard'!$K$4="All",C1200='Dashboard'!$K$4)),1,0)</x:f>
        <x:v>1</x:v>
      </x:c>
      <x:c r="AI1200" s="84" t="n">
        <x:f>IF(AND(AG1200=1,OR('Dashboard'!$B$4="All",I1200='Dashboard'!$B$4),OR('Dashboard'!$E$4="All",N1200='Dashboard'!$E$4),OR('Dashboard'!$H$4="All",K1200='Dashboard'!$H$4)),1,0)</x:f>
        <x:v>1</x:v>
      </x:c>
    </x:row>
    <x:row r="1201">
      <x:c r="A1201" s="84" t="str">
        <x:f>'Raw Sales'!A1201</x:f>
        <x:v>ORD-2025-01289</x:v>
      </x:c>
      <x:c r="B1201" s="85" t="n">
        <x:f>'Raw Sales'!B1201</x:f>
        <x:v>45686</x:v>
      </x:c>
      <x:c r="C1201" s="84" t="n">
        <x:f>YEAR(B1201)</x:f>
        <x:v>2025</x:v>
      </x:c>
      <x:c r="D1201" s="91" t="n">
        <x:f>DATE(YEAR(B1201),MONTH(B1201),1)</x:f>
        <x:v>45658</x:v>
      </x:c>
      <x:c r="E1201" s="84" t="str">
        <x:f>TEXT(B1201,"mmm")</x:f>
        <x:v>Jan</x:v>
      </x:c>
      <x:c r="F1201" s="84" t="str">
        <x:f>'Raw Sales'!C1201</x:f>
        <x:v>CUST-0035</x:v>
      </x:c>
      <x:c r="G1201" s="84" t="str">
        <x:f>PROPER(TRIM('Raw Sales'!D1201))</x:f>
        <x:v>Nathan Ortiz</x:v>
      </x:c>
      <x:c r="H1201" s="84" t="str">
        <x:f>IF(TRIM('Raw Sales'!E1201)="","Unknown",PROPER(TRIM('Raw Sales'!E1201)))</x:f>
        <x:v>Corporate</x:v>
      </x:c>
      <x:c r="I1201" s="84" t="str">
        <x:f>PROPER(TRIM('Raw Sales'!F1201))</x:f>
        <x:v>Southeast</x:v>
      </x:c>
      <x:c r="J1201" s="84" t="str">
        <x:f>PROPER(TRIM('Raw Sales'!G1201))</x:f>
        <x:v>Charlotte</x:v>
      </x:c>
      <x:c r="K1201" s="84" t="str">
        <x:f>PROPER(TRIM('Raw Sales'!H1201))</x:f>
        <x:v>Retail Store</x:v>
      </x:c>
      <x:c r="L1201" s="84" t="str">
        <x:f>'Raw Sales'!I1201</x:f>
        <x:v>CARE-002</x:v>
      </x:c>
      <x:c r="M1201" s="84" t="str">
        <x:f>IFERROR(VLOOKUP(L1201,'Reference Data'!$A$5:$F$40,2,FALSE),"Unknown Product")</x:f>
        <x:v>Rechargeable Trimmer</x:v>
      </x:c>
      <x:c r="N1201" s="84" t="str">
        <x:f>IFERROR(VLOOKUP(L1201,'Reference Data'!$A$5:$F$40,3,FALSE),"Unknown")</x:f>
        <x:v>Personal Care</x:v>
      </x:c>
      <x:c r="O1201" s="84" t="str">
        <x:f>IFERROR(VLOOKUP(L1201,'Reference Data'!$A$5:$F$40,4,FALSE),"Unknown")</x:f>
        <x:v>Grooming</x:v>
      </x:c>
      <x:c r="P1201" s="92" t="n">
        <x:f>IFERROR(VLOOKUP(L1201,'Reference Data'!$A$5:$F$40,5,FALSE),0)</x:f>
        <x:v>45</x:v>
      </x:c>
      <x:c r="Q1201" s="92" t="n">
        <x:f>IFERROR(VLOOKUP(L1201,'Reference Data'!$A$5:$F$40,6,FALSE),0)</x:f>
        <x:v>19</x:v>
      </x:c>
      <x:c r="R1201" s="84" t="n">
        <x:f>'Raw Sales'!J1201</x:f>
        <x:v>5</x:v>
      </x:c>
      <x:c r="S1201" s="87" t="n">
        <x:f>'Raw Sales'!K1201</x:f>
        <x:v>0</x:v>
      </x:c>
      <x:c r="T1201" s="93" t="n">
        <x:f>P1201*R1201</x:f>
        <x:v>225</x:v>
      </x:c>
      <x:c r="U1201" s="93" t="n">
        <x:f>T1201*S1201</x:f>
        <x:v>0</x:v>
      </x:c>
      <x:c r="V1201" s="93" t="str">
        <x:f>PROPER(TRIM('Raw Sales'!L1201))</x:f>
        <x:v>Completed</x:v>
      </x:c>
      <x:c r="W1201" s="93" t="n">
        <x:f>IF(V1201="Returned",0,T1201-U1201)</x:f>
        <x:v>225</x:v>
      </x:c>
      <x:c r="X1201" s="93" t="n">
        <x:f>IF(V1201="Returned",Q1201*R1201*10%,Q1201*R1201)</x:f>
        <x:v>95</x:v>
      </x:c>
      <x:c r="Y1201" s="93" t="n">
        <x:f>W1201-X1201</x:f>
        <x:v>130</x:v>
      </x:c>
      <x:c r="Z1201" s="94" t="n">
        <x:f>IFERROR(Y1201/W1201,0)</x:f>
        <x:v>0.5777777777777777</x:v>
      </x:c>
      <x:c r="AA1201" s="84" t="str">
        <x:f>PROPER(TRIM('Raw Sales'!M1201))</x:f>
        <x:v>Credit Card</x:v>
      </x:c>
      <x:c r="AB1201" s="84" t="str">
        <x:f>PROPER(TRIM('Raw Sales'!N1201))</x:f>
        <x:v>Ava Mitchell</x:v>
      </x:c>
      <x:c r="AC1201" s="85" t="n">
        <x:f>'Raw Sales'!O1201</x:f>
        <x:v>45686</x:v>
      </x:c>
      <x:c r="AD1201" s="84" t="n">
        <x:f>AC1201-B1201</x:f>
        <x:v>0</x:v>
      </x:c>
      <x:c r="AE1201" s="84" t="str">
        <x:f>IF(COUNTIF($A$5:A1201,A1201)&gt;1,"Duplicate","Keep")</x:f>
        <x:v>Keep</x:v>
      </x:c>
      <x:c r="AF1201" s="84" t="str">
        <x:f>IF(OR(R1201&lt;=0,AC1201&lt;B1201,H1201="Unknown",M1201="Unknown Product"),"Review","Valid")</x:f>
        <x:v>Valid</x:v>
      </x:c>
      <x:c r="AG1201" s="84" t="n">
        <x:f>IF(AND(AE1201="Keep",AF1201="Valid"),1,0)</x:f>
        <x:v>1</x:v>
      </x:c>
      <x:c r="AH1201" s="84" t="n">
        <x:f>IF(AND(AG1201=1,OR('Dashboard'!$B$4="All",I1201='Dashboard'!$B$4),OR('Dashboard'!$E$4="All",N1201='Dashboard'!$E$4),OR('Dashboard'!$H$4="All",K1201='Dashboard'!$H$4),OR('Dashboard'!$K$4="All",C1201='Dashboard'!$K$4)),1,0)</x:f>
        <x:v>1</x:v>
      </x:c>
      <x:c r="AI1201" s="84" t="n">
        <x:f>IF(AND(AG1201=1,OR('Dashboard'!$B$4="All",I1201='Dashboard'!$B$4),OR('Dashboard'!$E$4="All",N1201='Dashboard'!$E$4),OR('Dashboard'!$H$4="All",K1201='Dashboard'!$H$4)),1,0)</x:f>
        <x:v>1</x:v>
      </x:c>
    </x:row>
    <x:row r="1202">
      <x:c r="A1202" s="84" t="str">
        <x:f>'Raw Sales'!A1202</x:f>
        <x:v>ORD-2025-01336</x:v>
      </x:c>
      <x:c r="B1202" s="85" t="n">
        <x:f>'Raw Sales'!B1202</x:f>
        <x:v>45686</x:v>
      </x:c>
      <x:c r="C1202" s="84" t="n">
        <x:f>YEAR(B1202)</x:f>
        <x:v>2025</x:v>
      </x:c>
      <x:c r="D1202" s="91" t="n">
        <x:f>DATE(YEAR(B1202),MONTH(B1202),1)</x:f>
        <x:v>45658</x:v>
      </x:c>
      <x:c r="E1202" s="84" t="str">
        <x:f>TEXT(B1202,"mmm")</x:f>
        <x:v>Jan</x:v>
      </x:c>
      <x:c r="F1202" s="84" t="str">
        <x:f>'Raw Sales'!C1202</x:f>
        <x:v>CUST-0161</x:v>
      </x:c>
      <x:c r="G1202" s="84" t="str">
        <x:f>PROPER(TRIM('Raw Sales'!D1202))</x:f>
        <x:v>Sara Patel</x:v>
      </x:c>
      <x:c r="H1202" s="84" t="str">
        <x:f>IF(TRIM('Raw Sales'!E1202)="","Unknown",PROPER(TRIM('Raw Sales'!E1202)))</x:f>
        <x:v>Consumer</x:v>
      </x:c>
      <x:c r="I1202" s="84" t="str">
        <x:f>PROPER(TRIM('Raw Sales'!F1202))</x:f>
        <x:v>Southeast</x:v>
      </x:c>
      <x:c r="J1202" s="84" t="str">
        <x:f>PROPER(TRIM('Raw Sales'!G1202))</x:f>
        <x:v>Atlanta</x:v>
      </x:c>
      <x:c r="K1202" s="84" t="str">
        <x:f>PROPER(TRIM('Raw Sales'!H1202))</x:f>
        <x:v>Online</x:v>
      </x:c>
      <x:c r="L1202" s="84" t="str">
        <x:f>'Raw Sales'!I1202</x:f>
        <x:v>CARE-006</x:v>
      </x:c>
      <x:c r="M1202" s="84" t="str">
        <x:f>IFERROR(VLOOKUP(L1202,'Reference Data'!$A$5:$F$40,2,FALSE),"Unknown Product")</x:f>
        <x:v>Percussion Massage Gun</x:v>
      </x:c>
      <x:c r="N1202" s="84" t="str">
        <x:f>IFERROR(VLOOKUP(L1202,'Reference Data'!$A$5:$F$40,3,FALSE),"Unknown")</x:f>
        <x:v>Personal Care</x:v>
      </x:c>
      <x:c r="O1202" s="84" t="str">
        <x:f>IFERROR(VLOOKUP(L1202,'Reference Data'!$A$5:$F$40,4,FALSE),"Unknown")</x:f>
        <x:v>Wellness</x:v>
      </x:c>
      <x:c r="P1202" s="92" t="n">
        <x:f>IFERROR(VLOOKUP(L1202,'Reference Data'!$A$5:$F$40,5,FALSE),0)</x:f>
        <x:v>129</x:v>
      </x:c>
      <x:c r="Q1202" s="92" t="n">
        <x:f>IFERROR(VLOOKUP(L1202,'Reference Data'!$A$5:$F$40,6,FALSE),0)</x:f>
        <x:v>70</x:v>
      </x:c>
      <x:c r="R1202" s="84" t="n">
        <x:f>'Raw Sales'!J1202</x:f>
        <x:v>2</x:v>
      </x:c>
      <x:c r="S1202" s="87" t="n">
        <x:f>'Raw Sales'!K1202</x:f>
        <x:v>0.1</x:v>
      </x:c>
      <x:c r="T1202" s="93" t="n">
        <x:f>P1202*R1202</x:f>
        <x:v>258</x:v>
      </x:c>
      <x:c r="U1202" s="93" t="n">
        <x:f>T1202*S1202</x:f>
        <x:v>25.8</x:v>
      </x:c>
      <x:c r="V1202" s="93" t="str">
        <x:f>PROPER(TRIM('Raw Sales'!L1202))</x:f>
        <x:v>Completed</x:v>
      </x:c>
      <x:c r="W1202" s="93" t="n">
        <x:f>IF(V1202="Returned",0,T1202-U1202)</x:f>
        <x:v>232.2</x:v>
      </x:c>
      <x:c r="X1202" s="93" t="n">
        <x:f>IF(V1202="Returned",Q1202*R1202*10%,Q1202*R1202)</x:f>
        <x:v>140</x:v>
      </x:c>
      <x:c r="Y1202" s="93" t="n">
        <x:f>W1202-X1202</x:f>
        <x:v>92.19999999999999</x:v>
      </x:c>
      <x:c r="Z1202" s="94" t="n">
        <x:f>IFERROR(Y1202/W1202,0)</x:f>
        <x:v>0.3970714900947459</x:v>
      </x:c>
      <x:c r="AA1202" s="84" t="str">
        <x:f>PROPER(TRIM('Raw Sales'!M1202))</x:f>
        <x:v>Credit Card</x:v>
      </x:c>
      <x:c r="AB1202" s="84" t="str">
        <x:f>PROPER(TRIM('Raw Sales'!N1202))</x:f>
        <x:v>Ava Mitchell</x:v>
      </x:c>
      <x:c r="AC1202" s="85" t="n">
        <x:f>'Raw Sales'!O1202</x:f>
        <x:v>45692</x:v>
      </x:c>
      <x:c r="AD1202" s="84" t="n">
        <x:f>AC1202-B1202</x:f>
        <x:v>6</x:v>
      </x:c>
      <x:c r="AE1202" s="84" t="str">
        <x:f>IF(COUNTIF($A$5:A1202,A1202)&gt;1,"Duplicate","Keep")</x:f>
        <x:v>Keep</x:v>
      </x:c>
      <x:c r="AF1202" s="84" t="str">
        <x:f>IF(OR(R1202&lt;=0,AC1202&lt;B1202,H1202="Unknown",M1202="Unknown Product"),"Review","Valid")</x:f>
        <x:v>Valid</x:v>
      </x:c>
      <x:c r="AG1202" s="84" t="n">
        <x:f>IF(AND(AE1202="Keep",AF1202="Valid"),1,0)</x:f>
        <x:v>1</x:v>
      </x:c>
      <x:c r="AH1202" s="84" t="n">
        <x:f>IF(AND(AG1202=1,OR('Dashboard'!$B$4="All",I1202='Dashboard'!$B$4),OR('Dashboard'!$E$4="All",N1202='Dashboard'!$E$4),OR('Dashboard'!$H$4="All",K1202='Dashboard'!$H$4),OR('Dashboard'!$K$4="All",C1202='Dashboard'!$K$4)),1,0)</x:f>
        <x:v>1</x:v>
      </x:c>
      <x:c r="AI1202" s="84" t="n">
        <x:f>IF(AND(AG1202=1,OR('Dashboard'!$B$4="All",I1202='Dashboard'!$B$4),OR('Dashboard'!$E$4="All",N1202='Dashboard'!$E$4),OR('Dashboard'!$H$4="All",K1202='Dashboard'!$H$4)),1,0)</x:f>
        <x:v>1</x:v>
      </x:c>
    </x:row>
    <x:row r="1203">
      <x:c r="A1203" s="84" t="str">
        <x:f>'Raw Sales'!A1203</x:f>
        <x:v>ORD-2025-01621</x:v>
      </x:c>
      <x:c r="B1203" s="85" t="n">
        <x:f>'Raw Sales'!B1203</x:f>
        <x:v>45686</x:v>
      </x:c>
      <x:c r="C1203" s="84" t="n">
        <x:f>YEAR(B1203)</x:f>
        <x:v>2025</x:v>
      </x:c>
      <x:c r="D1203" s="91" t="n">
        <x:f>DATE(YEAR(B1203),MONTH(B1203),1)</x:f>
        <x:v>45658</x:v>
      </x:c>
      <x:c r="E1203" s="84" t="str">
        <x:f>TEXT(B1203,"mmm")</x:f>
        <x:v>Jan</x:v>
      </x:c>
      <x:c r="F1203" s="84" t="str">
        <x:f>'Raw Sales'!C1203</x:f>
        <x:v>CUST-0452</x:v>
      </x:c>
      <x:c r="G1203" s="84" t="str">
        <x:f>PROPER(TRIM('Raw Sales'!D1203))</x:f>
        <x:v>Aiden Moore</x:v>
      </x:c>
      <x:c r="H1203" s="84" t="str">
        <x:f>IF(TRIM('Raw Sales'!E1203)="","Unknown",PROPER(TRIM('Raw Sales'!E1203)))</x:f>
        <x:v>Corporate</x:v>
      </x:c>
      <x:c r="I1203" s="84" t="str">
        <x:f>PROPER(TRIM('Raw Sales'!F1203))</x:f>
        <x:v>Northeast</x:v>
      </x:c>
      <x:c r="J1203" s="84" t="str">
        <x:f>PROPER(TRIM('Raw Sales'!G1203))</x:f>
        <x:v>Philadelphia</x:v>
      </x:c>
      <x:c r="K1203" s="84" t="str">
        <x:f>PROPER(TRIM('Raw Sales'!H1203))</x:f>
        <x:v>Retail Store</x:v>
      </x:c>
      <x:c r="L1203" s="84" t="str">
        <x:f>'Raw Sales'!I1203</x:f>
        <x:v>ACCS-001</x:v>
      </x:c>
      <x:c r="M1203" s="84" t="str">
        <x:f>IFERROR(VLOOKUP(L1203,'Reference Data'!$A$5:$F$40,2,FALSE),"Unknown Product")</x:f>
        <x:v>Canvas Tote Bag</x:v>
      </x:c>
      <x:c r="N1203" s="84" t="str">
        <x:f>IFERROR(VLOOKUP(L1203,'Reference Data'!$A$5:$F$40,3,FALSE),"Unknown")</x:f>
        <x:v>Accessories</x:v>
      </x:c>
      <x:c r="O1203" s="84" t="str">
        <x:f>IFERROR(VLOOKUP(L1203,'Reference Data'!$A$5:$F$40,4,FALSE),"Unknown")</x:f>
        <x:v>Bags</x:v>
      </x:c>
      <x:c r="P1203" s="92" t="n">
        <x:f>IFERROR(VLOOKUP(L1203,'Reference Data'!$A$5:$F$40,5,FALSE),0)</x:f>
        <x:v>39</x:v>
      </x:c>
      <x:c r="Q1203" s="92" t="n">
        <x:f>IFERROR(VLOOKUP(L1203,'Reference Data'!$A$5:$F$40,6,FALSE),0)</x:f>
        <x:v>14</x:v>
      </x:c>
      <x:c r="R1203" s="84" t="n">
        <x:f>'Raw Sales'!J1203</x:f>
        <x:v>4</x:v>
      </x:c>
      <x:c r="S1203" s="87" t="n">
        <x:f>'Raw Sales'!K1203</x:f>
        <x:v>0.1</x:v>
      </x:c>
      <x:c r="T1203" s="93" t="n">
        <x:f>P1203*R1203</x:f>
        <x:v>156</x:v>
      </x:c>
      <x:c r="U1203" s="93" t="n">
        <x:f>T1203*S1203</x:f>
        <x:v>15.600000000000001</x:v>
      </x:c>
      <x:c r="V1203" s="93" t="str">
        <x:f>PROPER(TRIM('Raw Sales'!L1203))</x:f>
        <x:v>Completed</x:v>
      </x:c>
      <x:c r="W1203" s="93" t="n">
        <x:f>IF(V1203="Returned",0,T1203-U1203)</x:f>
        <x:v>140.4</x:v>
      </x:c>
      <x:c r="X1203" s="93" t="n">
        <x:f>IF(V1203="Returned",Q1203*R1203*10%,Q1203*R1203)</x:f>
        <x:v>56</x:v>
      </x:c>
      <x:c r="Y1203" s="93" t="n">
        <x:f>W1203-X1203</x:f>
        <x:v>84.4</x:v>
      </x:c>
      <x:c r="Z1203" s="94" t="n">
        <x:f>IFERROR(Y1203/W1203,0)</x:f>
        <x:v>0.6011396011396012</x:v>
      </x:c>
      <x:c r="AA1203" s="84" t="str">
        <x:f>PROPER(TRIM('Raw Sales'!M1203))</x:f>
        <x:v>Cash</x:v>
      </x:c>
      <x:c r="AB1203" s="84" t="str">
        <x:f>PROPER(TRIM('Raw Sales'!N1203))</x:f>
        <x:v>Maya Brooks</x:v>
      </x:c>
      <x:c r="AC1203" s="85" t="n">
        <x:f>'Raw Sales'!O1203</x:f>
        <x:v>45687</x:v>
      </x:c>
      <x:c r="AD1203" s="84" t="n">
        <x:f>AC1203-B1203</x:f>
        <x:v>1</x:v>
      </x:c>
      <x:c r="AE1203" s="84" t="str">
        <x:f>IF(COUNTIF($A$5:A1203,A1203)&gt;1,"Duplicate","Keep")</x:f>
        <x:v>Keep</x:v>
      </x:c>
      <x:c r="AF1203" s="84" t="str">
        <x:f>IF(OR(R1203&lt;=0,AC1203&lt;B1203,H1203="Unknown",M1203="Unknown Product"),"Review","Valid")</x:f>
        <x:v>Valid</x:v>
      </x:c>
      <x:c r="AG1203" s="84" t="n">
        <x:f>IF(AND(AE1203="Keep",AF1203="Valid"),1,0)</x:f>
        <x:v>1</x:v>
      </x:c>
      <x:c r="AH1203" s="84" t="n">
        <x:f>IF(AND(AG1203=1,OR('Dashboard'!$B$4="All",I1203='Dashboard'!$B$4),OR('Dashboard'!$E$4="All",N1203='Dashboard'!$E$4),OR('Dashboard'!$H$4="All",K1203='Dashboard'!$H$4),OR('Dashboard'!$K$4="All",C1203='Dashboard'!$K$4)),1,0)</x:f>
        <x:v>1</x:v>
      </x:c>
      <x:c r="AI1203" s="84" t="n">
        <x:f>IF(AND(AG1203=1,OR('Dashboard'!$B$4="All",I1203='Dashboard'!$B$4),OR('Dashboard'!$E$4="All",N1203='Dashboard'!$E$4),OR('Dashboard'!$H$4="All",K1203='Dashboard'!$H$4)),1,0)</x:f>
        <x:v>1</x:v>
      </x:c>
    </x:row>
    <x:row r="1204">
      <x:c r="A1204" s="84" t="str">
        <x:f>'Raw Sales'!A1204</x:f>
        <x:v>ORD-2025-01973</x:v>
      </x:c>
      <x:c r="B1204" s="85" t="n">
        <x:f>'Raw Sales'!B1204</x:f>
        <x:v>45686</x:v>
      </x:c>
      <x:c r="C1204" s="84" t="n">
        <x:f>YEAR(B1204)</x:f>
        <x:v>2025</x:v>
      </x:c>
      <x:c r="D1204" s="91" t="n">
        <x:f>DATE(YEAR(B1204),MONTH(B1204),1)</x:f>
        <x:v>45658</x:v>
      </x:c>
      <x:c r="E1204" s="84" t="str">
        <x:f>TEXT(B1204,"mmm")</x:f>
        <x:v>Jan</x:v>
      </x:c>
      <x:c r="F1204" s="84" t="str">
        <x:f>'Raw Sales'!C1204</x:f>
        <x:v>CUST-0396</x:v>
      </x:c>
      <x:c r="G1204" s="84" t="str">
        <x:f>PROPER(TRIM('Raw Sales'!D1204))</x:f>
        <x:v>Victoria Carter</x:v>
      </x:c>
      <x:c r="H1204" s="84" t="str">
        <x:f>IF(TRIM('Raw Sales'!E1204)="","Unknown",PROPER(TRIM('Raw Sales'!E1204)))</x:f>
        <x:v>Consumer</x:v>
      </x:c>
      <x:c r="I1204" s="84" t="str">
        <x:f>PROPER(TRIM('Raw Sales'!F1204))</x:f>
        <x:v>Southeast</x:v>
      </x:c>
      <x:c r="J1204" s="84" t="str">
        <x:f>PROPER(TRIM('Raw Sales'!G1204))</x:f>
        <x:v>Nashville</x:v>
      </x:c>
      <x:c r="K1204" s="84" t="str">
        <x:f>PROPER(TRIM('Raw Sales'!H1204))</x:f>
        <x:v>Retail Store</x:v>
      </x:c>
      <x:c r="L1204" s="84" t="str">
        <x:f>'Raw Sales'!I1204</x:f>
        <x:v>ELEC-006</x:v>
      </x:c>
      <x:c r="M1204" s="84" t="str">
        <x:f>IFERROR(VLOOKUP(L1204,'Reference Data'!$A$5:$F$40,2,FALSE),"Unknown Product")</x:f>
        <x:v>Portable SSD</x:v>
      </x:c>
      <x:c r="N1204" s="84" t="str">
        <x:f>IFERROR(VLOOKUP(L1204,'Reference Data'!$A$5:$F$40,3,FALSE),"Unknown")</x:f>
        <x:v>Electronics</x:v>
      </x:c>
      <x:c r="O1204" s="84" t="str">
        <x:f>IFERROR(VLOOKUP(L1204,'Reference Data'!$A$5:$F$40,4,FALSE),"Unknown")</x:f>
        <x:v>Storage</x:v>
      </x:c>
      <x:c r="P1204" s="92" t="n">
        <x:f>IFERROR(VLOOKUP(L1204,'Reference Data'!$A$5:$F$40,5,FALSE),0)</x:f>
        <x:v>129</x:v>
      </x:c>
      <x:c r="Q1204" s="92" t="n">
        <x:f>IFERROR(VLOOKUP(L1204,'Reference Data'!$A$5:$F$40,6,FALSE),0)</x:f>
        <x:v>75</x:v>
      </x:c>
      <x:c r="R1204" s="84" t="n">
        <x:f>'Raw Sales'!J1204</x:f>
        <x:v>1</x:v>
      </x:c>
      <x:c r="S1204" s="87" t="n">
        <x:f>'Raw Sales'!K1204</x:f>
        <x:v>0.1</x:v>
      </x:c>
      <x:c r="T1204" s="93" t="n">
        <x:f>P1204*R1204</x:f>
        <x:v>129</x:v>
      </x:c>
      <x:c r="U1204" s="93" t="n">
        <x:f>T1204*S1204</x:f>
        <x:v>12.9</x:v>
      </x:c>
      <x:c r="V1204" s="93" t="str">
        <x:f>PROPER(TRIM('Raw Sales'!L1204))</x:f>
        <x:v>Completed</x:v>
      </x:c>
      <x:c r="W1204" s="93" t="n">
        <x:f>IF(V1204="Returned",0,T1204-U1204)</x:f>
        <x:v>116.1</x:v>
      </x:c>
      <x:c r="X1204" s="93" t="n">
        <x:f>IF(V1204="Returned",Q1204*R1204*10%,Q1204*R1204)</x:f>
        <x:v>75</x:v>
      </x:c>
      <x:c r="Y1204" s="93" t="n">
        <x:f>W1204-X1204</x:f>
        <x:v>41.099999999999994</x:v>
      </x:c>
      <x:c r="Z1204" s="94" t="n">
        <x:f>IFERROR(Y1204/W1204,0)</x:f>
        <x:v>0.3540051679586563</x:v>
      </x:c>
      <x:c r="AA1204" s="84" t="str">
        <x:f>PROPER(TRIM('Raw Sales'!M1204))</x:f>
        <x:v>Mobile Wallet</x:v>
      </x:c>
      <x:c r="AB1204" s="84" t="str">
        <x:f>PROPER(TRIM('Raw Sales'!N1204))</x:f>
        <x:v>Ava Mitchell</x:v>
      </x:c>
      <x:c r="AC1204" s="85" t="n">
        <x:f>'Raw Sales'!O1204</x:f>
        <x:v>45686</x:v>
      </x:c>
      <x:c r="AD1204" s="84" t="n">
        <x:f>AC1204-B1204</x:f>
        <x:v>0</x:v>
      </x:c>
      <x:c r="AE1204" s="84" t="str">
        <x:f>IF(COUNTIF($A$5:A1204,A1204)&gt;1,"Duplicate","Keep")</x:f>
        <x:v>Keep</x:v>
      </x:c>
      <x:c r="AF1204" s="84" t="str">
        <x:f>IF(OR(R1204&lt;=0,AC1204&lt;B1204,H1204="Unknown",M1204="Unknown Product"),"Review","Valid")</x:f>
        <x:v>Valid</x:v>
      </x:c>
      <x:c r="AG1204" s="84" t="n">
        <x:f>IF(AND(AE1204="Keep",AF1204="Valid"),1,0)</x:f>
        <x:v>1</x:v>
      </x:c>
      <x:c r="AH1204" s="84" t="n">
        <x:f>IF(AND(AG1204=1,OR('Dashboard'!$B$4="All",I1204='Dashboard'!$B$4),OR('Dashboard'!$E$4="All",N1204='Dashboard'!$E$4),OR('Dashboard'!$H$4="All",K1204='Dashboard'!$H$4),OR('Dashboard'!$K$4="All",C1204='Dashboard'!$K$4)),1,0)</x:f>
        <x:v>1</x:v>
      </x:c>
      <x:c r="AI1204" s="84" t="n">
        <x:f>IF(AND(AG1204=1,OR('Dashboard'!$B$4="All",I1204='Dashboard'!$B$4),OR('Dashboard'!$E$4="All",N1204='Dashboard'!$E$4),OR('Dashboard'!$H$4="All",K1204='Dashboard'!$H$4)),1,0)</x:f>
        <x:v>1</x:v>
      </x:c>
    </x:row>
    <x:row r="1205">
      <x:c r="A1205" s="84" t="str">
        <x:f>'Raw Sales'!A1205</x:f>
        <x:v>ORD-2025-02273</x:v>
      </x:c>
      <x:c r="B1205" s="85" t="n">
        <x:f>'Raw Sales'!B1205</x:f>
        <x:v>45686</x:v>
      </x:c>
      <x:c r="C1205" s="84" t="n">
        <x:f>YEAR(B1205)</x:f>
        <x:v>2025</x:v>
      </x:c>
      <x:c r="D1205" s="91" t="n">
        <x:f>DATE(YEAR(B1205),MONTH(B1205),1)</x:f>
        <x:v>45658</x:v>
      </x:c>
      <x:c r="E1205" s="84" t="str">
        <x:f>TEXT(B1205,"mmm")</x:f>
        <x:v>Jan</x:v>
      </x:c>
      <x:c r="F1205" s="84" t="str">
        <x:f>'Raw Sales'!C1205</x:f>
        <x:v>CUST-0300</x:v>
      </x:c>
      <x:c r="G1205" s="84" t="str">
        <x:f>PROPER(TRIM('Raw Sales'!D1205))</x:f>
        <x:v>Owen Baker</x:v>
      </x:c>
      <x:c r="H1205" s="84" t="str">
        <x:f>IF(TRIM('Raw Sales'!E1205)="","Unknown",PROPER(TRIM('Raw Sales'!E1205)))</x:f>
        <x:v>Corporate</x:v>
      </x:c>
      <x:c r="I1205" s="84" t="str">
        <x:f>PROPER(TRIM('Raw Sales'!F1205))</x:f>
        <x:v>Northeast</x:v>
      </x:c>
      <x:c r="J1205" s="84" t="str">
        <x:f>PROPER(TRIM('Raw Sales'!G1205))</x:f>
        <x:v>Boston</x:v>
      </x:c>
      <x:c r="K1205" s="84" t="str">
        <x:f>PROPER(TRIM('Raw Sales'!H1205))</x:f>
        <x:v>Online</x:v>
      </x:c>
      <x:c r="L1205" s="84" t="str">
        <x:f>'Raw Sales'!I1205</x:f>
        <x:v>HOME-005</x:v>
      </x:c>
      <x:c r="M1205" s="84" t="str">
        <x:f>IFERROR(VLOOKUP(L1205,'Reference Data'!$A$5:$F$40,2,FALSE),"Unknown Product")</x:f>
        <x:v>Cordless Vacuum</x:v>
      </x:c>
      <x:c r="N1205" s="84" t="str">
        <x:f>IFERROR(VLOOKUP(L1205,'Reference Data'!$A$5:$F$40,3,FALSE),"Unknown")</x:f>
        <x:v>Home &amp; Kitchen</x:v>
      </x:c>
      <x:c r="O1205" s="84" t="str">
        <x:f>IFERROR(VLOOKUP(L1205,'Reference Data'!$A$5:$F$40,4,FALSE),"Unknown")</x:f>
        <x:v>Cleaning</x:v>
      </x:c>
      <x:c r="P1205" s="92" t="n">
        <x:f>IFERROR(VLOOKUP(L1205,'Reference Data'!$A$5:$F$40,5,FALSE),0)</x:f>
        <x:v>179</x:v>
      </x:c>
      <x:c r="Q1205" s="92" t="n">
        <x:f>IFERROR(VLOOKUP(L1205,'Reference Data'!$A$5:$F$40,6,FALSE),0)</x:f>
        <x:v>102</x:v>
      </x:c>
      <x:c r="R1205" s="84" t="n">
        <x:f>'Raw Sales'!J1205</x:f>
        <x:v>2</x:v>
      </x:c>
      <x:c r="S1205" s="87" t="n">
        <x:f>'Raw Sales'!K1205</x:f>
        <x:v>0.2</x:v>
      </x:c>
      <x:c r="T1205" s="93" t="n">
        <x:f>P1205*R1205</x:f>
        <x:v>358</x:v>
      </x:c>
      <x:c r="U1205" s="93" t="n">
        <x:f>T1205*S1205</x:f>
        <x:v>71.60000000000001</x:v>
      </x:c>
      <x:c r="V1205" s="93" t="str">
        <x:f>PROPER(TRIM('Raw Sales'!L1205))</x:f>
        <x:v>Completed</x:v>
      </x:c>
      <x:c r="W1205" s="93" t="n">
        <x:f>IF(V1205="Returned",0,T1205-U1205)</x:f>
        <x:v>286.4</x:v>
      </x:c>
      <x:c r="X1205" s="93" t="n">
        <x:f>IF(V1205="Returned",Q1205*R1205*10%,Q1205*R1205)</x:f>
        <x:v>204</x:v>
      </x:c>
      <x:c r="Y1205" s="93" t="n">
        <x:f>W1205-X1205</x:f>
        <x:v>82.39999999999998</x:v>
      </x:c>
      <x:c r="Z1205" s="94" t="n">
        <x:f>IFERROR(Y1205/W1205,0)</x:f>
        <x:v>0.28770949720670386</x:v>
      </x:c>
      <x:c r="AA1205" s="84" t="str">
        <x:f>PROPER(TRIM('Raw Sales'!M1205))</x:f>
        <x:v>Paypal</x:v>
      </x:c>
      <x:c r="AB1205" s="84" t="str">
        <x:f>PROPER(TRIM('Raw Sales'!N1205))</x:f>
        <x:v>Maya Brooks</x:v>
      </x:c>
      <x:c r="AC1205" s="85" t="n">
        <x:f>'Raw Sales'!O1205</x:f>
        <x:v>45689</x:v>
      </x:c>
      <x:c r="AD1205" s="84" t="n">
        <x:f>AC1205-B1205</x:f>
        <x:v>3</x:v>
      </x:c>
      <x:c r="AE1205" s="84" t="str">
        <x:f>IF(COUNTIF($A$5:A1205,A1205)&gt;1,"Duplicate","Keep")</x:f>
        <x:v>Keep</x:v>
      </x:c>
      <x:c r="AF1205" s="84" t="str">
        <x:f>IF(OR(R1205&lt;=0,AC1205&lt;B1205,H1205="Unknown",M1205="Unknown Product"),"Review","Valid")</x:f>
        <x:v>Valid</x:v>
      </x:c>
      <x:c r="AG1205" s="84" t="n">
        <x:f>IF(AND(AE1205="Keep",AF1205="Valid"),1,0)</x:f>
        <x:v>1</x:v>
      </x:c>
      <x:c r="AH1205" s="84" t="n">
        <x:f>IF(AND(AG1205=1,OR('Dashboard'!$B$4="All",I1205='Dashboard'!$B$4),OR('Dashboard'!$E$4="All",N1205='Dashboard'!$E$4),OR('Dashboard'!$H$4="All",K1205='Dashboard'!$H$4),OR('Dashboard'!$K$4="All",C1205='Dashboard'!$K$4)),1,0)</x:f>
        <x:v>1</x:v>
      </x:c>
      <x:c r="AI1205" s="84" t="n">
        <x:f>IF(AND(AG1205=1,OR('Dashboard'!$B$4="All",I1205='Dashboard'!$B$4),OR('Dashboard'!$E$4="All",N1205='Dashboard'!$E$4),OR('Dashboard'!$H$4="All",K1205='Dashboard'!$H$4)),1,0)</x:f>
        <x:v>1</x:v>
      </x:c>
    </x:row>
    <x:row r="1206">
      <x:c r="A1206" s="84" t="str">
        <x:f>'Raw Sales'!A1206</x:f>
        <x:v>ORD-2025-00387</x:v>
      </x:c>
      <x:c r="B1206" s="85" t="n">
        <x:f>'Raw Sales'!B1206</x:f>
        <x:v>45687</x:v>
      </x:c>
      <x:c r="C1206" s="84" t="n">
        <x:f>YEAR(B1206)</x:f>
        <x:v>2025</x:v>
      </x:c>
      <x:c r="D1206" s="91" t="n">
        <x:f>DATE(YEAR(B1206),MONTH(B1206),1)</x:f>
        <x:v>45658</x:v>
      </x:c>
      <x:c r="E1206" s="84" t="str">
        <x:f>TEXT(B1206,"mmm")</x:f>
        <x:v>Jan</x:v>
      </x:c>
      <x:c r="F1206" s="84" t="str">
        <x:f>'Raw Sales'!C1206</x:f>
        <x:v>CUST-0358</x:v>
      </x:c>
      <x:c r="G1206" s="84" t="str">
        <x:f>PROPER(TRIM('Raw Sales'!D1206))</x:f>
        <x:v>Grace Roberts</x:v>
      </x:c>
      <x:c r="H1206" s="84" t="str">
        <x:f>IF(TRIM('Raw Sales'!E1206)="","Unknown",PROPER(TRIM('Raw Sales'!E1206)))</x:f>
        <x:v>Consumer</x:v>
      </x:c>
      <x:c r="I1206" s="84" t="str">
        <x:f>PROPER(TRIM('Raw Sales'!F1206))</x:f>
        <x:v>West</x:v>
      </x:c>
      <x:c r="J1206" s="84" t="str">
        <x:f>PROPER(TRIM('Raw Sales'!G1206))</x:f>
        <x:v>Seattle</x:v>
      </x:c>
      <x:c r="K1206" s="84" t="str">
        <x:f>PROPER(TRIM('Raw Sales'!H1206))</x:f>
        <x:v>Marketplace</x:v>
      </x:c>
      <x:c r="L1206" s="84" t="str">
        <x:f>'Raw Sales'!I1206</x:f>
        <x:v>ELEC-006</x:v>
      </x:c>
      <x:c r="M1206" s="84" t="str">
        <x:f>IFERROR(VLOOKUP(L1206,'Reference Data'!$A$5:$F$40,2,FALSE),"Unknown Product")</x:f>
        <x:v>Portable SSD</x:v>
      </x:c>
      <x:c r="N1206" s="84" t="str">
        <x:f>IFERROR(VLOOKUP(L1206,'Reference Data'!$A$5:$F$40,3,FALSE),"Unknown")</x:f>
        <x:v>Electronics</x:v>
      </x:c>
      <x:c r="O1206" s="84" t="str">
        <x:f>IFERROR(VLOOKUP(L1206,'Reference Data'!$A$5:$F$40,4,FALSE),"Unknown")</x:f>
        <x:v>Storage</x:v>
      </x:c>
      <x:c r="P1206" s="92" t="n">
        <x:f>IFERROR(VLOOKUP(L1206,'Reference Data'!$A$5:$F$40,5,FALSE),0)</x:f>
        <x:v>129</x:v>
      </x:c>
      <x:c r="Q1206" s="92" t="n">
        <x:f>IFERROR(VLOOKUP(L1206,'Reference Data'!$A$5:$F$40,6,FALSE),0)</x:f>
        <x:v>75</x:v>
      </x:c>
      <x:c r="R1206" s="84" t="n">
        <x:f>'Raw Sales'!J1206</x:f>
        <x:v>1</x:v>
      </x:c>
      <x:c r="S1206" s="87" t="n">
        <x:f>'Raw Sales'!K1206</x:f>
        <x:v>0.1</x:v>
      </x:c>
      <x:c r="T1206" s="93" t="n">
        <x:f>P1206*R1206</x:f>
        <x:v>129</x:v>
      </x:c>
      <x:c r="U1206" s="93" t="n">
        <x:f>T1206*S1206</x:f>
        <x:v>12.9</x:v>
      </x:c>
      <x:c r="V1206" s="93" t="str">
        <x:f>PROPER(TRIM('Raw Sales'!L1206))</x:f>
        <x:v>Returned</x:v>
      </x:c>
      <x:c r="W1206" s="93" t="n">
        <x:f>IF(V1206="Returned",0,T1206-U1206)</x:f>
        <x:v>0</x:v>
      </x:c>
      <x:c r="X1206" s="93" t="n">
        <x:f>IF(V1206="Returned",Q1206*R1206*10%,Q1206*R1206)</x:f>
        <x:v>7.5</x:v>
      </x:c>
      <x:c r="Y1206" s="93" t="n">
        <x:f>W1206-X1206</x:f>
        <x:v>-7.5</x:v>
      </x:c>
      <x:c r="Z1206" s="94" t="n">
        <x:f>IFERROR(Y1206/W1206,0)</x:f>
        <x:v>0</x:v>
      </x:c>
      <x:c r="AA1206" s="84" t="str">
        <x:f>PROPER(TRIM('Raw Sales'!M1206))</x:f>
        <x:v>Debit Card</x:v>
      </x:c>
      <x:c r="AB1206" s="84" t="str">
        <x:f>PROPER(TRIM('Raw Sales'!N1206))</x:f>
        <x:v>Leo Martinez</x:v>
      </x:c>
      <x:c r="AC1206" s="85" t="n">
        <x:f>'Raw Sales'!O1206</x:f>
        <x:v>45690</x:v>
      </x:c>
      <x:c r="AD1206" s="84" t="n">
        <x:f>AC1206-B1206</x:f>
        <x:v>3</x:v>
      </x:c>
      <x:c r="AE1206" s="84" t="str">
        <x:f>IF(COUNTIF($A$5:A1206,A1206)&gt;1,"Duplicate","Keep")</x:f>
        <x:v>Keep</x:v>
      </x:c>
      <x:c r="AF1206" s="84" t="str">
        <x:f>IF(OR(R1206&lt;=0,AC1206&lt;B1206,H1206="Unknown",M1206="Unknown Product"),"Review","Valid")</x:f>
        <x:v>Valid</x:v>
      </x:c>
      <x:c r="AG1206" s="84" t="n">
        <x:f>IF(AND(AE1206="Keep",AF1206="Valid"),1,0)</x:f>
        <x:v>1</x:v>
      </x:c>
      <x:c r="AH1206" s="84" t="n">
        <x:f>IF(AND(AG1206=1,OR('Dashboard'!$B$4="All",I1206='Dashboard'!$B$4),OR('Dashboard'!$E$4="All",N1206='Dashboard'!$E$4),OR('Dashboard'!$H$4="All",K1206='Dashboard'!$H$4),OR('Dashboard'!$K$4="All",C1206='Dashboard'!$K$4)),1,0)</x:f>
        <x:v>1</x:v>
      </x:c>
      <x:c r="AI1206" s="84" t="n">
        <x:f>IF(AND(AG1206=1,OR('Dashboard'!$B$4="All",I1206='Dashboard'!$B$4),OR('Dashboard'!$E$4="All",N1206='Dashboard'!$E$4),OR('Dashboard'!$H$4="All",K1206='Dashboard'!$H$4)),1,0)</x:f>
        <x:v>1</x:v>
      </x:c>
    </x:row>
    <x:row r="1207">
      <x:c r="A1207" s="84" t="str">
        <x:f>'Raw Sales'!A1207</x:f>
        <x:v>ORD-2025-01194</x:v>
      </x:c>
      <x:c r="B1207" s="85" t="n">
        <x:f>'Raw Sales'!B1207</x:f>
        <x:v>45687</x:v>
      </x:c>
      <x:c r="C1207" s="84" t="n">
        <x:f>YEAR(B1207)</x:f>
        <x:v>2025</x:v>
      </x:c>
      <x:c r="D1207" s="91" t="n">
        <x:f>DATE(YEAR(B1207),MONTH(B1207),1)</x:f>
        <x:v>45658</x:v>
      </x:c>
      <x:c r="E1207" s="84" t="str">
        <x:f>TEXT(B1207,"mmm")</x:f>
        <x:v>Jan</x:v>
      </x:c>
      <x:c r="F1207" s="84" t="str">
        <x:f>'Raw Sales'!C1207</x:f>
        <x:v>CUST-0476</x:v>
      </x:c>
      <x:c r="G1207" s="84" t="str">
        <x:f>PROPER(TRIM('Raw Sales'!D1207))</x:f>
        <x:v>Victoria Irwin</x:v>
      </x:c>
      <x:c r="H1207" s="84" t="str">
        <x:f>IF(TRIM('Raw Sales'!E1207)="","Unknown",PROPER(TRIM('Raw Sales'!E1207)))</x:f>
        <x:v>Small Business</x:v>
      </x:c>
      <x:c r="I1207" s="84" t="str">
        <x:f>PROPER(TRIM('Raw Sales'!F1207))</x:f>
        <x:v>Southeast</x:v>
      </x:c>
      <x:c r="J1207" s="84" t="str">
        <x:f>PROPER(TRIM('Raw Sales'!G1207))</x:f>
        <x:v>Charlotte</x:v>
      </x:c>
      <x:c r="K1207" s="84" t="str">
        <x:f>PROPER(TRIM('Raw Sales'!H1207))</x:f>
        <x:v>Marketplace</x:v>
      </x:c>
      <x:c r="L1207" s="84" t="str">
        <x:f>'Raw Sales'!I1207</x:f>
        <x:v>OFFC-001</x:v>
      </x:c>
      <x:c r="M1207" s="84" t="str">
        <x:f>IFERROR(VLOOKUP(L1207,'Reference Data'!$A$5:$F$40,2,FALSE),"Unknown Product")</x:f>
        <x:v>Ergonomic Chair</x:v>
      </x:c>
      <x:c r="N1207" s="84" t="str">
        <x:f>IFERROR(VLOOKUP(L1207,'Reference Data'!$A$5:$F$40,3,FALSE),"Unknown")</x:f>
        <x:v>Office</x:v>
      </x:c>
      <x:c r="O1207" s="84" t="str">
        <x:f>IFERROR(VLOOKUP(L1207,'Reference Data'!$A$5:$F$40,4,FALSE),"Unknown")</x:f>
        <x:v>Furniture</x:v>
      </x:c>
      <x:c r="P1207" s="92" t="n">
        <x:f>IFERROR(VLOOKUP(L1207,'Reference Data'!$A$5:$F$40,5,FALSE),0)</x:f>
        <x:v>249</x:v>
      </x:c>
      <x:c r="Q1207" s="92" t="n">
        <x:f>IFERROR(VLOOKUP(L1207,'Reference Data'!$A$5:$F$40,6,FALSE),0)</x:f>
        <x:v>145</x:v>
      </x:c>
      <x:c r="R1207" s="84" t="n">
        <x:f>'Raw Sales'!J1207</x:f>
        <x:v>1</x:v>
      </x:c>
      <x:c r="S1207" s="87" t="n">
        <x:f>'Raw Sales'!K1207</x:f>
        <x:v>0.05</x:v>
      </x:c>
      <x:c r="T1207" s="93" t="n">
        <x:f>P1207*R1207</x:f>
        <x:v>249</x:v>
      </x:c>
      <x:c r="U1207" s="93" t="n">
        <x:f>T1207*S1207</x:f>
        <x:v>12.450000000000001</x:v>
      </x:c>
      <x:c r="V1207" s="93" t="str">
        <x:f>PROPER(TRIM('Raw Sales'!L1207))</x:f>
        <x:v>Completed</x:v>
      </x:c>
      <x:c r="W1207" s="93" t="n">
        <x:f>IF(V1207="Returned",0,T1207-U1207)</x:f>
        <x:v>236.55</x:v>
      </x:c>
      <x:c r="X1207" s="93" t="n">
        <x:f>IF(V1207="Returned",Q1207*R1207*10%,Q1207*R1207)</x:f>
        <x:v>145</x:v>
      </x:c>
      <x:c r="Y1207" s="93" t="n">
        <x:f>W1207-X1207</x:f>
        <x:v>91.55000000000001</x:v>
      </x:c>
      <x:c r="Z1207" s="94" t="n">
        <x:f>IFERROR(Y1207/W1207,0)</x:f>
        <x:v>0.3870217712957092</x:v>
      </x:c>
      <x:c r="AA1207" s="84" t="str">
        <x:f>PROPER(TRIM('Raw Sales'!M1207))</x:f>
        <x:v>Paypal</x:v>
      </x:c>
      <x:c r="AB1207" s="84" t="str">
        <x:f>PROPER(TRIM('Raw Sales'!N1207))</x:f>
        <x:v>Liam Parker</x:v>
      </x:c>
      <x:c r="AC1207" s="85" t="n">
        <x:f>'Raw Sales'!O1207</x:f>
        <x:v>45691</x:v>
      </x:c>
      <x:c r="AD1207" s="84" t="n">
        <x:f>AC1207-B1207</x:f>
        <x:v>4</x:v>
      </x:c>
      <x:c r="AE1207" s="84" t="str">
        <x:f>IF(COUNTIF($A$5:A1207,A1207)&gt;1,"Duplicate","Keep")</x:f>
        <x:v>Keep</x:v>
      </x:c>
      <x:c r="AF1207" s="84" t="str">
        <x:f>IF(OR(R1207&lt;=0,AC1207&lt;B1207,H1207="Unknown",M1207="Unknown Product"),"Review","Valid")</x:f>
        <x:v>Valid</x:v>
      </x:c>
      <x:c r="AG1207" s="84" t="n">
        <x:f>IF(AND(AE1207="Keep",AF1207="Valid"),1,0)</x:f>
        <x:v>1</x:v>
      </x:c>
      <x:c r="AH1207" s="84" t="n">
        <x:f>IF(AND(AG1207=1,OR('Dashboard'!$B$4="All",I1207='Dashboard'!$B$4),OR('Dashboard'!$E$4="All",N1207='Dashboard'!$E$4),OR('Dashboard'!$H$4="All",K1207='Dashboard'!$H$4),OR('Dashboard'!$K$4="All",C1207='Dashboard'!$K$4)),1,0)</x:f>
        <x:v>1</x:v>
      </x:c>
      <x:c r="AI1207" s="84" t="n">
        <x:f>IF(AND(AG1207=1,OR('Dashboard'!$B$4="All",I1207='Dashboard'!$B$4),OR('Dashboard'!$E$4="All",N1207='Dashboard'!$E$4),OR('Dashboard'!$H$4="All",K1207='Dashboard'!$H$4)),1,0)</x:f>
        <x:v>1</x:v>
      </x:c>
    </x:row>
    <x:row r="1208">
      <x:c r="A1208" s="84" t="str">
        <x:f>'Raw Sales'!A1208</x:f>
        <x:v>ORD-2025-00526</x:v>
      </x:c>
      <x:c r="B1208" s="85" t="n">
        <x:f>'Raw Sales'!B1208</x:f>
        <x:v>45688</x:v>
      </x:c>
      <x:c r="C1208" s="84" t="n">
        <x:f>YEAR(B1208)</x:f>
        <x:v>2025</x:v>
      </x:c>
      <x:c r="D1208" s="91" t="n">
        <x:f>DATE(YEAR(B1208),MONTH(B1208),1)</x:f>
        <x:v>45658</x:v>
      </x:c>
      <x:c r="E1208" s="84" t="str">
        <x:f>TEXT(B1208,"mmm")</x:f>
        <x:v>Jan</x:v>
      </x:c>
      <x:c r="F1208" s="84" t="str">
        <x:f>'Raw Sales'!C1208</x:f>
        <x:v>CUST-0422</x:v>
      </x:c>
      <x:c r="G1208" s="84" t="str">
        <x:f>PROPER(TRIM('Raw Sales'!D1208))</x:f>
        <x:v>William Adams</x:v>
      </x:c>
      <x:c r="H1208" s="84" t="str">
        <x:f>IF(TRIM('Raw Sales'!E1208)="","Unknown",PROPER(TRIM('Raw Sales'!E1208)))</x:f>
        <x:v>Consumer</x:v>
      </x:c>
      <x:c r="I1208" s="84" t="str">
        <x:f>PROPER(TRIM('Raw Sales'!F1208))</x:f>
        <x:v>Midwest</x:v>
      </x:c>
      <x:c r="J1208" s="84" t="str">
        <x:f>PROPER(TRIM('Raw Sales'!G1208))</x:f>
        <x:v>Detroit</x:v>
      </x:c>
      <x:c r="K1208" s="84" t="str">
        <x:f>PROPER(TRIM('Raw Sales'!H1208))</x:f>
        <x:v>Marketplace</x:v>
      </x:c>
      <x:c r="L1208" s="84" t="str">
        <x:f>'Raw Sales'!I1208</x:f>
        <x:v>ACCS-006</x:v>
      </x:c>
      <x:c r="M1208" s="84" t="str">
        <x:f>IFERROR(VLOOKUP(L1208,'Reference Data'!$A$5:$F$40,2,FALSE),"Unknown Product")</x:f>
        <x:v>Insulated Lunch Bag</x:v>
      </x:c>
      <x:c r="N1208" s="84" t="str">
        <x:f>IFERROR(VLOOKUP(L1208,'Reference Data'!$A$5:$F$40,3,FALSE),"Unknown")</x:f>
        <x:v>Accessories</x:v>
      </x:c>
      <x:c r="O1208" s="84" t="str">
        <x:f>IFERROR(VLOOKUP(L1208,'Reference Data'!$A$5:$F$40,4,FALSE),"Unknown")</x:f>
        <x:v>Bags</x:v>
      </x:c>
      <x:c r="P1208" s="92" t="n">
        <x:f>IFERROR(VLOOKUP(L1208,'Reference Data'!$A$5:$F$40,5,FALSE),0)</x:f>
        <x:v>29</x:v>
      </x:c>
      <x:c r="Q1208" s="92" t="n">
        <x:f>IFERROR(VLOOKUP(L1208,'Reference Data'!$A$5:$F$40,6,FALSE),0)</x:f>
        <x:v>10</x:v>
      </x:c>
      <x:c r="R1208" s="84" t="n">
        <x:f>'Raw Sales'!J1208</x:f>
        <x:v>1</x:v>
      </x:c>
      <x:c r="S1208" s="87" t="n">
        <x:f>'Raw Sales'!K1208</x:f>
        <x:v>0</x:v>
      </x:c>
      <x:c r="T1208" s="93" t="n">
        <x:f>P1208*R1208</x:f>
        <x:v>29</x:v>
      </x:c>
      <x:c r="U1208" s="93" t="n">
        <x:f>T1208*S1208</x:f>
        <x:v>0</x:v>
      </x:c>
      <x:c r="V1208" s="93" t="str">
        <x:f>PROPER(TRIM('Raw Sales'!L1208))</x:f>
        <x:v>Completed</x:v>
      </x:c>
      <x:c r="W1208" s="93" t="n">
        <x:f>IF(V1208="Returned",0,T1208-U1208)</x:f>
        <x:v>29</x:v>
      </x:c>
      <x:c r="X1208" s="93" t="n">
        <x:f>IF(V1208="Returned",Q1208*R1208*10%,Q1208*R1208)</x:f>
        <x:v>10</x:v>
      </x:c>
      <x:c r="Y1208" s="93" t="n">
        <x:f>W1208-X1208</x:f>
        <x:v>19</x:v>
      </x:c>
      <x:c r="Z1208" s="94" t="n">
        <x:f>IFERROR(Y1208/W1208,0)</x:f>
        <x:v>0.6551724137931034</x:v>
      </x:c>
      <x:c r="AA1208" s="84" t="str">
        <x:f>PROPER(TRIM('Raw Sales'!M1208))</x:f>
        <x:v>Credit Card</x:v>
      </x:c>
      <x:c r="AB1208" s="84" t="str">
        <x:f>PROPER(TRIM('Raw Sales'!N1208))</x:f>
        <x:v>Zoe Turner</x:v>
      </x:c>
      <x:c r="AC1208" s="85" t="n">
        <x:f>'Raw Sales'!O1208</x:f>
        <x:v>45694</x:v>
      </x:c>
      <x:c r="AD1208" s="84" t="n">
        <x:f>AC1208-B1208</x:f>
        <x:v>6</x:v>
      </x:c>
      <x:c r="AE1208" s="84" t="str">
        <x:f>IF(COUNTIF($A$5:A1208,A1208)&gt;1,"Duplicate","Keep")</x:f>
        <x:v>Keep</x:v>
      </x:c>
      <x:c r="AF1208" s="84" t="str">
        <x:f>IF(OR(R1208&lt;=0,AC1208&lt;B1208,H1208="Unknown",M1208="Unknown Product"),"Review","Valid")</x:f>
        <x:v>Valid</x:v>
      </x:c>
      <x:c r="AG1208" s="84" t="n">
        <x:f>IF(AND(AE1208="Keep",AF1208="Valid"),1,0)</x:f>
        <x:v>1</x:v>
      </x:c>
      <x:c r="AH1208" s="84" t="n">
        <x:f>IF(AND(AG1208=1,OR('Dashboard'!$B$4="All",I1208='Dashboard'!$B$4),OR('Dashboard'!$E$4="All",N1208='Dashboard'!$E$4),OR('Dashboard'!$H$4="All",K1208='Dashboard'!$H$4),OR('Dashboard'!$K$4="All",C1208='Dashboard'!$K$4)),1,0)</x:f>
        <x:v>1</x:v>
      </x:c>
      <x:c r="AI1208" s="84" t="n">
        <x:f>IF(AND(AG1208=1,OR('Dashboard'!$B$4="All",I1208='Dashboard'!$B$4),OR('Dashboard'!$E$4="All",N1208='Dashboard'!$E$4),OR('Dashboard'!$H$4="All",K1208='Dashboard'!$H$4)),1,0)</x:f>
        <x:v>1</x:v>
      </x:c>
    </x:row>
    <x:row r="1209">
      <x:c r="A1209" s="84" t="str">
        <x:f>'Raw Sales'!A1209</x:f>
        <x:v>ORD-2025-00546</x:v>
      </x:c>
      <x:c r="B1209" s="85" t="n">
        <x:f>'Raw Sales'!B1209</x:f>
        <x:v>45688</x:v>
      </x:c>
      <x:c r="C1209" s="84" t="n">
        <x:f>YEAR(B1209)</x:f>
        <x:v>2025</x:v>
      </x:c>
      <x:c r="D1209" s="91" t="n">
        <x:f>DATE(YEAR(B1209),MONTH(B1209),1)</x:f>
        <x:v>45658</x:v>
      </x:c>
      <x:c r="E1209" s="84" t="str">
        <x:f>TEXT(B1209,"mmm")</x:f>
        <x:v>Jan</x:v>
      </x:c>
      <x:c r="F1209" s="84" t="str">
        <x:f>'Raw Sales'!C1209</x:f>
        <x:v>CUST-0082</x:v>
      </x:c>
      <x:c r="G1209" s="84" t="str">
        <x:f>PROPER(TRIM('Raw Sales'!D1209))</x:f>
        <x:v>Isaac Patel</x:v>
      </x:c>
      <x:c r="H1209" s="84" t="str">
        <x:f>IF(TRIM('Raw Sales'!E1209)="","Unknown",PROPER(TRIM('Raw Sales'!E1209)))</x:f>
        <x:v>Small Business</x:v>
      </x:c>
      <x:c r="I1209" s="84" t="str">
        <x:f>PROPER(TRIM('Raw Sales'!F1209))</x:f>
        <x:v>West</x:v>
      </x:c>
      <x:c r="J1209" s="84" t="str">
        <x:f>PROPER(TRIM('Raw Sales'!G1209))</x:f>
        <x:v>Denver</x:v>
      </x:c>
      <x:c r="K1209" s="84" t="str">
        <x:f>PROPER(TRIM('Raw Sales'!H1209))</x:f>
        <x:v>Online</x:v>
      </x:c>
      <x:c r="L1209" s="84" t="str">
        <x:f>'Raw Sales'!I1209</x:f>
        <x:v>HOME-001</x:v>
      </x:c>
      <x:c r="M1209" s="84" t="str">
        <x:f>IFERROR(VLOOKUP(L1209,'Reference Data'!$A$5:$F$40,2,FALSE),"Unknown Product")</x:f>
        <x:v>Air Fryer</x:v>
      </x:c>
      <x:c r="N1209" s="84" t="str">
        <x:f>IFERROR(VLOOKUP(L1209,'Reference Data'!$A$5:$F$40,3,FALSE),"Unknown")</x:f>
        <x:v>Home &amp; Kitchen</x:v>
      </x:c>
      <x:c r="O1209" s="84" t="str">
        <x:f>IFERROR(VLOOKUP(L1209,'Reference Data'!$A$5:$F$40,4,FALSE),"Unknown")</x:f>
        <x:v>Small Appliances</x:v>
      </x:c>
      <x:c r="P1209" s="92" t="n">
        <x:f>IFERROR(VLOOKUP(L1209,'Reference Data'!$A$5:$F$40,5,FALSE),0)</x:f>
        <x:v>119</x:v>
      </x:c>
      <x:c r="Q1209" s="92" t="n">
        <x:f>IFERROR(VLOOKUP(L1209,'Reference Data'!$A$5:$F$40,6,FALSE),0)</x:f>
        <x:v>68</x:v>
      </x:c>
      <x:c r="R1209" s="84" t="n">
        <x:f>'Raw Sales'!J1209</x:f>
        <x:v>3</x:v>
      </x:c>
      <x:c r="S1209" s="87" t="n">
        <x:f>'Raw Sales'!K1209</x:f>
        <x:v>0.15</x:v>
      </x:c>
      <x:c r="T1209" s="93" t="n">
        <x:f>P1209*R1209</x:f>
        <x:v>357</x:v>
      </x:c>
      <x:c r="U1209" s="93" t="n">
        <x:f>T1209*S1209</x:f>
        <x:v>53.55</x:v>
      </x:c>
      <x:c r="V1209" s="93" t="str">
        <x:f>PROPER(TRIM('Raw Sales'!L1209))</x:f>
        <x:v>Completed</x:v>
      </x:c>
      <x:c r="W1209" s="93" t="n">
        <x:f>IF(V1209="Returned",0,T1209-U1209)</x:f>
        <x:v>303.45</x:v>
      </x:c>
      <x:c r="X1209" s="93" t="n">
        <x:f>IF(V1209="Returned",Q1209*R1209*10%,Q1209*R1209)</x:f>
        <x:v>204</x:v>
      </x:c>
      <x:c r="Y1209" s="93" t="n">
        <x:f>W1209-X1209</x:f>
        <x:v>99.44999999999999</x:v>
      </x:c>
      <x:c r="Z1209" s="94" t="n">
        <x:f>IFERROR(Y1209/W1209,0)</x:f>
        <x:v>0.3277310924369748</x:v>
      </x:c>
      <x:c r="AA1209" s="84" t="str">
        <x:f>PROPER(TRIM('Raw Sales'!M1209))</x:f>
        <x:v>Debit Card</x:v>
      </x:c>
      <x:c r="AB1209" s="84" t="str">
        <x:f>PROPER(TRIM('Raw Sales'!N1209))</x:f>
        <x:v>Nora Kim</x:v>
      </x:c>
      <x:c r="AC1209" s="85" t="n">
        <x:f>'Raw Sales'!O1209</x:f>
        <x:v>45693</x:v>
      </x:c>
      <x:c r="AD1209" s="84" t="n">
        <x:f>AC1209-B1209</x:f>
        <x:v>5</x:v>
      </x:c>
      <x:c r="AE1209" s="84" t="str">
        <x:f>IF(COUNTIF($A$5:A1209,A1209)&gt;1,"Duplicate","Keep")</x:f>
        <x:v>Keep</x:v>
      </x:c>
      <x:c r="AF1209" s="84" t="str">
        <x:f>IF(OR(R1209&lt;=0,AC1209&lt;B1209,H1209="Unknown",M1209="Unknown Product"),"Review","Valid")</x:f>
        <x:v>Valid</x:v>
      </x:c>
      <x:c r="AG1209" s="84" t="n">
        <x:f>IF(AND(AE1209="Keep",AF1209="Valid"),1,0)</x:f>
        <x:v>1</x:v>
      </x:c>
      <x:c r="AH1209" s="84" t="n">
        <x:f>IF(AND(AG1209=1,OR('Dashboard'!$B$4="All",I1209='Dashboard'!$B$4),OR('Dashboard'!$E$4="All",N1209='Dashboard'!$E$4),OR('Dashboard'!$H$4="All",K1209='Dashboard'!$H$4),OR('Dashboard'!$K$4="All",C1209='Dashboard'!$K$4)),1,0)</x:f>
        <x:v>1</x:v>
      </x:c>
      <x:c r="AI1209" s="84" t="n">
        <x:f>IF(AND(AG1209=1,OR('Dashboard'!$B$4="All",I1209='Dashboard'!$B$4),OR('Dashboard'!$E$4="All",N1209='Dashboard'!$E$4),OR('Dashboard'!$H$4="All",K1209='Dashboard'!$H$4)),1,0)</x:f>
        <x:v>1</x:v>
      </x:c>
    </x:row>
    <x:row r="1210">
      <x:c r="A1210" s="84" t="str">
        <x:f>'Raw Sales'!A1210</x:f>
        <x:v>ORD-2025-01811</x:v>
      </x:c>
      <x:c r="B1210" s="85" t="n">
        <x:f>'Raw Sales'!B1210</x:f>
        <x:v>45688</x:v>
      </x:c>
      <x:c r="C1210" s="84" t="n">
        <x:f>YEAR(B1210)</x:f>
        <x:v>2025</x:v>
      </x:c>
      <x:c r="D1210" s="91" t="n">
        <x:f>DATE(YEAR(B1210),MONTH(B1210),1)</x:f>
        <x:v>45658</x:v>
      </x:c>
      <x:c r="E1210" s="84" t="str">
        <x:f>TEXT(B1210,"mmm")</x:f>
        <x:v>Jan</x:v>
      </x:c>
      <x:c r="F1210" s="84" t="str">
        <x:f>'Raw Sales'!C1210</x:f>
        <x:v>CUST-0585</x:v>
      </x:c>
      <x:c r="G1210" s="84" t="str">
        <x:f>PROPER(TRIM('Raw Sales'!D1210))</x:f>
        <x:v>Isaac Patel</x:v>
      </x:c>
      <x:c r="H1210" s="84" t="str">
        <x:f>IF(TRIM('Raw Sales'!E1210)="","Unknown",PROPER(TRIM('Raw Sales'!E1210)))</x:f>
        <x:v>Consumer</x:v>
      </x:c>
      <x:c r="I1210" s="84" t="str">
        <x:f>PROPER(TRIM('Raw Sales'!F1210))</x:f>
        <x:v>Northeast</x:v>
      </x:c>
      <x:c r="J1210" s="84" t="str">
        <x:f>PROPER(TRIM('Raw Sales'!G1210))</x:f>
        <x:v>New York</x:v>
      </x:c>
      <x:c r="K1210" s="84" t="str">
        <x:f>PROPER(TRIM('Raw Sales'!H1210))</x:f>
        <x:v>Online</x:v>
      </x:c>
      <x:c r="L1210" s="84" t="str">
        <x:f>'Raw Sales'!I1210</x:f>
        <x:v>ACCS-003</x:v>
      </x:c>
      <x:c r="M1210" s="84" t="str">
        <x:f>IFERROR(VLOOKUP(L1210,'Reference Data'!$A$5:$F$40,2,FALSE),"Unknown Product")</x:f>
        <x:v>Polarized Sunglasses</x:v>
      </x:c>
      <x:c r="N1210" s="84" t="str">
        <x:f>IFERROR(VLOOKUP(L1210,'Reference Data'!$A$5:$F$40,3,FALSE),"Unknown")</x:f>
        <x:v>Accessories</x:v>
      </x:c>
      <x:c r="O1210" s="84" t="str">
        <x:f>IFERROR(VLOOKUP(L1210,'Reference Data'!$A$5:$F$40,4,FALSE),"Unknown")</x:f>
        <x:v>Eyewear</x:v>
      </x:c>
      <x:c r="P1210" s="92" t="n">
        <x:f>IFERROR(VLOOKUP(L1210,'Reference Data'!$A$5:$F$40,5,FALSE),0)</x:f>
        <x:v>59</x:v>
      </x:c>
      <x:c r="Q1210" s="92" t="n">
        <x:f>IFERROR(VLOOKUP(L1210,'Reference Data'!$A$5:$F$40,6,FALSE),0)</x:f>
        <x:v>17</x:v>
      </x:c>
      <x:c r="R1210" s="84" t="n">
        <x:f>'Raw Sales'!J1210</x:f>
        <x:v>4</x:v>
      </x:c>
      <x:c r="S1210" s="87" t="n">
        <x:f>'Raw Sales'!K1210</x:f>
        <x:v>0</x:v>
      </x:c>
      <x:c r="T1210" s="93" t="n">
        <x:f>P1210*R1210</x:f>
        <x:v>236</x:v>
      </x:c>
      <x:c r="U1210" s="93" t="n">
        <x:f>T1210*S1210</x:f>
        <x:v>0</x:v>
      </x:c>
      <x:c r="V1210" s="93" t="str">
        <x:f>PROPER(TRIM('Raw Sales'!L1210))</x:f>
        <x:v>Completed</x:v>
      </x:c>
      <x:c r="W1210" s="93" t="n">
        <x:f>IF(V1210="Returned",0,T1210-U1210)</x:f>
        <x:v>236</x:v>
      </x:c>
      <x:c r="X1210" s="93" t="n">
        <x:f>IF(V1210="Returned",Q1210*R1210*10%,Q1210*R1210)</x:f>
        <x:v>68</x:v>
      </x:c>
      <x:c r="Y1210" s="93" t="n">
        <x:f>W1210-X1210</x:f>
        <x:v>168</x:v>
      </x:c>
      <x:c r="Z1210" s="94" t="n">
        <x:f>IFERROR(Y1210/W1210,0)</x:f>
        <x:v>0.711864406779661</x:v>
      </x:c>
      <x:c r="AA1210" s="84" t="str">
        <x:f>PROPER(TRIM('Raw Sales'!M1210))</x:f>
        <x:v>Paypal</x:v>
      </x:c>
      <x:c r="AB1210" s="84" t="str">
        <x:f>PROPER(TRIM('Raw Sales'!N1210))</x:f>
        <x:v>Maya Brooks</x:v>
      </x:c>
      <x:c r="AC1210" s="85" t="n">
        <x:f>'Raw Sales'!O1210</x:f>
        <x:v>45691</x:v>
      </x:c>
      <x:c r="AD1210" s="84" t="n">
        <x:f>AC1210-B1210</x:f>
        <x:v>3</x:v>
      </x:c>
      <x:c r="AE1210" s="84" t="str">
        <x:f>IF(COUNTIF($A$5:A1210,A1210)&gt;1,"Duplicate","Keep")</x:f>
        <x:v>Keep</x:v>
      </x:c>
      <x:c r="AF1210" s="84" t="str">
        <x:f>IF(OR(R1210&lt;=0,AC1210&lt;B1210,H1210="Unknown",M1210="Unknown Product"),"Review","Valid")</x:f>
        <x:v>Valid</x:v>
      </x:c>
      <x:c r="AG1210" s="84" t="n">
        <x:f>IF(AND(AE1210="Keep",AF1210="Valid"),1,0)</x:f>
        <x:v>1</x:v>
      </x:c>
      <x:c r="AH1210" s="84" t="n">
        <x:f>IF(AND(AG1210=1,OR('Dashboard'!$B$4="All",I1210='Dashboard'!$B$4),OR('Dashboard'!$E$4="All",N1210='Dashboard'!$E$4),OR('Dashboard'!$H$4="All",K1210='Dashboard'!$H$4),OR('Dashboard'!$K$4="All",C1210='Dashboard'!$K$4)),1,0)</x:f>
        <x:v>1</x:v>
      </x:c>
      <x:c r="AI1210" s="84" t="n">
        <x:f>IF(AND(AG1210=1,OR('Dashboard'!$B$4="All",I1210='Dashboard'!$B$4),OR('Dashboard'!$E$4="All",N1210='Dashboard'!$E$4),OR('Dashboard'!$H$4="All",K1210='Dashboard'!$H$4)),1,0)</x:f>
        <x:v>1</x:v>
      </x:c>
    </x:row>
    <x:row r="1211">
      <x:c r="A1211" s="84" t="str">
        <x:f>'Raw Sales'!A1211</x:f>
        <x:v>ORD-2025-00405</x:v>
      </x:c>
      <x:c r="B1211" s="85" t="n">
        <x:f>'Raw Sales'!B1211</x:f>
        <x:v>45689</x:v>
      </x:c>
      <x:c r="C1211" s="84" t="n">
        <x:f>YEAR(B1211)</x:f>
        <x:v>2025</x:v>
      </x:c>
      <x:c r="D1211" s="91" t="n">
        <x:f>DATE(YEAR(B1211),MONTH(B1211),1)</x:f>
        <x:v>45689</x:v>
      </x:c>
      <x:c r="E1211" s="84" t="str">
        <x:f>TEXT(B1211,"mmm")</x:f>
        <x:v>Feb</x:v>
      </x:c>
      <x:c r="F1211" s="84" t="str">
        <x:f>'Raw Sales'!C1211</x:f>
        <x:v>CUST-0054</x:v>
      </x:c>
      <x:c r="G1211" s="84" t="str">
        <x:f>PROPER(TRIM('Raw Sales'!D1211))</x:f>
        <x:v>Priya Roberts</x:v>
      </x:c>
      <x:c r="H1211" s="84" t="str">
        <x:f>IF(TRIM('Raw Sales'!E1211)="","Unknown",PROPER(TRIM('Raw Sales'!E1211)))</x:f>
        <x:v>Consumer</x:v>
      </x:c>
      <x:c r="I1211" s="84" t="str">
        <x:f>PROPER(TRIM('Raw Sales'!F1211))</x:f>
        <x:v>West</x:v>
      </x:c>
      <x:c r="J1211" s="84" t="str">
        <x:f>PROPER(TRIM('Raw Sales'!G1211))</x:f>
        <x:v>Phoenix</x:v>
      </x:c>
      <x:c r="K1211" s="84" t="str">
        <x:f>PROPER(TRIM('Raw Sales'!H1211))</x:f>
        <x:v>Online</x:v>
      </x:c>
      <x:c r="L1211" s="84" t="str">
        <x:f>'Raw Sales'!I1211</x:f>
        <x:v>CARE-002</x:v>
      </x:c>
      <x:c r="M1211" s="84" t="str">
        <x:f>IFERROR(VLOOKUP(L1211,'Reference Data'!$A$5:$F$40,2,FALSE),"Unknown Product")</x:f>
        <x:v>Rechargeable Trimmer</x:v>
      </x:c>
      <x:c r="N1211" s="84" t="str">
        <x:f>IFERROR(VLOOKUP(L1211,'Reference Data'!$A$5:$F$40,3,FALSE),"Unknown")</x:f>
        <x:v>Personal Care</x:v>
      </x:c>
      <x:c r="O1211" s="84" t="str">
        <x:f>IFERROR(VLOOKUP(L1211,'Reference Data'!$A$5:$F$40,4,FALSE),"Unknown")</x:f>
        <x:v>Grooming</x:v>
      </x:c>
      <x:c r="P1211" s="92" t="n">
        <x:f>IFERROR(VLOOKUP(L1211,'Reference Data'!$A$5:$F$40,5,FALSE),0)</x:f>
        <x:v>45</x:v>
      </x:c>
      <x:c r="Q1211" s="92" t="n">
        <x:f>IFERROR(VLOOKUP(L1211,'Reference Data'!$A$5:$F$40,6,FALSE),0)</x:f>
        <x:v>19</x:v>
      </x:c>
      <x:c r="R1211" s="84" t="n">
        <x:f>'Raw Sales'!J1211</x:f>
        <x:v>1</x:v>
      </x:c>
      <x:c r="S1211" s="87" t="n">
        <x:f>'Raw Sales'!K1211</x:f>
        <x:v>0.15</x:v>
      </x:c>
      <x:c r="T1211" s="93" t="n">
        <x:f>P1211*R1211</x:f>
        <x:v>45</x:v>
      </x:c>
      <x:c r="U1211" s="93" t="n">
        <x:f>T1211*S1211</x:f>
        <x:v>6.75</x:v>
      </x:c>
      <x:c r="V1211" s="93" t="str">
        <x:f>PROPER(TRIM('Raw Sales'!L1211))</x:f>
        <x:v>Completed</x:v>
      </x:c>
      <x:c r="W1211" s="93" t="n">
        <x:f>IF(V1211="Returned",0,T1211-U1211)</x:f>
        <x:v>38.25</x:v>
      </x:c>
      <x:c r="X1211" s="93" t="n">
        <x:f>IF(V1211="Returned",Q1211*R1211*10%,Q1211*R1211)</x:f>
        <x:v>19</x:v>
      </x:c>
      <x:c r="Y1211" s="93" t="n">
        <x:f>W1211-X1211</x:f>
        <x:v>19.25</x:v>
      </x:c>
      <x:c r="Z1211" s="94" t="n">
        <x:f>IFERROR(Y1211/W1211,0)</x:f>
        <x:v>0.5032679738562091</x:v>
      </x:c>
      <x:c r="AA1211" s="84" t="str">
        <x:f>PROPER(TRIM('Raw Sales'!M1211))</x:f>
        <x:v>Credit Card</x:v>
      </x:c>
      <x:c r="AB1211" s="84" t="str">
        <x:f>PROPER(TRIM('Raw Sales'!N1211))</x:f>
        <x:v>Nora Kim</x:v>
      </x:c>
      <x:c r="AC1211" s="85" t="n">
        <x:f>'Raw Sales'!O1211</x:f>
        <x:v>45692</x:v>
      </x:c>
      <x:c r="AD1211" s="84" t="n">
        <x:f>AC1211-B1211</x:f>
        <x:v>3</x:v>
      </x:c>
      <x:c r="AE1211" s="84" t="str">
        <x:f>IF(COUNTIF($A$5:A1211,A1211)&gt;1,"Duplicate","Keep")</x:f>
        <x:v>Keep</x:v>
      </x:c>
      <x:c r="AF1211" s="84" t="str">
        <x:f>IF(OR(R1211&lt;=0,AC1211&lt;B1211,H1211="Unknown",M1211="Unknown Product"),"Review","Valid")</x:f>
        <x:v>Valid</x:v>
      </x:c>
      <x:c r="AG1211" s="84" t="n">
        <x:f>IF(AND(AE1211="Keep",AF1211="Valid"),1,0)</x:f>
        <x:v>1</x:v>
      </x:c>
      <x:c r="AH1211" s="84" t="n">
        <x:f>IF(AND(AG1211=1,OR('Dashboard'!$B$4="All",I1211='Dashboard'!$B$4),OR('Dashboard'!$E$4="All",N1211='Dashboard'!$E$4),OR('Dashboard'!$H$4="All",K1211='Dashboard'!$H$4),OR('Dashboard'!$K$4="All",C1211='Dashboard'!$K$4)),1,0)</x:f>
        <x:v>1</x:v>
      </x:c>
      <x:c r="AI1211" s="84" t="n">
        <x:f>IF(AND(AG1211=1,OR('Dashboard'!$B$4="All",I1211='Dashboard'!$B$4),OR('Dashboard'!$E$4="All",N1211='Dashboard'!$E$4),OR('Dashboard'!$H$4="All",K1211='Dashboard'!$H$4)),1,0)</x:f>
        <x:v>1</x:v>
      </x:c>
    </x:row>
    <x:row r="1212">
      <x:c r="A1212" s="84" t="str">
        <x:f>'Raw Sales'!A1212</x:f>
        <x:v>ORD-2025-00588</x:v>
      </x:c>
      <x:c r="B1212" s="85" t="n">
        <x:f>'Raw Sales'!B1212</x:f>
        <x:v>45689</x:v>
      </x:c>
      <x:c r="C1212" s="84" t="n">
        <x:f>YEAR(B1212)</x:f>
        <x:v>2025</x:v>
      </x:c>
      <x:c r="D1212" s="91" t="n">
        <x:f>DATE(YEAR(B1212),MONTH(B1212),1)</x:f>
        <x:v>45689</x:v>
      </x:c>
      <x:c r="E1212" s="84" t="str">
        <x:f>TEXT(B1212,"mmm")</x:f>
        <x:v>Feb</x:v>
      </x:c>
      <x:c r="F1212" s="84" t="str">
        <x:f>'Raw Sales'!C1212</x:f>
        <x:v>CUST-0074</x:v>
      </x:c>
      <x:c r="G1212" s="84" t="str">
        <x:f>PROPER(TRIM('Raw Sales'!D1212))</x:f>
        <x:v>Grace Taylor</x:v>
      </x:c>
      <x:c r="H1212" s="84" t="str">
        <x:f>IF(TRIM('Raw Sales'!E1212)="","Unknown",PROPER(TRIM('Raw Sales'!E1212)))</x:f>
        <x:v>Consumer</x:v>
      </x:c>
      <x:c r="I1212" s="84" t="str">
        <x:f>PROPER(TRIM('Raw Sales'!F1212))</x:f>
        <x:v>West</x:v>
      </x:c>
      <x:c r="J1212" s="84" t="str">
        <x:f>PROPER(TRIM('Raw Sales'!G1212))</x:f>
        <x:v>Seattle</x:v>
      </x:c>
      <x:c r="K1212" s="84" t="str">
        <x:f>PROPER(TRIM('Raw Sales'!H1212))</x:f>
        <x:v>Marketplace</x:v>
      </x:c>
      <x:c r="L1212" s="84" t="str">
        <x:f>'Raw Sales'!I1212</x:f>
        <x:v>HOME-001</x:v>
      </x:c>
      <x:c r="M1212" s="84" t="str">
        <x:f>IFERROR(VLOOKUP(L1212,'Reference Data'!$A$5:$F$40,2,FALSE),"Unknown Product")</x:f>
        <x:v>Air Fryer</x:v>
      </x:c>
      <x:c r="N1212" s="84" t="str">
        <x:f>IFERROR(VLOOKUP(L1212,'Reference Data'!$A$5:$F$40,3,FALSE),"Unknown")</x:f>
        <x:v>Home &amp; Kitchen</x:v>
      </x:c>
      <x:c r="O1212" s="84" t="str">
        <x:f>IFERROR(VLOOKUP(L1212,'Reference Data'!$A$5:$F$40,4,FALSE),"Unknown")</x:f>
        <x:v>Small Appliances</x:v>
      </x:c>
      <x:c r="P1212" s="92" t="n">
        <x:f>IFERROR(VLOOKUP(L1212,'Reference Data'!$A$5:$F$40,5,FALSE),0)</x:f>
        <x:v>119</x:v>
      </x:c>
      <x:c r="Q1212" s="92" t="n">
        <x:f>IFERROR(VLOOKUP(L1212,'Reference Data'!$A$5:$F$40,6,FALSE),0)</x:f>
        <x:v>68</x:v>
      </x:c>
      <x:c r="R1212" s="84" t="n">
        <x:f>'Raw Sales'!J1212</x:f>
        <x:v>2</x:v>
      </x:c>
      <x:c r="S1212" s="87" t="n">
        <x:f>'Raw Sales'!K1212</x:f>
        <x:v>0.2</x:v>
      </x:c>
      <x:c r="T1212" s="93" t="n">
        <x:f>P1212*R1212</x:f>
        <x:v>238</x:v>
      </x:c>
      <x:c r="U1212" s="93" t="n">
        <x:f>T1212*S1212</x:f>
        <x:v>47.6</x:v>
      </x:c>
      <x:c r="V1212" s="93" t="str">
        <x:f>PROPER(TRIM('Raw Sales'!L1212))</x:f>
        <x:v>Completed</x:v>
      </x:c>
      <x:c r="W1212" s="93" t="n">
        <x:f>IF(V1212="Returned",0,T1212-U1212)</x:f>
        <x:v>190.4</x:v>
      </x:c>
      <x:c r="X1212" s="93" t="n">
        <x:f>IF(V1212="Returned",Q1212*R1212*10%,Q1212*R1212)</x:f>
        <x:v>136</x:v>
      </x:c>
      <x:c r="Y1212" s="93" t="n">
        <x:f>W1212-X1212</x:f>
        <x:v>54.400000000000006</x:v>
      </x:c>
      <x:c r="Z1212" s="94" t="n">
        <x:f>IFERROR(Y1212/W1212,0)</x:f>
        <x:v>0.28571428571428575</x:v>
      </x:c>
      <x:c r="AA1212" s="84" t="str">
        <x:f>PROPER(TRIM('Raw Sales'!M1212))</x:f>
        <x:v>Credit Card</x:v>
      </x:c>
      <x:c r="AB1212" s="84" t="str">
        <x:f>PROPER(TRIM('Raw Sales'!N1212))</x:f>
        <x:v>Nora Kim</x:v>
      </x:c>
      <x:c r="AC1212" s="85" t="n">
        <x:f>'Raw Sales'!O1212</x:f>
        <x:v>45693</x:v>
      </x:c>
      <x:c r="AD1212" s="84" t="n">
        <x:f>AC1212-B1212</x:f>
        <x:v>4</x:v>
      </x:c>
      <x:c r="AE1212" s="84" t="str">
        <x:f>IF(COUNTIF($A$5:A1212,A1212)&gt;1,"Duplicate","Keep")</x:f>
        <x:v>Keep</x:v>
      </x:c>
      <x:c r="AF1212" s="84" t="str">
        <x:f>IF(OR(R1212&lt;=0,AC1212&lt;B1212,H1212="Unknown",M1212="Unknown Product"),"Review","Valid")</x:f>
        <x:v>Valid</x:v>
      </x:c>
      <x:c r="AG1212" s="84" t="n">
        <x:f>IF(AND(AE1212="Keep",AF1212="Valid"),1,0)</x:f>
        <x:v>1</x:v>
      </x:c>
      <x:c r="AH1212" s="84" t="n">
        <x:f>IF(AND(AG1212=1,OR('Dashboard'!$B$4="All",I1212='Dashboard'!$B$4),OR('Dashboard'!$E$4="All",N1212='Dashboard'!$E$4),OR('Dashboard'!$H$4="All",K1212='Dashboard'!$H$4),OR('Dashboard'!$K$4="All",C1212='Dashboard'!$K$4)),1,0)</x:f>
        <x:v>1</x:v>
      </x:c>
      <x:c r="AI1212" s="84" t="n">
        <x:f>IF(AND(AG1212=1,OR('Dashboard'!$B$4="All",I1212='Dashboard'!$B$4),OR('Dashboard'!$E$4="All",N1212='Dashboard'!$E$4),OR('Dashboard'!$H$4="All",K1212='Dashboard'!$H$4)),1,0)</x:f>
        <x:v>1</x:v>
      </x:c>
    </x:row>
    <x:row r="1213">
      <x:c r="A1213" s="84" t="str">
        <x:f>'Raw Sales'!A1213</x:f>
        <x:v>ORD-2025-00780</x:v>
      </x:c>
      <x:c r="B1213" s="85" t="n">
        <x:f>'Raw Sales'!B1213</x:f>
        <x:v>45689</x:v>
      </x:c>
      <x:c r="C1213" s="84" t="n">
        <x:f>YEAR(B1213)</x:f>
        <x:v>2025</x:v>
      </x:c>
      <x:c r="D1213" s="91" t="n">
        <x:f>DATE(YEAR(B1213),MONTH(B1213),1)</x:f>
        <x:v>45689</x:v>
      </x:c>
      <x:c r="E1213" s="84" t="str">
        <x:f>TEXT(B1213,"mmm")</x:f>
        <x:v>Feb</x:v>
      </x:c>
      <x:c r="F1213" s="84" t="str">
        <x:f>'Raw Sales'!C1213</x:f>
        <x:v>CUST-0523</x:v>
      </x:c>
      <x:c r="G1213" s="84" t="str">
        <x:f>PROPER(TRIM('Raw Sales'!D1213))</x:f>
        <x:v>Chloe Foster</x:v>
      </x:c>
      <x:c r="H1213" s="84" t="str">
        <x:f>IF(TRIM('Raw Sales'!E1213)="","Unknown",PROPER(TRIM('Raw Sales'!E1213)))</x:f>
        <x:v>Consumer</x:v>
      </x:c>
      <x:c r="I1213" s="84" t="str">
        <x:f>PROPER(TRIM('Raw Sales'!F1213))</x:f>
        <x:v>Northeast</x:v>
      </x:c>
      <x:c r="J1213" s="84" t="str">
        <x:f>PROPER(TRIM('Raw Sales'!G1213))</x:f>
        <x:v>Boston</x:v>
      </x:c>
      <x:c r="K1213" s="84" t="str">
        <x:f>PROPER(TRIM('Raw Sales'!H1213))</x:f>
        <x:v>Marketplace</x:v>
      </x:c>
      <x:c r="L1213" s="84" t="str">
        <x:f>'Raw Sales'!I1213</x:f>
        <x:v>HOME-002</x:v>
      </x:c>
      <x:c r="M1213" s="84" t="str">
        <x:f>IFERROR(VLOOKUP(L1213,'Reference Data'!$A$5:$F$40,2,FALSE),"Unknown Product")</x:f>
        <x:v>Electric Kettle</x:v>
      </x:c>
      <x:c r="N1213" s="84" t="str">
        <x:f>IFERROR(VLOOKUP(L1213,'Reference Data'!$A$5:$F$40,3,FALSE),"Unknown")</x:f>
        <x:v>Home &amp; Kitchen</x:v>
      </x:c>
      <x:c r="O1213" s="84" t="str">
        <x:f>IFERROR(VLOOKUP(L1213,'Reference Data'!$A$5:$F$40,4,FALSE),"Unknown")</x:f>
        <x:v>Small Appliances</x:v>
      </x:c>
      <x:c r="P1213" s="92" t="n">
        <x:f>IFERROR(VLOOKUP(L1213,'Reference Data'!$A$5:$F$40,5,FALSE),0)</x:f>
        <x:v>49</x:v>
      </x:c>
      <x:c r="Q1213" s="92" t="n">
        <x:f>IFERROR(VLOOKUP(L1213,'Reference Data'!$A$5:$F$40,6,FALSE),0)</x:f>
        <x:v>23</x:v>
      </x:c>
      <x:c r="R1213" s="84" t="n">
        <x:f>'Raw Sales'!J1213</x:f>
        <x:v>1</x:v>
      </x:c>
      <x:c r="S1213" s="87" t="n">
        <x:f>'Raw Sales'!K1213</x:f>
        <x:v>0.05</x:v>
      </x:c>
      <x:c r="T1213" s="93" t="n">
        <x:f>P1213*R1213</x:f>
        <x:v>49</x:v>
      </x:c>
      <x:c r="U1213" s="93" t="n">
        <x:f>T1213*S1213</x:f>
        <x:v>2.45</x:v>
      </x:c>
      <x:c r="V1213" s="93" t="str">
        <x:f>PROPER(TRIM('Raw Sales'!L1213))</x:f>
        <x:v>Completed</x:v>
      </x:c>
      <x:c r="W1213" s="93" t="n">
        <x:f>IF(V1213="Returned",0,T1213-U1213)</x:f>
        <x:v>46.55</x:v>
      </x:c>
      <x:c r="X1213" s="93" t="n">
        <x:f>IF(V1213="Returned",Q1213*R1213*10%,Q1213*R1213)</x:f>
        <x:v>23</x:v>
      </x:c>
      <x:c r="Y1213" s="93" t="n">
        <x:f>W1213-X1213</x:f>
        <x:v>23.549999999999997</x:v>
      </x:c>
      <x:c r="Z1213" s="94" t="n">
        <x:f>IFERROR(Y1213/W1213,0)</x:f>
        <x:v>0.505907626208378</x:v>
      </x:c>
      <x:c r="AA1213" s="84" t="str">
        <x:f>PROPER(TRIM('Raw Sales'!M1213))</x:f>
        <x:v>Debit Card</x:v>
      </x:c>
      <x:c r="AB1213" s="84" t="str">
        <x:f>PROPER(TRIM('Raw Sales'!N1213))</x:f>
        <x:v>Maya Brooks</x:v>
      </x:c>
      <x:c r="AC1213" s="85" t="n">
        <x:f>'Raw Sales'!O1213</x:f>
        <x:v>45693</x:v>
      </x:c>
      <x:c r="AD1213" s="84" t="n">
        <x:f>AC1213-B1213</x:f>
        <x:v>4</x:v>
      </x:c>
      <x:c r="AE1213" s="84" t="str">
        <x:f>IF(COUNTIF($A$5:A1213,A1213)&gt;1,"Duplicate","Keep")</x:f>
        <x:v>Keep</x:v>
      </x:c>
      <x:c r="AF1213" s="84" t="str">
        <x:f>IF(OR(R1213&lt;=0,AC1213&lt;B1213,H1213="Unknown",M1213="Unknown Product"),"Review","Valid")</x:f>
        <x:v>Valid</x:v>
      </x:c>
      <x:c r="AG1213" s="84" t="n">
        <x:f>IF(AND(AE1213="Keep",AF1213="Valid"),1,0)</x:f>
        <x:v>1</x:v>
      </x:c>
      <x:c r="AH1213" s="84" t="n">
        <x:f>IF(AND(AG1213=1,OR('Dashboard'!$B$4="All",I1213='Dashboard'!$B$4),OR('Dashboard'!$E$4="All",N1213='Dashboard'!$E$4),OR('Dashboard'!$H$4="All",K1213='Dashboard'!$H$4),OR('Dashboard'!$K$4="All",C1213='Dashboard'!$K$4)),1,0)</x:f>
        <x:v>1</x:v>
      </x:c>
      <x:c r="AI1213" s="84" t="n">
        <x:f>IF(AND(AG1213=1,OR('Dashboard'!$B$4="All",I1213='Dashboard'!$B$4),OR('Dashboard'!$E$4="All",N1213='Dashboard'!$E$4),OR('Dashboard'!$H$4="All",K1213='Dashboard'!$H$4)),1,0)</x:f>
        <x:v>1</x:v>
      </x:c>
    </x:row>
    <x:row r="1214">
      <x:c r="A1214" s="84" t="str">
        <x:f>'Raw Sales'!A1214</x:f>
        <x:v>ORD-2025-01637</x:v>
      </x:c>
      <x:c r="B1214" s="85" t="n">
        <x:f>'Raw Sales'!B1214</x:f>
        <x:v>45689</x:v>
      </x:c>
      <x:c r="C1214" s="84" t="n">
        <x:f>YEAR(B1214)</x:f>
        <x:v>2025</x:v>
      </x:c>
      <x:c r="D1214" s="91" t="n">
        <x:f>DATE(YEAR(B1214),MONTH(B1214),1)</x:f>
        <x:v>45689</x:v>
      </x:c>
      <x:c r="E1214" s="84" t="str">
        <x:f>TEXT(B1214,"mmm")</x:f>
        <x:v>Feb</x:v>
      </x:c>
      <x:c r="F1214" s="84" t="str">
        <x:f>'Raw Sales'!C1214</x:f>
        <x:v>CUST-0388</x:v>
      </x:c>
      <x:c r="G1214" s="84" t="str">
        <x:f>PROPER(TRIM('Raw Sales'!D1214))</x:f>
        <x:v>Isaac Hall</x:v>
      </x:c>
      <x:c r="H1214" s="84" t="str">
        <x:f>IF(TRIM('Raw Sales'!E1214)="","Unknown",PROPER(TRIM('Raw Sales'!E1214)))</x:f>
        <x:v>Consumer</x:v>
      </x:c>
      <x:c r="I1214" s="84" t="str">
        <x:f>PROPER(TRIM('Raw Sales'!F1214))</x:f>
        <x:v>Northeast</x:v>
      </x:c>
      <x:c r="J1214" s="84" t="str">
        <x:f>PROPER(TRIM('Raw Sales'!G1214))</x:f>
        <x:v>Boston</x:v>
      </x:c>
      <x:c r="K1214" s="84" t="str">
        <x:f>PROPER(TRIM('Raw Sales'!H1214))</x:f>
        <x:v>Online</x:v>
      </x:c>
      <x:c r="L1214" s="84" t="str">
        <x:f>'Raw Sales'!I1214</x:f>
        <x:v>CARE-002</x:v>
      </x:c>
      <x:c r="M1214" s="84" t="str">
        <x:f>IFERROR(VLOOKUP(L1214,'Reference Data'!$A$5:$F$40,2,FALSE),"Unknown Product")</x:f>
        <x:v>Rechargeable Trimmer</x:v>
      </x:c>
      <x:c r="N1214" s="84" t="str">
        <x:f>IFERROR(VLOOKUP(L1214,'Reference Data'!$A$5:$F$40,3,FALSE),"Unknown")</x:f>
        <x:v>Personal Care</x:v>
      </x:c>
      <x:c r="O1214" s="84" t="str">
        <x:f>IFERROR(VLOOKUP(L1214,'Reference Data'!$A$5:$F$40,4,FALSE),"Unknown")</x:f>
        <x:v>Grooming</x:v>
      </x:c>
      <x:c r="P1214" s="92" t="n">
        <x:f>IFERROR(VLOOKUP(L1214,'Reference Data'!$A$5:$F$40,5,FALSE),0)</x:f>
        <x:v>45</x:v>
      </x:c>
      <x:c r="Q1214" s="92" t="n">
        <x:f>IFERROR(VLOOKUP(L1214,'Reference Data'!$A$5:$F$40,6,FALSE),0)</x:f>
        <x:v>19</x:v>
      </x:c>
      <x:c r="R1214" s="84" t="n">
        <x:f>'Raw Sales'!J1214</x:f>
        <x:v>2</x:v>
      </x:c>
      <x:c r="S1214" s="87" t="n">
        <x:f>'Raw Sales'!K1214</x:f>
        <x:v>0</x:v>
      </x:c>
      <x:c r="T1214" s="93" t="n">
        <x:f>P1214*R1214</x:f>
        <x:v>90</x:v>
      </x:c>
      <x:c r="U1214" s="93" t="n">
        <x:f>T1214*S1214</x:f>
        <x:v>0</x:v>
      </x:c>
      <x:c r="V1214" s="93" t="str">
        <x:f>PROPER(TRIM('Raw Sales'!L1214))</x:f>
        <x:v>Completed</x:v>
      </x:c>
      <x:c r="W1214" s="93" t="n">
        <x:f>IF(V1214="Returned",0,T1214-U1214)</x:f>
        <x:v>90</x:v>
      </x:c>
      <x:c r="X1214" s="93" t="n">
        <x:f>IF(V1214="Returned",Q1214*R1214*10%,Q1214*R1214)</x:f>
        <x:v>38</x:v>
      </x:c>
      <x:c r="Y1214" s="93" t="n">
        <x:f>W1214-X1214</x:f>
        <x:v>52</x:v>
      </x:c>
      <x:c r="Z1214" s="94" t="n">
        <x:f>IFERROR(Y1214/W1214,0)</x:f>
        <x:v>0.5777777777777777</x:v>
      </x:c>
      <x:c r="AA1214" s="84" t="str">
        <x:f>PROPER(TRIM('Raw Sales'!M1214))</x:f>
        <x:v>Debit Card</x:v>
      </x:c>
      <x:c r="AB1214" s="84" t="str">
        <x:f>PROPER(TRIM('Raw Sales'!N1214))</x:f>
        <x:v>Sofia Bennett</x:v>
      </x:c>
      <x:c r="AC1214" s="85" t="n">
        <x:f>'Raw Sales'!O1214</x:f>
        <x:v>45693</x:v>
      </x:c>
      <x:c r="AD1214" s="84" t="n">
        <x:f>AC1214-B1214</x:f>
        <x:v>4</x:v>
      </x:c>
      <x:c r="AE1214" s="84" t="str">
        <x:f>IF(COUNTIF($A$5:A1214,A1214)&gt;1,"Duplicate","Keep")</x:f>
        <x:v>Keep</x:v>
      </x:c>
      <x:c r="AF1214" s="84" t="str">
        <x:f>IF(OR(R1214&lt;=0,AC1214&lt;B1214,H1214="Unknown",M1214="Unknown Product"),"Review","Valid")</x:f>
        <x:v>Valid</x:v>
      </x:c>
      <x:c r="AG1214" s="84" t="n">
        <x:f>IF(AND(AE1214="Keep",AF1214="Valid"),1,0)</x:f>
        <x:v>1</x:v>
      </x:c>
      <x:c r="AH1214" s="84" t="n">
        <x:f>IF(AND(AG1214=1,OR('Dashboard'!$B$4="All",I1214='Dashboard'!$B$4),OR('Dashboard'!$E$4="All",N1214='Dashboard'!$E$4),OR('Dashboard'!$H$4="All",K1214='Dashboard'!$H$4),OR('Dashboard'!$K$4="All",C1214='Dashboard'!$K$4)),1,0)</x:f>
        <x:v>1</x:v>
      </x:c>
      <x:c r="AI1214" s="84" t="n">
        <x:f>IF(AND(AG1214=1,OR('Dashboard'!$B$4="All",I1214='Dashboard'!$B$4),OR('Dashboard'!$E$4="All",N1214='Dashboard'!$E$4),OR('Dashboard'!$H$4="All",K1214='Dashboard'!$H$4)),1,0)</x:f>
        <x:v>1</x:v>
      </x:c>
    </x:row>
    <x:row r="1215">
      <x:c r="A1215" s="84" t="str">
        <x:f>'Raw Sales'!A1215</x:f>
        <x:v>ORD-2025-01802</x:v>
      </x:c>
      <x:c r="B1215" s="85" t="n">
        <x:f>'Raw Sales'!B1215</x:f>
        <x:v>45689</x:v>
      </x:c>
      <x:c r="C1215" s="84" t="n">
        <x:f>YEAR(B1215)</x:f>
        <x:v>2025</x:v>
      </x:c>
      <x:c r="D1215" s="91" t="n">
        <x:f>DATE(YEAR(B1215),MONTH(B1215),1)</x:f>
        <x:v>45689</x:v>
      </x:c>
      <x:c r="E1215" s="84" t="str">
        <x:f>TEXT(B1215,"mmm")</x:f>
        <x:v>Feb</x:v>
      </x:c>
      <x:c r="F1215" s="84" t="str">
        <x:f>'Raw Sales'!C1215</x:f>
        <x:v>CUST-0409</x:v>
      </x:c>
      <x:c r="G1215" s="84" t="str">
        <x:f>PROPER(TRIM('Raw Sales'!D1215))</x:f>
        <x:v>Owen Ortiz</x:v>
      </x:c>
      <x:c r="H1215" s="84" t="str">
        <x:f>IF(TRIM('Raw Sales'!E1215)="","Unknown",PROPER(TRIM('Raw Sales'!E1215)))</x:f>
        <x:v>Consumer</x:v>
      </x:c>
      <x:c r="I1215" s="84" t="str">
        <x:f>PROPER(TRIM('Raw Sales'!F1215))</x:f>
        <x:v>West</x:v>
      </x:c>
      <x:c r="J1215" s="84" t="str">
        <x:f>PROPER(TRIM('Raw Sales'!G1215))</x:f>
        <x:v>Los Angeles</x:v>
      </x:c>
      <x:c r="K1215" s="84" t="str">
        <x:f>PROPER(TRIM('Raw Sales'!H1215))</x:f>
        <x:v>Online</x:v>
      </x:c>
      <x:c r="L1215" s="84" t="str">
        <x:f>'Raw Sales'!I1215</x:f>
        <x:v>HOME-006</x:v>
      </x:c>
      <x:c r="M1215" s="84" t="str">
        <x:f>IFERROR(VLOOKUP(L1215,'Reference Data'!$A$5:$F$40,2,FALSE),"Unknown Product")</x:f>
        <x:v>Food Storage Set</x:v>
      </x:c>
      <x:c r="N1215" s="84" t="str">
        <x:f>IFERROR(VLOOKUP(L1215,'Reference Data'!$A$5:$F$40,3,FALSE),"Unknown")</x:f>
        <x:v>Home &amp; Kitchen</x:v>
      </x:c>
      <x:c r="O1215" s="84" t="str">
        <x:f>IFERROR(VLOOKUP(L1215,'Reference Data'!$A$5:$F$40,4,FALSE),"Unknown")</x:f>
        <x:v>Kitchenware</x:v>
      </x:c>
      <x:c r="P1215" s="92" t="n">
        <x:f>IFERROR(VLOOKUP(L1215,'Reference Data'!$A$5:$F$40,5,FALSE),0)</x:f>
        <x:v>34</x:v>
      </x:c>
      <x:c r="Q1215" s="92" t="n">
        <x:f>IFERROR(VLOOKUP(L1215,'Reference Data'!$A$5:$F$40,6,FALSE),0)</x:f>
        <x:v>15</x:v>
      </x:c>
      <x:c r="R1215" s="84" t="n">
        <x:f>'Raw Sales'!J1215</x:f>
        <x:v>2</x:v>
      </x:c>
      <x:c r="S1215" s="87" t="n">
        <x:f>'Raw Sales'!K1215</x:f>
        <x:v>0.05</x:v>
      </x:c>
      <x:c r="T1215" s="93" t="n">
        <x:f>P1215*R1215</x:f>
        <x:v>68</x:v>
      </x:c>
      <x:c r="U1215" s="93" t="n">
        <x:f>T1215*S1215</x:f>
        <x:v>3.4000000000000004</x:v>
      </x:c>
      <x:c r="V1215" s="93" t="str">
        <x:f>PROPER(TRIM('Raw Sales'!L1215))</x:f>
        <x:v>Completed</x:v>
      </x:c>
      <x:c r="W1215" s="93" t="n">
        <x:f>IF(V1215="Returned",0,T1215-U1215)</x:f>
        <x:v>64.6</x:v>
      </x:c>
      <x:c r="X1215" s="93" t="n">
        <x:f>IF(V1215="Returned",Q1215*R1215*10%,Q1215*R1215)</x:f>
        <x:v>30</x:v>
      </x:c>
      <x:c r="Y1215" s="93" t="n">
        <x:f>W1215-X1215</x:f>
        <x:v>34.599999999999994</x:v>
      </x:c>
      <x:c r="Z1215" s="94" t="n">
        <x:f>IFERROR(Y1215/W1215,0)</x:f>
        <x:v>0.5356037151702786</x:v>
      </x:c>
      <x:c r="AA1215" s="84" t="str">
        <x:f>PROPER(TRIM('Raw Sales'!M1215))</x:f>
        <x:v>Debit Card</x:v>
      </x:c>
      <x:c r="AB1215" s="84" t="str">
        <x:f>PROPER(TRIM('Raw Sales'!N1215))</x:f>
        <x:v>Nora Kim</x:v>
      </x:c>
      <x:c r="AC1215" s="85" t="n">
        <x:f>'Raw Sales'!O1215</x:f>
        <x:v>45695</x:v>
      </x:c>
      <x:c r="AD1215" s="84" t="n">
        <x:f>AC1215-B1215</x:f>
        <x:v>6</x:v>
      </x:c>
      <x:c r="AE1215" s="84" t="str">
        <x:f>IF(COUNTIF($A$5:A1215,A1215)&gt;1,"Duplicate","Keep")</x:f>
        <x:v>Keep</x:v>
      </x:c>
      <x:c r="AF1215" s="84" t="str">
        <x:f>IF(OR(R1215&lt;=0,AC1215&lt;B1215,H1215="Unknown",M1215="Unknown Product"),"Review","Valid")</x:f>
        <x:v>Valid</x:v>
      </x:c>
      <x:c r="AG1215" s="84" t="n">
        <x:f>IF(AND(AE1215="Keep",AF1215="Valid"),1,0)</x:f>
        <x:v>1</x:v>
      </x:c>
      <x:c r="AH1215" s="84" t="n">
        <x:f>IF(AND(AG1215=1,OR('Dashboard'!$B$4="All",I1215='Dashboard'!$B$4),OR('Dashboard'!$E$4="All",N1215='Dashboard'!$E$4),OR('Dashboard'!$H$4="All",K1215='Dashboard'!$H$4),OR('Dashboard'!$K$4="All",C1215='Dashboard'!$K$4)),1,0)</x:f>
        <x:v>1</x:v>
      </x:c>
      <x:c r="AI1215" s="84" t="n">
        <x:f>IF(AND(AG1215=1,OR('Dashboard'!$B$4="All",I1215='Dashboard'!$B$4),OR('Dashboard'!$E$4="All",N1215='Dashboard'!$E$4),OR('Dashboard'!$H$4="All",K1215='Dashboard'!$H$4)),1,0)</x:f>
        <x:v>1</x:v>
      </x:c>
    </x:row>
    <x:row r="1216">
      <x:c r="A1216" s="84" t="str">
        <x:f>'Raw Sales'!A1216</x:f>
        <x:v>ORD-2025-02291</x:v>
      </x:c>
      <x:c r="B1216" s="85" t="n">
        <x:f>'Raw Sales'!B1216</x:f>
        <x:v>45689</x:v>
      </x:c>
      <x:c r="C1216" s="84" t="n">
        <x:f>YEAR(B1216)</x:f>
        <x:v>2025</x:v>
      </x:c>
      <x:c r="D1216" s="91" t="n">
        <x:f>DATE(YEAR(B1216),MONTH(B1216),1)</x:f>
        <x:v>45689</x:v>
      </x:c>
      <x:c r="E1216" s="84" t="str">
        <x:f>TEXT(B1216,"mmm")</x:f>
        <x:v>Feb</x:v>
      </x:c>
      <x:c r="F1216" s="84" t="str">
        <x:f>'Raw Sales'!C1216</x:f>
        <x:v>CUST-0405</x:v>
      </x:c>
      <x:c r="G1216" s="84" t="str">
        <x:f>PROPER(TRIM('Raw Sales'!D1216))</x:f>
        <x:v>Daniel Irwin</x:v>
      </x:c>
      <x:c r="H1216" s="84" t="str">
        <x:f>IF(TRIM('Raw Sales'!E1216)="","Unknown",PROPER(TRIM('Raw Sales'!E1216)))</x:f>
        <x:v>Corporate</x:v>
      </x:c>
      <x:c r="I1216" s="84" t="str">
        <x:f>PROPER(TRIM('Raw Sales'!F1216))</x:f>
        <x:v>West</x:v>
      </x:c>
      <x:c r="J1216" s="84" t="str">
        <x:f>PROPER(TRIM('Raw Sales'!G1216))</x:f>
        <x:v>Seattle</x:v>
      </x:c>
      <x:c r="K1216" s="84" t="str">
        <x:f>PROPER(TRIM('Raw Sales'!H1216))</x:f>
        <x:v>Marketplace</x:v>
      </x:c>
      <x:c r="L1216" s="84" t="str">
        <x:f>'Raw Sales'!I1216</x:f>
        <x:v>ELEC-005</x:v>
      </x:c>
      <x:c r="M1216" s="84" t="str">
        <x:f>IFERROR(VLOOKUP(L1216,'Reference Data'!$A$5:$F$40,2,FALSE),"Unknown Product")</x:f>
        <x:v>HD Webcam</x:v>
      </x:c>
      <x:c r="N1216" s="84" t="str">
        <x:f>IFERROR(VLOOKUP(L1216,'Reference Data'!$A$5:$F$40,3,FALSE),"Unknown")</x:f>
        <x:v>Electronics</x:v>
      </x:c>
      <x:c r="O1216" s="84" t="str">
        <x:f>IFERROR(VLOOKUP(L1216,'Reference Data'!$A$5:$F$40,4,FALSE),"Unknown")</x:f>
        <x:v>Computer Accessories</x:v>
      </x:c>
      <x:c r="P1216" s="92" t="n">
        <x:f>IFERROR(VLOOKUP(L1216,'Reference Data'!$A$5:$F$40,5,FALSE),0)</x:f>
        <x:v>79</x:v>
      </x:c>
      <x:c r="Q1216" s="92" t="n">
        <x:f>IFERROR(VLOOKUP(L1216,'Reference Data'!$A$5:$F$40,6,FALSE),0)</x:f>
        <x:v>37</x:v>
      </x:c>
      <x:c r="R1216" s="84" t="n">
        <x:f>'Raw Sales'!J1216</x:f>
        <x:v>4</x:v>
      </x:c>
      <x:c r="S1216" s="87" t="n">
        <x:f>'Raw Sales'!K1216</x:f>
        <x:v>0.15</x:v>
      </x:c>
      <x:c r="T1216" s="93" t="n">
        <x:f>P1216*R1216</x:f>
        <x:v>316</x:v>
      </x:c>
      <x:c r="U1216" s="93" t="n">
        <x:f>T1216*S1216</x:f>
        <x:v>47.4</x:v>
      </x:c>
      <x:c r="V1216" s="93" t="str">
        <x:f>PROPER(TRIM('Raw Sales'!L1216))</x:f>
        <x:v>Completed</x:v>
      </x:c>
      <x:c r="W1216" s="93" t="n">
        <x:f>IF(V1216="Returned",0,T1216-U1216)</x:f>
        <x:v>268.6</x:v>
      </x:c>
      <x:c r="X1216" s="93" t="n">
        <x:f>IF(V1216="Returned",Q1216*R1216*10%,Q1216*R1216)</x:f>
        <x:v>148</x:v>
      </x:c>
      <x:c r="Y1216" s="93" t="n">
        <x:f>W1216-X1216</x:f>
        <x:v>120.60000000000002</x:v>
      </x:c>
      <x:c r="Z1216" s="94" t="n">
        <x:f>IFERROR(Y1216/W1216,0)</x:f>
        <x:v>0.4489947877885332</x:v>
      </x:c>
      <x:c r="AA1216" s="84" t="str">
        <x:f>PROPER(TRIM('Raw Sales'!M1216))</x:f>
        <x:v>Paypal</x:v>
      </x:c>
      <x:c r="AB1216" s="84" t="str">
        <x:f>PROPER(TRIM('Raw Sales'!N1216))</x:f>
        <x:v>Mia Chen</x:v>
      </x:c>
      <x:c r="AC1216" s="85" t="n">
        <x:f>'Raw Sales'!O1216</x:f>
        <x:v>45695</x:v>
      </x:c>
      <x:c r="AD1216" s="84" t="n">
        <x:f>AC1216-B1216</x:f>
        <x:v>6</x:v>
      </x:c>
      <x:c r="AE1216" s="84" t="str">
        <x:f>IF(COUNTIF($A$5:A1216,A1216)&gt;1,"Duplicate","Keep")</x:f>
        <x:v>Keep</x:v>
      </x:c>
      <x:c r="AF1216" s="84" t="str">
        <x:f>IF(OR(R1216&lt;=0,AC1216&lt;B1216,H1216="Unknown",M1216="Unknown Product"),"Review","Valid")</x:f>
        <x:v>Valid</x:v>
      </x:c>
      <x:c r="AG1216" s="84" t="n">
        <x:f>IF(AND(AE1216="Keep",AF1216="Valid"),1,0)</x:f>
        <x:v>1</x:v>
      </x:c>
      <x:c r="AH1216" s="84" t="n">
        <x:f>IF(AND(AG1216=1,OR('Dashboard'!$B$4="All",I1216='Dashboard'!$B$4),OR('Dashboard'!$E$4="All",N1216='Dashboard'!$E$4),OR('Dashboard'!$H$4="All",K1216='Dashboard'!$H$4),OR('Dashboard'!$K$4="All",C1216='Dashboard'!$K$4)),1,0)</x:f>
        <x:v>1</x:v>
      </x:c>
      <x:c r="AI1216" s="84" t="n">
        <x:f>IF(AND(AG1216=1,OR('Dashboard'!$B$4="All",I1216='Dashboard'!$B$4),OR('Dashboard'!$E$4="All",N1216='Dashboard'!$E$4),OR('Dashboard'!$H$4="All",K1216='Dashboard'!$H$4)),1,0)</x:f>
        <x:v>1</x:v>
      </x:c>
    </x:row>
    <x:row r="1217">
      <x:c r="A1217" s="84" t="str">
        <x:f>'Raw Sales'!A1217</x:f>
        <x:v>ORD-2025-00145</x:v>
      </x:c>
      <x:c r="B1217" s="85" t="n">
        <x:f>'Raw Sales'!B1217</x:f>
        <x:v>45691</x:v>
      </x:c>
      <x:c r="C1217" s="84" t="n">
        <x:f>YEAR(B1217)</x:f>
        <x:v>2025</x:v>
      </x:c>
      <x:c r="D1217" s="91" t="n">
        <x:f>DATE(YEAR(B1217),MONTH(B1217),1)</x:f>
        <x:v>45689</x:v>
      </x:c>
      <x:c r="E1217" s="84" t="str">
        <x:f>TEXT(B1217,"mmm")</x:f>
        <x:v>Feb</x:v>
      </x:c>
      <x:c r="F1217" s="84" t="str">
        <x:f>'Raw Sales'!C1217</x:f>
        <x:v>CUST-0304</x:v>
      </x:c>
      <x:c r="G1217" s="84" t="str">
        <x:f>PROPER(TRIM('Raw Sales'!D1217))</x:f>
        <x:v>Isaac Carter</x:v>
      </x:c>
      <x:c r="H1217" s="84" t="str">
        <x:f>IF(TRIM('Raw Sales'!E1217)="","Unknown",PROPER(TRIM('Raw Sales'!E1217)))</x:f>
        <x:v>Corporate</x:v>
      </x:c>
      <x:c r="I1217" s="84" t="str">
        <x:f>PROPER(TRIM('Raw Sales'!F1217))</x:f>
        <x:v>Northeast</x:v>
      </x:c>
      <x:c r="J1217" s="84" t="str">
        <x:f>PROPER(TRIM('Raw Sales'!G1217))</x:f>
        <x:v>New York</x:v>
      </x:c>
      <x:c r="K1217" s="84" t="str">
        <x:f>PROPER(TRIM('Raw Sales'!H1217))</x:f>
        <x:v>Retail Store</x:v>
      </x:c>
      <x:c r="L1217" s="84" t="str">
        <x:f>'Raw Sales'!I1217</x:f>
        <x:v>ELEC-005</x:v>
      </x:c>
      <x:c r="M1217" s="84" t="str">
        <x:f>IFERROR(VLOOKUP(L1217,'Reference Data'!$A$5:$F$40,2,FALSE),"Unknown Product")</x:f>
        <x:v>HD Webcam</x:v>
      </x:c>
      <x:c r="N1217" s="84" t="str">
        <x:f>IFERROR(VLOOKUP(L1217,'Reference Data'!$A$5:$F$40,3,FALSE),"Unknown")</x:f>
        <x:v>Electronics</x:v>
      </x:c>
      <x:c r="O1217" s="84" t="str">
        <x:f>IFERROR(VLOOKUP(L1217,'Reference Data'!$A$5:$F$40,4,FALSE),"Unknown")</x:f>
        <x:v>Computer Accessories</x:v>
      </x:c>
      <x:c r="P1217" s="92" t="n">
        <x:f>IFERROR(VLOOKUP(L1217,'Reference Data'!$A$5:$F$40,5,FALSE),0)</x:f>
        <x:v>79</x:v>
      </x:c>
      <x:c r="Q1217" s="92" t="n">
        <x:f>IFERROR(VLOOKUP(L1217,'Reference Data'!$A$5:$F$40,6,FALSE),0)</x:f>
        <x:v>37</x:v>
      </x:c>
      <x:c r="R1217" s="84" t="n">
        <x:f>'Raw Sales'!J1217</x:f>
        <x:v>6</x:v>
      </x:c>
      <x:c r="S1217" s="87" t="n">
        <x:f>'Raw Sales'!K1217</x:f>
        <x:v>0</x:v>
      </x:c>
      <x:c r="T1217" s="93" t="n">
        <x:f>P1217*R1217</x:f>
        <x:v>474</x:v>
      </x:c>
      <x:c r="U1217" s="93" t="n">
        <x:f>T1217*S1217</x:f>
        <x:v>0</x:v>
      </x:c>
      <x:c r="V1217" s="93" t="str">
        <x:f>PROPER(TRIM('Raw Sales'!L1217))</x:f>
        <x:v>Completed</x:v>
      </x:c>
      <x:c r="W1217" s="93" t="n">
        <x:f>IF(V1217="Returned",0,T1217-U1217)</x:f>
        <x:v>474</x:v>
      </x:c>
      <x:c r="X1217" s="93" t="n">
        <x:f>IF(V1217="Returned",Q1217*R1217*10%,Q1217*R1217)</x:f>
        <x:v>222</x:v>
      </x:c>
      <x:c r="Y1217" s="93" t="n">
        <x:f>W1217-X1217</x:f>
        <x:v>252</x:v>
      </x:c>
      <x:c r="Z1217" s="94" t="n">
        <x:f>IFERROR(Y1217/W1217,0)</x:f>
        <x:v>0.5316455696202531</x:v>
      </x:c>
      <x:c r="AA1217" s="84" t="str">
        <x:f>PROPER(TRIM('Raw Sales'!M1217))</x:f>
        <x:v>Mobile Wallet</x:v>
      </x:c>
      <x:c r="AB1217" s="84" t="str">
        <x:f>PROPER(TRIM('Raw Sales'!N1217))</x:f>
        <x:v>Ethan Cole</x:v>
      </x:c>
      <x:c r="AC1217" s="85" t="n">
        <x:f>'Raw Sales'!O1217</x:f>
        <x:v>45691</x:v>
      </x:c>
      <x:c r="AD1217" s="84" t="n">
        <x:f>AC1217-B1217</x:f>
        <x:v>0</x:v>
      </x:c>
      <x:c r="AE1217" s="84" t="str">
        <x:f>IF(COUNTIF($A$5:A1217,A1217)&gt;1,"Duplicate","Keep")</x:f>
        <x:v>Keep</x:v>
      </x:c>
      <x:c r="AF1217" s="84" t="str">
        <x:f>IF(OR(R1217&lt;=0,AC1217&lt;B1217,H1217="Unknown",M1217="Unknown Product"),"Review","Valid")</x:f>
        <x:v>Valid</x:v>
      </x:c>
      <x:c r="AG1217" s="84" t="n">
        <x:f>IF(AND(AE1217="Keep",AF1217="Valid"),1,0)</x:f>
        <x:v>1</x:v>
      </x:c>
      <x:c r="AH1217" s="84" t="n">
        <x:f>IF(AND(AG1217=1,OR('Dashboard'!$B$4="All",I1217='Dashboard'!$B$4),OR('Dashboard'!$E$4="All",N1217='Dashboard'!$E$4),OR('Dashboard'!$H$4="All",K1217='Dashboard'!$H$4),OR('Dashboard'!$K$4="All",C1217='Dashboard'!$K$4)),1,0)</x:f>
        <x:v>1</x:v>
      </x:c>
      <x:c r="AI1217" s="84" t="n">
        <x:f>IF(AND(AG1217=1,OR('Dashboard'!$B$4="All",I1217='Dashboard'!$B$4),OR('Dashboard'!$E$4="All",N1217='Dashboard'!$E$4),OR('Dashboard'!$H$4="All",K1217='Dashboard'!$H$4)),1,0)</x:f>
        <x:v>1</x:v>
      </x:c>
    </x:row>
    <x:row r="1218">
      <x:c r="A1218" s="84" t="str">
        <x:f>'Raw Sales'!A1218</x:f>
        <x:v>ORD-2025-00518</x:v>
      </x:c>
      <x:c r="B1218" s="85" t="n">
        <x:f>'Raw Sales'!B1218</x:f>
        <x:v>45691</x:v>
      </x:c>
      <x:c r="C1218" s="84" t="n">
        <x:f>YEAR(B1218)</x:f>
        <x:v>2025</x:v>
      </x:c>
      <x:c r="D1218" s="91" t="n">
        <x:f>DATE(YEAR(B1218),MONTH(B1218),1)</x:f>
        <x:v>45689</x:v>
      </x:c>
      <x:c r="E1218" s="84" t="str">
        <x:f>TEXT(B1218,"mmm")</x:f>
        <x:v>Feb</x:v>
      </x:c>
      <x:c r="F1218" s="84" t="str">
        <x:f>'Raw Sales'!C1218</x:f>
        <x:v>CUST-0436</x:v>
      </x:c>
      <x:c r="G1218" s="84" t="str">
        <x:f>PROPER(TRIM('Raw Sales'!D1218))</x:f>
        <x:v>Nathan Hall</x:v>
      </x:c>
      <x:c r="H1218" s="84" t="str">
        <x:f>IF(TRIM('Raw Sales'!E1218)="","Unknown",PROPER(TRIM('Raw Sales'!E1218)))</x:f>
        <x:v>Consumer</x:v>
      </x:c>
      <x:c r="I1218" s="84" t="str">
        <x:f>PROPER(TRIM('Raw Sales'!F1218))</x:f>
        <x:v>West</x:v>
      </x:c>
      <x:c r="J1218" s="84" t="str">
        <x:f>PROPER(TRIM('Raw Sales'!G1218))</x:f>
        <x:v>Phoenix</x:v>
      </x:c>
      <x:c r="K1218" s="84" t="str">
        <x:f>PROPER(TRIM('Raw Sales'!H1218))</x:f>
        <x:v>Online</x:v>
      </x:c>
      <x:c r="L1218" s="84" t="str">
        <x:f>'Raw Sales'!I1218</x:f>
        <x:v>ELEC-006</x:v>
      </x:c>
      <x:c r="M1218" s="84" t="str">
        <x:f>IFERROR(VLOOKUP(L1218,'Reference Data'!$A$5:$F$40,2,FALSE),"Unknown Product")</x:f>
        <x:v>Portable SSD</x:v>
      </x:c>
      <x:c r="N1218" s="84" t="str">
        <x:f>IFERROR(VLOOKUP(L1218,'Reference Data'!$A$5:$F$40,3,FALSE),"Unknown")</x:f>
        <x:v>Electronics</x:v>
      </x:c>
      <x:c r="O1218" s="84" t="str">
        <x:f>IFERROR(VLOOKUP(L1218,'Reference Data'!$A$5:$F$40,4,FALSE),"Unknown")</x:f>
        <x:v>Storage</x:v>
      </x:c>
      <x:c r="P1218" s="92" t="n">
        <x:f>IFERROR(VLOOKUP(L1218,'Reference Data'!$A$5:$F$40,5,FALSE),0)</x:f>
        <x:v>129</x:v>
      </x:c>
      <x:c r="Q1218" s="92" t="n">
        <x:f>IFERROR(VLOOKUP(L1218,'Reference Data'!$A$5:$F$40,6,FALSE),0)</x:f>
        <x:v>75</x:v>
      </x:c>
      <x:c r="R1218" s="84" t="n">
        <x:f>'Raw Sales'!J1218</x:f>
        <x:v>2</x:v>
      </x:c>
      <x:c r="S1218" s="87" t="n">
        <x:f>'Raw Sales'!K1218</x:f>
        <x:v>0.15</x:v>
      </x:c>
      <x:c r="T1218" s="93" t="n">
        <x:f>P1218*R1218</x:f>
        <x:v>258</x:v>
      </x:c>
      <x:c r="U1218" s="93" t="n">
        <x:f>T1218*S1218</x:f>
        <x:v>38.699999999999996</x:v>
      </x:c>
      <x:c r="V1218" s="93" t="str">
        <x:f>PROPER(TRIM('Raw Sales'!L1218))</x:f>
        <x:v>Completed</x:v>
      </x:c>
      <x:c r="W1218" s="93" t="n">
        <x:f>IF(V1218="Returned",0,T1218-U1218)</x:f>
        <x:v>219.3</x:v>
      </x:c>
      <x:c r="X1218" s="93" t="n">
        <x:f>IF(V1218="Returned",Q1218*R1218*10%,Q1218*R1218)</x:f>
        <x:v>150</x:v>
      </x:c>
      <x:c r="Y1218" s="93" t="n">
        <x:f>W1218-X1218</x:f>
        <x:v>69.30000000000001</x:v>
      </x:c>
      <x:c r="Z1218" s="94" t="n">
        <x:f>IFERROR(Y1218/W1218,0)</x:f>
        <x:v>0.31600547195622436</x:v>
      </x:c>
      <x:c r="AA1218" s="84" t="str">
        <x:f>PROPER(TRIM('Raw Sales'!M1218))</x:f>
        <x:v>Debit Card</x:v>
      </x:c>
      <x:c r="AB1218" s="84" t="str">
        <x:f>PROPER(TRIM('Raw Sales'!N1218))</x:f>
        <x:v>Leo Martinez</x:v>
      </x:c>
      <x:c r="AC1218" s="85" t="n">
        <x:f>'Raw Sales'!O1218</x:f>
        <x:v>45696</x:v>
      </x:c>
      <x:c r="AD1218" s="84" t="n">
        <x:f>AC1218-B1218</x:f>
        <x:v>5</x:v>
      </x:c>
      <x:c r="AE1218" s="84" t="str">
        <x:f>IF(COUNTIF($A$5:A1218,A1218)&gt;1,"Duplicate","Keep")</x:f>
        <x:v>Keep</x:v>
      </x:c>
      <x:c r="AF1218" s="84" t="str">
        <x:f>IF(OR(R1218&lt;=0,AC1218&lt;B1218,H1218="Unknown",M1218="Unknown Product"),"Review","Valid")</x:f>
        <x:v>Valid</x:v>
      </x:c>
      <x:c r="AG1218" s="84" t="n">
        <x:f>IF(AND(AE1218="Keep",AF1218="Valid"),1,0)</x:f>
        <x:v>1</x:v>
      </x:c>
      <x:c r="AH1218" s="84" t="n">
        <x:f>IF(AND(AG1218=1,OR('Dashboard'!$B$4="All",I1218='Dashboard'!$B$4),OR('Dashboard'!$E$4="All",N1218='Dashboard'!$E$4),OR('Dashboard'!$H$4="All",K1218='Dashboard'!$H$4),OR('Dashboard'!$K$4="All",C1218='Dashboard'!$K$4)),1,0)</x:f>
        <x:v>1</x:v>
      </x:c>
      <x:c r="AI1218" s="84" t="n">
        <x:f>IF(AND(AG1218=1,OR('Dashboard'!$B$4="All",I1218='Dashboard'!$B$4),OR('Dashboard'!$E$4="All",N1218='Dashboard'!$E$4),OR('Dashboard'!$H$4="All",K1218='Dashboard'!$H$4)),1,0)</x:f>
        <x:v>1</x:v>
      </x:c>
    </x:row>
    <x:row r="1219">
      <x:c r="A1219" s="84" t="str">
        <x:f>'Raw Sales'!A1219</x:f>
        <x:v>ORD-2025-02361</x:v>
      </x:c>
      <x:c r="B1219" s="85" t="n">
        <x:f>'Raw Sales'!B1219</x:f>
        <x:v>45691</x:v>
      </x:c>
      <x:c r="C1219" s="84" t="n">
        <x:f>YEAR(B1219)</x:f>
        <x:v>2025</x:v>
      </x:c>
      <x:c r="D1219" s="91" t="n">
        <x:f>DATE(YEAR(B1219),MONTH(B1219),1)</x:f>
        <x:v>45689</x:v>
      </x:c>
      <x:c r="E1219" s="84" t="str">
        <x:f>TEXT(B1219,"mmm")</x:f>
        <x:v>Feb</x:v>
      </x:c>
      <x:c r="F1219" s="84" t="str">
        <x:f>'Raw Sales'!C1219</x:f>
        <x:v>CUST-0450</x:v>
      </x:c>
      <x:c r="G1219" s="84" t="str">
        <x:f>PROPER(TRIM('Raw Sales'!D1219))</x:f>
        <x:v>Samuel Garcia</x:v>
      </x:c>
      <x:c r="H1219" s="84" t="str">
        <x:f>IF(TRIM('Raw Sales'!E1219)="","Unknown",PROPER(TRIM('Raw Sales'!E1219)))</x:f>
        <x:v>Small Business</x:v>
      </x:c>
      <x:c r="I1219" s="84" t="str">
        <x:f>PROPER(TRIM('Raw Sales'!F1219))</x:f>
        <x:v>West</x:v>
      </x:c>
      <x:c r="J1219" s="84" t="str">
        <x:f>PROPER(TRIM('Raw Sales'!G1219))</x:f>
        <x:v>Seattle</x:v>
      </x:c>
      <x:c r="K1219" s="84" t="str">
        <x:f>PROPER(TRIM('Raw Sales'!H1219))</x:f>
        <x:v>Marketplace</x:v>
      </x:c>
      <x:c r="L1219" s="84" t="str">
        <x:f>'Raw Sales'!I1219</x:f>
        <x:v>ACCS-003</x:v>
      </x:c>
      <x:c r="M1219" s="84" t="str">
        <x:f>IFERROR(VLOOKUP(L1219,'Reference Data'!$A$5:$F$40,2,FALSE),"Unknown Product")</x:f>
        <x:v>Polarized Sunglasses</x:v>
      </x:c>
      <x:c r="N1219" s="84" t="str">
        <x:f>IFERROR(VLOOKUP(L1219,'Reference Data'!$A$5:$F$40,3,FALSE),"Unknown")</x:f>
        <x:v>Accessories</x:v>
      </x:c>
      <x:c r="O1219" s="84" t="str">
        <x:f>IFERROR(VLOOKUP(L1219,'Reference Data'!$A$5:$F$40,4,FALSE),"Unknown")</x:f>
        <x:v>Eyewear</x:v>
      </x:c>
      <x:c r="P1219" s="92" t="n">
        <x:f>IFERROR(VLOOKUP(L1219,'Reference Data'!$A$5:$F$40,5,FALSE),0)</x:f>
        <x:v>59</x:v>
      </x:c>
      <x:c r="Q1219" s="92" t="n">
        <x:f>IFERROR(VLOOKUP(L1219,'Reference Data'!$A$5:$F$40,6,FALSE),0)</x:f>
        <x:v>17</x:v>
      </x:c>
      <x:c r="R1219" s="84" t="n">
        <x:f>'Raw Sales'!J1219</x:f>
        <x:v>1</x:v>
      </x:c>
      <x:c r="S1219" s="87" t="n">
        <x:f>'Raw Sales'!K1219</x:f>
        <x:v>0.05</x:v>
      </x:c>
      <x:c r="T1219" s="93" t="n">
        <x:f>P1219*R1219</x:f>
        <x:v>59</x:v>
      </x:c>
      <x:c r="U1219" s="93" t="n">
        <x:f>T1219*S1219</x:f>
        <x:v>2.95</x:v>
      </x:c>
      <x:c r="V1219" s="93" t="str">
        <x:f>PROPER(TRIM('Raw Sales'!L1219))</x:f>
        <x:v>Completed</x:v>
      </x:c>
      <x:c r="W1219" s="93" t="n">
        <x:f>IF(V1219="Returned",0,T1219-U1219)</x:f>
        <x:v>56.05</x:v>
      </x:c>
      <x:c r="X1219" s="93" t="n">
        <x:f>IF(V1219="Returned",Q1219*R1219*10%,Q1219*R1219)</x:f>
        <x:v>17</x:v>
      </x:c>
      <x:c r="Y1219" s="93" t="n">
        <x:f>W1219-X1219</x:f>
        <x:v>39.05</x:v>
      </x:c>
      <x:c r="Z1219" s="94" t="n">
        <x:f>IFERROR(Y1219/W1219,0)</x:f>
        <x:v>0.6966993755575379</x:v>
      </x:c>
      <x:c r="AA1219" s="84" t="str">
        <x:f>PROPER(TRIM('Raw Sales'!M1219))</x:f>
        <x:v>Mobile Wallet</x:v>
      </x:c>
      <x:c r="AB1219" s="84" t="str">
        <x:f>PROPER(TRIM('Raw Sales'!N1219))</x:f>
        <x:v>Nora Kim</x:v>
      </x:c>
      <x:c r="AC1219" s="85" t="n">
        <x:f>'Raw Sales'!O1219</x:f>
        <x:v>45694</x:v>
      </x:c>
      <x:c r="AD1219" s="84" t="n">
        <x:f>AC1219-B1219</x:f>
        <x:v>3</x:v>
      </x:c>
      <x:c r="AE1219" s="84" t="str">
        <x:f>IF(COUNTIF($A$5:A1219,A1219)&gt;1,"Duplicate","Keep")</x:f>
        <x:v>Keep</x:v>
      </x:c>
      <x:c r="AF1219" s="84" t="str">
        <x:f>IF(OR(R1219&lt;=0,AC1219&lt;B1219,H1219="Unknown",M1219="Unknown Product"),"Review","Valid")</x:f>
        <x:v>Valid</x:v>
      </x:c>
      <x:c r="AG1219" s="84" t="n">
        <x:f>IF(AND(AE1219="Keep",AF1219="Valid"),1,0)</x:f>
        <x:v>1</x:v>
      </x:c>
      <x:c r="AH1219" s="84" t="n">
        <x:f>IF(AND(AG1219=1,OR('Dashboard'!$B$4="All",I1219='Dashboard'!$B$4),OR('Dashboard'!$E$4="All",N1219='Dashboard'!$E$4),OR('Dashboard'!$H$4="All",K1219='Dashboard'!$H$4),OR('Dashboard'!$K$4="All",C1219='Dashboard'!$K$4)),1,0)</x:f>
        <x:v>1</x:v>
      </x:c>
      <x:c r="AI1219" s="84" t="n">
        <x:f>IF(AND(AG1219=1,OR('Dashboard'!$B$4="All",I1219='Dashboard'!$B$4),OR('Dashboard'!$E$4="All",N1219='Dashboard'!$E$4),OR('Dashboard'!$H$4="All",K1219='Dashboard'!$H$4)),1,0)</x:f>
        <x:v>1</x:v>
      </x:c>
    </x:row>
    <x:row r="1220">
      <x:c r="A1220" s="84" t="str">
        <x:f>'Raw Sales'!A1220</x:f>
        <x:v>ORD-2025-00087</x:v>
      </x:c>
      <x:c r="B1220" s="85" t="n">
        <x:f>'Raw Sales'!B1220</x:f>
        <x:v>45692</x:v>
      </x:c>
      <x:c r="C1220" s="84" t="n">
        <x:f>YEAR(B1220)</x:f>
        <x:v>2025</x:v>
      </x:c>
      <x:c r="D1220" s="91" t="n">
        <x:f>DATE(YEAR(B1220),MONTH(B1220),1)</x:f>
        <x:v>45689</x:v>
      </x:c>
      <x:c r="E1220" s="84" t="str">
        <x:f>TEXT(B1220,"mmm")</x:f>
        <x:v>Feb</x:v>
      </x:c>
      <x:c r="F1220" s="84" t="str">
        <x:f>'Raw Sales'!C1220</x:f>
        <x:v>CUST-0032</x:v>
      </x:c>
      <x:c r="G1220" s="84" t="str">
        <x:f>PROPER(TRIM('Raw Sales'!D1220))</x:f>
        <x:v>Nina Johnson</x:v>
      </x:c>
      <x:c r="H1220" s="84" t="str">
        <x:f>IF(TRIM('Raw Sales'!E1220)="","Unknown",PROPER(TRIM('Raw Sales'!E1220)))</x:f>
        <x:v>Consumer</x:v>
      </x:c>
      <x:c r="I1220" s="84" t="str">
        <x:f>PROPER(TRIM('Raw Sales'!F1220))</x:f>
        <x:v>Northeast</x:v>
      </x:c>
      <x:c r="J1220" s="84" t="str">
        <x:f>PROPER(TRIM('Raw Sales'!G1220))</x:f>
        <x:v>Philadelphia</x:v>
      </x:c>
      <x:c r="K1220" s="84" t="str">
        <x:f>PROPER(TRIM('Raw Sales'!H1220))</x:f>
        <x:v>Online</x:v>
      </x:c>
      <x:c r="L1220" s="84" t="str">
        <x:f>'Raw Sales'!I1220</x:f>
        <x:v>ELEC-004</x:v>
      </x:c>
      <x:c r="M1220" s="84" t="str">
        <x:f>IFERROR(VLOOKUP(L1220,'Reference Data'!$A$5:$F$40,2,FALSE),"Unknown Product")</x:f>
        <x:v>Power Bank</x:v>
      </x:c>
      <x:c r="N1220" s="84" t="str">
        <x:f>IFERROR(VLOOKUP(L1220,'Reference Data'!$A$5:$F$40,3,FALSE),"Unknown")</x:f>
        <x:v>Electronics</x:v>
      </x:c>
      <x:c r="O1220" s="84" t="str">
        <x:f>IFERROR(VLOOKUP(L1220,'Reference Data'!$A$5:$F$40,4,FALSE),"Unknown")</x:f>
        <x:v>Mobile Accessories</x:v>
      </x:c>
      <x:c r="P1220" s="92" t="n">
        <x:f>IFERROR(VLOOKUP(L1220,'Reference Data'!$A$5:$F$40,5,FALSE),0)</x:f>
        <x:v>39</x:v>
      </x:c>
      <x:c r="Q1220" s="92" t="n">
        <x:f>IFERROR(VLOOKUP(L1220,'Reference Data'!$A$5:$F$40,6,FALSE),0)</x:f>
        <x:v>18</x:v>
      </x:c>
      <x:c r="R1220" s="84" t="n">
        <x:f>'Raw Sales'!J1220</x:f>
        <x:v>1</x:v>
      </x:c>
      <x:c r="S1220" s="87" t="n">
        <x:f>'Raw Sales'!K1220</x:f>
        <x:v>0.05</x:v>
      </x:c>
      <x:c r="T1220" s="93" t="n">
        <x:f>P1220*R1220</x:f>
        <x:v>39</x:v>
      </x:c>
      <x:c r="U1220" s="93" t="n">
        <x:f>T1220*S1220</x:f>
        <x:v>1.9500000000000002</x:v>
      </x:c>
      <x:c r="V1220" s="93" t="str">
        <x:f>PROPER(TRIM('Raw Sales'!L1220))</x:f>
        <x:v>Completed</x:v>
      </x:c>
      <x:c r="W1220" s="93" t="n">
        <x:f>IF(V1220="Returned",0,T1220-U1220)</x:f>
        <x:v>37.05</x:v>
      </x:c>
      <x:c r="X1220" s="93" t="n">
        <x:f>IF(V1220="Returned",Q1220*R1220*10%,Q1220*R1220)</x:f>
        <x:v>18</x:v>
      </x:c>
      <x:c r="Y1220" s="93" t="n">
        <x:f>W1220-X1220</x:f>
        <x:v>19.049999999999997</x:v>
      </x:c>
      <x:c r="Z1220" s="94" t="n">
        <x:f>IFERROR(Y1220/W1220,0)</x:f>
        <x:v>0.5141700404858299</x:v>
      </x:c>
      <x:c r="AA1220" s="84" t="str">
        <x:f>PROPER(TRIM('Raw Sales'!M1220))</x:f>
        <x:v>Debit Card</x:v>
      </x:c>
      <x:c r="AB1220" s="84" t="str">
        <x:f>PROPER(TRIM('Raw Sales'!N1220))</x:f>
        <x:v>Maya Brooks</x:v>
      </x:c>
      <x:c r="AC1220" s="85" t="n">
        <x:f>'Raw Sales'!O1220</x:f>
        <x:v>45698</x:v>
      </x:c>
      <x:c r="AD1220" s="84" t="n">
        <x:f>AC1220-B1220</x:f>
        <x:v>6</x:v>
      </x:c>
      <x:c r="AE1220" s="84" t="str">
        <x:f>IF(COUNTIF($A$5:A1220,A1220)&gt;1,"Duplicate","Keep")</x:f>
        <x:v>Keep</x:v>
      </x:c>
      <x:c r="AF1220" s="84" t="str">
        <x:f>IF(OR(R1220&lt;=0,AC1220&lt;B1220,H1220="Unknown",M1220="Unknown Product"),"Review","Valid")</x:f>
        <x:v>Valid</x:v>
      </x:c>
      <x:c r="AG1220" s="84" t="n">
        <x:f>IF(AND(AE1220="Keep",AF1220="Valid"),1,0)</x:f>
        <x:v>1</x:v>
      </x:c>
      <x:c r="AH1220" s="84" t="n">
        <x:f>IF(AND(AG1220=1,OR('Dashboard'!$B$4="All",I1220='Dashboard'!$B$4),OR('Dashboard'!$E$4="All",N1220='Dashboard'!$E$4),OR('Dashboard'!$H$4="All",K1220='Dashboard'!$H$4),OR('Dashboard'!$K$4="All",C1220='Dashboard'!$K$4)),1,0)</x:f>
        <x:v>1</x:v>
      </x:c>
      <x:c r="AI1220" s="84" t="n">
        <x:f>IF(AND(AG1220=1,OR('Dashboard'!$B$4="All",I1220='Dashboard'!$B$4),OR('Dashboard'!$E$4="All",N1220='Dashboard'!$E$4),OR('Dashboard'!$H$4="All",K1220='Dashboard'!$H$4)),1,0)</x:f>
        <x:v>1</x:v>
      </x:c>
    </x:row>
    <x:row r="1221">
      <x:c r="A1221" s="84" t="str">
        <x:f>'Raw Sales'!A1221</x:f>
        <x:v>ORD-2025-00157</x:v>
      </x:c>
      <x:c r="B1221" s="85" t="n">
        <x:f>'Raw Sales'!B1221</x:f>
        <x:v>45692</x:v>
      </x:c>
      <x:c r="C1221" s="84" t="n">
        <x:f>YEAR(B1221)</x:f>
        <x:v>2025</x:v>
      </x:c>
      <x:c r="D1221" s="91" t="n">
        <x:f>DATE(YEAR(B1221),MONTH(B1221),1)</x:f>
        <x:v>45689</x:v>
      </x:c>
      <x:c r="E1221" s="84" t="str">
        <x:f>TEXT(B1221,"mmm")</x:f>
        <x:v>Feb</x:v>
      </x:c>
      <x:c r="F1221" s="84" t="str">
        <x:f>'Raw Sales'!C1221</x:f>
        <x:v>CUST-0525</x:v>
      </x:c>
      <x:c r="G1221" s="84" t="str">
        <x:f>PROPER(TRIM('Raw Sales'!D1221))</x:f>
        <x:v>Daniel Carter</x:v>
      </x:c>
      <x:c r="H1221" s="84" t="str">
        <x:f>IF(TRIM('Raw Sales'!E1221)="","Unknown",PROPER(TRIM('Raw Sales'!E1221)))</x:f>
        <x:v>Small Business</x:v>
      </x:c>
      <x:c r="I1221" s="84" t="str">
        <x:f>PROPER(TRIM('Raw Sales'!F1221))</x:f>
        <x:v>Midwest</x:v>
      </x:c>
      <x:c r="J1221" s="84" t="str">
        <x:f>PROPER(TRIM('Raw Sales'!G1221))</x:f>
        <x:v>Columbus</x:v>
      </x:c>
      <x:c r="K1221" s="84" t="str">
        <x:f>PROPER(TRIM('Raw Sales'!H1221))</x:f>
        <x:v>Online</x:v>
      </x:c>
      <x:c r="L1221" s="84" t="str">
        <x:f>'Raw Sales'!I1221</x:f>
        <x:v>ACCS-004</x:v>
      </x:c>
      <x:c r="M1221" s="84" t="str">
        <x:f>IFERROR(VLOOKUP(L1221,'Reference Data'!$A$5:$F$40,2,FALSE),"Unknown Product")</x:f>
        <x:v>Leather Wallet</x:v>
      </x:c>
      <x:c r="N1221" s="84" t="str">
        <x:f>IFERROR(VLOOKUP(L1221,'Reference Data'!$A$5:$F$40,3,FALSE),"Unknown")</x:f>
        <x:v>Accessories</x:v>
      </x:c>
      <x:c r="O1221" s="84" t="str">
        <x:f>IFERROR(VLOOKUP(L1221,'Reference Data'!$A$5:$F$40,4,FALSE),"Unknown")</x:f>
        <x:v>Wallets</x:v>
      </x:c>
      <x:c r="P1221" s="92" t="n">
        <x:f>IFERROR(VLOOKUP(L1221,'Reference Data'!$A$5:$F$40,5,FALSE),0)</x:f>
        <x:v>49</x:v>
      </x:c>
      <x:c r="Q1221" s="92" t="n">
        <x:f>IFERROR(VLOOKUP(L1221,'Reference Data'!$A$5:$F$40,6,FALSE),0)</x:f>
        <x:v>18</x:v>
      </x:c>
      <x:c r="R1221" s="84" t="n">
        <x:f>'Raw Sales'!J1221</x:f>
        <x:v>2</x:v>
      </x:c>
      <x:c r="S1221" s="87" t="n">
        <x:f>'Raw Sales'!K1221</x:f>
        <x:v>0.15</x:v>
      </x:c>
      <x:c r="T1221" s="93" t="n">
        <x:f>P1221*R1221</x:f>
        <x:v>98</x:v>
      </x:c>
      <x:c r="U1221" s="93" t="n">
        <x:f>T1221*S1221</x:f>
        <x:v>14.7</x:v>
      </x:c>
      <x:c r="V1221" s="93" t="str">
        <x:f>PROPER(TRIM('Raw Sales'!L1221))</x:f>
        <x:v>Completed</x:v>
      </x:c>
      <x:c r="W1221" s="93" t="n">
        <x:f>IF(V1221="Returned",0,T1221-U1221)</x:f>
        <x:v>83.3</x:v>
      </x:c>
      <x:c r="X1221" s="93" t="n">
        <x:f>IF(V1221="Returned",Q1221*R1221*10%,Q1221*R1221)</x:f>
        <x:v>36</x:v>
      </x:c>
      <x:c r="Y1221" s="93" t="n">
        <x:f>W1221-X1221</x:f>
        <x:v>47.3</x:v>
      </x:c>
      <x:c r="Z1221" s="94" t="n">
        <x:f>IFERROR(Y1221/W1221,0)</x:f>
        <x:v>0.5678271308523409</x:v>
      </x:c>
      <x:c r="AA1221" s="84" t="str">
        <x:f>PROPER(TRIM('Raw Sales'!M1221))</x:f>
        <x:v>Credit Card</x:v>
      </x:c>
      <x:c r="AB1221" s="84" t="str">
        <x:f>PROPER(TRIM('Raw Sales'!N1221))</x:f>
        <x:v>Emma Hayes</x:v>
      </x:c>
      <x:c r="AC1221" s="85" t="n">
        <x:f>'Raw Sales'!O1221</x:f>
        <x:v>45697</x:v>
      </x:c>
      <x:c r="AD1221" s="84" t="n">
        <x:f>AC1221-B1221</x:f>
        <x:v>5</x:v>
      </x:c>
      <x:c r="AE1221" s="84" t="str">
        <x:f>IF(COUNTIF($A$5:A1221,A1221)&gt;1,"Duplicate","Keep")</x:f>
        <x:v>Keep</x:v>
      </x:c>
      <x:c r="AF1221" s="84" t="str">
        <x:f>IF(OR(R1221&lt;=0,AC1221&lt;B1221,H1221="Unknown",M1221="Unknown Product"),"Review","Valid")</x:f>
        <x:v>Valid</x:v>
      </x:c>
      <x:c r="AG1221" s="84" t="n">
        <x:f>IF(AND(AE1221="Keep",AF1221="Valid"),1,0)</x:f>
        <x:v>1</x:v>
      </x:c>
      <x:c r="AH1221" s="84" t="n">
        <x:f>IF(AND(AG1221=1,OR('Dashboard'!$B$4="All",I1221='Dashboard'!$B$4),OR('Dashboard'!$E$4="All",N1221='Dashboard'!$E$4),OR('Dashboard'!$H$4="All",K1221='Dashboard'!$H$4),OR('Dashboard'!$K$4="All",C1221='Dashboard'!$K$4)),1,0)</x:f>
        <x:v>1</x:v>
      </x:c>
      <x:c r="AI1221" s="84" t="n">
        <x:f>IF(AND(AG1221=1,OR('Dashboard'!$B$4="All",I1221='Dashboard'!$B$4),OR('Dashboard'!$E$4="All",N1221='Dashboard'!$E$4),OR('Dashboard'!$H$4="All",K1221='Dashboard'!$H$4)),1,0)</x:f>
        <x:v>1</x:v>
      </x:c>
    </x:row>
    <x:row r="1222">
      <x:c r="A1222" s="84" t="str">
        <x:f>'Raw Sales'!A1222</x:f>
        <x:v>ORD-2025-01445</x:v>
      </x:c>
      <x:c r="B1222" s="85" t="n">
        <x:f>'Raw Sales'!B1222</x:f>
        <x:v>45692</x:v>
      </x:c>
      <x:c r="C1222" s="84" t="n">
        <x:f>YEAR(B1222)</x:f>
        <x:v>2025</x:v>
      </x:c>
      <x:c r="D1222" s="91" t="n">
        <x:f>DATE(YEAR(B1222),MONTH(B1222),1)</x:f>
        <x:v>45689</x:v>
      </x:c>
      <x:c r="E1222" s="84" t="str">
        <x:f>TEXT(B1222,"mmm")</x:f>
        <x:v>Feb</x:v>
      </x:c>
      <x:c r="F1222" s="84" t="str">
        <x:f>'Raw Sales'!C1222</x:f>
        <x:v>CUST-0123</x:v>
      </x:c>
      <x:c r="G1222" s="84" t="str">
        <x:f>PROPER(TRIM('Raw Sales'!D1222))</x:f>
        <x:v>Jasmine Patel</x:v>
      </x:c>
      <x:c r="H1222" s="84" t="str">
        <x:f>IF(TRIM('Raw Sales'!E1222)="","Unknown",PROPER(TRIM('Raw Sales'!E1222)))</x:f>
        <x:v>Consumer</x:v>
      </x:c>
      <x:c r="I1222" s="84" t="str">
        <x:f>PROPER(TRIM('Raw Sales'!F1222))</x:f>
        <x:v>Southeast</x:v>
      </x:c>
      <x:c r="J1222" s="84" t="str">
        <x:f>PROPER(TRIM('Raw Sales'!G1222))</x:f>
        <x:v>Nashville</x:v>
      </x:c>
      <x:c r="K1222" s="84" t="str">
        <x:f>PROPER(TRIM('Raw Sales'!H1222))</x:f>
        <x:v>Retail Store</x:v>
      </x:c>
      <x:c r="L1222" s="84" t="str">
        <x:f>'Raw Sales'!I1222</x:f>
        <x:v>FITN-006</x:v>
      </x:c>
      <x:c r="M1222" s="84" t="str">
        <x:f>IFERROR(VLOOKUP(L1222,'Reference Data'!$A$5:$F$40,2,FALSE),"Unknown Product")</x:f>
        <x:v>Foam Roller</x:v>
      </x:c>
      <x:c r="N1222" s="84" t="str">
        <x:f>IFERROR(VLOOKUP(L1222,'Reference Data'!$A$5:$F$40,3,FALSE),"Unknown")</x:f>
        <x:v>Fitness</x:v>
      </x:c>
      <x:c r="O1222" s="84" t="str">
        <x:f>IFERROR(VLOOKUP(L1222,'Reference Data'!$A$5:$F$40,4,FALSE),"Unknown")</x:f>
        <x:v>Recovery</x:v>
      </x:c>
      <x:c r="P1222" s="92" t="n">
        <x:f>IFERROR(VLOOKUP(L1222,'Reference Data'!$A$5:$F$40,5,FALSE),0)</x:f>
        <x:v>31</x:v>
      </x:c>
      <x:c r="Q1222" s="92" t="n">
        <x:f>IFERROR(VLOOKUP(L1222,'Reference Data'!$A$5:$F$40,6,FALSE),0)</x:f>
        <x:v>12</x:v>
      </x:c>
      <x:c r="R1222" s="84" t="n">
        <x:f>'Raw Sales'!J1222</x:f>
        <x:v>2</x:v>
      </x:c>
      <x:c r="S1222" s="87" t="n">
        <x:f>'Raw Sales'!K1222</x:f>
        <x:v>0</x:v>
      </x:c>
      <x:c r="T1222" s="93" t="n">
        <x:f>P1222*R1222</x:f>
        <x:v>62</x:v>
      </x:c>
      <x:c r="U1222" s="93" t="n">
        <x:f>T1222*S1222</x:f>
        <x:v>0</x:v>
      </x:c>
      <x:c r="V1222" s="93" t="str">
        <x:f>PROPER(TRIM('Raw Sales'!L1222))</x:f>
        <x:v>Completed</x:v>
      </x:c>
      <x:c r="W1222" s="93" t="n">
        <x:f>IF(V1222="Returned",0,T1222-U1222)</x:f>
        <x:v>62</x:v>
      </x:c>
      <x:c r="X1222" s="93" t="n">
        <x:f>IF(V1222="Returned",Q1222*R1222*10%,Q1222*R1222)</x:f>
        <x:v>24</x:v>
      </x:c>
      <x:c r="Y1222" s="93" t="n">
        <x:f>W1222-X1222</x:f>
        <x:v>38</x:v>
      </x:c>
      <x:c r="Z1222" s="94" t="n">
        <x:f>IFERROR(Y1222/W1222,0)</x:f>
        <x:v>0.6129032258064516</x:v>
      </x:c>
      <x:c r="AA1222" s="84" t="str">
        <x:f>PROPER(TRIM('Raw Sales'!M1222))</x:f>
        <x:v>Debit Card</x:v>
      </x:c>
      <x:c r="AB1222" s="84" t="str">
        <x:f>PROPER(TRIM('Raw Sales'!N1222))</x:f>
        <x:v>Liam Parker</x:v>
      </x:c>
      <x:c r="AC1222" s="85" t="n">
        <x:f>'Raw Sales'!O1222</x:f>
        <x:v>45692</x:v>
      </x:c>
      <x:c r="AD1222" s="84" t="n">
        <x:f>AC1222-B1222</x:f>
        <x:v>0</x:v>
      </x:c>
      <x:c r="AE1222" s="84" t="str">
        <x:f>IF(COUNTIF($A$5:A1222,A1222)&gt;1,"Duplicate","Keep")</x:f>
        <x:v>Keep</x:v>
      </x:c>
      <x:c r="AF1222" s="84" t="str">
        <x:f>IF(OR(R1222&lt;=0,AC1222&lt;B1222,H1222="Unknown",M1222="Unknown Product"),"Review","Valid")</x:f>
        <x:v>Valid</x:v>
      </x:c>
      <x:c r="AG1222" s="84" t="n">
        <x:f>IF(AND(AE1222="Keep",AF1222="Valid"),1,0)</x:f>
        <x:v>1</x:v>
      </x:c>
      <x:c r="AH1222" s="84" t="n">
        <x:f>IF(AND(AG1222=1,OR('Dashboard'!$B$4="All",I1222='Dashboard'!$B$4),OR('Dashboard'!$E$4="All",N1222='Dashboard'!$E$4),OR('Dashboard'!$H$4="All",K1222='Dashboard'!$H$4),OR('Dashboard'!$K$4="All",C1222='Dashboard'!$K$4)),1,0)</x:f>
        <x:v>1</x:v>
      </x:c>
      <x:c r="AI1222" s="84" t="n">
        <x:f>IF(AND(AG1222=1,OR('Dashboard'!$B$4="All",I1222='Dashboard'!$B$4),OR('Dashboard'!$E$4="All",N1222='Dashboard'!$E$4),OR('Dashboard'!$H$4="All",K1222='Dashboard'!$H$4)),1,0)</x:f>
        <x:v>1</x:v>
      </x:c>
    </x:row>
    <x:row r="1223">
      <x:c r="A1223" s="84" t="str">
        <x:f>'Raw Sales'!A1223</x:f>
        <x:v>ORD-2025-02062</x:v>
      </x:c>
      <x:c r="B1223" s="85" t="n">
        <x:f>'Raw Sales'!B1223</x:f>
        <x:v>45692</x:v>
      </x:c>
      <x:c r="C1223" s="84" t="n">
        <x:f>YEAR(B1223)</x:f>
        <x:v>2025</x:v>
      </x:c>
      <x:c r="D1223" s="91" t="n">
        <x:f>DATE(YEAR(B1223),MONTH(B1223),1)</x:f>
        <x:v>45689</x:v>
      </x:c>
      <x:c r="E1223" s="84" t="str">
        <x:f>TEXT(B1223,"mmm")</x:f>
        <x:v>Feb</x:v>
      </x:c>
      <x:c r="F1223" s="84" t="str">
        <x:f>'Raw Sales'!C1223</x:f>
        <x:v>CUST-0012</x:v>
      </x:c>
      <x:c r="G1223" s="84" t="str">
        <x:f>PROPER(TRIM('Raw Sales'!D1223))</x:f>
        <x:v>William Lewis</x:v>
      </x:c>
      <x:c r="H1223" s="84" t="str">
        <x:f>IF(TRIM('Raw Sales'!E1223)="","Unknown",PROPER(TRIM('Raw Sales'!E1223)))</x:f>
        <x:v>Consumer</x:v>
      </x:c>
      <x:c r="I1223" s="84" t="str">
        <x:f>PROPER(TRIM('Raw Sales'!F1223))</x:f>
        <x:v>West</x:v>
      </x:c>
      <x:c r="J1223" s="84" t="str">
        <x:f>PROPER(TRIM('Raw Sales'!G1223))</x:f>
        <x:v>Denver</x:v>
      </x:c>
      <x:c r="K1223" s="84" t="str">
        <x:f>PROPER(TRIM('Raw Sales'!H1223))</x:f>
        <x:v>Online</x:v>
      </x:c>
      <x:c r="L1223" s="84" t="str">
        <x:f>'Raw Sales'!I1223</x:f>
        <x:v>ACCS-004</x:v>
      </x:c>
      <x:c r="M1223" s="84" t="str">
        <x:f>IFERROR(VLOOKUP(L1223,'Reference Data'!$A$5:$F$40,2,FALSE),"Unknown Product")</x:f>
        <x:v>Leather Wallet</x:v>
      </x:c>
      <x:c r="N1223" s="84" t="str">
        <x:f>IFERROR(VLOOKUP(L1223,'Reference Data'!$A$5:$F$40,3,FALSE),"Unknown")</x:f>
        <x:v>Accessories</x:v>
      </x:c>
      <x:c r="O1223" s="84" t="str">
        <x:f>IFERROR(VLOOKUP(L1223,'Reference Data'!$A$5:$F$40,4,FALSE),"Unknown")</x:f>
        <x:v>Wallets</x:v>
      </x:c>
      <x:c r="P1223" s="92" t="n">
        <x:f>IFERROR(VLOOKUP(L1223,'Reference Data'!$A$5:$F$40,5,FALSE),0)</x:f>
        <x:v>49</x:v>
      </x:c>
      <x:c r="Q1223" s="92" t="n">
        <x:f>IFERROR(VLOOKUP(L1223,'Reference Data'!$A$5:$F$40,6,FALSE),0)</x:f>
        <x:v>18</x:v>
      </x:c>
      <x:c r="R1223" s="84" t="n">
        <x:f>'Raw Sales'!J1223</x:f>
        <x:v>3</x:v>
      </x:c>
      <x:c r="S1223" s="87" t="n">
        <x:f>'Raw Sales'!K1223</x:f>
        <x:v>0</x:v>
      </x:c>
      <x:c r="T1223" s="93" t="n">
        <x:f>P1223*R1223</x:f>
        <x:v>147</x:v>
      </x:c>
      <x:c r="U1223" s="93" t="n">
        <x:f>T1223*S1223</x:f>
        <x:v>0</x:v>
      </x:c>
      <x:c r="V1223" s="93" t="str">
        <x:f>PROPER(TRIM('Raw Sales'!L1223))</x:f>
        <x:v>Completed</x:v>
      </x:c>
      <x:c r="W1223" s="93" t="n">
        <x:f>IF(V1223="Returned",0,T1223-U1223)</x:f>
        <x:v>147</x:v>
      </x:c>
      <x:c r="X1223" s="93" t="n">
        <x:f>IF(V1223="Returned",Q1223*R1223*10%,Q1223*R1223)</x:f>
        <x:v>54</x:v>
      </x:c>
      <x:c r="Y1223" s="93" t="n">
        <x:f>W1223-X1223</x:f>
        <x:v>93</x:v>
      </x:c>
      <x:c r="Z1223" s="94" t="n">
        <x:f>IFERROR(Y1223/W1223,0)</x:f>
        <x:v>0.6326530612244898</x:v>
      </x:c>
      <x:c r="AA1223" s="84" t="str">
        <x:f>PROPER(TRIM('Raw Sales'!M1223))</x:f>
        <x:v>Mobile Wallet</x:v>
      </x:c>
      <x:c r="AB1223" s="84" t="str">
        <x:f>PROPER(TRIM('Raw Sales'!N1223))</x:f>
        <x:v>Nora Kim</x:v>
      </x:c>
      <x:c r="AC1223" s="85" t="n">
        <x:f>'Raw Sales'!O1223</x:f>
        <x:v>45696</x:v>
      </x:c>
      <x:c r="AD1223" s="84" t="n">
        <x:f>AC1223-B1223</x:f>
        <x:v>4</x:v>
      </x:c>
      <x:c r="AE1223" s="84" t="str">
        <x:f>IF(COUNTIF($A$5:A1223,A1223)&gt;1,"Duplicate","Keep")</x:f>
        <x:v>Keep</x:v>
      </x:c>
      <x:c r="AF1223" s="84" t="str">
        <x:f>IF(OR(R1223&lt;=0,AC1223&lt;B1223,H1223="Unknown",M1223="Unknown Product"),"Review","Valid")</x:f>
        <x:v>Valid</x:v>
      </x:c>
      <x:c r="AG1223" s="84" t="n">
        <x:f>IF(AND(AE1223="Keep",AF1223="Valid"),1,0)</x:f>
        <x:v>1</x:v>
      </x:c>
      <x:c r="AH1223" s="84" t="n">
        <x:f>IF(AND(AG1223=1,OR('Dashboard'!$B$4="All",I1223='Dashboard'!$B$4),OR('Dashboard'!$E$4="All",N1223='Dashboard'!$E$4),OR('Dashboard'!$H$4="All",K1223='Dashboard'!$H$4),OR('Dashboard'!$K$4="All",C1223='Dashboard'!$K$4)),1,0)</x:f>
        <x:v>1</x:v>
      </x:c>
      <x:c r="AI1223" s="84" t="n">
        <x:f>IF(AND(AG1223=1,OR('Dashboard'!$B$4="All",I1223='Dashboard'!$B$4),OR('Dashboard'!$E$4="All",N1223='Dashboard'!$E$4),OR('Dashboard'!$H$4="All",K1223='Dashboard'!$H$4)),1,0)</x:f>
        <x:v>1</x:v>
      </x:c>
    </x:row>
    <x:row r="1224">
      <x:c r="A1224" s="84" t="str">
        <x:f>'Raw Sales'!A1224</x:f>
        <x:v>ORD-2025-01658</x:v>
      </x:c>
      <x:c r="B1224" s="85" t="n">
        <x:f>'Raw Sales'!B1224</x:f>
        <x:v>45693</x:v>
      </x:c>
      <x:c r="C1224" s="84" t="n">
        <x:f>YEAR(B1224)</x:f>
        <x:v>2025</x:v>
      </x:c>
      <x:c r="D1224" s="91" t="n">
        <x:f>DATE(YEAR(B1224),MONTH(B1224),1)</x:f>
        <x:v>45689</x:v>
      </x:c>
      <x:c r="E1224" s="84" t="str">
        <x:f>TEXT(B1224,"mmm")</x:f>
        <x:v>Feb</x:v>
      </x:c>
      <x:c r="F1224" s="84" t="str">
        <x:f>'Raw Sales'!C1224</x:f>
        <x:v>CUST-0336</x:v>
      </x:c>
      <x:c r="G1224" s="84" t="str">
        <x:f>PROPER(TRIM('Raw Sales'!D1224))</x:f>
        <x:v>Jonah Garcia</x:v>
      </x:c>
      <x:c r="H1224" s="84" t="str">
        <x:f>IF(TRIM('Raw Sales'!E1224)="","Unknown",PROPER(TRIM('Raw Sales'!E1224)))</x:f>
        <x:v>Consumer</x:v>
      </x:c>
      <x:c r="I1224" s="84" t="str">
        <x:f>PROPER(TRIM('Raw Sales'!F1224))</x:f>
        <x:v>West</x:v>
      </x:c>
      <x:c r="J1224" s="84" t="str">
        <x:f>PROPER(TRIM('Raw Sales'!G1224))</x:f>
        <x:v>Phoenix</x:v>
      </x:c>
      <x:c r="K1224" s="84" t="str">
        <x:f>PROPER(TRIM('Raw Sales'!H1224))</x:f>
        <x:v>Online</x:v>
      </x:c>
      <x:c r="L1224" s="84" t="str">
        <x:f>'Raw Sales'!I1224</x:f>
        <x:v>CARE-006</x:v>
      </x:c>
      <x:c r="M1224" s="84" t="str">
        <x:f>IFERROR(VLOOKUP(L1224,'Reference Data'!$A$5:$F$40,2,FALSE),"Unknown Product")</x:f>
        <x:v>Percussion Massage Gun</x:v>
      </x:c>
      <x:c r="N1224" s="84" t="str">
        <x:f>IFERROR(VLOOKUP(L1224,'Reference Data'!$A$5:$F$40,3,FALSE),"Unknown")</x:f>
        <x:v>Personal Care</x:v>
      </x:c>
      <x:c r="O1224" s="84" t="str">
        <x:f>IFERROR(VLOOKUP(L1224,'Reference Data'!$A$5:$F$40,4,FALSE),"Unknown")</x:f>
        <x:v>Wellness</x:v>
      </x:c>
      <x:c r="P1224" s="92" t="n">
        <x:f>IFERROR(VLOOKUP(L1224,'Reference Data'!$A$5:$F$40,5,FALSE),0)</x:f>
        <x:v>129</x:v>
      </x:c>
      <x:c r="Q1224" s="92" t="n">
        <x:f>IFERROR(VLOOKUP(L1224,'Reference Data'!$A$5:$F$40,6,FALSE),0)</x:f>
        <x:v>70</x:v>
      </x:c>
      <x:c r="R1224" s="84" t="n">
        <x:f>'Raw Sales'!J1224</x:f>
        <x:v>1</x:v>
      </x:c>
      <x:c r="S1224" s="87" t="n">
        <x:f>'Raw Sales'!K1224</x:f>
        <x:v>0.15</x:v>
      </x:c>
      <x:c r="T1224" s="93" t="n">
        <x:f>P1224*R1224</x:f>
        <x:v>129</x:v>
      </x:c>
      <x:c r="U1224" s="93" t="n">
        <x:f>T1224*S1224</x:f>
        <x:v>19.349999999999998</x:v>
      </x:c>
      <x:c r="V1224" s="93" t="str">
        <x:f>PROPER(TRIM('Raw Sales'!L1224))</x:f>
        <x:v>Completed</x:v>
      </x:c>
      <x:c r="W1224" s="93" t="n">
        <x:f>IF(V1224="Returned",0,T1224-U1224)</x:f>
        <x:v>109.65</x:v>
      </x:c>
      <x:c r="X1224" s="93" t="n">
        <x:f>IF(V1224="Returned",Q1224*R1224*10%,Q1224*R1224)</x:f>
        <x:v>70</x:v>
      </x:c>
      <x:c r="Y1224" s="93" t="n">
        <x:f>W1224-X1224</x:f>
        <x:v>39.650000000000006</x:v>
      </x:c>
      <x:c r="Z1224" s="94" t="n">
        <x:f>IFERROR(Y1224/W1224,0)</x:f>
        <x:v>0.36160510715914274</x:v>
      </x:c>
      <x:c r="AA1224" s="84" t="str">
        <x:f>PROPER(TRIM('Raw Sales'!M1224))</x:f>
        <x:v>Paypal</x:v>
      </x:c>
      <x:c r="AB1224" s="84" t="str">
        <x:f>PROPER(TRIM('Raw Sales'!N1224))</x:f>
        <x:v>Mia Chen</x:v>
      </x:c>
      <x:c r="AC1224" s="85" t="n">
        <x:f>'Raw Sales'!O1224</x:f>
        <x:v>45697</x:v>
      </x:c>
      <x:c r="AD1224" s="84" t="n">
        <x:f>AC1224-B1224</x:f>
        <x:v>4</x:v>
      </x:c>
      <x:c r="AE1224" s="84" t="str">
        <x:f>IF(COUNTIF($A$5:A1224,A1224)&gt;1,"Duplicate","Keep")</x:f>
        <x:v>Keep</x:v>
      </x:c>
      <x:c r="AF1224" s="84" t="str">
        <x:f>IF(OR(R1224&lt;=0,AC1224&lt;B1224,H1224="Unknown",M1224="Unknown Product"),"Review","Valid")</x:f>
        <x:v>Valid</x:v>
      </x:c>
      <x:c r="AG1224" s="84" t="n">
        <x:f>IF(AND(AE1224="Keep",AF1224="Valid"),1,0)</x:f>
        <x:v>1</x:v>
      </x:c>
      <x:c r="AH1224" s="84" t="n">
        <x:f>IF(AND(AG1224=1,OR('Dashboard'!$B$4="All",I1224='Dashboard'!$B$4),OR('Dashboard'!$E$4="All",N1224='Dashboard'!$E$4),OR('Dashboard'!$H$4="All",K1224='Dashboard'!$H$4),OR('Dashboard'!$K$4="All",C1224='Dashboard'!$K$4)),1,0)</x:f>
        <x:v>1</x:v>
      </x:c>
      <x:c r="AI1224" s="84" t="n">
        <x:f>IF(AND(AG1224=1,OR('Dashboard'!$B$4="All",I1224='Dashboard'!$B$4),OR('Dashboard'!$E$4="All",N1224='Dashboard'!$E$4),OR('Dashboard'!$H$4="All",K1224='Dashboard'!$H$4)),1,0)</x:f>
        <x:v>1</x:v>
      </x:c>
    </x:row>
    <x:row r="1225">
      <x:c r="A1225" s="84" t="str">
        <x:f>'Raw Sales'!A1225</x:f>
        <x:v>ORD-2025-00363</x:v>
      </x:c>
      <x:c r="B1225" s="85" t="n">
        <x:f>'Raw Sales'!B1225</x:f>
        <x:v>45694</x:v>
      </x:c>
      <x:c r="C1225" s="84" t="n">
        <x:f>YEAR(B1225)</x:f>
        <x:v>2025</x:v>
      </x:c>
      <x:c r="D1225" s="91" t="n">
        <x:f>DATE(YEAR(B1225),MONTH(B1225),1)</x:f>
        <x:v>45689</x:v>
      </x:c>
      <x:c r="E1225" s="84" t="str">
        <x:f>TEXT(B1225,"mmm")</x:f>
        <x:v>Feb</x:v>
      </x:c>
      <x:c r="F1225" s="84" t="str">
        <x:f>'Raw Sales'!C1225</x:f>
        <x:v>CUST-0352</x:v>
      </x:c>
      <x:c r="G1225" s="84" t="str">
        <x:f>PROPER(TRIM('Raw Sales'!D1225))</x:f>
        <x:v>Theo Garcia</x:v>
      </x:c>
      <x:c r="H1225" s="84" t="str">
        <x:f>IF(TRIM('Raw Sales'!E1225)="","Unknown",PROPER(TRIM('Raw Sales'!E1225)))</x:f>
        <x:v>Consumer</x:v>
      </x:c>
      <x:c r="I1225" s="84" t="str">
        <x:f>PROPER(TRIM('Raw Sales'!F1225))</x:f>
        <x:v>West</x:v>
      </x:c>
      <x:c r="J1225" s="84" t="str">
        <x:f>PROPER(TRIM('Raw Sales'!G1225))</x:f>
        <x:v>Seattle</x:v>
      </x:c>
      <x:c r="K1225" s="84" t="str">
        <x:f>PROPER(TRIM('Raw Sales'!H1225))</x:f>
        <x:v>Online</x:v>
      </x:c>
      <x:c r="L1225" s="84" t="str">
        <x:f>'Raw Sales'!I1225</x:f>
        <x:v>ACCS-004</x:v>
      </x:c>
      <x:c r="M1225" s="84" t="str">
        <x:f>IFERROR(VLOOKUP(L1225,'Reference Data'!$A$5:$F$40,2,FALSE),"Unknown Product")</x:f>
        <x:v>Leather Wallet</x:v>
      </x:c>
      <x:c r="N1225" s="84" t="str">
        <x:f>IFERROR(VLOOKUP(L1225,'Reference Data'!$A$5:$F$40,3,FALSE),"Unknown")</x:f>
        <x:v>Accessories</x:v>
      </x:c>
      <x:c r="O1225" s="84" t="str">
        <x:f>IFERROR(VLOOKUP(L1225,'Reference Data'!$A$5:$F$40,4,FALSE),"Unknown")</x:f>
        <x:v>Wallets</x:v>
      </x:c>
      <x:c r="P1225" s="92" t="n">
        <x:f>IFERROR(VLOOKUP(L1225,'Reference Data'!$A$5:$F$40,5,FALSE),0)</x:f>
        <x:v>49</x:v>
      </x:c>
      <x:c r="Q1225" s="92" t="n">
        <x:f>IFERROR(VLOOKUP(L1225,'Reference Data'!$A$5:$F$40,6,FALSE),0)</x:f>
        <x:v>18</x:v>
      </x:c>
      <x:c r="R1225" s="84" t="n">
        <x:f>'Raw Sales'!J1225</x:f>
        <x:v>1</x:v>
      </x:c>
      <x:c r="S1225" s="87" t="n">
        <x:f>'Raw Sales'!K1225</x:f>
        <x:v>0.1</x:v>
      </x:c>
      <x:c r="T1225" s="93" t="n">
        <x:f>P1225*R1225</x:f>
        <x:v>49</x:v>
      </x:c>
      <x:c r="U1225" s="93" t="n">
        <x:f>T1225*S1225</x:f>
        <x:v>4.9</x:v>
      </x:c>
      <x:c r="V1225" s="93" t="str">
        <x:f>PROPER(TRIM('Raw Sales'!L1225))</x:f>
        <x:v>Completed</x:v>
      </x:c>
      <x:c r="W1225" s="93" t="n">
        <x:f>IF(V1225="Returned",0,T1225-U1225)</x:f>
        <x:v>44.1</x:v>
      </x:c>
      <x:c r="X1225" s="93" t="n">
        <x:f>IF(V1225="Returned",Q1225*R1225*10%,Q1225*R1225)</x:f>
        <x:v>18</x:v>
      </x:c>
      <x:c r="Y1225" s="93" t="n">
        <x:f>W1225-X1225</x:f>
        <x:v>26.1</x:v>
      </x:c>
      <x:c r="Z1225" s="94" t="n">
        <x:f>IFERROR(Y1225/W1225,0)</x:f>
        <x:v>0.5918367346938775</x:v>
      </x:c>
      <x:c r="AA1225" s="84" t="str">
        <x:f>PROPER(TRIM('Raw Sales'!M1225))</x:f>
        <x:v>Debit Card</x:v>
      </x:c>
      <x:c r="AB1225" s="84" t="str">
        <x:f>PROPER(TRIM('Raw Sales'!N1225))</x:f>
        <x:v>Nora Kim</x:v>
      </x:c>
      <x:c r="AC1225" s="85" t="n">
        <x:f>'Raw Sales'!O1225</x:f>
        <x:v>45700</x:v>
      </x:c>
      <x:c r="AD1225" s="84" t="n">
        <x:f>AC1225-B1225</x:f>
        <x:v>6</x:v>
      </x:c>
      <x:c r="AE1225" s="84" t="str">
        <x:f>IF(COUNTIF($A$5:A1225,A1225)&gt;1,"Duplicate","Keep")</x:f>
        <x:v>Keep</x:v>
      </x:c>
      <x:c r="AF1225" s="84" t="str">
        <x:f>IF(OR(R1225&lt;=0,AC1225&lt;B1225,H1225="Unknown",M1225="Unknown Product"),"Review","Valid")</x:f>
        <x:v>Valid</x:v>
      </x:c>
      <x:c r="AG1225" s="84" t="n">
        <x:f>IF(AND(AE1225="Keep",AF1225="Valid"),1,0)</x:f>
        <x:v>1</x:v>
      </x:c>
      <x:c r="AH1225" s="84" t="n">
        <x:f>IF(AND(AG1225=1,OR('Dashboard'!$B$4="All",I1225='Dashboard'!$B$4),OR('Dashboard'!$E$4="All",N1225='Dashboard'!$E$4),OR('Dashboard'!$H$4="All",K1225='Dashboard'!$H$4),OR('Dashboard'!$K$4="All",C1225='Dashboard'!$K$4)),1,0)</x:f>
        <x:v>1</x:v>
      </x:c>
      <x:c r="AI1225" s="84" t="n">
        <x:f>IF(AND(AG1225=1,OR('Dashboard'!$B$4="All",I1225='Dashboard'!$B$4),OR('Dashboard'!$E$4="All",N1225='Dashboard'!$E$4),OR('Dashboard'!$H$4="All",K1225='Dashboard'!$H$4)),1,0)</x:f>
        <x:v>1</x:v>
      </x:c>
    </x:row>
    <x:row r="1226">
      <x:c r="A1226" s="84" t="str">
        <x:f>'Raw Sales'!A1226</x:f>
        <x:v>ORD-2025-02096</x:v>
      </x:c>
      <x:c r="B1226" s="85" t="n">
        <x:f>'Raw Sales'!B1226</x:f>
        <x:v>45694</x:v>
      </x:c>
      <x:c r="C1226" s="84" t="n">
        <x:f>YEAR(B1226)</x:f>
        <x:v>2025</x:v>
      </x:c>
      <x:c r="D1226" s="91" t="n">
        <x:f>DATE(YEAR(B1226),MONTH(B1226),1)</x:f>
        <x:v>45689</x:v>
      </x:c>
      <x:c r="E1226" s="84" t="str">
        <x:f>TEXT(B1226,"mmm")</x:f>
        <x:v>Feb</x:v>
      </x:c>
      <x:c r="F1226" s="84" t="str">
        <x:f>'Raw Sales'!C1226</x:f>
        <x:v>CUST-0439</x:v>
      </x:c>
      <x:c r="G1226" s="84" t="str">
        <x:f>PROPER(TRIM('Raw Sales'!D1226))</x:f>
        <x:v>Aiden Irwin</x:v>
      </x:c>
      <x:c r="H1226" s="84" t="str">
        <x:f>IF(TRIM('Raw Sales'!E1226)="","Unknown",PROPER(TRIM('Raw Sales'!E1226)))</x:f>
        <x:v>Consumer</x:v>
      </x:c>
      <x:c r="I1226" s="84" t="str">
        <x:f>PROPER(TRIM('Raw Sales'!F1226))</x:f>
        <x:v>West</x:v>
      </x:c>
      <x:c r="J1226" s="84" t="str">
        <x:f>PROPER(TRIM('Raw Sales'!G1226))</x:f>
        <x:v>Los Angeles</x:v>
      </x:c>
      <x:c r="K1226" s="84" t="str">
        <x:f>PROPER(TRIM('Raw Sales'!H1226))</x:f>
        <x:v>Retail Store</x:v>
      </x:c>
      <x:c r="L1226" s="84" t="str">
        <x:f>'Raw Sales'!I1226</x:f>
        <x:v>ELEC-001</x:v>
      </x:c>
      <x:c r="M1226" s="84" t="str">
        <x:f>IFERROR(VLOOKUP(L1226,'Reference Data'!$A$5:$F$40,2,FALSE),"Unknown Product")</x:f>
        <x:v>Wireless Earbuds</x:v>
      </x:c>
      <x:c r="N1226" s="84" t="str">
        <x:f>IFERROR(VLOOKUP(L1226,'Reference Data'!$A$5:$F$40,3,FALSE),"Unknown")</x:f>
        <x:v>Electronics</x:v>
      </x:c>
      <x:c r="O1226" s="84" t="str">
        <x:f>IFERROR(VLOOKUP(L1226,'Reference Data'!$A$5:$F$40,4,FALSE),"Unknown")</x:f>
        <x:v>Audio</x:v>
      </x:c>
      <x:c r="P1226" s="92" t="n">
        <x:f>IFERROR(VLOOKUP(L1226,'Reference Data'!$A$5:$F$40,5,FALSE),0)</x:f>
        <x:v>69</x:v>
      </x:c>
      <x:c r="Q1226" s="92" t="n">
        <x:f>IFERROR(VLOOKUP(L1226,'Reference Data'!$A$5:$F$40,6,FALSE),0)</x:f>
        <x:v>36</x:v>
      </x:c>
      <x:c r="R1226" s="84" t="n">
        <x:f>'Raw Sales'!J1226</x:f>
        <x:v>1</x:v>
      </x:c>
      <x:c r="S1226" s="87" t="n">
        <x:f>'Raw Sales'!K1226</x:f>
        <x:v>0.05</x:v>
      </x:c>
      <x:c r="T1226" s="93" t="n">
        <x:f>P1226*R1226</x:f>
        <x:v>69</x:v>
      </x:c>
      <x:c r="U1226" s="93" t="n">
        <x:f>T1226*S1226</x:f>
        <x:v>3.45</x:v>
      </x:c>
      <x:c r="V1226" s="93" t="str">
        <x:f>PROPER(TRIM('Raw Sales'!L1226))</x:f>
        <x:v>Completed</x:v>
      </x:c>
      <x:c r="W1226" s="93" t="n">
        <x:f>IF(V1226="Returned",0,T1226-U1226)</x:f>
        <x:v>65.55</x:v>
      </x:c>
      <x:c r="X1226" s="93" t="n">
        <x:f>IF(V1226="Returned",Q1226*R1226*10%,Q1226*R1226)</x:f>
        <x:v>36</x:v>
      </x:c>
      <x:c r="Y1226" s="93" t="n">
        <x:f>W1226-X1226</x:f>
        <x:v>29.549999999999997</x:v>
      </x:c>
      <x:c r="Z1226" s="94" t="n">
        <x:f>IFERROR(Y1226/W1226,0)</x:f>
        <x:v>0.45080091533180777</x:v>
      </x:c>
      <x:c r="AA1226" s="84" t="str">
        <x:f>PROPER(TRIM('Raw Sales'!M1226))</x:f>
        <x:v>Debit Card</x:v>
      </x:c>
      <x:c r="AB1226" s="84" t="str">
        <x:f>PROPER(TRIM('Raw Sales'!N1226))</x:f>
        <x:v>Mia Chen</x:v>
      </x:c>
      <x:c r="AC1226" s="85" t="n">
        <x:f>'Raw Sales'!O1226</x:f>
        <x:v>45694</x:v>
      </x:c>
      <x:c r="AD1226" s="84" t="n">
        <x:f>AC1226-B1226</x:f>
        <x:v>0</x:v>
      </x:c>
      <x:c r="AE1226" s="84" t="str">
        <x:f>IF(COUNTIF($A$5:A1226,A1226)&gt;1,"Duplicate","Keep")</x:f>
        <x:v>Keep</x:v>
      </x:c>
      <x:c r="AF1226" s="84" t="str">
        <x:f>IF(OR(R1226&lt;=0,AC1226&lt;B1226,H1226="Unknown",M1226="Unknown Product"),"Review","Valid")</x:f>
        <x:v>Valid</x:v>
      </x:c>
      <x:c r="AG1226" s="84" t="n">
        <x:f>IF(AND(AE1226="Keep",AF1226="Valid"),1,0)</x:f>
        <x:v>1</x:v>
      </x:c>
      <x:c r="AH1226" s="84" t="n">
        <x:f>IF(AND(AG1226=1,OR('Dashboard'!$B$4="All",I1226='Dashboard'!$B$4),OR('Dashboard'!$E$4="All",N1226='Dashboard'!$E$4),OR('Dashboard'!$H$4="All",K1226='Dashboard'!$H$4),OR('Dashboard'!$K$4="All",C1226='Dashboard'!$K$4)),1,0)</x:f>
        <x:v>1</x:v>
      </x:c>
      <x:c r="AI1226" s="84" t="n">
        <x:f>IF(AND(AG1226=1,OR('Dashboard'!$B$4="All",I1226='Dashboard'!$B$4),OR('Dashboard'!$E$4="All",N1226='Dashboard'!$E$4),OR('Dashboard'!$H$4="All",K1226='Dashboard'!$H$4)),1,0)</x:f>
        <x:v>1</x:v>
      </x:c>
    </x:row>
    <x:row r="1227">
      <x:c r="A1227" s="84" t="str">
        <x:f>'Raw Sales'!A1227</x:f>
        <x:v>ORD-2025-02290</x:v>
      </x:c>
      <x:c r="B1227" s="85" t="n">
        <x:f>'Raw Sales'!B1227</x:f>
        <x:v>45694</x:v>
      </x:c>
      <x:c r="C1227" s="84" t="n">
        <x:f>YEAR(B1227)</x:f>
        <x:v>2025</x:v>
      </x:c>
      <x:c r="D1227" s="91" t="n">
        <x:f>DATE(YEAR(B1227),MONTH(B1227),1)</x:f>
        <x:v>45689</x:v>
      </x:c>
      <x:c r="E1227" s="84" t="str">
        <x:f>TEXT(B1227,"mmm")</x:f>
        <x:v>Feb</x:v>
      </x:c>
      <x:c r="F1227" s="84" t="str">
        <x:f>'Raw Sales'!C1227</x:f>
        <x:v>CUST-0022</x:v>
      </x:c>
      <x:c r="G1227" s="84" t="str">
        <x:f>PROPER(TRIM('Raw Sales'!D1227))</x:f>
        <x:v>Amelia Nelson</x:v>
      </x:c>
      <x:c r="H1227" s="84" t="str">
        <x:f>IF(TRIM('Raw Sales'!E1227)="","Unknown",PROPER(TRIM('Raw Sales'!E1227)))</x:f>
        <x:v>Corporate</x:v>
      </x:c>
      <x:c r="I1227" s="84" t="str">
        <x:f>PROPER(TRIM('Raw Sales'!F1227))</x:f>
        <x:v>Northeast</x:v>
      </x:c>
      <x:c r="J1227" s="84" t="str">
        <x:f>PROPER(TRIM('Raw Sales'!G1227))</x:f>
        <x:v>New York</x:v>
      </x:c>
      <x:c r="K1227" s="84" t="str">
        <x:f>PROPER(TRIM('Raw Sales'!H1227))</x:f>
        <x:v>Marketplace</x:v>
      </x:c>
      <x:c r="L1227" s="84" t="str">
        <x:f>'Raw Sales'!I1227</x:f>
        <x:v>HOME-005</x:v>
      </x:c>
      <x:c r="M1227" s="84" t="str">
        <x:f>IFERROR(VLOOKUP(L1227,'Reference Data'!$A$5:$F$40,2,FALSE),"Unknown Product")</x:f>
        <x:v>Cordless Vacuum</x:v>
      </x:c>
      <x:c r="N1227" s="84" t="str">
        <x:f>IFERROR(VLOOKUP(L1227,'Reference Data'!$A$5:$F$40,3,FALSE),"Unknown")</x:f>
        <x:v>Home &amp; Kitchen</x:v>
      </x:c>
      <x:c r="O1227" s="84" t="str">
        <x:f>IFERROR(VLOOKUP(L1227,'Reference Data'!$A$5:$F$40,4,FALSE),"Unknown")</x:f>
        <x:v>Cleaning</x:v>
      </x:c>
      <x:c r="P1227" s="92" t="n">
        <x:f>IFERROR(VLOOKUP(L1227,'Reference Data'!$A$5:$F$40,5,FALSE),0)</x:f>
        <x:v>179</x:v>
      </x:c>
      <x:c r="Q1227" s="92" t="n">
        <x:f>IFERROR(VLOOKUP(L1227,'Reference Data'!$A$5:$F$40,6,FALSE),0)</x:f>
        <x:v>102</x:v>
      </x:c>
      <x:c r="R1227" s="84" t="n">
        <x:f>'Raw Sales'!J1227</x:f>
        <x:v>2</x:v>
      </x:c>
      <x:c r="S1227" s="87" t="n">
        <x:f>'Raw Sales'!K1227</x:f>
        <x:v>0</x:v>
      </x:c>
      <x:c r="T1227" s="93" t="n">
        <x:f>P1227*R1227</x:f>
        <x:v>358</x:v>
      </x:c>
      <x:c r="U1227" s="93" t="n">
        <x:f>T1227*S1227</x:f>
        <x:v>0</x:v>
      </x:c>
      <x:c r="V1227" s="93" t="str">
        <x:f>PROPER(TRIM('Raw Sales'!L1227))</x:f>
        <x:v>Completed</x:v>
      </x:c>
      <x:c r="W1227" s="93" t="n">
        <x:f>IF(V1227="Returned",0,T1227-U1227)</x:f>
        <x:v>358</x:v>
      </x:c>
      <x:c r="X1227" s="93" t="n">
        <x:f>IF(V1227="Returned",Q1227*R1227*10%,Q1227*R1227)</x:f>
        <x:v>204</x:v>
      </x:c>
      <x:c r="Y1227" s="93" t="n">
        <x:f>W1227-X1227</x:f>
        <x:v>154</x:v>
      </x:c>
      <x:c r="Z1227" s="94" t="n">
        <x:f>IFERROR(Y1227/W1227,0)</x:f>
        <x:v>0.4301675977653631</x:v>
      </x:c>
      <x:c r="AA1227" s="84" t="str">
        <x:f>PROPER(TRIM('Raw Sales'!M1227))</x:f>
        <x:v>Mobile Wallet</x:v>
      </x:c>
      <x:c r="AB1227" s="84" t="str">
        <x:f>PROPER(TRIM('Raw Sales'!N1227))</x:f>
        <x:v>Ethan Cole</x:v>
      </x:c>
      <x:c r="AC1227" s="85" t="n">
        <x:f>'Raw Sales'!O1227</x:f>
        <x:v>45697</x:v>
      </x:c>
      <x:c r="AD1227" s="84" t="n">
        <x:f>AC1227-B1227</x:f>
        <x:v>3</x:v>
      </x:c>
      <x:c r="AE1227" s="84" t="str">
        <x:f>IF(COUNTIF($A$5:A1227,A1227)&gt;1,"Duplicate","Keep")</x:f>
        <x:v>Keep</x:v>
      </x:c>
      <x:c r="AF1227" s="84" t="str">
        <x:f>IF(OR(R1227&lt;=0,AC1227&lt;B1227,H1227="Unknown",M1227="Unknown Product"),"Review","Valid")</x:f>
        <x:v>Valid</x:v>
      </x:c>
      <x:c r="AG1227" s="84" t="n">
        <x:f>IF(AND(AE1227="Keep",AF1227="Valid"),1,0)</x:f>
        <x:v>1</x:v>
      </x:c>
      <x:c r="AH1227" s="84" t="n">
        <x:f>IF(AND(AG1227=1,OR('Dashboard'!$B$4="All",I1227='Dashboard'!$B$4),OR('Dashboard'!$E$4="All",N1227='Dashboard'!$E$4),OR('Dashboard'!$H$4="All",K1227='Dashboard'!$H$4),OR('Dashboard'!$K$4="All",C1227='Dashboard'!$K$4)),1,0)</x:f>
        <x:v>1</x:v>
      </x:c>
      <x:c r="AI1227" s="84" t="n">
        <x:f>IF(AND(AG1227=1,OR('Dashboard'!$B$4="All",I1227='Dashboard'!$B$4),OR('Dashboard'!$E$4="All",N1227='Dashboard'!$E$4),OR('Dashboard'!$H$4="All",K1227='Dashboard'!$H$4)),1,0)</x:f>
        <x:v>1</x:v>
      </x:c>
    </x:row>
    <x:row r="1228">
      <x:c r="A1228" s="84" t="str">
        <x:f>'Raw Sales'!A1228</x:f>
        <x:v>ORD-2025-02332</x:v>
      </x:c>
      <x:c r="B1228" s="85" t="n">
        <x:f>'Raw Sales'!B1228</x:f>
        <x:v>45694</x:v>
      </x:c>
      <x:c r="C1228" s="84" t="n">
        <x:f>YEAR(B1228)</x:f>
        <x:v>2025</x:v>
      </x:c>
      <x:c r="D1228" s="91" t="n">
        <x:f>DATE(YEAR(B1228),MONTH(B1228),1)</x:f>
        <x:v>45689</x:v>
      </x:c>
      <x:c r="E1228" s="84" t="str">
        <x:f>TEXT(B1228,"mmm")</x:f>
        <x:v>Feb</x:v>
      </x:c>
      <x:c r="F1228" s="84" t="str">
        <x:f>'Raw Sales'!C1228</x:f>
        <x:v>CUST-0372</x:v>
      </x:c>
      <x:c r="G1228" s="84" t="str">
        <x:f>PROPER(TRIM('Raw Sales'!D1228))</x:f>
        <x:v>Owen Baker</x:v>
      </x:c>
      <x:c r="H1228" s="84" t="str">
        <x:f>IF(TRIM('Raw Sales'!E1228)="","Unknown",PROPER(TRIM('Raw Sales'!E1228)))</x:f>
        <x:v>Small Business</x:v>
      </x:c>
      <x:c r="I1228" s="84" t="str">
        <x:f>PROPER(TRIM('Raw Sales'!F1228))</x:f>
        <x:v>Midwest</x:v>
      </x:c>
      <x:c r="J1228" s="84" t="str">
        <x:f>PROPER(TRIM('Raw Sales'!G1228))</x:f>
        <x:v>Detroit</x:v>
      </x:c>
      <x:c r="K1228" s="84" t="str">
        <x:f>PROPER(TRIM('Raw Sales'!H1228))</x:f>
        <x:v>Retail Store</x:v>
      </x:c>
      <x:c r="L1228" s="84" t="str">
        <x:f>'Raw Sales'!I1228</x:f>
        <x:v>ELEC-002</x:v>
      </x:c>
      <x:c r="M1228" s="84" t="str">
        <x:f>IFERROR(VLOOKUP(L1228,'Reference Data'!$A$5:$F$40,2,FALSE),"Unknown Product")</x:f>
        <x:v>Smartwatch</x:v>
      </x:c>
      <x:c r="N1228" s="84" t="str">
        <x:f>IFERROR(VLOOKUP(L1228,'Reference Data'!$A$5:$F$40,3,FALSE),"Unknown")</x:f>
        <x:v>Electronics</x:v>
      </x:c>
      <x:c r="O1228" s="84" t="str">
        <x:f>IFERROR(VLOOKUP(L1228,'Reference Data'!$A$5:$F$40,4,FALSE),"Unknown")</x:f>
        <x:v>Wearables</x:v>
      </x:c>
      <x:c r="P1228" s="92" t="n">
        <x:f>IFERROR(VLOOKUP(L1228,'Reference Data'!$A$5:$F$40,5,FALSE),0)</x:f>
        <x:v>159</x:v>
      </x:c>
      <x:c r="Q1228" s="92" t="n">
        <x:f>IFERROR(VLOOKUP(L1228,'Reference Data'!$A$5:$F$40,6,FALSE),0)</x:f>
        <x:v>92</x:v>
      </x:c>
      <x:c r="R1228" s="84" t="n">
        <x:f>'Raw Sales'!J1228</x:f>
        <x:v>2</x:v>
      </x:c>
      <x:c r="S1228" s="87" t="n">
        <x:f>'Raw Sales'!K1228</x:f>
        <x:v>0.1</x:v>
      </x:c>
      <x:c r="T1228" s="93" t="n">
        <x:f>P1228*R1228</x:f>
        <x:v>318</x:v>
      </x:c>
      <x:c r="U1228" s="93" t="n">
        <x:f>T1228*S1228</x:f>
        <x:v>31.8</x:v>
      </x:c>
      <x:c r="V1228" s="93" t="str">
        <x:f>PROPER(TRIM('Raw Sales'!L1228))</x:f>
        <x:v>Completed</x:v>
      </x:c>
      <x:c r="W1228" s="93" t="n">
        <x:f>IF(V1228="Returned",0,T1228-U1228)</x:f>
        <x:v>286.2</x:v>
      </x:c>
      <x:c r="X1228" s="93" t="n">
        <x:f>IF(V1228="Returned",Q1228*R1228*10%,Q1228*R1228)</x:f>
        <x:v>184</x:v>
      </x:c>
      <x:c r="Y1228" s="93" t="n">
        <x:f>W1228-X1228</x:f>
        <x:v>102.19999999999999</x:v>
      </x:c>
      <x:c r="Z1228" s="94" t="n">
        <x:f>IFERROR(Y1228/W1228,0)</x:f>
        <x:v>0.35709294199860236</x:v>
      </x:c>
      <x:c r="AA1228" s="84" t="str">
        <x:f>PROPER(TRIM('Raw Sales'!M1228))</x:f>
        <x:v>Debit Card</x:v>
      </x:c>
      <x:c r="AB1228" s="84" t="str">
        <x:f>PROPER(TRIM('Raw Sales'!N1228))</x:f>
        <x:v>Lucas Grant</x:v>
      </x:c>
      <x:c r="AC1228" s="85" t="n">
        <x:f>'Raw Sales'!O1228</x:f>
        <x:v>45694</x:v>
      </x:c>
      <x:c r="AD1228" s="84" t="n">
        <x:f>AC1228-B1228</x:f>
        <x:v>0</x:v>
      </x:c>
      <x:c r="AE1228" s="84" t="str">
        <x:f>IF(COUNTIF($A$5:A1228,A1228)&gt;1,"Duplicate","Keep")</x:f>
        <x:v>Keep</x:v>
      </x:c>
      <x:c r="AF1228" s="84" t="str">
        <x:f>IF(OR(R1228&lt;=0,AC1228&lt;B1228,H1228="Unknown",M1228="Unknown Product"),"Review","Valid")</x:f>
        <x:v>Valid</x:v>
      </x:c>
      <x:c r="AG1228" s="84" t="n">
        <x:f>IF(AND(AE1228="Keep",AF1228="Valid"),1,0)</x:f>
        <x:v>1</x:v>
      </x:c>
      <x:c r="AH1228" s="84" t="n">
        <x:f>IF(AND(AG1228=1,OR('Dashboard'!$B$4="All",I1228='Dashboard'!$B$4),OR('Dashboard'!$E$4="All",N1228='Dashboard'!$E$4),OR('Dashboard'!$H$4="All",K1228='Dashboard'!$H$4),OR('Dashboard'!$K$4="All",C1228='Dashboard'!$K$4)),1,0)</x:f>
        <x:v>1</x:v>
      </x:c>
      <x:c r="AI1228" s="84" t="n">
        <x:f>IF(AND(AG1228=1,OR('Dashboard'!$B$4="All",I1228='Dashboard'!$B$4),OR('Dashboard'!$E$4="All",N1228='Dashboard'!$E$4),OR('Dashboard'!$H$4="All",K1228='Dashboard'!$H$4)),1,0)</x:f>
        <x:v>1</x:v>
      </x:c>
    </x:row>
    <x:row r="1229">
      <x:c r="A1229" s="84" t="str">
        <x:f>'Raw Sales'!A1229</x:f>
        <x:v>ORD-2025-01248</x:v>
      </x:c>
      <x:c r="B1229" s="85" t="n">
        <x:f>'Raw Sales'!B1229</x:f>
        <x:v>45695</x:v>
      </x:c>
      <x:c r="C1229" s="84" t="n">
        <x:f>YEAR(B1229)</x:f>
        <x:v>2025</x:v>
      </x:c>
      <x:c r="D1229" s="91" t="n">
        <x:f>DATE(YEAR(B1229),MONTH(B1229),1)</x:f>
        <x:v>45689</x:v>
      </x:c>
      <x:c r="E1229" s="84" t="str">
        <x:f>TEXT(B1229,"mmm")</x:f>
        <x:v>Feb</x:v>
      </x:c>
      <x:c r="F1229" s="84" t="str">
        <x:f>'Raw Sales'!C1229</x:f>
        <x:v>CUST-0289</x:v>
      </x:c>
      <x:c r="G1229" s="84" t="str">
        <x:f>PROPER(TRIM('Raw Sales'!D1229))</x:f>
        <x:v>Chloe Patel</x:v>
      </x:c>
      <x:c r="H1229" s="84" t="str">
        <x:f>IF(TRIM('Raw Sales'!E1229)="","Unknown",PROPER(TRIM('Raw Sales'!E1229)))</x:f>
        <x:v>Consumer</x:v>
      </x:c>
      <x:c r="I1229" s="84" t="str">
        <x:f>PROPER(TRIM('Raw Sales'!F1229))</x:f>
        <x:v>West</x:v>
      </x:c>
      <x:c r="J1229" s="84" t="str">
        <x:f>PROPER(TRIM('Raw Sales'!G1229))</x:f>
        <x:v>Denver</x:v>
      </x:c>
      <x:c r="K1229" s="84" t="str">
        <x:f>PROPER(TRIM('Raw Sales'!H1229))</x:f>
        <x:v>Online</x:v>
      </x:c>
      <x:c r="L1229" s="84" t="str">
        <x:f>'Raw Sales'!I1229</x:f>
        <x:v>CARE-004</x:v>
      </x:c>
      <x:c r="M1229" s="84" t="str">
        <x:f>IFERROR(VLOOKUP(L1229,'Reference Data'!$A$5:$F$40,2,FALSE),"Unknown Product")</x:f>
        <x:v>Electric Toothbrush</x:v>
      </x:c>
      <x:c r="N1229" s="84" t="str">
        <x:f>IFERROR(VLOOKUP(L1229,'Reference Data'!$A$5:$F$40,3,FALSE),"Unknown")</x:f>
        <x:v>Personal Care</x:v>
      </x:c>
      <x:c r="O1229" s="84" t="str">
        <x:f>IFERROR(VLOOKUP(L1229,'Reference Data'!$A$5:$F$40,4,FALSE),"Unknown")</x:f>
        <x:v>Oral Care</x:v>
      </x:c>
      <x:c r="P1229" s="92" t="n">
        <x:f>IFERROR(VLOOKUP(L1229,'Reference Data'!$A$5:$F$40,5,FALSE),0)</x:f>
        <x:v>69</x:v>
      </x:c>
      <x:c r="Q1229" s="92" t="n">
        <x:f>IFERROR(VLOOKUP(L1229,'Reference Data'!$A$5:$F$40,6,FALSE),0)</x:f>
        <x:v>31</x:v>
      </x:c>
      <x:c r="R1229" s="84" t="n">
        <x:f>'Raw Sales'!J1229</x:f>
        <x:v>1</x:v>
      </x:c>
      <x:c r="S1229" s="87" t="n">
        <x:f>'Raw Sales'!K1229</x:f>
        <x:v>0.1</x:v>
      </x:c>
      <x:c r="T1229" s="93" t="n">
        <x:f>P1229*R1229</x:f>
        <x:v>69</x:v>
      </x:c>
      <x:c r="U1229" s="93" t="n">
        <x:f>T1229*S1229</x:f>
        <x:v>6.9</x:v>
      </x:c>
      <x:c r="V1229" s="93" t="str">
        <x:f>PROPER(TRIM('Raw Sales'!L1229))</x:f>
        <x:v>Completed</x:v>
      </x:c>
      <x:c r="W1229" s="93" t="n">
        <x:f>IF(V1229="Returned",0,T1229-U1229)</x:f>
        <x:v>62.1</x:v>
      </x:c>
      <x:c r="X1229" s="93" t="n">
        <x:f>IF(V1229="Returned",Q1229*R1229*10%,Q1229*R1229)</x:f>
        <x:v>31</x:v>
      </x:c>
      <x:c r="Y1229" s="93" t="n">
        <x:f>W1229-X1229</x:f>
        <x:v>31.1</x:v>
      </x:c>
      <x:c r="Z1229" s="94" t="n">
        <x:f>IFERROR(Y1229/W1229,0)</x:f>
        <x:v>0.500805152979066</x:v>
      </x:c>
      <x:c r="AA1229" s="84" t="str">
        <x:f>PROPER(TRIM('Raw Sales'!M1229))</x:f>
        <x:v>Credit Card</x:v>
      </x:c>
      <x:c r="AB1229" s="84" t="str">
        <x:f>PROPER(TRIM('Raw Sales'!N1229))</x:f>
        <x:v>Leo Martinez</x:v>
      </x:c>
      <x:c r="AC1229" s="85" t="n">
        <x:f>'Raw Sales'!O1229</x:f>
        <x:v>45697</x:v>
      </x:c>
      <x:c r="AD1229" s="84" t="n">
        <x:f>AC1229-B1229</x:f>
        <x:v>2</x:v>
      </x:c>
      <x:c r="AE1229" s="84" t="str">
        <x:f>IF(COUNTIF($A$5:A1229,A1229)&gt;1,"Duplicate","Keep")</x:f>
        <x:v>Keep</x:v>
      </x:c>
      <x:c r="AF1229" s="84" t="str">
        <x:f>IF(OR(R1229&lt;=0,AC1229&lt;B1229,H1229="Unknown",M1229="Unknown Product"),"Review","Valid")</x:f>
        <x:v>Valid</x:v>
      </x:c>
      <x:c r="AG1229" s="84" t="n">
        <x:f>IF(AND(AE1229="Keep",AF1229="Valid"),1,0)</x:f>
        <x:v>1</x:v>
      </x:c>
      <x:c r="AH1229" s="84" t="n">
        <x:f>IF(AND(AG1229=1,OR('Dashboard'!$B$4="All",I1229='Dashboard'!$B$4),OR('Dashboard'!$E$4="All",N1229='Dashboard'!$E$4),OR('Dashboard'!$H$4="All",K1229='Dashboard'!$H$4),OR('Dashboard'!$K$4="All",C1229='Dashboard'!$K$4)),1,0)</x:f>
        <x:v>1</x:v>
      </x:c>
      <x:c r="AI1229" s="84" t="n">
        <x:f>IF(AND(AG1229=1,OR('Dashboard'!$B$4="All",I1229='Dashboard'!$B$4),OR('Dashboard'!$E$4="All",N1229='Dashboard'!$E$4),OR('Dashboard'!$H$4="All",K1229='Dashboard'!$H$4)),1,0)</x:f>
        <x:v>1</x:v>
      </x:c>
    </x:row>
    <x:row r="1230">
      <x:c r="A1230" s="84" t="str">
        <x:f>'Raw Sales'!A1230</x:f>
        <x:v>ORD-2025-01460</x:v>
      </x:c>
      <x:c r="B1230" s="85" t="n">
        <x:f>'Raw Sales'!B1230</x:f>
        <x:v>45695</x:v>
      </x:c>
      <x:c r="C1230" s="84" t="n">
        <x:f>YEAR(B1230)</x:f>
        <x:v>2025</x:v>
      </x:c>
      <x:c r="D1230" s="91" t="n">
        <x:f>DATE(YEAR(B1230),MONTH(B1230),1)</x:f>
        <x:v>45689</x:v>
      </x:c>
      <x:c r="E1230" s="84" t="str">
        <x:f>TEXT(B1230,"mmm")</x:f>
        <x:v>Feb</x:v>
      </x:c>
      <x:c r="F1230" s="84" t="str">
        <x:f>'Raw Sales'!C1230</x:f>
        <x:v>CUST-0526</x:v>
      </x:c>
      <x:c r="G1230" s="84" t="str">
        <x:f>PROPER(TRIM('Raw Sales'!D1230))</x:f>
        <x:v>Theo Davis</x:v>
      </x:c>
      <x:c r="H1230" s="84" t="str">
        <x:f>IF(TRIM('Raw Sales'!E1230)="","Unknown",PROPER(TRIM('Raw Sales'!E1230)))</x:f>
        <x:v>Corporate</x:v>
      </x:c>
      <x:c r="I1230" s="84" t="str">
        <x:f>PROPER(TRIM('Raw Sales'!F1230))</x:f>
        <x:v>West</x:v>
      </x:c>
      <x:c r="J1230" s="84" t="str">
        <x:f>PROPER(TRIM('Raw Sales'!G1230))</x:f>
        <x:v>Phoenix</x:v>
      </x:c>
      <x:c r="K1230" s="84" t="str">
        <x:f>PROPER(TRIM('Raw Sales'!H1230))</x:f>
        <x:v>Retail Store</x:v>
      </x:c>
      <x:c r="L1230" s="84" t="str">
        <x:f>'Raw Sales'!I1230</x:f>
        <x:v>ACCS-004</x:v>
      </x:c>
      <x:c r="M1230" s="84" t="str">
        <x:f>IFERROR(VLOOKUP(L1230,'Reference Data'!$A$5:$F$40,2,FALSE),"Unknown Product")</x:f>
        <x:v>Leather Wallet</x:v>
      </x:c>
      <x:c r="N1230" s="84" t="str">
        <x:f>IFERROR(VLOOKUP(L1230,'Reference Data'!$A$5:$F$40,3,FALSE),"Unknown")</x:f>
        <x:v>Accessories</x:v>
      </x:c>
      <x:c r="O1230" s="84" t="str">
        <x:f>IFERROR(VLOOKUP(L1230,'Reference Data'!$A$5:$F$40,4,FALSE),"Unknown")</x:f>
        <x:v>Wallets</x:v>
      </x:c>
      <x:c r="P1230" s="92" t="n">
        <x:f>IFERROR(VLOOKUP(L1230,'Reference Data'!$A$5:$F$40,5,FALSE),0)</x:f>
        <x:v>49</x:v>
      </x:c>
      <x:c r="Q1230" s="92" t="n">
        <x:f>IFERROR(VLOOKUP(L1230,'Reference Data'!$A$5:$F$40,6,FALSE),0)</x:f>
        <x:v>18</x:v>
      </x:c>
      <x:c r="R1230" s="84" t="n">
        <x:f>'Raw Sales'!J1230</x:f>
        <x:v>2</x:v>
      </x:c>
      <x:c r="S1230" s="87" t="n">
        <x:f>'Raw Sales'!K1230</x:f>
        <x:v>0.1</x:v>
      </x:c>
      <x:c r="T1230" s="93" t="n">
        <x:f>P1230*R1230</x:f>
        <x:v>98</x:v>
      </x:c>
      <x:c r="U1230" s="93" t="n">
        <x:f>T1230*S1230</x:f>
        <x:v>9.8</x:v>
      </x:c>
      <x:c r="V1230" s="93" t="str">
        <x:f>PROPER(TRIM('Raw Sales'!L1230))</x:f>
        <x:v>Completed</x:v>
      </x:c>
      <x:c r="W1230" s="93" t="n">
        <x:f>IF(V1230="Returned",0,T1230-U1230)</x:f>
        <x:v>88.2</x:v>
      </x:c>
      <x:c r="X1230" s="93" t="n">
        <x:f>IF(V1230="Returned",Q1230*R1230*10%,Q1230*R1230)</x:f>
        <x:v>36</x:v>
      </x:c>
      <x:c r="Y1230" s="93" t="n">
        <x:f>W1230-X1230</x:f>
        <x:v>52.2</x:v>
      </x:c>
      <x:c r="Z1230" s="94" t="n">
        <x:f>IFERROR(Y1230/W1230,0)</x:f>
        <x:v>0.5918367346938775</x:v>
      </x:c>
      <x:c r="AA1230" s="84" t="str">
        <x:f>PROPER(TRIM('Raw Sales'!M1230))</x:f>
        <x:v>Debit Card</x:v>
      </x:c>
      <x:c r="AB1230" s="84" t="str">
        <x:f>PROPER(TRIM('Raw Sales'!N1230))</x:f>
        <x:v>Leo Martinez</x:v>
      </x:c>
      <x:c r="AC1230" s="85" t="n">
        <x:f>'Raw Sales'!O1230</x:f>
        <x:v>45695</x:v>
      </x:c>
      <x:c r="AD1230" s="84" t="n">
        <x:f>AC1230-B1230</x:f>
        <x:v>0</x:v>
      </x:c>
      <x:c r="AE1230" s="84" t="str">
        <x:f>IF(COUNTIF($A$5:A1230,A1230)&gt;1,"Duplicate","Keep")</x:f>
        <x:v>Keep</x:v>
      </x:c>
      <x:c r="AF1230" s="84" t="str">
        <x:f>IF(OR(R1230&lt;=0,AC1230&lt;B1230,H1230="Unknown",M1230="Unknown Product"),"Review","Valid")</x:f>
        <x:v>Valid</x:v>
      </x:c>
      <x:c r="AG1230" s="84" t="n">
        <x:f>IF(AND(AE1230="Keep",AF1230="Valid"),1,0)</x:f>
        <x:v>1</x:v>
      </x:c>
      <x:c r="AH1230" s="84" t="n">
        <x:f>IF(AND(AG1230=1,OR('Dashboard'!$B$4="All",I1230='Dashboard'!$B$4),OR('Dashboard'!$E$4="All",N1230='Dashboard'!$E$4),OR('Dashboard'!$H$4="All",K1230='Dashboard'!$H$4),OR('Dashboard'!$K$4="All",C1230='Dashboard'!$K$4)),1,0)</x:f>
        <x:v>1</x:v>
      </x:c>
      <x:c r="AI1230" s="84" t="n">
        <x:f>IF(AND(AG1230=1,OR('Dashboard'!$B$4="All",I1230='Dashboard'!$B$4),OR('Dashboard'!$E$4="All",N1230='Dashboard'!$E$4),OR('Dashboard'!$H$4="All",K1230='Dashboard'!$H$4)),1,0)</x:f>
        <x:v>1</x:v>
      </x:c>
    </x:row>
    <x:row r="1231">
      <x:c r="A1231" s="84" t="str">
        <x:f>'Raw Sales'!A1231</x:f>
        <x:v>ORD-2025-01693</x:v>
      </x:c>
      <x:c r="B1231" s="85" t="n">
        <x:f>'Raw Sales'!B1231</x:f>
        <x:v>45695</x:v>
      </x:c>
      <x:c r="C1231" s="84" t="n">
        <x:f>YEAR(B1231)</x:f>
        <x:v>2025</x:v>
      </x:c>
      <x:c r="D1231" s="91" t="n">
        <x:f>DATE(YEAR(B1231),MONTH(B1231),1)</x:f>
        <x:v>45689</x:v>
      </x:c>
      <x:c r="E1231" s="84" t="str">
        <x:f>TEXT(B1231,"mmm")</x:f>
        <x:v>Feb</x:v>
      </x:c>
      <x:c r="F1231" s="84" t="str">
        <x:f>'Raw Sales'!C1231</x:f>
        <x:v>CUST-0538</x:v>
      </x:c>
      <x:c r="G1231" s="84" t="str">
        <x:f>PROPER(TRIM('Raw Sales'!D1231))</x:f>
        <x:v>Elena Ortiz</x:v>
      </x:c>
      <x:c r="H1231" s="84" t="str">
        <x:f>IF(TRIM('Raw Sales'!E1231)="","Unknown",PROPER(TRIM('Raw Sales'!E1231)))</x:f>
        <x:v>Consumer</x:v>
      </x:c>
      <x:c r="I1231" s="84" t="str">
        <x:f>PROPER(TRIM('Raw Sales'!F1231))</x:f>
        <x:v>West</x:v>
      </x:c>
      <x:c r="J1231" s="84" t="str">
        <x:f>PROPER(TRIM('Raw Sales'!G1231))</x:f>
        <x:v>Seattle</x:v>
      </x:c>
      <x:c r="K1231" s="84" t="str">
        <x:f>PROPER(TRIM('Raw Sales'!H1231))</x:f>
        <x:v>Online</x:v>
      </x:c>
      <x:c r="L1231" s="84" t="str">
        <x:f>'Raw Sales'!I1231</x:f>
        <x:v>OFFC-003</x:v>
      </x:c>
      <x:c r="M1231" s="84" t="str">
        <x:f>IFERROR(VLOOKUP(L1231,'Reference Data'!$A$5:$F$40,2,FALSE),"Unknown Product")</x:f>
        <x:v>LED Desk Lamp</x:v>
      </x:c>
      <x:c r="N1231" s="84" t="str">
        <x:f>IFERROR(VLOOKUP(L1231,'Reference Data'!$A$5:$F$40,3,FALSE),"Unknown")</x:f>
        <x:v>Office</x:v>
      </x:c>
      <x:c r="O1231" s="84" t="str">
        <x:f>IFERROR(VLOOKUP(L1231,'Reference Data'!$A$5:$F$40,4,FALSE),"Unknown")</x:f>
        <x:v>Desk Accessories</x:v>
      </x:c>
      <x:c r="P1231" s="92" t="n">
        <x:f>IFERROR(VLOOKUP(L1231,'Reference Data'!$A$5:$F$40,5,FALSE),0)</x:f>
        <x:v>45</x:v>
      </x:c>
      <x:c r="Q1231" s="92" t="n">
        <x:f>IFERROR(VLOOKUP(L1231,'Reference Data'!$A$5:$F$40,6,FALSE),0)</x:f>
        <x:v>20</x:v>
      </x:c>
      <x:c r="R1231" s="84" t="n">
        <x:f>'Raw Sales'!J1231</x:f>
        <x:v>3</x:v>
      </x:c>
      <x:c r="S1231" s="87" t="n">
        <x:f>'Raw Sales'!K1231</x:f>
        <x:v>0.15</x:v>
      </x:c>
      <x:c r="T1231" s="93" t="n">
        <x:f>P1231*R1231</x:f>
        <x:v>135</x:v>
      </x:c>
      <x:c r="U1231" s="93" t="n">
        <x:f>T1231*S1231</x:f>
        <x:v>20.25</x:v>
      </x:c>
      <x:c r="V1231" s="93" t="str">
        <x:f>PROPER(TRIM('Raw Sales'!L1231))</x:f>
        <x:v>Completed</x:v>
      </x:c>
      <x:c r="W1231" s="93" t="n">
        <x:f>IF(V1231="Returned",0,T1231-U1231)</x:f>
        <x:v>114.75</x:v>
      </x:c>
      <x:c r="X1231" s="93" t="n">
        <x:f>IF(V1231="Returned",Q1231*R1231*10%,Q1231*R1231)</x:f>
        <x:v>60</x:v>
      </x:c>
      <x:c r="Y1231" s="93" t="n">
        <x:f>W1231-X1231</x:f>
        <x:v>54.75</x:v>
      </x:c>
      <x:c r="Z1231" s="94" t="n">
        <x:f>IFERROR(Y1231/W1231,0)</x:f>
        <x:v>0.477124183006536</x:v>
      </x:c>
      <x:c r="AA1231" s="84" t="str">
        <x:f>PROPER(TRIM('Raw Sales'!M1231))</x:f>
        <x:v>Mobile Wallet</x:v>
      </x:c>
      <x:c r="AB1231" s="84" t="str">
        <x:f>PROPER(TRIM('Raw Sales'!N1231))</x:f>
        <x:v>Leo Martinez</x:v>
      </x:c>
      <x:c r="AC1231" s="85" t="n">
        <x:f>'Raw Sales'!O1231</x:f>
        <x:v>45697</x:v>
      </x:c>
      <x:c r="AD1231" s="84" t="n">
        <x:f>AC1231-B1231</x:f>
        <x:v>2</x:v>
      </x:c>
      <x:c r="AE1231" s="84" t="str">
        <x:f>IF(COUNTIF($A$5:A1231,A1231)&gt;1,"Duplicate","Keep")</x:f>
        <x:v>Keep</x:v>
      </x:c>
      <x:c r="AF1231" s="84" t="str">
        <x:f>IF(OR(R1231&lt;=0,AC1231&lt;B1231,H1231="Unknown",M1231="Unknown Product"),"Review","Valid")</x:f>
        <x:v>Valid</x:v>
      </x:c>
      <x:c r="AG1231" s="84" t="n">
        <x:f>IF(AND(AE1231="Keep",AF1231="Valid"),1,0)</x:f>
        <x:v>1</x:v>
      </x:c>
      <x:c r="AH1231" s="84" t="n">
        <x:f>IF(AND(AG1231=1,OR('Dashboard'!$B$4="All",I1231='Dashboard'!$B$4),OR('Dashboard'!$E$4="All",N1231='Dashboard'!$E$4),OR('Dashboard'!$H$4="All",K1231='Dashboard'!$H$4),OR('Dashboard'!$K$4="All",C1231='Dashboard'!$K$4)),1,0)</x:f>
        <x:v>1</x:v>
      </x:c>
      <x:c r="AI1231" s="84" t="n">
        <x:f>IF(AND(AG1231=1,OR('Dashboard'!$B$4="All",I1231='Dashboard'!$B$4),OR('Dashboard'!$E$4="All",N1231='Dashboard'!$E$4),OR('Dashboard'!$H$4="All",K1231='Dashboard'!$H$4)),1,0)</x:f>
        <x:v>1</x:v>
      </x:c>
    </x:row>
    <x:row r="1232">
      <x:c r="A1232" s="84" t="str">
        <x:f>'Raw Sales'!A1232</x:f>
        <x:v>ORD-2025-01896</x:v>
      </x:c>
      <x:c r="B1232" s="85" t="n">
        <x:f>'Raw Sales'!B1232</x:f>
        <x:v>45695</x:v>
      </x:c>
      <x:c r="C1232" s="84" t="n">
        <x:f>YEAR(B1232)</x:f>
        <x:v>2025</x:v>
      </x:c>
      <x:c r="D1232" s="91" t="n">
        <x:f>DATE(YEAR(B1232),MONTH(B1232),1)</x:f>
        <x:v>45689</x:v>
      </x:c>
      <x:c r="E1232" s="84" t="str">
        <x:f>TEXT(B1232,"mmm")</x:f>
        <x:v>Feb</x:v>
      </x:c>
      <x:c r="F1232" s="84" t="str">
        <x:f>'Raw Sales'!C1232</x:f>
        <x:v>CUST-0050</x:v>
      </x:c>
      <x:c r="G1232" s="84" t="str">
        <x:f>PROPER(TRIM('Raw Sales'!D1232))</x:f>
        <x:v>Isaac Davis</x:v>
      </x:c>
      <x:c r="H1232" s="84" t="str">
        <x:f>IF(TRIM('Raw Sales'!E1232)="","Unknown",PROPER(TRIM('Raw Sales'!E1232)))</x:f>
        <x:v>Consumer</x:v>
      </x:c>
      <x:c r="I1232" s="84" t="str">
        <x:f>PROPER(TRIM('Raw Sales'!F1232))</x:f>
        <x:v>Northeast</x:v>
      </x:c>
      <x:c r="J1232" s="84" t="str">
        <x:f>PROPER(TRIM('Raw Sales'!G1232))</x:f>
        <x:v>Newark</x:v>
      </x:c>
      <x:c r="K1232" s="84" t="str">
        <x:f>PROPER(TRIM('Raw Sales'!H1232))</x:f>
        <x:v>Retail Store</x:v>
      </x:c>
      <x:c r="L1232" s="84" t="str">
        <x:f>'Raw Sales'!I1232</x:f>
        <x:v>ELEC-001</x:v>
      </x:c>
      <x:c r="M1232" s="84" t="str">
        <x:f>IFERROR(VLOOKUP(L1232,'Reference Data'!$A$5:$F$40,2,FALSE),"Unknown Product")</x:f>
        <x:v>Wireless Earbuds</x:v>
      </x:c>
      <x:c r="N1232" s="84" t="str">
        <x:f>IFERROR(VLOOKUP(L1232,'Reference Data'!$A$5:$F$40,3,FALSE),"Unknown")</x:f>
        <x:v>Electronics</x:v>
      </x:c>
      <x:c r="O1232" s="84" t="str">
        <x:f>IFERROR(VLOOKUP(L1232,'Reference Data'!$A$5:$F$40,4,FALSE),"Unknown")</x:f>
        <x:v>Audio</x:v>
      </x:c>
      <x:c r="P1232" s="92" t="n">
        <x:f>IFERROR(VLOOKUP(L1232,'Reference Data'!$A$5:$F$40,5,FALSE),0)</x:f>
        <x:v>69</x:v>
      </x:c>
      <x:c r="Q1232" s="92" t="n">
        <x:f>IFERROR(VLOOKUP(L1232,'Reference Data'!$A$5:$F$40,6,FALSE),0)</x:f>
        <x:v>36</x:v>
      </x:c>
      <x:c r="R1232" s="84" t="n">
        <x:f>'Raw Sales'!J1232</x:f>
        <x:v>3</x:v>
      </x:c>
      <x:c r="S1232" s="87" t="n">
        <x:f>'Raw Sales'!K1232</x:f>
        <x:v>0.05</x:v>
      </x:c>
      <x:c r="T1232" s="93" t="n">
        <x:f>P1232*R1232</x:f>
        <x:v>207</x:v>
      </x:c>
      <x:c r="U1232" s="93" t="n">
        <x:f>T1232*S1232</x:f>
        <x:v>10.350000000000001</x:v>
      </x:c>
      <x:c r="V1232" s="93" t="str">
        <x:f>PROPER(TRIM('Raw Sales'!L1232))</x:f>
        <x:v>Completed</x:v>
      </x:c>
      <x:c r="W1232" s="93" t="n">
        <x:f>IF(V1232="Returned",0,T1232-U1232)</x:f>
        <x:v>196.65</x:v>
      </x:c>
      <x:c r="X1232" s="93" t="n">
        <x:f>IF(V1232="Returned",Q1232*R1232*10%,Q1232*R1232)</x:f>
        <x:v>108</x:v>
      </x:c>
      <x:c r="Y1232" s="93" t="n">
        <x:f>W1232-X1232</x:f>
        <x:v>88.65</x:v>
      </x:c>
      <x:c r="Z1232" s="94" t="n">
        <x:f>IFERROR(Y1232/W1232,0)</x:f>
        <x:v>0.45080091533180777</x:v>
      </x:c>
      <x:c r="AA1232" s="84" t="str">
        <x:f>PROPER(TRIM('Raw Sales'!M1232))</x:f>
        <x:v>Debit Card</x:v>
      </x:c>
      <x:c r="AB1232" s="84" t="str">
        <x:f>PROPER(TRIM('Raw Sales'!N1232))</x:f>
        <x:v>Ethan Cole</x:v>
      </x:c>
      <x:c r="AC1232" s="85" t="n">
        <x:f>'Raw Sales'!O1232</x:f>
        <x:v>45695</x:v>
      </x:c>
      <x:c r="AD1232" s="84" t="n">
        <x:f>AC1232-B1232</x:f>
        <x:v>0</x:v>
      </x:c>
      <x:c r="AE1232" s="84" t="str">
        <x:f>IF(COUNTIF($A$5:A1232,A1232)&gt;1,"Duplicate","Keep")</x:f>
        <x:v>Keep</x:v>
      </x:c>
      <x:c r="AF1232" s="84" t="str">
        <x:f>IF(OR(R1232&lt;=0,AC1232&lt;B1232,H1232="Unknown",M1232="Unknown Product"),"Review","Valid")</x:f>
        <x:v>Valid</x:v>
      </x:c>
      <x:c r="AG1232" s="84" t="n">
        <x:f>IF(AND(AE1232="Keep",AF1232="Valid"),1,0)</x:f>
        <x:v>1</x:v>
      </x:c>
      <x:c r="AH1232" s="84" t="n">
        <x:f>IF(AND(AG1232=1,OR('Dashboard'!$B$4="All",I1232='Dashboard'!$B$4),OR('Dashboard'!$E$4="All",N1232='Dashboard'!$E$4),OR('Dashboard'!$H$4="All",K1232='Dashboard'!$H$4),OR('Dashboard'!$K$4="All",C1232='Dashboard'!$K$4)),1,0)</x:f>
        <x:v>1</x:v>
      </x:c>
      <x:c r="AI1232" s="84" t="n">
        <x:f>IF(AND(AG1232=1,OR('Dashboard'!$B$4="All",I1232='Dashboard'!$B$4),OR('Dashboard'!$E$4="All",N1232='Dashboard'!$E$4),OR('Dashboard'!$H$4="All",K1232='Dashboard'!$H$4)),1,0)</x:f>
        <x:v>1</x:v>
      </x:c>
    </x:row>
    <x:row r="1233">
      <x:c r="A1233" s="84" t="str">
        <x:f>'Raw Sales'!A1233</x:f>
        <x:v>ORD-2025-00823</x:v>
      </x:c>
      <x:c r="B1233" s="85" t="n">
        <x:f>'Raw Sales'!B1233</x:f>
        <x:v>45696</x:v>
      </x:c>
      <x:c r="C1233" s="84" t="n">
        <x:f>YEAR(B1233)</x:f>
        <x:v>2025</x:v>
      </x:c>
      <x:c r="D1233" s="91" t="n">
        <x:f>DATE(YEAR(B1233),MONTH(B1233),1)</x:f>
        <x:v>45689</x:v>
      </x:c>
      <x:c r="E1233" s="84" t="str">
        <x:f>TEXT(B1233,"mmm")</x:f>
        <x:v>Feb</x:v>
      </x:c>
      <x:c r="F1233" s="84" t="str">
        <x:f>'Raw Sales'!C1233</x:f>
        <x:v>CUST-0108</x:v>
      </x:c>
      <x:c r="G1233" s="84" t="str">
        <x:f>PROPER(TRIM('Raw Sales'!D1233))</x:f>
        <x:v>Nina Ortiz</x:v>
      </x:c>
      <x:c r="H1233" s="84" t="str">
        <x:f>IF(TRIM('Raw Sales'!E1233)="","Unknown",PROPER(TRIM('Raw Sales'!E1233)))</x:f>
        <x:v>Small Business</x:v>
      </x:c>
      <x:c r="I1233" s="84" t="str">
        <x:f>PROPER(TRIM('Raw Sales'!F1233))</x:f>
        <x:v>West</x:v>
      </x:c>
      <x:c r="J1233" s="84" t="str">
        <x:f>PROPER(TRIM('Raw Sales'!G1233))</x:f>
        <x:v>Phoenix</x:v>
      </x:c>
      <x:c r="K1233" s="84" t="str">
        <x:f>PROPER(TRIM('Raw Sales'!H1233))</x:f>
        <x:v>Online</x:v>
      </x:c>
      <x:c r="L1233" s="84" t="str">
        <x:f>'Raw Sales'!I1233</x:f>
        <x:v>FITN-003</x:v>
      </x:c>
      <x:c r="M1233" s="84" t="str">
        <x:f>IFERROR(VLOOKUP(L1233,'Reference Data'!$A$5:$F$40,2,FALSE),"Unknown Product")</x:f>
        <x:v>Resistance Band Set</x:v>
      </x:c>
      <x:c r="N1233" s="84" t="str">
        <x:f>IFERROR(VLOOKUP(L1233,'Reference Data'!$A$5:$F$40,3,FALSE),"Unknown")</x:f>
        <x:v>Fitness</x:v>
      </x:c>
      <x:c r="O1233" s="84" t="str">
        <x:f>IFERROR(VLOOKUP(L1233,'Reference Data'!$A$5:$F$40,4,FALSE),"Unknown")</x:f>
        <x:v>Strength</x:v>
      </x:c>
      <x:c r="P1233" s="92" t="n">
        <x:f>IFERROR(VLOOKUP(L1233,'Reference Data'!$A$5:$F$40,5,FALSE),0)</x:f>
        <x:v>24</x:v>
      </x:c>
      <x:c r="Q1233" s="92" t="n">
        <x:f>IFERROR(VLOOKUP(L1233,'Reference Data'!$A$5:$F$40,6,FALSE),0)</x:f>
        <x:v>8</x:v>
      </x:c>
      <x:c r="R1233" s="84" t="n">
        <x:f>'Raw Sales'!J1233</x:f>
        <x:v>2</x:v>
      </x:c>
      <x:c r="S1233" s="87" t="n">
        <x:f>'Raw Sales'!K1233</x:f>
        <x:v>0</x:v>
      </x:c>
      <x:c r="T1233" s="93" t="n">
        <x:f>P1233*R1233</x:f>
        <x:v>48</x:v>
      </x:c>
      <x:c r="U1233" s="93" t="n">
        <x:f>T1233*S1233</x:f>
        <x:v>0</x:v>
      </x:c>
      <x:c r="V1233" s="93" t="str">
        <x:f>PROPER(TRIM('Raw Sales'!L1233))</x:f>
        <x:v>Returned</x:v>
      </x:c>
      <x:c r="W1233" s="93" t="n">
        <x:f>IF(V1233="Returned",0,T1233-U1233)</x:f>
        <x:v>0</x:v>
      </x:c>
      <x:c r="X1233" s="93" t="n">
        <x:f>IF(V1233="Returned",Q1233*R1233*10%,Q1233*R1233)</x:f>
        <x:v>1.6</x:v>
      </x:c>
      <x:c r="Y1233" s="93" t="n">
        <x:f>W1233-X1233</x:f>
        <x:v>-1.6</x:v>
      </x:c>
      <x:c r="Z1233" s="94" t="n">
        <x:f>IFERROR(Y1233/W1233,0)</x:f>
        <x:v>0</x:v>
      </x:c>
      <x:c r="AA1233" s="84" t="str">
        <x:f>PROPER(TRIM('Raw Sales'!M1233))</x:f>
        <x:v>Credit Card</x:v>
      </x:c>
      <x:c r="AB1233" s="84" t="str">
        <x:f>PROPER(TRIM('Raw Sales'!N1233))</x:f>
        <x:v>Leo Martinez</x:v>
      </x:c>
      <x:c r="AC1233" s="85" t="n">
        <x:f>'Raw Sales'!O1233</x:f>
        <x:v>45701</x:v>
      </x:c>
      <x:c r="AD1233" s="84" t="n">
        <x:f>AC1233-B1233</x:f>
        <x:v>5</x:v>
      </x:c>
      <x:c r="AE1233" s="84" t="str">
        <x:f>IF(COUNTIF($A$5:A1233,A1233)&gt;1,"Duplicate","Keep")</x:f>
        <x:v>Keep</x:v>
      </x:c>
      <x:c r="AF1233" s="84" t="str">
        <x:f>IF(OR(R1233&lt;=0,AC1233&lt;B1233,H1233="Unknown",M1233="Unknown Product"),"Review","Valid")</x:f>
        <x:v>Valid</x:v>
      </x:c>
      <x:c r="AG1233" s="84" t="n">
        <x:f>IF(AND(AE1233="Keep",AF1233="Valid"),1,0)</x:f>
        <x:v>1</x:v>
      </x:c>
      <x:c r="AH1233" s="84" t="n">
        <x:f>IF(AND(AG1233=1,OR('Dashboard'!$B$4="All",I1233='Dashboard'!$B$4),OR('Dashboard'!$E$4="All",N1233='Dashboard'!$E$4),OR('Dashboard'!$H$4="All",K1233='Dashboard'!$H$4),OR('Dashboard'!$K$4="All",C1233='Dashboard'!$K$4)),1,0)</x:f>
        <x:v>1</x:v>
      </x:c>
      <x:c r="AI1233" s="84" t="n">
        <x:f>IF(AND(AG1233=1,OR('Dashboard'!$B$4="All",I1233='Dashboard'!$B$4),OR('Dashboard'!$E$4="All",N1233='Dashboard'!$E$4),OR('Dashboard'!$H$4="All",K1233='Dashboard'!$H$4)),1,0)</x:f>
        <x:v>1</x:v>
      </x:c>
    </x:row>
    <x:row r="1234">
      <x:c r="A1234" s="84" t="str">
        <x:f>'Raw Sales'!A1234</x:f>
        <x:v>ORD-2025-01529</x:v>
      </x:c>
      <x:c r="B1234" s="85" t="n">
        <x:f>'Raw Sales'!B1234</x:f>
        <x:v>45696</x:v>
      </x:c>
      <x:c r="C1234" s="84" t="n">
        <x:f>YEAR(B1234)</x:f>
        <x:v>2025</x:v>
      </x:c>
      <x:c r="D1234" s="91" t="n">
        <x:f>DATE(YEAR(B1234),MONTH(B1234),1)</x:f>
        <x:v>45689</x:v>
      </x:c>
      <x:c r="E1234" s="84" t="str">
        <x:f>TEXT(B1234,"mmm")</x:f>
        <x:v>Feb</x:v>
      </x:c>
      <x:c r="F1234" s="84" t="str">
        <x:f>'Raw Sales'!C1234</x:f>
        <x:v>CUST-0083</x:v>
      </x:c>
      <x:c r="G1234" s="84" t="str">
        <x:f>PROPER(TRIM('Raw Sales'!D1234))</x:f>
        <x:v>Theo Davis</x:v>
      </x:c>
      <x:c r="H1234" s="84" t="str">
        <x:f>IF(TRIM('Raw Sales'!E1234)="","Unknown",PROPER(TRIM('Raw Sales'!E1234)))</x:f>
        <x:v>Consumer</x:v>
      </x:c>
      <x:c r="I1234" s="84" t="str">
        <x:f>PROPER(TRIM('Raw Sales'!F1234))</x:f>
        <x:v>West</x:v>
      </x:c>
      <x:c r="J1234" s="84" t="str">
        <x:f>PROPER(TRIM('Raw Sales'!G1234))</x:f>
        <x:v>Phoenix</x:v>
      </x:c>
      <x:c r="K1234" s="84" t="str">
        <x:f>PROPER(TRIM('Raw Sales'!H1234))</x:f>
        <x:v>Online</x:v>
      </x:c>
      <x:c r="L1234" s="84" t="str">
        <x:f>'Raw Sales'!I1234</x:f>
        <x:v>HOME-005</x:v>
      </x:c>
      <x:c r="M1234" s="84" t="str">
        <x:f>IFERROR(VLOOKUP(L1234,'Reference Data'!$A$5:$F$40,2,FALSE),"Unknown Product")</x:f>
        <x:v>Cordless Vacuum</x:v>
      </x:c>
      <x:c r="N1234" s="84" t="str">
        <x:f>IFERROR(VLOOKUP(L1234,'Reference Data'!$A$5:$F$40,3,FALSE),"Unknown")</x:f>
        <x:v>Home &amp; Kitchen</x:v>
      </x:c>
      <x:c r="O1234" s="84" t="str">
        <x:f>IFERROR(VLOOKUP(L1234,'Reference Data'!$A$5:$F$40,4,FALSE),"Unknown")</x:f>
        <x:v>Cleaning</x:v>
      </x:c>
      <x:c r="P1234" s="92" t="n">
        <x:f>IFERROR(VLOOKUP(L1234,'Reference Data'!$A$5:$F$40,5,FALSE),0)</x:f>
        <x:v>179</x:v>
      </x:c>
      <x:c r="Q1234" s="92" t="n">
        <x:f>IFERROR(VLOOKUP(L1234,'Reference Data'!$A$5:$F$40,6,FALSE),0)</x:f>
        <x:v>102</x:v>
      </x:c>
      <x:c r="R1234" s="84" t="n">
        <x:f>'Raw Sales'!J1234</x:f>
        <x:v>1</x:v>
      </x:c>
      <x:c r="S1234" s="87" t="n">
        <x:f>'Raw Sales'!K1234</x:f>
        <x:v>0.05</x:v>
      </x:c>
      <x:c r="T1234" s="93" t="n">
        <x:f>P1234*R1234</x:f>
        <x:v>179</x:v>
      </x:c>
      <x:c r="U1234" s="93" t="n">
        <x:f>T1234*S1234</x:f>
        <x:v>8.950000000000001</x:v>
      </x:c>
      <x:c r="V1234" s="93" t="str">
        <x:f>PROPER(TRIM('Raw Sales'!L1234))</x:f>
        <x:v>Completed</x:v>
      </x:c>
      <x:c r="W1234" s="93" t="n">
        <x:f>IF(V1234="Returned",0,T1234-U1234)</x:f>
        <x:v>170.05</x:v>
      </x:c>
      <x:c r="X1234" s="93" t="n">
        <x:f>IF(V1234="Returned",Q1234*R1234*10%,Q1234*R1234)</x:f>
        <x:v>102</x:v>
      </x:c>
      <x:c r="Y1234" s="93" t="n">
        <x:f>W1234-X1234</x:f>
        <x:v>68.05000000000001</x:v>
      </x:c>
      <x:c r="Z1234" s="94" t="n">
        <x:f>IFERROR(Y1234/W1234,0)</x:f>
        <x:v>0.4001764187003823</x:v>
      </x:c>
      <x:c r="AA1234" s="84" t="str">
        <x:f>PROPER(TRIM('Raw Sales'!M1234))</x:f>
        <x:v>Credit Card</x:v>
      </x:c>
      <x:c r="AB1234" s="84" t="str">
        <x:f>PROPER(TRIM('Raw Sales'!N1234))</x:f>
        <x:v>Leo Martinez</x:v>
      </x:c>
      <x:c r="AC1234" s="85" t="n">
        <x:f>'Raw Sales'!O1234</x:f>
        <x:v>45700</x:v>
      </x:c>
      <x:c r="AD1234" s="84" t="n">
        <x:f>AC1234-B1234</x:f>
        <x:v>4</x:v>
      </x:c>
      <x:c r="AE1234" s="84" t="str">
        <x:f>IF(COUNTIF($A$5:A1234,A1234)&gt;1,"Duplicate","Keep")</x:f>
        <x:v>Keep</x:v>
      </x:c>
      <x:c r="AF1234" s="84" t="str">
        <x:f>IF(OR(R1234&lt;=0,AC1234&lt;B1234,H1234="Unknown",M1234="Unknown Product"),"Review","Valid")</x:f>
        <x:v>Valid</x:v>
      </x:c>
      <x:c r="AG1234" s="84" t="n">
        <x:f>IF(AND(AE1234="Keep",AF1234="Valid"),1,0)</x:f>
        <x:v>1</x:v>
      </x:c>
      <x:c r="AH1234" s="84" t="n">
        <x:f>IF(AND(AG1234=1,OR('Dashboard'!$B$4="All",I1234='Dashboard'!$B$4),OR('Dashboard'!$E$4="All",N1234='Dashboard'!$E$4),OR('Dashboard'!$H$4="All",K1234='Dashboard'!$H$4),OR('Dashboard'!$K$4="All",C1234='Dashboard'!$K$4)),1,0)</x:f>
        <x:v>1</x:v>
      </x:c>
      <x:c r="AI1234" s="84" t="n">
        <x:f>IF(AND(AG1234=1,OR('Dashboard'!$B$4="All",I1234='Dashboard'!$B$4),OR('Dashboard'!$E$4="All",N1234='Dashboard'!$E$4),OR('Dashboard'!$H$4="All",K1234='Dashboard'!$H$4)),1,0)</x:f>
        <x:v>1</x:v>
      </x:c>
    </x:row>
    <x:row r="1235">
      <x:c r="A1235" s="84" t="str">
        <x:f>'Raw Sales'!A1235</x:f>
        <x:v>ORD-2025-02031</x:v>
      </x:c>
      <x:c r="B1235" s="85" t="n">
        <x:f>'Raw Sales'!B1235</x:f>
        <x:v>45696</x:v>
      </x:c>
      <x:c r="C1235" s="84" t="n">
        <x:f>YEAR(B1235)</x:f>
        <x:v>2025</x:v>
      </x:c>
      <x:c r="D1235" s="91" t="n">
        <x:f>DATE(YEAR(B1235),MONTH(B1235),1)</x:f>
        <x:v>45689</x:v>
      </x:c>
      <x:c r="E1235" s="84" t="str">
        <x:f>TEXT(B1235,"mmm")</x:f>
        <x:v>Feb</x:v>
      </x:c>
      <x:c r="F1235" s="84" t="str">
        <x:f>'Raw Sales'!C1235</x:f>
        <x:v>CUST-0409</x:v>
      </x:c>
      <x:c r="G1235" s="84" t="str">
        <x:f>PROPER(TRIM('Raw Sales'!D1235))</x:f>
        <x:v>Owen Ortiz</x:v>
      </x:c>
      <x:c r="H1235" s="84" t="str">
        <x:f>IF(TRIM('Raw Sales'!E1235)="","Unknown",PROPER(TRIM('Raw Sales'!E1235)))</x:f>
        <x:v>Consumer</x:v>
      </x:c>
      <x:c r="I1235" s="84" t="str">
        <x:f>PROPER(TRIM('Raw Sales'!F1235))</x:f>
        <x:v>West</x:v>
      </x:c>
      <x:c r="J1235" s="84" t="str">
        <x:f>PROPER(TRIM('Raw Sales'!G1235))</x:f>
        <x:v>Los Angeles</x:v>
      </x:c>
      <x:c r="K1235" s="84" t="str">
        <x:f>PROPER(TRIM('Raw Sales'!H1235))</x:f>
        <x:v>Marketplace</x:v>
      </x:c>
      <x:c r="L1235" s="84" t="str">
        <x:f>'Raw Sales'!I1235</x:f>
        <x:v>FITN-006</x:v>
      </x:c>
      <x:c r="M1235" s="84" t="str">
        <x:f>IFERROR(VLOOKUP(L1235,'Reference Data'!$A$5:$F$40,2,FALSE),"Unknown Product")</x:f>
        <x:v>Foam Roller</x:v>
      </x:c>
      <x:c r="N1235" s="84" t="str">
        <x:f>IFERROR(VLOOKUP(L1235,'Reference Data'!$A$5:$F$40,3,FALSE),"Unknown")</x:f>
        <x:v>Fitness</x:v>
      </x:c>
      <x:c r="O1235" s="84" t="str">
        <x:f>IFERROR(VLOOKUP(L1235,'Reference Data'!$A$5:$F$40,4,FALSE),"Unknown")</x:f>
        <x:v>Recovery</x:v>
      </x:c>
      <x:c r="P1235" s="92" t="n">
        <x:f>IFERROR(VLOOKUP(L1235,'Reference Data'!$A$5:$F$40,5,FALSE),0)</x:f>
        <x:v>31</x:v>
      </x:c>
      <x:c r="Q1235" s="92" t="n">
        <x:f>IFERROR(VLOOKUP(L1235,'Reference Data'!$A$5:$F$40,6,FALSE),0)</x:f>
        <x:v>12</x:v>
      </x:c>
      <x:c r="R1235" s="84" t="n">
        <x:f>'Raw Sales'!J1235</x:f>
        <x:v>1</x:v>
      </x:c>
      <x:c r="S1235" s="87" t="n">
        <x:f>'Raw Sales'!K1235</x:f>
        <x:v>0.15</x:v>
      </x:c>
      <x:c r="T1235" s="93" t="n">
        <x:f>P1235*R1235</x:f>
        <x:v>31</x:v>
      </x:c>
      <x:c r="U1235" s="93" t="n">
        <x:f>T1235*S1235</x:f>
        <x:v>4.6499999999999995</x:v>
      </x:c>
      <x:c r="V1235" s="93" t="str">
        <x:f>PROPER(TRIM('Raw Sales'!L1235))</x:f>
        <x:v>Completed</x:v>
      </x:c>
      <x:c r="W1235" s="93" t="n">
        <x:f>IF(V1235="Returned",0,T1235-U1235)</x:f>
        <x:v>26.35</x:v>
      </x:c>
      <x:c r="X1235" s="93" t="n">
        <x:f>IF(V1235="Returned",Q1235*R1235*10%,Q1235*R1235)</x:f>
        <x:v>12</x:v>
      </x:c>
      <x:c r="Y1235" s="93" t="n">
        <x:f>W1235-X1235</x:f>
        <x:v>14.350000000000001</x:v>
      </x:c>
      <x:c r="Z1235" s="94" t="n">
        <x:f>IFERROR(Y1235/W1235,0)</x:f>
        <x:v>0.5445920303605314</x:v>
      </x:c>
      <x:c r="AA1235" s="84" t="str">
        <x:f>PROPER(TRIM('Raw Sales'!M1235))</x:f>
        <x:v>Credit Card</x:v>
      </x:c>
      <x:c r="AB1235" s="84" t="str">
        <x:f>PROPER(TRIM('Raw Sales'!N1235))</x:f>
        <x:v>Nora Kim</x:v>
      </x:c>
      <x:c r="AC1235" s="85" t="n">
        <x:f>'Raw Sales'!O1235</x:f>
        <x:v>45703</x:v>
      </x:c>
      <x:c r="AD1235" s="84" t="n">
        <x:f>AC1235-B1235</x:f>
        <x:v>7</x:v>
      </x:c>
      <x:c r="AE1235" s="84" t="str">
        <x:f>IF(COUNTIF($A$5:A1235,A1235)&gt;1,"Duplicate","Keep")</x:f>
        <x:v>Keep</x:v>
      </x:c>
      <x:c r="AF1235" s="84" t="str">
        <x:f>IF(OR(R1235&lt;=0,AC1235&lt;B1235,H1235="Unknown",M1235="Unknown Product"),"Review","Valid")</x:f>
        <x:v>Valid</x:v>
      </x:c>
      <x:c r="AG1235" s="84" t="n">
        <x:f>IF(AND(AE1235="Keep",AF1235="Valid"),1,0)</x:f>
        <x:v>1</x:v>
      </x:c>
      <x:c r="AH1235" s="84" t="n">
        <x:f>IF(AND(AG1235=1,OR('Dashboard'!$B$4="All",I1235='Dashboard'!$B$4),OR('Dashboard'!$E$4="All",N1235='Dashboard'!$E$4),OR('Dashboard'!$H$4="All",K1235='Dashboard'!$H$4),OR('Dashboard'!$K$4="All",C1235='Dashboard'!$K$4)),1,0)</x:f>
        <x:v>1</x:v>
      </x:c>
      <x:c r="AI1235" s="84" t="n">
        <x:f>IF(AND(AG1235=1,OR('Dashboard'!$B$4="All",I1235='Dashboard'!$B$4),OR('Dashboard'!$E$4="All",N1235='Dashboard'!$E$4),OR('Dashboard'!$H$4="All",K1235='Dashboard'!$H$4)),1,0)</x:f>
        <x:v>1</x:v>
      </x:c>
    </x:row>
    <x:row r="1236">
      <x:c r="A1236" s="84" t="str">
        <x:f>'Raw Sales'!A1236</x:f>
        <x:v>ORD-2025-02152</x:v>
      </x:c>
      <x:c r="B1236" s="85" t="n">
        <x:f>'Raw Sales'!B1236</x:f>
        <x:v>45696</x:v>
      </x:c>
      <x:c r="C1236" s="84" t="n">
        <x:f>YEAR(B1236)</x:f>
        <x:v>2025</x:v>
      </x:c>
      <x:c r="D1236" s="91" t="n">
        <x:f>DATE(YEAR(B1236),MONTH(B1236),1)</x:f>
        <x:v>45689</x:v>
      </x:c>
      <x:c r="E1236" s="84" t="str">
        <x:f>TEXT(B1236,"mmm")</x:f>
        <x:v>Feb</x:v>
      </x:c>
      <x:c r="F1236" s="84" t="str">
        <x:f>'Raw Sales'!C1236</x:f>
        <x:v>CUST-0139</x:v>
      </x:c>
      <x:c r="G1236" s="84" t="str">
        <x:f>PROPER(TRIM('Raw Sales'!D1236))</x:f>
        <x:v>William Evans</x:v>
      </x:c>
      <x:c r="H1236" s="84" t="str">
        <x:f>IF(TRIM('Raw Sales'!E1236)="","Unknown",PROPER(TRIM('Raw Sales'!E1236)))</x:f>
        <x:v>Consumer</x:v>
      </x:c>
      <x:c r="I1236" s="84" t="str">
        <x:f>PROPER(TRIM('Raw Sales'!F1236))</x:f>
        <x:v>West</x:v>
      </x:c>
      <x:c r="J1236" s="84" t="str">
        <x:f>PROPER(TRIM('Raw Sales'!G1236))</x:f>
        <x:v>Seattle</x:v>
      </x:c>
      <x:c r="K1236" s="84" t="str">
        <x:f>PROPER(TRIM('Raw Sales'!H1236))</x:f>
        <x:v>Online</x:v>
      </x:c>
      <x:c r="L1236" s="84" t="str">
        <x:f>'Raw Sales'!I1236</x:f>
        <x:v>HOME-003</x:v>
      </x:c>
      <x:c r="M1236" s="84" t="str">
        <x:f>IFERROR(VLOOKUP(L1236,'Reference Data'!$A$5:$F$40,2,FALSE),"Unknown Product")</x:f>
        <x:v>Countertop Blender</x:v>
      </x:c>
      <x:c r="N1236" s="84" t="str">
        <x:f>IFERROR(VLOOKUP(L1236,'Reference Data'!$A$5:$F$40,3,FALSE),"Unknown")</x:f>
        <x:v>Home &amp; Kitchen</x:v>
      </x:c>
      <x:c r="O1236" s="84" t="str">
        <x:f>IFERROR(VLOOKUP(L1236,'Reference Data'!$A$5:$F$40,4,FALSE),"Unknown")</x:f>
        <x:v>Small Appliances</x:v>
      </x:c>
      <x:c r="P1236" s="92" t="n">
        <x:f>IFERROR(VLOOKUP(L1236,'Reference Data'!$A$5:$F$40,5,FALSE),0)</x:f>
        <x:v>89</x:v>
      </x:c>
      <x:c r="Q1236" s="92" t="n">
        <x:f>IFERROR(VLOOKUP(L1236,'Reference Data'!$A$5:$F$40,6,FALSE),0)</x:f>
        <x:v>46</x:v>
      </x:c>
      <x:c r="R1236" s="84" t="n">
        <x:f>'Raw Sales'!J1236</x:f>
        <x:v>4</x:v>
      </x:c>
      <x:c r="S1236" s="87" t="n">
        <x:f>'Raw Sales'!K1236</x:f>
        <x:v>0</x:v>
      </x:c>
      <x:c r="T1236" s="93" t="n">
        <x:f>P1236*R1236</x:f>
        <x:v>356</x:v>
      </x:c>
      <x:c r="U1236" s="93" t="n">
        <x:f>T1236*S1236</x:f>
        <x:v>0</x:v>
      </x:c>
      <x:c r="V1236" s="93" t="str">
        <x:f>PROPER(TRIM('Raw Sales'!L1236))</x:f>
        <x:v>Completed</x:v>
      </x:c>
      <x:c r="W1236" s="93" t="n">
        <x:f>IF(V1236="Returned",0,T1236-U1236)</x:f>
        <x:v>356</x:v>
      </x:c>
      <x:c r="X1236" s="93" t="n">
        <x:f>IF(V1236="Returned",Q1236*R1236*10%,Q1236*R1236)</x:f>
        <x:v>184</x:v>
      </x:c>
      <x:c r="Y1236" s="93" t="n">
        <x:f>W1236-X1236</x:f>
        <x:v>172</x:v>
      </x:c>
      <x:c r="Z1236" s="94" t="n">
        <x:f>IFERROR(Y1236/W1236,0)</x:f>
        <x:v>0.48314606741573035</x:v>
      </x:c>
      <x:c r="AA1236" s="84" t="str">
        <x:f>PROPER(TRIM('Raw Sales'!M1236))</x:f>
        <x:v>Credit Card</x:v>
      </x:c>
      <x:c r="AB1236" s="84" t="str">
        <x:f>PROPER(TRIM('Raw Sales'!N1236))</x:f>
        <x:v>Nora Kim</x:v>
      </x:c>
      <x:c r="AC1236" s="85" t="n">
        <x:f>'Raw Sales'!O1236</x:f>
        <x:v>45702</x:v>
      </x:c>
      <x:c r="AD1236" s="84" t="n">
        <x:f>AC1236-B1236</x:f>
        <x:v>6</x:v>
      </x:c>
      <x:c r="AE1236" s="84" t="str">
        <x:f>IF(COUNTIF($A$5:A1236,A1236)&gt;1,"Duplicate","Keep")</x:f>
        <x:v>Keep</x:v>
      </x:c>
      <x:c r="AF1236" s="84" t="str">
        <x:f>IF(OR(R1236&lt;=0,AC1236&lt;B1236,H1236="Unknown",M1236="Unknown Product"),"Review","Valid")</x:f>
        <x:v>Valid</x:v>
      </x:c>
      <x:c r="AG1236" s="84" t="n">
        <x:f>IF(AND(AE1236="Keep",AF1236="Valid"),1,0)</x:f>
        <x:v>1</x:v>
      </x:c>
      <x:c r="AH1236" s="84" t="n">
        <x:f>IF(AND(AG1236=1,OR('Dashboard'!$B$4="All",I1236='Dashboard'!$B$4),OR('Dashboard'!$E$4="All",N1236='Dashboard'!$E$4),OR('Dashboard'!$H$4="All",K1236='Dashboard'!$H$4),OR('Dashboard'!$K$4="All",C1236='Dashboard'!$K$4)),1,0)</x:f>
        <x:v>1</x:v>
      </x:c>
      <x:c r="AI1236" s="84" t="n">
        <x:f>IF(AND(AG1236=1,OR('Dashboard'!$B$4="All",I1236='Dashboard'!$B$4),OR('Dashboard'!$E$4="All",N1236='Dashboard'!$E$4),OR('Dashboard'!$H$4="All",K1236='Dashboard'!$H$4)),1,0)</x:f>
        <x:v>1</x:v>
      </x:c>
    </x:row>
    <x:row r="1237">
      <x:c r="A1237" s="84" t="str">
        <x:f>'Raw Sales'!A1237</x:f>
        <x:v>ORD-2025-00141</x:v>
      </x:c>
      <x:c r="B1237" s="85" t="n">
        <x:f>'Raw Sales'!B1237</x:f>
        <x:v>45697</x:v>
      </x:c>
      <x:c r="C1237" s="84" t="n">
        <x:f>YEAR(B1237)</x:f>
        <x:v>2025</x:v>
      </x:c>
      <x:c r="D1237" s="91" t="n">
        <x:f>DATE(YEAR(B1237),MONTH(B1237),1)</x:f>
        <x:v>45689</x:v>
      </x:c>
      <x:c r="E1237" s="84" t="str">
        <x:f>TEXT(B1237,"mmm")</x:f>
        <x:v>Feb</x:v>
      </x:c>
      <x:c r="F1237" s="84" t="str">
        <x:f>'Raw Sales'!C1237</x:f>
        <x:v>CUST-0212</x:v>
      </x:c>
      <x:c r="G1237" s="84" t="str">
        <x:f>PROPER(TRIM('Raw Sales'!D1237))</x:f>
        <x:v>Theo Walker</x:v>
      </x:c>
      <x:c r="H1237" s="84" t="str">
        <x:f>IF(TRIM('Raw Sales'!E1237)="","Unknown",PROPER(TRIM('Raw Sales'!E1237)))</x:f>
        <x:v>Corporate</x:v>
      </x:c>
      <x:c r="I1237" s="84" t="str">
        <x:f>PROPER(TRIM('Raw Sales'!F1237))</x:f>
        <x:v>Midwest</x:v>
      </x:c>
      <x:c r="J1237" s="84" t="str">
        <x:f>PROPER(TRIM('Raw Sales'!G1237))</x:f>
        <x:v>Columbus</x:v>
      </x:c>
      <x:c r="K1237" s="84" t="str">
        <x:f>PROPER(TRIM('Raw Sales'!H1237))</x:f>
        <x:v>Marketplace</x:v>
      </x:c>
      <x:c r="L1237" s="84" t="str">
        <x:f>'Raw Sales'!I1237</x:f>
        <x:v>OFFC-004</x:v>
      </x:c>
      <x:c r="M1237" s="84" t="str">
        <x:f>IFERROR(VLOOKUP(L1237,'Reference Data'!$A$5:$F$40,2,FALSE),"Unknown Product")</x:f>
        <x:v>Premium Notebook Pack</x:v>
      </x:c>
      <x:c r="N1237" s="84" t="str">
        <x:f>IFERROR(VLOOKUP(L1237,'Reference Data'!$A$5:$F$40,3,FALSE),"Unknown")</x:f>
        <x:v>Office</x:v>
      </x:c>
      <x:c r="O1237" s="84" t="str">
        <x:f>IFERROR(VLOOKUP(L1237,'Reference Data'!$A$5:$F$40,4,FALSE),"Unknown")</x:f>
        <x:v>Stationery</x:v>
      </x:c>
      <x:c r="P1237" s="92" t="n">
        <x:f>IFERROR(VLOOKUP(L1237,'Reference Data'!$A$5:$F$40,5,FALSE),0)</x:f>
        <x:v>18</x:v>
      </x:c>
      <x:c r="Q1237" s="92" t="n">
        <x:f>IFERROR(VLOOKUP(L1237,'Reference Data'!$A$5:$F$40,6,FALSE),0)</x:f>
        <x:v>6.5</x:v>
      </x:c>
      <x:c r="R1237" s="84" t="n">
        <x:f>'Raw Sales'!J1237</x:f>
        <x:v>5</x:v>
      </x:c>
      <x:c r="S1237" s="87" t="n">
        <x:f>'Raw Sales'!K1237</x:f>
        <x:v>0.05</x:v>
      </x:c>
      <x:c r="T1237" s="93" t="n">
        <x:f>P1237*R1237</x:f>
        <x:v>90</x:v>
      </x:c>
      <x:c r="U1237" s="93" t="n">
        <x:f>T1237*S1237</x:f>
        <x:v>4.5</x:v>
      </x:c>
      <x:c r="V1237" s="93" t="str">
        <x:f>PROPER(TRIM('Raw Sales'!L1237))</x:f>
        <x:v>Completed</x:v>
      </x:c>
      <x:c r="W1237" s="93" t="n">
        <x:f>IF(V1237="Returned",0,T1237-U1237)</x:f>
        <x:v>85.5</x:v>
      </x:c>
      <x:c r="X1237" s="93" t="n">
        <x:f>IF(V1237="Returned",Q1237*R1237*10%,Q1237*R1237)</x:f>
        <x:v>32.5</x:v>
      </x:c>
      <x:c r="Y1237" s="93" t="n">
        <x:f>W1237-X1237</x:f>
        <x:v>53</x:v>
      </x:c>
      <x:c r="Z1237" s="94" t="n">
        <x:f>IFERROR(Y1237/W1237,0)</x:f>
        <x:v>0.6198830409356725</x:v>
      </x:c>
      <x:c r="AA1237" s="84" t="str">
        <x:f>PROPER(TRIM('Raw Sales'!M1237))</x:f>
        <x:v>Mobile Wallet</x:v>
      </x:c>
      <x:c r="AB1237" s="84" t="str">
        <x:f>PROPER(TRIM('Raw Sales'!N1237))</x:f>
        <x:v>Lucas Grant</x:v>
      </x:c>
      <x:c r="AC1237" s="85" t="n">
        <x:f>'Raw Sales'!O1237</x:f>
        <x:v>45700</x:v>
      </x:c>
      <x:c r="AD1237" s="84" t="n">
        <x:f>AC1237-B1237</x:f>
        <x:v>3</x:v>
      </x:c>
      <x:c r="AE1237" s="84" t="str">
        <x:f>IF(COUNTIF($A$5:A1237,A1237)&gt;1,"Duplicate","Keep")</x:f>
        <x:v>Keep</x:v>
      </x:c>
      <x:c r="AF1237" s="84" t="str">
        <x:f>IF(OR(R1237&lt;=0,AC1237&lt;B1237,H1237="Unknown",M1237="Unknown Product"),"Review","Valid")</x:f>
        <x:v>Valid</x:v>
      </x:c>
      <x:c r="AG1237" s="84" t="n">
        <x:f>IF(AND(AE1237="Keep",AF1237="Valid"),1,0)</x:f>
        <x:v>1</x:v>
      </x:c>
      <x:c r="AH1237" s="84" t="n">
        <x:f>IF(AND(AG1237=1,OR('Dashboard'!$B$4="All",I1237='Dashboard'!$B$4),OR('Dashboard'!$E$4="All",N1237='Dashboard'!$E$4),OR('Dashboard'!$H$4="All",K1237='Dashboard'!$H$4),OR('Dashboard'!$K$4="All",C1237='Dashboard'!$K$4)),1,0)</x:f>
        <x:v>1</x:v>
      </x:c>
      <x:c r="AI1237" s="84" t="n">
        <x:f>IF(AND(AG1237=1,OR('Dashboard'!$B$4="All",I1237='Dashboard'!$B$4),OR('Dashboard'!$E$4="All",N1237='Dashboard'!$E$4),OR('Dashboard'!$H$4="All",K1237='Dashboard'!$H$4)),1,0)</x:f>
        <x:v>1</x:v>
      </x:c>
    </x:row>
    <x:row r="1238">
      <x:c r="A1238" s="84" t="str">
        <x:f>'Raw Sales'!A1238</x:f>
        <x:v>ORD-2025-01329</x:v>
      </x:c>
      <x:c r="B1238" s="85" t="n">
        <x:f>'Raw Sales'!B1238</x:f>
        <x:v>45697</x:v>
      </x:c>
      <x:c r="C1238" s="84" t="n">
        <x:f>YEAR(B1238)</x:f>
        <x:v>2025</x:v>
      </x:c>
      <x:c r="D1238" s="91" t="n">
        <x:f>DATE(YEAR(B1238),MONTH(B1238),1)</x:f>
        <x:v>45689</x:v>
      </x:c>
      <x:c r="E1238" s="84" t="str">
        <x:f>TEXT(B1238,"mmm")</x:f>
        <x:v>Feb</x:v>
      </x:c>
      <x:c r="F1238" s="84" t="str">
        <x:f>'Raw Sales'!C1238</x:f>
        <x:v>CUST-0632</x:v>
      </x:c>
      <x:c r="G1238" s="84" t="str">
        <x:f>PROPER(TRIM('Raw Sales'!D1238))</x:f>
        <x:v>Caleb Adams</x:v>
      </x:c>
      <x:c r="H1238" s="84" t="str">
        <x:f>IF(TRIM('Raw Sales'!E1238)="","Unknown",PROPER(TRIM('Raw Sales'!E1238)))</x:f>
        <x:v>Consumer</x:v>
      </x:c>
      <x:c r="I1238" s="84" t="str">
        <x:f>PROPER(TRIM('Raw Sales'!F1238))</x:f>
        <x:v>West</x:v>
      </x:c>
      <x:c r="J1238" s="84" t="str">
        <x:f>PROPER(TRIM('Raw Sales'!G1238))</x:f>
        <x:v>Phoenix</x:v>
      </x:c>
      <x:c r="K1238" s="84" t="str">
        <x:f>PROPER(TRIM('Raw Sales'!H1238))</x:f>
        <x:v>Online</x:v>
      </x:c>
      <x:c r="L1238" s="84" t="str">
        <x:f>'Raw Sales'!I1238</x:f>
        <x:v>ACCS-001</x:v>
      </x:c>
      <x:c r="M1238" s="84" t="str">
        <x:f>IFERROR(VLOOKUP(L1238,'Reference Data'!$A$5:$F$40,2,FALSE),"Unknown Product")</x:f>
        <x:v>Canvas Tote Bag</x:v>
      </x:c>
      <x:c r="N1238" s="84" t="str">
        <x:f>IFERROR(VLOOKUP(L1238,'Reference Data'!$A$5:$F$40,3,FALSE),"Unknown")</x:f>
        <x:v>Accessories</x:v>
      </x:c>
      <x:c r="O1238" s="84" t="str">
        <x:f>IFERROR(VLOOKUP(L1238,'Reference Data'!$A$5:$F$40,4,FALSE),"Unknown")</x:f>
        <x:v>Bags</x:v>
      </x:c>
      <x:c r="P1238" s="92" t="n">
        <x:f>IFERROR(VLOOKUP(L1238,'Reference Data'!$A$5:$F$40,5,FALSE),0)</x:f>
        <x:v>39</x:v>
      </x:c>
      <x:c r="Q1238" s="92" t="n">
        <x:f>IFERROR(VLOOKUP(L1238,'Reference Data'!$A$5:$F$40,6,FALSE),0)</x:f>
        <x:v>14</x:v>
      </x:c>
      <x:c r="R1238" s="84" t="n">
        <x:f>'Raw Sales'!J1238</x:f>
        <x:v>4</x:v>
      </x:c>
      <x:c r="S1238" s="87" t="n">
        <x:f>'Raw Sales'!K1238</x:f>
        <x:v>0</x:v>
      </x:c>
      <x:c r="T1238" s="93" t="n">
        <x:f>P1238*R1238</x:f>
        <x:v>156</x:v>
      </x:c>
      <x:c r="U1238" s="93" t="n">
        <x:f>T1238*S1238</x:f>
        <x:v>0</x:v>
      </x:c>
      <x:c r="V1238" s="93" t="str">
        <x:f>PROPER(TRIM('Raw Sales'!L1238))</x:f>
        <x:v>Completed</x:v>
      </x:c>
      <x:c r="W1238" s="93" t="n">
        <x:f>IF(V1238="Returned",0,T1238-U1238)</x:f>
        <x:v>156</x:v>
      </x:c>
      <x:c r="X1238" s="93" t="n">
        <x:f>IF(V1238="Returned",Q1238*R1238*10%,Q1238*R1238)</x:f>
        <x:v>56</x:v>
      </x:c>
      <x:c r="Y1238" s="93" t="n">
        <x:f>W1238-X1238</x:f>
        <x:v>100</x:v>
      </x:c>
      <x:c r="Z1238" s="94" t="n">
        <x:f>IFERROR(Y1238/W1238,0)</x:f>
        <x:v>0.6410256410256411</x:v>
      </x:c>
      <x:c r="AA1238" s="84" t="str">
        <x:f>PROPER(TRIM('Raw Sales'!M1238))</x:f>
        <x:v>Mobile Wallet</x:v>
      </x:c>
      <x:c r="AB1238" s="84" t="str">
        <x:f>PROPER(TRIM('Raw Sales'!N1238))</x:f>
        <x:v>Leo Martinez</x:v>
      </x:c>
      <x:c r="AC1238" s="85" t="n">
        <x:f>'Raw Sales'!O1238</x:f>
        <x:v>45702</x:v>
      </x:c>
      <x:c r="AD1238" s="84" t="n">
        <x:f>AC1238-B1238</x:f>
        <x:v>5</x:v>
      </x:c>
      <x:c r="AE1238" s="84" t="str">
        <x:f>IF(COUNTIF($A$5:A1238,A1238)&gt;1,"Duplicate","Keep")</x:f>
        <x:v>Keep</x:v>
      </x:c>
      <x:c r="AF1238" s="84" t="str">
        <x:f>IF(OR(R1238&lt;=0,AC1238&lt;B1238,H1238="Unknown",M1238="Unknown Product"),"Review","Valid")</x:f>
        <x:v>Valid</x:v>
      </x:c>
      <x:c r="AG1238" s="84" t="n">
        <x:f>IF(AND(AE1238="Keep",AF1238="Valid"),1,0)</x:f>
        <x:v>1</x:v>
      </x:c>
      <x:c r="AH1238" s="84" t="n">
        <x:f>IF(AND(AG1238=1,OR('Dashboard'!$B$4="All",I1238='Dashboard'!$B$4),OR('Dashboard'!$E$4="All",N1238='Dashboard'!$E$4),OR('Dashboard'!$H$4="All",K1238='Dashboard'!$H$4),OR('Dashboard'!$K$4="All",C1238='Dashboard'!$K$4)),1,0)</x:f>
        <x:v>1</x:v>
      </x:c>
      <x:c r="AI1238" s="84" t="n">
        <x:f>IF(AND(AG1238=1,OR('Dashboard'!$B$4="All",I1238='Dashboard'!$B$4),OR('Dashboard'!$E$4="All",N1238='Dashboard'!$E$4),OR('Dashboard'!$H$4="All",K1238='Dashboard'!$H$4)),1,0)</x:f>
        <x:v>1</x:v>
      </x:c>
    </x:row>
    <x:row r="1239">
      <x:c r="A1239" s="84" t="str">
        <x:f>'Raw Sales'!A1239</x:f>
        <x:v>ORD-2025-00927</x:v>
      </x:c>
      <x:c r="B1239" s="85" t="n">
        <x:f>'Raw Sales'!B1239</x:f>
        <x:v>45698</x:v>
      </x:c>
      <x:c r="C1239" s="84" t="n">
        <x:f>YEAR(B1239)</x:f>
        <x:v>2025</x:v>
      </x:c>
      <x:c r="D1239" s="91" t="n">
        <x:f>DATE(YEAR(B1239),MONTH(B1239),1)</x:f>
        <x:v>45689</x:v>
      </x:c>
      <x:c r="E1239" s="84" t="str">
        <x:f>TEXT(B1239,"mmm")</x:f>
        <x:v>Feb</x:v>
      </x:c>
      <x:c r="F1239" s="84" t="str">
        <x:f>'Raw Sales'!C1239</x:f>
        <x:v>CUST-0253</x:v>
      </x:c>
      <x:c r="G1239" s="84" t="str">
        <x:f>PROPER(TRIM('Raw Sales'!D1239))</x:f>
        <x:v>Caleb Quinn</x:v>
      </x:c>
      <x:c r="H1239" s="84" t="str">
        <x:f>IF(TRIM('Raw Sales'!E1239)="","Unknown",PROPER(TRIM('Raw Sales'!E1239)))</x:f>
        <x:v>Corporate</x:v>
      </x:c>
      <x:c r="I1239" s="84" t="str">
        <x:f>PROPER(TRIM('Raw Sales'!F1239))</x:f>
        <x:v>Midwest</x:v>
      </x:c>
      <x:c r="J1239" s="84" t="str">
        <x:f>PROPER(TRIM('Raw Sales'!G1239))</x:f>
        <x:v>Chicago</x:v>
      </x:c>
      <x:c r="K1239" s="84" t="str">
        <x:f>PROPER(TRIM('Raw Sales'!H1239))</x:f>
        <x:v>Retail Store</x:v>
      </x:c>
      <x:c r="L1239" s="84" t="str">
        <x:f>'Raw Sales'!I1239</x:f>
        <x:v>HOME-004</x:v>
      </x:c>
      <x:c r="M1239" s="84" t="str">
        <x:f>IFERROR(VLOOKUP(L1239,'Reference Data'!$A$5:$F$40,2,FALSE),"Unknown Product")</x:f>
        <x:v>Coffee Maker</x:v>
      </x:c>
      <x:c r="N1239" s="84" t="str">
        <x:f>IFERROR(VLOOKUP(L1239,'Reference Data'!$A$5:$F$40,3,FALSE),"Unknown")</x:f>
        <x:v>Home &amp; Kitchen</x:v>
      </x:c>
      <x:c r="O1239" s="84" t="str">
        <x:f>IFERROR(VLOOKUP(L1239,'Reference Data'!$A$5:$F$40,4,FALSE),"Unknown")</x:f>
        <x:v>Small Appliances</x:v>
      </x:c>
      <x:c r="P1239" s="92" t="n">
        <x:f>IFERROR(VLOOKUP(L1239,'Reference Data'!$A$5:$F$40,5,FALSE),0)</x:f>
        <x:v>99</x:v>
      </x:c>
      <x:c r="Q1239" s="92" t="n">
        <x:f>IFERROR(VLOOKUP(L1239,'Reference Data'!$A$5:$F$40,6,FALSE),0)</x:f>
        <x:v>51</x:v>
      </x:c>
      <x:c r="R1239" s="84" t="n">
        <x:f>'Raw Sales'!J1239</x:f>
        <x:v>2</x:v>
      </x:c>
      <x:c r="S1239" s="87" t="n">
        <x:f>'Raw Sales'!K1239</x:f>
        <x:v>0</x:v>
      </x:c>
      <x:c r="T1239" s="93" t="n">
        <x:f>P1239*R1239</x:f>
        <x:v>198</x:v>
      </x:c>
      <x:c r="U1239" s="93" t="n">
        <x:f>T1239*S1239</x:f>
        <x:v>0</x:v>
      </x:c>
      <x:c r="V1239" s="93" t="str">
        <x:f>PROPER(TRIM('Raw Sales'!L1239))</x:f>
        <x:v>Completed</x:v>
      </x:c>
      <x:c r="W1239" s="93" t="n">
        <x:f>IF(V1239="Returned",0,T1239-U1239)</x:f>
        <x:v>198</x:v>
      </x:c>
      <x:c r="X1239" s="93" t="n">
        <x:f>IF(V1239="Returned",Q1239*R1239*10%,Q1239*R1239)</x:f>
        <x:v>102</x:v>
      </x:c>
      <x:c r="Y1239" s="93" t="n">
        <x:f>W1239-X1239</x:f>
        <x:v>96</x:v>
      </x:c>
      <x:c r="Z1239" s="94" t="n">
        <x:f>IFERROR(Y1239/W1239,0)</x:f>
        <x:v>0.48484848484848486</x:v>
      </x:c>
      <x:c r="AA1239" s="84" t="str">
        <x:f>PROPER(TRIM('Raw Sales'!M1239))</x:f>
        <x:v>Cash</x:v>
      </x:c>
      <x:c r="AB1239" s="84" t="str">
        <x:f>PROPER(TRIM('Raw Sales'!N1239))</x:f>
        <x:v>Emma Hayes</x:v>
      </x:c>
      <x:c r="AC1239" s="85" t="n">
        <x:f>'Raw Sales'!O1239</x:f>
        <x:v>45698</x:v>
      </x:c>
      <x:c r="AD1239" s="84" t="n">
        <x:f>AC1239-B1239</x:f>
        <x:v>0</x:v>
      </x:c>
      <x:c r="AE1239" s="84" t="str">
        <x:f>IF(COUNTIF($A$5:A1239,A1239)&gt;1,"Duplicate","Keep")</x:f>
        <x:v>Keep</x:v>
      </x:c>
      <x:c r="AF1239" s="84" t="str">
        <x:f>IF(OR(R1239&lt;=0,AC1239&lt;B1239,H1239="Unknown",M1239="Unknown Product"),"Review","Valid")</x:f>
        <x:v>Valid</x:v>
      </x:c>
      <x:c r="AG1239" s="84" t="n">
        <x:f>IF(AND(AE1239="Keep",AF1239="Valid"),1,0)</x:f>
        <x:v>1</x:v>
      </x:c>
      <x:c r="AH1239" s="84" t="n">
        <x:f>IF(AND(AG1239=1,OR('Dashboard'!$B$4="All",I1239='Dashboard'!$B$4),OR('Dashboard'!$E$4="All",N1239='Dashboard'!$E$4),OR('Dashboard'!$H$4="All",K1239='Dashboard'!$H$4),OR('Dashboard'!$K$4="All",C1239='Dashboard'!$K$4)),1,0)</x:f>
        <x:v>1</x:v>
      </x:c>
      <x:c r="AI1239" s="84" t="n">
        <x:f>IF(AND(AG1239=1,OR('Dashboard'!$B$4="All",I1239='Dashboard'!$B$4),OR('Dashboard'!$E$4="All",N1239='Dashboard'!$E$4),OR('Dashboard'!$H$4="All",K1239='Dashboard'!$H$4)),1,0)</x:f>
        <x:v>1</x:v>
      </x:c>
    </x:row>
    <x:row r="1240">
      <x:c r="A1240" s="84" t="str">
        <x:f>'Raw Sales'!A1240</x:f>
        <x:v>ORD-2025-01510</x:v>
      </x:c>
      <x:c r="B1240" s="85" t="n">
        <x:f>'Raw Sales'!B1240</x:f>
        <x:v>45698</x:v>
      </x:c>
      <x:c r="C1240" s="84" t="n">
        <x:f>YEAR(B1240)</x:f>
        <x:v>2025</x:v>
      </x:c>
      <x:c r="D1240" s="91" t="n">
        <x:f>DATE(YEAR(B1240),MONTH(B1240),1)</x:f>
        <x:v>45689</x:v>
      </x:c>
      <x:c r="E1240" s="84" t="str">
        <x:f>TEXT(B1240,"mmm")</x:f>
        <x:v>Feb</x:v>
      </x:c>
      <x:c r="F1240" s="84" t="str">
        <x:f>'Raw Sales'!C1240</x:f>
        <x:v>CUST-0485</x:v>
      </x:c>
      <x:c r="G1240" s="84" t="str">
        <x:f>PROPER(TRIM('Raw Sales'!D1240))</x:f>
        <x:v>Elias Ortiz</x:v>
      </x:c>
      <x:c r="H1240" s="84" t="str">
        <x:f>IF(TRIM('Raw Sales'!E1240)="","Unknown",PROPER(TRIM('Raw Sales'!E1240)))</x:f>
        <x:v>Consumer</x:v>
      </x:c>
      <x:c r="I1240" s="84" t="str">
        <x:f>PROPER(TRIM('Raw Sales'!F1240))</x:f>
        <x:v>Southeast</x:v>
      </x:c>
      <x:c r="J1240" s="84" t="str">
        <x:f>PROPER(TRIM('Raw Sales'!G1240))</x:f>
        <x:v>Atlanta</x:v>
      </x:c>
      <x:c r="K1240" s="84" t="str">
        <x:f>PROPER(TRIM('Raw Sales'!H1240))</x:f>
        <x:v>Retail Store</x:v>
      </x:c>
      <x:c r="L1240" s="84" t="str">
        <x:f>'Raw Sales'!I1240</x:f>
        <x:v>ELEC-001</x:v>
      </x:c>
      <x:c r="M1240" s="84" t="str">
        <x:f>IFERROR(VLOOKUP(L1240,'Reference Data'!$A$5:$F$40,2,FALSE),"Unknown Product")</x:f>
        <x:v>Wireless Earbuds</x:v>
      </x:c>
      <x:c r="N1240" s="84" t="str">
        <x:f>IFERROR(VLOOKUP(L1240,'Reference Data'!$A$5:$F$40,3,FALSE),"Unknown")</x:f>
        <x:v>Electronics</x:v>
      </x:c>
      <x:c r="O1240" s="84" t="str">
        <x:f>IFERROR(VLOOKUP(L1240,'Reference Data'!$A$5:$F$40,4,FALSE),"Unknown")</x:f>
        <x:v>Audio</x:v>
      </x:c>
      <x:c r="P1240" s="92" t="n">
        <x:f>IFERROR(VLOOKUP(L1240,'Reference Data'!$A$5:$F$40,5,FALSE),0)</x:f>
        <x:v>69</x:v>
      </x:c>
      <x:c r="Q1240" s="92" t="n">
        <x:f>IFERROR(VLOOKUP(L1240,'Reference Data'!$A$5:$F$40,6,FALSE),0)</x:f>
        <x:v>36</x:v>
      </x:c>
      <x:c r="R1240" s="84" t="n">
        <x:f>'Raw Sales'!J1240</x:f>
        <x:v>4</x:v>
      </x:c>
      <x:c r="S1240" s="87" t="n">
        <x:f>'Raw Sales'!K1240</x:f>
        <x:v>0.15</x:v>
      </x:c>
      <x:c r="T1240" s="93" t="n">
        <x:f>P1240*R1240</x:f>
        <x:v>276</x:v>
      </x:c>
      <x:c r="U1240" s="93" t="n">
        <x:f>T1240*S1240</x:f>
        <x:v>41.4</x:v>
      </x:c>
      <x:c r="V1240" s="93" t="str">
        <x:f>PROPER(TRIM('Raw Sales'!L1240))</x:f>
        <x:v>Completed</x:v>
      </x:c>
      <x:c r="W1240" s="93" t="n">
        <x:f>IF(V1240="Returned",0,T1240-U1240)</x:f>
        <x:v>234.6</x:v>
      </x:c>
      <x:c r="X1240" s="93" t="n">
        <x:f>IF(V1240="Returned",Q1240*R1240*10%,Q1240*R1240)</x:f>
        <x:v>144</x:v>
      </x:c>
      <x:c r="Y1240" s="93" t="n">
        <x:f>W1240-X1240</x:f>
        <x:v>90.6</x:v>
      </x:c>
      <x:c r="Z1240" s="94" t="n">
        <x:f>IFERROR(Y1240/W1240,0)</x:f>
        <x:v>0.38618925831202044</x:v>
      </x:c>
      <x:c r="AA1240" s="84" t="str">
        <x:f>PROPER(TRIM('Raw Sales'!M1240))</x:f>
        <x:v>Mobile Wallet</x:v>
      </x:c>
      <x:c r="AB1240" s="84" t="str">
        <x:f>PROPER(TRIM('Raw Sales'!N1240))</x:f>
        <x:v>Ava Mitchell</x:v>
      </x:c>
      <x:c r="AC1240" s="85" t="n">
        <x:f>'Raw Sales'!O1240</x:f>
        <x:v>45698</x:v>
      </x:c>
      <x:c r="AD1240" s="84" t="n">
        <x:f>AC1240-B1240</x:f>
        <x:v>0</x:v>
      </x:c>
      <x:c r="AE1240" s="84" t="str">
        <x:f>IF(COUNTIF($A$5:A1240,A1240)&gt;1,"Duplicate","Keep")</x:f>
        <x:v>Keep</x:v>
      </x:c>
      <x:c r="AF1240" s="84" t="str">
        <x:f>IF(OR(R1240&lt;=0,AC1240&lt;B1240,H1240="Unknown",M1240="Unknown Product"),"Review","Valid")</x:f>
        <x:v>Valid</x:v>
      </x:c>
      <x:c r="AG1240" s="84" t="n">
        <x:f>IF(AND(AE1240="Keep",AF1240="Valid"),1,0)</x:f>
        <x:v>1</x:v>
      </x:c>
      <x:c r="AH1240" s="84" t="n">
        <x:f>IF(AND(AG1240=1,OR('Dashboard'!$B$4="All",I1240='Dashboard'!$B$4),OR('Dashboard'!$E$4="All",N1240='Dashboard'!$E$4),OR('Dashboard'!$H$4="All",K1240='Dashboard'!$H$4),OR('Dashboard'!$K$4="All",C1240='Dashboard'!$K$4)),1,0)</x:f>
        <x:v>1</x:v>
      </x:c>
      <x:c r="AI1240" s="84" t="n">
        <x:f>IF(AND(AG1240=1,OR('Dashboard'!$B$4="All",I1240='Dashboard'!$B$4),OR('Dashboard'!$E$4="All",N1240='Dashboard'!$E$4),OR('Dashboard'!$H$4="All",K1240='Dashboard'!$H$4)),1,0)</x:f>
        <x:v>1</x:v>
      </x:c>
    </x:row>
    <x:row r="1241">
      <x:c r="A1241" s="84" t="str">
        <x:f>'Raw Sales'!A1241</x:f>
        <x:v>ORD-2025-00214</x:v>
      </x:c>
      <x:c r="B1241" s="85" t="n">
        <x:f>'Raw Sales'!B1241</x:f>
        <x:v>45699</x:v>
      </x:c>
      <x:c r="C1241" s="84" t="n">
        <x:f>YEAR(B1241)</x:f>
        <x:v>2025</x:v>
      </x:c>
      <x:c r="D1241" s="91" t="n">
        <x:f>DATE(YEAR(B1241),MONTH(B1241),1)</x:f>
        <x:v>45689</x:v>
      </x:c>
      <x:c r="E1241" s="84" t="str">
        <x:f>TEXT(B1241,"mmm")</x:f>
        <x:v>Feb</x:v>
      </x:c>
      <x:c r="F1241" s="84" t="str">
        <x:f>'Raw Sales'!C1241</x:f>
        <x:v>CUST-0535</x:v>
      </x:c>
      <x:c r="G1241" s="84" t="str">
        <x:f>PROPER(TRIM('Raw Sales'!D1241))</x:f>
        <x:v>Caleb Walker</x:v>
      </x:c>
      <x:c r="H1241" s="84" t="str">
        <x:f>IF(TRIM('Raw Sales'!E1241)="","Unknown",PROPER(TRIM('Raw Sales'!E1241)))</x:f>
        <x:v>Corporate</x:v>
      </x:c>
      <x:c r="I1241" s="84" t="str">
        <x:f>PROPER(TRIM('Raw Sales'!F1241))</x:f>
        <x:v>Southeast</x:v>
      </x:c>
      <x:c r="J1241" s="84" t="str">
        <x:f>PROPER(TRIM('Raw Sales'!G1241))</x:f>
        <x:v>Miami</x:v>
      </x:c>
      <x:c r="K1241" s="84" t="str">
        <x:f>PROPER(TRIM('Raw Sales'!H1241))</x:f>
        <x:v>Marketplace</x:v>
      </x:c>
      <x:c r="L1241" s="84" t="str">
        <x:f>'Raw Sales'!I1241</x:f>
        <x:v>ELEC-005</x:v>
      </x:c>
      <x:c r="M1241" s="84" t="str">
        <x:f>IFERROR(VLOOKUP(L1241,'Reference Data'!$A$5:$F$40,2,FALSE),"Unknown Product")</x:f>
        <x:v>HD Webcam</x:v>
      </x:c>
      <x:c r="N1241" s="84" t="str">
        <x:f>IFERROR(VLOOKUP(L1241,'Reference Data'!$A$5:$F$40,3,FALSE),"Unknown")</x:f>
        <x:v>Electronics</x:v>
      </x:c>
      <x:c r="O1241" s="84" t="str">
        <x:f>IFERROR(VLOOKUP(L1241,'Reference Data'!$A$5:$F$40,4,FALSE),"Unknown")</x:f>
        <x:v>Computer Accessories</x:v>
      </x:c>
      <x:c r="P1241" s="92" t="n">
        <x:f>IFERROR(VLOOKUP(L1241,'Reference Data'!$A$5:$F$40,5,FALSE),0)</x:f>
        <x:v>79</x:v>
      </x:c>
      <x:c r="Q1241" s="92" t="n">
        <x:f>IFERROR(VLOOKUP(L1241,'Reference Data'!$A$5:$F$40,6,FALSE),0)</x:f>
        <x:v>37</x:v>
      </x:c>
      <x:c r="R1241" s="84" t="n">
        <x:f>'Raw Sales'!J1241</x:f>
        <x:v>3</x:v>
      </x:c>
      <x:c r="S1241" s="87" t="n">
        <x:f>'Raw Sales'!K1241</x:f>
        <x:v>0.05</x:v>
      </x:c>
      <x:c r="T1241" s="93" t="n">
        <x:f>P1241*R1241</x:f>
        <x:v>237</x:v>
      </x:c>
      <x:c r="U1241" s="93" t="n">
        <x:f>T1241*S1241</x:f>
        <x:v>11.850000000000001</x:v>
      </x:c>
      <x:c r="V1241" s="93" t="str">
        <x:f>PROPER(TRIM('Raw Sales'!L1241))</x:f>
        <x:v>Completed</x:v>
      </x:c>
      <x:c r="W1241" s="93" t="n">
        <x:f>IF(V1241="Returned",0,T1241-U1241)</x:f>
        <x:v>225.15</x:v>
      </x:c>
      <x:c r="X1241" s="93" t="n">
        <x:f>IF(V1241="Returned",Q1241*R1241*10%,Q1241*R1241)</x:f>
        <x:v>111</x:v>
      </x:c>
      <x:c r="Y1241" s="93" t="n">
        <x:f>W1241-X1241</x:f>
        <x:v>114.15</x:v>
      </x:c>
      <x:c r="Z1241" s="94" t="n">
        <x:f>IFERROR(Y1241/W1241,0)</x:f>
        <x:v>0.5069953364423717</x:v>
      </x:c>
      <x:c r="AA1241" s="84" t="str">
        <x:f>PROPER(TRIM('Raw Sales'!M1241))</x:f>
        <x:v>Paypal</x:v>
      </x:c>
      <x:c r="AB1241" s="84" t="str">
        <x:f>PROPER(TRIM('Raw Sales'!N1241))</x:f>
        <x:v>Ava Mitchell</x:v>
      </x:c>
      <x:c r="AC1241" s="85" t="n">
        <x:f>'Raw Sales'!O1241</x:f>
        <x:v>45705</x:v>
      </x:c>
      <x:c r="AD1241" s="84" t="n">
        <x:f>AC1241-B1241</x:f>
        <x:v>6</x:v>
      </x:c>
      <x:c r="AE1241" s="84" t="str">
        <x:f>IF(COUNTIF($A$5:A1241,A1241)&gt;1,"Duplicate","Keep")</x:f>
        <x:v>Keep</x:v>
      </x:c>
      <x:c r="AF1241" s="84" t="str">
        <x:f>IF(OR(R1241&lt;=0,AC1241&lt;B1241,H1241="Unknown",M1241="Unknown Product"),"Review","Valid")</x:f>
        <x:v>Valid</x:v>
      </x:c>
      <x:c r="AG1241" s="84" t="n">
        <x:f>IF(AND(AE1241="Keep",AF1241="Valid"),1,0)</x:f>
        <x:v>1</x:v>
      </x:c>
      <x:c r="AH1241" s="84" t="n">
        <x:f>IF(AND(AG1241=1,OR('Dashboard'!$B$4="All",I1241='Dashboard'!$B$4),OR('Dashboard'!$E$4="All",N1241='Dashboard'!$E$4),OR('Dashboard'!$H$4="All",K1241='Dashboard'!$H$4),OR('Dashboard'!$K$4="All",C1241='Dashboard'!$K$4)),1,0)</x:f>
        <x:v>1</x:v>
      </x:c>
      <x:c r="AI1241" s="84" t="n">
        <x:f>IF(AND(AG1241=1,OR('Dashboard'!$B$4="All",I1241='Dashboard'!$B$4),OR('Dashboard'!$E$4="All",N1241='Dashboard'!$E$4),OR('Dashboard'!$H$4="All",K1241='Dashboard'!$H$4)),1,0)</x:f>
        <x:v>1</x:v>
      </x:c>
    </x:row>
    <x:row r="1242">
      <x:c r="A1242" s="84" t="str">
        <x:f>'Raw Sales'!A1242</x:f>
        <x:v>ORD-2025-01707</x:v>
      </x:c>
      <x:c r="B1242" s="85" t="n">
        <x:f>'Raw Sales'!B1242</x:f>
        <x:v>45699</x:v>
      </x:c>
      <x:c r="C1242" s="84" t="n">
        <x:f>YEAR(B1242)</x:f>
        <x:v>2025</x:v>
      </x:c>
      <x:c r="D1242" s="91" t="n">
        <x:f>DATE(YEAR(B1242),MONTH(B1242),1)</x:f>
        <x:v>45689</x:v>
      </x:c>
      <x:c r="E1242" s="84" t="str">
        <x:f>TEXT(B1242,"mmm")</x:f>
        <x:v>Feb</x:v>
      </x:c>
      <x:c r="F1242" s="84" t="str">
        <x:f>'Raw Sales'!C1242</x:f>
        <x:v>CUST-0196</x:v>
      </x:c>
      <x:c r="G1242" s="84" t="str">
        <x:f>PROPER(TRIM('Raw Sales'!D1242))</x:f>
        <x:v>Nina Baker</x:v>
      </x:c>
      <x:c r="H1242" s="84" t="str">
        <x:f>IF(TRIM('Raw Sales'!E1242)="","Unknown",PROPER(TRIM('Raw Sales'!E1242)))</x:f>
        <x:v>Consumer</x:v>
      </x:c>
      <x:c r="I1242" s="84" t="str">
        <x:f>PROPER(TRIM('Raw Sales'!F1242))</x:f>
        <x:v>Northeast</x:v>
      </x:c>
      <x:c r="J1242" s="84" t="str">
        <x:f>PROPER(TRIM('Raw Sales'!G1242))</x:f>
        <x:v>Boston</x:v>
      </x:c>
      <x:c r="K1242" s="84" t="str">
        <x:f>PROPER(TRIM('Raw Sales'!H1242))</x:f>
        <x:v>Online</x:v>
      </x:c>
      <x:c r="L1242" s="84" t="str">
        <x:f>'Raw Sales'!I1242</x:f>
        <x:v>ACCS-004</x:v>
      </x:c>
      <x:c r="M1242" s="84" t="str">
        <x:f>IFERROR(VLOOKUP(L1242,'Reference Data'!$A$5:$F$40,2,FALSE),"Unknown Product")</x:f>
        <x:v>Leather Wallet</x:v>
      </x:c>
      <x:c r="N1242" s="84" t="str">
        <x:f>IFERROR(VLOOKUP(L1242,'Reference Data'!$A$5:$F$40,3,FALSE),"Unknown")</x:f>
        <x:v>Accessories</x:v>
      </x:c>
      <x:c r="O1242" s="84" t="str">
        <x:f>IFERROR(VLOOKUP(L1242,'Reference Data'!$A$5:$F$40,4,FALSE),"Unknown")</x:f>
        <x:v>Wallets</x:v>
      </x:c>
      <x:c r="P1242" s="92" t="n">
        <x:f>IFERROR(VLOOKUP(L1242,'Reference Data'!$A$5:$F$40,5,FALSE),0)</x:f>
        <x:v>49</x:v>
      </x:c>
      <x:c r="Q1242" s="92" t="n">
        <x:f>IFERROR(VLOOKUP(L1242,'Reference Data'!$A$5:$F$40,6,FALSE),0)</x:f>
        <x:v>18</x:v>
      </x:c>
      <x:c r="R1242" s="84" t="n">
        <x:f>'Raw Sales'!J1242</x:f>
        <x:v>2</x:v>
      </x:c>
      <x:c r="S1242" s="87" t="n">
        <x:f>'Raw Sales'!K1242</x:f>
        <x:v>0</x:v>
      </x:c>
      <x:c r="T1242" s="93" t="n">
        <x:f>P1242*R1242</x:f>
        <x:v>98</x:v>
      </x:c>
      <x:c r="U1242" s="93" t="n">
        <x:f>T1242*S1242</x:f>
        <x:v>0</x:v>
      </x:c>
      <x:c r="V1242" s="93" t="str">
        <x:f>PROPER(TRIM('Raw Sales'!L1242))</x:f>
        <x:v>Completed</x:v>
      </x:c>
      <x:c r="W1242" s="93" t="n">
        <x:f>IF(V1242="Returned",0,T1242-U1242)</x:f>
        <x:v>98</x:v>
      </x:c>
      <x:c r="X1242" s="93" t="n">
        <x:f>IF(V1242="Returned",Q1242*R1242*10%,Q1242*R1242)</x:f>
        <x:v>36</x:v>
      </x:c>
      <x:c r="Y1242" s="93" t="n">
        <x:f>W1242-X1242</x:f>
        <x:v>62</x:v>
      </x:c>
      <x:c r="Z1242" s="94" t="n">
        <x:f>IFERROR(Y1242/W1242,0)</x:f>
        <x:v>0.6326530612244898</x:v>
      </x:c>
      <x:c r="AA1242" s="84" t="str">
        <x:f>PROPER(TRIM('Raw Sales'!M1242))</x:f>
        <x:v>Credit Card</x:v>
      </x:c>
      <x:c r="AB1242" s="84" t="str">
        <x:f>PROPER(TRIM('Raw Sales'!N1242))</x:f>
        <x:v>Ethan Cole</x:v>
      </x:c>
      <x:c r="AC1242" s="85" t="n">
        <x:f>'Raw Sales'!O1242</x:f>
        <x:v>45701</x:v>
      </x:c>
      <x:c r="AD1242" s="84" t="n">
        <x:f>AC1242-B1242</x:f>
        <x:v>2</x:v>
      </x:c>
      <x:c r="AE1242" s="84" t="str">
        <x:f>IF(COUNTIF($A$5:A1242,A1242)&gt;1,"Duplicate","Keep")</x:f>
        <x:v>Keep</x:v>
      </x:c>
      <x:c r="AF1242" s="84" t="str">
        <x:f>IF(OR(R1242&lt;=0,AC1242&lt;B1242,H1242="Unknown",M1242="Unknown Product"),"Review","Valid")</x:f>
        <x:v>Valid</x:v>
      </x:c>
      <x:c r="AG1242" s="84" t="n">
        <x:f>IF(AND(AE1242="Keep",AF1242="Valid"),1,0)</x:f>
        <x:v>1</x:v>
      </x:c>
      <x:c r="AH1242" s="84" t="n">
        <x:f>IF(AND(AG1242=1,OR('Dashboard'!$B$4="All",I1242='Dashboard'!$B$4),OR('Dashboard'!$E$4="All",N1242='Dashboard'!$E$4),OR('Dashboard'!$H$4="All",K1242='Dashboard'!$H$4),OR('Dashboard'!$K$4="All",C1242='Dashboard'!$K$4)),1,0)</x:f>
        <x:v>1</x:v>
      </x:c>
      <x:c r="AI1242" s="84" t="n">
        <x:f>IF(AND(AG1242=1,OR('Dashboard'!$B$4="All",I1242='Dashboard'!$B$4),OR('Dashboard'!$E$4="All",N1242='Dashboard'!$E$4),OR('Dashboard'!$H$4="All",K1242='Dashboard'!$H$4)),1,0)</x:f>
        <x:v>1</x:v>
      </x:c>
    </x:row>
    <x:row r="1243">
      <x:c r="A1243" s="84" t="str">
        <x:f>'Raw Sales'!A1243</x:f>
        <x:v>ORD-2025-01800</x:v>
      </x:c>
      <x:c r="B1243" s="85" t="n">
        <x:f>'Raw Sales'!B1243</x:f>
        <x:v>45699</x:v>
      </x:c>
      <x:c r="C1243" s="84" t="n">
        <x:f>YEAR(B1243)</x:f>
        <x:v>2025</x:v>
      </x:c>
      <x:c r="D1243" s="91" t="n">
        <x:f>DATE(YEAR(B1243),MONTH(B1243),1)</x:f>
        <x:v>45689</x:v>
      </x:c>
      <x:c r="E1243" s="84" t="str">
        <x:f>TEXT(B1243,"mmm")</x:f>
        <x:v>Feb</x:v>
      </x:c>
      <x:c r="F1243" s="84" t="str">
        <x:f>'Raw Sales'!C1243</x:f>
        <x:v>CUST-0254</x:v>
      </x:c>
      <x:c r="G1243" s="84" t="str">
        <x:f>PROPER(TRIM('Raw Sales'!D1243))</x:f>
        <x:v>Marcus Carter</x:v>
      </x:c>
      <x:c r="H1243" s="84" t="str">
        <x:f>IF(TRIM('Raw Sales'!E1243)="","Unknown",PROPER(TRIM('Raw Sales'!E1243)))</x:f>
        <x:v>Consumer</x:v>
      </x:c>
      <x:c r="I1243" s="84" t="str">
        <x:f>PROPER(TRIM('Raw Sales'!F1243))</x:f>
        <x:v>Northeast</x:v>
      </x:c>
      <x:c r="J1243" s="84" t="str">
        <x:f>PROPER(TRIM('Raw Sales'!G1243))</x:f>
        <x:v>Boston</x:v>
      </x:c>
      <x:c r="K1243" s="84" t="str">
        <x:f>PROPER(TRIM('Raw Sales'!H1243))</x:f>
        <x:v>Retail Store</x:v>
      </x:c>
      <x:c r="L1243" s="84" t="str">
        <x:f>'Raw Sales'!I1243</x:f>
        <x:v>HOME-003</x:v>
      </x:c>
      <x:c r="M1243" s="84" t="str">
        <x:f>IFERROR(VLOOKUP(L1243,'Reference Data'!$A$5:$F$40,2,FALSE),"Unknown Product")</x:f>
        <x:v>Countertop Blender</x:v>
      </x:c>
      <x:c r="N1243" s="84" t="str">
        <x:f>IFERROR(VLOOKUP(L1243,'Reference Data'!$A$5:$F$40,3,FALSE),"Unknown")</x:f>
        <x:v>Home &amp; Kitchen</x:v>
      </x:c>
      <x:c r="O1243" s="84" t="str">
        <x:f>IFERROR(VLOOKUP(L1243,'Reference Data'!$A$5:$F$40,4,FALSE),"Unknown")</x:f>
        <x:v>Small Appliances</x:v>
      </x:c>
      <x:c r="P1243" s="92" t="n">
        <x:f>IFERROR(VLOOKUP(L1243,'Reference Data'!$A$5:$F$40,5,FALSE),0)</x:f>
        <x:v>89</x:v>
      </x:c>
      <x:c r="Q1243" s="92" t="n">
        <x:f>IFERROR(VLOOKUP(L1243,'Reference Data'!$A$5:$F$40,6,FALSE),0)</x:f>
        <x:v>46</x:v>
      </x:c>
      <x:c r="R1243" s="84" t="n">
        <x:f>'Raw Sales'!J1243</x:f>
        <x:v>2</x:v>
      </x:c>
      <x:c r="S1243" s="87" t="n">
        <x:f>'Raw Sales'!K1243</x:f>
        <x:v>0</x:v>
      </x:c>
      <x:c r="T1243" s="93" t="n">
        <x:f>P1243*R1243</x:f>
        <x:v>178</x:v>
      </x:c>
      <x:c r="U1243" s="93" t="n">
        <x:f>T1243*S1243</x:f>
        <x:v>0</x:v>
      </x:c>
      <x:c r="V1243" s="93" t="str">
        <x:f>PROPER(TRIM('Raw Sales'!L1243))</x:f>
        <x:v>Completed</x:v>
      </x:c>
      <x:c r="W1243" s="93" t="n">
        <x:f>IF(V1243="Returned",0,T1243-U1243)</x:f>
        <x:v>178</x:v>
      </x:c>
      <x:c r="X1243" s="93" t="n">
        <x:f>IF(V1243="Returned",Q1243*R1243*10%,Q1243*R1243)</x:f>
        <x:v>92</x:v>
      </x:c>
      <x:c r="Y1243" s="93" t="n">
        <x:f>W1243-X1243</x:f>
        <x:v>86</x:v>
      </x:c>
      <x:c r="Z1243" s="94" t="n">
        <x:f>IFERROR(Y1243/W1243,0)</x:f>
        <x:v>0.48314606741573035</x:v>
      </x:c>
      <x:c r="AA1243" s="84" t="str">
        <x:f>PROPER(TRIM('Raw Sales'!M1243))</x:f>
        <x:v>Credit Card</x:v>
      </x:c>
      <x:c r="AB1243" s="84" t="str">
        <x:f>PROPER(TRIM('Raw Sales'!N1243))</x:f>
        <x:v>Ethan Cole</x:v>
      </x:c>
      <x:c r="AC1243" s="85" t="n">
        <x:f>'Raw Sales'!O1243</x:f>
        <x:v>45699</x:v>
      </x:c>
      <x:c r="AD1243" s="84" t="n">
        <x:f>AC1243-B1243</x:f>
        <x:v>0</x:v>
      </x:c>
      <x:c r="AE1243" s="84" t="str">
        <x:f>IF(COUNTIF($A$5:A1243,A1243)&gt;1,"Duplicate","Keep")</x:f>
        <x:v>Keep</x:v>
      </x:c>
      <x:c r="AF1243" s="84" t="str">
        <x:f>IF(OR(R1243&lt;=0,AC1243&lt;B1243,H1243="Unknown",M1243="Unknown Product"),"Review","Valid")</x:f>
        <x:v>Valid</x:v>
      </x:c>
      <x:c r="AG1243" s="84" t="n">
        <x:f>IF(AND(AE1243="Keep",AF1243="Valid"),1,0)</x:f>
        <x:v>1</x:v>
      </x:c>
      <x:c r="AH1243" s="84" t="n">
        <x:f>IF(AND(AG1243=1,OR('Dashboard'!$B$4="All",I1243='Dashboard'!$B$4),OR('Dashboard'!$E$4="All",N1243='Dashboard'!$E$4),OR('Dashboard'!$H$4="All",K1243='Dashboard'!$H$4),OR('Dashboard'!$K$4="All",C1243='Dashboard'!$K$4)),1,0)</x:f>
        <x:v>1</x:v>
      </x:c>
      <x:c r="AI1243" s="84" t="n">
        <x:f>IF(AND(AG1243=1,OR('Dashboard'!$B$4="All",I1243='Dashboard'!$B$4),OR('Dashboard'!$E$4="All",N1243='Dashboard'!$E$4),OR('Dashboard'!$H$4="All",K1243='Dashboard'!$H$4)),1,0)</x:f>
        <x:v>1</x:v>
      </x:c>
    </x:row>
    <x:row r="1244">
      <x:c r="A1244" s="84" t="str">
        <x:f>'Raw Sales'!A1244</x:f>
        <x:v>ORD-2025-02274</x:v>
      </x:c>
      <x:c r="B1244" s="85" t="n">
        <x:f>'Raw Sales'!B1244</x:f>
        <x:v>45699</x:v>
      </x:c>
      <x:c r="C1244" s="84" t="n">
        <x:f>YEAR(B1244)</x:f>
        <x:v>2025</x:v>
      </x:c>
      <x:c r="D1244" s="91" t="n">
        <x:f>DATE(YEAR(B1244),MONTH(B1244),1)</x:f>
        <x:v>45689</x:v>
      </x:c>
      <x:c r="E1244" s="84" t="str">
        <x:f>TEXT(B1244,"mmm")</x:f>
        <x:v>Feb</x:v>
      </x:c>
      <x:c r="F1244" s="84" t="str">
        <x:f>'Raw Sales'!C1244</x:f>
        <x:v>CUST-0640</x:v>
      </x:c>
      <x:c r="G1244" s="84" t="str">
        <x:f>PROPER(TRIM('Raw Sales'!D1244))</x:f>
        <x:v>Maya Patel</x:v>
      </x:c>
      <x:c r="H1244" s="84" t="str">
        <x:f>IF(TRIM('Raw Sales'!E1244)="","Unknown",PROPER(TRIM('Raw Sales'!E1244)))</x:f>
        <x:v>Corporate</x:v>
      </x:c>
      <x:c r="I1244" s="84" t="str">
        <x:f>PROPER(TRIM('Raw Sales'!F1244))</x:f>
        <x:v>Midwest</x:v>
      </x:c>
      <x:c r="J1244" s="84" t="str">
        <x:f>PROPER(TRIM('Raw Sales'!G1244))</x:f>
        <x:v>Columbus</x:v>
      </x:c>
      <x:c r="K1244" s="84" t="str">
        <x:f>PROPER(TRIM('Raw Sales'!H1244))</x:f>
        <x:v>Online</x:v>
      </x:c>
      <x:c r="L1244" s="84" t="str">
        <x:f>'Raw Sales'!I1244</x:f>
        <x:v>OFFC-005</x:v>
      </x:c>
      <x:c r="M1244" s="84" t="str">
        <x:f>IFERROR(VLOOKUP(L1244,'Reference Data'!$A$5:$F$40,2,FALSE),"Unknown Product")</x:f>
        <x:v>Wireless Keyboard</x:v>
      </x:c>
      <x:c r="N1244" s="84" t="str">
        <x:f>IFERROR(VLOOKUP(L1244,'Reference Data'!$A$5:$F$40,3,FALSE),"Unknown")</x:f>
        <x:v>Office</x:v>
      </x:c>
      <x:c r="O1244" s="84" t="str">
        <x:f>IFERROR(VLOOKUP(L1244,'Reference Data'!$A$5:$F$40,4,FALSE),"Unknown")</x:f>
        <x:v>Computer Accessories</x:v>
      </x:c>
      <x:c r="P1244" s="92" t="n">
        <x:f>IFERROR(VLOOKUP(L1244,'Reference Data'!$A$5:$F$40,5,FALSE),0)</x:f>
        <x:v>59</x:v>
      </x:c>
      <x:c r="Q1244" s="92" t="n">
        <x:f>IFERROR(VLOOKUP(L1244,'Reference Data'!$A$5:$F$40,6,FALSE),0)</x:f>
        <x:v>28</x:v>
      </x:c>
      <x:c r="R1244" s="84" t="n">
        <x:f>'Raw Sales'!J1244</x:f>
        <x:v>8</x:v>
      </x:c>
      <x:c r="S1244" s="87" t="n">
        <x:f>'Raw Sales'!K1244</x:f>
        <x:v>0.1</x:v>
      </x:c>
      <x:c r="T1244" s="93" t="n">
        <x:f>P1244*R1244</x:f>
        <x:v>472</x:v>
      </x:c>
      <x:c r="U1244" s="93" t="n">
        <x:f>T1244*S1244</x:f>
        <x:v>47.2</x:v>
      </x:c>
      <x:c r="V1244" s="93" t="str">
        <x:f>PROPER(TRIM('Raw Sales'!L1244))</x:f>
        <x:v>Completed</x:v>
      </x:c>
      <x:c r="W1244" s="93" t="n">
        <x:f>IF(V1244="Returned",0,T1244-U1244)</x:f>
        <x:v>424.8</x:v>
      </x:c>
      <x:c r="X1244" s="93" t="n">
        <x:f>IF(V1244="Returned",Q1244*R1244*10%,Q1244*R1244)</x:f>
        <x:v>224</x:v>
      </x:c>
      <x:c r="Y1244" s="93" t="n">
        <x:f>W1244-X1244</x:f>
        <x:v>200.8</x:v>
      </x:c>
      <x:c r="Z1244" s="94" t="n">
        <x:f>IFERROR(Y1244/W1244,0)</x:f>
        <x:v>0.4726930320150659</x:v>
      </x:c>
      <x:c r="AA1244" s="84" t="str">
        <x:f>PROPER(TRIM('Raw Sales'!M1244))</x:f>
        <x:v>Paypal</x:v>
      </x:c>
      <x:c r="AB1244" s="84" t="str">
        <x:f>PROPER(TRIM('Raw Sales'!N1244))</x:f>
        <x:v>Zoe Turner</x:v>
      </x:c>
      <x:c r="AC1244" s="85" t="n">
        <x:f>'Raw Sales'!O1244</x:f>
        <x:v>45703</x:v>
      </x:c>
      <x:c r="AD1244" s="84" t="n">
        <x:f>AC1244-B1244</x:f>
        <x:v>4</x:v>
      </x:c>
      <x:c r="AE1244" s="84" t="str">
        <x:f>IF(COUNTIF($A$5:A1244,A1244)&gt;1,"Duplicate","Keep")</x:f>
        <x:v>Keep</x:v>
      </x:c>
      <x:c r="AF1244" s="84" t="str">
        <x:f>IF(OR(R1244&lt;=0,AC1244&lt;B1244,H1244="Unknown",M1244="Unknown Product"),"Review","Valid")</x:f>
        <x:v>Valid</x:v>
      </x:c>
      <x:c r="AG1244" s="84" t="n">
        <x:f>IF(AND(AE1244="Keep",AF1244="Valid"),1,0)</x:f>
        <x:v>1</x:v>
      </x:c>
      <x:c r="AH1244" s="84" t="n">
        <x:f>IF(AND(AG1244=1,OR('Dashboard'!$B$4="All",I1244='Dashboard'!$B$4),OR('Dashboard'!$E$4="All",N1244='Dashboard'!$E$4),OR('Dashboard'!$H$4="All",K1244='Dashboard'!$H$4),OR('Dashboard'!$K$4="All",C1244='Dashboard'!$K$4)),1,0)</x:f>
        <x:v>1</x:v>
      </x:c>
      <x:c r="AI1244" s="84" t="n">
        <x:f>IF(AND(AG1244=1,OR('Dashboard'!$B$4="All",I1244='Dashboard'!$B$4),OR('Dashboard'!$E$4="All",N1244='Dashboard'!$E$4),OR('Dashboard'!$H$4="All",K1244='Dashboard'!$H$4)),1,0)</x:f>
        <x:v>1</x:v>
      </x:c>
    </x:row>
    <x:row r="1245">
      <x:c r="A1245" s="84" t="str">
        <x:f>'Raw Sales'!A1245</x:f>
        <x:v>ORD-2025-00088</x:v>
      </x:c>
      <x:c r="B1245" s="85" t="n">
        <x:f>'Raw Sales'!B1245</x:f>
        <x:v>45700</x:v>
      </x:c>
      <x:c r="C1245" s="84" t="n">
        <x:f>YEAR(B1245)</x:f>
        <x:v>2025</x:v>
      </x:c>
      <x:c r="D1245" s="91" t="n">
        <x:f>DATE(YEAR(B1245),MONTH(B1245),1)</x:f>
        <x:v>45689</x:v>
      </x:c>
      <x:c r="E1245" s="84" t="str">
        <x:f>TEXT(B1245,"mmm")</x:f>
        <x:v>Feb</x:v>
      </x:c>
      <x:c r="F1245" s="84" t="str">
        <x:f>'Raw Sales'!C1245</x:f>
        <x:v>CUST-0597</x:v>
      </x:c>
      <x:c r="G1245" s="84" t="str">
        <x:f>PROPER(TRIM('Raw Sales'!D1245))</x:f>
        <x:v>Nathan Ortiz</x:v>
      </x:c>
      <x:c r="H1245" s="84" t="str">
        <x:f>IF(TRIM('Raw Sales'!E1245)="","Unknown",PROPER(TRIM('Raw Sales'!E1245)))</x:f>
        <x:v>Small Business</x:v>
      </x:c>
      <x:c r="I1245" s="84" t="str">
        <x:f>PROPER(TRIM('Raw Sales'!F1245))</x:f>
        <x:v>West</x:v>
      </x:c>
      <x:c r="J1245" s="84" t="str">
        <x:f>PROPER(TRIM('Raw Sales'!G1245))</x:f>
        <x:v>Phoenix</x:v>
      </x:c>
      <x:c r="K1245" s="84" t="str">
        <x:f>PROPER(TRIM('Raw Sales'!H1245))</x:f>
        <x:v>Online</x:v>
      </x:c>
      <x:c r="L1245" s="84" t="str">
        <x:f>'Raw Sales'!I1245</x:f>
        <x:v>ACCS-002</x:v>
      </x:c>
      <x:c r="M1245" s="84" t="str">
        <x:f>IFERROR(VLOOKUP(L1245,'Reference Data'!$A$5:$F$40,2,FALSE),"Unknown Product")</x:f>
        <x:v>Travel Backpack</x:v>
      </x:c>
      <x:c r="N1245" s="84" t="str">
        <x:f>IFERROR(VLOOKUP(L1245,'Reference Data'!$A$5:$F$40,3,FALSE),"Unknown")</x:f>
        <x:v>Accessories</x:v>
      </x:c>
      <x:c r="O1245" s="84" t="str">
        <x:f>IFERROR(VLOOKUP(L1245,'Reference Data'!$A$5:$F$40,4,FALSE),"Unknown")</x:f>
        <x:v>Bags</x:v>
      </x:c>
      <x:c r="P1245" s="92" t="n">
        <x:f>IFERROR(VLOOKUP(L1245,'Reference Data'!$A$5:$F$40,5,FALSE),0)</x:f>
        <x:v>89</x:v>
      </x:c>
      <x:c r="Q1245" s="92" t="n">
        <x:f>IFERROR(VLOOKUP(L1245,'Reference Data'!$A$5:$F$40,6,FALSE),0)</x:f>
        <x:v>36</x:v>
      </x:c>
      <x:c r="R1245" s="84" t="n">
        <x:f>'Raw Sales'!J1245</x:f>
        <x:v>2</x:v>
      </x:c>
      <x:c r="S1245" s="87" t="n">
        <x:f>'Raw Sales'!K1245</x:f>
        <x:v>0</x:v>
      </x:c>
      <x:c r="T1245" s="93" t="n">
        <x:f>P1245*R1245</x:f>
        <x:v>178</x:v>
      </x:c>
      <x:c r="U1245" s="93" t="n">
        <x:f>T1245*S1245</x:f>
        <x:v>0</x:v>
      </x:c>
      <x:c r="V1245" s="93" t="str">
        <x:f>PROPER(TRIM('Raw Sales'!L1245))</x:f>
        <x:v>Completed</x:v>
      </x:c>
      <x:c r="W1245" s="93" t="n">
        <x:f>IF(V1245="Returned",0,T1245-U1245)</x:f>
        <x:v>178</x:v>
      </x:c>
      <x:c r="X1245" s="93" t="n">
        <x:f>IF(V1245="Returned",Q1245*R1245*10%,Q1245*R1245)</x:f>
        <x:v>72</x:v>
      </x:c>
      <x:c r="Y1245" s="93" t="n">
        <x:f>W1245-X1245</x:f>
        <x:v>106</x:v>
      </x:c>
      <x:c r="Z1245" s="94" t="n">
        <x:f>IFERROR(Y1245/W1245,0)</x:f>
        <x:v>0.5955056179775281</x:v>
      </x:c>
      <x:c r="AA1245" s="84" t="str">
        <x:f>PROPER(TRIM('Raw Sales'!M1245))</x:f>
        <x:v>Credit Card</x:v>
      </x:c>
      <x:c r="AB1245" s="84" t="str">
        <x:f>PROPER(TRIM('Raw Sales'!N1245))</x:f>
        <x:v>Leo Martinez</x:v>
      </x:c>
      <x:c r="AC1245" s="85" t="n">
        <x:f>'Raw Sales'!O1245</x:f>
        <x:v>45704</x:v>
      </x:c>
      <x:c r="AD1245" s="84" t="n">
        <x:f>AC1245-B1245</x:f>
        <x:v>4</x:v>
      </x:c>
      <x:c r="AE1245" s="84" t="str">
        <x:f>IF(COUNTIF($A$5:A1245,A1245)&gt;1,"Duplicate","Keep")</x:f>
        <x:v>Keep</x:v>
      </x:c>
      <x:c r="AF1245" s="84" t="str">
        <x:f>IF(OR(R1245&lt;=0,AC1245&lt;B1245,H1245="Unknown",M1245="Unknown Product"),"Review","Valid")</x:f>
        <x:v>Valid</x:v>
      </x:c>
      <x:c r="AG1245" s="84" t="n">
        <x:f>IF(AND(AE1245="Keep",AF1245="Valid"),1,0)</x:f>
        <x:v>1</x:v>
      </x:c>
      <x:c r="AH1245" s="84" t="n">
        <x:f>IF(AND(AG1245=1,OR('Dashboard'!$B$4="All",I1245='Dashboard'!$B$4),OR('Dashboard'!$E$4="All",N1245='Dashboard'!$E$4),OR('Dashboard'!$H$4="All",K1245='Dashboard'!$H$4),OR('Dashboard'!$K$4="All",C1245='Dashboard'!$K$4)),1,0)</x:f>
        <x:v>1</x:v>
      </x:c>
      <x:c r="AI1245" s="84" t="n">
        <x:f>IF(AND(AG1245=1,OR('Dashboard'!$B$4="All",I1245='Dashboard'!$B$4),OR('Dashboard'!$E$4="All",N1245='Dashboard'!$E$4),OR('Dashboard'!$H$4="All",K1245='Dashboard'!$H$4)),1,0)</x:f>
        <x:v>1</x:v>
      </x:c>
    </x:row>
    <x:row r="1246">
      <x:c r="A1246" s="84" t="str">
        <x:f>'Raw Sales'!A1246</x:f>
        <x:v>ORD-2025-00571</x:v>
      </x:c>
      <x:c r="B1246" s="85" t="n">
        <x:f>'Raw Sales'!B1246</x:f>
        <x:v>45700</x:v>
      </x:c>
      <x:c r="C1246" s="84" t="n">
        <x:f>YEAR(B1246)</x:f>
        <x:v>2025</x:v>
      </x:c>
      <x:c r="D1246" s="91" t="n">
        <x:f>DATE(YEAR(B1246),MONTH(B1246),1)</x:f>
        <x:v>45689</x:v>
      </x:c>
      <x:c r="E1246" s="84" t="str">
        <x:f>TEXT(B1246,"mmm")</x:f>
        <x:v>Feb</x:v>
      </x:c>
      <x:c r="F1246" s="84" t="str">
        <x:f>'Raw Sales'!C1246</x:f>
        <x:v>CUST-0200</x:v>
      </x:c>
      <x:c r="G1246" s="84" t="str">
        <x:f>PROPER(TRIM('Raw Sales'!D1246))</x:f>
        <x:v>Priya Patel</x:v>
      </x:c>
      <x:c r="H1246" s="84" t="str">
        <x:f>IF(TRIM('Raw Sales'!E1246)="","Unknown",PROPER(TRIM('Raw Sales'!E1246)))</x:f>
        <x:v>Consumer</x:v>
      </x:c>
      <x:c r="I1246" s="84" t="str">
        <x:f>PROPER(TRIM('Raw Sales'!F1246))</x:f>
        <x:v>Midwest</x:v>
      </x:c>
      <x:c r="J1246" s="84" t="str">
        <x:f>PROPER(TRIM('Raw Sales'!G1246))</x:f>
        <x:v>Detroit</x:v>
      </x:c>
      <x:c r="K1246" s="84" t="str">
        <x:f>PROPER(TRIM('Raw Sales'!H1246))</x:f>
        <x:v>Marketplace</x:v>
      </x:c>
      <x:c r="L1246" s="84" t="str">
        <x:f>'Raw Sales'!I1246</x:f>
        <x:v>ELEC-001</x:v>
      </x:c>
      <x:c r="M1246" s="84" t="str">
        <x:f>IFERROR(VLOOKUP(L1246,'Reference Data'!$A$5:$F$40,2,FALSE),"Unknown Product")</x:f>
        <x:v>Wireless Earbuds</x:v>
      </x:c>
      <x:c r="N1246" s="84" t="str">
        <x:f>IFERROR(VLOOKUP(L1246,'Reference Data'!$A$5:$F$40,3,FALSE),"Unknown")</x:f>
        <x:v>Electronics</x:v>
      </x:c>
      <x:c r="O1246" s="84" t="str">
        <x:f>IFERROR(VLOOKUP(L1246,'Reference Data'!$A$5:$F$40,4,FALSE),"Unknown")</x:f>
        <x:v>Audio</x:v>
      </x:c>
      <x:c r="P1246" s="92" t="n">
        <x:f>IFERROR(VLOOKUP(L1246,'Reference Data'!$A$5:$F$40,5,FALSE),0)</x:f>
        <x:v>69</x:v>
      </x:c>
      <x:c r="Q1246" s="92" t="n">
        <x:f>IFERROR(VLOOKUP(L1246,'Reference Data'!$A$5:$F$40,6,FALSE),0)</x:f>
        <x:v>36</x:v>
      </x:c>
      <x:c r="R1246" s="84" t="n">
        <x:f>'Raw Sales'!J1246</x:f>
        <x:v>2</x:v>
      </x:c>
      <x:c r="S1246" s="87" t="n">
        <x:f>'Raw Sales'!K1246</x:f>
        <x:v>0.2</x:v>
      </x:c>
      <x:c r="T1246" s="93" t="n">
        <x:f>P1246*R1246</x:f>
        <x:v>138</x:v>
      </x:c>
      <x:c r="U1246" s="93" t="n">
        <x:f>T1246*S1246</x:f>
        <x:v>27.6</x:v>
      </x:c>
      <x:c r="V1246" s="93" t="str">
        <x:f>PROPER(TRIM('Raw Sales'!L1246))</x:f>
        <x:v>Completed</x:v>
      </x:c>
      <x:c r="W1246" s="93" t="n">
        <x:f>IF(V1246="Returned",0,T1246-U1246)</x:f>
        <x:v>110.4</x:v>
      </x:c>
      <x:c r="X1246" s="93" t="n">
        <x:f>IF(V1246="Returned",Q1246*R1246*10%,Q1246*R1246)</x:f>
        <x:v>72</x:v>
      </x:c>
      <x:c r="Y1246" s="93" t="n">
        <x:f>W1246-X1246</x:f>
        <x:v>38.400000000000006</x:v>
      </x:c>
      <x:c r="Z1246" s="94" t="n">
        <x:f>IFERROR(Y1246/W1246,0)</x:f>
        <x:v>0.3478260869565218</x:v>
      </x:c>
      <x:c r="AA1246" s="84" t="str">
        <x:f>PROPER(TRIM('Raw Sales'!M1246))</x:f>
        <x:v>Credit Card</x:v>
      </x:c>
      <x:c r="AB1246" s="84" t="str">
        <x:f>PROPER(TRIM('Raw Sales'!N1246))</x:f>
        <x:v>Lucas Grant</x:v>
      </x:c>
      <x:c r="AC1246" s="85" t="n">
        <x:f>'Raw Sales'!O1246</x:f>
        <x:v>45704</x:v>
      </x:c>
      <x:c r="AD1246" s="84" t="n">
        <x:f>AC1246-B1246</x:f>
        <x:v>4</x:v>
      </x:c>
      <x:c r="AE1246" s="84" t="str">
        <x:f>IF(COUNTIF($A$5:A1246,A1246)&gt;1,"Duplicate","Keep")</x:f>
        <x:v>Keep</x:v>
      </x:c>
      <x:c r="AF1246" s="84" t="str">
        <x:f>IF(OR(R1246&lt;=0,AC1246&lt;B1246,H1246="Unknown",M1246="Unknown Product"),"Review","Valid")</x:f>
        <x:v>Valid</x:v>
      </x:c>
      <x:c r="AG1246" s="84" t="n">
        <x:f>IF(AND(AE1246="Keep",AF1246="Valid"),1,0)</x:f>
        <x:v>1</x:v>
      </x:c>
      <x:c r="AH1246" s="84" t="n">
        <x:f>IF(AND(AG1246=1,OR('Dashboard'!$B$4="All",I1246='Dashboard'!$B$4),OR('Dashboard'!$E$4="All",N1246='Dashboard'!$E$4),OR('Dashboard'!$H$4="All",K1246='Dashboard'!$H$4),OR('Dashboard'!$K$4="All",C1246='Dashboard'!$K$4)),1,0)</x:f>
        <x:v>1</x:v>
      </x:c>
      <x:c r="AI1246" s="84" t="n">
        <x:f>IF(AND(AG1246=1,OR('Dashboard'!$B$4="All",I1246='Dashboard'!$B$4),OR('Dashboard'!$E$4="All",N1246='Dashboard'!$E$4),OR('Dashboard'!$H$4="All",K1246='Dashboard'!$H$4)),1,0)</x:f>
        <x:v>1</x:v>
      </x:c>
    </x:row>
    <x:row r="1247">
      <x:c r="A1247" s="84" t="str">
        <x:f>'Raw Sales'!A1247</x:f>
        <x:v>ORD-2025-01174</x:v>
      </x:c>
      <x:c r="B1247" s="85" t="n">
        <x:f>'Raw Sales'!B1247</x:f>
        <x:v>45700</x:v>
      </x:c>
      <x:c r="C1247" s="84" t="n">
        <x:f>YEAR(B1247)</x:f>
        <x:v>2025</x:v>
      </x:c>
      <x:c r="D1247" s="91" t="n">
        <x:f>DATE(YEAR(B1247),MONTH(B1247),1)</x:f>
        <x:v>45689</x:v>
      </x:c>
      <x:c r="E1247" s="84" t="str">
        <x:f>TEXT(B1247,"mmm")</x:f>
        <x:v>Feb</x:v>
      </x:c>
      <x:c r="F1247" s="84" t="str">
        <x:f>'Raw Sales'!C1247</x:f>
        <x:v>CUST-0119</x:v>
      </x:c>
      <x:c r="G1247" s="84" t="str">
        <x:f>PROPER(TRIM('Raw Sales'!D1247))</x:f>
        <x:v>Grace Nelson</x:v>
      </x:c>
      <x:c r="H1247" s="84" t="str">
        <x:f>IF(TRIM('Raw Sales'!E1247)="","Unknown",PROPER(TRIM('Raw Sales'!E1247)))</x:f>
        <x:v>Small Business</x:v>
      </x:c>
      <x:c r="I1247" s="84" t="str">
        <x:f>PROPER(TRIM('Raw Sales'!F1247))</x:f>
        <x:v>West</x:v>
      </x:c>
      <x:c r="J1247" s="84" t="str">
        <x:f>PROPER(TRIM('Raw Sales'!G1247))</x:f>
        <x:v>Denver</x:v>
      </x:c>
      <x:c r="K1247" s="84" t="str">
        <x:f>PROPER(TRIM('Raw Sales'!H1247))</x:f>
        <x:v>Retail Store</x:v>
      </x:c>
      <x:c r="L1247" s="84" t="str">
        <x:f>'Raw Sales'!I1247</x:f>
        <x:v>OFFC-004</x:v>
      </x:c>
      <x:c r="M1247" s="84" t="str">
        <x:f>IFERROR(VLOOKUP(L1247,'Reference Data'!$A$5:$F$40,2,FALSE),"Unknown Product")</x:f>
        <x:v>Premium Notebook Pack</x:v>
      </x:c>
      <x:c r="N1247" s="84" t="str">
        <x:f>IFERROR(VLOOKUP(L1247,'Reference Data'!$A$5:$F$40,3,FALSE),"Unknown")</x:f>
        <x:v>Office</x:v>
      </x:c>
      <x:c r="O1247" s="84" t="str">
        <x:f>IFERROR(VLOOKUP(L1247,'Reference Data'!$A$5:$F$40,4,FALSE),"Unknown")</x:f>
        <x:v>Stationery</x:v>
      </x:c>
      <x:c r="P1247" s="92" t="n">
        <x:f>IFERROR(VLOOKUP(L1247,'Reference Data'!$A$5:$F$40,5,FALSE),0)</x:f>
        <x:v>18</x:v>
      </x:c>
      <x:c r="Q1247" s="92" t="n">
        <x:f>IFERROR(VLOOKUP(L1247,'Reference Data'!$A$5:$F$40,6,FALSE),0)</x:f>
        <x:v>6.5</x:v>
      </x:c>
      <x:c r="R1247" s="84" t="n">
        <x:f>'Raw Sales'!J1247</x:f>
        <x:v>2</x:v>
      </x:c>
      <x:c r="S1247" s="87" t="n">
        <x:f>'Raw Sales'!K1247</x:f>
        <x:v>0.1</x:v>
      </x:c>
      <x:c r="T1247" s="93" t="n">
        <x:f>P1247*R1247</x:f>
        <x:v>36</x:v>
      </x:c>
      <x:c r="U1247" s="93" t="n">
        <x:f>T1247*S1247</x:f>
        <x:v>3.6</x:v>
      </x:c>
      <x:c r="V1247" s="93" t="str">
        <x:f>PROPER(TRIM('Raw Sales'!L1247))</x:f>
        <x:v>Completed</x:v>
      </x:c>
      <x:c r="W1247" s="93" t="n">
        <x:f>IF(V1247="Returned",0,T1247-U1247)</x:f>
        <x:v>32.4</x:v>
      </x:c>
      <x:c r="X1247" s="93" t="n">
        <x:f>IF(V1247="Returned",Q1247*R1247*10%,Q1247*R1247)</x:f>
        <x:v>13</x:v>
      </x:c>
      <x:c r="Y1247" s="93" t="n">
        <x:f>W1247-X1247</x:f>
        <x:v>19.4</x:v>
      </x:c>
      <x:c r="Z1247" s="94" t="n">
        <x:f>IFERROR(Y1247/W1247,0)</x:f>
        <x:v>0.5987654320987654</x:v>
      </x:c>
      <x:c r="AA1247" s="84" t="str">
        <x:f>PROPER(TRIM('Raw Sales'!M1247))</x:f>
        <x:v>Credit Card</x:v>
      </x:c>
      <x:c r="AB1247" s="84" t="str">
        <x:f>PROPER(TRIM('Raw Sales'!N1247))</x:f>
        <x:v>Mia Chen</x:v>
      </x:c>
      <x:c r="AC1247" s="85" t="n">
        <x:f>'Raw Sales'!O1247</x:f>
        <x:v>45700</x:v>
      </x:c>
      <x:c r="AD1247" s="84" t="n">
        <x:f>AC1247-B1247</x:f>
        <x:v>0</x:v>
      </x:c>
      <x:c r="AE1247" s="84" t="str">
        <x:f>IF(COUNTIF($A$5:A1247,A1247)&gt;1,"Duplicate","Keep")</x:f>
        <x:v>Keep</x:v>
      </x:c>
      <x:c r="AF1247" s="84" t="str">
        <x:f>IF(OR(R1247&lt;=0,AC1247&lt;B1247,H1247="Unknown",M1247="Unknown Product"),"Review","Valid")</x:f>
        <x:v>Valid</x:v>
      </x:c>
      <x:c r="AG1247" s="84" t="n">
        <x:f>IF(AND(AE1247="Keep",AF1247="Valid"),1,0)</x:f>
        <x:v>1</x:v>
      </x:c>
      <x:c r="AH1247" s="84" t="n">
        <x:f>IF(AND(AG1247=1,OR('Dashboard'!$B$4="All",I1247='Dashboard'!$B$4),OR('Dashboard'!$E$4="All",N1247='Dashboard'!$E$4),OR('Dashboard'!$H$4="All",K1247='Dashboard'!$H$4),OR('Dashboard'!$K$4="All",C1247='Dashboard'!$K$4)),1,0)</x:f>
        <x:v>1</x:v>
      </x:c>
      <x:c r="AI1247" s="84" t="n">
        <x:f>IF(AND(AG1247=1,OR('Dashboard'!$B$4="All",I1247='Dashboard'!$B$4),OR('Dashboard'!$E$4="All",N1247='Dashboard'!$E$4),OR('Dashboard'!$H$4="All",K1247='Dashboard'!$H$4)),1,0)</x:f>
        <x:v>1</x:v>
      </x:c>
    </x:row>
    <x:row r="1248">
      <x:c r="A1248" s="84" t="str">
        <x:f>'Raw Sales'!A1248</x:f>
        <x:v>ORD-2025-00731</x:v>
      </x:c>
      <x:c r="B1248" s="85" t="n">
        <x:f>'Raw Sales'!B1248</x:f>
        <x:v>45701</x:v>
      </x:c>
      <x:c r="C1248" s="84" t="n">
        <x:f>YEAR(B1248)</x:f>
        <x:v>2025</x:v>
      </x:c>
      <x:c r="D1248" s="91" t="n">
        <x:f>DATE(YEAR(B1248),MONTH(B1248),1)</x:f>
        <x:v>45689</x:v>
      </x:c>
      <x:c r="E1248" s="84" t="str">
        <x:f>TEXT(B1248,"mmm")</x:f>
        <x:v>Feb</x:v>
      </x:c>
      <x:c r="F1248" s="84" t="str">
        <x:f>'Raw Sales'!C1248</x:f>
        <x:v>CUST-0614</x:v>
      </x:c>
      <x:c r="G1248" s="84" t="str">
        <x:f>PROPER(TRIM('Raw Sales'!D1248))</x:f>
        <x:v>Theo Carter</x:v>
      </x:c>
      <x:c r="H1248" s="84" t="str">
        <x:f>IF(TRIM('Raw Sales'!E1248)="","Unknown",PROPER(TRIM('Raw Sales'!E1248)))</x:f>
        <x:v>Corporate</x:v>
      </x:c>
      <x:c r="I1248" s="84" t="str">
        <x:f>PROPER(TRIM('Raw Sales'!F1248))</x:f>
        <x:v>Midwest</x:v>
      </x:c>
      <x:c r="J1248" s="84" t="str">
        <x:f>PROPER(TRIM('Raw Sales'!G1248))</x:f>
        <x:v>Detroit</x:v>
      </x:c>
      <x:c r="K1248" s="84" t="str">
        <x:f>PROPER(TRIM('Raw Sales'!H1248))</x:f>
        <x:v>Retail Store</x:v>
      </x:c>
      <x:c r="L1248" s="84" t="str">
        <x:f>'Raw Sales'!I1248</x:f>
        <x:v>ELEC-003</x:v>
      </x:c>
      <x:c r="M1248" s="84" t="str">
        <x:f>IFERROR(VLOOKUP(L1248,'Reference Data'!$A$5:$F$40,2,FALSE),"Unknown Product")</x:f>
        <x:v>Bluetooth Speaker</x:v>
      </x:c>
      <x:c r="N1248" s="84" t="str">
        <x:f>IFERROR(VLOOKUP(L1248,'Reference Data'!$A$5:$F$40,3,FALSE),"Unknown")</x:f>
        <x:v>Electronics</x:v>
      </x:c>
      <x:c r="O1248" s="84" t="str">
        <x:f>IFERROR(VLOOKUP(L1248,'Reference Data'!$A$5:$F$40,4,FALSE),"Unknown")</x:f>
        <x:v>Audio</x:v>
      </x:c>
      <x:c r="P1248" s="92" t="n">
        <x:f>IFERROR(VLOOKUP(L1248,'Reference Data'!$A$5:$F$40,5,FALSE),0)</x:f>
        <x:v>89</x:v>
      </x:c>
      <x:c r="Q1248" s="92" t="n">
        <x:f>IFERROR(VLOOKUP(L1248,'Reference Data'!$A$5:$F$40,6,FALSE),0)</x:f>
        <x:v>44</x:v>
      </x:c>
      <x:c r="R1248" s="84" t="n">
        <x:f>'Raw Sales'!J1248</x:f>
        <x:v>3</x:v>
      </x:c>
      <x:c r="S1248" s="87" t="n">
        <x:f>'Raw Sales'!K1248</x:f>
        <x:v>0</x:v>
      </x:c>
      <x:c r="T1248" s="93" t="n">
        <x:f>P1248*R1248</x:f>
        <x:v>267</x:v>
      </x:c>
      <x:c r="U1248" s="93" t="n">
        <x:f>T1248*S1248</x:f>
        <x:v>0</x:v>
      </x:c>
      <x:c r="V1248" s="93" t="str">
        <x:f>PROPER(TRIM('Raw Sales'!L1248))</x:f>
        <x:v>Completed</x:v>
      </x:c>
      <x:c r="W1248" s="93" t="n">
        <x:f>IF(V1248="Returned",0,T1248-U1248)</x:f>
        <x:v>267</x:v>
      </x:c>
      <x:c r="X1248" s="93" t="n">
        <x:f>IF(V1248="Returned",Q1248*R1248*10%,Q1248*R1248)</x:f>
        <x:v>132</x:v>
      </x:c>
      <x:c r="Y1248" s="93" t="n">
        <x:f>W1248-X1248</x:f>
        <x:v>135</x:v>
      </x:c>
      <x:c r="Z1248" s="94" t="n">
        <x:f>IFERROR(Y1248/W1248,0)</x:f>
        <x:v>0.5056179775280899</x:v>
      </x:c>
      <x:c r="AA1248" s="84" t="str">
        <x:f>PROPER(TRIM('Raw Sales'!M1248))</x:f>
        <x:v>Debit Card</x:v>
      </x:c>
      <x:c r="AB1248" s="84" t="str">
        <x:f>PROPER(TRIM('Raw Sales'!N1248))</x:f>
        <x:v>Lucas Grant</x:v>
      </x:c>
      <x:c r="AC1248" s="85" t="n">
        <x:f>'Raw Sales'!O1248</x:f>
        <x:v>45701</x:v>
      </x:c>
      <x:c r="AD1248" s="84" t="n">
        <x:f>AC1248-B1248</x:f>
        <x:v>0</x:v>
      </x:c>
      <x:c r="AE1248" s="84" t="str">
        <x:f>IF(COUNTIF($A$5:A1248,A1248)&gt;1,"Duplicate","Keep")</x:f>
        <x:v>Keep</x:v>
      </x:c>
      <x:c r="AF1248" s="84" t="str">
        <x:f>IF(OR(R1248&lt;=0,AC1248&lt;B1248,H1248="Unknown",M1248="Unknown Product"),"Review","Valid")</x:f>
        <x:v>Valid</x:v>
      </x:c>
      <x:c r="AG1248" s="84" t="n">
        <x:f>IF(AND(AE1248="Keep",AF1248="Valid"),1,0)</x:f>
        <x:v>1</x:v>
      </x:c>
      <x:c r="AH1248" s="84" t="n">
        <x:f>IF(AND(AG1248=1,OR('Dashboard'!$B$4="All",I1248='Dashboard'!$B$4),OR('Dashboard'!$E$4="All",N1248='Dashboard'!$E$4),OR('Dashboard'!$H$4="All",K1248='Dashboard'!$H$4),OR('Dashboard'!$K$4="All",C1248='Dashboard'!$K$4)),1,0)</x:f>
        <x:v>1</x:v>
      </x:c>
      <x:c r="AI1248" s="84" t="n">
        <x:f>IF(AND(AG1248=1,OR('Dashboard'!$B$4="All",I1248='Dashboard'!$B$4),OR('Dashboard'!$E$4="All",N1248='Dashboard'!$E$4),OR('Dashboard'!$H$4="All",K1248='Dashboard'!$H$4)),1,0)</x:f>
        <x:v>1</x:v>
      </x:c>
    </x:row>
    <x:row r="1249">
      <x:c r="A1249" s="84" t="str">
        <x:f>'Raw Sales'!A1249</x:f>
        <x:v>ORD-2025-01179</x:v>
      </x:c>
      <x:c r="B1249" s="85" t="n">
        <x:f>'Raw Sales'!B1249</x:f>
        <x:v>45701</x:v>
      </x:c>
      <x:c r="C1249" s="84" t="n">
        <x:f>YEAR(B1249)</x:f>
        <x:v>2025</x:v>
      </x:c>
      <x:c r="D1249" s="91" t="n">
        <x:f>DATE(YEAR(B1249),MONTH(B1249),1)</x:f>
        <x:v>45689</x:v>
      </x:c>
      <x:c r="E1249" s="84" t="str">
        <x:f>TEXT(B1249,"mmm")</x:f>
        <x:v>Feb</x:v>
      </x:c>
      <x:c r="F1249" s="84" t="str">
        <x:f>'Raw Sales'!C1249</x:f>
        <x:v>CUST-0354</x:v>
      </x:c>
      <x:c r="G1249" s="84" t="str">
        <x:f>PROPER(TRIM('Raw Sales'!D1249))</x:f>
        <x:v>Jasmine Quinn</x:v>
      </x:c>
      <x:c r="H1249" s="84" t="str">
        <x:f>IF(TRIM('Raw Sales'!E1249)="","Unknown",PROPER(TRIM('Raw Sales'!E1249)))</x:f>
        <x:v>Consumer</x:v>
      </x:c>
      <x:c r="I1249" s="84" t="str">
        <x:f>PROPER(TRIM('Raw Sales'!F1249))</x:f>
        <x:v>Northeast</x:v>
      </x:c>
      <x:c r="J1249" s="84" t="str">
        <x:f>PROPER(TRIM('Raw Sales'!G1249))</x:f>
        <x:v>Philadelphia</x:v>
      </x:c>
      <x:c r="K1249" s="84" t="str">
        <x:f>PROPER(TRIM('Raw Sales'!H1249))</x:f>
        <x:v>Online</x:v>
      </x:c>
      <x:c r="L1249" s="84" t="str">
        <x:f>'Raw Sales'!I1249</x:f>
        <x:v>HOME-004</x:v>
      </x:c>
      <x:c r="M1249" s="84" t="str">
        <x:f>IFERROR(VLOOKUP(L1249,'Reference Data'!$A$5:$F$40,2,FALSE),"Unknown Product")</x:f>
        <x:v>Coffee Maker</x:v>
      </x:c>
      <x:c r="N1249" s="84" t="str">
        <x:f>IFERROR(VLOOKUP(L1249,'Reference Data'!$A$5:$F$40,3,FALSE),"Unknown")</x:f>
        <x:v>Home &amp; Kitchen</x:v>
      </x:c>
      <x:c r="O1249" s="84" t="str">
        <x:f>IFERROR(VLOOKUP(L1249,'Reference Data'!$A$5:$F$40,4,FALSE),"Unknown")</x:f>
        <x:v>Small Appliances</x:v>
      </x:c>
      <x:c r="P1249" s="92" t="n">
        <x:f>IFERROR(VLOOKUP(L1249,'Reference Data'!$A$5:$F$40,5,FALSE),0)</x:f>
        <x:v>99</x:v>
      </x:c>
      <x:c r="Q1249" s="92" t="n">
        <x:f>IFERROR(VLOOKUP(L1249,'Reference Data'!$A$5:$F$40,6,FALSE),0)</x:f>
        <x:v>51</x:v>
      </x:c>
      <x:c r="R1249" s="84" t="n">
        <x:f>'Raw Sales'!J1249</x:f>
        <x:v>1</x:v>
      </x:c>
      <x:c r="S1249" s="87" t="n">
        <x:f>'Raw Sales'!K1249</x:f>
        <x:v>0.05</x:v>
      </x:c>
      <x:c r="T1249" s="93" t="n">
        <x:f>P1249*R1249</x:f>
        <x:v>99</x:v>
      </x:c>
      <x:c r="U1249" s="93" t="n">
        <x:f>T1249*S1249</x:f>
        <x:v>4.95</x:v>
      </x:c>
      <x:c r="V1249" s="93" t="str">
        <x:f>PROPER(TRIM('Raw Sales'!L1249))</x:f>
        <x:v>Completed</x:v>
      </x:c>
      <x:c r="W1249" s="93" t="n">
        <x:f>IF(V1249="Returned",0,T1249-U1249)</x:f>
        <x:v>94.05</x:v>
      </x:c>
      <x:c r="X1249" s="93" t="n">
        <x:f>IF(V1249="Returned",Q1249*R1249*10%,Q1249*R1249)</x:f>
        <x:v>51</x:v>
      </x:c>
      <x:c r="Y1249" s="93" t="n">
        <x:f>W1249-X1249</x:f>
        <x:v>43.05</x:v>
      </x:c>
      <x:c r="Z1249" s="94" t="n">
        <x:f>IFERROR(Y1249/W1249,0)</x:f>
        <x:v>0.4577352472089314</x:v>
      </x:c>
      <x:c r="AA1249" s="84" t="str">
        <x:f>PROPER(TRIM('Raw Sales'!M1249))</x:f>
        <x:v>Credit Card</x:v>
      </x:c>
      <x:c r="AB1249" s="84" t="str">
        <x:f>PROPER(TRIM('Raw Sales'!N1249))</x:f>
        <x:v>Sofia Bennett</x:v>
      </x:c>
      <x:c r="AC1249" s="85" t="n">
        <x:f>'Raw Sales'!O1249</x:f>
        <x:v>45706</x:v>
      </x:c>
      <x:c r="AD1249" s="84" t="n">
        <x:f>AC1249-B1249</x:f>
        <x:v>5</x:v>
      </x:c>
      <x:c r="AE1249" s="84" t="str">
        <x:f>IF(COUNTIF($A$5:A1249,A1249)&gt;1,"Duplicate","Keep")</x:f>
        <x:v>Keep</x:v>
      </x:c>
      <x:c r="AF1249" s="84" t="str">
        <x:f>IF(OR(R1249&lt;=0,AC1249&lt;B1249,H1249="Unknown",M1249="Unknown Product"),"Review","Valid")</x:f>
        <x:v>Valid</x:v>
      </x:c>
      <x:c r="AG1249" s="84" t="n">
        <x:f>IF(AND(AE1249="Keep",AF1249="Valid"),1,0)</x:f>
        <x:v>1</x:v>
      </x:c>
      <x:c r="AH1249" s="84" t="n">
        <x:f>IF(AND(AG1249=1,OR('Dashboard'!$B$4="All",I1249='Dashboard'!$B$4),OR('Dashboard'!$E$4="All",N1249='Dashboard'!$E$4),OR('Dashboard'!$H$4="All",K1249='Dashboard'!$H$4),OR('Dashboard'!$K$4="All",C1249='Dashboard'!$K$4)),1,0)</x:f>
        <x:v>1</x:v>
      </x:c>
      <x:c r="AI1249" s="84" t="n">
        <x:f>IF(AND(AG1249=1,OR('Dashboard'!$B$4="All",I1249='Dashboard'!$B$4),OR('Dashboard'!$E$4="All",N1249='Dashboard'!$E$4),OR('Dashboard'!$H$4="All",K1249='Dashboard'!$H$4)),1,0)</x:f>
        <x:v>1</x:v>
      </x:c>
    </x:row>
    <x:row r="1250">
      <x:c r="A1250" s="84" t="str">
        <x:f>'Raw Sales'!A1250</x:f>
        <x:v>ORD-2025-01698</x:v>
      </x:c>
      <x:c r="B1250" s="85" t="n">
        <x:f>'Raw Sales'!B1250</x:f>
        <x:v>45701</x:v>
      </x:c>
      <x:c r="C1250" s="84" t="n">
        <x:f>YEAR(B1250)</x:f>
        <x:v>2025</x:v>
      </x:c>
      <x:c r="D1250" s="91" t="n">
        <x:f>DATE(YEAR(B1250),MONTH(B1250),1)</x:f>
        <x:v>45689</x:v>
      </x:c>
      <x:c r="E1250" s="84" t="str">
        <x:f>TEXT(B1250,"mmm")</x:f>
        <x:v>Feb</x:v>
      </x:c>
      <x:c r="F1250" s="84" t="str">
        <x:f>'Raw Sales'!C1250</x:f>
        <x:v>CUST-0150</x:v>
      </x:c>
      <x:c r="G1250" s="84" t="str">
        <x:f>PROPER(TRIM('Raw Sales'!D1250))</x:f>
        <x:v>Aiden Carter</x:v>
      </x:c>
      <x:c r="H1250" s="84" t="str">
        <x:f>IF(TRIM('Raw Sales'!E1250)="","Unknown",PROPER(TRIM('Raw Sales'!E1250)))</x:f>
        <x:v>Consumer</x:v>
      </x:c>
      <x:c r="I1250" s="84" t="str">
        <x:f>PROPER(TRIM('Raw Sales'!F1250))</x:f>
        <x:v>Southeast</x:v>
      </x:c>
      <x:c r="J1250" s="84" t="str">
        <x:f>PROPER(TRIM('Raw Sales'!G1250))</x:f>
        <x:v>Atlanta</x:v>
      </x:c>
      <x:c r="K1250" s="84" t="str">
        <x:f>PROPER(TRIM('Raw Sales'!H1250))</x:f>
        <x:v>Online</x:v>
      </x:c>
      <x:c r="L1250" s="84" t="str">
        <x:f>'Raw Sales'!I1250</x:f>
        <x:v>FITN-003</x:v>
      </x:c>
      <x:c r="M1250" s="84" t="str">
        <x:f>IFERROR(VLOOKUP(L1250,'Reference Data'!$A$5:$F$40,2,FALSE),"Unknown Product")</x:f>
        <x:v>Resistance Band Set</x:v>
      </x:c>
      <x:c r="N1250" s="84" t="str">
        <x:f>IFERROR(VLOOKUP(L1250,'Reference Data'!$A$5:$F$40,3,FALSE),"Unknown")</x:f>
        <x:v>Fitness</x:v>
      </x:c>
      <x:c r="O1250" s="84" t="str">
        <x:f>IFERROR(VLOOKUP(L1250,'Reference Data'!$A$5:$F$40,4,FALSE),"Unknown")</x:f>
        <x:v>Strength</x:v>
      </x:c>
      <x:c r="P1250" s="92" t="n">
        <x:f>IFERROR(VLOOKUP(L1250,'Reference Data'!$A$5:$F$40,5,FALSE),0)</x:f>
        <x:v>24</x:v>
      </x:c>
      <x:c r="Q1250" s="92" t="n">
        <x:f>IFERROR(VLOOKUP(L1250,'Reference Data'!$A$5:$F$40,6,FALSE),0)</x:f>
        <x:v>8</x:v>
      </x:c>
      <x:c r="R1250" s="84" t="n">
        <x:f>'Raw Sales'!J1250</x:f>
        <x:v>4</x:v>
      </x:c>
      <x:c r="S1250" s="87" t="n">
        <x:f>'Raw Sales'!K1250</x:f>
        <x:v>0</x:v>
      </x:c>
      <x:c r="T1250" s="93" t="n">
        <x:f>P1250*R1250</x:f>
        <x:v>96</x:v>
      </x:c>
      <x:c r="U1250" s="93" t="n">
        <x:f>T1250*S1250</x:f>
        <x:v>0</x:v>
      </x:c>
      <x:c r="V1250" s="93" t="str">
        <x:f>PROPER(TRIM('Raw Sales'!L1250))</x:f>
        <x:v>Completed</x:v>
      </x:c>
      <x:c r="W1250" s="93" t="n">
        <x:f>IF(V1250="Returned",0,T1250-U1250)</x:f>
        <x:v>96</x:v>
      </x:c>
      <x:c r="X1250" s="93" t="n">
        <x:f>IF(V1250="Returned",Q1250*R1250*10%,Q1250*R1250)</x:f>
        <x:v>32</x:v>
      </x:c>
      <x:c r="Y1250" s="93" t="n">
        <x:f>W1250-X1250</x:f>
        <x:v>64</x:v>
      </x:c>
      <x:c r="Z1250" s="94" t="n">
        <x:f>IFERROR(Y1250/W1250,0)</x:f>
        <x:v>0.6666666666666666</x:v>
      </x:c>
      <x:c r="AA1250" s="84" t="str">
        <x:f>PROPER(TRIM('Raw Sales'!M1250))</x:f>
        <x:v>Credit Card</x:v>
      </x:c>
      <x:c r="AB1250" s="84" t="str">
        <x:f>PROPER(TRIM('Raw Sales'!N1250))</x:f>
        <x:v>Ava Mitchell</x:v>
      </x:c>
      <x:c r="AC1250" s="85" t="n">
        <x:f>'Raw Sales'!O1250</x:f>
        <x:v>45703</x:v>
      </x:c>
      <x:c r="AD1250" s="84" t="n">
        <x:f>AC1250-B1250</x:f>
        <x:v>2</x:v>
      </x:c>
      <x:c r="AE1250" s="84" t="str">
        <x:f>IF(COUNTIF($A$5:A1250,A1250)&gt;1,"Duplicate","Keep")</x:f>
        <x:v>Keep</x:v>
      </x:c>
      <x:c r="AF1250" s="84" t="str">
        <x:f>IF(OR(R1250&lt;=0,AC1250&lt;B1250,H1250="Unknown",M1250="Unknown Product"),"Review","Valid")</x:f>
        <x:v>Valid</x:v>
      </x:c>
      <x:c r="AG1250" s="84" t="n">
        <x:f>IF(AND(AE1250="Keep",AF1250="Valid"),1,0)</x:f>
        <x:v>1</x:v>
      </x:c>
      <x:c r="AH1250" s="84" t="n">
        <x:f>IF(AND(AG1250=1,OR('Dashboard'!$B$4="All",I1250='Dashboard'!$B$4),OR('Dashboard'!$E$4="All",N1250='Dashboard'!$E$4),OR('Dashboard'!$H$4="All",K1250='Dashboard'!$H$4),OR('Dashboard'!$K$4="All",C1250='Dashboard'!$K$4)),1,0)</x:f>
        <x:v>1</x:v>
      </x:c>
      <x:c r="AI1250" s="84" t="n">
        <x:f>IF(AND(AG1250=1,OR('Dashboard'!$B$4="All",I1250='Dashboard'!$B$4),OR('Dashboard'!$E$4="All",N1250='Dashboard'!$E$4),OR('Dashboard'!$H$4="All",K1250='Dashboard'!$H$4)),1,0)</x:f>
        <x:v>1</x:v>
      </x:c>
    </x:row>
    <x:row r="1251">
      <x:c r="A1251" s="84" t="str">
        <x:f>'Raw Sales'!A1251</x:f>
        <x:v>ORD-2025-02266</x:v>
      </x:c>
      <x:c r="B1251" s="85" t="n">
        <x:f>'Raw Sales'!B1251</x:f>
        <x:v>45701</x:v>
      </x:c>
      <x:c r="C1251" s="84" t="n">
        <x:f>YEAR(B1251)</x:f>
        <x:v>2025</x:v>
      </x:c>
      <x:c r="D1251" s="91" t="n">
        <x:f>DATE(YEAR(B1251),MONTH(B1251),1)</x:f>
        <x:v>45689</x:v>
      </x:c>
      <x:c r="E1251" s="84" t="str">
        <x:f>TEXT(B1251,"mmm")</x:f>
        <x:v>Feb</x:v>
      </x:c>
      <x:c r="F1251" s="84" t="str">
        <x:f>'Raw Sales'!C1251</x:f>
        <x:v>CUST-0383</x:v>
      </x:c>
      <x:c r="G1251" s="84" t="str">
        <x:f>PROPER(TRIM('Raw Sales'!D1251))</x:f>
        <x:v>Maya Adams</x:v>
      </x:c>
      <x:c r="H1251" s="84" t="str">
        <x:f>IF(TRIM('Raw Sales'!E1251)="","Unknown",PROPER(TRIM('Raw Sales'!E1251)))</x:f>
        <x:v>Consumer</x:v>
      </x:c>
      <x:c r="I1251" s="84" t="str">
        <x:f>PROPER(TRIM('Raw Sales'!F1251))</x:f>
        <x:v>Southeast</x:v>
      </x:c>
      <x:c r="J1251" s="84" t="str">
        <x:f>PROPER(TRIM('Raw Sales'!G1251))</x:f>
        <x:v>Nashville</x:v>
      </x:c>
      <x:c r="K1251" s="84" t="str">
        <x:f>PROPER(TRIM('Raw Sales'!H1251))</x:f>
        <x:v>Online</x:v>
      </x:c>
      <x:c r="L1251" s="84" t="str">
        <x:f>'Raw Sales'!I1251</x:f>
        <x:v>ELEC-001</x:v>
      </x:c>
      <x:c r="M1251" s="84" t="str">
        <x:f>IFERROR(VLOOKUP(L1251,'Reference Data'!$A$5:$F$40,2,FALSE),"Unknown Product")</x:f>
        <x:v>Wireless Earbuds</x:v>
      </x:c>
      <x:c r="N1251" s="84" t="str">
        <x:f>IFERROR(VLOOKUP(L1251,'Reference Data'!$A$5:$F$40,3,FALSE),"Unknown")</x:f>
        <x:v>Electronics</x:v>
      </x:c>
      <x:c r="O1251" s="84" t="str">
        <x:f>IFERROR(VLOOKUP(L1251,'Reference Data'!$A$5:$F$40,4,FALSE),"Unknown")</x:f>
        <x:v>Audio</x:v>
      </x:c>
      <x:c r="P1251" s="92" t="n">
        <x:f>IFERROR(VLOOKUP(L1251,'Reference Data'!$A$5:$F$40,5,FALSE),0)</x:f>
        <x:v>69</x:v>
      </x:c>
      <x:c r="Q1251" s="92" t="n">
        <x:f>IFERROR(VLOOKUP(L1251,'Reference Data'!$A$5:$F$40,6,FALSE),0)</x:f>
        <x:v>36</x:v>
      </x:c>
      <x:c r="R1251" s="84" t="n">
        <x:f>'Raw Sales'!J1251</x:f>
        <x:v>1</x:v>
      </x:c>
      <x:c r="S1251" s="87" t="n">
        <x:f>'Raw Sales'!K1251</x:f>
        <x:v>0</x:v>
      </x:c>
      <x:c r="T1251" s="93" t="n">
        <x:f>P1251*R1251</x:f>
        <x:v>69</x:v>
      </x:c>
      <x:c r="U1251" s="93" t="n">
        <x:f>T1251*S1251</x:f>
        <x:v>0</x:v>
      </x:c>
      <x:c r="V1251" s="93" t="str">
        <x:f>PROPER(TRIM('Raw Sales'!L1251))</x:f>
        <x:v>Completed</x:v>
      </x:c>
      <x:c r="W1251" s="93" t="n">
        <x:f>IF(V1251="Returned",0,T1251-U1251)</x:f>
        <x:v>69</x:v>
      </x:c>
      <x:c r="X1251" s="93" t="n">
        <x:f>IF(V1251="Returned",Q1251*R1251*10%,Q1251*R1251)</x:f>
        <x:v>36</x:v>
      </x:c>
      <x:c r="Y1251" s="93" t="n">
        <x:f>W1251-X1251</x:f>
        <x:v>33</x:v>
      </x:c>
      <x:c r="Z1251" s="94" t="n">
        <x:f>IFERROR(Y1251/W1251,0)</x:f>
        <x:v>0.4782608695652174</x:v>
      </x:c>
      <x:c r="AA1251" s="84" t="str">
        <x:f>PROPER(TRIM('Raw Sales'!M1251))</x:f>
        <x:v>Paypal</x:v>
      </x:c>
      <x:c r="AB1251" s="84" t="str">
        <x:f>PROPER(TRIM('Raw Sales'!N1251))</x:f>
        <x:v>Noah Reed</x:v>
      </x:c>
      <x:c r="AC1251" s="85" t="n">
        <x:f>'Raw Sales'!O1251</x:f>
        <x:v>45703</x:v>
      </x:c>
      <x:c r="AD1251" s="84" t="n">
        <x:f>AC1251-B1251</x:f>
        <x:v>2</x:v>
      </x:c>
      <x:c r="AE1251" s="84" t="str">
        <x:f>IF(COUNTIF($A$5:A1251,A1251)&gt;1,"Duplicate","Keep")</x:f>
        <x:v>Keep</x:v>
      </x:c>
      <x:c r="AF1251" s="84" t="str">
        <x:f>IF(OR(R1251&lt;=0,AC1251&lt;B1251,H1251="Unknown",M1251="Unknown Product"),"Review","Valid")</x:f>
        <x:v>Valid</x:v>
      </x:c>
      <x:c r="AG1251" s="84" t="n">
        <x:f>IF(AND(AE1251="Keep",AF1251="Valid"),1,0)</x:f>
        <x:v>1</x:v>
      </x:c>
      <x:c r="AH1251" s="84" t="n">
        <x:f>IF(AND(AG1251=1,OR('Dashboard'!$B$4="All",I1251='Dashboard'!$B$4),OR('Dashboard'!$E$4="All",N1251='Dashboard'!$E$4),OR('Dashboard'!$H$4="All",K1251='Dashboard'!$H$4),OR('Dashboard'!$K$4="All",C1251='Dashboard'!$K$4)),1,0)</x:f>
        <x:v>1</x:v>
      </x:c>
      <x:c r="AI1251" s="84" t="n">
        <x:f>IF(AND(AG1251=1,OR('Dashboard'!$B$4="All",I1251='Dashboard'!$B$4),OR('Dashboard'!$E$4="All",N1251='Dashboard'!$E$4),OR('Dashboard'!$H$4="All",K1251='Dashboard'!$H$4)),1,0)</x:f>
        <x:v>1</x:v>
      </x:c>
    </x:row>
    <x:row r="1252">
      <x:c r="A1252" s="84" t="str">
        <x:f>'Raw Sales'!A1252</x:f>
        <x:v>ORD-2025-01266</x:v>
      </x:c>
      <x:c r="B1252" s="85" t="n">
        <x:f>'Raw Sales'!B1252</x:f>
        <x:v>45702</x:v>
      </x:c>
      <x:c r="C1252" s="84" t="n">
        <x:f>YEAR(B1252)</x:f>
        <x:v>2025</x:v>
      </x:c>
      <x:c r="D1252" s="91" t="n">
        <x:f>DATE(YEAR(B1252),MONTH(B1252),1)</x:f>
        <x:v>45689</x:v>
      </x:c>
      <x:c r="E1252" s="84" t="str">
        <x:f>TEXT(B1252,"mmm")</x:f>
        <x:v>Feb</x:v>
      </x:c>
      <x:c r="F1252" s="84" t="str">
        <x:f>'Raw Sales'!C1252</x:f>
        <x:v>CUST-0253</x:v>
      </x:c>
      <x:c r="G1252" s="84" t="str">
        <x:f>PROPER(TRIM('Raw Sales'!D1252))</x:f>
        <x:v>Caleb Quinn</x:v>
      </x:c>
      <x:c r="H1252" s="84" t="str">
        <x:f>IF(TRIM('Raw Sales'!E1252)="","Unknown",PROPER(TRIM('Raw Sales'!E1252)))</x:f>
        <x:v>Corporate</x:v>
      </x:c>
      <x:c r="I1252" s="84" t="str">
        <x:f>PROPER(TRIM('Raw Sales'!F1252))</x:f>
        <x:v>Midwest</x:v>
      </x:c>
      <x:c r="J1252" s="84" t="str">
        <x:f>PROPER(TRIM('Raw Sales'!G1252))</x:f>
        <x:v>Chicago</x:v>
      </x:c>
      <x:c r="K1252" s="84" t="str">
        <x:f>PROPER(TRIM('Raw Sales'!H1252))</x:f>
        <x:v>Retail Store</x:v>
      </x:c>
      <x:c r="L1252" s="84" t="str">
        <x:f>'Raw Sales'!I1252</x:f>
        <x:v>ELEC-004</x:v>
      </x:c>
      <x:c r="M1252" s="84" t="str">
        <x:f>IFERROR(VLOOKUP(L1252,'Reference Data'!$A$5:$F$40,2,FALSE),"Unknown Product")</x:f>
        <x:v>Power Bank</x:v>
      </x:c>
      <x:c r="N1252" s="84" t="str">
        <x:f>IFERROR(VLOOKUP(L1252,'Reference Data'!$A$5:$F$40,3,FALSE),"Unknown")</x:f>
        <x:v>Electronics</x:v>
      </x:c>
      <x:c r="O1252" s="84" t="str">
        <x:f>IFERROR(VLOOKUP(L1252,'Reference Data'!$A$5:$F$40,4,FALSE),"Unknown")</x:f>
        <x:v>Mobile Accessories</x:v>
      </x:c>
      <x:c r="P1252" s="92" t="n">
        <x:f>IFERROR(VLOOKUP(L1252,'Reference Data'!$A$5:$F$40,5,FALSE),0)</x:f>
        <x:v>39</x:v>
      </x:c>
      <x:c r="Q1252" s="92" t="n">
        <x:f>IFERROR(VLOOKUP(L1252,'Reference Data'!$A$5:$F$40,6,FALSE),0)</x:f>
        <x:v>18</x:v>
      </x:c>
      <x:c r="R1252" s="84" t="n">
        <x:f>'Raw Sales'!J1252</x:f>
        <x:v>2</x:v>
      </x:c>
      <x:c r="S1252" s="87" t="n">
        <x:f>'Raw Sales'!K1252</x:f>
        <x:v>0</x:v>
      </x:c>
      <x:c r="T1252" s="93" t="n">
        <x:f>P1252*R1252</x:f>
        <x:v>78</x:v>
      </x:c>
      <x:c r="U1252" s="93" t="n">
        <x:f>T1252*S1252</x:f>
        <x:v>0</x:v>
      </x:c>
      <x:c r="V1252" s="93" t="str">
        <x:f>PROPER(TRIM('Raw Sales'!L1252))</x:f>
        <x:v>Completed</x:v>
      </x:c>
      <x:c r="W1252" s="93" t="n">
        <x:f>IF(V1252="Returned",0,T1252-U1252)</x:f>
        <x:v>78</x:v>
      </x:c>
      <x:c r="X1252" s="93" t="n">
        <x:f>IF(V1252="Returned",Q1252*R1252*10%,Q1252*R1252)</x:f>
        <x:v>36</x:v>
      </x:c>
      <x:c r="Y1252" s="93" t="n">
        <x:f>W1252-X1252</x:f>
        <x:v>42</x:v>
      </x:c>
      <x:c r="Z1252" s="94" t="n">
        <x:f>IFERROR(Y1252/W1252,0)</x:f>
        <x:v>0.5384615384615384</x:v>
      </x:c>
      <x:c r="AA1252" s="84" t="str">
        <x:f>PROPER(TRIM('Raw Sales'!M1252))</x:f>
        <x:v>Credit Card</x:v>
      </x:c>
      <x:c r="AB1252" s="84" t="str">
        <x:f>PROPER(TRIM('Raw Sales'!N1252))</x:f>
        <x:v>Zoe Turner</x:v>
      </x:c>
      <x:c r="AC1252" s="85" t="n">
        <x:f>'Raw Sales'!O1252</x:f>
        <x:v>45702</x:v>
      </x:c>
      <x:c r="AD1252" s="84" t="n">
        <x:f>AC1252-B1252</x:f>
        <x:v>0</x:v>
      </x:c>
      <x:c r="AE1252" s="84" t="str">
        <x:f>IF(COUNTIF($A$5:A1252,A1252)&gt;1,"Duplicate","Keep")</x:f>
        <x:v>Keep</x:v>
      </x:c>
      <x:c r="AF1252" s="84" t="str">
        <x:f>IF(OR(R1252&lt;=0,AC1252&lt;B1252,H1252="Unknown",M1252="Unknown Product"),"Review","Valid")</x:f>
        <x:v>Valid</x:v>
      </x:c>
      <x:c r="AG1252" s="84" t="n">
        <x:f>IF(AND(AE1252="Keep",AF1252="Valid"),1,0)</x:f>
        <x:v>1</x:v>
      </x:c>
      <x:c r="AH1252" s="84" t="n">
        <x:f>IF(AND(AG1252=1,OR('Dashboard'!$B$4="All",I1252='Dashboard'!$B$4),OR('Dashboard'!$E$4="All",N1252='Dashboard'!$E$4),OR('Dashboard'!$H$4="All",K1252='Dashboard'!$H$4),OR('Dashboard'!$K$4="All",C1252='Dashboard'!$K$4)),1,0)</x:f>
        <x:v>1</x:v>
      </x:c>
      <x:c r="AI1252" s="84" t="n">
        <x:f>IF(AND(AG1252=1,OR('Dashboard'!$B$4="All",I1252='Dashboard'!$B$4),OR('Dashboard'!$E$4="All",N1252='Dashboard'!$E$4),OR('Dashboard'!$H$4="All",K1252='Dashboard'!$H$4)),1,0)</x:f>
        <x:v>1</x:v>
      </x:c>
    </x:row>
    <x:row r="1253">
      <x:c r="A1253" s="84" t="str">
        <x:f>'Raw Sales'!A1253</x:f>
        <x:v>ORD-2025-01746</x:v>
      </x:c>
      <x:c r="B1253" s="85" t="n">
        <x:f>'Raw Sales'!B1253</x:f>
        <x:v>45702</x:v>
      </x:c>
      <x:c r="C1253" s="84" t="n">
        <x:f>YEAR(B1253)</x:f>
        <x:v>2025</x:v>
      </x:c>
      <x:c r="D1253" s="91" t="n">
        <x:f>DATE(YEAR(B1253),MONTH(B1253),1)</x:f>
        <x:v>45689</x:v>
      </x:c>
      <x:c r="E1253" s="84" t="str">
        <x:f>TEXT(B1253,"mmm")</x:f>
        <x:v>Feb</x:v>
      </x:c>
      <x:c r="F1253" s="84" t="str">
        <x:f>'Raw Sales'!C1253</x:f>
        <x:v>CUST-0039</x:v>
      </x:c>
      <x:c r="G1253" s="84" t="str">
        <x:f>PROPER(TRIM('Raw Sales'!D1253))</x:f>
        <x:v>Amelia Patel</x:v>
      </x:c>
      <x:c r="H1253" s="84" t="str">
        <x:f>IF(TRIM('Raw Sales'!E1253)="","Unknown",PROPER(TRIM('Raw Sales'!E1253)))</x:f>
        <x:v>Consumer</x:v>
      </x:c>
      <x:c r="I1253" s="84" t="str">
        <x:f>PROPER(TRIM('Raw Sales'!F1253))</x:f>
        <x:v>West</x:v>
      </x:c>
      <x:c r="J1253" s="84" t="str">
        <x:f>PROPER(TRIM('Raw Sales'!G1253))</x:f>
        <x:v>Denver</x:v>
      </x:c>
      <x:c r="K1253" s="84" t="str">
        <x:f>PROPER(TRIM('Raw Sales'!H1253))</x:f>
        <x:v>Retail Store</x:v>
      </x:c>
      <x:c r="L1253" s="84" t="str">
        <x:f>'Raw Sales'!I1253</x:f>
        <x:v>FITN-001</x:v>
      </x:c>
      <x:c r="M1253" s="84" t="str">
        <x:f>IFERROR(VLOOKUP(L1253,'Reference Data'!$A$5:$F$40,2,FALSE),"Unknown Product")</x:f>
        <x:v>Yoga Mat</x:v>
      </x:c>
      <x:c r="N1253" s="84" t="str">
        <x:f>IFERROR(VLOOKUP(L1253,'Reference Data'!$A$5:$F$40,3,FALSE),"Unknown")</x:f>
        <x:v>Fitness</x:v>
      </x:c>
      <x:c r="O1253" s="84" t="str">
        <x:f>IFERROR(VLOOKUP(L1253,'Reference Data'!$A$5:$F$40,4,FALSE),"Unknown")</x:f>
        <x:v>Yoga</x:v>
      </x:c>
      <x:c r="P1253" s="92" t="n">
        <x:f>IFERROR(VLOOKUP(L1253,'Reference Data'!$A$5:$F$40,5,FALSE),0)</x:f>
        <x:v>35</x:v>
      </x:c>
      <x:c r="Q1253" s="92" t="n">
        <x:f>IFERROR(VLOOKUP(L1253,'Reference Data'!$A$5:$F$40,6,FALSE),0)</x:f>
        <x:v>13</x:v>
      </x:c>
      <x:c r="R1253" s="84" t="n">
        <x:f>'Raw Sales'!J1253</x:f>
        <x:v>2</x:v>
      </x:c>
      <x:c r="S1253" s="87" t="n">
        <x:f>'Raw Sales'!K1253</x:f>
        <x:v>0</x:v>
      </x:c>
      <x:c r="T1253" s="93" t="n">
        <x:f>P1253*R1253</x:f>
        <x:v>70</x:v>
      </x:c>
      <x:c r="U1253" s="93" t="n">
        <x:f>T1253*S1253</x:f>
        <x:v>0</x:v>
      </x:c>
      <x:c r="V1253" s="93" t="str">
        <x:f>PROPER(TRIM('Raw Sales'!L1253))</x:f>
        <x:v>Completed</x:v>
      </x:c>
      <x:c r="W1253" s="93" t="n">
        <x:f>IF(V1253="Returned",0,T1253-U1253)</x:f>
        <x:v>70</x:v>
      </x:c>
      <x:c r="X1253" s="93" t="n">
        <x:f>IF(V1253="Returned",Q1253*R1253*10%,Q1253*R1253)</x:f>
        <x:v>26</x:v>
      </x:c>
      <x:c r="Y1253" s="93" t="n">
        <x:f>W1253-X1253</x:f>
        <x:v>44</x:v>
      </x:c>
      <x:c r="Z1253" s="94" t="n">
        <x:f>IFERROR(Y1253/W1253,0)</x:f>
        <x:v>0.6285714285714286</x:v>
      </x:c>
      <x:c r="AA1253" s="84" t="str">
        <x:f>PROPER(TRIM('Raw Sales'!M1253))</x:f>
        <x:v>Credit Card</x:v>
      </x:c>
      <x:c r="AB1253" s="84" t="str">
        <x:f>PROPER(TRIM('Raw Sales'!N1253))</x:f>
        <x:v>Leo Martinez</x:v>
      </x:c>
      <x:c r="AC1253" s="85" t="n">
        <x:f>'Raw Sales'!O1253</x:f>
        <x:v>45702</x:v>
      </x:c>
      <x:c r="AD1253" s="84" t="n">
        <x:f>AC1253-B1253</x:f>
        <x:v>0</x:v>
      </x:c>
      <x:c r="AE1253" s="84" t="str">
        <x:f>IF(COUNTIF($A$5:A1253,A1253)&gt;1,"Duplicate","Keep")</x:f>
        <x:v>Keep</x:v>
      </x:c>
      <x:c r="AF1253" s="84" t="str">
        <x:f>IF(OR(R1253&lt;=0,AC1253&lt;B1253,H1253="Unknown",M1253="Unknown Product"),"Review","Valid")</x:f>
        <x:v>Valid</x:v>
      </x:c>
      <x:c r="AG1253" s="84" t="n">
        <x:f>IF(AND(AE1253="Keep",AF1253="Valid"),1,0)</x:f>
        <x:v>1</x:v>
      </x:c>
      <x:c r="AH1253" s="84" t="n">
        <x:f>IF(AND(AG1253=1,OR('Dashboard'!$B$4="All",I1253='Dashboard'!$B$4),OR('Dashboard'!$E$4="All",N1253='Dashboard'!$E$4),OR('Dashboard'!$H$4="All",K1253='Dashboard'!$H$4),OR('Dashboard'!$K$4="All",C1253='Dashboard'!$K$4)),1,0)</x:f>
        <x:v>1</x:v>
      </x:c>
      <x:c r="AI1253" s="84" t="n">
        <x:f>IF(AND(AG1253=1,OR('Dashboard'!$B$4="All",I1253='Dashboard'!$B$4),OR('Dashboard'!$E$4="All",N1253='Dashboard'!$E$4),OR('Dashboard'!$H$4="All",K1253='Dashboard'!$H$4)),1,0)</x:f>
        <x:v>1</x:v>
      </x:c>
    </x:row>
    <x:row r="1254">
      <x:c r="A1254" s="84" t="str">
        <x:f>'Raw Sales'!A1254</x:f>
        <x:v>ORD-2025-02208</x:v>
      </x:c>
      <x:c r="B1254" s="85" t="n">
        <x:f>'Raw Sales'!B1254</x:f>
        <x:v>45702</x:v>
      </x:c>
      <x:c r="C1254" s="84" t="n">
        <x:f>YEAR(B1254)</x:f>
        <x:v>2025</x:v>
      </x:c>
      <x:c r="D1254" s="91" t="n">
        <x:f>DATE(YEAR(B1254),MONTH(B1254),1)</x:f>
        <x:v>45689</x:v>
      </x:c>
      <x:c r="E1254" s="84" t="str">
        <x:f>TEXT(B1254,"mmm")</x:f>
        <x:v>Feb</x:v>
      </x:c>
      <x:c r="F1254" s="84" t="str">
        <x:f>'Raw Sales'!C1254</x:f>
        <x:v>CUST-0280</x:v>
      </x:c>
      <x:c r="G1254" s="84" t="str">
        <x:f>PROPER(TRIM('Raw Sales'!D1254))</x:f>
        <x:v>Theo Taylor</x:v>
      </x:c>
      <x:c r="H1254" s="84" t="str">
        <x:f>IF(TRIM('Raw Sales'!E1254)="","Unknown",PROPER(TRIM('Raw Sales'!E1254)))</x:f>
        <x:v>Corporate</x:v>
      </x:c>
      <x:c r="I1254" s="84" t="str">
        <x:f>PROPER(TRIM('Raw Sales'!F1254))</x:f>
        <x:v>Southeast</x:v>
      </x:c>
      <x:c r="J1254" s="84" t="str">
        <x:f>PROPER(TRIM('Raw Sales'!G1254))</x:f>
        <x:v>Charlotte</x:v>
      </x:c>
      <x:c r="K1254" s="84" t="str">
        <x:f>PROPER(TRIM('Raw Sales'!H1254))</x:f>
        <x:v>Online</x:v>
      </x:c>
      <x:c r="L1254" s="84" t="str">
        <x:f>'Raw Sales'!I1254</x:f>
        <x:v>HOME-006</x:v>
      </x:c>
      <x:c r="M1254" s="84" t="str">
        <x:f>IFERROR(VLOOKUP(L1254,'Reference Data'!$A$5:$F$40,2,FALSE),"Unknown Product")</x:f>
        <x:v>Food Storage Set</x:v>
      </x:c>
      <x:c r="N1254" s="84" t="str">
        <x:f>IFERROR(VLOOKUP(L1254,'Reference Data'!$A$5:$F$40,3,FALSE),"Unknown")</x:f>
        <x:v>Home &amp; Kitchen</x:v>
      </x:c>
      <x:c r="O1254" s="84" t="str">
        <x:f>IFERROR(VLOOKUP(L1254,'Reference Data'!$A$5:$F$40,4,FALSE),"Unknown")</x:f>
        <x:v>Kitchenware</x:v>
      </x:c>
      <x:c r="P1254" s="92" t="n">
        <x:f>IFERROR(VLOOKUP(L1254,'Reference Data'!$A$5:$F$40,5,FALSE),0)</x:f>
        <x:v>34</x:v>
      </x:c>
      <x:c r="Q1254" s="92" t="n">
        <x:f>IFERROR(VLOOKUP(L1254,'Reference Data'!$A$5:$F$40,6,FALSE),0)</x:f>
        <x:v>15</x:v>
      </x:c>
      <x:c r="R1254" s="84" t="n">
        <x:f>'Raw Sales'!J1254</x:f>
        <x:v>1</x:v>
      </x:c>
      <x:c r="S1254" s="87" t="n">
        <x:f>'Raw Sales'!K1254</x:f>
        <x:v>0.05</x:v>
      </x:c>
      <x:c r="T1254" s="93" t="n">
        <x:f>P1254*R1254</x:f>
        <x:v>34</x:v>
      </x:c>
      <x:c r="U1254" s="93" t="n">
        <x:f>T1254*S1254</x:f>
        <x:v>1.7000000000000002</x:v>
      </x:c>
      <x:c r="V1254" s="93" t="str">
        <x:f>PROPER(TRIM('Raw Sales'!L1254))</x:f>
        <x:v>Completed</x:v>
      </x:c>
      <x:c r="W1254" s="93" t="n">
        <x:f>IF(V1254="Returned",0,T1254-U1254)</x:f>
        <x:v>32.3</x:v>
      </x:c>
      <x:c r="X1254" s="93" t="n">
        <x:f>IF(V1254="Returned",Q1254*R1254*10%,Q1254*R1254)</x:f>
        <x:v>15</x:v>
      </x:c>
      <x:c r="Y1254" s="93" t="n">
        <x:f>W1254-X1254</x:f>
        <x:v>17.299999999999997</x:v>
      </x:c>
      <x:c r="Z1254" s="94" t="n">
        <x:f>IFERROR(Y1254/W1254,0)</x:f>
        <x:v>0.5356037151702786</x:v>
      </x:c>
      <x:c r="AA1254" s="84" t="str">
        <x:f>PROPER(TRIM('Raw Sales'!M1254))</x:f>
        <x:v>Debit Card</x:v>
      </x:c>
      <x:c r="AB1254" s="84" t="str">
        <x:f>PROPER(TRIM('Raw Sales'!N1254))</x:f>
        <x:v>Noah Reed</x:v>
      </x:c>
      <x:c r="AC1254" s="85" t="n">
        <x:f>'Raw Sales'!O1254</x:f>
        <x:v>45705</x:v>
      </x:c>
      <x:c r="AD1254" s="84" t="n">
        <x:f>AC1254-B1254</x:f>
        <x:v>3</x:v>
      </x:c>
      <x:c r="AE1254" s="84" t="str">
        <x:f>IF(COUNTIF($A$5:A1254,A1254)&gt;1,"Duplicate","Keep")</x:f>
        <x:v>Keep</x:v>
      </x:c>
      <x:c r="AF1254" s="84" t="str">
        <x:f>IF(OR(R1254&lt;=0,AC1254&lt;B1254,H1254="Unknown",M1254="Unknown Product"),"Review","Valid")</x:f>
        <x:v>Valid</x:v>
      </x:c>
      <x:c r="AG1254" s="84" t="n">
        <x:f>IF(AND(AE1254="Keep",AF1254="Valid"),1,0)</x:f>
        <x:v>1</x:v>
      </x:c>
      <x:c r="AH1254" s="84" t="n">
        <x:f>IF(AND(AG1254=1,OR('Dashboard'!$B$4="All",I1254='Dashboard'!$B$4),OR('Dashboard'!$E$4="All",N1254='Dashboard'!$E$4),OR('Dashboard'!$H$4="All",K1254='Dashboard'!$H$4),OR('Dashboard'!$K$4="All",C1254='Dashboard'!$K$4)),1,0)</x:f>
        <x:v>1</x:v>
      </x:c>
      <x:c r="AI1254" s="84" t="n">
        <x:f>IF(AND(AG1254=1,OR('Dashboard'!$B$4="All",I1254='Dashboard'!$B$4),OR('Dashboard'!$E$4="All",N1254='Dashboard'!$E$4),OR('Dashboard'!$H$4="All",K1254='Dashboard'!$H$4)),1,0)</x:f>
        <x:v>1</x:v>
      </x:c>
    </x:row>
    <x:row r="1255">
      <x:c r="A1255" s="84" t="str">
        <x:f>'Raw Sales'!A1255</x:f>
        <x:v>ORD-2025-02356</x:v>
      </x:c>
      <x:c r="B1255" s="85" t="n">
        <x:f>'Raw Sales'!B1255</x:f>
        <x:v>45702</x:v>
      </x:c>
      <x:c r="C1255" s="84" t="n">
        <x:f>YEAR(B1255)</x:f>
        <x:v>2025</x:v>
      </x:c>
      <x:c r="D1255" s="91" t="n">
        <x:f>DATE(YEAR(B1255),MONTH(B1255),1)</x:f>
        <x:v>45689</x:v>
      </x:c>
      <x:c r="E1255" s="84" t="str">
        <x:f>TEXT(B1255,"mmm")</x:f>
        <x:v>Feb</x:v>
      </x:c>
      <x:c r="F1255" s="84" t="str">
        <x:f>'Raw Sales'!C1255</x:f>
        <x:v>CUST-0104</x:v>
      </x:c>
      <x:c r="G1255" s="84" t="str">
        <x:f>PROPER(TRIM('Raw Sales'!D1255))</x:f>
        <x:v>Isaac Nelson</x:v>
      </x:c>
      <x:c r="H1255" s="84" t="str">
        <x:f>IF(TRIM('Raw Sales'!E1255)="","Unknown",PROPER(TRIM('Raw Sales'!E1255)))</x:f>
        <x:v>Consumer</x:v>
      </x:c>
      <x:c r="I1255" s="84" t="str">
        <x:f>PROPER(TRIM('Raw Sales'!F1255))</x:f>
        <x:v>Northeast</x:v>
      </x:c>
      <x:c r="J1255" s="84" t="str">
        <x:f>PROPER(TRIM('Raw Sales'!G1255))</x:f>
        <x:v>Boston</x:v>
      </x:c>
      <x:c r="K1255" s="84" t="str">
        <x:f>PROPER(TRIM('Raw Sales'!H1255))</x:f>
        <x:v>Online</x:v>
      </x:c>
      <x:c r="L1255" s="84" t="str">
        <x:f>'Raw Sales'!I1255</x:f>
        <x:v>ELEC-001</x:v>
      </x:c>
      <x:c r="M1255" s="84" t="str">
        <x:f>IFERROR(VLOOKUP(L1255,'Reference Data'!$A$5:$F$40,2,FALSE),"Unknown Product")</x:f>
        <x:v>Wireless Earbuds</x:v>
      </x:c>
      <x:c r="N1255" s="84" t="str">
        <x:f>IFERROR(VLOOKUP(L1255,'Reference Data'!$A$5:$F$40,3,FALSE),"Unknown")</x:f>
        <x:v>Electronics</x:v>
      </x:c>
      <x:c r="O1255" s="84" t="str">
        <x:f>IFERROR(VLOOKUP(L1255,'Reference Data'!$A$5:$F$40,4,FALSE),"Unknown")</x:f>
        <x:v>Audio</x:v>
      </x:c>
      <x:c r="P1255" s="92" t="n">
        <x:f>IFERROR(VLOOKUP(L1255,'Reference Data'!$A$5:$F$40,5,FALSE),0)</x:f>
        <x:v>69</x:v>
      </x:c>
      <x:c r="Q1255" s="92" t="n">
        <x:f>IFERROR(VLOOKUP(L1255,'Reference Data'!$A$5:$F$40,6,FALSE),0)</x:f>
        <x:v>36</x:v>
      </x:c>
      <x:c r="R1255" s="84" t="n">
        <x:f>'Raw Sales'!J1255</x:f>
        <x:v>1</x:v>
      </x:c>
      <x:c r="S1255" s="87" t="n">
        <x:f>'Raw Sales'!K1255</x:f>
        <x:v>0</x:v>
      </x:c>
      <x:c r="T1255" s="93" t="n">
        <x:f>P1255*R1255</x:f>
        <x:v>69</x:v>
      </x:c>
      <x:c r="U1255" s="93" t="n">
        <x:f>T1255*S1255</x:f>
        <x:v>0</x:v>
      </x:c>
      <x:c r="V1255" s="93" t="str">
        <x:f>PROPER(TRIM('Raw Sales'!L1255))</x:f>
        <x:v>Completed</x:v>
      </x:c>
      <x:c r="W1255" s="93" t="n">
        <x:f>IF(V1255="Returned",0,T1255-U1255)</x:f>
        <x:v>69</x:v>
      </x:c>
      <x:c r="X1255" s="93" t="n">
        <x:f>IF(V1255="Returned",Q1255*R1255*10%,Q1255*R1255)</x:f>
        <x:v>36</x:v>
      </x:c>
      <x:c r="Y1255" s="93" t="n">
        <x:f>W1255-X1255</x:f>
        <x:v>33</x:v>
      </x:c>
      <x:c r="Z1255" s="94" t="n">
        <x:f>IFERROR(Y1255/W1255,0)</x:f>
        <x:v>0.4782608695652174</x:v>
      </x:c>
      <x:c r="AA1255" s="84" t="str">
        <x:f>PROPER(TRIM('Raw Sales'!M1255))</x:f>
        <x:v>Debit Card</x:v>
      </x:c>
      <x:c r="AB1255" s="84" t="str">
        <x:f>PROPER(TRIM('Raw Sales'!N1255))</x:f>
        <x:v>Ethan Cole</x:v>
      </x:c>
      <x:c r="AC1255" s="85" t="n">
        <x:f>'Raw Sales'!O1255</x:f>
        <x:v>45705</x:v>
      </x:c>
      <x:c r="AD1255" s="84" t="n">
        <x:f>AC1255-B1255</x:f>
        <x:v>3</x:v>
      </x:c>
      <x:c r="AE1255" s="84" t="str">
        <x:f>IF(COUNTIF($A$5:A1255,A1255)&gt;1,"Duplicate","Keep")</x:f>
        <x:v>Keep</x:v>
      </x:c>
      <x:c r="AF1255" s="84" t="str">
        <x:f>IF(OR(R1255&lt;=0,AC1255&lt;B1255,H1255="Unknown",M1255="Unknown Product"),"Review","Valid")</x:f>
        <x:v>Valid</x:v>
      </x:c>
      <x:c r="AG1255" s="84" t="n">
        <x:f>IF(AND(AE1255="Keep",AF1255="Valid"),1,0)</x:f>
        <x:v>1</x:v>
      </x:c>
      <x:c r="AH1255" s="84" t="n">
        <x:f>IF(AND(AG1255=1,OR('Dashboard'!$B$4="All",I1255='Dashboard'!$B$4),OR('Dashboard'!$E$4="All",N1255='Dashboard'!$E$4),OR('Dashboard'!$H$4="All",K1255='Dashboard'!$H$4),OR('Dashboard'!$K$4="All",C1255='Dashboard'!$K$4)),1,0)</x:f>
        <x:v>1</x:v>
      </x:c>
      <x:c r="AI1255" s="84" t="n">
        <x:f>IF(AND(AG1255=1,OR('Dashboard'!$B$4="All",I1255='Dashboard'!$B$4),OR('Dashboard'!$E$4="All",N1255='Dashboard'!$E$4),OR('Dashboard'!$H$4="All",K1255='Dashboard'!$H$4)),1,0)</x:f>
        <x:v>1</x:v>
      </x:c>
    </x:row>
    <x:row r="1256">
      <x:c r="A1256" s="84" t="str">
        <x:f>'Raw Sales'!A1256</x:f>
        <x:v>ORD-2025-02395</x:v>
      </x:c>
      <x:c r="B1256" s="85" t="n">
        <x:f>'Raw Sales'!B1256</x:f>
        <x:v>45702</x:v>
      </x:c>
      <x:c r="C1256" s="84" t="n">
        <x:f>YEAR(B1256)</x:f>
        <x:v>2025</x:v>
      </x:c>
      <x:c r="D1256" s="91" t="n">
        <x:f>DATE(YEAR(B1256),MONTH(B1256),1)</x:f>
        <x:v>45689</x:v>
      </x:c>
      <x:c r="E1256" s="84" t="str">
        <x:f>TEXT(B1256,"mmm")</x:f>
        <x:v>Feb</x:v>
      </x:c>
      <x:c r="F1256" s="84" t="str">
        <x:f>'Raw Sales'!C1256</x:f>
        <x:v>CUST-0201</x:v>
      </x:c>
      <x:c r="G1256" s="84" t="str">
        <x:f>PROPER(TRIM('Raw Sales'!D1256))</x:f>
        <x:v>Chloe Evans</x:v>
      </x:c>
      <x:c r="H1256" s="84" t="str">
        <x:f>IF(TRIM('Raw Sales'!E1256)="","Unknown",PROPER(TRIM('Raw Sales'!E1256)))</x:f>
        <x:v>Corporate</x:v>
      </x:c>
      <x:c r="I1256" s="84" t="str">
        <x:f>PROPER(TRIM('Raw Sales'!F1256))</x:f>
        <x:v>Southeast</x:v>
      </x:c>
      <x:c r="J1256" s="84" t="str">
        <x:f>PROPER(TRIM('Raw Sales'!G1256))</x:f>
        <x:v>Atlanta</x:v>
      </x:c>
      <x:c r="K1256" s="84" t="str">
        <x:f>PROPER(TRIM('Raw Sales'!H1256))</x:f>
        <x:v>Online</x:v>
      </x:c>
      <x:c r="L1256" s="84" t="str">
        <x:f>'Raw Sales'!I1256</x:f>
        <x:v>HOME-005</x:v>
      </x:c>
      <x:c r="M1256" s="84" t="str">
        <x:f>IFERROR(VLOOKUP(L1256,'Reference Data'!$A$5:$F$40,2,FALSE),"Unknown Product")</x:f>
        <x:v>Cordless Vacuum</x:v>
      </x:c>
      <x:c r="N1256" s="84" t="str">
        <x:f>IFERROR(VLOOKUP(L1256,'Reference Data'!$A$5:$F$40,3,FALSE),"Unknown")</x:f>
        <x:v>Home &amp; Kitchen</x:v>
      </x:c>
      <x:c r="O1256" s="84" t="str">
        <x:f>IFERROR(VLOOKUP(L1256,'Reference Data'!$A$5:$F$40,4,FALSE),"Unknown")</x:f>
        <x:v>Cleaning</x:v>
      </x:c>
      <x:c r="P1256" s="92" t="n">
        <x:f>IFERROR(VLOOKUP(L1256,'Reference Data'!$A$5:$F$40,5,FALSE),0)</x:f>
        <x:v>179</x:v>
      </x:c>
      <x:c r="Q1256" s="92" t="n">
        <x:f>IFERROR(VLOOKUP(L1256,'Reference Data'!$A$5:$F$40,6,FALSE),0)</x:f>
        <x:v>102</x:v>
      </x:c>
      <x:c r="R1256" s="84" t="n">
        <x:f>'Raw Sales'!J1256</x:f>
        <x:v>5</x:v>
      </x:c>
      <x:c r="S1256" s="87" t="n">
        <x:f>'Raw Sales'!K1256</x:f>
        <x:v>0.15</x:v>
      </x:c>
      <x:c r="T1256" s="93" t="n">
        <x:f>P1256*R1256</x:f>
        <x:v>895</x:v>
      </x:c>
      <x:c r="U1256" s="93" t="n">
        <x:f>T1256*S1256</x:f>
        <x:v>134.25</x:v>
      </x:c>
      <x:c r="V1256" s="93" t="str">
        <x:f>PROPER(TRIM('Raw Sales'!L1256))</x:f>
        <x:v>Completed</x:v>
      </x:c>
      <x:c r="W1256" s="93" t="n">
        <x:f>IF(V1256="Returned",0,T1256-U1256)</x:f>
        <x:v>760.75</x:v>
      </x:c>
      <x:c r="X1256" s="93" t="n">
        <x:f>IF(V1256="Returned",Q1256*R1256*10%,Q1256*R1256)</x:f>
        <x:v>510</x:v>
      </x:c>
      <x:c r="Y1256" s="93" t="n">
        <x:f>W1256-X1256</x:f>
        <x:v>250.75</x:v>
      </x:c>
      <x:c r="Z1256" s="94" t="n">
        <x:f>IFERROR(Y1256/W1256,0)</x:f>
        <x:v>0.329608938547486</x:v>
      </x:c>
      <x:c r="AA1256" s="84" t="str">
        <x:f>PROPER(TRIM('Raw Sales'!M1256))</x:f>
        <x:v>Credit Card</x:v>
      </x:c>
      <x:c r="AB1256" s="84" t="str">
        <x:f>PROPER(TRIM('Raw Sales'!N1256))</x:f>
        <x:v>Ava Mitchell</x:v>
      </x:c>
      <x:c r="AC1256" s="85" t="n">
        <x:f>'Raw Sales'!O1256</x:f>
        <x:v>45704</x:v>
      </x:c>
      <x:c r="AD1256" s="84" t="n">
        <x:f>AC1256-B1256</x:f>
        <x:v>2</x:v>
      </x:c>
      <x:c r="AE1256" s="84" t="str">
        <x:f>IF(COUNTIF($A$5:A1256,A1256)&gt;1,"Duplicate","Keep")</x:f>
        <x:v>Keep</x:v>
      </x:c>
      <x:c r="AF1256" s="84" t="str">
        <x:f>IF(OR(R1256&lt;=0,AC1256&lt;B1256,H1256="Unknown",M1256="Unknown Product"),"Review","Valid")</x:f>
        <x:v>Valid</x:v>
      </x:c>
      <x:c r="AG1256" s="84" t="n">
        <x:f>IF(AND(AE1256="Keep",AF1256="Valid"),1,0)</x:f>
        <x:v>1</x:v>
      </x:c>
      <x:c r="AH1256" s="84" t="n">
        <x:f>IF(AND(AG1256=1,OR('Dashboard'!$B$4="All",I1256='Dashboard'!$B$4),OR('Dashboard'!$E$4="All",N1256='Dashboard'!$E$4),OR('Dashboard'!$H$4="All",K1256='Dashboard'!$H$4),OR('Dashboard'!$K$4="All",C1256='Dashboard'!$K$4)),1,0)</x:f>
        <x:v>1</x:v>
      </x:c>
      <x:c r="AI1256" s="84" t="n">
        <x:f>IF(AND(AG1256=1,OR('Dashboard'!$B$4="All",I1256='Dashboard'!$B$4),OR('Dashboard'!$E$4="All",N1256='Dashboard'!$E$4),OR('Dashboard'!$H$4="All",K1256='Dashboard'!$H$4)),1,0)</x:f>
        <x:v>1</x:v>
      </x:c>
    </x:row>
    <x:row r="1257">
      <x:c r="A1257" s="84" t="str">
        <x:f>'Raw Sales'!A1257</x:f>
        <x:v>ORD-2025-00609</x:v>
      </x:c>
      <x:c r="B1257" s="85" t="n">
        <x:f>'Raw Sales'!B1257</x:f>
        <x:v>45704</x:v>
      </x:c>
      <x:c r="C1257" s="84" t="n">
        <x:f>YEAR(B1257)</x:f>
        <x:v>2025</x:v>
      </x:c>
      <x:c r="D1257" s="91" t="n">
        <x:f>DATE(YEAR(B1257),MONTH(B1257),1)</x:f>
        <x:v>45689</x:v>
      </x:c>
      <x:c r="E1257" s="84" t="str">
        <x:f>TEXT(B1257,"mmm")</x:f>
        <x:v>Feb</x:v>
      </x:c>
      <x:c r="F1257" s="84" t="str">
        <x:f>'Raw Sales'!C1257</x:f>
        <x:v>CUST-0007</x:v>
      </x:c>
      <x:c r="G1257" s="84" t="str">
        <x:f>PROPER(TRIM('Raw Sales'!D1257))</x:f>
        <x:v>Owen Roberts</x:v>
      </x:c>
      <x:c r="H1257" s="84" t="str">
        <x:f>IF(TRIM('Raw Sales'!E1257)="","Unknown",PROPER(TRIM('Raw Sales'!E1257)))</x:f>
        <x:v>Consumer</x:v>
      </x:c>
      <x:c r="I1257" s="84" t="str">
        <x:f>PROPER(TRIM('Raw Sales'!F1257))</x:f>
        <x:v>Northeast</x:v>
      </x:c>
      <x:c r="J1257" s="84" t="str">
        <x:f>PROPER(TRIM('Raw Sales'!G1257))</x:f>
        <x:v>Newark</x:v>
      </x:c>
      <x:c r="K1257" s="84" t="str">
        <x:f>PROPER(TRIM('Raw Sales'!H1257))</x:f>
        <x:v>Retail Store</x:v>
      </x:c>
      <x:c r="L1257" s="84" t="str">
        <x:f>'Raw Sales'!I1257</x:f>
        <x:v>FITN-004</x:v>
      </x:c>
      <x:c r="M1257" s="84" t="str">
        <x:f>IFERROR(VLOOKUP(L1257,'Reference Data'!$A$5:$F$40,2,FALSE),"Unknown Product")</x:f>
        <x:v>Fitness Tracker</x:v>
      </x:c>
      <x:c r="N1257" s="84" t="str">
        <x:f>IFERROR(VLOOKUP(L1257,'Reference Data'!$A$5:$F$40,3,FALSE),"Unknown")</x:f>
        <x:v>Fitness</x:v>
      </x:c>
      <x:c r="O1257" s="84" t="str">
        <x:f>IFERROR(VLOOKUP(L1257,'Reference Data'!$A$5:$F$40,4,FALSE),"Unknown")</x:f>
        <x:v>Wearables</x:v>
      </x:c>
      <x:c r="P1257" s="92" t="n">
        <x:f>IFERROR(VLOOKUP(L1257,'Reference Data'!$A$5:$F$40,5,FALSE),0)</x:f>
        <x:v>89</x:v>
      </x:c>
      <x:c r="Q1257" s="92" t="n">
        <x:f>IFERROR(VLOOKUP(L1257,'Reference Data'!$A$5:$F$40,6,FALSE),0)</x:f>
        <x:v>44</x:v>
      </x:c>
      <x:c r="R1257" s="84" t="n">
        <x:f>'Raw Sales'!J1257</x:f>
        <x:v>1</x:v>
      </x:c>
      <x:c r="S1257" s="87" t="n">
        <x:f>'Raw Sales'!K1257</x:f>
        <x:v>0.1</x:v>
      </x:c>
      <x:c r="T1257" s="93" t="n">
        <x:f>P1257*R1257</x:f>
        <x:v>89</x:v>
      </x:c>
      <x:c r="U1257" s="93" t="n">
        <x:f>T1257*S1257</x:f>
        <x:v>8.9</x:v>
      </x:c>
      <x:c r="V1257" s="93" t="str">
        <x:f>PROPER(TRIM('Raw Sales'!L1257))</x:f>
        <x:v>Completed</x:v>
      </x:c>
      <x:c r="W1257" s="93" t="n">
        <x:f>IF(V1257="Returned",0,T1257-U1257)</x:f>
        <x:v>80.1</x:v>
      </x:c>
      <x:c r="X1257" s="93" t="n">
        <x:f>IF(V1257="Returned",Q1257*R1257*10%,Q1257*R1257)</x:f>
        <x:v>44</x:v>
      </x:c>
      <x:c r="Y1257" s="93" t="n">
        <x:f>W1257-X1257</x:f>
        <x:v>36.099999999999994</x:v>
      </x:c>
      <x:c r="Z1257" s="94" t="n">
        <x:f>IFERROR(Y1257/W1257,0)</x:f>
        <x:v>0.4506866416978776</x:v>
      </x:c>
      <x:c r="AA1257" s="84" t="str">
        <x:f>PROPER(TRIM('Raw Sales'!M1257))</x:f>
        <x:v>Mobile Wallet</x:v>
      </x:c>
      <x:c r="AB1257" s="84" t="str">
        <x:f>PROPER(TRIM('Raw Sales'!N1257))</x:f>
        <x:v>Maya Brooks</x:v>
      </x:c>
      <x:c r="AC1257" s="85" t="n">
        <x:f>'Raw Sales'!O1257</x:f>
        <x:v>45704</x:v>
      </x:c>
      <x:c r="AD1257" s="84" t="n">
        <x:f>AC1257-B1257</x:f>
        <x:v>0</x:v>
      </x:c>
      <x:c r="AE1257" s="84" t="str">
        <x:f>IF(COUNTIF($A$5:A1257,A1257)&gt;1,"Duplicate","Keep")</x:f>
        <x:v>Keep</x:v>
      </x:c>
      <x:c r="AF1257" s="84" t="str">
        <x:f>IF(OR(R1257&lt;=0,AC1257&lt;B1257,H1257="Unknown",M1257="Unknown Product"),"Review","Valid")</x:f>
        <x:v>Valid</x:v>
      </x:c>
      <x:c r="AG1257" s="84" t="n">
        <x:f>IF(AND(AE1257="Keep",AF1257="Valid"),1,0)</x:f>
        <x:v>1</x:v>
      </x:c>
      <x:c r="AH1257" s="84" t="n">
        <x:f>IF(AND(AG1257=1,OR('Dashboard'!$B$4="All",I1257='Dashboard'!$B$4),OR('Dashboard'!$E$4="All",N1257='Dashboard'!$E$4),OR('Dashboard'!$H$4="All",K1257='Dashboard'!$H$4),OR('Dashboard'!$K$4="All",C1257='Dashboard'!$K$4)),1,0)</x:f>
        <x:v>1</x:v>
      </x:c>
      <x:c r="AI1257" s="84" t="n">
        <x:f>IF(AND(AG1257=1,OR('Dashboard'!$B$4="All",I1257='Dashboard'!$B$4),OR('Dashboard'!$E$4="All",N1257='Dashboard'!$E$4),OR('Dashboard'!$H$4="All",K1257='Dashboard'!$H$4)),1,0)</x:f>
        <x:v>1</x:v>
      </x:c>
    </x:row>
    <x:row r="1258">
      <x:c r="A1258" s="84" t="str">
        <x:f>'Raw Sales'!A1258</x:f>
        <x:v>ORD-2025-01154</x:v>
      </x:c>
      <x:c r="B1258" s="85" t="n">
        <x:f>'Raw Sales'!B1258</x:f>
        <x:v>45704</x:v>
      </x:c>
      <x:c r="C1258" s="84" t="n">
        <x:f>YEAR(B1258)</x:f>
        <x:v>2025</x:v>
      </x:c>
      <x:c r="D1258" s="91" t="n">
        <x:f>DATE(YEAR(B1258),MONTH(B1258),1)</x:f>
        <x:v>45689</x:v>
      </x:c>
      <x:c r="E1258" s="84" t="str">
        <x:f>TEXT(B1258,"mmm")</x:f>
        <x:v>Feb</x:v>
      </x:c>
      <x:c r="F1258" s="84" t="str">
        <x:f>'Raw Sales'!C1258</x:f>
        <x:v>CUST-0030</x:v>
      </x:c>
      <x:c r="G1258" s="84" t="str">
        <x:f>PROPER(TRIM('Raw Sales'!D1258))</x:f>
        <x:v>Owen Patel</x:v>
      </x:c>
      <x:c r="H1258" s="84" t="str">
        <x:f>IF(TRIM('Raw Sales'!E1258)="","Unknown",PROPER(TRIM('Raw Sales'!E1258)))</x:f>
        <x:v>Corporate</x:v>
      </x:c>
      <x:c r="I1258" s="84" t="str">
        <x:f>PROPER(TRIM('Raw Sales'!F1258))</x:f>
        <x:v>Southeast</x:v>
      </x:c>
      <x:c r="J1258" s="84" t="str">
        <x:f>PROPER(TRIM('Raw Sales'!G1258))</x:f>
        <x:v>Charlotte</x:v>
      </x:c>
      <x:c r="K1258" s="84" t="str">
        <x:f>PROPER(TRIM('Raw Sales'!H1258))</x:f>
        <x:v>Retail Store</x:v>
      </x:c>
      <x:c r="L1258" s="84" t="str">
        <x:f>'Raw Sales'!I1258</x:f>
        <x:v>OFFC-001</x:v>
      </x:c>
      <x:c r="M1258" s="84" t="str">
        <x:f>IFERROR(VLOOKUP(L1258,'Reference Data'!$A$5:$F$40,2,FALSE),"Unknown Product")</x:f>
        <x:v>Ergonomic Chair</x:v>
      </x:c>
      <x:c r="N1258" s="84" t="str">
        <x:f>IFERROR(VLOOKUP(L1258,'Reference Data'!$A$5:$F$40,3,FALSE),"Unknown")</x:f>
        <x:v>Office</x:v>
      </x:c>
      <x:c r="O1258" s="84" t="str">
        <x:f>IFERROR(VLOOKUP(L1258,'Reference Data'!$A$5:$F$40,4,FALSE),"Unknown")</x:f>
        <x:v>Furniture</x:v>
      </x:c>
      <x:c r="P1258" s="92" t="n">
        <x:f>IFERROR(VLOOKUP(L1258,'Reference Data'!$A$5:$F$40,5,FALSE),0)</x:f>
        <x:v>249</x:v>
      </x:c>
      <x:c r="Q1258" s="92" t="n">
        <x:f>IFERROR(VLOOKUP(L1258,'Reference Data'!$A$5:$F$40,6,FALSE),0)</x:f>
        <x:v>145</x:v>
      </x:c>
      <x:c r="R1258" s="84" t="n">
        <x:f>'Raw Sales'!J1258</x:f>
        <x:v>2</x:v>
      </x:c>
      <x:c r="S1258" s="87" t="n">
        <x:f>'Raw Sales'!K1258</x:f>
        <x:v>0.1</x:v>
      </x:c>
      <x:c r="T1258" s="93" t="n">
        <x:f>P1258*R1258</x:f>
        <x:v>498</x:v>
      </x:c>
      <x:c r="U1258" s="93" t="n">
        <x:f>T1258*S1258</x:f>
        <x:v>49.800000000000004</x:v>
      </x:c>
      <x:c r="V1258" s="93" t="str">
        <x:f>PROPER(TRIM('Raw Sales'!L1258))</x:f>
        <x:v>Completed</x:v>
      </x:c>
      <x:c r="W1258" s="93" t="n">
        <x:f>IF(V1258="Returned",0,T1258-U1258)</x:f>
        <x:v>448.2</x:v>
      </x:c>
      <x:c r="X1258" s="93" t="n">
        <x:f>IF(V1258="Returned",Q1258*R1258*10%,Q1258*R1258)</x:f>
        <x:v>290</x:v>
      </x:c>
      <x:c r="Y1258" s="93" t="n">
        <x:f>W1258-X1258</x:f>
        <x:v>158.2</x:v>
      </x:c>
      <x:c r="Z1258" s="94" t="n">
        <x:f>IFERROR(Y1258/W1258,0)</x:f>
        <x:v>0.35296742525658187</x:v>
      </x:c>
      <x:c r="AA1258" s="84" t="str">
        <x:f>PROPER(TRIM('Raw Sales'!M1258))</x:f>
        <x:v>Credit Card</x:v>
      </x:c>
      <x:c r="AB1258" s="84" t="str">
        <x:f>PROPER(TRIM('Raw Sales'!N1258))</x:f>
        <x:v>Liam Parker</x:v>
      </x:c>
      <x:c r="AC1258" s="85" t="n">
        <x:f>'Raw Sales'!O1258</x:f>
        <x:v>45704</x:v>
      </x:c>
      <x:c r="AD1258" s="84" t="n">
        <x:f>AC1258-B1258</x:f>
        <x:v>0</x:v>
      </x:c>
      <x:c r="AE1258" s="84" t="str">
        <x:f>IF(COUNTIF($A$5:A1258,A1258)&gt;1,"Duplicate","Keep")</x:f>
        <x:v>Keep</x:v>
      </x:c>
      <x:c r="AF1258" s="84" t="str">
        <x:f>IF(OR(R1258&lt;=0,AC1258&lt;B1258,H1258="Unknown",M1258="Unknown Product"),"Review","Valid")</x:f>
        <x:v>Valid</x:v>
      </x:c>
      <x:c r="AG1258" s="84" t="n">
        <x:f>IF(AND(AE1258="Keep",AF1258="Valid"),1,0)</x:f>
        <x:v>1</x:v>
      </x:c>
      <x:c r="AH1258" s="84" t="n">
        <x:f>IF(AND(AG1258=1,OR('Dashboard'!$B$4="All",I1258='Dashboard'!$B$4),OR('Dashboard'!$E$4="All",N1258='Dashboard'!$E$4),OR('Dashboard'!$H$4="All",K1258='Dashboard'!$H$4),OR('Dashboard'!$K$4="All",C1258='Dashboard'!$K$4)),1,0)</x:f>
        <x:v>1</x:v>
      </x:c>
      <x:c r="AI1258" s="84" t="n">
        <x:f>IF(AND(AG1258=1,OR('Dashboard'!$B$4="All",I1258='Dashboard'!$B$4),OR('Dashboard'!$E$4="All",N1258='Dashboard'!$E$4),OR('Dashboard'!$H$4="All",K1258='Dashboard'!$H$4)),1,0)</x:f>
        <x:v>1</x:v>
      </x:c>
    </x:row>
    <x:row r="1259">
      <x:c r="A1259" s="84" t="str">
        <x:f>'Raw Sales'!A1259</x:f>
        <x:v>ORD-2025-00285</x:v>
      </x:c>
      <x:c r="B1259" s="85" t="n">
        <x:f>'Raw Sales'!B1259</x:f>
        <x:v>45705</x:v>
      </x:c>
      <x:c r="C1259" s="84" t="n">
        <x:f>YEAR(B1259)</x:f>
        <x:v>2025</x:v>
      </x:c>
      <x:c r="D1259" s="91" t="n">
        <x:f>DATE(YEAR(B1259),MONTH(B1259),1)</x:f>
        <x:v>45689</x:v>
      </x:c>
      <x:c r="E1259" s="84" t="str">
        <x:f>TEXT(B1259,"mmm")</x:f>
        <x:v>Feb</x:v>
      </x:c>
      <x:c r="F1259" s="84" t="str">
        <x:f>'Raw Sales'!C1259</x:f>
        <x:v>CUST-0336</x:v>
      </x:c>
      <x:c r="G1259" s="84" t="str">
        <x:f>PROPER(TRIM('Raw Sales'!D1259))</x:f>
        <x:v>Jonah Garcia</x:v>
      </x:c>
      <x:c r="H1259" s="84" t="str">
        <x:f>IF(TRIM('Raw Sales'!E1259)="","Unknown",PROPER(TRIM('Raw Sales'!E1259)))</x:f>
        <x:v>Consumer</x:v>
      </x:c>
      <x:c r="I1259" s="84" t="str">
        <x:f>PROPER(TRIM('Raw Sales'!F1259))</x:f>
        <x:v>West</x:v>
      </x:c>
      <x:c r="J1259" s="84" t="str">
        <x:f>PROPER(TRIM('Raw Sales'!G1259))</x:f>
        <x:v>Phoenix</x:v>
      </x:c>
      <x:c r="K1259" s="84" t="str">
        <x:f>PROPER(TRIM('Raw Sales'!H1259))</x:f>
        <x:v>Retail Store</x:v>
      </x:c>
      <x:c r="L1259" s="84" t="str">
        <x:f>'Raw Sales'!I1259</x:f>
        <x:v>ELEC-006</x:v>
      </x:c>
      <x:c r="M1259" s="84" t="str">
        <x:f>IFERROR(VLOOKUP(L1259,'Reference Data'!$A$5:$F$40,2,FALSE),"Unknown Product")</x:f>
        <x:v>Portable SSD</x:v>
      </x:c>
      <x:c r="N1259" s="84" t="str">
        <x:f>IFERROR(VLOOKUP(L1259,'Reference Data'!$A$5:$F$40,3,FALSE),"Unknown")</x:f>
        <x:v>Electronics</x:v>
      </x:c>
      <x:c r="O1259" s="84" t="str">
        <x:f>IFERROR(VLOOKUP(L1259,'Reference Data'!$A$5:$F$40,4,FALSE),"Unknown")</x:f>
        <x:v>Storage</x:v>
      </x:c>
      <x:c r="P1259" s="92" t="n">
        <x:f>IFERROR(VLOOKUP(L1259,'Reference Data'!$A$5:$F$40,5,FALSE),0)</x:f>
        <x:v>129</x:v>
      </x:c>
      <x:c r="Q1259" s="92" t="n">
        <x:f>IFERROR(VLOOKUP(L1259,'Reference Data'!$A$5:$F$40,6,FALSE),0)</x:f>
        <x:v>75</x:v>
      </x:c>
      <x:c r="R1259" s="84" t="n">
        <x:f>'Raw Sales'!J1259</x:f>
        <x:v>2</x:v>
      </x:c>
      <x:c r="S1259" s="87" t="n">
        <x:f>'Raw Sales'!K1259</x:f>
        <x:v>0</x:v>
      </x:c>
      <x:c r="T1259" s="93" t="n">
        <x:f>P1259*R1259</x:f>
        <x:v>258</x:v>
      </x:c>
      <x:c r="U1259" s="93" t="n">
        <x:f>T1259*S1259</x:f>
        <x:v>0</x:v>
      </x:c>
      <x:c r="V1259" s="93" t="str">
        <x:f>PROPER(TRIM('Raw Sales'!L1259))</x:f>
        <x:v>Returned</x:v>
      </x:c>
      <x:c r="W1259" s="93" t="n">
        <x:f>IF(V1259="Returned",0,T1259-U1259)</x:f>
        <x:v>0</x:v>
      </x:c>
      <x:c r="X1259" s="93" t="n">
        <x:f>IF(V1259="Returned",Q1259*R1259*10%,Q1259*R1259)</x:f>
        <x:v>15</x:v>
      </x:c>
      <x:c r="Y1259" s="93" t="n">
        <x:f>W1259-X1259</x:f>
        <x:v>-15</x:v>
      </x:c>
      <x:c r="Z1259" s="94" t="n">
        <x:f>IFERROR(Y1259/W1259,0)</x:f>
        <x:v>0</x:v>
      </x:c>
      <x:c r="AA1259" s="84" t="str">
        <x:f>PROPER(TRIM('Raw Sales'!M1259))</x:f>
        <x:v>Credit Card</x:v>
      </x:c>
      <x:c r="AB1259" s="84" t="str">
        <x:f>PROPER(TRIM('Raw Sales'!N1259))</x:f>
        <x:v>Leo Martinez</x:v>
      </x:c>
      <x:c r="AC1259" s="85" t="n">
        <x:f>'Raw Sales'!O1259</x:f>
        <x:v>45705</x:v>
      </x:c>
      <x:c r="AD1259" s="84" t="n">
        <x:f>AC1259-B1259</x:f>
        <x:v>0</x:v>
      </x:c>
      <x:c r="AE1259" s="84" t="str">
        <x:f>IF(COUNTIF($A$5:A1259,A1259)&gt;1,"Duplicate","Keep")</x:f>
        <x:v>Keep</x:v>
      </x:c>
      <x:c r="AF1259" s="84" t="str">
        <x:f>IF(OR(R1259&lt;=0,AC1259&lt;B1259,H1259="Unknown",M1259="Unknown Product"),"Review","Valid")</x:f>
        <x:v>Valid</x:v>
      </x:c>
      <x:c r="AG1259" s="84" t="n">
        <x:f>IF(AND(AE1259="Keep",AF1259="Valid"),1,0)</x:f>
        <x:v>1</x:v>
      </x:c>
      <x:c r="AH1259" s="84" t="n">
        <x:f>IF(AND(AG1259=1,OR('Dashboard'!$B$4="All",I1259='Dashboard'!$B$4),OR('Dashboard'!$E$4="All",N1259='Dashboard'!$E$4),OR('Dashboard'!$H$4="All",K1259='Dashboard'!$H$4),OR('Dashboard'!$K$4="All",C1259='Dashboard'!$K$4)),1,0)</x:f>
        <x:v>1</x:v>
      </x:c>
      <x:c r="AI1259" s="84" t="n">
        <x:f>IF(AND(AG1259=1,OR('Dashboard'!$B$4="All",I1259='Dashboard'!$B$4),OR('Dashboard'!$E$4="All",N1259='Dashboard'!$E$4),OR('Dashboard'!$H$4="All",K1259='Dashboard'!$H$4)),1,0)</x:f>
        <x:v>1</x:v>
      </x:c>
    </x:row>
    <x:row r="1260">
      <x:c r="A1260" s="84" t="str">
        <x:f>'Raw Sales'!A1260</x:f>
        <x:v>ORD-2025-00721</x:v>
      </x:c>
      <x:c r="B1260" s="85" t="n">
        <x:f>'Raw Sales'!B1260</x:f>
        <x:v>45705</x:v>
      </x:c>
      <x:c r="C1260" s="84" t="n">
        <x:f>YEAR(B1260)</x:f>
        <x:v>2025</x:v>
      </x:c>
      <x:c r="D1260" s="91" t="n">
        <x:f>DATE(YEAR(B1260),MONTH(B1260),1)</x:f>
        <x:v>45689</x:v>
      </x:c>
      <x:c r="E1260" s="84" t="str">
        <x:f>TEXT(B1260,"mmm")</x:f>
        <x:v>Feb</x:v>
      </x:c>
      <x:c r="F1260" s="84" t="str">
        <x:f>'Raw Sales'!C1260</x:f>
        <x:v>CUST-0386</x:v>
      </x:c>
      <x:c r="G1260" s="84" t="str">
        <x:f>PROPER(TRIM('Raw Sales'!D1260))</x:f>
        <x:v>Marcus Foster</x:v>
      </x:c>
      <x:c r="H1260" s="84" t="str">
        <x:f>IF(TRIM('Raw Sales'!E1260)="","Unknown",PROPER(TRIM('Raw Sales'!E1260)))</x:f>
        <x:v>Small Business</x:v>
      </x:c>
      <x:c r="I1260" s="84" t="str">
        <x:f>PROPER(TRIM('Raw Sales'!F1260))</x:f>
        <x:v>Southeast</x:v>
      </x:c>
      <x:c r="J1260" s="84" t="str">
        <x:f>PROPER(TRIM('Raw Sales'!G1260))</x:f>
        <x:v>Miami</x:v>
      </x:c>
      <x:c r="K1260" s="84" t="str">
        <x:f>PROPER(TRIM('Raw Sales'!H1260))</x:f>
        <x:v>Marketplace</x:v>
      </x:c>
      <x:c r="L1260" s="84" t="str">
        <x:f>'Raw Sales'!I1260</x:f>
        <x:v>ACCS-001</x:v>
      </x:c>
      <x:c r="M1260" s="84" t="str">
        <x:f>IFERROR(VLOOKUP(L1260,'Reference Data'!$A$5:$F$40,2,FALSE),"Unknown Product")</x:f>
        <x:v>Canvas Tote Bag</x:v>
      </x:c>
      <x:c r="N1260" s="84" t="str">
        <x:f>IFERROR(VLOOKUP(L1260,'Reference Data'!$A$5:$F$40,3,FALSE),"Unknown")</x:f>
        <x:v>Accessories</x:v>
      </x:c>
      <x:c r="O1260" s="84" t="str">
        <x:f>IFERROR(VLOOKUP(L1260,'Reference Data'!$A$5:$F$40,4,FALSE),"Unknown")</x:f>
        <x:v>Bags</x:v>
      </x:c>
      <x:c r="P1260" s="92" t="n">
        <x:f>IFERROR(VLOOKUP(L1260,'Reference Data'!$A$5:$F$40,5,FALSE),0)</x:f>
        <x:v>39</x:v>
      </x:c>
      <x:c r="Q1260" s="92" t="n">
        <x:f>IFERROR(VLOOKUP(L1260,'Reference Data'!$A$5:$F$40,6,FALSE),0)</x:f>
        <x:v>14</x:v>
      </x:c>
      <x:c r="R1260" s="84" t="n">
        <x:f>'Raw Sales'!J1260</x:f>
        <x:v>1</x:v>
      </x:c>
      <x:c r="S1260" s="87" t="n">
        <x:f>'Raw Sales'!K1260</x:f>
        <x:v>0</x:v>
      </x:c>
      <x:c r="T1260" s="93" t="n">
        <x:f>P1260*R1260</x:f>
        <x:v>39</x:v>
      </x:c>
      <x:c r="U1260" s="93" t="n">
        <x:f>T1260*S1260</x:f>
        <x:v>0</x:v>
      </x:c>
      <x:c r="V1260" s="93" t="str">
        <x:f>PROPER(TRIM('Raw Sales'!L1260))</x:f>
        <x:v>Completed</x:v>
      </x:c>
      <x:c r="W1260" s="93" t="n">
        <x:f>IF(V1260="Returned",0,T1260-U1260)</x:f>
        <x:v>39</x:v>
      </x:c>
      <x:c r="X1260" s="93" t="n">
        <x:f>IF(V1260="Returned",Q1260*R1260*10%,Q1260*R1260)</x:f>
        <x:v>14</x:v>
      </x:c>
      <x:c r="Y1260" s="93" t="n">
        <x:f>W1260-X1260</x:f>
        <x:v>25</x:v>
      </x:c>
      <x:c r="Z1260" s="94" t="n">
        <x:f>IFERROR(Y1260/W1260,0)</x:f>
        <x:v>0.6410256410256411</x:v>
      </x:c>
      <x:c r="AA1260" s="84" t="str">
        <x:f>PROPER(TRIM('Raw Sales'!M1260))</x:f>
        <x:v>Credit Card</x:v>
      </x:c>
      <x:c r="AB1260" s="84" t="str">
        <x:f>PROPER(TRIM('Raw Sales'!N1260))</x:f>
        <x:v>Noah Reed</x:v>
      </x:c>
      <x:c r="AC1260" s="85" t="n">
        <x:f>'Raw Sales'!O1260</x:f>
        <x:v>45710</x:v>
      </x:c>
      <x:c r="AD1260" s="84" t="n">
        <x:f>AC1260-B1260</x:f>
        <x:v>5</x:v>
      </x:c>
      <x:c r="AE1260" s="84" t="str">
        <x:f>IF(COUNTIF($A$5:A1260,A1260)&gt;1,"Duplicate","Keep")</x:f>
        <x:v>Keep</x:v>
      </x:c>
      <x:c r="AF1260" s="84" t="str">
        <x:f>IF(OR(R1260&lt;=0,AC1260&lt;B1260,H1260="Unknown",M1260="Unknown Product"),"Review","Valid")</x:f>
        <x:v>Valid</x:v>
      </x:c>
      <x:c r="AG1260" s="84" t="n">
        <x:f>IF(AND(AE1260="Keep",AF1260="Valid"),1,0)</x:f>
        <x:v>1</x:v>
      </x:c>
      <x:c r="AH1260" s="84" t="n">
        <x:f>IF(AND(AG1260=1,OR('Dashboard'!$B$4="All",I1260='Dashboard'!$B$4),OR('Dashboard'!$E$4="All",N1260='Dashboard'!$E$4),OR('Dashboard'!$H$4="All",K1260='Dashboard'!$H$4),OR('Dashboard'!$K$4="All",C1260='Dashboard'!$K$4)),1,0)</x:f>
        <x:v>1</x:v>
      </x:c>
      <x:c r="AI1260" s="84" t="n">
        <x:f>IF(AND(AG1260=1,OR('Dashboard'!$B$4="All",I1260='Dashboard'!$B$4),OR('Dashboard'!$E$4="All",N1260='Dashboard'!$E$4),OR('Dashboard'!$H$4="All",K1260='Dashboard'!$H$4)),1,0)</x:f>
        <x:v>1</x:v>
      </x:c>
    </x:row>
    <x:row r="1261">
      <x:c r="A1261" s="84" t="str">
        <x:f>'Raw Sales'!A1261</x:f>
        <x:v>ORD-2025-00745</x:v>
      </x:c>
      <x:c r="B1261" s="85" t="n">
        <x:f>'Raw Sales'!B1261</x:f>
        <x:v>45705</x:v>
      </x:c>
      <x:c r="C1261" s="84" t="n">
        <x:f>YEAR(B1261)</x:f>
        <x:v>2025</x:v>
      </x:c>
      <x:c r="D1261" s="91" t="n">
        <x:f>DATE(YEAR(B1261),MONTH(B1261),1)</x:f>
        <x:v>45689</x:v>
      </x:c>
      <x:c r="E1261" s="84" t="str">
        <x:f>TEXT(B1261,"mmm")</x:f>
        <x:v>Feb</x:v>
      </x:c>
      <x:c r="F1261" s="84" t="str">
        <x:f>'Raw Sales'!C1261</x:f>
        <x:v>CUST-0606</x:v>
      </x:c>
      <x:c r="G1261" s="84" t="str">
        <x:f>PROPER(TRIM('Raw Sales'!D1261))</x:f>
        <x:v>Isaac Taylor</x:v>
      </x:c>
      <x:c r="H1261" s="84" t="str">
        <x:f>IF(TRIM('Raw Sales'!E1261)="","Unknown",PROPER(TRIM('Raw Sales'!E1261)))</x:f>
        <x:v>Corporate</x:v>
      </x:c>
      <x:c r="I1261" s="84" t="str">
        <x:f>PROPER(TRIM('Raw Sales'!F1261))</x:f>
        <x:v>Southeast</x:v>
      </x:c>
      <x:c r="J1261" s="84" t="str">
        <x:f>PROPER(TRIM('Raw Sales'!G1261))</x:f>
        <x:v>Charlotte</x:v>
      </x:c>
      <x:c r="K1261" s="84" t="str">
        <x:f>PROPER(TRIM('Raw Sales'!H1261))</x:f>
        <x:v>Online</x:v>
      </x:c>
      <x:c r="L1261" s="84" t="str">
        <x:f>'Raw Sales'!I1261</x:f>
        <x:v>CARE-004</x:v>
      </x:c>
      <x:c r="M1261" s="84" t="str">
        <x:f>IFERROR(VLOOKUP(L1261,'Reference Data'!$A$5:$F$40,2,FALSE),"Unknown Product")</x:f>
        <x:v>Electric Toothbrush</x:v>
      </x:c>
      <x:c r="N1261" s="84" t="str">
        <x:f>IFERROR(VLOOKUP(L1261,'Reference Data'!$A$5:$F$40,3,FALSE),"Unknown")</x:f>
        <x:v>Personal Care</x:v>
      </x:c>
      <x:c r="O1261" s="84" t="str">
        <x:f>IFERROR(VLOOKUP(L1261,'Reference Data'!$A$5:$F$40,4,FALSE),"Unknown")</x:f>
        <x:v>Oral Care</x:v>
      </x:c>
      <x:c r="P1261" s="92" t="n">
        <x:f>IFERROR(VLOOKUP(L1261,'Reference Data'!$A$5:$F$40,5,FALSE),0)</x:f>
        <x:v>69</x:v>
      </x:c>
      <x:c r="Q1261" s="92" t="n">
        <x:f>IFERROR(VLOOKUP(L1261,'Reference Data'!$A$5:$F$40,6,FALSE),0)</x:f>
        <x:v>31</x:v>
      </x:c>
      <x:c r="R1261" s="84" t="n">
        <x:f>'Raw Sales'!J1261</x:f>
        <x:v>2</x:v>
      </x:c>
      <x:c r="S1261" s="87" t="n">
        <x:f>'Raw Sales'!K1261</x:f>
        <x:v>0</x:v>
      </x:c>
      <x:c r="T1261" s="93" t="n">
        <x:f>P1261*R1261</x:f>
        <x:v>138</x:v>
      </x:c>
      <x:c r="U1261" s="93" t="n">
        <x:f>T1261*S1261</x:f>
        <x:v>0</x:v>
      </x:c>
      <x:c r="V1261" s="93" t="str">
        <x:f>PROPER(TRIM('Raw Sales'!L1261))</x:f>
        <x:v>Completed</x:v>
      </x:c>
      <x:c r="W1261" s="93" t="n">
        <x:f>IF(V1261="Returned",0,T1261-U1261)</x:f>
        <x:v>138</x:v>
      </x:c>
      <x:c r="X1261" s="93" t="n">
        <x:f>IF(V1261="Returned",Q1261*R1261*10%,Q1261*R1261)</x:f>
        <x:v>62</x:v>
      </x:c>
      <x:c r="Y1261" s="93" t="n">
        <x:f>W1261-X1261</x:f>
        <x:v>76</x:v>
      </x:c>
      <x:c r="Z1261" s="94" t="n">
        <x:f>IFERROR(Y1261/W1261,0)</x:f>
        <x:v>0.5507246376811594</x:v>
      </x:c>
      <x:c r="AA1261" s="84" t="str">
        <x:f>PROPER(TRIM('Raw Sales'!M1261))</x:f>
        <x:v>Credit Card</x:v>
      </x:c>
      <x:c r="AB1261" s="84" t="str">
        <x:f>PROPER(TRIM('Raw Sales'!N1261))</x:f>
        <x:v>Liam Parker</x:v>
      </x:c>
      <x:c r="AC1261" s="85" t="n">
        <x:f>'Raw Sales'!O1261</x:f>
        <x:v>45708</x:v>
      </x:c>
      <x:c r="AD1261" s="84" t="n">
        <x:f>AC1261-B1261</x:f>
        <x:v>3</x:v>
      </x:c>
      <x:c r="AE1261" s="84" t="str">
        <x:f>IF(COUNTIF($A$5:A1261,A1261)&gt;1,"Duplicate","Keep")</x:f>
        <x:v>Keep</x:v>
      </x:c>
      <x:c r="AF1261" s="84" t="str">
        <x:f>IF(OR(R1261&lt;=0,AC1261&lt;B1261,H1261="Unknown",M1261="Unknown Product"),"Review","Valid")</x:f>
        <x:v>Valid</x:v>
      </x:c>
      <x:c r="AG1261" s="84" t="n">
        <x:f>IF(AND(AE1261="Keep",AF1261="Valid"),1,0)</x:f>
        <x:v>1</x:v>
      </x:c>
      <x:c r="AH1261" s="84" t="n">
        <x:f>IF(AND(AG1261=1,OR('Dashboard'!$B$4="All",I1261='Dashboard'!$B$4),OR('Dashboard'!$E$4="All",N1261='Dashboard'!$E$4),OR('Dashboard'!$H$4="All",K1261='Dashboard'!$H$4),OR('Dashboard'!$K$4="All",C1261='Dashboard'!$K$4)),1,0)</x:f>
        <x:v>1</x:v>
      </x:c>
      <x:c r="AI1261" s="84" t="n">
        <x:f>IF(AND(AG1261=1,OR('Dashboard'!$B$4="All",I1261='Dashboard'!$B$4),OR('Dashboard'!$E$4="All",N1261='Dashboard'!$E$4),OR('Dashboard'!$H$4="All",K1261='Dashboard'!$H$4)),1,0)</x:f>
        <x:v>1</x:v>
      </x:c>
    </x:row>
    <x:row r="1262">
      <x:c r="A1262" s="84" t="str">
        <x:f>'Raw Sales'!A1262</x:f>
        <x:v>ORD-2025-01468</x:v>
      </x:c>
      <x:c r="B1262" s="85" t="n">
        <x:f>'Raw Sales'!B1262</x:f>
        <x:v>45705</x:v>
      </x:c>
      <x:c r="C1262" s="84" t="n">
        <x:f>YEAR(B1262)</x:f>
        <x:v>2025</x:v>
      </x:c>
      <x:c r="D1262" s="91" t="n">
        <x:f>DATE(YEAR(B1262),MONTH(B1262),1)</x:f>
        <x:v>45689</x:v>
      </x:c>
      <x:c r="E1262" s="84" t="str">
        <x:f>TEXT(B1262,"mmm")</x:f>
        <x:v>Feb</x:v>
      </x:c>
      <x:c r="F1262" s="84" t="str">
        <x:f>'Raw Sales'!C1262</x:f>
        <x:v>CUST-0581</x:v>
      </x:c>
      <x:c r="G1262" s="84" t="str">
        <x:f>PROPER(TRIM('Raw Sales'!D1262))</x:f>
        <x:v>Grace Lewis</x:v>
      </x:c>
      <x:c r="H1262" s="84" t="str">
        <x:f>IF(TRIM('Raw Sales'!E1262)="","Unknown",PROPER(TRIM('Raw Sales'!E1262)))</x:f>
        <x:v>Consumer</x:v>
      </x:c>
      <x:c r="I1262" s="84" t="str">
        <x:f>PROPER(TRIM('Raw Sales'!F1262))</x:f>
        <x:v>West</x:v>
      </x:c>
      <x:c r="J1262" s="84" t="str">
        <x:f>PROPER(TRIM('Raw Sales'!G1262))</x:f>
        <x:v>Phoenix</x:v>
      </x:c>
      <x:c r="K1262" s="84" t="str">
        <x:f>PROPER(TRIM('Raw Sales'!H1262))</x:f>
        <x:v>Marketplace</x:v>
      </x:c>
      <x:c r="L1262" s="84" t="str">
        <x:f>'Raw Sales'!I1262</x:f>
        <x:v>OFFC-004</x:v>
      </x:c>
      <x:c r="M1262" s="84" t="str">
        <x:f>IFERROR(VLOOKUP(L1262,'Reference Data'!$A$5:$F$40,2,FALSE),"Unknown Product")</x:f>
        <x:v>Premium Notebook Pack</x:v>
      </x:c>
      <x:c r="N1262" s="84" t="str">
        <x:f>IFERROR(VLOOKUP(L1262,'Reference Data'!$A$5:$F$40,3,FALSE),"Unknown")</x:f>
        <x:v>Office</x:v>
      </x:c>
      <x:c r="O1262" s="84" t="str">
        <x:f>IFERROR(VLOOKUP(L1262,'Reference Data'!$A$5:$F$40,4,FALSE),"Unknown")</x:f>
        <x:v>Stationery</x:v>
      </x:c>
      <x:c r="P1262" s="92" t="n">
        <x:f>IFERROR(VLOOKUP(L1262,'Reference Data'!$A$5:$F$40,5,FALSE),0)</x:f>
        <x:v>18</x:v>
      </x:c>
      <x:c r="Q1262" s="92" t="n">
        <x:f>IFERROR(VLOOKUP(L1262,'Reference Data'!$A$5:$F$40,6,FALSE),0)</x:f>
        <x:v>6.5</x:v>
      </x:c>
      <x:c r="R1262" s="84" t="n">
        <x:f>'Raw Sales'!J1262</x:f>
        <x:v>1</x:v>
      </x:c>
      <x:c r="S1262" s="87" t="n">
        <x:f>'Raw Sales'!K1262</x:f>
        <x:v>0.1</x:v>
      </x:c>
      <x:c r="T1262" s="93" t="n">
        <x:f>P1262*R1262</x:f>
        <x:v>18</x:v>
      </x:c>
      <x:c r="U1262" s="93" t="n">
        <x:f>T1262*S1262</x:f>
        <x:v>1.8</x:v>
      </x:c>
      <x:c r="V1262" s="93" t="str">
        <x:f>PROPER(TRIM('Raw Sales'!L1262))</x:f>
        <x:v>Completed</x:v>
      </x:c>
      <x:c r="W1262" s="93" t="n">
        <x:f>IF(V1262="Returned",0,T1262-U1262)</x:f>
        <x:v>16.2</x:v>
      </x:c>
      <x:c r="X1262" s="93" t="n">
        <x:f>IF(V1262="Returned",Q1262*R1262*10%,Q1262*R1262)</x:f>
        <x:v>6.5</x:v>
      </x:c>
      <x:c r="Y1262" s="93" t="n">
        <x:f>W1262-X1262</x:f>
        <x:v>9.7</x:v>
      </x:c>
      <x:c r="Z1262" s="94" t="n">
        <x:f>IFERROR(Y1262/W1262,0)</x:f>
        <x:v>0.5987654320987654</x:v>
      </x:c>
      <x:c r="AA1262" s="84" t="str">
        <x:f>PROPER(TRIM('Raw Sales'!M1262))</x:f>
        <x:v>Credit Card</x:v>
      </x:c>
      <x:c r="AB1262" s="84" t="str">
        <x:f>PROPER(TRIM('Raw Sales'!N1262))</x:f>
        <x:v>Leo Martinez</x:v>
      </x:c>
      <x:c r="AC1262" s="85" t="n">
        <x:f>'Raw Sales'!O1262</x:f>
        <x:v>45713</x:v>
      </x:c>
      <x:c r="AD1262" s="84" t="n">
        <x:f>AC1262-B1262</x:f>
        <x:v>8</x:v>
      </x:c>
      <x:c r="AE1262" s="84" t="str">
        <x:f>IF(COUNTIF($A$5:A1262,A1262)&gt;1,"Duplicate","Keep")</x:f>
        <x:v>Keep</x:v>
      </x:c>
      <x:c r="AF1262" s="84" t="str">
        <x:f>IF(OR(R1262&lt;=0,AC1262&lt;B1262,H1262="Unknown",M1262="Unknown Product"),"Review","Valid")</x:f>
        <x:v>Valid</x:v>
      </x:c>
      <x:c r="AG1262" s="84" t="n">
        <x:f>IF(AND(AE1262="Keep",AF1262="Valid"),1,0)</x:f>
        <x:v>1</x:v>
      </x:c>
      <x:c r="AH1262" s="84" t="n">
        <x:f>IF(AND(AG1262=1,OR('Dashboard'!$B$4="All",I1262='Dashboard'!$B$4),OR('Dashboard'!$E$4="All",N1262='Dashboard'!$E$4),OR('Dashboard'!$H$4="All",K1262='Dashboard'!$H$4),OR('Dashboard'!$K$4="All",C1262='Dashboard'!$K$4)),1,0)</x:f>
        <x:v>1</x:v>
      </x:c>
      <x:c r="AI1262" s="84" t="n">
        <x:f>IF(AND(AG1262=1,OR('Dashboard'!$B$4="All",I1262='Dashboard'!$B$4),OR('Dashboard'!$E$4="All",N1262='Dashboard'!$E$4),OR('Dashboard'!$H$4="All",K1262='Dashboard'!$H$4)),1,0)</x:f>
        <x:v>1</x:v>
      </x:c>
    </x:row>
    <x:row r="1263">
      <x:c r="A1263" s="84" t="str">
        <x:f>'Raw Sales'!A1263</x:f>
        <x:v>ORD-2025-01776</x:v>
      </x:c>
      <x:c r="B1263" s="85" t="n">
        <x:f>'Raw Sales'!B1263</x:f>
        <x:v>45705</x:v>
      </x:c>
      <x:c r="C1263" s="84" t="n">
        <x:f>YEAR(B1263)</x:f>
        <x:v>2025</x:v>
      </x:c>
      <x:c r="D1263" s="91" t="n">
        <x:f>DATE(YEAR(B1263),MONTH(B1263),1)</x:f>
        <x:v>45689</x:v>
      </x:c>
      <x:c r="E1263" s="84" t="str">
        <x:f>TEXT(B1263,"mmm")</x:f>
        <x:v>Feb</x:v>
      </x:c>
      <x:c r="F1263" s="84" t="str">
        <x:f>'Raw Sales'!C1263</x:f>
        <x:v>CUST-0166</x:v>
      </x:c>
      <x:c r="G1263" s="84" t="str">
        <x:f>PROPER(TRIM('Raw Sales'!D1263))</x:f>
        <x:v>Marcus Young</x:v>
      </x:c>
      <x:c r="H1263" s="84" t="str">
        <x:f>IF(TRIM('Raw Sales'!E1263)="","Unknown",PROPER(TRIM('Raw Sales'!E1263)))</x:f>
        <x:v>Consumer</x:v>
      </x:c>
      <x:c r="I1263" s="84" t="str">
        <x:f>PROPER(TRIM('Raw Sales'!F1263))</x:f>
        <x:v>West</x:v>
      </x:c>
      <x:c r="J1263" s="84" t="str">
        <x:f>PROPER(TRIM('Raw Sales'!G1263))</x:f>
        <x:v>Phoenix</x:v>
      </x:c>
      <x:c r="K1263" s="84" t="str">
        <x:f>PROPER(TRIM('Raw Sales'!H1263))</x:f>
        <x:v>Online</x:v>
      </x:c>
      <x:c r="L1263" s="84" t="str">
        <x:f>'Raw Sales'!I1263</x:f>
        <x:v>CARE-004</x:v>
      </x:c>
      <x:c r="M1263" s="84" t="str">
        <x:f>IFERROR(VLOOKUP(L1263,'Reference Data'!$A$5:$F$40,2,FALSE),"Unknown Product")</x:f>
        <x:v>Electric Toothbrush</x:v>
      </x:c>
      <x:c r="N1263" s="84" t="str">
        <x:f>IFERROR(VLOOKUP(L1263,'Reference Data'!$A$5:$F$40,3,FALSE),"Unknown")</x:f>
        <x:v>Personal Care</x:v>
      </x:c>
      <x:c r="O1263" s="84" t="str">
        <x:f>IFERROR(VLOOKUP(L1263,'Reference Data'!$A$5:$F$40,4,FALSE),"Unknown")</x:f>
        <x:v>Oral Care</x:v>
      </x:c>
      <x:c r="P1263" s="92" t="n">
        <x:f>IFERROR(VLOOKUP(L1263,'Reference Data'!$A$5:$F$40,5,FALSE),0)</x:f>
        <x:v>69</x:v>
      </x:c>
      <x:c r="Q1263" s="92" t="n">
        <x:f>IFERROR(VLOOKUP(L1263,'Reference Data'!$A$5:$F$40,6,FALSE),0)</x:f>
        <x:v>31</x:v>
      </x:c>
      <x:c r="R1263" s="84" t="n">
        <x:f>'Raw Sales'!J1263</x:f>
        <x:v>1</x:v>
      </x:c>
      <x:c r="S1263" s="87" t="n">
        <x:f>'Raw Sales'!K1263</x:f>
        <x:v>0.05</x:v>
      </x:c>
      <x:c r="T1263" s="93" t="n">
        <x:f>P1263*R1263</x:f>
        <x:v>69</x:v>
      </x:c>
      <x:c r="U1263" s="93" t="n">
        <x:f>T1263*S1263</x:f>
        <x:v>3.45</x:v>
      </x:c>
      <x:c r="V1263" s="93" t="str">
        <x:f>PROPER(TRIM('Raw Sales'!L1263))</x:f>
        <x:v>Completed</x:v>
      </x:c>
      <x:c r="W1263" s="93" t="n">
        <x:f>IF(V1263="Returned",0,T1263-U1263)</x:f>
        <x:v>65.55</x:v>
      </x:c>
      <x:c r="X1263" s="93" t="n">
        <x:f>IF(V1263="Returned",Q1263*R1263*10%,Q1263*R1263)</x:f>
        <x:v>31</x:v>
      </x:c>
      <x:c r="Y1263" s="93" t="n">
        <x:f>W1263-X1263</x:f>
        <x:v>34.55</x:v>
      </x:c>
      <x:c r="Z1263" s="94" t="n">
        <x:f>IFERROR(Y1263/W1263,0)</x:f>
        <x:v>0.5270785659801678</x:v>
      </x:c>
      <x:c r="AA1263" s="84" t="str">
        <x:f>PROPER(TRIM('Raw Sales'!M1263))</x:f>
        <x:v>Credit Card</x:v>
      </x:c>
      <x:c r="AB1263" s="84" t="str">
        <x:f>PROPER(TRIM('Raw Sales'!N1263))</x:f>
        <x:v>Nora Kim</x:v>
      </x:c>
      <x:c r="AC1263" s="85" t="n">
        <x:f>'Raw Sales'!O1263</x:f>
        <x:v>45710</x:v>
      </x:c>
      <x:c r="AD1263" s="84" t="n">
        <x:f>AC1263-B1263</x:f>
        <x:v>5</x:v>
      </x:c>
      <x:c r="AE1263" s="84" t="str">
        <x:f>IF(COUNTIF($A$5:A1263,A1263)&gt;1,"Duplicate","Keep")</x:f>
        <x:v>Keep</x:v>
      </x:c>
      <x:c r="AF1263" s="84" t="str">
        <x:f>IF(OR(R1263&lt;=0,AC1263&lt;B1263,H1263="Unknown",M1263="Unknown Product"),"Review","Valid")</x:f>
        <x:v>Valid</x:v>
      </x:c>
      <x:c r="AG1263" s="84" t="n">
        <x:f>IF(AND(AE1263="Keep",AF1263="Valid"),1,0)</x:f>
        <x:v>1</x:v>
      </x:c>
      <x:c r="AH1263" s="84" t="n">
        <x:f>IF(AND(AG1263=1,OR('Dashboard'!$B$4="All",I1263='Dashboard'!$B$4),OR('Dashboard'!$E$4="All",N1263='Dashboard'!$E$4),OR('Dashboard'!$H$4="All",K1263='Dashboard'!$H$4),OR('Dashboard'!$K$4="All",C1263='Dashboard'!$K$4)),1,0)</x:f>
        <x:v>1</x:v>
      </x:c>
      <x:c r="AI1263" s="84" t="n">
        <x:f>IF(AND(AG1263=1,OR('Dashboard'!$B$4="All",I1263='Dashboard'!$B$4),OR('Dashboard'!$E$4="All",N1263='Dashboard'!$E$4),OR('Dashboard'!$H$4="All",K1263='Dashboard'!$H$4)),1,0)</x:f>
        <x:v>1</x:v>
      </x:c>
    </x:row>
    <x:row r="1264">
      <x:c r="A1264" s="84" t="str">
        <x:f>'Raw Sales'!A1264</x:f>
        <x:v>ORD-2025-01787</x:v>
      </x:c>
      <x:c r="B1264" s="85" t="n">
        <x:f>'Raw Sales'!B1264</x:f>
        <x:v>45705</x:v>
      </x:c>
      <x:c r="C1264" s="84" t="n">
        <x:f>YEAR(B1264)</x:f>
        <x:v>2025</x:v>
      </x:c>
      <x:c r="D1264" s="91" t="n">
        <x:f>DATE(YEAR(B1264),MONTH(B1264),1)</x:f>
        <x:v>45689</x:v>
      </x:c>
      <x:c r="E1264" s="84" t="str">
        <x:f>TEXT(B1264,"mmm")</x:f>
        <x:v>Feb</x:v>
      </x:c>
      <x:c r="F1264" s="84" t="str">
        <x:f>'Raw Sales'!C1264</x:f>
        <x:v>CUST-0112</x:v>
      </x:c>
      <x:c r="G1264" s="84" t="str">
        <x:f>PROPER(TRIM('Raw Sales'!D1264))</x:f>
        <x:v>Victoria Patel</x:v>
      </x:c>
      <x:c r="H1264" s="84" t="str">
        <x:f>IF(TRIM('Raw Sales'!E1264)="","Unknown",PROPER(TRIM('Raw Sales'!E1264)))</x:f>
        <x:v>Consumer</x:v>
      </x:c>
      <x:c r="I1264" s="84" t="str">
        <x:f>PROPER(TRIM('Raw Sales'!F1264))</x:f>
        <x:v>Southeast</x:v>
      </x:c>
      <x:c r="J1264" s="84" t="str">
        <x:f>PROPER(TRIM('Raw Sales'!G1264))</x:f>
        <x:v>Miami</x:v>
      </x:c>
      <x:c r="K1264" s="84" t="str">
        <x:f>PROPER(TRIM('Raw Sales'!H1264))</x:f>
        <x:v>Online</x:v>
      </x:c>
      <x:c r="L1264" s="84" t="str">
        <x:f>'Raw Sales'!I1264</x:f>
        <x:v>FITN-005</x:v>
      </x:c>
      <x:c r="M1264" s="84" t="str">
        <x:f>IFERROR(VLOOKUP(L1264,'Reference Data'!$A$5:$F$40,2,FALSE),"Unknown Product")</x:f>
        <x:v>Sports Water Bottle</x:v>
      </x:c>
      <x:c r="N1264" s="84" t="str">
        <x:f>IFERROR(VLOOKUP(L1264,'Reference Data'!$A$5:$F$40,3,FALSE),"Unknown")</x:f>
        <x:v>Fitness</x:v>
      </x:c>
      <x:c r="O1264" s="84" t="str">
        <x:f>IFERROR(VLOOKUP(L1264,'Reference Data'!$A$5:$F$40,4,FALSE),"Unknown")</x:f>
        <x:v>Accessories</x:v>
      </x:c>
      <x:c r="P1264" s="92" t="n">
        <x:f>IFERROR(VLOOKUP(L1264,'Reference Data'!$A$5:$F$40,5,FALSE),0)</x:f>
        <x:v>22</x:v>
      </x:c>
      <x:c r="Q1264" s="92" t="n">
        <x:f>IFERROR(VLOOKUP(L1264,'Reference Data'!$A$5:$F$40,6,FALSE),0)</x:f>
        <x:v>7</x:v>
      </x:c>
      <x:c r="R1264" s="84" t="n">
        <x:f>'Raw Sales'!J1264</x:f>
        <x:v>1</x:v>
      </x:c>
      <x:c r="S1264" s="87" t="n">
        <x:f>'Raw Sales'!K1264</x:f>
        <x:v>0.1</x:v>
      </x:c>
      <x:c r="T1264" s="93" t="n">
        <x:f>P1264*R1264</x:f>
        <x:v>22</x:v>
      </x:c>
      <x:c r="U1264" s="93" t="n">
        <x:f>T1264*S1264</x:f>
        <x:v>2.2</x:v>
      </x:c>
      <x:c r="V1264" s="93" t="str">
        <x:f>PROPER(TRIM('Raw Sales'!L1264))</x:f>
        <x:v>Completed</x:v>
      </x:c>
      <x:c r="W1264" s="93" t="n">
        <x:f>IF(V1264="Returned",0,T1264-U1264)</x:f>
        <x:v>19.8</x:v>
      </x:c>
      <x:c r="X1264" s="93" t="n">
        <x:f>IF(V1264="Returned",Q1264*R1264*10%,Q1264*R1264)</x:f>
        <x:v>7</x:v>
      </x:c>
      <x:c r="Y1264" s="93" t="n">
        <x:f>W1264-X1264</x:f>
        <x:v>12.8</x:v>
      </x:c>
      <x:c r="Z1264" s="94" t="n">
        <x:f>IFERROR(Y1264/W1264,0)</x:f>
        <x:v>0.6464646464646465</x:v>
      </x:c>
      <x:c r="AA1264" s="84" t="str">
        <x:f>PROPER(TRIM('Raw Sales'!M1264))</x:f>
        <x:v>Mobile Wallet</x:v>
      </x:c>
      <x:c r="AB1264" s="84" t="str">
        <x:f>PROPER(TRIM('Raw Sales'!N1264))</x:f>
        <x:v>Ava Mitchell</x:v>
      </x:c>
      <x:c r="AC1264" s="85" t="n">
        <x:f>'Raw Sales'!O1264</x:f>
        <x:v>45708</x:v>
      </x:c>
      <x:c r="AD1264" s="84" t="n">
        <x:f>AC1264-B1264</x:f>
        <x:v>3</x:v>
      </x:c>
      <x:c r="AE1264" s="84" t="str">
        <x:f>IF(COUNTIF($A$5:A1264,A1264)&gt;1,"Duplicate","Keep")</x:f>
        <x:v>Keep</x:v>
      </x:c>
      <x:c r="AF1264" s="84" t="str">
        <x:f>IF(OR(R1264&lt;=0,AC1264&lt;B1264,H1264="Unknown",M1264="Unknown Product"),"Review","Valid")</x:f>
        <x:v>Valid</x:v>
      </x:c>
      <x:c r="AG1264" s="84" t="n">
        <x:f>IF(AND(AE1264="Keep",AF1264="Valid"),1,0)</x:f>
        <x:v>1</x:v>
      </x:c>
      <x:c r="AH1264" s="84" t="n">
        <x:f>IF(AND(AG1264=1,OR('Dashboard'!$B$4="All",I1264='Dashboard'!$B$4),OR('Dashboard'!$E$4="All",N1264='Dashboard'!$E$4),OR('Dashboard'!$H$4="All",K1264='Dashboard'!$H$4),OR('Dashboard'!$K$4="All",C1264='Dashboard'!$K$4)),1,0)</x:f>
        <x:v>1</x:v>
      </x:c>
      <x:c r="AI1264" s="84" t="n">
        <x:f>IF(AND(AG1264=1,OR('Dashboard'!$B$4="All",I1264='Dashboard'!$B$4),OR('Dashboard'!$E$4="All",N1264='Dashboard'!$E$4),OR('Dashboard'!$H$4="All",K1264='Dashboard'!$H$4)),1,0)</x:f>
        <x:v>1</x:v>
      </x:c>
    </x:row>
    <x:row r="1265">
      <x:c r="A1265" s="84" t="str">
        <x:f>'Raw Sales'!A1265</x:f>
        <x:v>ORD-2025-02011</x:v>
      </x:c>
      <x:c r="B1265" s="85" t="n">
        <x:f>'Raw Sales'!B1265</x:f>
        <x:v>45705</x:v>
      </x:c>
      <x:c r="C1265" s="84" t="n">
        <x:f>YEAR(B1265)</x:f>
        <x:v>2025</x:v>
      </x:c>
      <x:c r="D1265" s="91" t="n">
        <x:f>DATE(YEAR(B1265),MONTH(B1265),1)</x:f>
        <x:v>45689</x:v>
      </x:c>
      <x:c r="E1265" s="84" t="str">
        <x:f>TEXT(B1265,"mmm")</x:f>
        <x:v>Feb</x:v>
      </x:c>
      <x:c r="F1265" s="84" t="str">
        <x:f>'Raw Sales'!C1265</x:f>
        <x:v>CUST-0314</x:v>
      </x:c>
      <x:c r="G1265" s="84" t="str">
        <x:f>PROPER(TRIM('Raw Sales'!D1265))</x:f>
        <x:v>Chloe Young</x:v>
      </x:c>
      <x:c r="H1265" s="84" t="str">
        <x:f>IF(TRIM('Raw Sales'!E1265)="","Unknown",PROPER(TRIM('Raw Sales'!E1265)))</x:f>
        <x:v>Small Business</x:v>
      </x:c>
      <x:c r="I1265" s="84" t="str">
        <x:f>PROPER(TRIM('Raw Sales'!F1265))</x:f>
        <x:v>Midwest</x:v>
      </x:c>
      <x:c r="J1265" s="84" t="str">
        <x:f>PROPER(TRIM('Raw Sales'!G1265))</x:f>
        <x:v>Detroit</x:v>
      </x:c>
      <x:c r="K1265" s="84" t="str">
        <x:f>PROPER(TRIM('Raw Sales'!H1265))</x:f>
        <x:v>Retail Store</x:v>
      </x:c>
      <x:c r="L1265" s="84" t="str">
        <x:f>'Raw Sales'!I1265</x:f>
        <x:v>ACCS-003</x:v>
      </x:c>
      <x:c r="M1265" s="84" t="str">
        <x:f>IFERROR(VLOOKUP(L1265,'Reference Data'!$A$5:$F$40,2,FALSE),"Unknown Product")</x:f>
        <x:v>Polarized Sunglasses</x:v>
      </x:c>
      <x:c r="N1265" s="84" t="str">
        <x:f>IFERROR(VLOOKUP(L1265,'Reference Data'!$A$5:$F$40,3,FALSE),"Unknown")</x:f>
        <x:v>Accessories</x:v>
      </x:c>
      <x:c r="O1265" s="84" t="str">
        <x:f>IFERROR(VLOOKUP(L1265,'Reference Data'!$A$5:$F$40,4,FALSE),"Unknown")</x:f>
        <x:v>Eyewear</x:v>
      </x:c>
      <x:c r="P1265" s="92" t="n">
        <x:f>IFERROR(VLOOKUP(L1265,'Reference Data'!$A$5:$F$40,5,FALSE),0)</x:f>
        <x:v>59</x:v>
      </x:c>
      <x:c r="Q1265" s="92" t="n">
        <x:f>IFERROR(VLOOKUP(L1265,'Reference Data'!$A$5:$F$40,6,FALSE),0)</x:f>
        <x:v>17</x:v>
      </x:c>
      <x:c r="R1265" s="84" t="n">
        <x:f>'Raw Sales'!J1265</x:f>
        <x:v>3</x:v>
      </x:c>
      <x:c r="S1265" s="87" t="n">
        <x:f>'Raw Sales'!K1265</x:f>
        <x:v>0.1</x:v>
      </x:c>
      <x:c r="T1265" s="93" t="n">
        <x:f>P1265*R1265</x:f>
        <x:v>177</x:v>
      </x:c>
      <x:c r="U1265" s="93" t="n">
        <x:f>T1265*S1265</x:f>
        <x:v>17.7</x:v>
      </x:c>
      <x:c r="V1265" s="93" t="str">
        <x:f>PROPER(TRIM('Raw Sales'!L1265))</x:f>
        <x:v>Completed</x:v>
      </x:c>
      <x:c r="W1265" s="93" t="n">
        <x:f>IF(V1265="Returned",0,T1265-U1265)</x:f>
        <x:v>159.3</x:v>
      </x:c>
      <x:c r="X1265" s="93" t="n">
        <x:f>IF(V1265="Returned",Q1265*R1265*10%,Q1265*R1265)</x:f>
        <x:v>51</x:v>
      </x:c>
      <x:c r="Y1265" s="93" t="n">
        <x:f>W1265-X1265</x:f>
        <x:v>108.30000000000001</x:v>
      </x:c>
      <x:c r="Z1265" s="94" t="n">
        <x:f>IFERROR(Y1265/W1265,0)</x:f>
        <x:v>0.67984934086629</x:v>
      </x:c>
      <x:c r="AA1265" s="84" t="str">
        <x:f>PROPER(TRIM('Raw Sales'!M1265))</x:f>
        <x:v>Credit Card</x:v>
      </x:c>
      <x:c r="AB1265" s="84" t="str">
        <x:f>PROPER(TRIM('Raw Sales'!N1265))</x:f>
        <x:v>Lucas Grant</x:v>
      </x:c>
      <x:c r="AC1265" s="85" t="n">
        <x:f>'Raw Sales'!O1265</x:f>
        <x:v>45705</x:v>
      </x:c>
      <x:c r="AD1265" s="84" t="n">
        <x:f>AC1265-B1265</x:f>
        <x:v>0</x:v>
      </x:c>
      <x:c r="AE1265" s="84" t="str">
        <x:f>IF(COUNTIF($A$5:A1265,A1265)&gt;1,"Duplicate","Keep")</x:f>
        <x:v>Keep</x:v>
      </x:c>
      <x:c r="AF1265" s="84" t="str">
        <x:f>IF(OR(R1265&lt;=0,AC1265&lt;B1265,H1265="Unknown",M1265="Unknown Product"),"Review","Valid")</x:f>
        <x:v>Valid</x:v>
      </x:c>
      <x:c r="AG1265" s="84" t="n">
        <x:f>IF(AND(AE1265="Keep",AF1265="Valid"),1,0)</x:f>
        <x:v>1</x:v>
      </x:c>
      <x:c r="AH1265" s="84" t="n">
        <x:f>IF(AND(AG1265=1,OR('Dashboard'!$B$4="All",I1265='Dashboard'!$B$4),OR('Dashboard'!$E$4="All",N1265='Dashboard'!$E$4),OR('Dashboard'!$H$4="All",K1265='Dashboard'!$H$4),OR('Dashboard'!$K$4="All",C1265='Dashboard'!$K$4)),1,0)</x:f>
        <x:v>1</x:v>
      </x:c>
      <x:c r="AI1265" s="84" t="n">
        <x:f>IF(AND(AG1265=1,OR('Dashboard'!$B$4="All",I1265='Dashboard'!$B$4),OR('Dashboard'!$E$4="All",N1265='Dashboard'!$E$4),OR('Dashboard'!$H$4="All",K1265='Dashboard'!$H$4)),1,0)</x:f>
        <x:v>1</x:v>
      </x:c>
    </x:row>
    <x:row r="1266">
      <x:c r="A1266" s="84" t="str">
        <x:f>'Raw Sales'!A1266</x:f>
        <x:v>ORD-2025-00291</x:v>
      </x:c>
      <x:c r="B1266" s="85" t="n">
        <x:f>'Raw Sales'!B1266</x:f>
        <x:v>45706</x:v>
      </x:c>
      <x:c r="C1266" s="84" t="n">
        <x:f>YEAR(B1266)</x:f>
        <x:v>2025</x:v>
      </x:c>
      <x:c r="D1266" s="91" t="n">
        <x:f>DATE(YEAR(B1266),MONTH(B1266),1)</x:f>
        <x:v>45689</x:v>
      </x:c>
      <x:c r="E1266" s="84" t="str">
        <x:f>TEXT(B1266,"mmm")</x:f>
        <x:v>Feb</x:v>
      </x:c>
      <x:c r="F1266" s="84" t="str">
        <x:f>'Raw Sales'!C1266</x:f>
        <x:v>CUST-0250</x:v>
      </x:c>
      <x:c r="G1266" s="84" t="str">
        <x:f>PROPER(TRIM('Raw Sales'!D1266))</x:f>
        <x:v>Theo Young</x:v>
      </x:c>
      <x:c r="H1266" s="84" t="str">
        <x:f>IF(TRIM('Raw Sales'!E1266)="","Unknown",PROPER(TRIM('Raw Sales'!E1266)))</x:f>
        <x:v>Corporate</x:v>
      </x:c>
      <x:c r="I1266" s="84" t="str">
        <x:f>PROPER(TRIM('Raw Sales'!F1266))</x:f>
        <x:v>Northeast</x:v>
      </x:c>
      <x:c r="J1266" s="84" t="str">
        <x:f>PROPER(TRIM('Raw Sales'!G1266))</x:f>
        <x:v>Philadelphia</x:v>
      </x:c>
      <x:c r="K1266" s="84" t="str">
        <x:f>PROPER(TRIM('Raw Sales'!H1266))</x:f>
        <x:v>Retail Store</x:v>
      </x:c>
      <x:c r="L1266" s="84" t="str">
        <x:f>'Raw Sales'!I1266</x:f>
        <x:v>FITN-006</x:v>
      </x:c>
      <x:c r="M1266" s="84" t="str">
        <x:f>IFERROR(VLOOKUP(L1266,'Reference Data'!$A$5:$F$40,2,FALSE),"Unknown Product")</x:f>
        <x:v>Foam Roller</x:v>
      </x:c>
      <x:c r="N1266" s="84" t="str">
        <x:f>IFERROR(VLOOKUP(L1266,'Reference Data'!$A$5:$F$40,3,FALSE),"Unknown")</x:f>
        <x:v>Fitness</x:v>
      </x:c>
      <x:c r="O1266" s="84" t="str">
        <x:f>IFERROR(VLOOKUP(L1266,'Reference Data'!$A$5:$F$40,4,FALSE),"Unknown")</x:f>
        <x:v>Recovery</x:v>
      </x:c>
      <x:c r="P1266" s="92" t="n">
        <x:f>IFERROR(VLOOKUP(L1266,'Reference Data'!$A$5:$F$40,5,FALSE),0)</x:f>
        <x:v>31</x:v>
      </x:c>
      <x:c r="Q1266" s="92" t="n">
        <x:f>IFERROR(VLOOKUP(L1266,'Reference Data'!$A$5:$F$40,6,FALSE),0)</x:f>
        <x:v>12</x:v>
      </x:c>
      <x:c r="R1266" s="84" t="n">
        <x:f>'Raw Sales'!J1266</x:f>
        <x:v>5</x:v>
      </x:c>
      <x:c r="S1266" s="87" t="n">
        <x:f>'Raw Sales'!K1266</x:f>
        <x:v>0</x:v>
      </x:c>
      <x:c r="T1266" s="93" t="n">
        <x:f>P1266*R1266</x:f>
        <x:v>155</x:v>
      </x:c>
      <x:c r="U1266" s="93" t="n">
        <x:f>T1266*S1266</x:f>
        <x:v>0</x:v>
      </x:c>
      <x:c r="V1266" s="93" t="str">
        <x:f>PROPER(TRIM('Raw Sales'!L1266))</x:f>
        <x:v>Completed</x:v>
      </x:c>
      <x:c r="W1266" s="93" t="n">
        <x:f>IF(V1266="Returned",0,T1266-U1266)</x:f>
        <x:v>155</x:v>
      </x:c>
      <x:c r="X1266" s="93" t="n">
        <x:f>IF(V1266="Returned",Q1266*R1266*10%,Q1266*R1266)</x:f>
        <x:v>60</x:v>
      </x:c>
      <x:c r="Y1266" s="93" t="n">
        <x:f>W1266-X1266</x:f>
        <x:v>95</x:v>
      </x:c>
      <x:c r="Z1266" s="94" t="n">
        <x:f>IFERROR(Y1266/W1266,0)</x:f>
        <x:v>0.6129032258064516</x:v>
      </x:c>
      <x:c r="AA1266" s="84" t="str">
        <x:f>PROPER(TRIM('Raw Sales'!M1266))</x:f>
        <x:v>Credit Card</x:v>
      </x:c>
      <x:c r="AB1266" s="84" t="str">
        <x:f>PROPER(TRIM('Raw Sales'!N1266))</x:f>
        <x:v>Maya Brooks</x:v>
      </x:c>
      <x:c r="AC1266" s="85" t="n">
        <x:f>'Raw Sales'!O1266</x:f>
        <x:v>45706</x:v>
      </x:c>
      <x:c r="AD1266" s="84" t="n">
        <x:f>AC1266-B1266</x:f>
        <x:v>0</x:v>
      </x:c>
      <x:c r="AE1266" s="84" t="str">
        <x:f>IF(COUNTIF($A$5:A1266,A1266)&gt;1,"Duplicate","Keep")</x:f>
        <x:v>Keep</x:v>
      </x:c>
      <x:c r="AF1266" s="84" t="str">
        <x:f>IF(OR(R1266&lt;=0,AC1266&lt;B1266,H1266="Unknown",M1266="Unknown Product"),"Review","Valid")</x:f>
        <x:v>Valid</x:v>
      </x:c>
      <x:c r="AG1266" s="84" t="n">
        <x:f>IF(AND(AE1266="Keep",AF1266="Valid"),1,0)</x:f>
        <x:v>1</x:v>
      </x:c>
      <x:c r="AH1266" s="84" t="n">
        <x:f>IF(AND(AG1266=1,OR('Dashboard'!$B$4="All",I1266='Dashboard'!$B$4),OR('Dashboard'!$E$4="All",N1266='Dashboard'!$E$4),OR('Dashboard'!$H$4="All",K1266='Dashboard'!$H$4),OR('Dashboard'!$K$4="All",C1266='Dashboard'!$K$4)),1,0)</x:f>
        <x:v>1</x:v>
      </x:c>
      <x:c r="AI1266" s="84" t="n">
        <x:f>IF(AND(AG1266=1,OR('Dashboard'!$B$4="All",I1266='Dashboard'!$B$4),OR('Dashboard'!$E$4="All",N1266='Dashboard'!$E$4),OR('Dashboard'!$H$4="All",K1266='Dashboard'!$H$4)),1,0)</x:f>
        <x:v>1</x:v>
      </x:c>
    </x:row>
    <x:row r="1267">
      <x:c r="A1267" s="84" t="str">
        <x:f>'Raw Sales'!A1267</x:f>
        <x:v>ORD-2025-01489</x:v>
      </x:c>
      <x:c r="B1267" s="85" t="n">
        <x:f>'Raw Sales'!B1267</x:f>
        <x:v>45707</x:v>
      </x:c>
      <x:c r="C1267" s="84" t="n">
        <x:f>YEAR(B1267)</x:f>
        <x:v>2025</x:v>
      </x:c>
      <x:c r="D1267" s="91" t="n">
        <x:f>DATE(YEAR(B1267),MONTH(B1267),1)</x:f>
        <x:v>45689</x:v>
      </x:c>
      <x:c r="E1267" s="84" t="str">
        <x:f>TEXT(B1267,"mmm")</x:f>
        <x:v>Feb</x:v>
      </x:c>
      <x:c r="F1267" s="84" t="str">
        <x:f>'Raw Sales'!C1267</x:f>
        <x:v>CUST-0290</x:v>
      </x:c>
      <x:c r="G1267" s="84" t="str">
        <x:f>PROPER(TRIM('Raw Sales'!D1267))</x:f>
        <x:v>Nathan Baker</x:v>
      </x:c>
      <x:c r="H1267" s="84" t="str">
        <x:f>IF(TRIM('Raw Sales'!E1267)="","Unknown",PROPER(TRIM('Raw Sales'!E1267)))</x:f>
        <x:v>Consumer</x:v>
      </x:c>
      <x:c r="I1267" s="84" t="str">
        <x:f>PROPER(TRIM('Raw Sales'!F1267))</x:f>
        <x:v>West</x:v>
      </x:c>
      <x:c r="J1267" s="84" t="str">
        <x:f>PROPER(TRIM('Raw Sales'!G1267))</x:f>
        <x:v>Denver</x:v>
      </x:c>
      <x:c r="K1267" s="84" t="str">
        <x:f>PROPER(TRIM('Raw Sales'!H1267))</x:f>
        <x:v>Retail Store</x:v>
      </x:c>
      <x:c r="L1267" s="84" t="str">
        <x:f>'Raw Sales'!I1267</x:f>
        <x:v>HOME-006</x:v>
      </x:c>
      <x:c r="M1267" s="84" t="str">
        <x:f>IFERROR(VLOOKUP(L1267,'Reference Data'!$A$5:$F$40,2,FALSE),"Unknown Product")</x:f>
        <x:v>Food Storage Set</x:v>
      </x:c>
      <x:c r="N1267" s="84" t="str">
        <x:f>IFERROR(VLOOKUP(L1267,'Reference Data'!$A$5:$F$40,3,FALSE),"Unknown")</x:f>
        <x:v>Home &amp; Kitchen</x:v>
      </x:c>
      <x:c r="O1267" s="84" t="str">
        <x:f>IFERROR(VLOOKUP(L1267,'Reference Data'!$A$5:$F$40,4,FALSE),"Unknown")</x:f>
        <x:v>Kitchenware</x:v>
      </x:c>
      <x:c r="P1267" s="92" t="n">
        <x:f>IFERROR(VLOOKUP(L1267,'Reference Data'!$A$5:$F$40,5,FALSE),0)</x:f>
        <x:v>34</x:v>
      </x:c>
      <x:c r="Q1267" s="92" t="n">
        <x:f>IFERROR(VLOOKUP(L1267,'Reference Data'!$A$5:$F$40,6,FALSE),0)</x:f>
        <x:v>15</x:v>
      </x:c>
      <x:c r="R1267" s="84" t="n">
        <x:f>'Raw Sales'!J1267</x:f>
        <x:v>1</x:v>
      </x:c>
      <x:c r="S1267" s="87" t="n">
        <x:f>'Raw Sales'!K1267</x:f>
        <x:v>0</x:v>
      </x:c>
      <x:c r="T1267" s="93" t="n">
        <x:f>P1267*R1267</x:f>
        <x:v>34</x:v>
      </x:c>
      <x:c r="U1267" s="93" t="n">
        <x:f>T1267*S1267</x:f>
        <x:v>0</x:v>
      </x:c>
      <x:c r="V1267" s="93" t="str">
        <x:f>PROPER(TRIM('Raw Sales'!L1267))</x:f>
        <x:v>Completed</x:v>
      </x:c>
      <x:c r="W1267" s="93" t="n">
        <x:f>IF(V1267="Returned",0,T1267-U1267)</x:f>
        <x:v>34</x:v>
      </x:c>
      <x:c r="X1267" s="93" t="n">
        <x:f>IF(V1267="Returned",Q1267*R1267*10%,Q1267*R1267)</x:f>
        <x:v>15</x:v>
      </x:c>
      <x:c r="Y1267" s="93" t="n">
        <x:f>W1267-X1267</x:f>
        <x:v>19</x:v>
      </x:c>
      <x:c r="Z1267" s="94" t="n">
        <x:f>IFERROR(Y1267/W1267,0)</x:f>
        <x:v>0.5588235294117647</x:v>
      </x:c>
      <x:c r="AA1267" s="84" t="str">
        <x:f>PROPER(TRIM('Raw Sales'!M1267))</x:f>
        <x:v>Credit Card</x:v>
      </x:c>
      <x:c r="AB1267" s="84" t="str">
        <x:f>PROPER(TRIM('Raw Sales'!N1267))</x:f>
        <x:v>Nora Kim</x:v>
      </x:c>
      <x:c r="AC1267" s="85" t="n">
        <x:f>'Raw Sales'!O1267</x:f>
        <x:v>45707</x:v>
      </x:c>
      <x:c r="AD1267" s="84" t="n">
        <x:f>AC1267-B1267</x:f>
        <x:v>0</x:v>
      </x:c>
      <x:c r="AE1267" s="84" t="str">
        <x:f>IF(COUNTIF($A$5:A1267,A1267)&gt;1,"Duplicate","Keep")</x:f>
        <x:v>Keep</x:v>
      </x:c>
      <x:c r="AF1267" s="84" t="str">
        <x:f>IF(OR(R1267&lt;=0,AC1267&lt;B1267,H1267="Unknown",M1267="Unknown Product"),"Review","Valid")</x:f>
        <x:v>Valid</x:v>
      </x:c>
      <x:c r="AG1267" s="84" t="n">
        <x:f>IF(AND(AE1267="Keep",AF1267="Valid"),1,0)</x:f>
        <x:v>1</x:v>
      </x:c>
      <x:c r="AH1267" s="84" t="n">
        <x:f>IF(AND(AG1267=1,OR('Dashboard'!$B$4="All",I1267='Dashboard'!$B$4),OR('Dashboard'!$E$4="All",N1267='Dashboard'!$E$4),OR('Dashboard'!$H$4="All",K1267='Dashboard'!$H$4),OR('Dashboard'!$K$4="All",C1267='Dashboard'!$K$4)),1,0)</x:f>
        <x:v>1</x:v>
      </x:c>
      <x:c r="AI1267" s="84" t="n">
        <x:f>IF(AND(AG1267=1,OR('Dashboard'!$B$4="All",I1267='Dashboard'!$B$4),OR('Dashboard'!$E$4="All",N1267='Dashboard'!$E$4),OR('Dashboard'!$H$4="All",K1267='Dashboard'!$H$4)),1,0)</x:f>
        <x:v>1</x:v>
      </x:c>
    </x:row>
    <x:row r="1268">
      <x:c r="A1268" s="84" t="str">
        <x:f>'Raw Sales'!A1268</x:f>
        <x:v>ORD-2025-02205</x:v>
      </x:c>
      <x:c r="B1268" s="85" t="n">
        <x:f>'Raw Sales'!B1268</x:f>
        <x:v>45707</x:v>
      </x:c>
      <x:c r="C1268" s="84" t="n">
        <x:f>YEAR(B1268)</x:f>
        <x:v>2025</x:v>
      </x:c>
      <x:c r="D1268" s="91" t="n">
        <x:f>DATE(YEAR(B1268),MONTH(B1268),1)</x:f>
        <x:v>45689</x:v>
      </x:c>
      <x:c r="E1268" s="84" t="str">
        <x:f>TEXT(B1268,"mmm")</x:f>
        <x:v>Feb</x:v>
      </x:c>
      <x:c r="F1268" s="84" t="str">
        <x:f>'Raw Sales'!C1268</x:f>
        <x:v>CUST-0400</x:v>
      </x:c>
      <x:c r="G1268" s="84" t="str">
        <x:f>PROPER(TRIM('Raw Sales'!D1268))</x:f>
        <x:v>Amelia Nelson</x:v>
      </x:c>
      <x:c r="H1268" s="84" t="str">
        <x:f>IF(TRIM('Raw Sales'!E1268)="","Unknown",PROPER(TRIM('Raw Sales'!E1268)))</x:f>
        <x:v>Consumer</x:v>
      </x:c>
      <x:c r="I1268" s="84" t="str">
        <x:f>PROPER(TRIM('Raw Sales'!F1268))</x:f>
        <x:v>Southeast</x:v>
      </x:c>
      <x:c r="J1268" s="84" t="str">
        <x:f>PROPER(TRIM('Raw Sales'!G1268))</x:f>
        <x:v>Nashville</x:v>
      </x:c>
      <x:c r="K1268" s="84" t="str">
        <x:f>PROPER(TRIM('Raw Sales'!H1268))</x:f>
        <x:v>Retail Store</x:v>
      </x:c>
      <x:c r="L1268" s="84" t="str">
        <x:f>'Raw Sales'!I1268</x:f>
        <x:v>ACCS-005</x:v>
      </x:c>
      <x:c r="M1268" s="84" t="str">
        <x:f>IFERROR(VLOOKUP(L1268,'Reference Data'!$A$5:$F$40,2,FALSE),"Unknown Product")</x:f>
        <x:v>Protective Phone Case</x:v>
      </x:c>
      <x:c r="N1268" s="84" t="str">
        <x:f>IFERROR(VLOOKUP(L1268,'Reference Data'!$A$5:$F$40,3,FALSE),"Unknown")</x:f>
        <x:v>Accessories</x:v>
      </x:c>
      <x:c r="O1268" s="84" t="str">
        <x:f>IFERROR(VLOOKUP(L1268,'Reference Data'!$A$5:$F$40,4,FALSE),"Unknown")</x:f>
        <x:v>Mobile Accessories</x:v>
      </x:c>
      <x:c r="P1268" s="92" t="n">
        <x:f>IFERROR(VLOOKUP(L1268,'Reference Data'!$A$5:$F$40,5,FALSE),0)</x:f>
        <x:v>24</x:v>
      </x:c>
      <x:c r="Q1268" s="92" t="n">
        <x:f>IFERROR(VLOOKUP(L1268,'Reference Data'!$A$5:$F$40,6,FALSE),0)</x:f>
        <x:v>5</x:v>
      </x:c>
      <x:c r="R1268" s="84" t="n">
        <x:f>'Raw Sales'!J1268</x:f>
        <x:v>1</x:v>
      </x:c>
      <x:c r="S1268" s="87" t="n">
        <x:f>'Raw Sales'!K1268</x:f>
        <x:v>0.05</x:v>
      </x:c>
      <x:c r="T1268" s="93" t="n">
        <x:f>P1268*R1268</x:f>
        <x:v>24</x:v>
      </x:c>
      <x:c r="U1268" s="93" t="n">
        <x:f>T1268*S1268</x:f>
        <x:v>1.2000000000000002</x:v>
      </x:c>
      <x:c r="V1268" s="93" t="str">
        <x:f>PROPER(TRIM('Raw Sales'!L1268))</x:f>
        <x:v>Completed</x:v>
      </x:c>
      <x:c r="W1268" s="93" t="n">
        <x:f>IF(V1268="Returned",0,T1268-U1268)</x:f>
        <x:v>22.8</x:v>
      </x:c>
      <x:c r="X1268" s="93" t="n">
        <x:f>IF(V1268="Returned",Q1268*R1268*10%,Q1268*R1268)</x:f>
        <x:v>5</x:v>
      </x:c>
      <x:c r="Y1268" s="93" t="n">
        <x:f>W1268-X1268</x:f>
        <x:v>17.8</x:v>
      </x:c>
      <x:c r="Z1268" s="94" t="n">
        <x:f>IFERROR(Y1268/W1268,0)</x:f>
        <x:v>0.7807017543859649</x:v>
      </x:c>
      <x:c r="AA1268" s="84" t="str">
        <x:f>PROPER(TRIM('Raw Sales'!M1268))</x:f>
        <x:v>Debit Card</x:v>
      </x:c>
      <x:c r="AB1268" s="84" t="str">
        <x:f>PROPER(TRIM('Raw Sales'!N1268))</x:f>
        <x:v>Liam Parker</x:v>
      </x:c>
      <x:c r="AC1268" s="85" t="n">
        <x:f>'Raw Sales'!O1268</x:f>
        <x:v>45707</x:v>
      </x:c>
      <x:c r="AD1268" s="84" t="n">
        <x:f>AC1268-B1268</x:f>
        <x:v>0</x:v>
      </x:c>
      <x:c r="AE1268" s="84" t="str">
        <x:f>IF(COUNTIF($A$5:A1268,A1268)&gt;1,"Duplicate","Keep")</x:f>
        <x:v>Keep</x:v>
      </x:c>
      <x:c r="AF1268" s="84" t="str">
        <x:f>IF(OR(R1268&lt;=0,AC1268&lt;B1268,H1268="Unknown",M1268="Unknown Product"),"Review","Valid")</x:f>
        <x:v>Valid</x:v>
      </x:c>
      <x:c r="AG1268" s="84" t="n">
        <x:f>IF(AND(AE1268="Keep",AF1268="Valid"),1,0)</x:f>
        <x:v>1</x:v>
      </x:c>
      <x:c r="AH1268" s="84" t="n">
        <x:f>IF(AND(AG1268=1,OR('Dashboard'!$B$4="All",I1268='Dashboard'!$B$4),OR('Dashboard'!$E$4="All",N1268='Dashboard'!$E$4),OR('Dashboard'!$H$4="All",K1268='Dashboard'!$H$4),OR('Dashboard'!$K$4="All",C1268='Dashboard'!$K$4)),1,0)</x:f>
        <x:v>1</x:v>
      </x:c>
      <x:c r="AI1268" s="84" t="n">
        <x:f>IF(AND(AG1268=1,OR('Dashboard'!$B$4="All",I1268='Dashboard'!$B$4),OR('Dashboard'!$E$4="All",N1268='Dashboard'!$E$4),OR('Dashboard'!$H$4="All",K1268='Dashboard'!$H$4)),1,0)</x:f>
        <x:v>1</x:v>
      </x:c>
    </x:row>
    <x:row r="1269">
      <x:c r="A1269" s="84" t="str">
        <x:f>'Raw Sales'!A1269</x:f>
        <x:v>ORD-2025-00366</x:v>
      </x:c>
      <x:c r="B1269" s="85" t="n">
        <x:f>'Raw Sales'!B1269</x:f>
        <x:v>45708</x:v>
      </x:c>
      <x:c r="C1269" s="84" t="n">
        <x:f>YEAR(B1269)</x:f>
        <x:v>2025</x:v>
      </x:c>
      <x:c r="D1269" s="91" t="n">
        <x:f>DATE(YEAR(B1269),MONTH(B1269),1)</x:f>
        <x:v>45689</x:v>
      </x:c>
      <x:c r="E1269" s="84" t="str">
        <x:f>TEXT(B1269,"mmm")</x:f>
        <x:v>Feb</x:v>
      </x:c>
      <x:c r="F1269" s="84" t="str">
        <x:f>'Raw Sales'!C1269</x:f>
        <x:v>CUST-0318</x:v>
      </x:c>
      <x:c r="G1269" s="84" t="str">
        <x:f>PROPER(TRIM('Raw Sales'!D1269))</x:f>
        <x:v>Theo Baker</x:v>
      </x:c>
      <x:c r="H1269" s="84" t="str">
        <x:f>IF(TRIM('Raw Sales'!E1269)="","Unknown",PROPER(TRIM('Raw Sales'!E1269)))</x:f>
        <x:v>Unknown</x:v>
      </x:c>
      <x:c r="I1269" s="84" t="str">
        <x:f>PROPER(TRIM('Raw Sales'!F1269))</x:f>
        <x:v>Midwest</x:v>
      </x:c>
      <x:c r="J1269" s="84" t="str">
        <x:f>PROPER(TRIM('Raw Sales'!G1269))</x:f>
        <x:v>Detroit</x:v>
      </x:c>
      <x:c r="K1269" s="84" t="str">
        <x:f>PROPER(TRIM('Raw Sales'!H1269))</x:f>
        <x:v>Online</x:v>
      </x:c>
      <x:c r="L1269" s="84" t="str">
        <x:f>'Raw Sales'!I1269</x:f>
        <x:v>ACCS-002</x:v>
      </x:c>
      <x:c r="M1269" s="84" t="str">
        <x:f>IFERROR(VLOOKUP(L1269,'Reference Data'!$A$5:$F$40,2,FALSE),"Unknown Product")</x:f>
        <x:v>Travel Backpack</x:v>
      </x:c>
      <x:c r="N1269" s="84" t="str">
        <x:f>IFERROR(VLOOKUP(L1269,'Reference Data'!$A$5:$F$40,3,FALSE),"Unknown")</x:f>
        <x:v>Accessories</x:v>
      </x:c>
      <x:c r="O1269" s="84" t="str">
        <x:f>IFERROR(VLOOKUP(L1269,'Reference Data'!$A$5:$F$40,4,FALSE),"Unknown")</x:f>
        <x:v>Bags</x:v>
      </x:c>
      <x:c r="P1269" s="92" t="n">
        <x:f>IFERROR(VLOOKUP(L1269,'Reference Data'!$A$5:$F$40,5,FALSE),0)</x:f>
        <x:v>89</x:v>
      </x:c>
      <x:c r="Q1269" s="92" t="n">
        <x:f>IFERROR(VLOOKUP(L1269,'Reference Data'!$A$5:$F$40,6,FALSE),0)</x:f>
        <x:v>36</x:v>
      </x:c>
      <x:c r="R1269" s="84" t="n">
        <x:f>'Raw Sales'!J1269</x:f>
        <x:v>1</x:v>
      </x:c>
      <x:c r="S1269" s="87" t="n">
        <x:f>'Raw Sales'!K1269</x:f>
        <x:v>0.05</x:v>
      </x:c>
      <x:c r="T1269" s="93" t="n">
        <x:f>P1269*R1269</x:f>
        <x:v>89</x:v>
      </x:c>
      <x:c r="U1269" s="93" t="n">
        <x:f>T1269*S1269</x:f>
        <x:v>4.45</x:v>
      </x:c>
      <x:c r="V1269" s="93" t="str">
        <x:f>PROPER(TRIM('Raw Sales'!L1269))</x:f>
        <x:v>Completed</x:v>
      </x:c>
      <x:c r="W1269" s="93" t="n">
        <x:f>IF(V1269="Returned",0,T1269-U1269)</x:f>
        <x:v>84.55</x:v>
      </x:c>
      <x:c r="X1269" s="93" t="n">
        <x:f>IF(V1269="Returned",Q1269*R1269*10%,Q1269*R1269)</x:f>
        <x:v>36</x:v>
      </x:c>
      <x:c r="Y1269" s="93" t="n">
        <x:f>W1269-X1269</x:f>
        <x:v>48.55</x:v>
      </x:c>
      <x:c r="Z1269" s="94" t="n">
        <x:f>IFERROR(Y1269/W1269,0)</x:f>
        <x:v>0.5742164399763453</x:v>
      </x:c>
      <x:c r="AA1269" s="84" t="str">
        <x:f>PROPER(TRIM('Raw Sales'!M1269))</x:f>
        <x:v>Debit Card</x:v>
      </x:c>
      <x:c r="AB1269" s="84" t="str">
        <x:f>PROPER(TRIM('Raw Sales'!N1269))</x:f>
        <x:v>Emma Hayes</x:v>
      </x:c>
      <x:c r="AC1269" s="85" t="n">
        <x:f>'Raw Sales'!O1269</x:f>
        <x:v>45710</x:v>
      </x:c>
      <x:c r="AD1269" s="84" t="n">
        <x:f>AC1269-B1269</x:f>
        <x:v>2</x:v>
      </x:c>
      <x:c r="AE1269" s="84" t="str">
        <x:f>IF(COUNTIF($A$5:A1269,A1269)&gt;1,"Duplicate","Keep")</x:f>
        <x:v>Keep</x:v>
      </x:c>
      <x:c r="AF1269" s="84" t="str">
        <x:f>IF(OR(R1269&lt;=0,AC1269&lt;B1269,H1269="Unknown",M1269="Unknown Product"),"Review","Valid")</x:f>
        <x:v>Review</x:v>
      </x:c>
      <x:c r="AG1269" s="84" t="n">
        <x:f>IF(AND(AE1269="Keep",AF1269="Valid"),1,0)</x:f>
        <x:v>0</x:v>
      </x:c>
      <x:c r="AH1269" s="84" t="n">
        <x:f>IF(AND(AG1269=1,OR('Dashboard'!$B$4="All",I1269='Dashboard'!$B$4),OR('Dashboard'!$E$4="All",N1269='Dashboard'!$E$4),OR('Dashboard'!$H$4="All",K1269='Dashboard'!$H$4),OR('Dashboard'!$K$4="All",C1269='Dashboard'!$K$4)),1,0)</x:f>
        <x:v>0</x:v>
      </x:c>
      <x:c r="AI1269" s="84" t="n">
        <x:f>IF(AND(AG1269=1,OR('Dashboard'!$B$4="All",I1269='Dashboard'!$B$4),OR('Dashboard'!$E$4="All",N1269='Dashboard'!$E$4),OR('Dashboard'!$H$4="All",K1269='Dashboard'!$H$4)),1,0)</x:f>
        <x:v>0</x:v>
      </x:c>
    </x:row>
    <x:row r="1270">
      <x:c r="A1270" s="84" t="str">
        <x:f>'Raw Sales'!A1270</x:f>
        <x:v>ORD-2025-01616</x:v>
      </x:c>
      <x:c r="B1270" s="85" t="n">
        <x:f>'Raw Sales'!B1270</x:f>
        <x:v>45708</x:v>
      </x:c>
      <x:c r="C1270" s="84" t="n">
        <x:f>YEAR(B1270)</x:f>
        <x:v>2025</x:v>
      </x:c>
      <x:c r="D1270" s="91" t="n">
        <x:f>DATE(YEAR(B1270),MONTH(B1270),1)</x:f>
        <x:v>45689</x:v>
      </x:c>
      <x:c r="E1270" s="84" t="str">
        <x:f>TEXT(B1270,"mmm")</x:f>
        <x:v>Feb</x:v>
      </x:c>
      <x:c r="F1270" s="84" t="str">
        <x:f>'Raw Sales'!C1270</x:f>
        <x:v>CUST-0312</x:v>
      </x:c>
      <x:c r="G1270" s="84" t="str">
        <x:f>PROPER(TRIM('Raw Sales'!D1270))</x:f>
        <x:v>Theo Carter</x:v>
      </x:c>
      <x:c r="H1270" s="84" t="str">
        <x:f>IF(TRIM('Raw Sales'!E1270)="","Unknown",PROPER(TRIM('Raw Sales'!E1270)))</x:f>
        <x:v>Small Business</x:v>
      </x:c>
      <x:c r="I1270" s="84" t="str">
        <x:f>PROPER(TRIM('Raw Sales'!F1270))</x:f>
        <x:v>Southeast</x:v>
      </x:c>
      <x:c r="J1270" s="84" t="str">
        <x:f>PROPER(TRIM('Raw Sales'!G1270))</x:f>
        <x:v>Atlanta</x:v>
      </x:c>
      <x:c r="K1270" s="84" t="str">
        <x:f>PROPER(TRIM('Raw Sales'!H1270))</x:f>
        <x:v>Retail Store</x:v>
      </x:c>
      <x:c r="L1270" s="84" t="str">
        <x:f>'Raw Sales'!I1270</x:f>
        <x:v>CARE-004</x:v>
      </x:c>
      <x:c r="M1270" s="84" t="str">
        <x:f>IFERROR(VLOOKUP(L1270,'Reference Data'!$A$5:$F$40,2,FALSE),"Unknown Product")</x:f>
        <x:v>Electric Toothbrush</x:v>
      </x:c>
      <x:c r="N1270" s="84" t="str">
        <x:f>IFERROR(VLOOKUP(L1270,'Reference Data'!$A$5:$F$40,3,FALSE),"Unknown")</x:f>
        <x:v>Personal Care</x:v>
      </x:c>
      <x:c r="O1270" s="84" t="str">
        <x:f>IFERROR(VLOOKUP(L1270,'Reference Data'!$A$5:$F$40,4,FALSE),"Unknown")</x:f>
        <x:v>Oral Care</x:v>
      </x:c>
      <x:c r="P1270" s="92" t="n">
        <x:f>IFERROR(VLOOKUP(L1270,'Reference Data'!$A$5:$F$40,5,FALSE),0)</x:f>
        <x:v>69</x:v>
      </x:c>
      <x:c r="Q1270" s="92" t="n">
        <x:f>IFERROR(VLOOKUP(L1270,'Reference Data'!$A$5:$F$40,6,FALSE),0)</x:f>
        <x:v>31</x:v>
      </x:c>
      <x:c r="R1270" s="84" t="n">
        <x:f>'Raw Sales'!J1270</x:f>
        <x:v>2</x:v>
      </x:c>
      <x:c r="S1270" s="87" t="n">
        <x:f>'Raw Sales'!K1270</x:f>
        <x:v>0</x:v>
      </x:c>
      <x:c r="T1270" s="93" t="n">
        <x:f>P1270*R1270</x:f>
        <x:v>138</x:v>
      </x:c>
      <x:c r="U1270" s="93" t="n">
        <x:f>T1270*S1270</x:f>
        <x:v>0</x:v>
      </x:c>
      <x:c r="V1270" s="93" t="str">
        <x:f>PROPER(TRIM('Raw Sales'!L1270))</x:f>
        <x:v>Completed</x:v>
      </x:c>
      <x:c r="W1270" s="93" t="n">
        <x:f>IF(V1270="Returned",0,T1270-U1270)</x:f>
        <x:v>138</x:v>
      </x:c>
      <x:c r="X1270" s="93" t="n">
        <x:f>IF(V1270="Returned",Q1270*R1270*10%,Q1270*R1270)</x:f>
        <x:v>62</x:v>
      </x:c>
      <x:c r="Y1270" s="93" t="n">
        <x:f>W1270-X1270</x:f>
        <x:v>76</x:v>
      </x:c>
      <x:c r="Z1270" s="94" t="n">
        <x:f>IFERROR(Y1270/W1270,0)</x:f>
        <x:v>0.5507246376811594</x:v>
      </x:c>
      <x:c r="AA1270" s="84" t="str">
        <x:f>PROPER(TRIM('Raw Sales'!M1270))</x:f>
        <x:v>Debit Card</x:v>
      </x:c>
      <x:c r="AB1270" s="84" t="str">
        <x:f>PROPER(TRIM('Raw Sales'!N1270))</x:f>
        <x:v>Noah Reed</x:v>
      </x:c>
      <x:c r="AC1270" s="85" t="n">
        <x:f>'Raw Sales'!O1270</x:f>
        <x:v>45709</x:v>
      </x:c>
      <x:c r="AD1270" s="84" t="n">
        <x:f>AC1270-B1270</x:f>
        <x:v>1</x:v>
      </x:c>
      <x:c r="AE1270" s="84" t="str">
        <x:f>IF(COUNTIF($A$5:A1270,A1270)&gt;1,"Duplicate","Keep")</x:f>
        <x:v>Keep</x:v>
      </x:c>
      <x:c r="AF1270" s="84" t="str">
        <x:f>IF(OR(R1270&lt;=0,AC1270&lt;B1270,H1270="Unknown",M1270="Unknown Product"),"Review","Valid")</x:f>
        <x:v>Valid</x:v>
      </x:c>
      <x:c r="AG1270" s="84" t="n">
        <x:f>IF(AND(AE1270="Keep",AF1270="Valid"),1,0)</x:f>
        <x:v>1</x:v>
      </x:c>
      <x:c r="AH1270" s="84" t="n">
        <x:f>IF(AND(AG1270=1,OR('Dashboard'!$B$4="All",I1270='Dashboard'!$B$4),OR('Dashboard'!$E$4="All",N1270='Dashboard'!$E$4),OR('Dashboard'!$H$4="All",K1270='Dashboard'!$H$4),OR('Dashboard'!$K$4="All",C1270='Dashboard'!$K$4)),1,0)</x:f>
        <x:v>1</x:v>
      </x:c>
      <x:c r="AI1270" s="84" t="n">
        <x:f>IF(AND(AG1270=1,OR('Dashboard'!$B$4="All",I1270='Dashboard'!$B$4),OR('Dashboard'!$E$4="All",N1270='Dashboard'!$E$4),OR('Dashboard'!$H$4="All",K1270='Dashboard'!$H$4)),1,0)</x:f>
        <x:v>1</x:v>
      </x:c>
    </x:row>
    <x:row r="1271">
      <x:c r="A1271" s="84" t="str">
        <x:f>'Raw Sales'!A1271</x:f>
        <x:v>ORD-2025-02278</x:v>
      </x:c>
      <x:c r="B1271" s="85" t="n">
        <x:f>'Raw Sales'!B1271</x:f>
        <x:v>45708</x:v>
      </x:c>
      <x:c r="C1271" s="84" t="n">
        <x:f>YEAR(B1271)</x:f>
        <x:v>2025</x:v>
      </x:c>
      <x:c r="D1271" s="91" t="n">
        <x:f>DATE(YEAR(B1271),MONTH(B1271),1)</x:f>
        <x:v>45689</x:v>
      </x:c>
      <x:c r="E1271" s="84" t="str">
        <x:f>TEXT(B1271,"mmm")</x:f>
        <x:v>Feb</x:v>
      </x:c>
      <x:c r="F1271" s="84" t="str">
        <x:f>'Raw Sales'!C1271</x:f>
        <x:v>CUST-0611</x:v>
      </x:c>
      <x:c r="G1271" s="84" t="str">
        <x:f>PROPER(TRIM('Raw Sales'!D1271))</x:f>
        <x:v>Aiden Irwin</x:v>
      </x:c>
      <x:c r="H1271" s="84" t="str">
        <x:f>IF(TRIM('Raw Sales'!E1271)="","Unknown",PROPER(TRIM('Raw Sales'!E1271)))</x:f>
        <x:v>Corporate</x:v>
      </x:c>
      <x:c r="I1271" s="84" t="str">
        <x:f>PROPER(TRIM('Raw Sales'!F1271))</x:f>
        <x:v>Midwest</x:v>
      </x:c>
      <x:c r="J1271" s="84" t="str">
        <x:f>PROPER(TRIM('Raw Sales'!G1271))</x:f>
        <x:v>Chicago</x:v>
      </x:c>
      <x:c r="K1271" s="84" t="str">
        <x:f>PROPER(TRIM('Raw Sales'!H1271))</x:f>
        <x:v>Marketplace</x:v>
      </x:c>
      <x:c r="L1271" s="84" t="str">
        <x:f>'Raw Sales'!I1271</x:f>
        <x:v>FITN-004</x:v>
      </x:c>
      <x:c r="M1271" s="84" t="str">
        <x:f>IFERROR(VLOOKUP(L1271,'Reference Data'!$A$5:$F$40,2,FALSE),"Unknown Product")</x:f>
        <x:v>Fitness Tracker</x:v>
      </x:c>
      <x:c r="N1271" s="84" t="str">
        <x:f>IFERROR(VLOOKUP(L1271,'Reference Data'!$A$5:$F$40,3,FALSE),"Unknown")</x:f>
        <x:v>Fitness</x:v>
      </x:c>
      <x:c r="O1271" s="84" t="str">
        <x:f>IFERROR(VLOOKUP(L1271,'Reference Data'!$A$5:$F$40,4,FALSE),"Unknown")</x:f>
        <x:v>Wearables</x:v>
      </x:c>
      <x:c r="P1271" s="92" t="n">
        <x:f>IFERROR(VLOOKUP(L1271,'Reference Data'!$A$5:$F$40,5,FALSE),0)</x:f>
        <x:v>89</x:v>
      </x:c>
      <x:c r="Q1271" s="92" t="n">
        <x:f>IFERROR(VLOOKUP(L1271,'Reference Data'!$A$5:$F$40,6,FALSE),0)</x:f>
        <x:v>44</x:v>
      </x:c>
      <x:c r="R1271" s="84" t="n">
        <x:f>'Raw Sales'!J1271</x:f>
        <x:v>2</x:v>
      </x:c>
      <x:c r="S1271" s="87" t="n">
        <x:f>'Raw Sales'!K1271</x:f>
        <x:v>0</x:v>
      </x:c>
      <x:c r="T1271" s="93" t="n">
        <x:f>P1271*R1271</x:f>
        <x:v>178</x:v>
      </x:c>
      <x:c r="U1271" s="93" t="n">
        <x:f>T1271*S1271</x:f>
        <x:v>0</x:v>
      </x:c>
      <x:c r="V1271" s="93" t="str">
        <x:f>PROPER(TRIM('Raw Sales'!L1271))</x:f>
        <x:v>Completed</x:v>
      </x:c>
      <x:c r="W1271" s="93" t="n">
        <x:f>IF(V1271="Returned",0,T1271-U1271)</x:f>
        <x:v>178</x:v>
      </x:c>
      <x:c r="X1271" s="93" t="n">
        <x:f>IF(V1271="Returned",Q1271*R1271*10%,Q1271*R1271)</x:f>
        <x:v>88</x:v>
      </x:c>
      <x:c r="Y1271" s="93" t="n">
        <x:f>W1271-X1271</x:f>
        <x:v>90</x:v>
      </x:c>
      <x:c r="Z1271" s="94" t="n">
        <x:f>IFERROR(Y1271/W1271,0)</x:f>
        <x:v>0.5056179775280899</x:v>
      </x:c>
      <x:c r="AA1271" s="84" t="str">
        <x:f>PROPER(TRIM('Raw Sales'!M1271))</x:f>
        <x:v>Credit Card</x:v>
      </x:c>
      <x:c r="AB1271" s="84" t="str">
        <x:f>PROPER(TRIM('Raw Sales'!N1271))</x:f>
        <x:v>Emma Hayes</x:v>
      </x:c>
      <x:c r="AC1271" s="85" t="n">
        <x:f>'Raw Sales'!O1271</x:f>
        <x:v>45713</x:v>
      </x:c>
      <x:c r="AD1271" s="84" t="n">
        <x:f>AC1271-B1271</x:f>
        <x:v>5</x:v>
      </x:c>
      <x:c r="AE1271" s="84" t="str">
        <x:f>IF(COUNTIF($A$5:A1271,A1271)&gt;1,"Duplicate","Keep")</x:f>
        <x:v>Keep</x:v>
      </x:c>
      <x:c r="AF1271" s="84" t="str">
        <x:f>IF(OR(R1271&lt;=0,AC1271&lt;B1271,H1271="Unknown",M1271="Unknown Product"),"Review","Valid")</x:f>
        <x:v>Valid</x:v>
      </x:c>
      <x:c r="AG1271" s="84" t="n">
        <x:f>IF(AND(AE1271="Keep",AF1271="Valid"),1,0)</x:f>
        <x:v>1</x:v>
      </x:c>
      <x:c r="AH1271" s="84" t="n">
        <x:f>IF(AND(AG1271=1,OR('Dashboard'!$B$4="All",I1271='Dashboard'!$B$4),OR('Dashboard'!$E$4="All",N1271='Dashboard'!$E$4),OR('Dashboard'!$H$4="All",K1271='Dashboard'!$H$4),OR('Dashboard'!$K$4="All",C1271='Dashboard'!$K$4)),1,0)</x:f>
        <x:v>1</x:v>
      </x:c>
      <x:c r="AI1271" s="84" t="n">
        <x:f>IF(AND(AG1271=1,OR('Dashboard'!$B$4="All",I1271='Dashboard'!$B$4),OR('Dashboard'!$E$4="All",N1271='Dashboard'!$E$4),OR('Dashboard'!$H$4="All",K1271='Dashboard'!$H$4)),1,0)</x:f>
        <x:v>1</x:v>
      </x:c>
    </x:row>
    <x:row r="1272">
      <x:c r="A1272" s="84" t="str">
        <x:f>'Raw Sales'!A1272</x:f>
        <x:v>ORD-2025-00923</x:v>
      </x:c>
      <x:c r="B1272" s="85" t="n">
        <x:f>'Raw Sales'!B1272</x:f>
        <x:v>45709</x:v>
      </x:c>
      <x:c r="C1272" s="84" t="n">
        <x:f>YEAR(B1272)</x:f>
        <x:v>2025</x:v>
      </x:c>
      <x:c r="D1272" s="91" t="n">
        <x:f>DATE(YEAR(B1272),MONTH(B1272),1)</x:f>
        <x:v>45689</x:v>
      </x:c>
      <x:c r="E1272" s="84" t="str">
        <x:f>TEXT(B1272,"mmm")</x:f>
        <x:v>Feb</x:v>
      </x:c>
      <x:c r="F1272" s="84" t="str">
        <x:f>'Raw Sales'!C1272</x:f>
        <x:v>CUST-0628</x:v>
      </x:c>
      <x:c r="G1272" s="84" t="str">
        <x:f>PROPER(TRIM('Raw Sales'!D1272))</x:f>
        <x:v>Isaac Young</x:v>
      </x:c>
      <x:c r="H1272" s="84" t="str">
        <x:f>IF(TRIM('Raw Sales'!E1272)="","Unknown",PROPER(TRIM('Raw Sales'!E1272)))</x:f>
        <x:v>Small Business</x:v>
      </x:c>
      <x:c r="I1272" s="84" t="str">
        <x:f>PROPER(TRIM('Raw Sales'!F1272))</x:f>
        <x:v>West</x:v>
      </x:c>
      <x:c r="J1272" s="84" t="str">
        <x:f>PROPER(TRIM('Raw Sales'!G1272))</x:f>
        <x:v>Denver</x:v>
      </x:c>
      <x:c r="K1272" s="84" t="str">
        <x:f>PROPER(TRIM('Raw Sales'!H1272))</x:f>
        <x:v>Online</x:v>
      </x:c>
      <x:c r="L1272" s="84" t="str">
        <x:f>'Raw Sales'!I1272</x:f>
        <x:v>CARE-003</x:v>
      </x:c>
      <x:c r="M1272" s="84" t="str">
        <x:f>IFERROR(VLOOKUP(L1272,'Reference Data'!$A$5:$F$40,2,FALSE),"Unknown Product")</x:f>
        <x:v>Facial Cleanser</x:v>
      </x:c>
      <x:c r="N1272" s="84" t="str">
        <x:f>IFERROR(VLOOKUP(L1272,'Reference Data'!$A$5:$F$40,3,FALSE),"Unknown")</x:f>
        <x:v>Personal Care</x:v>
      </x:c>
      <x:c r="O1272" s="84" t="str">
        <x:f>IFERROR(VLOOKUP(L1272,'Reference Data'!$A$5:$F$40,4,FALSE),"Unknown")</x:f>
        <x:v>Skin Care</x:v>
      </x:c>
      <x:c r="P1272" s="92" t="n">
        <x:f>IFERROR(VLOOKUP(L1272,'Reference Data'!$A$5:$F$40,5,FALSE),0)</x:f>
        <x:v>18</x:v>
      </x:c>
      <x:c r="Q1272" s="92" t="n">
        <x:f>IFERROR(VLOOKUP(L1272,'Reference Data'!$A$5:$F$40,6,FALSE),0)</x:f>
        <x:v>6</x:v>
      </x:c>
      <x:c r="R1272" s="84" t="n">
        <x:f>'Raw Sales'!J1272</x:f>
        <x:v>2</x:v>
      </x:c>
      <x:c r="S1272" s="87" t="n">
        <x:f>'Raw Sales'!K1272</x:f>
        <x:v>0.05</x:v>
      </x:c>
      <x:c r="T1272" s="93" t="n">
        <x:f>P1272*R1272</x:f>
        <x:v>36</x:v>
      </x:c>
      <x:c r="U1272" s="93" t="n">
        <x:f>T1272*S1272</x:f>
        <x:v>1.8</x:v>
      </x:c>
      <x:c r="V1272" s="93" t="str">
        <x:f>PROPER(TRIM('Raw Sales'!L1272))</x:f>
        <x:v>Completed</x:v>
      </x:c>
      <x:c r="W1272" s="93" t="n">
        <x:f>IF(V1272="Returned",0,T1272-U1272)</x:f>
        <x:v>34.2</x:v>
      </x:c>
      <x:c r="X1272" s="93" t="n">
        <x:f>IF(V1272="Returned",Q1272*R1272*10%,Q1272*R1272)</x:f>
        <x:v>12</x:v>
      </x:c>
      <x:c r="Y1272" s="93" t="n">
        <x:f>W1272-X1272</x:f>
        <x:v>22.200000000000003</x:v>
      </x:c>
      <x:c r="Z1272" s="94" t="n">
        <x:f>IFERROR(Y1272/W1272,0)</x:f>
        <x:v>0.6491228070175439</x:v>
      </x:c>
      <x:c r="AA1272" s="84" t="str">
        <x:f>PROPER(TRIM('Raw Sales'!M1272))</x:f>
        <x:v>Credit Card</x:v>
      </x:c>
      <x:c r="AB1272" s="84" t="str">
        <x:f>PROPER(TRIM('Raw Sales'!N1272))</x:f>
        <x:v>Nora Kim</x:v>
      </x:c>
      <x:c r="AC1272" s="85" t="n">
        <x:f>'Raw Sales'!O1272</x:f>
        <x:v>45711</x:v>
      </x:c>
      <x:c r="AD1272" s="84" t="n">
        <x:f>AC1272-B1272</x:f>
        <x:v>2</x:v>
      </x:c>
      <x:c r="AE1272" s="84" t="str">
        <x:f>IF(COUNTIF($A$5:A1272,A1272)&gt;1,"Duplicate","Keep")</x:f>
        <x:v>Keep</x:v>
      </x:c>
      <x:c r="AF1272" s="84" t="str">
        <x:f>IF(OR(R1272&lt;=0,AC1272&lt;B1272,H1272="Unknown",M1272="Unknown Product"),"Review","Valid")</x:f>
        <x:v>Valid</x:v>
      </x:c>
      <x:c r="AG1272" s="84" t="n">
        <x:f>IF(AND(AE1272="Keep",AF1272="Valid"),1,0)</x:f>
        <x:v>1</x:v>
      </x:c>
      <x:c r="AH1272" s="84" t="n">
        <x:f>IF(AND(AG1272=1,OR('Dashboard'!$B$4="All",I1272='Dashboard'!$B$4),OR('Dashboard'!$E$4="All",N1272='Dashboard'!$E$4),OR('Dashboard'!$H$4="All",K1272='Dashboard'!$H$4),OR('Dashboard'!$K$4="All",C1272='Dashboard'!$K$4)),1,0)</x:f>
        <x:v>1</x:v>
      </x:c>
      <x:c r="AI1272" s="84" t="n">
        <x:f>IF(AND(AG1272=1,OR('Dashboard'!$B$4="All",I1272='Dashboard'!$B$4),OR('Dashboard'!$E$4="All",N1272='Dashboard'!$E$4),OR('Dashboard'!$H$4="All",K1272='Dashboard'!$H$4)),1,0)</x:f>
        <x:v>1</x:v>
      </x:c>
    </x:row>
    <x:row r="1273">
      <x:c r="A1273" s="84" t="str">
        <x:f>'Raw Sales'!A1273</x:f>
        <x:v>ORD-2025-01401</x:v>
      </x:c>
      <x:c r="B1273" s="85" t="n">
        <x:f>'Raw Sales'!B1273</x:f>
        <x:v>45709</x:v>
      </x:c>
      <x:c r="C1273" s="84" t="n">
        <x:f>YEAR(B1273)</x:f>
        <x:v>2025</x:v>
      </x:c>
      <x:c r="D1273" s="91" t="n">
        <x:f>DATE(YEAR(B1273),MONTH(B1273),1)</x:f>
        <x:v>45689</x:v>
      </x:c>
      <x:c r="E1273" s="84" t="str">
        <x:f>TEXT(B1273,"mmm")</x:f>
        <x:v>Feb</x:v>
      </x:c>
      <x:c r="F1273" s="84" t="str">
        <x:f>'Raw Sales'!C1273</x:f>
        <x:v>CUST-0310</x:v>
      </x:c>
      <x:c r="G1273" s="84" t="str">
        <x:f>PROPER(TRIM('Raw Sales'!D1273))</x:f>
        <x:v>Marcus Patel</x:v>
      </x:c>
      <x:c r="H1273" s="84" t="str">
        <x:f>IF(TRIM('Raw Sales'!E1273)="","Unknown",PROPER(TRIM('Raw Sales'!E1273)))</x:f>
        <x:v>Consumer</x:v>
      </x:c>
      <x:c r="I1273" s="84" t="str">
        <x:f>PROPER(TRIM('Raw Sales'!F1273))</x:f>
        <x:v>Midwest</x:v>
      </x:c>
      <x:c r="J1273" s="84" t="str">
        <x:f>PROPER(TRIM('Raw Sales'!G1273))</x:f>
        <x:v>Columbus</x:v>
      </x:c>
      <x:c r="K1273" s="84" t="str">
        <x:f>PROPER(TRIM('Raw Sales'!H1273))</x:f>
        <x:v>Marketplace</x:v>
      </x:c>
      <x:c r="L1273" s="84" t="str">
        <x:f>'Raw Sales'!I1273</x:f>
        <x:v>ACCS-002</x:v>
      </x:c>
      <x:c r="M1273" s="84" t="str">
        <x:f>IFERROR(VLOOKUP(L1273,'Reference Data'!$A$5:$F$40,2,FALSE),"Unknown Product")</x:f>
        <x:v>Travel Backpack</x:v>
      </x:c>
      <x:c r="N1273" s="84" t="str">
        <x:f>IFERROR(VLOOKUP(L1273,'Reference Data'!$A$5:$F$40,3,FALSE),"Unknown")</x:f>
        <x:v>Accessories</x:v>
      </x:c>
      <x:c r="O1273" s="84" t="str">
        <x:f>IFERROR(VLOOKUP(L1273,'Reference Data'!$A$5:$F$40,4,FALSE),"Unknown")</x:f>
        <x:v>Bags</x:v>
      </x:c>
      <x:c r="P1273" s="92" t="n">
        <x:f>IFERROR(VLOOKUP(L1273,'Reference Data'!$A$5:$F$40,5,FALSE),0)</x:f>
        <x:v>89</x:v>
      </x:c>
      <x:c r="Q1273" s="92" t="n">
        <x:f>IFERROR(VLOOKUP(L1273,'Reference Data'!$A$5:$F$40,6,FALSE),0)</x:f>
        <x:v>36</x:v>
      </x:c>
      <x:c r="R1273" s="84" t="n">
        <x:f>'Raw Sales'!J1273</x:f>
        <x:v>2</x:v>
      </x:c>
      <x:c r="S1273" s="87" t="n">
        <x:f>'Raw Sales'!K1273</x:f>
        <x:v>0.05</x:v>
      </x:c>
      <x:c r="T1273" s="93" t="n">
        <x:f>P1273*R1273</x:f>
        <x:v>178</x:v>
      </x:c>
      <x:c r="U1273" s="93" t="n">
        <x:f>T1273*S1273</x:f>
        <x:v>8.9</x:v>
      </x:c>
      <x:c r="V1273" s="93" t="str">
        <x:f>PROPER(TRIM('Raw Sales'!L1273))</x:f>
        <x:v>Completed</x:v>
      </x:c>
      <x:c r="W1273" s="93" t="n">
        <x:f>IF(V1273="Returned",0,T1273-U1273)</x:f>
        <x:v>169.1</x:v>
      </x:c>
      <x:c r="X1273" s="93" t="n">
        <x:f>IF(V1273="Returned",Q1273*R1273*10%,Q1273*R1273)</x:f>
        <x:v>72</x:v>
      </x:c>
      <x:c r="Y1273" s="93" t="n">
        <x:f>W1273-X1273</x:f>
        <x:v>97.1</x:v>
      </x:c>
      <x:c r="Z1273" s="94" t="n">
        <x:f>IFERROR(Y1273/W1273,0)</x:f>
        <x:v>0.5742164399763453</x:v>
      </x:c>
      <x:c r="AA1273" s="84" t="str">
        <x:f>PROPER(TRIM('Raw Sales'!M1273))</x:f>
        <x:v>Credit Card</x:v>
      </x:c>
      <x:c r="AB1273" s="84" t="str">
        <x:f>PROPER(TRIM('Raw Sales'!N1273))</x:f>
        <x:v>Emma Hayes</x:v>
      </x:c>
      <x:c r="AC1273" s="85" t="n">
        <x:f>'Raw Sales'!O1273</x:f>
        <x:v>45717</x:v>
      </x:c>
      <x:c r="AD1273" s="84" t="n">
        <x:f>AC1273-B1273</x:f>
        <x:v>8</x:v>
      </x:c>
      <x:c r="AE1273" s="84" t="str">
        <x:f>IF(COUNTIF($A$5:A1273,A1273)&gt;1,"Duplicate","Keep")</x:f>
        <x:v>Keep</x:v>
      </x:c>
      <x:c r="AF1273" s="84" t="str">
        <x:f>IF(OR(R1273&lt;=0,AC1273&lt;B1273,H1273="Unknown",M1273="Unknown Product"),"Review","Valid")</x:f>
        <x:v>Valid</x:v>
      </x:c>
      <x:c r="AG1273" s="84" t="n">
        <x:f>IF(AND(AE1273="Keep",AF1273="Valid"),1,0)</x:f>
        <x:v>1</x:v>
      </x:c>
      <x:c r="AH1273" s="84" t="n">
        <x:f>IF(AND(AG1273=1,OR('Dashboard'!$B$4="All",I1273='Dashboard'!$B$4),OR('Dashboard'!$E$4="All",N1273='Dashboard'!$E$4),OR('Dashboard'!$H$4="All",K1273='Dashboard'!$H$4),OR('Dashboard'!$K$4="All",C1273='Dashboard'!$K$4)),1,0)</x:f>
        <x:v>1</x:v>
      </x:c>
      <x:c r="AI1273" s="84" t="n">
        <x:f>IF(AND(AG1273=1,OR('Dashboard'!$B$4="All",I1273='Dashboard'!$B$4),OR('Dashboard'!$E$4="All",N1273='Dashboard'!$E$4),OR('Dashboard'!$H$4="All",K1273='Dashboard'!$H$4)),1,0)</x:f>
        <x:v>1</x:v>
      </x:c>
    </x:row>
    <x:row r="1274">
      <x:c r="A1274" s="84" t="str">
        <x:f>'Raw Sales'!A1274</x:f>
        <x:v>ORD-2025-01487</x:v>
      </x:c>
      <x:c r="B1274" s="85" t="n">
        <x:f>'Raw Sales'!B1274</x:f>
        <x:v>45709</x:v>
      </x:c>
      <x:c r="C1274" s="84" t="n">
        <x:f>YEAR(B1274)</x:f>
        <x:v>2025</x:v>
      </x:c>
      <x:c r="D1274" s="91" t="n">
        <x:f>DATE(YEAR(B1274),MONTH(B1274),1)</x:f>
        <x:v>45689</x:v>
      </x:c>
      <x:c r="E1274" s="84" t="str">
        <x:f>TEXT(B1274,"mmm")</x:f>
        <x:v>Feb</x:v>
      </x:c>
      <x:c r="F1274" s="84" t="str">
        <x:f>'Raw Sales'!C1274</x:f>
        <x:v>CUST-0304</x:v>
      </x:c>
      <x:c r="G1274" s="84" t="str">
        <x:f>PROPER(TRIM('Raw Sales'!D1274))</x:f>
        <x:v>Isaac Carter</x:v>
      </x:c>
      <x:c r="H1274" s="84" t="str">
        <x:f>IF(TRIM('Raw Sales'!E1274)="","Unknown",PROPER(TRIM('Raw Sales'!E1274)))</x:f>
        <x:v>Corporate</x:v>
      </x:c>
      <x:c r="I1274" s="84" t="str">
        <x:f>PROPER(TRIM('Raw Sales'!F1274))</x:f>
        <x:v>Northeast</x:v>
      </x:c>
      <x:c r="J1274" s="84" t="str">
        <x:f>PROPER(TRIM('Raw Sales'!G1274))</x:f>
        <x:v>New York</x:v>
      </x:c>
      <x:c r="K1274" s="84" t="str">
        <x:f>PROPER(TRIM('Raw Sales'!H1274))</x:f>
        <x:v>Marketplace</x:v>
      </x:c>
      <x:c r="L1274" s="84" t="str">
        <x:f>'Raw Sales'!I1274</x:f>
        <x:v>FITN-004</x:v>
      </x:c>
      <x:c r="M1274" s="84" t="str">
        <x:f>IFERROR(VLOOKUP(L1274,'Reference Data'!$A$5:$F$40,2,FALSE),"Unknown Product")</x:f>
        <x:v>Fitness Tracker</x:v>
      </x:c>
      <x:c r="N1274" s="84" t="str">
        <x:f>IFERROR(VLOOKUP(L1274,'Reference Data'!$A$5:$F$40,3,FALSE),"Unknown")</x:f>
        <x:v>Fitness</x:v>
      </x:c>
      <x:c r="O1274" s="84" t="str">
        <x:f>IFERROR(VLOOKUP(L1274,'Reference Data'!$A$5:$F$40,4,FALSE),"Unknown")</x:f>
        <x:v>Wearables</x:v>
      </x:c>
      <x:c r="P1274" s="92" t="n">
        <x:f>IFERROR(VLOOKUP(L1274,'Reference Data'!$A$5:$F$40,5,FALSE),0)</x:f>
        <x:v>89</x:v>
      </x:c>
      <x:c r="Q1274" s="92" t="n">
        <x:f>IFERROR(VLOOKUP(L1274,'Reference Data'!$A$5:$F$40,6,FALSE),0)</x:f>
        <x:v>44</x:v>
      </x:c>
      <x:c r="R1274" s="84" t="n">
        <x:f>'Raw Sales'!J1274</x:f>
        <x:v>3</x:v>
      </x:c>
      <x:c r="S1274" s="87" t="n">
        <x:f>'Raw Sales'!K1274</x:f>
        <x:v>0.15</x:v>
      </x:c>
      <x:c r="T1274" s="93" t="n">
        <x:f>P1274*R1274</x:f>
        <x:v>267</x:v>
      </x:c>
      <x:c r="U1274" s="93" t="n">
        <x:f>T1274*S1274</x:f>
        <x:v>40.05</x:v>
      </x:c>
      <x:c r="V1274" s="93" t="str">
        <x:f>PROPER(TRIM('Raw Sales'!L1274))</x:f>
        <x:v>Completed</x:v>
      </x:c>
      <x:c r="W1274" s="93" t="n">
        <x:f>IF(V1274="Returned",0,T1274-U1274)</x:f>
        <x:v>226.95</x:v>
      </x:c>
      <x:c r="X1274" s="93" t="n">
        <x:f>IF(V1274="Returned",Q1274*R1274*10%,Q1274*R1274)</x:f>
        <x:v>132</x:v>
      </x:c>
      <x:c r="Y1274" s="93" t="n">
        <x:f>W1274-X1274</x:f>
        <x:v>94.94999999999999</x:v>
      </x:c>
      <x:c r="Z1274" s="94" t="n">
        <x:f>IFERROR(Y1274/W1274,0)</x:f>
        <x:v>0.41837409120951746</x:v>
      </x:c>
      <x:c r="AA1274" s="84" t="str">
        <x:f>PROPER(TRIM('Raw Sales'!M1274))</x:f>
        <x:v>Credit Card</x:v>
      </x:c>
      <x:c r="AB1274" s="84" t="str">
        <x:f>PROPER(TRIM('Raw Sales'!N1274))</x:f>
        <x:v>Maya Brooks</x:v>
      </x:c>
      <x:c r="AC1274" s="85" t="n">
        <x:f>'Raw Sales'!O1274</x:f>
        <x:v>45717</x:v>
      </x:c>
      <x:c r="AD1274" s="84" t="n">
        <x:f>AC1274-B1274</x:f>
        <x:v>8</x:v>
      </x:c>
      <x:c r="AE1274" s="84" t="str">
        <x:f>IF(COUNTIF($A$5:A1274,A1274)&gt;1,"Duplicate","Keep")</x:f>
        <x:v>Keep</x:v>
      </x:c>
      <x:c r="AF1274" s="84" t="str">
        <x:f>IF(OR(R1274&lt;=0,AC1274&lt;B1274,H1274="Unknown",M1274="Unknown Product"),"Review","Valid")</x:f>
        <x:v>Valid</x:v>
      </x:c>
      <x:c r="AG1274" s="84" t="n">
        <x:f>IF(AND(AE1274="Keep",AF1274="Valid"),1,0)</x:f>
        <x:v>1</x:v>
      </x:c>
      <x:c r="AH1274" s="84" t="n">
        <x:f>IF(AND(AG1274=1,OR('Dashboard'!$B$4="All",I1274='Dashboard'!$B$4),OR('Dashboard'!$E$4="All",N1274='Dashboard'!$E$4),OR('Dashboard'!$H$4="All",K1274='Dashboard'!$H$4),OR('Dashboard'!$K$4="All",C1274='Dashboard'!$K$4)),1,0)</x:f>
        <x:v>1</x:v>
      </x:c>
      <x:c r="AI1274" s="84" t="n">
        <x:f>IF(AND(AG1274=1,OR('Dashboard'!$B$4="All",I1274='Dashboard'!$B$4),OR('Dashboard'!$E$4="All",N1274='Dashboard'!$E$4),OR('Dashboard'!$H$4="All",K1274='Dashboard'!$H$4)),1,0)</x:f>
        <x:v>1</x:v>
      </x:c>
    </x:row>
    <x:row r="1275">
      <x:c r="A1275" s="84" t="str">
        <x:f>'Raw Sales'!A1275</x:f>
        <x:v>ORD-2025-00194</x:v>
      </x:c>
      <x:c r="B1275" s="85" t="n">
        <x:f>'Raw Sales'!B1275</x:f>
        <x:v>45710</x:v>
      </x:c>
      <x:c r="C1275" s="84" t="n">
        <x:f>YEAR(B1275)</x:f>
        <x:v>2025</x:v>
      </x:c>
      <x:c r="D1275" s="91" t="n">
        <x:f>DATE(YEAR(B1275),MONTH(B1275),1)</x:f>
        <x:v>45689</x:v>
      </x:c>
      <x:c r="E1275" s="84" t="str">
        <x:f>TEXT(B1275,"mmm")</x:f>
        <x:v>Feb</x:v>
      </x:c>
      <x:c r="F1275" s="84" t="str">
        <x:f>'Raw Sales'!C1275</x:f>
        <x:v>CUST-0560</x:v>
      </x:c>
      <x:c r="G1275" s="84" t="str">
        <x:f>PROPER(TRIM('Raw Sales'!D1275))</x:f>
        <x:v>Sara Khan</x:v>
      </x:c>
      <x:c r="H1275" s="84" t="str">
        <x:f>IF(TRIM('Raw Sales'!E1275)="","Unknown",PROPER(TRIM('Raw Sales'!E1275)))</x:f>
        <x:v>Consumer</x:v>
      </x:c>
      <x:c r="I1275" s="84" t="str">
        <x:f>PROPER(TRIM('Raw Sales'!F1275))</x:f>
        <x:v>Northeast</x:v>
      </x:c>
      <x:c r="J1275" s="84" t="str">
        <x:f>PROPER(TRIM('Raw Sales'!G1275))</x:f>
        <x:v>Philadelphia</x:v>
      </x:c>
      <x:c r="K1275" s="84" t="str">
        <x:f>PROPER(TRIM('Raw Sales'!H1275))</x:f>
        <x:v>Retail Store</x:v>
      </x:c>
      <x:c r="L1275" s="84" t="str">
        <x:f>'Raw Sales'!I1275</x:f>
        <x:v>OFFC-001</x:v>
      </x:c>
      <x:c r="M1275" s="84" t="str">
        <x:f>IFERROR(VLOOKUP(L1275,'Reference Data'!$A$5:$F$40,2,FALSE),"Unknown Product")</x:f>
        <x:v>Ergonomic Chair</x:v>
      </x:c>
      <x:c r="N1275" s="84" t="str">
        <x:f>IFERROR(VLOOKUP(L1275,'Reference Data'!$A$5:$F$40,3,FALSE),"Unknown")</x:f>
        <x:v>Office</x:v>
      </x:c>
      <x:c r="O1275" s="84" t="str">
        <x:f>IFERROR(VLOOKUP(L1275,'Reference Data'!$A$5:$F$40,4,FALSE),"Unknown")</x:f>
        <x:v>Furniture</x:v>
      </x:c>
      <x:c r="P1275" s="92" t="n">
        <x:f>IFERROR(VLOOKUP(L1275,'Reference Data'!$A$5:$F$40,5,FALSE),0)</x:f>
        <x:v>249</x:v>
      </x:c>
      <x:c r="Q1275" s="92" t="n">
        <x:f>IFERROR(VLOOKUP(L1275,'Reference Data'!$A$5:$F$40,6,FALSE),0)</x:f>
        <x:v>145</x:v>
      </x:c>
      <x:c r="R1275" s="84" t="n">
        <x:f>'Raw Sales'!J1275</x:f>
        <x:v>2</x:v>
      </x:c>
      <x:c r="S1275" s="87" t="n">
        <x:f>'Raw Sales'!K1275</x:f>
        <x:v>0.05</x:v>
      </x:c>
      <x:c r="T1275" s="93" t="n">
        <x:f>P1275*R1275</x:f>
        <x:v>498</x:v>
      </x:c>
      <x:c r="U1275" s="93" t="n">
        <x:f>T1275*S1275</x:f>
        <x:v>24.900000000000002</x:v>
      </x:c>
      <x:c r="V1275" s="93" t="str">
        <x:f>PROPER(TRIM('Raw Sales'!L1275))</x:f>
        <x:v>Completed</x:v>
      </x:c>
      <x:c r="W1275" s="93" t="n">
        <x:f>IF(V1275="Returned",0,T1275-U1275)</x:f>
        <x:v>473.1</x:v>
      </x:c>
      <x:c r="X1275" s="93" t="n">
        <x:f>IF(V1275="Returned",Q1275*R1275*10%,Q1275*R1275)</x:f>
        <x:v>290</x:v>
      </x:c>
      <x:c r="Y1275" s="93" t="n">
        <x:f>W1275-X1275</x:f>
        <x:v>183.10000000000002</x:v>
      </x:c>
      <x:c r="Z1275" s="94" t="n">
        <x:f>IFERROR(Y1275/W1275,0)</x:f>
        <x:v>0.3870217712957092</x:v>
      </x:c>
      <x:c r="AA1275" s="84" t="str">
        <x:f>PROPER(TRIM('Raw Sales'!M1275))</x:f>
        <x:v>Cash</x:v>
      </x:c>
      <x:c r="AB1275" s="84" t="str">
        <x:f>PROPER(TRIM('Raw Sales'!N1275))</x:f>
        <x:v>Sofia Bennett</x:v>
      </x:c>
      <x:c r="AC1275" s="85" t="n">
        <x:f>'Raw Sales'!O1275</x:f>
        <x:v>45710</x:v>
      </x:c>
      <x:c r="AD1275" s="84" t="n">
        <x:f>AC1275-B1275</x:f>
        <x:v>0</x:v>
      </x:c>
      <x:c r="AE1275" s="84" t="str">
        <x:f>IF(COUNTIF($A$5:A1275,A1275)&gt;1,"Duplicate","Keep")</x:f>
        <x:v>Keep</x:v>
      </x:c>
      <x:c r="AF1275" s="84" t="str">
        <x:f>IF(OR(R1275&lt;=0,AC1275&lt;B1275,H1275="Unknown",M1275="Unknown Product"),"Review","Valid")</x:f>
        <x:v>Valid</x:v>
      </x:c>
      <x:c r="AG1275" s="84" t="n">
        <x:f>IF(AND(AE1275="Keep",AF1275="Valid"),1,0)</x:f>
        <x:v>1</x:v>
      </x:c>
      <x:c r="AH1275" s="84" t="n">
        <x:f>IF(AND(AG1275=1,OR('Dashboard'!$B$4="All",I1275='Dashboard'!$B$4),OR('Dashboard'!$E$4="All",N1275='Dashboard'!$E$4),OR('Dashboard'!$H$4="All",K1275='Dashboard'!$H$4),OR('Dashboard'!$K$4="All",C1275='Dashboard'!$K$4)),1,0)</x:f>
        <x:v>1</x:v>
      </x:c>
      <x:c r="AI1275" s="84" t="n">
        <x:f>IF(AND(AG1275=1,OR('Dashboard'!$B$4="All",I1275='Dashboard'!$B$4),OR('Dashboard'!$E$4="All",N1275='Dashboard'!$E$4),OR('Dashboard'!$H$4="All",K1275='Dashboard'!$H$4)),1,0)</x:f>
        <x:v>1</x:v>
      </x:c>
    </x:row>
    <x:row r="1276">
      <x:c r="A1276" s="84" t="str">
        <x:f>'Raw Sales'!A1276</x:f>
        <x:v>ORD-2025-01549</x:v>
      </x:c>
      <x:c r="B1276" s="85" t="n">
        <x:f>'Raw Sales'!B1276</x:f>
        <x:v>45710</x:v>
      </x:c>
      <x:c r="C1276" s="84" t="n">
        <x:f>YEAR(B1276)</x:f>
        <x:v>2025</x:v>
      </x:c>
      <x:c r="D1276" s="91" t="n">
        <x:f>DATE(YEAR(B1276),MONTH(B1276),1)</x:f>
        <x:v>45689</x:v>
      </x:c>
      <x:c r="E1276" s="84" t="str">
        <x:f>TEXT(B1276,"mmm")</x:f>
        <x:v>Feb</x:v>
      </x:c>
      <x:c r="F1276" s="84" t="str">
        <x:f>'Raw Sales'!C1276</x:f>
        <x:v>CUST-0155</x:v>
      </x:c>
      <x:c r="G1276" s="84" t="str">
        <x:f>PROPER(TRIM('Raw Sales'!D1276))</x:f>
        <x:v>Theo Khan</x:v>
      </x:c>
      <x:c r="H1276" s="84" t="str">
        <x:f>IF(TRIM('Raw Sales'!E1276)="","Unknown",PROPER(TRIM('Raw Sales'!E1276)))</x:f>
        <x:v>Small Business</x:v>
      </x:c>
      <x:c r="I1276" s="84" t="str">
        <x:f>PROPER(TRIM('Raw Sales'!F1276))</x:f>
        <x:v>Southeast</x:v>
      </x:c>
      <x:c r="J1276" s="84" t="str">
        <x:f>PROPER(TRIM('Raw Sales'!G1276))</x:f>
        <x:v>Nashville</x:v>
      </x:c>
      <x:c r="K1276" s="84" t="str">
        <x:f>PROPER(TRIM('Raw Sales'!H1276))</x:f>
        <x:v>Marketplace</x:v>
      </x:c>
      <x:c r="L1276" s="84" t="str">
        <x:f>'Raw Sales'!I1276</x:f>
        <x:v>HOME-002</x:v>
      </x:c>
      <x:c r="M1276" s="84" t="str">
        <x:f>IFERROR(VLOOKUP(L1276,'Reference Data'!$A$5:$F$40,2,FALSE),"Unknown Product")</x:f>
        <x:v>Electric Kettle</x:v>
      </x:c>
      <x:c r="N1276" s="84" t="str">
        <x:f>IFERROR(VLOOKUP(L1276,'Reference Data'!$A$5:$F$40,3,FALSE),"Unknown")</x:f>
        <x:v>Home &amp; Kitchen</x:v>
      </x:c>
      <x:c r="O1276" s="84" t="str">
        <x:f>IFERROR(VLOOKUP(L1276,'Reference Data'!$A$5:$F$40,4,FALSE),"Unknown")</x:f>
        <x:v>Small Appliances</x:v>
      </x:c>
      <x:c r="P1276" s="92" t="n">
        <x:f>IFERROR(VLOOKUP(L1276,'Reference Data'!$A$5:$F$40,5,FALSE),0)</x:f>
        <x:v>49</x:v>
      </x:c>
      <x:c r="Q1276" s="92" t="n">
        <x:f>IFERROR(VLOOKUP(L1276,'Reference Data'!$A$5:$F$40,6,FALSE),0)</x:f>
        <x:v>23</x:v>
      </x:c>
      <x:c r="R1276" s="84" t="n">
        <x:f>'Raw Sales'!J1276</x:f>
        <x:v>1</x:v>
      </x:c>
      <x:c r="S1276" s="87" t="n">
        <x:f>'Raw Sales'!K1276</x:f>
        <x:v>0.1</x:v>
      </x:c>
      <x:c r="T1276" s="93" t="n">
        <x:f>P1276*R1276</x:f>
        <x:v>49</x:v>
      </x:c>
      <x:c r="U1276" s="93" t="n">
        <x:f>T1276*S1276</x:f>
        <x:v>4.9</x:v>
      </x:c>
      <x:c r="V1276" s="93" t="str">
        <x:f>PROPER(TRIM('Raw Sales'!L1276))</x:f>
        <x:v>Completed</x:v>
      </x:c>
      <x:c r="W1276" s="93" t="n">
        <x:f>IF(V1276="Returned",0,T1276-U1276)</x:f>
        <x:v>44.1</x:v>
      </x:c>
      <x:c r="X1276" s="93" t="n">
        <x:f>IF(V1276="Returned",Q1276*R1276*10%,Q1276*R1276)</x:f>
        <x:v>23</x:v>
      </x:c>
      <x:c r="Y1276" s="93" t="n">
        <x:f>W1276-X1276</x:f>
        <x:v>21.1</x:v>
      </x:c>
      <x:c r="Z1276" s="94" t="n">
        <x:f>IFERROR(Y1276/W1276,0)</x:f>
        <x:v>0.47845804988662133</x:v>
      </x:c>
      <x:c r="AA1276" s="84" t="str">
        <x:f>PROPER(TRIM('Raw Sales'!M1276))</x:f>
        <x:v>Credit Card</x:v>
      </x:c>
      <x:c r="AB1276" s="84" t="str">
        <x:f>PROPER(TRIM('Raw Sales'!N1276))</x:f>
        <x:v>Liam Parker</x:v>
      </x:c>
      <x:c r="AC1276" s="85" t="n">
        <x:f>'Raw Sales'!O1276</x:f>
        <x:v>45716</x:v>
      </x:c>
      <x:c r="AD1276" s="84" t="n">
        <x:f>AC1276-B1276</x:f>
        <x:v>6</x:v>
      </x:c>
      <x:c r="AE1276" s="84" t="str">
        <x:f>IF(COUNTIF($A$5:A1276,A1276)&gt;1,"Duplicate","Keep")</x:f>
        <x:v>Keep</x:v>
      </x:c>
      <x:c r="AF1276" s="84" t="str">
        <x:f>IF(OR(R1276&lt;=0,AC1276&lt;B1276,H1276="Unknown",M1276="Unknown Product"),"Review","Valid")</x:f>
        <x:v>Valid</x:v>
      </x:c>
      <x:c r="AG1276" s="84" t="n">
        <x:f>IF(AND(AE1276="Keep",AF1276="Valid"),1,0)</x:f>
        <x:v>1</x:v>
      </x:c>
      <x:c r="AH1276" s="84" t="n">
        <x:f>IF(AND(AG1276=1,OR('Dashboard'!$B$4="All",I1276='Dashboard'!$B$4),OR('Dashboard'!$E$4="All",N1276='Dashboard'!$E$4),OR('Dashboard'!$H$4="All",K1276='Dashboard'!$H$4),OR('Dashboard'!$K$4="All",C1276='Dashboard'!$K$4)),1,0)</x:f>
        <x:v>1</x:v>
      </x:c>
      <x:c r="AI1276" s="84" t="n">
        <x:f>IF(AND(AG1276=1,OR('Dashboard'!$B$4="All",I1276='Dashboard'!$B$4),OR('Dashboard'!$E$4="All",N1276='Dashboard'!$E$4),OR('Dashboard'!$H$4="All",K1276='Dashboard'!$H$4)),1,0)</x:f>
        <x:v>1</x:v>
      </x:c>
    </x:row>
    <x:row r="1277">
      <x:c r="A1277" s="84" t="str">
        <x:f>'Raw Sales'!A1277</x:f>
        <x:v>ORD-2025-01712</x:v>
      </x:c>
      <x:c r="B1277" s="85" t="n">
        <x:f>'Raw Sales'!B1277</x:f>
        <x:v>45710</x:v>
      </x:c>
      <x:c r="C1277" s="84" t="n">
        <x:f>YEAR(B1277)</x:f>
        <x:v>2025</x:v>
      </x:c>
      <x:c r="D1277" s="91" t="n">
        <x:f>DATE(YEAR(B1277),MONTH(B1277),1)</x:f>
        <x:v>45689</x:v>
      </x:c>
      <x:c r="E1277" s="84" t="str">
        <x:f>TEXT(B1277,"mmm")</x:f>
        <x:v>Feb</x:v>
      </x:c>
      <x:c r="F1277" s="84" t="str">
        <x:f>'Raw Sales'!C1277</x:f>
        <x:v>CUST-0504</x:v>
      </x:c>
      <x:c r="G1277" s="84" t="str">
        <x:f>PROPER(TRIM('Raw Sales'!D1277))</x:f>
        <x:v>Caleb Walker</x:v>
      </x:c>
      <x:c r="H1277" s="84" t="str">
        <x:f>IF(TRIM('Raw Sales'!E1277)="","Unknown",PROPER(TRIM('Raw Sales'!E1277)))</x:f>
        <x:v>Corporate</x:v>
      </x:c>
      <x:c r="I1277" s="84" t="str">
        <x:f>PROPER(TRIM('Raw Sales'!F1277))</x:f>
        <x:v>Southeast</x:v>
      </x:c>
      <x:c r="J1277" s="84" t="str">
        <x:f>PROPER(TRIM('Raw Sales'!G1277))</x:f>
        <x:v>Atlanta</x:v>
      </x:c>
      <x:c r="K1277" s="84" t="str">
        <x:f>PROPER(TRIM('Raw Sales'!H1277))</x:f>
        <x:v>Retail Store</x:v>
      </x:c>
      <x:c r="L1277" s="84" t="str">
        <x:f>'Raw Sales'!I1277</x:f>
        <x:v>ACCS-005</x:v>
      </x:c>
      <x:c r="M1277" s="84" t="str">
        <x:f>IFERROR(VLOOKUP(L1277,'Reference Data'!$A$5:$F$40,2,FALSE),"Unknown Product")</x:f>
        <x:v>Protective Phone Case</x:v>
      </x:c>
      <x:c r="N1277" s="84" t="str">
        <x:f>IFERROR(VLOOKUP(L1277,'Reference Data'!$A$5:$F$40,3,FALSE),"Unknown")</x:f>
        <x:v>Accessories</x:v>
      </x:c>
      <x:c r="O1277" s="84" t="str">
        <x:f>IFERROR(VLOOKUP(L1277,'Reference Data'!$A$5:$F$40,4,FALSE),"Unknown")</x:f>
        <x:v>Mobile Accessories</x:v>
      </x:c>
      <x:c r="P1277" s="92" t="n">
        <x:f>IFERROR(VLOOKUP(L1277,'Reference Data'!$A$5:$F$40,5,FALSE),0)</x:f>
        <x:v>24</x:v>
      </x:c>
      <x:c r="Q1277" s="92" t="n">
        <x:f>IFERROR(VLOOKUP(L1277,'Reference Data'!$A$5:$F$40,6,FALSE),0)</x:f>
        <x:v>5</x:v>
      </x:c>
      <x:c r="R1277" s="84" t="n">
        <x:f>'Raw Sales'!J1277</x:f>
        <x:v>6</x:v>
      </x:c>
      <x:c r="S1277" s="87" t="n">
        <x:f>'Raw Sales'!K1277</x:f>
        <x:v>0</x:v>
      </x:c>
      <x:c r="T1277" s="93" t="n">
        <x:f>P1277*R1277</x:f>
        <x:v>144</x:v>
      </x:c>
      <x:c r="U1277" s="93" t="n">
        <x:f>T1277*S1277</x:f>
        <x:v>0</x:v>
      </x:c>
      <x:c r="V1277" s="93" t="str">
        <x:f>PROPER(TRIM('Raw Sales'!L1277))</x:f>
        <x:v>Completed</x:v>
      </x:c>
      <x:c r="W1277" s="93" t="n">
        <x:f>IF(V1277="Returned",0,T1277-U1277)</x:f>
        <x:v>144</x:v>
      </x:c>
      <x:c r="X1277" s="93" t="n">
        <x:f>IF(V1277="Returned",Q1277*R1277*10%,Q1277*R1277)</x:f>
        <x:v>30</x:v>
      </x:c>
      <x:c r="Y1277" s="93" t="n">
        <x:f>W1277-X1277</x:f>
        <x:v>114</x:v>
      </x:c>
      <x:c r="Z1277" s="94" t="n">
        <x:f>IFERROR(Y1277/W1277,0)</x:f>
        <x:v>0.7916666666666666</x:v>
      </x:c>
      <x:c r="AA1277" s="84" t="str">
        <x:f>PROPER(TRIM('Raw Sales'!M1277))</x:f>
        <x:v>Debit Card</x:v>
      </x:c>
      <x:c r="AB1277" s="84" t="str">
        <x:f>PROPER(TRIM('Raw Sales'!N1277))</x:f>
        <x:v>Noah Reed</x:v>
      </x:c>
      <x:c r="AC1277" s="85" t="n">
        <x:f>'Raw Sales'!O1277</x:f>
        <x:v>45711</x:v>
      </x:c>
      <x:c r="AD1277" s="84" t="n">
        <x:f>AC1277-B1277</x:f>
        <x:v>1</x:v>
      </x:c>
      <x:c r="AE1277" s="84" t="str">
        <x:f>IF(COUNTIF($A$5:A1277,A1277)&gt;1,"Duplicate","Keep")</x:f>
        <x:v>Keep</x:v>
      </x:c>
      <x:c r="AF1277" s="84" t="str">
        <x:f>IF(OR(R1277&lt;=0,AC1277&lt;B1277,H1277="Unknown",M1277="Unknown Product"),"Review","Valid")</x:f>
        <x:v>Valid</x:v>
      </x:c>
      <x:c r="AG1277" s="84" t="n">
        <x:f>IF(AND(AE1277="Keep",AF1277="Valid"),1,0)</x:f>
        <x:v>1</x:v>
      </x:c>
      <x:c r="AH1277" s="84" t="n">
        <x:f>IF(AND(AG1277=1,OR('Dashboard'!$B$4="All",I1277='Dashboard'!$B$4),OR('Dashboard'!$E$4="All",N1277='Dashboard'!$E$4),OR('Dashboard'!$H$4="All",K1277='Dashboard'!$H$4),OR('Dashboard'!$K$4="All",C1277='Dashboard'!$K$4)),1,0)</x:f>
        <x:v>1</x:v>
      </x:c>
      <x:c r="AI1277" s="84" t="n">
        <x:f>IF(AND(AG1277=1,OR('Dashboard'!$B$4="All",I1277='Dashboard'!$B$4),OR('Dashboard'!$E$4="All",N1277='Dashboard'!$E$4),OR('Dashboard'!$H$4="All",K1277='Dashboard'!$H$4)),1,0)</x:f>
        <x:v>1</x:v>
      </x:c>
    </x:row>
    <x:row r="1278">
      <x:c r="A1278" s="84" t="str">
        <x:f>'Raw Sales'!A1278</x:f>
        <x:v>ORD-2025-02353</x:v>
      </x:c>
      <x:c r="B1278" s="85" t="n">
        <x:f>'Raw Sales'!B1278</x:f>
        <x:v>45710</x:v>
      </x:c>
      <x:c r="C1278" s="84" t="n">
        <x:f>YEAR(B1278)</x:f>
        <x:v>2025</x:v>
      </x:c>
      <x:c r="D1278" s="91" t="n">
        <x:f>DATE(YEAR(B1278),MONTH(B1278),1)</x:f>
        <x:v>45689</x:v>
      </x:c>
      <x:c r="E1278" s="84" t="str">
        <x:f>TEXT(B1278,"mmm")</x:f>
        <x:v>Feb</x:v>
      </x:c>
      <x:c r="F1278" s="84" t="str">
        <x:f>'Raw Sales'!C1278</x:f>
        <x:v>CUST-0028</x:v>
      </x:c>
      <x:c r="G1278" s="84" t="str">
        <x:f>PROPER(TRIM('Raw Sales'!D1278))</x:f>
        <x:v>Theo Roberts</x:v>
      </x:c>
      <x:c r="H1278" s="84" t="str">
        <x:f>IF(TRIM('Raw Sales'!E1278)="","Unknown",PROPER(TRIM('Raw Sales'!E1278)))</x:f>
        <x:v>Consumer</x:v>
      </x:c>
      <x:c r="I1278" s="84" t="str">
        <x:f>PROPER(TRIM('Raw Sales'!F1278))</x:f>
        <x:v>Northeast</x:v>
      </x:c>
      <x:c r="J1278" s="84" t="str">
        <x:f>PROPER(TRIM('Raw Sales'!G1278))</x:f>
        <x:v>Newark</x:v>
      </x:c>
      <x:c r="K1278" s="84" t="str">
        <x:f>PROPER(TRIM('Raw Sales'!H1278))</x:f>
        <x:v>Marketplace</x:v>
      </x:c>
      <x:c r="L1278" s="84" t="str">
        <x:f>'Raw Sales'!I1278</x:f>
        <x:v>ELEC-003</x:v>
      </x:c>
      <x:c r="M1278" s="84" t="str">
        <x:f>IFERROR(VLOOKUP(L1278,'Reference Data'!$A$5:$F$40,2,FALSE),"Unknown Product")</x:f>
        <x:v>Bluetooth Speaker</x:v>
      </x:c>
      <x:c r="N1278" s="84" t="str">
        <x:f>IFERROR(VLOOKUP(L1278,'Reference Data'!$A$5:$F$40,3,FALSE),"Unknown")</x:f>
        <x:v>Electronics</x:v>
      </x:c>
      <x:c r="O1278" s="84" t="str">
        <x:f>IFERROR(VLOOKUP(L1278,'Reference Data'!$A$5:$F$40,4,FALSE),"Unknown")</x:f>
        <x:v>Audio</x:v>
      </x:c>
      <x:c r="P1278" s="92" t="n">
        <x:f>IFERROR(VLOOKUP(L1278,'Reference Data'!$A$5:$F$40,5,FALSE),0)</x:f>
        <x:v>89</x:v>
      </x:c>
      <x:c r="Q1278" s="92" t="n">
        <x:f>IFERROR(VLOOKUP(L1278,'Reference Data'!$A$5:$F$40,6,FALSE),0)</x:f>
        <x:v>44</x:v>
      </x:c>
      <x:c r="R1278" s="84" t="n">
        <x:f>'Raw Sales'!J1278</x:f>
        <x:v>4</x:v>
      </x:c>
      <x:c r="S1278" s="87" t="n">
        <x:f>'Raw Sales'!K1278</x:f>
        <x:v>0.1</x:v>
      </x:c>
      <x:c r="T1278" s="93" t="n">
        <x:f>P1278*R1278</x:f>
        <x:v>356</x:v>
      </x:c>
      <x:c r="U1278" s="93" t="n">
        <x:f>T1278*S1278</x:f>
        <x:v>35.6</x:v>
      </x:c>
      <x:c r="V1278" s="93" t="str">
        <x:f>PROPER(TRIM('Raw Sales'!L1278))</x:f>
        <x:v>Completed</x:v>
      </x:c>
      <x:c r="W1278" s="93" t="n">
        <x:f>IF(V1278="Returned",0,T1278-U1278)</x:f>
        <x:v>320.4</x:v>
      </x:c>
      <x:c r="X1278" s="93" t="n">
        <x:f>IF(V1278="Returned",Q1278*R1278*10%,Q1278*R1278)</x:f>
        <x:v>176</x:v>
      </x:c>
      <x:c r="Y1278" s="93" t="n">
        <x:f>W1278-X1278</x:f>
        <x:v>144.39999999999998</x:v>
      </x:c>
      <x:c r="Z1278" s="94" t="n">
        <x:f>IFERROR(Y1278/W1278,0)</x:f>
        <x:v>0.4506866416978776</x:v>
      </x:c>
      <x:c r="AA1278" s="84" t="str">
        <x:f>PROPER(TRIM('Raw Sales'!M1278))</x:f>
        <x:v>Credit Card</x:v>
      </x:c>
      <x:c r="AB1278" s="84" t="str">
        <x:f>PROPER(TRIM('Raw Sales'!N1278))</x:f>
        <x:v>Sofia Bennett</x:v>
      </x:c>
      <x:c r="AC1278" s="85" t="n">
        <x:f>'Raw Sales'!O1278</x:f>
        <x:v>45714</x:v>
      </x:c>
      <x:c r="AD1278" s="84" t="n">
        <x:f>AC1278-B1278</x:f>
        <x:v>4</x:v>
      </x:c>
      <x:c r="AE1278" s="84" t="str">
        <x:f>IF(COUNTIF($A$5:A1278,A1278)&gt;1,"Duplicate","Keep")</x:f>
        <x:v>Keep</x:v>
      </x:c>
      <x:c r="AF1278" s="84" t="str">
        <x:f>IF(OR(R1278&lt;=0,AC1278&lt;B1278,H1278="Unknown",M1278="Unknown Product"),"Review","Valid")</x:f>
        <x:v>Valid</x:v>
      </x:c>
      <x:c r="AG1278" s="84" t="n">
        <x:f>IF(AND(AE1278="Keep",AF1278="Valid"),1,0)</x:f>
        <x:v>1</x:v>
      </x:c>
      <x:c r="AH1278" s="84" t="n">
        <x:f>IF(AND(AG1278=1,OR('Dashboard'!$B$4="All",I1278='Dashboard'!$B$4),OR('Dashboard'!$E$4="All",N1278='Dashboard'!$E$4),OR('Dashboard'!$H$4="All",K1278='Dashboard'!$H$4),OR('Dashboard'!$K$4="All",C1278='Dashboard'!$K$4)),1,0)</x:f>
        <x:v>1</x:v>
      </x:c>
      <x:c r="AI1278" s="84" t="n">
        <x:f>IF(AND(AG1278=1,OR('Dashboard'!$B$4="All",I1278='Dashboard'!$B$4),OR('Dashboard'!$E$4="All",N1278='Dashboard'!$E$4),OR('Dashboard'!$H$4="All",K1278='Dashboard'!$H$4)),1,0)</x:f>
        <x:v>1</x:v>
      </x:c>
    </x:row>
    <x:row r="1279">
      <x:c r="A1279" s="84" t="str">
        <x:f>'Raw Sales'!A1279</x:f>
        <x:v>ORD-2025-00669</x:v>
      </x:c>
      <x:c r="B1279" s="85" t="n">
        <x:f>'Raw Sales'!B1279</x:f>
        <x:v>45712</x:v>
      </x:c>
      <x:c r="C1279" s="84" t="n">
        <x:f>YEAR(B1279)</x:f>
        <x:v>2025</x:v>
      </x:c>
      <x:c r="D1279" s="91" t="n">
        <x:f>DATE(YEAR(B1279),MONTH(B1279),1)</x:f>
        <x:v>45689</x:v>
      </x:c>
      <x:c r="E1279" s="84" t="str">
        <x:f>TEXT(B1279,"mmm")</x:f>
        <x:v>Feb</x:v>
      </x:c>
      <x:c r="F1279" s="84" t="str">
        <x:f>'Raw Sales'!C1279</x:f>
        <x:v>CUST-0086</x:v>
      </x:c>
      <x:c r="G1279" s="84" t="str">
        <x:f>PROPER(TRIM('Raw Sales'!D1279))</x:f>
        <x:v>Priya Roberts</x:v>
      </x:c>
      <x:c r="H1279" s="84" t="str">
        <x:f>IF(TRIM('Raw Sales'!E1279)="","Unknown",PROPER(TRIM('Raw Sales'!E1279)))</x:f>
        <x:v>Corporate</x:v>
      </x:c>
      <x:c r="I1279" s="84" t="str">
        <x:f>PROPER(TRIM('Raw Sales'!F1279))</x:f>
        <x:v>Northeast</x:v>
      </x:c>
      <x:c r="J1279" s="84" t="str">
        <x:f>PROPER(TRIM('Raw Sales'!G1279))</x:f>
        <x:v>Philadelphia</x:v>
      </x:c>
      <x:c r="K1279" s="84" t="str">
        <x:f>PROPER(TRIM('Raw Sales'!H1279))</x:f>
        <x:v>Online</x:v>
      </x:c>
      <x:c r="L1279" s="84" t="str">
        <x:f>'Raw Sales'!I1279</x:f>
        <x:v>CARE-004</x:v>
      </x:c>
      <x:c r="M1279" s="84" t="str">
        <x:f>IFERROR(VLOOKUP(L1279,'Reference Data'!$A$5:$F$40,2,FALSE),"Unknown Product")</x:f>
        <x:v>Electric Toothbrush</x:v>
      </x:c>
      <x:c r="N1279" s="84" t="str">
        <x:f>IFERROR(VLOOKUP(L1279,'Reference Data'!$A$5:$F$40,3,FALSE),"Unknown")</x:f>
        <x:v>Personal Care</x:v>
      </x:c>
      <x:c r="O1279" s="84" t="str">
        <x:f>IFERROR(VLOOKUP(L1279,'Reference Data'!$A$5:$F$40,4,FALSE),"Unknown")</x:f>
        <x:v>Oral Care</x:v>
      </x:c>
      <x:c r="P1279" s="92" t="n">
        <x:f>IFERROR(VLOOKUP(L1279,'Reference Data'!$A$5:$F$40,5,FALSE),0)</x:f>
        <x:v>69</x:v>
      </x:c>
      <x:c r="Q1279" s="92" t="n">
        <x:f>IFERROR(VLOOKUP(L1279,'Reference Data'!$A$5:$F$40,6,FALSE),0)</x:f>
        <x:v>31</x:v>
      </x:c>
      <x:c r="R1279" s="84" t="n">
        <x:f>'Raw Sales'!J1279</x:f>
        <x:v>3</x:v>
      </x:c>
      <x:c r="S1279" s="87" t="n">
        <x:f>'Raw Sales'!K1279</x:f>
        <x:v>0</x:v>
      </x:c>
      <x:c r="T1279" s="93" t="n">
        <x:f>P1279*R1279</x:f>
        <x:v>207</x:v>
      </x:c>
      <x:c r="U1279" s="93" t="n">
        <x:f>T1279*S1279</x:f>
        <x:v>0</x:v>
      </x:c>
      <x:c r="V1279" s="93" t="str">
        <x:f>PROPER(TRIM('Raw Sales'!L1279))</x:f>
        <x:v>Completed</x:v>
      </x:c>
      <x:c r="W1279" s="93" t="n">
        <x:f>IF(V1279="Returned",0,T1279-U1279)</x:f>
        <x:v>207</x:v>
      </x:c>
      <x:c r="X1279" s="93" t="n">
        <x:f>IF(V1279="Returned",Q1279*R1279*10%,Q1279*R1279)</x:f>
        <x:v>93</x:v>
      </x:c>
      <x:c r="Y1279" s="93" t="n">
        <x:f>W1279-X1279</x:f>
        <x:v>114</x:v>
      </x:c>
      <x:c r="Z1279" s="94" t="n">
        <x:f>IFERROR(Y1279/W1279,0)</x:f>
        <x:v>0.5507246376811594</x:v>
      </x:c>
      <x:c r="AA1279" s="84" t="str">
        <x:f>PROPER(TRIM('Raw Sales'!M1279))</x:f>
        <x:v>Paypal</x:v>
      </x:c>
      <x:c r="AB1279" s="84" t="str">
        <x:f>PROPER(TRIM('Raw Sales'!N1279))</x:f>
        <x:v>Sofia Bennett</x:v>
      </x:c>
      <x:c r="AC1279" s="85" t="n">
        <x:f>'Raw Sales'!O1279</x:f>
        <x:v>45717</x:v>
      </x:c>
      <x:c r="AD1279" s="84" t="n">
        <x:f>AC1279-B1279</x:f>
        <x:v>5</x:v>
      </x:c>
      <x:c r="AE1279" s="84" t="str">
        <x:f>IF(COUNTIF($A$5:A1279,A1279)&gt;1,"Duplicate","Keep")</x:f>
        <x:v>Keep</x:v>
      </x:c>
      <x:c r="AF1279" s="84" t="str">
        <x:f>IF(OR(R1279&lt;=0,AC1279&lt;B1279,H1279="Unknown",M1279="Unknown Product"),"Review","Valid")</x:f>
        <x:v>Valid</x:v>
      </x:c>
      <x:c r="AG1279" s="84" t="n">
        <x:f>IF(AND(AE1279="Keep",AF1279="Valid"),1,0)</x:f>
        <x:v>1</x:v>
      </x:c>
      <x:c r="AH1279" s="84" t="n">
        <x:f>IF(AND(AG1279=1,OR('Dashboard'!$B$4="All",I1279='Dashboard'!$B$4),OR('Dashboard'!$E$4="All",N1279='Dashboard'!$E$4),OR('Dashboard'!$H$4="All",K1279='Dashboard'!$H$4),OR('Dashboard'!$K$4="All",C1279='Dashboard'!$K$4)),1,0)</x:f>
        <x:v>1</x:v>
      </x:c>
      <x:c r="AI1279" s="84" t="n">
        <x:f>IF(AND(AG1279=1,OR('Dashboard'!$B$4="All",I1279='Dashboard'!$B$4),OR('Dashboard'!$E$4="All",N1279='Dashboard'!$E$4),OR('Dashboard'!$H$4="All",K1279='Dashboard'!$H$4)),1,0)</x:f>
        <x:v>1</x:v>
      </x:c>
    </x:row>
    <x:row r="1280">
      <x:c r="A1280" s="84" t="str">
        <x:f>'Raw Sales'!A1280</x:f>
        <x:v>ORD-2025-00700</x:v>
      </x:c>
      <x:c r="B1280" s="85" t="n">
        <x:f>'Raw Sales'!B1280</x:f>
        <x:v>45712</x:v>
      </x:c>
      <x:c r="C1280" s="84" t="n">
        <x:f>YEAR(B1280)</x:f>
        <x:v>2025</x:v>
      </x:c>
      <x:c r="D1280" s="91" t="n">
        <x:f>DATE(YEAR(B1280),MONTH(B1280),1)</x:f>
        <x:v>45689</x:v>
      </x:c>
      <x:c r="E1280" s="84" t="str">
        <x:f>TEXT(B1280,"mmm")</x:f>
        <x:v>Feb</x:v>
      </x:c>
      <x:c r="F1280" s="84" t="str">
        <x:f>'Raw Sales'!C1280</x:f>
        <x:v>CUST-0031</x:v>
      </x:c>
      <x:c r="G1280" s="84" t="str">
        <x:f>PROPER(TRIM('Raw Sales'!D1280))</x:f>
        <x:v>Theo Smith</x:v>
      </x:c>
      <x:c r="H1280" s="84" t="str">
        <x:f>IF(TRIM('Raw Sales'!E1280)="","Unknown",PROPER(TRIM('Raw Sales'!E1280)))</x:f>
        <x:v>Consumer</x:v>
      </x:c>
      <x:c r="I1280" s="84" t="str">
        <x:f>PROPER(TRIM('Raw Sales'!F1280))</x:f>
        <x:v>Southeast</x:v>
      </x:c>
      <x:c r="J1280" s="84" t="str">
        <x:f>PROPER(TRIM('Raw Sales'!G1280))</x:f>
        <x:v>Atlanta</x:v>
      </x:c>
      <x:c r="K1280" s="84" t="str">
        <x:f>PROPER(TRIM('Raw Sales'!H1280))</x:f>
        <x:v>Marketplace</x:v>
      </x:c>
      <x:c r="L1280" s="84" t="str">
        <x:f>'Raw Sales'!I1280</x:f>
        <x:v>ELEC-006</x:v>
      </x:c>
      <x:c r="M1280" s="84" t="str">
        <x:f>IFERROR(VLOOKUP(L1280,'Reference Data'!$A$5:$F$40,2,FALSE),"Unknown Product")</x:f>
        <x:v>Portable SSD</x:v>
      </x:c>
      <x:c r="N1280" s="84" t="str">
        <x:f>IFERROR(VLOOKUP(L1280,'Reference Data'!$A$5:$F$40,3,FALSE),"Unknown")</x:f>
        <x:v>Electronics</x:v>
      </x:c>
      <x:c r="O1280" s="84" t="str">
        <x:f>IFERROR(VLOOKUP(L1280,'Reference Data'!$A$5:$F$40,4,FALSE),"Unknown")</x:f>
        <x:v>Storage</x:v>
      </x:c>
      <x:c r="P1280" s="92" t="n">
        <x:f>IFERROR(VLOOKUP(L1280,'Reference Data'!$A$5:$F$40,5,FALSE),0)</x:f>
        <x:v>129</x:v>
      </x:c>
      <x:c r="Q1280" s="92" t="n">
        <x:f>IFERROR(VLOOKUP(L1280,'Reference Data'!$A$5:$F$40,6,FALSE),0)</x:f>
        <x:v>75</x:v>
      </x:c>
      <x:c r="R1280" s="84" t="n">
        <x:f>'Raw Sales'!J1280</x:f>
        <x:v>3</x:v>
      </x:c>
      <x:c r="S1280" s="87" t="n">
        <x:f>'Raw Sales'!K1280</x:f>
        <x:v>0.15</x:v>
      </x:c>
      <x:c r="T1280" s="93" t="n">
        <x:f>P1280*R1280</x:f>
        <x:v>387</x:v>
      </x:c>
      <x:c r="U1280" s="93" t="n">
        <x:f>T1280*S1280</x:f>
        <x:v>58.05</x:v>
      </x:c>
      <x:c r="V1280" s="93" t="str">
        <x:f>PROPER(TRIM('Raw Sales'!L1280))</x:f>
        <x:v>Completed</x:v>
      </x:c>
      <x:c r="W1280" s="93" t="n">
        <x:f>IF(V1280="Returned",0,T1280-U1280)</x:f>
        <x:v>328.95</x:v>
      </x:c>
      <x:c r="X1280" s="93" t="n">
        <x:f>IF(V1280="Returned",Q1280*R1280*10%,Q1280*R1280)</x:f>
        <x:v>225</x:v>
      </x:c>
      <x:c r="Y1280" s="93" t="n">
        <x:f>W1280-X1280</x:f>
        <x:v>103.94999999999999</x:v>
      </x:c>
      <x:c r="Z1280" s="94" t="n">
        <x:f>IFERROR(Y1280/W1280,0)</x:f>
        <x:v>0.3160054719562243</x:v>
      </x:c>
      <x:c r="AA1280" s="84" t="str">
        <x:f>PROPER(TRIM('Raw Sales'!M1280))</x:f>
        <x:v>Credit Card</x:v>
      </x:c>
      <x:c r="AB1280" s="84" t="str">
        <x:f>PROPER(TRIM('Raw Sales'!N1280))</x:f>
        <x:v>Ava Mitchell</x:v>
      </x:c>
      <x:c r="AC1280" s="85" t="n">
        <x:f>'Raw Sales'!O1280</x:f>
        <x:v>45718</x:v>
      </x:c>
      <x:c r="AD1280" s="84" t="n">
        <x:f>AC1280-B1280</x:f>
        <x:v>6</x:v>
      </x:c>
      <x:c r="AE1280" s="84" t="str">
        <x:f>IF(COUNTIF($A$5:A1280,A1280)&gt;1,"Duplicate","Keep")</x:f>
        <x:v>Keep</x:v>
      </x:c>
      <x:c r="AF1280" s="84" t="str">
        <x:f>IF(OR(R1280&lt;=0,AC1280&lt;B1280,H1280="Unknown",M1280="Unknown Product"),"Review","Valid")</x:f>
        <x:v>Valid</x:v>
      </x:c>
      <x:c r="AG1280" s="84" t="n">
        <x:f>IF(AND(AE1280="Keep",AF1280="Valid"),1,0)</x:f>
        <x:v>1</x:v>
      </x:c>
      <x:c r="AH1280" s="84" t="n">
        <x:f>IF(AND(AG1280=1,OR('Dashboard'!$B$4="All",I1280='Dashboard'!$B$4),OR('Dashboard'!$E$4="All",N1280='Dashboard'!$E$4),OR('Dashboard'!$H$4="All",K1280='Dashboard'!$H$4),OR('Dashboard'!$K$4="All",C1280='Dashboard'!$K$4)),1,0)</x:f>
        <x:v>1</x:v>
      </x:c>
      <x:c r="AI1280" s="84" t="n">
        <x:f>IF(AND(AG1280=1,OR('Dashboard'!$B$4="All",I1280='Dashboard'!$B$4),OR('Dashboard'!$E$4="All",N1280='Dashboard'!$E$4),OR('Dashboard'!$H$4="All",K1280='Dashboard'!$H$4)),1,0)</x:f>
        <x:v>1</x:v>
      </x:c>
    </x:row>
    <x:row r="1281">
      <x:c r="A1281" s="84" t="str">
        <x:f>'Raw Sales'!A1281</x:f>
        <x:v>ORD-2025-00866</x:v>
      </x:c>
      <x:c r="B1281" s="85" t="n">
        <x:f>'Raw Sales'!B1281</x:f>
        <x:v>45712</x:v>
      </x:c>
      <x:c r="C1281" s="84" t="n">
        <x:f>YEAR(B1281)</x:f>
        <x:v>2025</x:v>
      </x:c>
      <x:c r="D1281" s="91" t="n">
        <x:f>DATE(YEAR(B1281),MONTH(B1281),1)</x:f>
        <x:v>45689</x:v>
      </x:c>
      <x:c r="E1281" s="84" t="str">
        <x:f>TEXT(B1281,"mmm")</x:f>
        <x:v>Feb</x:v>
      </x:c>
      <x:c r="F1281" s="84" t="str">
        <x:f>'Raw Sales'!C1281</x:f>
        <x:v>CUST-0537</x:v>
      </x:c>
      <x:c r="G1281" s="84" t="str">
        <x:f>PROPER(TRIM('Raw Sales'!D1281))</x:f>
        <x:v>Grace Young</x:v>
      </x:c>
      <x:c r="H1281" s="84" t="str">
        <x:f>IF(TRIM('Raw Sales'!E1281)="","Unknown",PROPER(TRIM('Raw Sales'!E1281)))</x:f>
        <x:v>Consumer</x:v>
      </x:c>
      <x:c r="I1281" s="84" t="str">
        <x:f>PROPER(TRIM('Raw Sales'!F1281))</x:f>
        <x:v>Northeast</x:v>
      </x:c>
      <x:c r="J1281" s="84" t="str">
        <x:f>PROPER(TRIM('Raw Sales'!G1281))</x:f>
        <x:v>Philadelphia</x:v>
      </x:c>
      <x:c r="K1281" s="84" t="str">
        <x:f>PROPER(TRIM('Raw Sales'!H1281))</x:f>
        <x:v>Marketplace</x:v>
      </x:c>
      <x:c r="L1281" s="84" t="str">
        <x:f>'Raw Sales'!I1281</x:f>
        <x:v>CARE-002</x:v>
      </x:c>
      <x:c r="M1281" s="84" t="str">
        <x:f>IFERROR(VLOOKUP(L1281,'Reference Data'!$A$5:$F$40,2,FALSE),"Unknown Product")</x:f>
        <x:v>Rechargeable Trimmer</x:v>
      </x:c>
      <x:c r="N1281" s="84" t="str">
        <x:f>IFERROR(VLOOKUP(L1281,'Reference Data'!$A$5:$F$40,3,FALSE),"Unknown")</x:f>
        <x:v>Personal Care</x:v>
      </x:c>
      <x:c r="O1281" s="84" t="str">
        <x:f>IFERROR(VLOOKUP(L1281,'Reference Data'!$A$5:$F$40,4,FALSE),"Unknown")</x:f>
        <x:v>Grooming</x:v>
      </x:c>
      <x:c r="P1281" s="92" t="n">
        <x:f>IFERROR(VLOOKUP(L1281,'Reference Data'!$A$5:$F$40,5,FALSE),0)</x:f>
        <x:v>45</x:v>
      </x:c>
      <x:c r="Q1281" s="92" t="n">
        <x:f>IFERROR(VLOOKUP(L1281,'Reference Data'!$A$5:$F$40,6,FALSE),0)</x:f>
        <x:v>19</x:v>
      </x:c>
      <x:c r="R1281" s="84" t="n">
        <x:f>'Raw Sales'!J1281</x:f>
        <x:v>1</x:v>
      </x:c>
      <x:c r="S1281" s="87" t="n">
        <x:f>'Raw Sales'!K1281</x:f>
        <x:v>0.15</x:v>
      </x:c>
      <x:c r="T1281" s="93" t="n">
        <x:f>P1281*R1281</x:f>
        <x:v>45</x:v>
      </x:c>
      <x:c r="U1281" s="93" t="n">
        <x:f>T1281*S1281</x:f>
        <x:v>6.75</x:v>
      </x:c>
      <x:c r="V1281" s="93" t="str">
        <x:f>PROPER(TRIM('Raw Sales'!L1281))</x:f>
        <x:v>Completed</x:v>
      </x:c>
      <x:c r="W1281" s="93" t="n">
        <x:f>IF(V1281="Returned",0,T1281-U1281)</x:f>
        <x:v>38.25</x:v>
      </x:c>
      <x:c r="X1281" s="93" t="n">
        <x:f>IF(V1281="Returned",Q1281*R1281*10%,Q1281*R1281)</x:f>
        <x:v>19</x:v>
      </x:c>
      <x:c r="Y1281" s="93" t="n">
        <x:f>W1281-X1281</x:f>
        <x:v>19.25</x:v>
      </x:c>
      <x:c r="Z1281" s="94" t="n">
        <x:f>IFERROR(Y1281/W1281,0)</x:f>
        <x:v>0.5032679738562091</x:v>
      </x:c>
      <x:c r="AA1281" s="84" t="str">
        <x:f>PROPER(TRIM('Raw Sales'!M1281))</x:f>
        <x:v>Paypal</x:v>
      </x:c>
      <x:c r="AB1281" s="84" t="str">
        <x:f>PROPER(TRIM('Raw Sales'!N1281))</x:f>
        <x:v>Sofia Bennett</x:v>
      </x:c>
      <x:c r="AC1281" s="85" t="n">
        <x:f>'Raw Sales'!O1281</x:f>
        <x:v>45718</x:v>
      </x:c>
      <x:c r="AD1281" s="84" t="n">
        <x:f>AC1281-B1281</x:f>
        <x:v>6</x:v>
      </x:c>
      <x:c r="AE1281" s="84" t="str">
        <x:f>IF(COUNTIF($A$5:A1281,A1281)&gt;1,"Duplicate","Keep")</x:f>
        <x:v>Keep</x:v>
      </x:c>
      <x:c r="AF1281" s="84" t="str">
        <x:f>IF(OR(R1281&lt;=0,AC1281&lt;B1281,H1281="Unknown",M1281="Unknown Product"),"Review","Valid")</x:f>
        <x:v>Valid</x:v>
      </x:c>
      <x:c r="AG1281" s="84" t="n">
        <x:f>IF(AND(AE1281="Keep",AF1281="Valid"),1,0)</x:f>
        <x:v>1</x:v>
      </x:c>
      <x:c r="AH1281" s="84" t="n">
        <x:f>IF(AND(AG1281=1,OR('Dashboard'!$B$4="All",I1281='Dashboard'!$B$4),OR('Dashboard'!$E$4="All",N1281='Dashboard'!$E$4),OR('Dashboard'!$H$4="All",K1281='Dashboard'!$H$4),OR('Dashboard'!$K$4="All",C1281='Dashboard'!$K$4)),1,0)</x:f>
        <x:v>1</x:v>
      </x:c>
      <x:c r="AI1281" s="84" t="n">
        <x:f>IF(AND(AG1281=1,OR('Dashboard'!$B$4="All",I1281='Dashboard'!$B$4),OR('Dashboard'!$E$4="All",N1281='Dashboard'!$E$4),OR('Dashboard'!$H$4="All",K1281='Dashboard'!$H$4)),1,0)</x:f>
        <x:v>1</x:v>
      </x:c>
    </x:row>
    <x:row r="1282">
      <x:c r="A1282" s="84" t="str">
        <x:f>'Raw Sales'!A1282</x:f>
        <x:v>ORD-2025-00940</x:v>
      </x:c>
      <x:c r="B1282" s="85" t="n">
        <x:f>'Raw Sales'!B1282</x:f>
        <x:v>45712</x:v>
      </x:c>
      <x:c r="C1282" s="84" t="n">
        <x:f>YEAR(B1282)</x:f>
        <x:v>2025</x:v>
      </x:c>
      <x:c r="D1282" s="91" t="n">
        <x:f>DATE(YEAR(B1282),MONTH(B1282),1)</x:f>
        <x:v>45689</x:v>
      </x:c>
      <x:c r="E1282" s="84" t="str">
        <x:f>TEXT(B1282,"mmm")</x:f>
        <x:v>Feb</x:v>
      </x:c>
      <x:c r="F1282" s="84" t="str">
        <x:f>'Raw Sales'!C1282</x:f>
        <x:v>CUST-0603</x:v>
      </x:c>
      <x:c r="G1282" s="84" t="str">
        <x:f>PROPER(TRIM('Raw Sales'!D1282))</x:f>
        <x:v>Elias Roberts</x:v>
      </x:c>
      <x:c r="H1282" s="84" t="str">
        <x:f>IF(TRIM('Raw Sales'!E1282)="","Unknown",PROPER(TRIM('Raw Sales'!E1282)))</x:f>
        <x:v>Consumer</x:v>
      </x:c>
      <x:c r="I1282" s="84" t="str">
        <x:f>PROPER(TRIM('Raw Sales'!F1282))</x:f>
        <x:v>Northeast</x:v>
      </x:c>
      <x:c r="J1282" s="84" t="str">
        <x:f>PROPER(TRIM('Raw Sales'!G1282))</x:f>
        <x:v>Newark</x:v>
      </x:c>
      <x:c r="K1282" s="84" t="str">
        <x:f>PROPER(TRIM('Raw Sales'!H1282))</x:f>
        <x:v>Online</x:v>
      </x:c>
      <x:c r="L1282" s="84" t="str">
        <x:f>'Raw Sales'!I1282</x:f>
        <x:v>ELEC-002</x:v>
      </x:c>
      <x:c r="M1282" s="84" t="str">
        <x:f>IFERROR(VLOOKUP(L1282,'Reference Data'!$A$5:$F$40,2,FALSE),"Unknown Product")</x:f>
        <x:v>Smartwatch</x:v>
      </x:c>
      <x:c r="N1282" s="84" t="str">
        <x:f>IFERROR(VLOOKUP(L1282,'Reference Data'!$A$5:$F$40,3,FALSE),"Unknown")</x:f>
        <x:v>Electronics</x:v>
      </x:c>
      <x:c r="O1282" s="84" t="str">
        <x:f>IFERROR(VLOOKUP(L1282,'Reference Data'!$A$5:$F$40,4,FALSE),"Unknown")</x:f>
        <x:v>Wearables</x:v>
      </x:c>
      <x:c r="P1282" s="92" t="n">
        <x:f>IFERROR(VLOOKUP(L1282,'Reference Data'!$A$5:$F$40,5,FALSE),0)</x:f>
        <x:v>159</x:v>
      </x:c>
      <x:c r="Q1282" s="92" t="n">
        <x:f>IFERROR(VLOOKUP(L1282,'Reference Data'!$A$5:$F$40,6,FALSE),0)</x:f>
        <x:v>92</x:v>
      </x:c>
      <x:c r="R1282" s="84" t="n">
        <x:f>'Raw Sales'!J1282</x:f>
        <x:v>3</x:v>
      </x:c>
      <x:c r="S1282" s="87" t="n">
        <x:f>'Raw Sales'!K1282</x:f>
        <x:v>0</x:v>
      </x:c>
      <x:c r="T1282" s="93" t="n">
        <x:f>P1282*R1282</x:f>
        <x:v>477</x:v>
      </x:c>
      <x:c r="U1282" s="93" t="n">
        <x:f>T1282*S1282</x:f>
        <x:v>0</x:v>
      </x:c>
      <x:c r="V1282" s="93" t="str">
        <x:f>PROPER(TRIM('Raw Sales'!L1282))</x:f>
        <x:v>Completed</x:v>
      </x:c>
      <x:c r="W1282" s="93" t="n">
        <x:f>IF(V1282="Returned",0,T1282-U1282)</x:f>
        <x:v>477</x:v>
      </x:c>
      <x:c r="X1282" s="93" t="n">
        <x:f>IF(V1282="Returned",Q1282*R1282*10%,Q1282*R1282)</x:f>
        <x:v>276</x:v>
      </x:c>
      <x:c r="Y1282" s="93" t="n">
        <x:f>W1282-X1282</x:f>
        <x:v>201</x:v>
      </x:c>
      <x:c r="Z1282" s="94" t="n">
        <x:f>IFERROR(Y1282/W1282,0)</x:f>
        <x:v>0.42138364779874216</x:v>
      </x:c>
      <x:c r="AA1282" s="84" t="str">
        <x:f>PROPER(TRIM('Raw Sales'!M1282))</x:f>
        <x:v>Mobile Wallet</x:v>
      </x:c>
      <x:c r="AB1282" s="84" t="str">
        <x:f>PROPER(TRIM('Raw Sales'!N1282))</x:f>
        <x:v>Ethan Cole</x:v>
      </x:c>
      <x:c r="AC1282" s="85" t="n">
        <x:f>'Raw Sales'!O1282</x:f>
        <x:v>45715</x:v>
      </x:c>
      <x:c r="AD1282" s="84" t="n">
        <x:f>AC1282-B1282</x:f>
        <x:v>3</x:v>
      </x:c>
      <x:c r="AE1282" s="84" t="str">
        <x:f>IF(COUNTIF($A$5:A1282,A1282)&gt;1,"Duplicate","Keep")</x:f>
        <x:v>Keep</x:v>
      </x:c>
      <x:c r="AF1282" s="84" t="str">
        <x:f>IF(OR(R1282&lt;=0,AC1282&lt;B1282,H1282="Unknown",M1282="Unknown Product"),"Review","Valid")</x:f>
        <x:v>Valid</x:v>
      </x:c>
      <x:c r="AG1282" s="84" t="n">
        <x:f>IF(AND(AE1282="Keep",AF1282="Valid"),1,0)</x:f>
        <x:v>1</x:v>
      </x:c>
      <x:c r="AH1282" s="84" t="n">
        <x:f>IF(AND(AG1282=1,OR('Dashboard'!$B$4="All",I1282='Dashboard'!$B$4),OR('Dashboard'!$E$4="All",N1282='Dashboard'!$E$4),OR('Dashboard'!$H$4="All",K1282='Dashboard'!$H$4),OR('Dashboard'!$K$4="All",C1282='Dashboard'!$K$4)),1,0)</x:f>
        <x:v>1</x:v>
      </x:c>
      <x:c r="AI1282" s="84" t="n">
        <x:f>IF(AND(AG1282=1,OR('Dashboard'!$B$4="All",I1282='Dashboard'!$B$4),OR('Dashboard'!$E$4="All",N1282='Dashboard'!$E$4),OR('Dashboard'!$H$4="All",K1282='Dashboard'!$H$4)),1,0)</x:f>
        <x:v>1</x:v>
      </x:c>
    </x:row>
    <x:row r="1283">
      <x:c r="A1283" s="84" t="str">
        <x:f>'Raw Sales'!A1283</x:f>
        <x:v>ORD-2025-01212</x:v>
      </x:c>
      <x:c r="B1283" s="85" t="n">
        <x:f>'Raw Sales'!B1283</x:f>
        <x:v>45712</x:v>
      </x:c>
      <x:c r="C1283" s="84" t="n">
        <x:f>YEAR(B1283)</x:f>
        <x:v>2025</x:v>
      </x:c>
      <x:c r="D1283" s="91" t="n">
        <x:f>DATE(YEAR(B1283),MONTH(B1283),1)</x:f>
        <x:v>45689</x:v>
      </x:c>
      <x:c r="E1283" s="84" t="str">
        <x:f>TEXT(B1283,"mmm")</x:f>
        <x:v>Feb</x:v>
      </x:c>
      <x:c r="F1283" s="84" t="str">
        <x:f>'Raw Sales'!C1283</x:f>
        <x:v>CUST-0051</x:v>
      </x:c>
      <x:c r="G1283" s="84" t="str">
        <x:f>PROPER(TRIM('Raw Sales'!D1283))</x:f>
        <x:v>Marcus Moore</x:v>
      </x:c>
      <x:c r="H1283" s="84" t="str">
        <x:f>IF(TRIM('Raw Sales'!E1283)="","Unknown",PROPER(TRIM('Raw Sales'!E1283)))</x:f>
        <x:v>Consumer</x:v>
      </x:c>
      <x:c r="I1283" s="84" t="str">
        <x:f>PROPER(TRIM('Raw Sales'!F1283))</x:f>
        <x:v>West</x:v>
      </x:c>
      <x:c r="J1283" s="84" t="str">
        <x:f>PROPER(TRIM('Raw Sales'!G1283))</x:f>
        <x:v>Seattle</x:v>
      </x:c>
      <x:c r="K1283" s="84" t="str">
        <x:f>PROPER(TRIM('Raw Sales'!H1283))</x:f>
        <x:v>Online</x:v>
      </x:c>
      <x:c r="L1283" s="84" t="str">
        <x:f>'Raw Sales'!I1283</x:f>
        <x:v>CARE-006</x:v>
      </x:c>
      <x:c r="M1283" s="84" t="str">
        <x:f>IFERROR(VLOOKUP(L1283,'Reference Data'!$A$5:$F$40,2,FALSE),"Unknown Product")</x:f>
        <x:v>Percussion Massage Gun</x:v>
      </x:c>
      <x:c r="N1283" s="84" t="str">
        <x:f>IFERROR(VLOOKUP(L1283,'Reference Data'!$A$5:$F$40,3,FALSE),"Unknown")</x:f>
        <x:v>Personal Care</x:v>
      </x:c>
      <x:c r="O1283" s="84" t="str">
        <x:f>IFERROR(VLOOKUP(L1283,'Reference Data'!$A$5:$F$40,4,FALSE),"Unknown")</x:f>
        <x:v>Wellness</x:v>
      </x:c>
      <x:c r="P1283" s="92" t="n">
        <x:f>IFERROR(VLOOKUP(L1283,'Reference Data'!$A$5:$F$40,5,FALSE),0)</x:f>
        <x:v>129</x:v>
      </x:c>
      <x:c r="Q1283" s="92" t="n">
        <x:f>IFERROR(VLOOKUP(L1283,'Reference Data'!$A$5:$F$40,6,FALSE),0)</x:f>
        <x:v>70</x:v>
      </x:c>
      <x:c r="R1283" s="84" t="n">
        <x:f>'Raw Sales'!J1283</x:f>
        <x:v>2</x:v>
      </x:c>
      <x:c r="S1283" s="87" t="n">
        <x:f>'Raw Sales'!K1283</x:f>
        <x:v>0.15</x:v>
      </x:c>
      <x:c r="T1283" s="93" t="n">
        <x:f>P1283*R1283</x:f>
        <x:v>258</x:v>
      </x:c>
      <x:c r="U1283" s="93" t="n">
        <x:f>T1283*S1283</x:f>
        <x:v>38.699999999999996</x:v>
      </x:c>
      <x:c r="V1283" s="93" t="str">
        <x:f>PROPER(TRIM('Raw Sales'!L1283))</x:f>
        <x:v>Completed</x:v>
      </x:c>
      <x:c r="W1283" s="93" t="n">
        <x:f>IF(V1283="Returned",0,T1283-U1283)</x:f>
        <x:v>219.3</x:v>
      </x:c>
      <x:c r="X1283" s="93" t="n">
        <x:f>IF(V1283="Returned",Q1283*R1283*10%,Q1283*R1283)</x:f>
        <x:v>140</x:v>
      </x:c>
      <x:c r="Y1283" s="93" t="n">
        <x:f>W1283-X1283</x:f>
        <x:v>79.30000000000001</x:v>
      </x:c>
      <x:c r="Z1283" s="94" t="n">
        <x:f>IFERROR(Y1283/W1283,0)</x:f>
        <x:v>0.36160510715914274</x:v>
      </x:c>
      <x:c r="AA1283" s="84" t="str">
        <x:f>PROPER(TRIM('Raw Sales'!M1283))</x:f>
        <x:v>Debit Card</x:v>
      </x:c>
      <x:c r="AB1283" s="84" t="str">
        <x:f>PROPER(TRIM('Raw Sales'!N1283))</x:f>
        <x:v>Mia Chen</x:v>
      </x:c>
      <x:c r="AC1283" s="85" t="n">
        <x:f>'Raw Sales'!O1283</x:f>
        <x:v>45716</x:v>
      </x:c>
      <x:c r="AD1283" s="84" t="n">
        <x:f>AC1283-B1283</x:f>
        <x:v>4</x:v>
      </x:c>
      <x:c r="AE1283" s="84" t="str">
        <x:f>IF(COUNTIF($A$5:A1283,A1283)&gt;1,"Duplicate","Keep")</x:f>
        <x:v>Keep</x:v>
      </x:c>
      <x:c r="AF1283" s="84" t="str">
        <x:f>IF(OR(R1283&lt;=0,AC1283&lt;B1283,H1283="Unknown",M1283="Unknown Product"),"Review","Valid")</x:f>
        <x:v>Valid</x:v>
      </x:c>
      <x:c r="AG1283" s="84" t="n">
        <x:f>IF(AND(AE1283="Keep",AF1283="Valid"),1,0)</x:f>
        <x:v>1</x:v>
      </x:c>
      <x:c r="AH1283" s="84" t="n">
        <x:f>IF(AND(AG1283=1,OR('Dashboard'!$B$4="All",I1283='Dashboard'!$B$4),OR('Dashboard'!$E$4="All",N1283='Dashboard'!$E$4),OR('Dashboard'!$H$4="All",K1283='Dashboard'!$H$4),OR('Dashboard'!$K$4="All",C1283='Dashboard'!$K$4)),1,0)</x:f>
        <x:v>1</x:v>
      </x:c>
      <x:c r="AI1283" s="84" t="n">
        <x:f>IF(AND(AG1283=1,OR('Dashboard'!$B$4="All",I1283='Dashboard'!$B$4),OR('Dashboard'!$E$4="All",N1283='Dashboard'!$E$4),OR('Dashboard'!$H$4="All",K1283='Dashboard'!$H$4)),1,0)</x:f>
        <x:v>1</x:v>
      </x:c>
    </x:row>
    <x:row r="1284">
      <x:c r="A1284" s="84" t="str">
        <x:f>'Raw Sales'!A1284</x:f>
        <x:v>ORD-2025-01284</x:v>
      </x:c>
      <x:c r="B1284" s="85" t="n">
        <x:f>'Raw Sales'!B1284</x:f>
        <x:v>45712</x:v>
      </x:c>
      <x:c r="C1284" s="84" t="n">
        <x:f>YEAR(B1284)</x:f>
        <x:v>2025</x:v>
      </x:c>
      <x:c r="D1284" s="91" t="n">
        <x:f>DATE(YEAR(B1284),MONTH(B1284),1)</x:f>
        <x:v>45689</x:v>
      </x:c>
      <x:c r="E1284" s="84" t="str">
        <x:f>TEXT(B1284,"mmm")</x:f>
        <x:v>Feb</x:v>
      </x:c>
      <x:c r="F1284" s="84" t="str">
        <x:f>'Raw Sales'!C1284</x:f>
        <x:v>CUST-0364</x:v>
      </x:c>
      <x:c r="G1284" s="84" t="str">
        <x:f>PROPER(TRIM('Raw Sales'!D1284))</x:f>
        <x:v>Sara Smith</x:v>
      </x:c>
      <x:c r="H1284" s="84" t="str">
        <x:f>IF(TRIM('Raw Sales'!E1284)="","Unknown",PROPER(TRIM('Raw Sales'!E1284)))</x:f>
        <x:v>Corporate</x:v>
      </x:c>
      <x:c r="I1284" s="84" t="str">
        <x:f>PROPER(TRIM('Raw Sales'!F1284))</x:f>
        <x:v>West</x:v>
      </x:c>
      <x:c r="J1284" s="84" t="str">
        <x:f>PROPER(TRIM('Raw Sales'!G1284))</x:f>
        <x:v>Phoenix</x:v>
      </x:c>
      <x:c r="K1284" s="84" t="str">
        <x:f>PROPER(TRIM('Raw Sales'!H1284))</x:f>
        <x:v>Marketplace</x:v>
      </x:c>
      <x:c r="L1284" s="84" t="str">
        <x:f>'Raw Sales'!I1284</x:f>
        <x:v>FITN-003</x:v>
      </x:c>
      <x:c r="M1284" s="84" t="str">
        <x:f>IFERROR(VLOOKUP(L1284,'Reference Data'!$A$5:$F$40,2,FALSE),"Unknown Product")</x:f>
        <x:v>Resistance Band Set</x:v>
      </x:c>
      <x:c r="N1284" s="84" t="str">
        <x:f>IFERROR(VLOOKUP(L1284,'Reference Data'!$A$5:$F$40,3,FALSE),"Unknown")</x:f>
        <x:v>Fitness</x:v>
      </x:c>
      <x:c r="O1284" s="84" t="str">
        <x:f>IFERROR(VLOOKUP(L1284,'Reference Data'!$A$5:$F$40,4,FALSE),"Unknown")</x:f>
        <x:v>Strength</x:v>
      </x:c>
      <x:c r="P1284" s="92" t="n">
        <x:f>IFERROR(VLOOKUP(L1284,'Reference Data'!$A$5:$F$40,5,FALSE),0)</x:f>
        <x:v>24</x:v>
      </x:c>
      <x:c r="Q1284" s="92" t="n">
        <x:f>IFERROR(VLOOKUP(L1284,'Reference Data'!$A$5:$F$40,6,FALSE),0)</x:f>
        <x:v>8</x:v>
      </x:c>
      <x:c r="R1284" s="84" t="n">
        <x:f>'Raw Sales'!J1284</x:f>
        <x:v>2</x:v>
      </x:c>
      <x:c r="S1284" s="87" t="n">
        <x:f>'Raw Sales'!K1284</x:f>
        <x:v>0.2</x:v>
      </x:c>
      <x:c r="T1284" s="93" t="n">
        <x:f>P1284*R1284</x:f>
        <x:v>48</x:v>
      </x:c>
      <x:c r="U1284" s="93" t="n">
        <x:f>T1284*S1284</x:f>
        <x:v>9.600000000000001</x:v>
      </x:c>
      <x:c r="V1284" s="93" t="str">
        <x:f>PROPER(TRIM('Raw Sales'!L1284))</x:f>
        <x:v>Completed</x:v>
      </x:c>
      <x:c r="W1284" s="93" t="n">
        <x:f>IF(V1284="Returned",0,T1284-U1284)</x:f>
        <x:v>38.4</x:v>
      </x:c>
      <x:c r="X1284" s="93" t="n">
        <x:f>IF(V1284="Returned",Q1284*R1284*10%,Q1284*R1284)</x:f>
        <x:v>16</x:v>
      </x:c>
      <x:c r="Y1284" s="93" t="n">
        <x:f>W1284-X1284</x:f>
        <x:v>22.4</x:v>
      </x:c>
      <x:c r="Z1284" s="94" t="n">
        <x:f>IFERROR(Y1284/W1284,0)</x:f>
        <x:v>0.5833333333333334</x:v>
      </x:c>
      <x:c r="AA1284" s="84" t="str">
        <x:f>PROPER(TRIM('Raw Sales'!M1284))</x:f>
        <x:v>Debit Card</x:v>
      </x:c>
      <x:c r="AB1284" s="84" t="str">
        <x:f>PROPER(TRIM('Raw Sales'!N1284))</x:f>
        <x:v>Nora Kim</x:v>
      </x:c>
      <x:c r="AC1284" s="85" t="n">
        <x:f>'Raw Sales'!O1284</x:f>
        <x:v>45717</x:v>
      </x:c>
      <x:c r="AD1284" s="84" t="n">
        <x:f>AC1284-B1284</x:f>
        <x:v>5</x:v>
      </x:c>
      <x:c r="AE1284" s="84" t="str">
        <x:f>IF(COUNTIF($A$5:A1284,A1284)&gt;1,"Duplicate","Keep")</x:f>
        <x:v>Keep</x:v>
      </x:c>
      <x:c r="AF1284" s="84" t="str">
        <x:f>IF(OR(R1284&lt;=0,AC1284&lt;B1284,H1284="Unknown",M1284="Unknown Product"),"Review","Valid")</x:f>
        <x:v>Valid</x:v>
      </x:c>
      <x:c r="AG1284" s="84" t="n">
        <x:f>IF(AND(AE1284="Keep",AF1284="Valid"),1,0)</x:f>
        <x:v>1</x:v>
      </x:c>
      <x:c r="AH1284" s="84" t="n">
        <x:f>IF(AND(AG1284=1,OR('Dashboard'!$B$4="All",I1284='Dashboard'!$B$4),OR('Dashboard'!$E$4="All",N1284='Dashboard'!$E$4),OR('Dashboard'!$H$4="All",K1284='Dashboard'!$H$4),OR('Dashboard'!$K$4="All",C1284='Dashboard'!$K$4)),1,0)</x:f>
        <x:v>1</x:v>
      </x:c>
      <x:c r="AI1284" s="84" t="n">
        <x:f>IF(AND(AG1284=1,OR('Dashboard'!$B$4="All",I1284='Dashboard'!$B$4),OR('Dashboard'!$E$4="All",N1284='Dashboard'!$E$4),OR('Dashboard'!$H$4="All",K1284='Dashboard'!$H$4)),1,0)</x:f>
        <x:v>1</x:v>
      </x:c>
    </x:row>
    <x:row r="1285">
      <x:c r="A1285" s="84" t="str">
        <x:f>'Raw Sales'!A1285</x:f>
        <x:v>ORD-2025-01544</x:v>
      </x:c>
      <x:c r="B1285" s="85" t="n">
        <x:f>'Raw Sales'!B1285</x:f>
        <x:v>45712</x:v>
      </x:c>
      <x:c r="C1285" s="84" t="n">
        <x:f>YEAR(B1285)</x:f>
        <x:v>2025</x:v>
      </x:c>
      <x:c r="D1285" s="91" t="n">
        <x:f>DATE(YEAR(B1285),MONTH(B1285),1)</x:f>
        <x:v>45689</x:v>
      </x:c>
      <x:c r="E1285" s="84" t="str">
        <x:f>TEXT(B1285,"mmm")</x:f>
        <x:v>Feb</x:v>
      </x:c>
      <x:c r="F1285" s="84" t="str">
        <x:f>'Raw Sales'!C1285</x:f>
        <x:v>CUST-0161</x:v>
      </x:c>
      <x:c r="G1285" s="84" t="str">
        <x:f>PROPER(TRIM('Raw Sales'!D1285))</x:f>
        <x:v>Sara Patel</x:v>
      </x:c>
      <x:c r="H1285" s="84" t="str">
        <x:f>IF(TRIM('Raw Sales'!E1285)="","Unknown",PROPER(TRIM('Raw Sales'!E1285)))</x:f>
        <x:v>Consumer</x:v>
      </x:c>
      <x:c r="I1285" s="84" t="str">
        <x:f>PROPER(TRIM('Raw Sales'!F1285))</x:f>
        <x:v>Southeast</x:v>
      </x:c>
      <x:c r="J1285" s="84" t="str">
        <x:f>PROPER(TRIM('Raw Sales'!G1285))</x:f>
        <x:v>Atlanta</x:v>
      </x:c>
      <x:c r="K1285" s="84" t="str">
        <x:f>PROPER(TRIM('Raw Sales'!H1285))</x:f>
        <x:v>Retail Store</x:v>
      </x:c>
      <x:c r="L1285" s="84" t="str">
        <x:f>'Raw Sales'!I1285</x:f>
        <x:v>ELEC-004</x:v>
      </x:c>
      <x:c r="M1285" s="84" t="str">
        <x:f>IFERROR(VLOOKUP(L1285,'Reference Data'!$A$5:$F$40,2,FALSE),"Unknown Product")</x:f>
        <x:v>Power Bank</x:v>
      </x:c>
      <x:c r="N1285" s="84" t="str">
        <x:f>IFERROR(VLOOKUP(L1285,'Reference Data'!$A$5:$F$40,3,FALSE),"Unknown")</x:f>
        <x:v>Electronics</x:v>
      </x:c>
      <x:c r="O1285" s="84" t="str">
        <x:f>IFERROR(VLOOKUP(L1285,'Reference Data'!$A$5:$F$40,4,FALSE),"Unknown")</x:f>
        <x:v>Mobile Accessories</x:v>
      </x:c>
      <x:c r="P1285" s="92" t="n">
        <x:f>IFERROR(VLOOKUP(L1285,'Reference Data'!$A$5:$F$40,5,FALSE),0)</x:f>
        <x:v>39</x:v>
      </x:c>
      <x:c r="Q1285" s="92" t="n">
        <x:f>IFERROR(VLOOKUP(L1285,'Reference Data'!$A$5:$F$40,6,FALSE),0)</x:f>
        <x:v>18</x:v>
      </x:c>
      <x:c r="R1285" s="84" t="n">
        <x:f>'Raw Sales'!J1285</x:f>
        <x:v>1</x:v>
      </x:c>
      <x:c r="S1285" s="87" t="n">
        <x:f>'Raw Sales'!K1285</x:f>
        <x:v>0.1</x:v>
      </x:c>
      <x:c r="T1285" s="93" t="n">
        <x:f>P1285*R1285</x:f>
        <x:v>39</x:v>
      </x:c>
      <x:c r="U1285" s="93" t="n">
        <x:f>T1285*S1285</x:f>
        <x:v>3.9000000000000004</x:v>
      </x:c>
      <x:c r="V1285" s="93" t="str">
        <x:f>PROPER(TRIM('Raw Sales'!L1285))</x:f>
        <x:v>Completed</x:v>
      </x:c>
      <x:c r="W1285" s="93" t="n">
        <x:f>IF(V1285="Returned",0,T1285-U1285)</x:f>
        <x:v>35.1</x:v>
      </x:c>
      <x:c r="X1285" s="93" t="n">
        <x:f>IF(V1285="Returned",Q1285*R1285*10%,Q1285*R1285)</x:f>
        <x:v>18</x:v>
      </x:c>
      <x:c r="Y1285" s="93" t="n">
        <x:f>W1285-X1285</x:f>
        <x:v>17.1</x:v>
      </x:c>
      <x:c r="Z1285" s="94" t="n">
        <x:f>IFERROR(Y1285/W1285,0)</x:f>
        <x:v>0.4871794871794872</x:v>
      </x:c>
      <x:c r="AA1285" s="84" t="str">
        <x:f>PROPER(TRIM('Raw Sales'!M1285))</x:f>
        <x:v>Cash</x:v>
      </x:c>
      <x:c r="AB1285" s="84" t="str">
        <x:f>PROPER(TRIM('Raw Sales'!N1285))</x:f>
        <x:v>Ava Mitchell</x:v>
      </x:c>
      <x:c r="AC1285" s="85" t="n">
        <x:f>'Raw Sales'!O1285</x:f>
        <x:v>45712</x:v>
      </x:c>
      <x:c r="AD1285" s="84" t="n">
        <x:f>AC1285-B1285</x:f>
        <x:v>0</x:v>
      </x:c>
      <x:c r="AE1285" s="84" t="str">
        <x:f>IF(COUNTIF($A$5:A1285,A1285)&gt;1,"Duplicate","Keep")</x:f>
        <x:v>Keep</x:v>
      </x:c>
      <x:c r="AF1285" s="84" t="str">
        <x:f>IF(OR(R1285&lt;=0,AC1285&lt;B1285,H1285="Unknown",M1285="Unknown Product"),"Review","Valid")</x:f>
        <x:v>Valid</x:v>
      </x:c>
      <x:c r="AG1285" s="84" t="n">
        <x:f>IF(AND(AE1285="Keep",AF1285="Valid"),1,0)</x:f>
        <x:v>1</x:v>
      </x:c>
      <x:c r="AH1285" s="84" t="n">
        <x:f>IF(AND(AG1285=1,OR('Dashboard'!$B$4="All",I1285='Dashboard'!$B$4),OR('Dashboard'!$E$4="All",N1285='Dashboard'!$E$4),OR('Dashboard'!$H$4="All",K1285='Dashboard'!$H$4),OR('Dashboard'!$K$4="All",C1285='Dashboard'!$K$4)),1,0)</x:f>
        <x:v>1</x:v>
      </x:c>
      <x:c r="AI1285" s="84" t="n">
        <x:f>IF(AND(AG1285=1,OR('Dashboard'!$B$4="All",I1285='Dashboard'!$B$4),OR('Dashboard'!$E$4="All",N1285='Dashboard'!$E$4),OR('Dashboard'!$H$4="All",K1285='Dashboard'!$H$4)),1,0)</x:f>
        <x:v>1</x:v>
      </x:c>
    </x:row>
    <x:row r="1286">
      <x:c r="A1286" s="84" t="str">
        <x:f>'Raw Sales'!A1286</x:f>
        <x:v>ORD-2025-01614</x:v>
      </x:c>
      <x:c r="B1286" s="85" t="n">
        <x:f>'Raw Sales'!B1286</x:f>
        <x:v>45712</x:v>
      </x:c>
      <x:c r="C1286" s="84" t="n">
        <x:f>YEAR(B1286)</x:f>
        <x:v>2025</x:v>
      </x:c>
      <x:c r="D1286" s="91" t="n">
        <x:f>DATE(YEAR(B1286),MONTH(B1286),1)</x:f>
        <x:v>45689</x:v>
      </x:c>
      <x:c r="E1286" s="84" t="str">
        <x:f>TEXT(B1286,"mmm")</x:f>
        <x:v>Feb</x:v>
      </x:c>
      <x:c r="F1286" s="84" t="str">
        <x:f>'Raw Sales'!C1286</x:f>
        <x:v>CUST-0274</x:v>
      </x:c>
      <x:c r="G1286" s="84" t="str">
        <x:f>PROPER(TRIM('Raw Sales'!D1286))</x:f>
        <x:v>Daniel Nelson</x:v>
      </x:c>
      <x:c r="H1286" s="84" t="str">
        <x:f>IF(TRIM('Raw Sales'!E1286)="","Unknown",PROPER(TRIM('Raw Sales'!E1286)))</x:f>
        <x:v>Corporate</x:v>
      </x:c>
      <x:c r="I1286" s="84" t="str">
        <x:f>PROPER(TRIM('Raw Sales'!F1286))</x:f>
        <x:v>Northeast</x:v>
      </x:c>
      <x:c r="J1286" s="84" t="str">
        <x:f>PROPER(TRIM('Raw Sales'!G1286))</x:f>
        <x:v>Boston</x:v>
      </x:c>
      <x:c r="K1286" s="84" t="str">
        <x:f>PROPER(TRIM('Raw Sales'!H1286))</x:f>
        <x:v>Retail Store</x:v>
      </x:c>
      <x:c r="L1286" s="84" t="str">
        <x:f>'Raw Sales'!I1286</x:f>
        <x:v>FITN-004</x:v>
      </x:c>
      <x:c r="M1286" s="84" t="str">
        <x:f>IFERROR(VLOOKUP(L1286,'Reference Data'!$A$5:$F$40,2,FALSE),"Unknown Product")</x:f>
        <x:v>Fitness Tracker</x:v>
      </x:c>
      <x:c r="N1286" s="84" t="str">
        <x:f>IFERROR(VLOOKUP(L1286,'Reference Data'!$A$5:$F$40,3,FALSE),"Unknown")</x:f>
        <x:v>Fitness</x:v>
      </x:c>
      <x:c r="O1286" s="84" t="str">
        <x:f>IFERROR(VLOOKUP(L1286,'Reference Data'!$A$5:$F$40,4,FALSE),"Unknown")</x:f>
        <x:v>Wearables</x:v>
      </x:c>
      <x:c r="P1286" s="92" t="n">
        <x:f>IFERROR(VLOOKUP(L1286,'Reference Data'!$A$5:$F$40,5,FALSE),0)</x:f>
        <x:v>89</x:v>
      </x:c>
      <x:c r="Q1286" s="92" t="n">
        <x:f>IFERROR(VLOOKUP(L1286,'Reference Data'!$A$5:$F$40,6,FALSE),0)</x:f>
        <x:v>44</x:v>
      </x:c>
      <x:c r="R1286" s="84" t="n">
        <x:f>'Raw Sales'!J1286</x:f>
        <x:v>3</x:v>
      </x:c>
      <x:c r="S1286" s="87" t="n">
        <x:f>'Raw Sales'!K1286</x:f>
        <x:v>0.1</x:v>
      </x:c>
      <x:c r="T1286" s="93" t="n">
        <x:f>P1286*R1286</x:f>
        <x:v>267</x:v>
      </x:c>
      <x:c r="U1286" s="93" t="n">
        <x:f>T1286*S1286</x:f>
        <x:v>26.700000000000003</x:v>
      </x:c>
      <x:c r="V1286" s="93" t="str">
        <x:f>PROPER(TRIM('Raw Sales'!L1286))</x:f>
        <x:v>Completed</x:v>
      </x:c>
      <x:c r="W1286" s="93" t="n">
        <x:f>IF(V1286="Returned",0,T1286-U1286)</x:f>
        <x:v>240.3</x:v>
      </x:c>
      <x:c r="X1286" s="93" t="n">
        <x:f>IF(V1286="Returned",Q1286*R1286*10%,Q1286*R1286)</x:f>
        <x:v>132</x:v>
      </x:c>
      <x:c r="Y1286" s="93" t="n">
        <x:f>W1286-X1286</x:f>
        <x:v>108.30000000000001</x:v>
      </x:c>
      <x:c r="Z1286" s="94" t="n">
        <x:f>IFERROR(Y1286/W1286,0)</x:f>
        <x:v>0.4506866416978777</x:v>
      </x:c>
      <x:c r="AA1286" s="84" t="str">
        <x:f>PROPER(TRIM('Raw Sales'!M1286))</x:f>
        <x:v>Cash</x:v>
      </x:c>
      <x:c r="AB1286" s="84" t="str">
        <x:f>PROPER(TRIM('Raw Sales'!N1286))</x:f>
        <x:v>Ethan Cole</x:v>
      </x:c>
      <x:c r="AC1286" s="85" t="n">
        <x:f>'Raw Sales'!O1286</x:f>
        <x:v>45712</x:v>
      </x:c>
      <x:c r="AD1286" s="84" t="n">
        <x:f>AC1286-B1286</x:f>
        <x:v>0</x:v>
      </x:c>
      <x:c r="AE1286" s="84" t="str">
        <x:f>IF(COUNTIF($A$5:A1286,A1286)&gt;1,"Duplicate","Keep")</x:f>
        <x:v>Keep</x:v>
      </x:c>
      <x:c r="AF1286" s="84" t="str">
        <x:f>IF(OR(R1286&lt;=0,AC1286&lt;B1286,H1286="Unknown",M1286="Unknown Product"),"Review","Valid")</x:f>
        <x:v>Valid</x:v>
      </x:c>
      <x:c r="AG1286" s="84" t="n">
        <x:f>IF(AND(AE1286="Keep",AF1286="Valid"),1,0)</x:f>
        <x:v>1</x:v>
      </x:c>
      <x:c r="AH1286" s="84" t="n">
        <x:f>IF(AND(AG1286=1,OR('Dashboard'!$B$4="All",I1286='Dashboard'!$B$4),OR('Dashboard'!$E$4="All",N1286='Dashboard'!$E$4),OR('Dashboard'!$H$4="All",K1286='Dashboard'!$H$4),OR('Dashboard'!$K$4="All",C1286='Dashboard'!$K$4)),1,0)</x:f>
        <x:v>1</x:v>
      </x:c>
      <x:c r="AI1286" s="84" t="n">
        <x:f>IF(AND(AG1286=1,OR('Dashboard'!$B$4="All",I1286='Dashboard'!$B$4),OR('Dashboard'!$E$4="All",N1286='Dashboard'!$E$4),OR('Dashboard'!$H$4="All",K1286='Dashboard'!$H$4)),1,0)</x:f>
        <x:v>1</x:v>
      </x:c>
    </x:row>
    <x:row r="1287">
      <x:c r="A1287" s="84" t="str">
        <x:f>'Raw Sales'!A1287</x:f>
        <x:v>ORD-2025-01478</x:v>
      </x:c>
      <x:c r="B1287" s="85" t="n">
        <x:f>'Raw Sales'!B1287</x:f>
        <x:v>45713</x:v>
      </x:c>
      <x:c r="C1287" s="84" t="n">
        <x:f>YEAR(B1287)</x:f>
        <x:v>2025</x:v>
      </x:c>
      <x:c r="D1287" s="91" t="n">
        <x:f>DATE(YEAR(B1287),MONTH(B1287),1)</x:f>
        <x:v>45689</x:v>
      </x:c>
      <x:c r="E1287" s="84" t="str">
        <x:f>TEXT(B1287,"mmm")</x:f>
        <x:v>Feb</x:v>
      </x:c>
      <x:c r="F1287" s="84" t="str">
        <x:f>'Raw Sales'!C1287</x:f>
        <x:v>CUST-0264</x:v>
      </x:c>
      <x:c r="G1287" s="84" t="str">
        <x:f>PROPER(TRIM('Raw Sales'!D1287))</x:f>
        <x:v>Samuel Foster</x:v>
      </x:c>
      <x:c r="H1287" s="84" t="str">
        <x:f>IF(TRIM('Raw Sales'!E1287)="","Unknown",PROPER(TRIM('Raw Sales'!E1287)))</x:f>
        <x:v>Small Business</x:v>
      </x:c>
      <x:c r="I1287" s="84" t="str">
        <x:f>PROPER(TRIM('Raw Sales'!F1287))</x:f>
        <x:v>West</x:v>
      </x:c>
      <x:c r="J1287" s="84" t="str">
        <x:f>PROPER(TRIM('Raw Sales'!G1287))</x:f>
        <x:v>Phoenix</x:v>
      </x:c>
      <x:c r="K1287" s="84" t="str">
        <x:f>PROPER(TRIM('Raw Sales'!H1287))</x:f>
        <x:v>Online</x:v>
      </x:c>
      <x:c r="L1287" s="84" t="str">
        <x:f>'Raw Sales'!I1287</x:f>
        <x:v>ELEC-003</x:v>
      </x:c>
      <x:c r="M1287" s="84" t="str">
        <x:f>IFERROR(VLOOKUP(L1287,'Reference Data'!$A$5:$F$40,2,FALSE),"Unknown Product")</x:f>
        <x:v>Bluetooth Speaker</x:v>
      </x:c>
      <x:c r="N1287" s="84" t="str">
        <x:f>IFERROR(VLOOKUP(L1287,'Reference Data'!$A$5:$F$40,3,FALSE),"Unknown")</x:f>
        <x:v>Electronics</x:v>
      </x:c>
      <x:c r="O1287" s="84" t="str">
        <x:f>IFERROR(VLOOKUP(L1287,'Reference Data'!$A$5:$F$40,4,FALSE),"Unknown")</x:f>
        <x:v>Audio</x:v>
      </x:c>
      <x:c r="P1287" s="92" t="n">
        <x:f>IFERROR(VLOOKUP(L1287,'Reference Data'!$A$5:$F$40,5,FALSE),0)</x:f>
        <x:v>89</x:v>
      </x:c>
      <x:c r="Q1287" s="92" t="n">
        <x:f>IFERROR(VLOOKUP(L1287,'Reference Data'!$A$5:$F$40,6,FALSE),0)</x:f>
        <x:v>44</x:v>
      </x:c>
      <x:c r="R1287" s="84" t="n">
        <x:f>'Raw Sales'!J1287</x:f>
        <x:v>1</x:v>
      </x:c>
      <x:c r="S1287" s="87" t="n">
        <x:f>'Raw Sales'!K1287</x:f>
        <x:v>0.05</x:v>
      </x:c>
      <x:c r="T1287" s="93" t="n">
        <x:f>P1287*R1287</x:f>
        <x:v>89</x:v>
      </x:c>
      <x:c r="U1287" s="93" t="n">
        <x:f>T1287*S1287</x:f>
        <x:v>4.45</x:v>
      </x:c>
      <x:c r="V1287" s="93" t="str">
        <x:f>PROPER(TRIM('Raw Sales'!L1287))</x:f>
        <x:v>Completed</x:v>
      </x:c>
      <x:c r="W1287" s="93" t="n">
        <x:f>IF(V1287="Returned",0,T1287-U1287)</x:f>
        <x:v>84.55</x:v>
      </x:c>
      <x:c r="X1287" s="93" t="n">
        <x:f>IF(V1287="Returned",Q1287*R1287*10%,Q1287*R1287)</x:f>
        <x:v>44</x:v>
      </x:c>
      <x:c r="Y1287" s="93" t="n">
        <x:f>W1287-X1287</x:f>
        <x:v>40.55</x:v>
      </x:c>
      <x:c r="Z1287" s="94" t="n">
        <x:f>IFERROR(Y1287/W1287,0)</x:f>
        <x:v>0.47959787108219987</x:v>
      </x:c>
      <x:c r="AA1287" s="84" t="str">
        <x:f>PROPER(TRIM('Raw Sales'!M1287))</x:f>
        <x:v>Debit Card</x:v>
      </x:c>
      <x:c r="AB1287" s="84" t="str">
        <x:f>PROPER(TRIM('Raw Sales'!N1287))</x:f>
        <x:v>Mia Chen</x:v>
      </x:c>
      <x:c r="AC1287" s="85" t="n">
        <x:f>'Raw Sales'!O1287</x:f>
        <x:v>45718</x:v>
      </x:c>
      <x:c r="AD1287" s="84" t="n">
        <x:f>AC1287-B1287</x:f>
        <x:v>5</x:v>
      </x:c>
      <x:c r="AE1287" s="84" t="str">
        <x:f>IF(COUNTIF($A$5:A1287,A1287)&gt;1,"Duplicate","Keep")</x:f>
        <x:v>Keep</x:v>
      </x:c>
      <x:c r="AF1287" s="84" t="str">
        <x:f>IF(OR(R1287&lt;=0,AC1287&lt;B1287,H1287="Unknown",M1287="Unknown Product"),"Review","Valid")</x:f>
        <x:v>Valid</x:v>
      </x:c>
      <x:c r="AG1287" s="84" t="n">
        <x:f>IF(AND(AE1287="Keep",AF1287="Valid"),1,0)</x:f>
        <x:v>1</x:v>
      </x:c>
      <x:c r="AH1287" s="84" t="n">
        <x:f>IF(AND(AG1287=1,OR('Dashboard'!$B$4="All",I1287='Dashboard'!$B$4),OR('Dashboard'!$E$4="All",N1287='Dashboard'!$E$4),OR('Dashboard'!$H$4="All",K1287='Dashboard'!$H$4),OR('Dashboard'!$K$4="All",C1287='Dashboard'!$K$4)),1,0)</x:f>
        <x:v>1</x:v>
      </x:c>
      <x:c r="AI1287" s="84" t="n">
        <x:f>IF(AND(AG1287=1,OR('Dashboard'!$B$4="All",I1287='Dashboard'!$B$4),OR('Dashboard'!$E$4="All",N1287='Dashboard'!$E$4),OR('Dashboard'!$H$4="All",K1287='Dashboard'!$H$4)),1,0)</x:f>
        <x:v>1</x:v>
      </x:c>
    </x:row>
    <x:row r="1288">
      <x:c r="A1288" s="84" t="str">
        <x:f>'Raw Sales'!A1288</x:f>
        <x:v>ORD-2025-01535</x:v>
      </x:c>
      <x:c r="B1288" s="85" t="n">
        <x:f>'Raw Sales'!B1288</x:f>
        <x:v>45713</x:v>
      </x:c>
      <x:c r="C1288" s="84" t="n">
        <x:f>YEAR(B1288)</x:f>
        <x:v>2025</x:v>
      </x:c>
      <x:c r="D1288" s="91" t="n">
        <x:f>DATE(YEAR(B1288),MONTH(B1288),1)</x:f>
        <x:v>45689</x:v>
      </x:c>
      <x:c r="E1288" s="84" t="str">
        <x:f>TEXT(B1288,"mmm")</x:f>
        <x:v>Feb</x:v>
      </x:c>
      <x:c r="F1288" s="84" t="str">
        <x:f>'Raw Sales'!C1288</x:f>
        <x:v>CUST-0290</x:v>
      </x:c>
      <x:c r="G1288" s="84" t="str">
        <x:f>PROPER(TRIM('Raw Sales'!D1288))</x:f>
        <x:v>Nathan Baker</x:v>
      </x:c>
      <x:c r="H1288" s="84" t="str">
        <x:f>IF(TRIM('Raw Sales'!E1288)="","Unknown",PROPER(TRIM('Raw Sales'!E1288)))</x:f>
        <x:v>Consumer</x:v>
      </x:c>
      <x:c r="I1288" s="84" t="str">
        <x:f>PROPER(TRIM('Raw Sales'!F1288))</x:f>
        <x:v>West</x:v>
      </x:c>
      <x:c r="J1288" s="84" t="str">
        <x:f>PROPER(TRIM('Raw Sales'!G1288))</x:f>
        <x:v>Denver</x:v>
      </x:c>
      <x:c r="K1288" s="84" t="str">
        <x:f>PROPER(TRIM('Raw Sales'!H1288))</x:f>
        <x:v>Online</x:v>
      </x:c>
      <x:c r="L1288" s="84" t="str">
        <x:f>'Raw Sales'!I1288</x:f>
        <x:v>ACCS-002</x:v>
      </x:c>
      <x:c r="M1288" s="84" t="str">
        <x:f>IFERROR(VLOOKUP(L1288,'Reference Data'!$A$5:$F$40,2,FALSE),"Unknown Product")</x:f>
        <x:v>Travel Backpack</x:v>
      </x:c>
      <x:c r="N1288" s="84" t="str">
        <x:f>IFERROR(VLOOKUP(L1288,'Reference Data'!$A$5:$F$40,3,FALSE),"Unknown")</x:f>
        <x:v>Accessories</x:v>
      </x:c>
      <x:c r="O1288" s="84" t="str">
        <x:f>IFERROR(VLOOKUP(L1288,'Reference Data'!$A$5:$F$40,4,FALSE),"Unknown")</x:f>
        <x:v>Bags</x:v>
      </x:c>
      <x:c r="P1288" s="92" t="n">
        <x:f>IFERROR(VLOOKUP(L1288,'Reference Data'!$A$5:$F$40,5,FALSE),0)</x:f>
        <x:v>89</x:v>
      </x:c>
      <x:c r="Q1288" s="92" t="n">
        <x:f>IFERROR(VLOOKUP(L1288,'Reference Data'!$A$5:$F$40,6,FALSE),0)</x:f>
        <x:v>36</x:v>
      </x:c>
      <x:c r="R1288" s="84" t="n">
        <x:f>'Raw Sales'!J1288</x:f>
        <x:v>4</x:v>
      </x:c>
      <x:c r="S1288" s="87" t="n">
        <x:f>'Raw Sales'!K1288</x:f>
        <x:v>0.05</x:v>
      </x:c>
      <x:c r="T1288" s="93" t="n">
        <x:f>P1288*R1288</x:f>
        <x:v>356</x:v>
      </x:c>
      <x:c r="U1288" s="93" t="n">
        <x:f>T1288*S1288</x:f>
        <x:v>17.8</x:v>
      </x:c>
      <x:c r="V1288" s="93" t="str">
        <x:f>PROPER(TRIM('Raw Sales'!L1288))</x:f>
        <x:v>Completed</x:v>
      </x:c>
      <x:c r="W1288" s="93" t="n">
        <x:f>IF(V1288="Returned",0,T1288-U1288)</x:f>
        <x:v>338.2</x:v>
      </x:c>
      <x:c r="X1288" s="93" t="n">
        <x:f>IF(V1288="Returned",Q1288*R1288*10%,Q1288*R1288)</x:f>
        <x:v>144</x:v>
      </x:c>
      <x:c r="Y1288" s="93" t="n">
        <x:f>W1288-X1288</x:f>
        <x:v>194.2</x:v>
      </x:c>
      <x:c r="Z1288" s="94" t="n">
        <x:f>IFERROR(Y1288/W1288,0)</x:f>
        <x:v>0.5742164399763453</x:v>
      </x:c>
      <x:c r="AA1288" s="84" t="str">
        <x:f>PROPER(TRIM('Raw Sales'!M1288))</x:f>
        <x:v>Credit Card</x:v>
      </x:c>
      <x:c r="AB1288" s="84" t="str">
        <x:f>PROPER(TRIM('Raw Sales'!N1288))</x:f>
        <x:v>Mia Chen</x:v>
      </x:c>
      <x:c r="AC1288" s="85" t="n">
        <x:f>'Raw Sales'!O1288</x:f>
        <x:v>45718</x:v>
      </x:c>
      <x:c r="AD1288" s="84" t="n">
        <x:f>AC1288-B1288</x:f>
        <x:v>5</x:v>
      </x:c>
      <x:c r="AE1288" s="84" t="str">
        <x:f>IF(COUNTIF($A$5:A1288,A1288)&gt;1,"Duplicate","Keep")</x:f>
        <x:v>Keep</x:v>
      </x:c>
      <x:c r="AF1288" s="84" t="str">
        <x:f>IF(OR(R1288&lt;=0,AC1288&lt;B1288,H1288="Unknown",M1288="Unknown Product"),"Review","Valid")</x:f>
        <x:v>Valid</x:v>
      </x:c>
      <x:c r="AG1288" s="84" t="n">
        <x:f>IF(AND(AE1288="Keep",AF1288="Valid"),1,0)</x:f>
        <x:v>1</x:v>
      </x:c>
      <x:c r="AH1288" s="84" t="n">
        <x:f>IF(AND(AG1288=1,OR('Dashboard'!$B$4="All",I1288='Dashboard'!$B$4),OR('Dashboard'!$E$4="All",N1288='Dashboard'!$E$4),OR('Dashboard'!$H$4="All",K1288='Dashboard'!$H$4),OR('Dashboard'!$K$4="All",C1288='Dashboard'!$K$4)),1,0)</x:f>
        <x:v>1</x:v>
      </x:c>
      <x:c r="AI1288" s="84" t="n">
        <x:f>IF(AND(AG1288=1,OR('Dashboard'!$B$4="All",I1288='Dashboard'!$B$4),OR('Dashboard'!$E$4="All",N1288='Dashboard'!$E$4),OR('Dashboard'!$H$4="All",K1288='Dashboard'!$H$4)),1,0)</x:f>
        <x:v>1</x:v>
      </x:c>
    </x:row>
    <x:row r="1289">
      <x:c r="A1289" s="84" t="str">
        <x:f>'Raw Sales'!A1289</x:f>
        <x:v>ORD-2025-01861</x:v>
      </x:c>
      <x:c r="B1289" s="85" t="n">
        <x:f>'Raw Sales'!B1289</x:f>
        <x:v>45713</x:v>
      </x:c>
      <x:c r="C1289" s="84" t="n">
        <x:f>YEAR(B1289)</x:f>
        <x:v>2025</x:v>
      </x:c>
      <x:c r="D1289" s="91" t="n">
        <x:f>DATE(YEAR(B1289),MONTH(B1289),1)</x:f>
        <x:v>45689</x:v>
      </x:c>
      <x:c r="E1289" s="84" t="str">
        <x:f>TEXT(B1289,"mmm")</x:f>
        <x:v>Feb</x:v>
      </x:c>
      <x:c r="F1289" s="84" t="str">
        <x:f>'Raw Sales'!C1289</x:f>
        <x:v>CUST-0158</x:v>
      </x:c>
      <x:c r="G1289" s="84" t="str">
        <x:f>PROPER(TRIM('Raw Sales'!D1289))</x:f>
        <x:v>Nina Moore</x:v>
      </x:c>
      <x:c r="H1289" s="84" t="str">
        <x:f>IF(TRIM('Raw Sales'!E1289)="","Unknown",PROPER(TRIM('Raw Sales'!E1289)))</x:f>
        <x:v>Consumer</x:v>
      </x:c>
      <x:c r="I1289" s="84" t="str">
        <x:f>PROPER(TRIM('Raw Sales'!F1289))</x:f>
        <x:v>Northeast</x:v>
      </x:c>
      <x:c r="J1289" s="84" t="str">
        <x:f>PROPER(TRIM('Raw Sales'!G1289))</x:f>
        <x:v>Newark</x:v>
      </x:c>
      <x:c r="K1289" s="84" t="str">
        <x:f>PROPER(TRIM('Raw Sales'!H1289))</x:f>
        <x:v>Online</x:v>
      </x:c>
      <x:c r="L1289" s="84" t="str">
        <x:f>'Raw Sales'!I1289</x:f>
        <x:v>ACCS-001</x:v>
      </x:c>
      <x:c r="M1289" s="84" t="str">
        <x:f>IFERROR(VLOOKUP(L1289,'Reference Data'!$A$5:$F$40,2,FALSE),"Unknown Product")</x:f>
        <x:v>Canvas Tote Bag</x:v>
      </x:c>
      <x:c r="N1289" s="84" t="str">
        <x:f>IFERROR(VLOOKUP(L1289,'Reference Data'!$A$5:$F$40,3,FALSE),"Unknown")</x:f>
        <x:v>Accessories</x:v>
      </x:c>
      <x:c r="O1289" s="84" t="str">
        <x:f>IFERROR(VLOOKUP(L1289,'Reference Data'!$A$5:$F$40,4,FALSE),"Unknown")</x:f>
        <x:v>Bags</x:v>
      </x:c>
      <x:c r="P1289" s="92" t="n">
        <x:f>IFERROR(VLOOKUP(L1289,'Reference Data'!$A$5:$F$40,5,FALSE),0)</x:f>
        <x:v>39</x:v>
      </x:c>
      <x:c r="Q1289" s="92" t="n">
        <x:f>IFERROR(VLOOKUP(L1289,'Reference Data'!$A$5:$F$40,6,FALSE),0)</x:f>
        <x:v>14</x:v>
      </x:c>
      <x:c r="R1289" s="84" t="n">
        <x:f>'Raw Sales'!J1289</x:f>
        <x:v>2</x:v>
      </x:c>
      <x:c r="S1289" s="87" t="n">
        <x:f>'Raw Sales'!K1289</x:f>
        <x:v>0</x:v>
      </x:c>
      <x:c r="T1289" s="93" t="n">
        <x:f>P1289*R1289</x:f>
        <x:v>78</x:v>
      </x:c>
      <x:c r="U1289" s="93" t="n">
        <x:f>T1289*S1289</x:f>
        <x:v>0</x:v>
      </x:c>
      <x:c r="V1289" s="93" t="str">
        <x:f>PROPER(TRIM('Raw Sales'!L1289))</x:f>
        <x:v>Completed</x:v>
      </x:c>
      <x:c r="W1289" s="93" t="n">
        <x:f>IF(V1289="Returned",0,T1289-U1289)</x:f>
        <x:v>78</x:v>
      </x:c>
      <x:c r="X1289" s="93" t="n">
        <x:f>IF(V1289="Returned",Q1289*R1289*10%,Q1289*R1289)</x:f>
        <x:v>28</x:v>
      </x:c>
      <x:c r="Y1289" s="93" t="n">
        <x:f>W1289-X1289</x:f>
        <x:v>50</x:v>
      </x:c>
      <x:c r="Z1289" s="94" t="n">
        <x:f>IFERROR(Y1289/W1289,0)</x:f>
        <x:v>0.6410256410256411</x:v>
      </x:c>
      <x:c r="AA1289" s="84" t="str">
        <x:f>PROPER(TRIM('Raw Sales'!M1289))</x:f>
        <x:v>Credit Card</x:v>
      </x:c>
      <x:c r="AB1289" s="84" t="str">
        <x:f>PROPER(TRIM('Raw Sales'!N1289))</x:f>
        <x:v>Ethan Cole</x:v>
      </x:c>
      <x:c r="AC1289" s="85" t="n">
        <x:f>'Raw Sales'!O1289</x:f>
        <x:v>45718</x:v>
      </x:c>
      <x:c r="AD1289" s="84" t="n">
        <x:f>AC1289-B1289</x:f>
        <x:v>5</x:v>
      </x:c>
      <x:c r="AE1289" s="84" t="str">
        <x:f>IF(COUNTIF($A$5:A1289,A1289)&gt;1,"Duplicate","Keep")</x:f>
        <x:v>Keep</x:v>
      </x:c>
      <x:c r="AF1289" s="84" t="str">
        <x:f>IF(OR(R1289&lt;=0,AC1289&lt;B1289,H1289="Unknown",M1289="Unknown Product"),"Review","Valid")</x:f>
        <x:v>Valid</x:v>
      </x:c>
      <x:c r="AG1289" s="84" t="n">
        <x:f>IF(AND(AE1289="Keep",AF1289="Valid"),1,0)</x:f>
        <x:v>1</x:v>
      </x:c>
      <x:c r="AH1289" s="84" t="n">
        <x:f>IF(AND(AG1289=1,OR('Dashboard'!$B$4="All",I1289='Dashboard'!$B$4),OR('Dashboard'!$E$4="All",N1289='Dashboard'!$E$4),OR('Dashboard'!$H$4="All",K1289='Dashboard'!$H$4),OR('Dashboard'!$K$4="All",C1289='Dashboard'!$K$4)),1,0)</x:f>
        <x:v>1</x:v>
      </x:c>
      <x:c r="AI1289" s="84" t="n">
        <x:f>IF(AND(AG1289=1,OR('Dashboard'!$B$4="All",I1289='Dashboard'!$B$4),OR('Dashboard'!$E$4="All",N1289='Dashboard'!$E$4),OR('Dashboard'!$H$4="All",K1289='Dashboard'!$H$4)),1,0)</x:f>
        <x:v>1</x:v>
      </x:c>
    </x:row>
    <x:row r="1290">
      <x:c r="A1290" s="84" t="str">
        <x:f>'Raw Sales'!A1290</x:f>
        <x:v>ORD-2025-01398</x:v>
      </x:c>
      <x:c r="B1290" s="85" t="n">
        <x:f>'Raw Sales'!B1290</x:f>
        <x:v>45714</x:v>
      </x:c>
      <x:c r="C1290" s="84" t="n">
        <x:f>YEAR(B1290)</x:f>
        <x:v>2025</x:v>
      </x:c>
      <x:c r="D1290" s="91" t="n">
        <x:f>DATE(YEAR(B1290),MONTH(B1290),1)</x:f>
        <x:v>45689</x:v>
      </x:c>
      <x:c r="E1290" s="84" t="str">
        <x:f>TEXT(B1290,"mmm")</x:f>
        <x:v>Feb</x:v>
      </x:c>
      <x:c r="F1290" s="84" t="str">
        <x:f>'Raw Sales'!C1290</x:f>
        <x:v>CUST-0221</x:v>
      </x:c>
      <x:c r="G1290" s="84" t="str">
        <x:f>PROPER(TRIM('Raw Sales'!D1290))</x:f>
        <x:v>Priya Irwin</x:v>
      </x:c>
      <x:c r="H1290" s="84" t="str">
        <x:f>IF(TRIM('Raw Sales'!E1290)="","Unknown",PROPER(TRIM('Raw Sales'!E1290)))</x:f>
        <x:v>Consumer</x:v>
      </x:c>
      <x:c r="I1290" s="84" t="str">
        <x:f>PROPER(TRIM('Raw Sales'!F1290))</x:f>
        <x:v>Southeast</x:v>
      </x:c>
      <x:c r="J1290" s="84" t="str">
        <x:f>PROPER(TRIM('Raw Sales'!G1290))</x:f>
        <x:v>Charlotte</x:v>
      </x:c>
      <x:c r="K1290" s="84" t="str">
        <x:f>PROPER(TRIM('Raw Sales'!H1290))</x:f>
        <x:v>Retail Store</x:v>
      </x:c>
      <x:c r="L1290" s="84" t="str">
        <x:f>'Raw Sales'!I1290</x:f>
        <x:v>OFFC-003</x:v>
      </x:c>
      <x:c r="M1290" s="84" t="str">
        <x:f>IFERROR(VLOOKUP(L1290,'Reference Data'!$A$5:$F$40,2,FALSE),"Unknown Product")</x:f>
        <x:v>LED Desk Lamp</x:v>
      </x:c>
      <x:c r="N1290" s="84" t="str">
        <x:f>IFERROR(VLOOKUP(L1290,'Reference Data'!$A$5:$F$40,3,FALSE),"Unknown")</x:f>
        <x:v>Office</x:v>
      </x:c>
      <x:c r="O1290" s="84" t="str">
        <x:f>IFERROR(VLOOKUP(L1290,'Reference Data'!$A$5:$F$40,4,FALSE),"Unknown")</x:f>
        <x:v>Desk Accessories</x:v>
      </x:c>
      <x:c r="P1290" s="92" t="n">
        <x:f>IFERROR(VLOOKUP(L1290,'Reference Data'!$A$5:$F$40,5,FALSE),0)</x:f>
        <x:v>45</x:v>
      </x:c>
      <x:c r="Q1290" s="92" t="n">
        <x:f>IFERROR(VLOOKUP(L1290,'Reference Data'!$A$5:$F$40,6,FALSE),0)</x:f>
        <x:v>20</x:v>
      </x:c>
      <x:c r="R1290" s="84" t="n">
        <x:f>'Raw Sales'!J1290</x:f>
        <x:v>1</x:v>
      </x:c>
      <x:c r="S1290" s="87" t="n">
        <x:f>'Raw Sales'!K1290</x:f>
        <x:v>0.05</x:v>
      </x:c>
      <x:c r="T1290" s="93" t="n">
        <x:f>P1290*R1290</x:f>
        <x:v>45</x:v>
      </x:c>
      <x:c r="U1290" s="93" t="n">
        <x:f>T1290*S1290</x:f>
        <x:v>2.25</x:v>
      </x:c>
      <x:c r="V1290" s="93" t="str">
        <x:f>PROPER(TRIM('Raw Sales'!L1290))</x:f>
        <x:v>Completed</x:v>
      </x:c>
      <x:c r="W1290" s="93" t="n">
        <x:f>IF(V1290="Returned",0,T1290-U1290)</x:f>
        <x:v>42.75</x:v>
      </x:c>
      <x:c r="X1290" s="93" t="n">
        <x:f>IF(V1290="Returned",Q1290*R1290*10%,Q1290*R1290)</x:f>
        <x:v>20</x:v>
      </x:c>
      <x:c r="Y1290" s="93" t="n">
        <x:f>W1290-X1290</x:f>
        <x:v>22.75</x:v>
      </x:c>
      <x:c r="Z1290" s="94" t="n">
        <x:f>IFERROR(Y1290/W1290,0)</x:f>
        <x:v>0.5321637426900585</x:v>
      </x:c>
      <x:c r="AA1290" s="84" t="str">
        <x:f>PROPER(TRIM('Raw Sales'!M1290))</x:f>
        <x:v>Credit Card</x:v>
      </x:c>
      <x:c r="AB1290" s="84" t="str">
        <x:f>PROPER(TRIM('Raw Sales'!N1290))</x:f>
        <x:v>Liam Parker</x:v>
      </x:c>
      <x:c r="AC1290" s="85" t="n">
        <x:f>'Raw Sales'!O1290</x:f>
        <x:v>45714</x:v>
      </x:c>
      <x:c r="AD1290" s="84" t="n">
        <x:f>AC1290-B1290</x:f>
        <x:v>0</x:v>
      </x:c>
      <x:c r="AE1290" s="84" t="str">
        <x:f>IF(COUNTIF($A$5:A1290,A1290)&gt;1,"Duplicate","Keep")</x:f>
        <x:v>Keep</x:v>
      </x:c>
      <x:c r="AF1290" s="84" t="str">
        <x:f>IF(OR(R1290&lt;=0,AC1290&lt;B1290,H1290="Unknown",M1290="Unknown Product"),"Review","Valid")</x:f>
        <x:v>Valid</x:v>
      </x:c>
      <x:c r="AG1290" s="84" t="n">
        <x:f>IF(AND(AE1290="Keep",AF1290="Valid"),1,0)</x:f>
        <x:v>1</x:v>
      </x:c>
      <x:c r="AH1290" s="84" t="n">
        <x:f>IF(AND(AG1290=1,OR('Dashboard'!$B$4="All",I1290='Dashboard'!$B$4),OR('Dashboard'!$E$4="All",N1290='Dashboard'!$E$4),OR('Dashboard'!$H$4="All",K1290='Dashboard'!$H$4),OR('Dashboard'!$K$4="All",C1290='Dashboard'!$K$4)),1,0)</x:f>
        <x:v>1</x:v>
      </x:c>
      <x:c r="AI1290" s="84" t="n">
        <x:f>IF(AND(AG1290=1,OR('Dashboard'!$B$4="All",I1290='Dashboard'!$B$4),OR('Dashboard'!$E$4="All",N1290='Dashboard'!$E$4),OR('Dashboard'!$H$4="All",K1290='Dashboard'!$H$4)),1,0)</x:f>
        <x:v>1</x:v>
      </x:c>
    </x:row>
    <x:row r="1291">
      <x:c r="A1291" s="84" t="str">
        <x:f>'Raw Sales'!A1291</x:f>
        <x:v>ORD-2025-01867</x:v>
      </x:c>
      <x:c r="B1291" s="85" t="n">
        <x:f>'Raw Sales'!B1291</x:f>
        <x:v>45714</x:v>
      </x:c>
      <x:c r="C1291" s="84" t="n">
        <x:f>YEAR(B1291)</x:f>
        <x:v>2025</x:v>
      </x:c>
      <x:c r="D1291" s="91" t="n">
        <x:f>DATE(YEAR(B1291),MONTH(B1291),1)</x:f>
        <x:v>45689</x:v>
      </x:c>
      <x:c r="E1291" s="84" t="str">
        <x:f>TEXT(B1291,"mmm")</x:f>
        <x:v>Feb</x:v>
      </x:c>
      <x:c r="F1291" s="84" t="str">
        <x:f>'Raw Sales'!C1291</x:f>
        <x:v>CUST-0207</x:v>
      </x:c>
      <x:c r="G1291" s="84" t="str">
        <x:f>PROPER(TRIM('Raw Sales'!D1291))</x:f>
        <x:v>Marcus Khan</x:v>
      </x:c>
      <x:c r="H1291" s="84" t="str">
        <x:f>IF(TRIM('Raw Sales'!E1291)="","Unknown",PROPER(TRIM('Raw Sales'!E1291)))</x:f>
        <x:v>Consumer</x:v>
      </x:c>
      <x:c r="I1291" s="84" t="str">
        <x:f>PROPER(TRIM('Raw Sales'!F1291))</x:f>
        <x:v>Southeast</x:v>
      </x:c>
      <x:c r="J1291" s="84" t="str">
        <x:f>PROPER(TRIM('Raw Sales'!G1291))</x:f>
        <x:v>Atlanta</x:v>
      </x:c>
      <x:c r="K1291" s="84" t="str">
        <x:f>PROPER(TRIM('Raw Sales'!H1291))</x:f>
        <x:v>Marketplace</x:v>
      </x:c>
      <x:c r="L1291" s="84" t="str">
        <x:f>'Raw Sales'!I1291</x:f>
        <x:v>FITN-001</x:v>
      </x:c>
      <x:c r="M1291" s="84" t="str">
        <x:f>IFERROR(VLOOKUP(L1291,'Reference Data'!$A$5:$F$40,2,FALSE),"Unknown Product")</x:f>
        <x:v>Yoga Mat</x:v>
      </x:c>
      <x:c r="N1291" s="84" t="str">
        <x:f>IFERROR(VLOOKUP(L1291,'Reference Data'!$A$5:$F$40,3,FALSE),"Unknown")</x:f>
        <x:v>Fitness</x:v>
      </x:c>
      <x:c r="O1291" s="84" t="str">
        <x:f>IFERROR(VLOOKUP(L1291,'Reference Data'!$A$5:$F$40,4,FALSE),"Unknown")</x:f>
        <x:v>Yoga</x:v>
      </x:c>
      <x:c r="P1291" s="92" t="n">
        <x:f>IFERROR(VLOOKUP(L1291,'Reference Data'!$A$5:$F$40,5,FALSE),0)</x:f>
        <x:v>35</x:v>
      </x:c>
      <x:c r="Q1291" s="92" t="n">
        <x:f>IFERROR(VLOOKUP(L1291,'Reference Data'!$A$5:$F$40,6,FALSE),0)</x:f>
        <x:v>13</x:v>
      </x:c>
      <x:c r="R1291" s="84" t="n">
        <x:f>'Raw Sales'!J1291</x:f>
        <x:v>1</x:v>
      </x:c>
      <x:c r="S1291" s="87" t="n">
        <x:f>'Raw Sales'!K1291</x:f>
        <x:v>0</x:v>
      </x:c>
      <x:c r="T1291" s="93" t="n">
        <x:f>P1291*R1291</x:f>
        <x:v>35</x:v>
      </x:c>
      <x:c r="U1291" s="93" t="n">
        <x:f>T1291*S1291</x:f>
        <x:v>0</x:v>
      </x:c>
      <x:c r="V1291" s="93" t="str">
        <x:f>PROPER(TRIM('Raw Sales'!L1291))</x:f>
        <x:v>Completed</x:v>
      </x:c>
      <x:c r="W1291" s="93" t="n">
        <x:f>IF(V1291="Returned",0,T1291-U1291)</x:f>
        <x:v>35</x:v>
      </x:c>
      <x:c r="X1291" s="93" t="n">
        <x:f>IF(V1291="Returned",Q1291*R1291*10%,Q1291*R1291)</x:f>
        <x:v>13</x:v>
      </x:c>
      <x:c r="Y1291" s="93" t="n">
        <x:f>W1291-X1291</x:f>
        <x:v>22</x:v>
      </x:c>
      <x:c r="Z1291" s="94" t="n">
        <x:f>IFERROR(Y1291/W1291,0)</x:f>
        <x:v>0.6285714285714286</x:v>
      </x:c>
      <x:c r="AA1291" s="84" t="str">
        <x:f>PROPER(TRIM('Raw Sales'!M1291))</x:f>
        <x:v>Mobile Wallet</x:v>
      </x:c>
      <x:c r="AB1291" s="84" t="str">
        <x:f>PROPER(TRIM('Raw Sales'!N1291))</x:f>
        <x:v>Liam Parker</x:v>
      </x:c>
      <x:c r="AC1291" s="85" t="n">
        <x:f>'Raw Sales'!O1291</x:f>
        <x:v>45722</x:v>
      </x:c>
      <x:c r="AD1291" s="84" t="n">
        <x:f>AC1291-B1291</x:f>
        <x:v>8</x:v>
      </x:c>
      <x:c r="AE1291" s="84" t="str">
        <x:f>IF(COUNTIF($A$5:A1291,A1291)&gt;1,"Duplicate","Keep")</x:f>
        <x:v>Keep</x:v>
      </x:c>
      <x:c r="AF1291" s="84" t="str">
        <x:f>IF(OR(R1291&lt;=0,AC1291&lt;B1291,H1291="Unknown",M1291="Unknown Product"),"Review","Valid")</x:f>
        <x:v>Valid</x:v>
      </x:c>
      <x:c r="AG1291" s="84" t="n">
        <x:f>IF(AND(AE1291="Keep",AF1291="Valid"),1,0)</x:f>
        <x:v>1</x:v>
      </x:c>
      <x:c r="AH1291" s="84" t="n">
        <x:f>IF(AND(AG1291=1,OR('Dashboard'!$B$4="All",I1291='Dashboard'!$B$4),OR('Dashboard'!$E$4="All",N1291='Dashboard'!$E$4),OR('Dashboard'!$H$4="All",K1291='Dashboard'!$H$4),OR('Dashboard'!$K$4="All",C1291='Dashboard'!$K$4)),1,0)</x:f>
        <x:v>1</x:v>
      </x:c>
      <x:c r="AI1291" s="84" t="n">
        <x:f>IF(AND(AG1291=1,OR('Dashboard'!$B$4="All",I1291='Dashboard'!$B$4),OR('Dashboard'!$E$4="All",N1291='Dashboard'!$E$4),OR('Dashboard'!$H$4="All",K1291='Dashboard'!$H$4)),1,0)</x:f>
        <x:v>1</x:v>
      </x:c>
    </x:row>
    <x:row r="1292">
      <x:c r="A1292" s="84" t="str">
        <x:f>'Raw Sales'!A1292</x:f>
        <x:v>ORD-2025-00587</x:v>
      </x:c>
      <x:c r="B1292" s="85" t="n">
        <x:f>'Raw Sales'!B1292</x:f>
        <x:v>45717</x:v>
      </x:c>
      <x:c r="C1292" s="84" t="n">
        <x:f>YEAR(B1292)</x:f>
        <x:v>2025</x:v>
      </x:c>
      <x:c r="D1292" s="91" t="n">
        <x:f>DATE(YEAR(B1292),MONTH(B1292),1)</x:f>
        <x:v>45717</x:v>
      </x:c>
      <x:c r="E1292" s="84" t="str">
        <x:f>TEXT(B1292,"mmm")</x:f>
        <x:v>Mar</x:v>
      </x:c>
      <x:c r="F1292" s="84" t="str">
        <x:f>'Raw Sales'!C1292</x:f>
        <x:v>CUST-0296</x:v>
      </x:c>
      <x:c r="G1292" s="84" t="str">
        <x:f>PROPER(TRIM('Raw Sales'!D1292))</x:f>
        <x:v>Sara Irwin</x:v>
      </x:c>
      <x:c r="H1292" s="84" t="str">
        <x:f>IF(TRIM('Raw Sales'!E1292)="","Unknown",PROPER(TRIM('Raw Sales'!E1292)))</x:f>
        <x:v>Corporate</x:v>
      </x:c>
      <x:c r="I1292" s="84" t="str">
        <x:f>PROPER(TRIM('Raw Sales'!F1292))</x:f>
        <x:v>Midwest</x:v>
      </x:c>
      <x:c r="J1292" s="84" t="str">
        <x:f>PROPER(TRIM('Raw Sales'!G1292))</x:f>
        <x:v>Columbus</x:v>
      </x:c>
      <x:c r="K1292" s="84" t="str">
        <x:f>PROPER(TRIM('Raw Sales'!H1292))</x:f>
        <x:v>Retail Store</x:v>
      </x:c>
      <x:c r="L1292" s="84" t="str">
        <x:f>'Raw Sales'!I1292</x:f>
        <x:v>HOME-002</x:v>
      </x:c>
      <x:c r="M1292" s="84" t="str">
        <x:f>IFERROR(VLOOKUP(L1292,'Reference Data'!$A$5:$F$40,2,FALSE),"Unknown Product")</x:f>
        <x:v>Electric Kettle</x:v>
      </x:c>
      <x:c r="N1292" s="84" t="str">
        <x:f>IFERROR(VLOOKUP(L1292,'Reference Data'!$A$5:$F$40,3,FALSE),"Unknown")</x:f>
        <x:v>Home &amp; Kitchen</x:v>
      </x:c>
      <x:c r="O1292" s="84" t="str">
        <x:f>IFERROR(VLOOKUP(L1292,'Reference Data'!$A$5:$F$40,4,FALSE),"Unknown")</x:f>
        <x:v>Small Appliances</x:v>
      </x:c>
      <x:c r="P1292" s="92" t="n">
        <x:f>IFERROR(VLOOKUP(L1292,'Reference Data'!$A$5:$F$40,5,FALSE),0)</x:f>
        <x:v>49</x:v>
      </x:c>
      <x:c r="Q1292" s="92" t="n">
        <x:f>IFERROR(VLOOKUP(L1292,'Reference Data'!$A$5:$F$40,6,FALSE),0)</x:f>
        <x:v>23</x:v>
      </x:c>
      <x:c r="R1292" s="84" t="n">
        <x:f>'Raw Sales'!J1292</x:f>
        <x:v>3</x:v>
      </x:c>
      <x:c r="S1292" s="87" t="n">
        <x:f>'Raw Sales'!K1292</x:f>
        <x:v>0</x:v>
      </x:c>
      <x:c r="T1292" s="93" t="n">
        <x:f>P1292*R1292</x:f>
        <x:v>147</x:v>
      </x:c>
      <x:c r="U1292" s="93" t="n">
        <x:f>T1292*S1292</x:f>
        <x:v>0</x:v>
      </x:c>
      <x:c r="V1292" s="93" t="str">
        <x:f>PROPER(TRIM('Raw Sales'!L1292))</x:f>
        <x:v>Completed</x:v>
      </x:c>
      <x:c r="W1292" s="93" t="n">
        <x:f>IF(V1292="Returned",0,T1292-U1292)</x:f>
        <x:v>147</x:v>
      </x:c>
      <x:c r="X1292" s="93" t="n">
        <x:f>IF(V1292="Returned",Q1292*R1292*10%,Q1292*R1292)</x:f>
        <x:v>69</x:v>
      </x:c>
      <x:c r="Y1292" s="93" t="n">
        <x:f>W1292-X1292</x:f>
        <x:v>78</x:v>
      </x:c>
      <x:c r="Z1292" s="94" t="n">
        <x:f>IFERROR(Y1292/W1292,0)</x:f>
        <x:v>0.5306122448979592</x:v>
      </x:c>
      <x:c r="AA1292" s="84" t="str">
        <x:f>PROPER(TRIM('Raw Sales'!M1292))</x:f>
        <x:v>Debit Card</x:v>
      </x:c>
      <x:c r="AB1292" s="84" t="str">
        <x:f>PROPER(TRIM('Raw Sales'!N1292))</x:f>
        <x:v>Zoe Turner</x:v>
      </x:c>
      <x:c r="AC1292" s="85" t="n">
        <x:f>'Raw Sales'!O1292</x:f>
        <x:v>45718</x:v>
      </x:c>
      <x:c r="AD1292" s="84" t="n">
        <x:f>AC1292-B1292</x:f>
        <x:v>1</x:v>
      </x:c>
      <x:c r="AE1292" s="84" t="str">
        <x:f>IF(COUNTIF($A$5:A1292,A1292)&gt;1,"Duplicate","Keep")</x:f>
        <x:v>Keep</x:v>
      </x:c>
      <x:c r="AF1292" s="84" t="str">
        <x:f>IF(OR(R1292&lt;=0,AC1292&lt;B1292,H1292="Unknown",M1292="Unknown Product"),"Review","Valid")</x:f>
        <x:v>Valid</x:v>
      </x:c>
      <x:c r="AG1292" s="84" t="n">
        <x:f>IF(AND(AE1292="Keep",AF1292="Valid"),1,0)</x:f>
        <x:v>1</x:v>
      </x:c>
      <x:c r="AH1292" s="84" t="n">
        <x:f>IF(AND(AG1292=1,OR('Dashboard'!$B$4="All",I1292='Dashboard'!$B$4),OR('Dashboard'!$E$4="All",N1292='Dashboard'!$E$4),OR('Dashboard'!$H$4="All",K1292='Dashboard'!$H$4),OR('Dashboard'!$K$4="All",C1292='Dashboard'!$K$4)),1,0)</x:f>
        <x:v>1</x:v>
      </x:c>
      <x:c r="AI1292" s="84" t="n">
        <x:f>IF(AND(AG1292=1,OR('Dashboard'!$B$4="All",I1292='Dashboard'!$B$4),OR('Dashboard'!$E$4="All",N1292='Dashboard'!$E$4),OR('Dashboard'!$H$4="All",K1292='Dashboard'!$H$4)),1,0)</x:f>
        <x:v>1</x:v>
      </x:c>
    </x:row>
    <x:row r="1293">
      <x:c r="A1293" s="84" t="str">
        <x:f>'Raw Sales'!A1293</x:f>
        <x:v>ORD-2025-00605</x:v>
      </x:c>
      <x:c r="B1293" s="85" t="n">
        <x:f>'Raw Sales'!B1293</x:f>
        <x:v>45717</x:v>
      </x:c>
      <x:c r="C1293" s="84" t="n">
        <x:f>YEAR(B1293)</x:f>
        <x:v>2025</x:v>
      </x:c>
      <x:c r="D1293" s="91" t="n">
        <x:f>DATE(YEAR(B1293),MONTH(B1293),1)</x:f>
        <x:v>45717</x:v>
      </x:c>
      <x:c r="E1293" s="84" t="str">
        <x:f>TEXT(B1293,"mmm")</x:f>
        <x:v>Mar</x:v>
      </x:c>
      <x:c r="F1293" s="84" t="str">
        <x:f>'Raw Sales'!C1293</x:f>
        <x:v>CUST-0228</x:v>
      </x:c>
      <x:c r="G1293" s="84" t="str">
        <x:f>PROPER(TRIM('Raw Sales'!D1293))</x:f>
        <x:v>Victoria Irwin</x:v>
      </x:c>
      <x:c r="H1293" s="84" t="str">
        <x:f>IF(TRIM('Raw Sales'!E1293)="","Unknown",PROPER(TRIM('Raw Sales'!E1293)))</x:f>
        <x:v>Consumer</x:v>
      </x:c>
      <x:c r="I1293" s="84" t="str">
        <x:f>PROPER(TRIM('Raw Sales'!F1293))</x:f>
        <x:v>Midwest</x:v>
      </x:c>
      <x:c r="J1293" s="84" t="str">
        <x:f>PROPER(TRIM('Raw Sales'!G1293))</x:f>
        <x:v>Columbus</x:v>
      </x:c>
      <x:c r="K1293" s="84" t="str">
        <x:f>PROPER(TRIM('Raw Sales'!H1293))</x:f>
        <x:v>Retail Store</x:v>
      </x:c>
      <x:c r="L1293" s="84" t="str">
        <x:f>'Raw Sales'!I1293</x:f>
        <x:v>FITN-002</x:v>
      </x:c>
      <x:c r="M1293" s="84" t="str">
        <x:f>IFERROR(VLOOKUP(L1293,'Reference Data'!$A$5:$F$40,2,FALSE),"Unknown Product")</x:f>
        <x:v>Adjustable Dumbbell Set</x:v>
      </x:c>
      <x:c r="N1293" s="84" t="str">
        <x:f>IFERROR(VLOOKUP(L1293,'Reference Data'!$A$5:$F$40,3,FALSE),"Unknown")</x:f>
        <x:v>Fitness</x:v>
      </x:c>
      <x:c r="O1293" s="84" t="str">
        <x:f>IFERROR(VLOOKUP(L1293,'Reference Data'!$A$5:$F$40,4,FALSE),"Unknown")</x:f>
        <x:v>Strength</x:v>
      </x:c>
      <x:c r="P1293" s="92" t="n">
        <x:f>IFERROR(VLOOKUP(L1293,'Reference Data'!$A$5:$F$40,5,FALSE),0)</x:f>
        <x:v>99</x:v>
      </x:c>
      <x:c r="Q1293" s="92" t="n">
        <x:f>IFERROR(VLOOKUP(L1293,'Reference Data'!$A$5:$F$40,6,FALSE),0)</x:f>
        <x:v>57</x:v>
      </x:c>
      <x:c r="R1293" s="84" t="n">
        <x:f>'Raw Sales'!J1293</x:f>
        <x:v>2</x:v>
      </x:c>
      <x:c r="S1293" s="87" t="n">
        <x:f>'Raw Sales'!K1293</x:f>
        <x:v>0.05</x:v>
      </x:c>
      <x:c r="T1293" s="93" t="n">
        <x:f>P1293*R1293</x:f>
        <x:v>198</x:v>
      </x:c>
      <x:c r="U1293" s="93" t="n">
        <x:f>T1293*S1293</x:f>
        <x:v>9.9</x:v>
      </x:c>
      <x:c r="V1293" s="93" t="str">
        <x:f>PROPER(TRIM('Raw Sales'!L1293))</x:f>
        <x:v>Completed</x:v>
      </x:c>
      <x:c r="W1293" s="93" t="n">
        <x:f>IF(V1293="Returned",0,T1293-U1293)</x:f>
        <x:v>188.1</x:v>
      </x:c>
      <x:c r="X1293" s="93" t="n">
        <x:f>IF(V1293="Returned",Q1293*R1293*10%,Q1293*R1293)</x:f>
        <x:v>114</x:v>
      </x:c>
      <x:c r="Y1293" s="93" t="n">
        <x:f>W1293-X1293</x:f>
        <x:v>74.1</x:v>
      </x:c>
      <x:c r="Z1293" s="94" t="n">
        <x:f>IFERROR(Y1293/W1293,0)</x:f>
        <x:v>0.3939393939393939</x:v>
      </x:c>
      <x:c r="AA1293" s="84" t="str">
        <x:f>PROPER(TRIM('Raw Sales'!M1293))</x:f>
        <x:v>Debit Card</x:v>
      </x:c>
      <x:c r="AB1293" s="84" t="str">
        <x:f>PROPER(TRIM('Raw Sales'!N1293))</x:f>
        <x:v>Lucas Grant</x:v>
      </x:c>
      <x:c r="AC1293" s="85" t="n">
        <x:f>'Raw Sales'!O1293</x:f>
        <x:v>45717</x:v>
      </x:c>
      <x:c r="AD1293" s="84" t="n">
        <x:f>AC1293-B1293</x:f>
        <x:v>0</x:v>
      </x:c>
      <x:c r="AE1293" s="84" t="str">
        <x:f>IF(COUNTIF($A$5:A1293,A1293)&gt;1,"Duplicate","Keep")</x:f>
        <x:v>Keep</x:v>
      </x:c>
      <x:c r="AF1293" s="84" t="str">
        <x:f>IF(OR(R1293&lt;=0,AC1293&lt;B1293,H1293="Unknown",M1293="Unknown Product"),"Review","Valid")</x:f>
        <x:v>Valid</x:v>
      </x:c>
      <x:c r="AG1293" s="84" t="n">
        <x:f>IF(AND(AE1293="Keep",AF1293="Valid"),1,0)</x:f>
        <x:v>1</x:v>
      </x:c>
      <x:c r="AH1293" s="84" t="n">
        <x:f>IF(AND(AG1293=1,OR('Dashboard'!$B$4="All",I1293='Dashboard'!$B$4),OR('Dashboard'!$E$4="All",N1293='Dashboard'!$E$4),OR('Dashboard'!$H$4="All",K1293='Dashboard'!$H$4),OR('Dashboard'!$K$4="All",C1293='Dashboard'!$K$4)),1,0)</x:f>
        <x:v>1</x:v>
      </x:c>
      <x:c r="AI1293" s="84" t="n">
        <x:f>IF(AND(AG1293=1,OR('Dashboard'!$B$4="All",I1293='Dashboard'!$B$4),OR('Dashboard'!$E$4="All",N1293='Dashboard'!$E$4),OR('Dashboard'!$H$4="All",K1293='Dashboard'!$H$4)),1,0)</x:f>
        <x:v>1</x:v>
      </x:c>
    </x:row>
    <x:row r="1294">
      <x:c r="A1294" s="84" t="str">
        <x:f>'Raw Sales'!A1294</x:f>
        <x:v>ORD-2025-00806</x:v>
      </x:c>
      <x:c r="B1294" s="85" t="n">
        <x:f>'Raw Sales'!B1294</x:f>
        <x:v>45717</x:v>
      </x:c>
      <x:c r="C1294" s="84" t="n">
        <x:f>YEAR(B1294)</x:f>
        <x:v>2025</x:v>
      </x:c>
      <x:c r="D1294" s="91" t="n">
        <x:f>DATE(YEAR(B1294),MONTH(B1294),1)</x:f>
        <x:v>45717</x:v>
      </x:c>
      <x:c r="E1294" s="84" t="str">
        <x:f>TEXT(B1294,"mmm")</x:f>
        <x:v>Mar</x:v>
      </x:c>
      <x:c r="F1294" s="84" t="str">
        <x:f>'Raw Sales'!C1294</x:f>
        <x:v>CUST-0617</x:v>
      </x:c>
      <x:c r="G1294" s="84" t="str">
        <x:f>PROPER(TRIM('Raw Sales'!D1294))</x:f>
        <x:v>Layla Hall</x:v>
      </x:c>
      <x:c r="H1294" s="84" t="str">
        <x:f>IF(TRIM('Raw Sales'!E1294)="","Unknown",PROPER(TRIM('Raw Sales'!E1294)))</x:f>
        <x:v>Consumer</x:v>
      </x:c>
      <x:c r="I1294" s="84" t="str">
        <x:f>PROPER(TRIM('Raw Sales'!F1294))</x:f>
        <x:v>Southeast</x:v>
      </x:c>
      <x:c r="J1294" s="84" t="str">
        <x:f>PROPER(TRIM('Raw Sales'!G1294))</x:f>
        <x:v>Nashville</x:v>
      </x:c>
      <x:c r="K1294" s="84" t="str">
        <x:f>PROPER(TRIM('Raw Sales'!H1294))</x:f>
        <x:v>Online</x:v>
      </x:c>
      <x:c r="L1294" s="84" t="str">
        <x:f>'Raw Sales'!I1294</x:f>
        <x:v>FITN-004</x:v>
      </x:c>
      <x:c r="M1294" s="84" t="str">
        <x:f>IFERROR(VLOOKUP(L1294,'Reference Data'!$A$5:$F$40,2,FALSE),"Unknown Product")</x:f>
        <x:v>Fitness Tracker</x:v>
      </x:c>
      <x:c r="N1294" s="84" t="str">
        <x:f>IFERROR(VLOOKUP(L1294,'Reference Data'!$A$5:$F$40,3,FALSE),"Unknown")</x:f>
        <x:v>Fitness</x:v>
      </x:c>
      <x:c r="O1294" s="84" t="str">
        <x:f>IFERROR(VLOOKUP(L1294,'Reference Data'!$A$5:$F$40,4,FALSE),"Unknown")</x:f>
        <x:v>Wearables</x:v>
      </x:c>
      <x:c r="P1294" s="92" t="n">
        <x:f>IFERROR(VLOOKUP(L1294,'Reference Data'!$A$5:$F$40,5,FALSE),0)</x:f>
        <x:v>89</x:v>
      </x:c>
      <x:c r="Q1294" s="92" t="n">
        <x:f>IFERROR(VLOOKUP(L1294,'Reference Data'!$A$5:$F$40,6,FALSE),0)</x:f>
        <x:v>44</x:v>
      </x:c>
      <x:c r="R1294" s="84" t="n">
        <x:f>'Raw Sales'!J1294</x:f>
        <x:v>1</x:v>
      </x:c>
      <x:c r="S1294" s="87" t="n">
        <x:f>'Raw Sales'!K1294</x:f>
        <x:v>0.15</x:v>
      </x:c>
      <x:c r="T1294" s="93" t="n">
        <x:f>P1294*R1294</x:f>
        <x:v>89</x:v>
      </x:c>
      <x:c r="U1294" s="93" t="n">
        <x:f>T1294*S1294</x:f>
        <x:v>13.35</x:v>
      </x:c>
      <x:c r="V1294" s="93" t="str">
        <x:f>PROPER(TRIM('Raw Sales'!L1294))</x:f>
        <x:v>Completed</x:v>
      </x:c>
      <x:c r="W1294" s="93" t="n">
        <x:f>IF(V1294="Returned",0,T1294-U1294)</x:f>
        <x:v>75.65</x:v>
      </x:c>
      <x:c r="X1294" s="93" t="n">
        <x:f>IF(V1294="Returned",Q1294*R1294*10%,Q1294*R1294)</x:f>
        <x:v>44</x:v>
      </x:c>
      <x:c r="Y1294" s="93" t="n">
        <x:f>W1294-X1294</x:f>
        <x:v>31.650000000000006</x:v>
      </x:c>
      <x:c r="Z1294" s="94" t="n">
        <x:f>IFERROR(Y1294/W1294,0)</x:f>
        <x:v>0.4183740912095176</x:v>
      </x:c>
      <x:c r="AA1294" s="84" t="str">
        <x:f>PROPER(TRIM('Raw Sales'!M1294))</x:f>
        <x:v>Mobile Wallet</x:v>
      </x:c>
      <x:c r="AB1294" s="84" t="str">
        <x:f>PROPER(TRIM('Raw Sales'!N1294))</x:f>
        <x:v>Liam Parker</x:v>
      </x:c>
      <x:c r="AC1294" s="85" t="n">
        <x:f>'Raw Sales'!O1294</x:f>
        <x:v>45719</x:v>
      </x:c>
      <x:c r="AD1294" s="84" t="n">
        <x:f>AC1294-B1294</x:f>
        <x:v>2</x:v>
      </x:c>
      <x:c r="AE1294" s="84" t="str">
        <x:f>IF(COUNTIF($A$5:A1294,A1294)&gt;1,"Duplicate","Keep")</x:f>
        <x:v>Keep</x:v>
      </x:c>
      <x:c r="AF1294" s="84" t="str">
        <x:f>IF(OR(R1294&lt;=0,AC1294&lt;B1294,H1294="Unknown",M1294="Unknown Product"),"Review","Valid")</x:f>
        <x:v>Valid</x:v>
      </x:c>
      <x:c r="AG1294" s="84" t="n">
        <x:f>IF(AND(AE1294="Keep",AF1294="Valid"),1,0)</x:f>
        <x:v>1</x:v>
      </x:c>
      <x:c r="AH1294" s="84" t="n">
        <x:f>IF(AND(AG1294=1,OR('Dashboard'!$B$4="All",I1294='Dashboard'!$B$4),OR('Dashboard'!$E$4="All",N1294='Dashboard'!$E$4),OR('Dashboard'!$H$4="All",K1294='Dashboard'!$H$4),OR('Dashboard'!$K$4="All",C1294='Dashboard'!$K$4)),1,0)</x:f>
        <x:v>1</x:v>
      </x:c>
      <x:c r="AI1294" s="84" t="n">
        <x:f>IF(AND(AG1294=1,OR('Dashboard'!$B$4="All",I1294='Dashboard'!$B$4),OR('Dashboard'!$E$4="All",N1294='Dashboard'!$E$4),OR('Dashboard'!$H$4="All",K1294='Dashboard'!$H$4)),1,0)</x:f>
        <x:v>1</x:v>
      </x:c>
    </x:row>
    <x:row r="1295">
      <x:c r="A1295" s="84" t="str">
        <x:f>'Raw Sales'!A1295</x:f>
        <x:v>ORD-2025-00750</x:v>
      </x:c>
      <x:c r="B1295" s="85" t="n">
        <x:f>'Raw Sales'!B1295</x:f>
        <x:v>45718</x:v>
      </x:c>
      <x:c r="C1295" s="84" t="n">
        <x:f>YEAR(B1295)</x:f>
        <x:v>2025</x:v>
      </x:c>
      <x:c r="D1295" s="91" t="n">
        <x:f>DATE(YEAR(B1295),MONTH(B1295),1)</x:f>
        <x:v>45717</x:v>
      </x:c>
      <x:c r="E1295" s="84" t="str">
        <x:f>TEXT(B1295,"mmm")</x:f>
        <x:v>Mar</x:v>
      </x:c>
      <x:c r="F1295" s="84" t="str">
        <x:f>'Raw Sales'!C1295</x:f>
        <x:v>CUST-0152</x:v>
      </x:c>
      <x:c r="G1295" s="84" t="str">
        <x:f>PROPER(TRIM('Raw Sales'!D1295))</x:f>
        <x:v>Aiden Ortiz</x:v>
      </x:c>
      <x:c r="H1295" s="84" t="str">
        <x:f>IF(TRIM('Raw Sales'!E1295)="","Unknown",PROPER(TRIM('Raw Sales'!E1295)))</x:f>
        <x:v>Consumer</x:v>
      </x:c>
      <x:c r="I1295" s="84" t="str">
        <x:f>PROPER(TRIM('Raw Sales'!F1295))</x:f>
        <x:v>West</x:v>
      </x:c>
      <x:c r="J1295" s="84" t="str">
        <x:f>PROPER(TRIM('Raw Sales'!G1295))</x:f>
        <x:v>Denver</x:v>
      </x:c>
      <x:c r="K1295" s="84" t="str">
        <x:f>PROPER(TRIM('Raw Sales'!H1295))</x:f>
        <x:v>Online</x:v>
      </x:c>
      <x:c r="L1295" s="84" t="str">
        <x:f>'Raw Sales'!I1295</x:f>
        <x:v>ACCS-002</x:v>
      </x:c>
      <x:c r="M1295" s="84" t="str">
        <x:f>IFERROR(VLOOKUP(L1295,'Reference Data'!$A$5:$F$40,2,FALSE),"Unknown Product")</x:f>
        <x:v>Travel Backpack</x:v>
      </x:c>
      <x:c r="N1295" s="84" t="str">
        <x:f>IFERROR(VLOOKUP(L1295,'Reference Data'!$A$5:$F$40,3,FALSE),"Unknown")</x:f>
        <x:v>Accessories</x:v>
      </x:c>
      <x:c r="O1295" s="84" t="str">
        <x:f>IFERROR(VLOOKUP(L1295,'Reference Data'!$A$5:$F$40,4,FALSE),"Unknown")</x:f>
        <x:v>Bags</x:v>
      </x:c>
      <x:c r="P1295" s="92" t="n">
        <x:f>IFERROR(VLOOKUP(L1295,'Reference Data'!$A$5:$F$40,5,FALSE),0)</x:f>
        <x:v>89</x:v>
      </x:c>
      <x:c r="Q1295" s="92" t="n">
        <x:f>IFERROR(VLOOKUP(L1295,'Reference Data'!$A$5:$F$40,6,FALSE),0)</x:f>
        <x:v>36</x:v>
      </x:c>
      <x:c r="R1295" s="84" t="n">
        <x:f>'Raw Sales'!J1295</x:f>
        <x:v>1</x:v>
      </x:c>
      <x:c r="S1295" s="87" t="n">
        <x:f>'Raw Sales'!K1295</x:f>
        <x:v>0</x:v>
      </x:c>
      <x:c r="T1295" s="93" t="n">
        <x:f>P1295*R1295</x:f>
        <x:v>89</x:v>
      </x:c>
      <x:c r="U1295" s="93" t="n">
        <x:f>T1295*S1295</x:f>
        <x:v>0</x:v>
      </x:c>
      <x:c r="V1295" s="93" t="str">
        <x:f>PROPER(TRIM('Raw Sales'!L1295))</x:f>
        <x:v>Completed</x:v>
      </x:c>
      <x:c r="W1295" s="93" t="n">
        <x:f>IF(V1295="Returned",0,T1295-U1295)</x:f>
        <x:v>89</x:v>
      </x:c>
      <x:c r="X1295" s="93" t="n">
        <x:f>IF(V1295="Returned",Q1295*R1295*10%,Q1295*R1295)</x:f>
        <x:v>36</x:v>
      </x:c>
      <x:c r="Y1295" s="93" t="n">
        <x:f>W1295-X1295</x:f>
        <x:v>53</x:v>
      </x:c>
      <x:c r="Z1295" s="94" t="n">
        <x:f>IFERROR(Y1295/W1295,0)</x:f>
        <x:v>0.5955056179775281</x:v>
      </x:c>
      <x:c r="AA1295" s="84" t="str">
        <x:f>PROPER(TRIM('Raw Sales'!M1295))</x:f>
        <x:v>Paypal</x:v>
      </x:c>
      <x:c r="AB1295" s="84" t="str">
        <x:f>PROPER(TRIM('Raw Sales'!N1295))</x:f>
        <x:v>Nora Kim</x:v>
      </x:c>
      <x:c r="AC1295" s="85" t="n">
        <x:f>'Raw Sales'!O1295</x:f>
        <x:v>45724</x:v>
      </x:c>
      <x:c r="AD1295" s="84" t="n">
        <x:f>AC1295-B1295</x:f>
        <x:v>6</x:v>
      </x:c>
      <x:c r="AE1295" s="84" t="str">
        <x:f>IF(COUNTIF($A$5:A1295,A1295)&gt;1,"Duplicate","Keep")</x:f>
        <x:v>Keep</x:v>
      </x:c>
      <x:c r="AF1295" s="84" t="str">
        <x:f>IF(OR(R1295&lt;=0,AC1295&lt;B1295,H1295="Unknown",M1295="Unknown Product"),"Review","Valid")</x:f>
        <x:v>Valid</x:v>
      </x:c>
      <x:c r="AG1295" s="84" t="n">
        <x:f>IF(AND(AE1295="Keep",AF1295="Valid"),1,0)</x:f>
        <x:v>1</x:v>
      </x:c>
      <x:c r="AH1295" s="84" t="n">
        <x:f>IF(AND(AG1295=1,OR('Dashboard'!$B$4="All",I1295='Dashboard'!$B$4),OR('Dashboard'!$E$4="All",N1295='Dashboard'!$E$4),OR('Dashboard'!$H$4="All",K1295='Dashboard'!$H$4),OR('Dashboard'!$K$4="All",C1295='Dashboard'!$K$4)),1,0)</x:f>
        <x:v>1</x:v>
      </x:c>
      <x:c r="AI1295" s="84" t="n">
        <x:f>IF(AND(AG1295=1,OR('Dashboard'!$B$4="All",I1295='Dashboard'!$B$4),OR('Dashboard'!$E$4="All",N1295='Dashboard'!$E$4),OR('Dashboard'!$H$4="All",K1295='Dashboard'!$H$4)),1,0)</x:f>
        <x:v>1</x:v>
      </x:c>
    </x:row>
    <x:row r="1296">
      <x:c r="A1296" s="84" t="str">
        <x:f>'Raw Sales'!A1296</x:f>
        <x:v>ORD-2025-00816</x:v>
      </x:c>
      <x:c r="B1296" s="85" t="n">
        <x:f>'Raw Sales'!B1296</x:f>
        <x:v>45718</x:v>
      </x:c>
      <x:c r="C1296" s="84" t="n">
        <x:f>YEAR(B1296)</x:f>
        <x:v>2025</x:v>
      </x:c>
      <x:c r="D1296" s="91" t="n">
        <x:f>DATE(YEAR(B1296),MONTH(B1296),1)</x:f>
        <x:v>45717</x:v>
      </x:c>
      <x:c r="E1296" s="84" t="str">
        <x:f>TEXT(B1296,"mmm")</x:f>
        <x:v>Mar</x:v>
      </x:c>
      <x:c r="F1296" s="84" t="str">
        <x:f>'Raw Sales'!C1296</x:f>
        <x:v>CUST-0506</x:v>
      </x:c>
      <x:c r="G1296" s="84" t="str">
        <x:f>PROPER(TRIM('Raw Sales'!D1296))</x:f>
        <x:v>Layla Baker</x:v>
      </x:c>
      <x:c r="H1296" s="84" t="str">
        <x:f>IF(TRIM('Raw Sales'!E1296)="","Unknown",PROPER(TRIM('Raw Sales'!E1296)))</x:f>
        <x:v>Consumer</x:v>
      </x:c>
      <x:c r="I1296" s="84" t="str">
        <x:f>PROPER(TRIM('Raw Sales'!F1296))</x:f>
        <x:v>Midwest</x:v>
      </x:c>
      <x:c r="J1296" s="84" t="str">
        <x:f>PROPER(TRIM('Raw Sales'!G1296))</x:f>
        <x:v>Columbus</x:v>
      </x:c>
      <x:c r="K1296" s="84" t="str">
        <x:f>PROPER(TRIM('Raw Sales'!H1296))</x:f>
        <x:v>Retail Store</x:v>
      </x:c>
      <x:c r="L1296" s="84" t="str">
        <x:f>'Raw Sales'!I1296</x:f>
        <x:v>CARE-005</x:v>
      </x:c>
      <x:c r="M1296" s="84" t="str">
        <x:f>IFERROR(VLOOKUP(L1296,'Reference Data'!$A$5:$F$40,2,FALSE),"Unknown Product")</x:f>
        <x:v>Skin Care Starter Kit</x:v>
      </x:c>
      <x:c r="N1296" s="84" t="str">
        <x:f>IFERROR(VLOOKUP(L1296,'Reference Data'!$A$5:$F$40,3,FALSE),"Unknown")</x:f>
        <x:v>Personal Care</x:v>
      </x:c>
      <x:c r="O1296" s="84" t="str">
        <x:f>IFERROR(VLOOKUP(L1296,'Reference Data'!$A$5:$F$40,4,FALSE),"Unknown")</x:f>
        <x:v>Skin Care</x:v>
      </x:c>
      <x:c r="P1296" s="92" t="n">
        <x:f>IFERROR(VLOOKUP(L1296,'Reference Data'!$A$5:$F$40,5,FALSE),0)</x:f>
        <x:v>58</x:v>
      </x:c>
      <x:c r="Q1296" s="92" t="n">
        <x:f>IFERROR(VLOOKUP(L1296,'Reference Data'!$A$5:$F$40,6,FALSE),0)</x:f>
        <x:v>24</x:v>
      </x:c>
      <x:c r="R1296" s="84" t="n">
        <x:f>'Raw Sales'!J1296</x:f>
        <x:v>2</x:v>
      </x:c>
      <x:c r="S1296" s="87" t="n">
        <x:f>'Raw Sales'!K1296</x:f>
        <x:v>0</x:v>
      </x:c>
      <x:c r="T1296" s="93" t="n">
        <x:f>P1296*R1296</x:f>
        <x:v>116</x:v>
      </x:c>
      <x:c r="U1296" s="93" t="n">
        <x:f>T1296*S1296</x:f>
        <x:v>0</x:v>
      </x:c>
      <x:c r="V1296" s="93" t="str">
        <x:f>PROPER(TRIM('Raw Sales'!L1296))</x:f>
        <x:v>Completed</x:v>
      </x:c>
      <x:c r="W1296" s="93" t="n">
        <x:f>IF(V1296="Returned",0,T1296-U1296)</x:f>
        <x:v>116</x:v>
      </x:c>
      <x:c r="X1296" s="93" t="n">
        <x:f>IF(V1296="Returned",Q1296*R1296*10%,Q1296*R1296)</x:f>
        <x:v>48</x:v>
      </x:c>
      <x:c r="Y1296" s="93" t="n">
        <x:f>W1296-X1296</x:f>
        <x:v>68</x:v>
      </x:c>
      <x:c r="Z1296" s="94" t="n">
        <x:f>IFERROR(Y1296/W1296,0)</x:f>
        <x:v>0.5862068965517241</x:v>
      </x:c>
      <x:c r="AA1296" s="84" t="str">
        <x:f>PROPER(TRIM('Raw Sales'!M1296))</x:f>
        <x:v>Credit Card</x:v>
      </x:c>
      <x:c r="AB1296" s="84" t="str">
        <x:f>PROPER(TRIM('Raw Sales'!N1296))</x:f>
        <x:v>Lucas Grant</x:v>
      </x:c>
      <x:c r="AC1296" s="85" t="n">
        <x:f>'Raw Sales'!O1296</x:f>
        <x:v>45718</x:v>
      </x:c>
      <x:c r="AD1296" s="84" t="n">
        <x:f>AC1296-B1296</x:f>
        <x:v>0</x:v>
      </x:c>
      <x:c r="AE1296" s="84" t="str">
        <x:f>IF(COUNTIF($A$5:A1296,A1296)&gt;1,"Duplicate","Keep")</x:f>
        <x:v>Keep</x:v>
      </x:c>
      <x:c r="AF1296" s="84" t="str">
        <x:f>IF(OR(R1296&lt;=0,AC1296&lt;B1296,H1296="Unknown",M1296="Unknown Product"),"Review","Valid")</x:f>
        <x:v>Valid</x:v>
      </x:c>
      <x:c r="AG1296" s="84" t="n">
        <x:f>IF(AND(AE1296="Keep",AF1296="Valid"),1,0)</x:f>
        <x:v>1</x:v>
      </x:c>
      <x:c r="AH1296" s="84" t="n">
        <x:f>IF(AND(AG1296=1,OR('Dashboard'!$B$4="All",I1296='Dashboard'!$B$4),OR('Dashboard'!$E$4="All",N1296='Dashboard'!$E$4),OR('Dashboard'!$H$4="All",K1296='Dashboard'!$H$4),OR('Dashboard'!$K$4="All",C1296='Dashboard'!$K$4)),1,0)</x:f>
        <x:v>1</x:v>
      </x:c>
      <x:c r="AI1296" s="84" t="n">
        <x:f>IF(AND(AG1296=1,OR('Dashboard'!$B$4="All",I1296='Dashboard'!$B$4),OR('Dashboard'!$E$4="All",N1296='Dashboard'!$E$4),OR('Dashboard'!$H$4="All",K1296='Dashboard'!$H$4)),1,0)</x:f>
        <x:v>1</x:v>
      </x:c>
    </x:row>
    <x:row r="1297">
      <x:c r="A1297" s="84" t="str">
        <x:f>'Raw Sales'!A1297</x:f>
        <x:v>ORD-2025-00160</x:v>
      </x:c>
      <x:c r="B1297" s="85" t="n">
        <x:f>'Raw Sales'!B1297</x:f>
        <x:v>45719</x:v>
      </x:c>
      <x:c r="C1297" s="84" t="n">
        <x:f>YEAR(B1297)</x:f>
        <x:v>2025</x:v>
      </x:c>
      <x:c r="D1297" s="91" t="n">
        <x:f>DATE(YEAR(B1297),MONTH(B1297),1)</x:f>
        <x:v>45717</x:v>
      </x:c>
      <x:c r="E1297" s="84" t="str">
        <x:f>TEXT(B1297,"mmm")</x:f>
        <x:v>Mar</x:v>
      </x:c>
      <x:c r="F1297" s="84" t="str">
        <x:f>'Raw Sales'!C1297</x:f>
        <x:v>CUST-0617</x:v>
      </x:c>
      <x:c r="G1297" s="84" t="str">
        <x:f>PROPER(TRIM('Raw Sales'!D1297))</x:f>
        <x:v>Layla Hall</x:v>
      </x:c>
      <x:c r="H1297" s="84" t="str">
        <x:f>IF(TRIM('Raw Sales'!E1297)="","Unknown",PROPER(TRIM('Raw Sales'!E1297)))</x:f>
        <x:v>Consumer</x:v>
      </x:c>
      <x:c r="I1297" s="84" t="str">
        <x:f>PROPER(TRIM('Raw Sales'!F1297))</x:f>
        <x:v>Southeast</x:v>
      </x:c>
      <x:c r="J1297" s="84" t="str">
        <x:f>PROPER(TRIM('Raw Sales'!G1297))</x:f>
        <x:v>Nashville</x:v>
      </x:c>
      <x:c r="K1297" s="84" t="str">
        <x:f>PROPER(TRIM('Raw Sales'!H1297))</x:f>
        <x:v>Retail Store</x:v>
      </x:c>
      <x:c r="L1297" s="84" t="str">
        <x:f>'Raw Sales'!I1297</x:f>
        <x:v>OFFC-001</x:v>
      </x:c>
      <x:c r="M1297" s="84" t="str">
        <x:f>IFERROR(VLOOKUP(L1297,'Reference Data'!$A$5:$F$40,2,FALSE),"Unknown Product")</x:f>
        <x:v>Ergonomic Chair</x:v>
      </x:c>
      <x:c r="N1297" s="84" t="str">
        <x:f>IFERROR(VLOOKUP(L1297,'Reference Data'!$A$5:$F$40,3,FALSE),"Unknown")</x:f>
        <x:v>Office</x:v>
      </x:c>
      <x:c r="O1297" s="84" t="str">
        <x:f>IFERROR(VLOOKUP(L1297,'Reference Data'!$A$5:$F$40,4,FALSE),"Unknown")</x:f>
        <x:v>Furniture</x:v>
      </x:c>
      <x:c r="P1297" s="92" t="n">
        <x:f>IFERROR(VLOOKUP(L1297,'Reference Data'!$A$5:$F$40,5,FALSE),0)</x:f>
        <x:v>249</x:v>
      </x:c>
      <x:c r="Q1297" s="92" t="n">
        <x:f>IFERROR(VLOOKUP(L1297,'Reference Data'!$A$5:$F$40,6,FALSE),0)</x:f>
        <x:v>145</x:v>
      </x:c>
      <x:c r="R1297" s="84" t="n">
        <x:f>'Raw Sales'!J1297</x:f>
        <x:v>2</x:v>
      </x:c>
      <x:c r="S1297" s="87" t="n">
        <x:f>'Raw Sales'!K1297</x:f>
        <x:v>0</x:v>
      </x:c>
      <x:c r="T1297" s="93" t="n">
        <x:f>P1297*R1297</x:f>
        <x:v>498</x:v>
      </x:c>
      <x:c r="U1297" s="93" t="n">
        <x:f>T1297*S1297</x:f>
        <x:v>0</x:v>
      </x:c>
      <x:c r="V1297" s="93" t="str">
        <x:f>PROPER(TRIM('Raw Sales'!L1297))</x:f>
        <x:v>Completed</x:v>
      </x:c>
      <x:c r="W1297" s="93" t="n">
        <x:f>IF(V1297="Returned",0,T1297-U1297)</x:f>
        <x:v>498</x:v>
      </x:c>
      <x:c r="X1297" s="93" t="n">
        <x:f>IF(V1297="Returned",Q1297*R1297*10%,Q1297*R1297)</x:f>
        <x:v>290</x:v>
      </x:c>
      <x:c r="Y1297" s="93" t="n">
        <x:f>W1297-X1297</x:f>
        <x:v>208</x:v>
      </x:c>
      <x:c r="Z1297" s="94" t="n">
        <x:f>IFERROR(Y1297/W1297,0)</x:f>
        <x:v>0.41767068273092367</x:v>
      </x:c>
      <x:c r="AA1297" s="84" t="str">
        <x:f>PROPER(TRIM('Raw Sales'!M1297))</x:f>
        <x:v>Cash</x:v>
      </x:c>
      <x:c r="AB1297" s="84" t="str">
        <x:f>PROPER(TRIM('Raw Sales'!N1297))</x:f>
        <x:v>Liam Parker</x:v>
      </x:c>
      <x:c r="AC1297" s="85" t="n">
        <x:f>'Raw Sales'!O1297</x:f>
        <x:v>45719</x:v>
      </x:c>
      <x:c r="AD1297" s="84" t="n">
        <x:f>AC1297-B1297</x:f>
        <x:v>0</x:v>
      </x:c>
      <x:c r="AE1297" s="84" t="str">
        <x:f>IF(COUNTIF($A$5:A1297,A1297)&gt;1,"Duplicate","Keep")</x:f>
        <x:v>Keep</x:v>
      </x:c>
      <x:c r="AF1297" s="84" t="str">
        <x:f>IF(OR(R1297&lt;=0,AC1297&lt;B1297,H1297="Unknown",M1297="Unknown Product"),"Review","Valid")</x:f>
        <x:v>Valid</x:v>
      </x:c>
      <x:c r="AG1297" s="84" t="n">
        <x:f>IF(AND(AE1297="Keep",AF1297="Valid"),1,0)</x:f>
        <x:v>1</x:v>
      </x:c>
      <x:c r="AH1297" s="84" t="n">
        <x:f>IF(AND(AG1297=1,OR('Dashboard'!$B$4="All",I1297='Dashboard'!$B$4),OR('Dashboard'!$E$4="All",N1297='Dashboard'!$E$4),OR('Dashboard'!$H$4="All",K1297='Dashboard'!$H$4),OR('Dashboard'!$K$4="All",C1297='Dashboard'!$K$4)),1,0)</x:f>
        <x:v>1</x:v>
      </x:c>
      <x:c r="AI1297" s="84" t="n">
        <x:f>IF(AND(AG1297=1,OR('Dashboard'!$B$4="All",I1297='Dashboard'!$B$4),OR('Dashboard'!$E$4="All",N1297='Dashboard'!$E$4),OR('Dashboard'!$H$4="All",K1297='Dashboard'!$H$4)),1,0)</x:f>
        <x:v>1</x:v>
      </x:c>
    </x:row>
    <x:row r="1298">
      <x:c r="A1298" s="84" t="str">
        <x:f>'Raw Sales'!A1298</x:f>
        <x:v>ORD-2025-00428</x:v>
      </x:c>
      <x:c r="B1298" s="85" t="n">
        <x:f>'Raw Sales'!B1298</x:f>
        <x:v>45719</x:v>
      </x:c>
      <x:c r="C1298" s="84" t="n">
        <x:f>YEAR(B1298)</x:f>
        <x:v>2025</x:v>
      </x:c>
      <x:c r="D1298" s="91" t="n">
        <x:f>DATE(YEAR(B1298),MONTH(B1298),1)</x:f>
        <x:v>45717</x:v>
      </x:c>
      <x:c r="E1298" s="84" t="str">
        <x:f>TEXT(B1298,"mmm")</x:f>
        <x:v>Mar</x:v>
      </x:c>
      <x:c r="F1298" s="84" t="str">
        <x:f>'Raw Sales'!C1298</x:f>
        <x:v>CUST-0344</x:v>
      </x:c>
      <x:c r="G1298" s="84" t="str">
        <x:f>PROPER(TRIM('Raw Sales'!D1298))</x:f>
        <x:v>Elena Quinn</x:v>
      </x:c>
      <x:c r="H1298" s="84" t="str">
        <x:f>IF(TRIM('Raw Sales'!E1298)="","Unknown",PROPER(TRIM('Raw Sales'!E1298)))</x:f>
        <x:v>Small Business</x:v>
      </x:c>
      <x:c r="I1298" s="84" t="str">
        <x:f>PROPER(TRIM('Raw Sales'!F1298))</x:f>
        <x:v>Northeast</x:v>
      </x:c>
      <x:c r="J1298" s="84" t="str">
        <x:f>PROPER(TRIM('Raw Sales'!G1298))</x:f>
        <x:v>Newark</x:v>
      </x:c>
      <x:c r="K1298" s="84" t="str">
        <x:f>PROPER(TRIM('Raw Sales'!H1298))</x:f>
        <x:v>Online</x:v>
      </x:c>
      <x:c r="L1298" s="84" t="str">
        <x:f>'Raw Sales'!I1298</x:f>
        <x:v>OFFC-004</x:v>
      </x:c>
      <x:c r="M1298" s="84" t="str">
        <x:f>IFERROR(VLOOKUP(L1298,'Reference Data'!$A$5:$F$40,2,FALSE),"Unknown Product")</x:f>
        <x:v>Premium Notebook Pack</x:v>
      </x:c>
      <x:c r="N1298" s="84" t="str">
        <x:f>IFERROR(VLOOKUP(L1298,'Reference Data'!$A$5:$F$40,3,FALSE),"Unknown")</x:f>
        <x:v>Office</x:v>
      </x:c>
      <x:c r="O1298" s="84" t="str">
        <x:f>IFERROR(VLOOKUP(L1298,'Reference Data'!$A$5:$F$40,4,FALSE),"Unknown")</x:f>
        <x:v>Stationery</x:v>
      </x:c>
      <x:c r="P1298" s="92" t="n">
        <x:f>IFERROR(VLOOKUP(L1298,'Reference Data'!$A$5:$F$40,5,FALSE),0)</x:f>
        <x:v>18</x:v>
      </x:c>
      <x:c r="Q1298" s="92" t="n">
        <x:f>IFERROR(VLOOKUP(L1298,'Reference Data'!$A$5:$F$40,6,FALSE),0)</x:f>
        <x:v>6.5</x:v>
      </x:c>
      <x:c r="R1298" s="84" t="n">
        <x:f>'Raw Sales'!J1298</x:f>
        <x:v>1</x:v>
      </x:c>
      <x:c r="S1298" s="87" t="n">
        <x:f>'Raw Sales'!K1298</x:f>
        <x:v>0.05</x:v>
      </x:c>
      <x:c r="T1298" s="93" t="n">
        <x:f>P1298*R1298</x:f>
        <x:v>18</x:v>
      </x:c>
      <x:c r="U1298" s="93" t="n">
        <x:f>T1298*S1298</x:f>
        <x:v>0.9</x:v>
      </x:c>
      <x:c r="V1298" s="93" t="str">
        <x:f>PROPER(TRIM('Raw Sales'!L1298))</x:f>
        <x:v>Completed</x:v>
      </x:c>
      <x:c r="W1298" s="93" t="n">
        <x:f>IF(V1298="Returned",0,T1298-U1298)</x:f>
        <x:v>17.1</x:v>
      </x:c>
      <x:c r="X1298" s="93" t="n">
        <x:f>IF(V1298="Returned",Q1298*R1298*10%,Q1298*R1298)</x:f>
        <x:v>6.5</x:v>
      </x:c>
      <x:c r="Y1298" s="93" t="n">
        <x:f>W1298-X1298</x:f>
        <x:v>10.600000000000001</x:v>
      </x:c>
      <x:c r="Z1298" s="94" t="n">
        <x:f>IFERROR(Y1298/W1298,0)</x:f>
        <x:v>0.6198830409356726</x:v>
      </x:c>
      <x:c r="AA1298" s="84" t="str">
        <x:f>PROPER(TRIM('Raw Sales'!M1298))</x:f>
        <x:v>Paypal</x:v>
      </x:c>
      <x:c r="AB1298" s="84" t="str">
        <x:f>PROPER(TRIM('Raw Sales'!N1298))</x:f>
        <x:v>Maya Brooks</x:v>
      </x:c>
      <x:c r="AC1298" s="85" t="n">
        <x:f>'Raw Sales'!O1298</x:f>
        <x:v>45723</x:v>
      </x:c>
      <x:c r="AD1298" s="84" t="n">
        <x:f>AC1298-B1298</x:f>
        <x:v>4</x:v>
      </x:c>
      <x:c r="AE1298" s="84" t="str">
        <x:f>IF(COUNTIF($A$5:A1298,A1298)&gt;1,"Duplicate","Keep")</x:f>
        <x:v>Keep</x:v>
      </x:c>
      <x:c r="AF1298" s="84" t="str">
        <x:f>IF(OR(R1298&lt;=0,AC1298&lt;B1298,H1298="Unknown",M1298="Unknown Product"),"Review","Valid")</x:f>
        <x:v>Valid</x:v>
      </x:c>
      <x:c r="AG1298" s="84" t="n">
        <x:f>IF(AND(AE1298="Keep",AF1298="Valid"),1,0)</x:f>
        <x:v>1</x:v>
      </x:c>
      <x:c r="AH1298" s="84" t="n">
        <x:f>IF(AND(AG1298=1,OR('Dashboard'!$B$4="All",I1298='Dashboard'!$B$4),OR('Dashboard'!$E$4="All",N1298='Dashboard'!$E$4),OR('Dashboard'!$H$4="All",K1298='Dashboard'!$H$4),OR('Dashboard'!$K$4="All",C1298='Dashboard'!$K$4)),1,0)</x:f>
        <x:v>1</x:v>
      </x:c>
      <x:c r="AI1298" s="84" t="n">
        <x:f>IF(AND(AG1298=1,OR('Dashboard'!$B$4="All",I1298='Dashboard'!$B$4),OR('Dashboard'!$E$4="All",N1298='Dashboard'!$E$4),OR('Dashboard'!$H$4="All",K1298='Dashboard'!$H$4)),1,0)</x:f>
        <x:v>1</x:v>
      </x:c>
    </x:row>
    <x:row r="1299">
      <x:c r="A1299" s="84" t="str">
        <x:f>'Raw Sales'!A1299</x:f>
        <x:v>ORD-2025-00972</x:v>
      </x:c>
      <x:c r="B1299" s="85" t="n">
        <x:f>'Raw Sales'!B1299</x:f>
        <x:v>45719</x:v>
      </x:c>
      <x:c r="C1299" s="84" t="n">
        <x:f>YEAR(B1299)</x:f>
        <x:v>2025</x:v>
      </x:c>
      <x:c r="D1299" s="91" t="n">
        <x:f>DATE(YEAR(B1299),MONTH(B1299),1)</x:f>
        <x:v>45717</x:v>
      </x:c>
      <x:c r="E1299" s="84" t="str">
        <x:f>TEXT(B1299,"mmm")</x:f>
        <x:v>Mar</x:v>
      </x:c>
      <x:c r="F1299" s="84" t="str">
        <x:f>'Raw Sales'!C1299</x:f>
        <x:v>CUST-0559</x:v>
      </x:c>
      <x:c r="G1299" s="84" t="str">
        <x:f>PROPER(TRIM('Raw Sales'!D1299))</x:f>
        <x:v>Amelia Evans</x:v>
      </x:c>
      <x:c r="H1299" s="84" t="str">
        <x:f>IF(TRIM('Raw Sales'!E1299)="","Unknown",PROPER(TRIM('Raw Sales'!E1299)))</x:f>
        <x:v>Consumer</x:v>
      </x:c>
      <x:c r="I1299" s="84" t="str">
        <x:f>PROPER(TRIM('Raw Sales'!F1299))</x:f>
        <x:v>Midwest</x:v>
      </x:c>
      <x:c r="J1299" s="84" t="str">
        <x:f>PROPER(TRIM('Raw Sales'!G1299))</x:f>
        <x:v>Minneapolis</x:v>
      </x:c>
      <x:c r="K1299" s="84" t="str">
        <x:f>PROPER(TRIM('Raw Sales'!H1299))</x:f>
        <x:v>Online</x:v>
      </x:c>
      <x:c r="L1299" s="84" t="str">
        <x:f>'Raw Sales'!I1299</x:f>
        <x:v>ACCS-004</x:v>
      </x:c>
      <x:c r="M1299" s="84" t="str">
        <x:f>IFERROR(VLOOKUP(L1299,'Reference Data'!$A$5:$F$40,2,FALSE),"Unknown Product")</x:f>
        <x:v>Leather Wallet</x:v>
      </x:c>
      <x:c r="N1299" s="84" t="str">
        <x:f>IFERROR(VLOOKUP(L1299,'Reference Data'!$A$5:$F$40,3,FALSE),"Unknown")</x:f>
        <x:v>Accessories</x:v>
      </x:c>
      <x:c r="O1299" s="84" t="str">
        <x:f>IFERROR(VLOOKUP(L1299,'Reference Data'!$A$5:$F$40,4,FALSE),"Unknown")</x:f>
        <x:v>Wallets</x:v>
      </x:c>
      <x:c r="P1299" s="92" t="n">
        <x:f>IFERROR(VLOOKUP(L1299,'Reference Data'!$A$5:$F$40,5,FALSE),0)</x:f>
        <x:v>49</x:v>
      </x:c>
      <x:c r="Q1299" s="92" t="n">
        <x:f>IFERROR(VLOOKUP(L1299,'Reference Data'!$A$5:$F$40,6,FALSE),0)</x:f>
        <x:v>18</x:v>
      </x:c>
      <x:c r="R1299" s="84" t="n">
        <x:f>'Raw Sales'!J1299</x:f>
        <x:v>1</x:v>
      </x:c>
      <x:c r="S1299" s="87" t="n">
        <x:f>'Raw Sales'!K1299</x:f>
        <x:v>0.05</x:v>
      </x:c>
      <x:c r="T1299" s="93" t="n">
        <x:f>P1299*R1299</x:f>
        <x:v>49</x:v>
      </x:c>
      <x:c r="U1299" s="93" t="n">
        <x:f>T1299*S1299</x:f>
        <x:v>2.45</x:v>
      </x:c>
      <x:c r="V1299" s="93" t="str">
        <x:f>PROPER(TRIM('Raw Sales'!L1299))</x:f>
        <x:v>Completed</x:v>
      </x:c>
      <x:c r="W1299" s="93" t="n">
        <x:f>IF(V1299="Returned",0,T1299-U1299)</x:f>
        <x:v>46.55</x:v>
      </x:c>
      <x:c r="X1299" s="93" t="n">
        <x:f>IF(V1299="Returned",Q1299*R1299*10%,Q1299*R1299)</x:f>
        <x:v>18</x:v>
      </x:c>
      <x:c r="Y1299" s="93" t="n">
        <x:f>W1299-X1299</x:f>
        <x:v>28.549999999999997</x:v>
      </x:c>
      <x:c r="Z1299" s="94" t="n">
        <x:f>IFERROR(Y1299/W1299,0)</x:f>
        <x:v>0.6133190118152524</x:v>
      </x:c>
      <x:c r="AA1299" s="84" t="str">
        <x:f>PROPER(TRIM('Raw Sales'!M1299))</x:f>
        <x:v>Mobile Wallet</x:v>
      </x:c>
      <x:c r="AB1299" s="84" t="str">
        <x:f>PROPER(TRIM('Raw Sales'!N1299))</x:f>
        <x:v>Lucas Grant</x:v>
      </x:c>
      <x:c r="AC1299" s="85" t="n">
        <x:f>'Raw Sales'!O1299</x:f>
        <x:v>45721</x:v>
      </x:c>
      <x:c r="AD1299" s="84" t="n">
        <x:f>AC1299-B1299</x:f>
        <x:v>2</x:v>
      </x:c>
      <x:c r="AE1299" s="84" t="str">
        <x:f>IF(COUNTIF($A$5:A1299,A1299)&gt;1,"Duplicate","Keep")</x:f>
        <x:v>Keep</x:v>
      </x:c>
      <x:c r="AF1299" s="84" t="str">
        <x:f>IF(OR(R1299&lt;=0,AC1299&lt;B1299,H1299="Unknown",M1299="Unknown Product"),"Review","Valid")</x:f>
        <x:v>Valid</x:v>
      </x:c>
      <x:c r="AG1299" s="84" t="n">
        <x:f>IF(AND(AE1299="Keep",AF1299="Valid"),1,0)</x:f>
        <x:v>1</x:v>
      </x:c>
      <x:c r="AH1299" s="84" t="n">
        <x:f>IF(AND(AG1299=1,OR('Dashboard'!$B$4="All",I1299='Dashboard'!$B$4),OR('Dashboard'!$E$4="All",N1299='Dashboard'!$E$4),OR('Dashboard'!$H$4="All",K1299='Dashboard'!$H$4),OR('Dashboard'!$K$4="All",C1299='Dashboard'!$K$4)),1,0)</x:f>
        <x:v>1</x:v>
      </x:c>
      <x:c r="AI1299" s="84" t="n">
        <x:f>IF(AND(AG1299=1,OR('Dashboard'!$B$4="All",I1299='Dashboard'!$B$4),OR('Dashboard'!$E$4="All",N1299='Dashboard'!$E$4),OR('Dashboard'!$H$4="All",K1299='Dashboard'!$H$4)),1,0)</x:f>
        <x:v>1</x:v>
      </x:c>
    </x:row>
    <x:row r="1300">
      <x:c r="A1300" s="84" t="str">
        <x:f>'Raw Sales'!A1300</x:f>
        <x:v>ORD-2025-00888</x:v>
      </x:c>
      <x:c r="B1300" s="85" t="n">
        <x:f>'Raw Sales'!B1300</x:f>
        <x:v>45720</x:v>
      </x:c>
      <x:c r="C1300" s="84" t="n">
        <x:f>YEAR(B1300)</x:f>
        <x:v>2025</x:v>
      </x:c>
      <x:c r="D1300" s="91" t="n">
        <x:f>DATE(YEAR(B1300),MONTH(B1300),1)</x:f>
        <x:v>45717</x:v>
      </x:c>
      <x:c r="E1300" s="84" t="str">
        <x:f>TEXT(B1300,"mmm")</x:f>
        <x:v>Mar</x:v>
      </x:c>
      <x:c r="F1300" s="84" t="str">
        <x:f>'Raw Sales'!C1300</x:f>
        <x:v>CUST-0236</x:v>
      </x:c>
      <x:c r="G1300" s="84" t="str">
        <x:f>PROPER(TRIM('Raw Sales'!D1300))</x:f>
        <x:v>Chloe Ortiz</x:v>
      </x:c>
      <x:c r="H1300" s="84" t="str">
        <x:f>IF(TRIM('Raw Sales'!E1300)="","Unknown",PROPER(TRIM('Raw Sales'!E1300)))</x:f>
        <x:v>Consumer</x:v>
      </x:c>
      <x:c r="I1300" s="84" t="str">
        <x:f>PROPER(TRIM('Raw Sales'!F1300))</x:f>
        <x:v>Midwest</x:v>
      </x:c>
      <x:c r="J1300" s="84" t="str">
        <x:f>PROPER(TRIM('Raw Sales'!G1300))</x:f>
        <x:v>Minneapolis</x:v>
      </x:c>
      <x:c r="K1300" s="84" t="str">
        <x:f>PROPER(TRIM('Raw Sales'!H1300))</x:f>
        <x:v>Retail Store</x:v>
      </x:c>
      <x:c r="L1300" s="84" t="str">
        <x:f>'Raw Sales'!I1300</x:f>
        <x:v>HOME-002</x:v>
      </x:c>
      <x:c r="M1300" s="84" t="str">
        <x:f>IFERROR(VLOOKUP(L1300,'Reference Data'!$A$5:$F$40,2,FALSE),"Unknown Product")</x:f>
        <x:v>Electric Kettle</x:v>
      </x:c>
      <x:c r="N1300" s="84" t="str">
        <x:f>IFERROR(VLOOKUP(L1300,'Reference Data'!$A$5:$F$40,3,FALSE),"Unknown")</x:f>
        <x:v>Home &amp; Kitchen</x:v>
      </x:c>
      <x:c r="O1300" s="84" t="str">
        <x:f>IFERROR(VLOOKUP(L1300,'Reference Data'!$A$5:$F$40,4,FALSE),"Unknown")</x:f>
        <x:v>Small Appliances</x:v>
      </x:c>
      <x:c r="P1300" s="92" t="n">
        <x:f>IFERROR(VLOOKUP(L1300,'Reference Data'!$A$5:$F$40,5,FALSE),0)</x:f>
        <x:v>49</x:v>
      </x:c>
      <x:c r="Q1300" s="92" t="n">
        <x:f>IFERROR(VLOOKUP(L1300,'Reference Data'!$A$5:$F$40,6,FALSE),0)</x:f>
        <x:v>23</x:v>
      </x:c>
      <x:c r="R1300" s="84" t="n">
        <x:f>'Raw Sales'!J1300</x:f>
        <x:v>2</x:v>
      </x:c>
      <x:c r="S1300" s="87" t="n">
        <x:f>'Raw Sales'!K1300</x:f>
        <x:v>0.15</x:v>
      </x:c>
      <x:c r="T1300" s="93" t="n">
        <x:f>P1300*R1300</x:f>
        <x:v>98</x:v>
      </x:c>
      <x:c r="U1300" s="93" t="n">
        <x:f>T1300*S1300</x:f>
        <x:v>14.7</x:v>
      </x:c>
      <x:c r="V1300" s="93" t="str">
        <x:f>PROPER(TRIM('Raw Sales'!L1300))</x:f>
        <x:v>Completed</x:v>
      </x:c>
      <x:c r="W1300" s="93" t="n">
        <x:f>IF(V1300="Returned",0,T1300-U1300)</x:f>
        <x:v>83.3</x:v>
      </x:c>
      <x:c r="X1300" s="93" t="n">
        <x:f>IF(V1300="Returned",Q1300*R1300*10%,Q1300*R1300)</x:f>
        <x:v>46</x:v>
      </x:c>
      <x:c r="Y1300" s="93" t="n">
        <x:f>W1300-X1300</x:f>
        <x:v>37.3</x:v>
      </x:c>
      <x:c r="Z1300" s="94" t="n">
        <x:f>IFERROR(Y1300/W1300,0)</x:f>
        <x:v>0.44777911164465783</x:v>
      </x:c>
      <x:c r="AA1300" s="84" t="str">
        <x:f>PROPER(TRIM('Raw Sales'!M1300))</x:f>
        <x:v>Debit Card</x:v>
      </x:c>
      <x:c r="AB1300" s="84" t="str">
        <x:f>PROPER(TRIM('Raw Sales'!N1300))</x:f>
        <x:v>Lucas Grant</x:v>
      </x:c>
      <x:c r="AC1300" s="85" t="n">
        <x:f>'Raw Sales'!O1300</x:f>
        <x:v>45720</x:v>
      </x:c>
      <x:c r="AD1300" s="84" t="n">
        <x:f>AC1300-B1300</x:f>
        <x:v>0</x:v>
      </x:c>
      <x:c r="AE1300" s="84" t="str">
        <x:f>IF(COUNTIF($A$5:A1300,A1300)&gt;1,"Duplicate","Keep")</x:f>
        <x:v>Keep</x:v>
      </x:c>
      <x:c r="AF1300" s="84" t="str">
        <x:f>IF(OR(R1300&lt;=0,AC1300&lt;B1300,H1300="Unknown",M1300="Unknown Product"),"Review","Valid")</x:f>
        <x:v>Valid</x:v>
      </x:c>
      <x:c r="AG1300" s="84" t="n">
        <x:f>IF(AND(AE1300="Keep",AF1300="Valid"),1,0)</x:f>
        <x:v>1</x:v>
      </x:c>
      <x:c r="AH1300" s="84" t="n">
        <x:f>IF(AND(AG1300=1,OR('Dashboard'!$B$4="All",I1300='Dashboard'!$B$4),OR('Dashboard'!$E$4="All",N1300='Dashboard'!$E$4),OR('Dashboard'!$H$4="All",K1300='Dashboard'!$H$4),OR('Dashboard'!$K$4="All",C1300='Dashboard'!$K$4)),1,0)</x:f>
        <x:v>1</x:v>
      </x:c>
      <x:c r="AI1300" s="84" t="n">
        <x:f>IF(AND(AG1300=1,OR('Dashboard'!$B$4="All",I1300='Dashboard'!$B$4),OR('Dashboard'!$E$4="All",N1300='Dashboard'!$E$4),OR('Dashboard'!$H$4="All",K1300='Dashboard'!$H$4)),1,0)</x:f>
        <x:v>1</x:v>
      </x:c>
    </x:row>
    <x:row r="1301">
      <x:c r="A1301" s="84" t="str">
        <x:f>'Raw Sales'!A1301</x:f>
        <x:v>ORD-2025-01049</x:v>
      </x:c>
      <x:c r="B1301" s="85" t="n">
        <x:f>'Raw Sales'!B1301</x:f>
        <x:v>45721</x:v>
      </x:c>
      <x:c r="C1301" s="84" t="n">
        <x:f>YEAR(B1301)</x:f>
        <x:v>2025</x:v>
      </x:c>
      <x:c r="D1301" s="91" t="n">
        <x:f>DATE(YEAR(B1301),MONTH(B1301),1)</x:f>
        <x:v>45717</x:v>
      </x:c>
      <x:c r="E1301" s="84" t="str">
        <x:f>TEXT(B1301,"mmm")</x:f>
        <x:v>Mar</x:v>
      </x:c>
      <x:c r="F1301" s="84" t="str">
        <x:f>'Raw Sales'!C1301</x:f>
        <x:v>CUST-0181</x:v>
      </x:c>
      <x:c r="G1301" s="84" t="str">
        <x:f>PROPER(TRIM('Raw Sales'!D1301))</x:f>
        <x:v>Chloe Baker</x:v>
      </x:c>
      <x:c r="H1301" s="84" t="str">
        <x:f>IF(TRIM('Raw Sales'!E1301)="","Unknown",PROPER(TRIM('Raw Sales'!E1301)))</x:f>
        <x:v>Corporate</x:v>
      </x:c>
      <x:c r="I1301" s="84" t="str">
        <x:f>PROPER(TRIM('Raw Sales'!F1301))</x:f>
        <x:v>Northeast</x:v>
      </x:c>
      <x:c r="J1301" s="84" t="str">
        <x:f>PROPER(TRIM('Raw Sales'!G1301))</x:f>
        <x:v>Boston</x:v>
      </x:c>
      <x:c r="K1301" s="84" t="str">
        <x:f>PROPER(TRIM('Raw Sales'!H1301))</x:f>
        <x:v>Retail Store</x:v>
      </x:c>
      <x:c r="L1301" s="84" t="str">
        <x:f>'Raw Sales'!I1301</x:f>
        <x:v>ELEC-003</x:v>
      </x:c>
      <x:c r="M1301" s="84" t="str">
        <x:f>IFERROR(VLOOKUP(L1301,'Reference Data'!$A$5:$F$40,2,FALSE),"Unknown Product")</x:f>
        <x:v>Bluetooth Speaker</x:v>
      </x:c>
      <x:c r="N1301" s="84" t="str">
        <x:f>IFERROR(VLOOKUP(L1301,'Reference Data'!$A$5:$F$40,3,FALSE),"Unknown")</x:f>
        <x:v>Electronics</x:v>
      </x:c>
      <x:c r="O1301" s="84" t="str">
        <x:f>IFERROR(VLOOKUP(L1301,'Reference Data'!$A$5:$F$40,4,FALSE),"Unknown")</x:f>
        <x:v>Audio</x:v>
      </x:c>
      <x:c r="P1301" s="92" t="n">
        <x:f>IFERROR(VLOOKUP(L1301,'Reference Data'!$A$5:$F$40,5,FALSE),0)</x:f>
        <x:v>89</x:v>
      </x:c>
      <x:c r="Q1301" s="92" t="n">
        <x:f>IFERROR(VLOOKUP(L1301,'Reference Data'!$A$5:$F$40,6,FALSE),0)</x:f>
        <x:v>44</x:v>
      </x:c>
      <x:c r="R1301" s="84" t="n">
        <x:f>'Raw Sales'!J1301</x:f>
        <x:v>1</x:v>
      </x:c>
      <x:c r="S1301" s="87" t="n">
        <x:f>'Raw Sales'!K1301</x:f>
        <x:v>0</x:v>
      </x:c>
      <x:c r="T1301" s="93" t="n">
        <x:f>P1301*R1301</x:f>
        <x:v>89</x:v>
      </x:c>
      <x:c r="U1301" s="93" t="n">
        <x:f>T1301*S1301</x:f>
        <x:v>0</x:v>
      </x:c>
      <x:c r="V1301" s="93" t="str">
        <x:f>PROPER(TRIM('Raw Sales'!L1301))</x:f>
        <x:v>Returned</x:v>
      </x:c>
      <x:c r="W1301" s="93" t="n">
        <x:f>IF(V1301="Returned",0,T1301-U1301)</x:f>
        <x:v>0</x:v>
      </x:c>
      <x:c r="X1301" s="93" t="n">
        <x:f>IF(V1301="Returned",Q1301*R1301*10%,Q1301*R1301)</x:f>
        <x:v>4.4</x:v>
      </x:c>
      <x:c r="Y1301" s="93" t="n">
        <x:f>W1301-X1301</x:f>
        <x:v>-4.4</x:v>
      </x:c>
      <x:c r="Z1301" s="94" t="n">
        <x:f>IFERROR(Y1301/W1301,0)</x:f>
        <x:v>0</x:v>
      </x:c>
      <x:c r="AA1301" s="84" t="str">
        <x:f>PROPER(TRIM('Raw Sales'!M1301))</x:f>
        <x:v>Cash</x:v>
      </x:c>
      <x:c r="AB1301" s="84" t="str">
        <x:f>PROPER(TRIM('Raw Sales'!N1301))</x:f>
        <x:v>Sofia Bennett</x:v>
      </x:c>
      <x:c r="AC1301" s="85" t="n">
        <x:f>'Raw Sales'!O1301</x:f>
        <x:v>45722</x:v>
      </x:c>
      <x:c r="AD1301" s="84" t="n">
        <x:f>AC1301-B1301</x:f>
        <x:v>1</x:v>
      </x:c>
      <x:c r="AE1301" s="84" t="str">
        <x:f>IF(COUNTIF($A$5:A1301,A1301)&gt;1,"Duplicate","Keep")</x:f>
        <x:v>Keep</x:v>
      </x:c>
      <x:c r="AF1301" s="84" t="str">
        <x:f>IF(OR(R1301&lt;=0,AC1301&lt;B1301,H1301="Unknown",M1301="Unknown Product"),"Review","Valid")</x:f>
        <x:v>Valid</x:v>
      </x:c>
      <x:c r="AG1301" s="84" t="n">
        <x:f>IF(AND(AE1301="Keep",AF1301="Valid"),1,0)</x:f>
        <x:v>1</x:v>
      </x:c>
      <x:c r="AH1301" s="84" t="n">
        <x:f>IF(AND(AG1301=1,OR('Dashboard'!$B$4="All",I1301='Dashboard'!$B$4),OR('Dashboard'!$E$4="All",N1301='Dashboard'!$E$4),OR('Dashboard'!$H$4="All",K1301='Dashboard'!$H$4),OR('Dashboard'!$K$4="All",C1301='Dashboard'!$K$4)),1,0)</x:f>
        <x:v>1</x:v>
      </x:c>
      <x:c r="AI1301" s="84" t="n">
        <x:f>IF(AND(AG1301=1,OR('Dashboard'!$B$4="All",I1301='Dashboard'!$B$4),OR('Dashboard'!$E$4="All",N1301='Dashboard'!$E$4),OR('Dashboard'!$H$4="All",K1301='Dashboard'!$H$4)),1,0)</x:f>
        <x:v>1</x:v>
      </x:c>
    </x:row>
    <x:row r="1302">
      <x:c r="A1302" s="84" t="str">
        <x:f>'Raw Sales'!A1302</x:f>
        <x:v>ORD-2025-01113</x:v>
      </x:c>
      <x:c r="B1302" s="85" t="n">
        <x:f>'Raw Sales'!B1302</x:f>
        <x:v>45721</x:v>
      </x:c>
      <x:c r="C1302" s="84" t="n">
        <x:f>YEAR(B1302)</x:f>
        <x:v>2025</x:v>
      </x:c>
      <x:c r="D1302" s="91" t="n">
        <x:f>DATE(YEAR(B1302),MONTH(B1302),1)</x:f>
        <x:v>45717</x:v>
      </x:c>
      <x:c r="E1302" s="84" t="str">
        <x:f>TEXT(B1302,"mmm")</x:f>
        <x:v>Mar</x:v>
      </x:c>
      <x:c r="F1302" s="84" t="str">
        <x:f>'Raw Sales'!C1302</x:f>
        <x:v>CUST-0632</x:v>
      </x:c>
      <x:c r="G1302" s="84" t="str">
        <x:f>PROPER(TRIM('Raw Sales'!D1302))</x:f>
        <x:v>Caleb Adams</x:v>
      </x:c>
      <x:c r="H1302" s="84" t="str">
        <x:f>IF(TRIM('Raw Sales'!E1302)="","Unknown",PROPER(TRIM('Raw Sales'!E1302)))</x:f>
        <x:v>Consumer</x:v>
      </x:c>
      <x:c r="I1302" s="84" t="str">
        <x:f>PROPER(TRIM('Raw Sales'!F1302))</x:f>
        <x:v>West</x:v>
      </x:c>
      <x:c r="J1302" s="84" t="str">
        <x:f>PROPER(TRIM('Raw Sales'!G1302))</x:f>
        <x:v>Phoenix</x:v>
      </x:c>
      <x:c r="K1302" s="84" t="str">
        <x:f>PROPER(TRIM('Raw Sales'!H1302))</x:f>
        <x:v>Online</x:v>
      </x:c>
      <x:c r="L1302" s="84" t="str">
        <x:f>'Raw Sales'!I1302</x:f>
        <x:v>HOME-004</x:v>
      </x:c>
      <x:c r="M1302" s="84" t="str">
        <x:f>IFERROR(VLOOKUP(L1302,'Reference Data'!$A$5:$F$40,2,FALSE),"Unknown Product")</x:f>
        <x:v>Coffee Maker</x:v>
      </x:c>
      <x:c r="N1302" s="84" t="str">
        <x:f>IFERROR(VLOOKUP(L1302,'Reference Data'!$A$5:$F$40,3,FALSE),"Unknown")</x:f>
        <x:v>Home &amp; Kitchen</x:v>
      </x:c>
      <x:c r="O1302" s="84" t="str">
        <x:f>IFERROR(VLOOKUP(L1302,'Reference Data'!$A$5:$F$40,4,FALSE),"Unknown")</x:f>
        <x:v>Small Appliances</x:v>
      </x:c>
      <x:c r="P1302" s="92" t="n">
        <x:f>IFERROR(VLOOKUP(L1302,'Reference Data'!$A$5:$F$40,5,FALSE),0)</x:f>
        <x:v>99</x:v>
      </x:c>
      <x:c r="Q1302" s="92" t="n">
        <x:f>IFERROR(VLOOKUP(L1302,'Reference Data'!$A$5:$F$40,6,FALSE),0)</x:f>
        <x:v>51</x:v>
      </x:c>
      <x:c r="R1302" s="84" t="n">
        <x:f>'Raw Sales'!J1302</x:f>
        <x:v>1</x:v>
      </x:c>
      <x:c r="S1302" s="87" t="n">
        <x:f>'Raw Sales'!K1302</x:f>
        <x:v>0.05</x:v>
      </x:c>
      <x:c r="T1302" s="93" t="n">
        <x:f>P1302*R1302</x:f>
        <x:v>99</x:v>
      </x:c>
      <x:c r="U1302" s="93" t="n">
        <x:f>T1302*S1302</x:f>
        <x:v>4.95</x:v>
      </x:c>
      <x:c r="V1302" s="93" t="str">
        <x:f>PROPER(TRIM('Raw Sales'!L1302))</x:f>
        <x:v>Completed</x:v>
      </x:c>
      <x:c r="W1302" s="93" t="n">
        <x:f>IF(V1302="Returned",0,T1302-U1302)</x:f>
        <x:v>94.05</x:v>
      </x:c>
      <x:c r="X1302" s="93" t="n">
        <x:f>IF(V1302="Returned",Q1302*R1302*10%,Q1302*R1302)</x:f>
        <x:v>51</x:v>
      </x:c>
      <x:c r="Y1302" s="93" t="n">
        <x:f>W1302-X1302</x:f>
        <x:v>43.05</x:v>
      </x:c>
      <x:c r="Z1302" s="94" t="n">
        <x:f>IFERROR(Y1302/W1302,0)</x:f>
        <x:v>0.4577352472089314</x:v>
      </x:c>
      <x:c r="AA1302" s="84" t="str">
        <x:f>PROPER(TRIM('Raw Sales'!M1302))</x:f>
        <x:v>Credit Card</x:v>
      </x:c>
      <x:c r="AB1302" s="84" t="str">
        <x:f>PROPER(TRIM('Raw Sales'!N1302))</x:f>
        <x:v>Leo Martinez</x:v>
      </x:c>
      <x:c r="AC1302" s="85" t="n">
        <x:f>'Raw Sales'!O1302</x:f>
        <x:v>45719</x:v>
      </x:c>
      <x:c r="AD1302" s="84" t="n">
        <x:f>AC1302-B1302</x:f>
        <x:v>-2</x:v>
      </x:c>
      <x:c r="AE1302" s="84" t="str">
        <x:f>IF(COUNTIF($A$5:A1302,A1302)&gt;1,"Duplicate","Keep")</x:f>
        <x:v>Keep</x:v>
      </x:c>
      <x:c r="AF1302" s="84" t="str">
        <x:f>IF(OR(R1302&lt;=0,AC1302&lt;B1302,H1302="Unknown",M1302="Unknown Product"),"Review","Valid")</x:f>
        <x:v>Review</x:v>
      </x:c>
      <x:c r="AG1302" s="84" t="n">
        <x:f>IF(AND(AE1302="Keep",AF1302="Valid"),1,0)</x:f>
        <x:v>0</x:v>
      </x:c>
      <x:c r="AH1302" s="84" t="n">
        <x:f>IF(AND(AG1302=1,OR('Dashboard'!$B$4="All",I1302='Dashboard'!$B$4),OR('Dashboard'!$E$4="All",N1302='Dashboard'!$E$4),OR('Dashboard'!$H$4="All",K1302='Dashboard'!$H$4),OR('Dashboard'!$K$4="All",C1302='Dashboard'!$K$4)),1,0)</x:f>
        <x:v>0</x:v>
      </x:c>
      <x:c r="AI1302" s="84" t="n">
        <x:f>IF(AND(AG1302=1,OR('Dashboard'!$B$4="All",I1302='Dashboard'!$B$4),OR('Dashboard'!$E$4="All",N1302='Dashboard'!$E$4),OR('Dashboard'!$H$4="All",K1302='Dashboard'!$H$4)),1,0)</x:f>
        <x:v>0</x:v>
      </x:c>
    </x:row>
    <x:row r="1303">
      <x:c r="A1303" s="84" t="str">
        <x:f>'Raw Sales'!A1303</x:f>
        <x:v>ORD-2025-01431</x:v>
      </x:c>
      <x:c r="B1303" s="85" t="n">
        <x:f>'Raw Sales'!B1303</x:f>
        <x:v>45722</x:v>
      </x:c>
      <x:c r="C1303" s="84" t="n">
        <x:f>YEAR(B1303)</x:f>
        <x:v>2025</x:v>
      </x:c>
      <x:c r="D1303" s="91" t="n">
        <x:f>DATE(YEAR(B1303),MONTH(B1303),1)</x:f>
        <x:v>45717</x:v>
      </x:c>
      <x:c r="E1303" s="84" t="str">
        <x:f>TEXT(B1303,"mmm")</x:f>
        <x:v>Mar</x:v>
      </x:c>
      <x:c r="F1303" s="84" t="str">
        <x:f>'Raw Sales'!C1303</x:f>
        <x:v>CUST-0630</x:v>
      </x:c>
      <x:c r="G1303" s="84" t="str">
        <x:f>PROPER(TRIM('Raw Sales'!D1303))</x:f>
        <x:v>Jasmine Foster</x:v>
      </x:c>
      <x:c r="H1303" s="84" t="str">
        <x:f>IF(TRIM('Raw Sales'!E1303)="","Unknown",PROPER(TRIM('Raw Sales'!E1303)))</x:f>
        <x:v>Consumer</x:v>
      </x:c>
      <x:c r="I1303" s="84" t="str">
        <x:f>PROPER(TRIM('Raw Sales'!F1303))</x:f>
        <x:v>Southeast</x:v>
      </x:c>
      <x:c r="J1303" s="84" t="str">
        <x:f>PROPER(TRIM('Raw Sales'!G1303))</x:f>
        <x:v>Miami</x:v>
      </x:c>
      <x:c r="K1303" s="84" t="str">
        <x:f>PROPER(TRIM('Raw Sales'!H1303))</x:f>
        <x:v>Retail Store</x:v>
      </x:c>
      <x:c r="L1303" s="84" t="str">
        <x:f>'Raw Sales'!I1303</x:f>
        <x:v>OFFC-005</x:v>
      </x:c>
      <x:c r="M1303" s="84" t="str">
        <x:f>IFERROR(VLOOKUP(L1303,'Reference Data'!$A$5:$F$40,2,FALSE),"Unknown Product")</x:f>
        <x:v>Wireless Keyboard</x:v>
      </x:c>
      <x:c r="N1303" s="84" t="str">
        <x:f>IFERROR(VLOOKUP(L1303,'Reference Data'!$A$5:$F$40,3,FALSE),"Unknown")</x:f>
        <x:v>Office</x:v>
      </x:c>
      <x:c r="O1303" s="84" t="str">
        <x:f>IFERROR(VLOOKUP(L1303,'Reference Data'!$A$5:$F$40,4,FALSE),"Unknown")</x:f>
        <x:v>Computer Accessories</x:v>
      </x:c>
      <x:c r="P1303" s="92" t="n">
        <x:f>IFERROR(VLOOKUP(L1303,'Reference Data'!$A$5:$F$40,5,FALSE),0)</x:f>
        <x:v>59</x:v>
      </x:c>
      <x:c r="Q1303" s="92" t="n">
        <x:f>IFERROR(VLOOKUP(L1303,'Reference Data'!$A$5:$F$40,6,FALSE),0)</x:f>
        <x:v>28</x:v>
      </x:c>
      <x:c r="R1303" s="84" t="n">
        <x:f>'Raw Sales'!J1303</x:f>
        <x:v>4</x:v>
      </x:c>
      <x:c r="S1303" s="87" t="n">
        <x:f>'Raw Sales'!K1303</x:f>
        <x:v>0.05</x:v>
      </x:c>
      <x:c r="T1303" s="93" t="n">
        <x:f>P1303*R1303</x:f>
        <x:v>236</x:v>
      </x:c>
      <x:c r="U1303" s="93" t="n">
        <x:f>T1303*S1303</x:f>
        <x:v>11.8</x:v>
      </x:c>
      <x:c r="V1303" s="93" t="str">
        <x:f>PROPER(TRIM('Raw Sales'!L1303))</x:f>
        <x:v>Completed</x:v>
      </x:c>
      <x:c r="W1303" s="93" t="n">
        <x:f>IF(V1303="Returned",0,T1303-U1303)</x:f>
        <x:v>224.2</x:v>
      </x:c>
      <x:c r="X1303" s="93" t="n">
        <x:f>IF(V1303="Returned",Q1303*R1303*10%,Q1303*R1303)</x:f>
        <x:v>112</x:v>
      </x:c>
      <x:c r="Y1303" s="93" t="n">
        <x:f>W1303-X1303</x:f>
        <x:v>112.19999999999999</x:v>
      </x:c>
      <x:c r="Z1303" s="94" t="n">
        <x:f>IFERROR(Y1303/W1303,0)</x:f>
        <x:v>0.5004460303300624</x:v>
      </x:c>
      <x:c r="AA1303" s="84" t="str">
        <x:f>PROPER(TRIM('Raw Sales'!M1303))</x:f>
        <x:v>Mobile Wallet</x:v>
      </x:c>
      <x:c r="AB1303" s="84" t="str">
        <x:f>PROPER(TRIM('Raw Sales'!N1303))</x:f>
        <x:v>Liam Parker</x:v>
      </x:c>
      <x:c r="AC1303" s="85" t="n">
        <x:f>'Raw Sales'!O1303</x:f>
        <x:v>45722</x:v>
      </x:c>
      <x:c r="AD1303" s="84" t="n">
        <x:f>AC1303-B1303</x:f>
        <x:v>0</x:v>
      </x:c>
      <x:c r="AE1303" s="84" t="str">
        <x:f>IF(COUNTIF($A$5:A1303,A1303)&gt;1,"Duplicate","Keep")</x:f>
        <x:v>Keep</x:v>
      </x:c>
      <x:c r="AF1303" s="84" t="str">
        <x:f>IF(OR(R1303&lt;=0,AC1303&lt;B1303,H1303="Unknown",M1303="Unknown Product"),"Review","Valid")</x:f>
        <x:v>Valid</x:v>
      </x:c>
      <x:c r="AG1303" s="84" t="n">
        <x:f>IF(AND(AE1303="Keep",AF1303="Valid"),1,0)</x:f>
        <x:v>1</x:v>
      </x:c>
      <x:c r="AH1303" s="84" t="n">
        <x:f>IF(AND(AG1303=1,OR('Dashboard'!$B$4="All",I1303='Dashboard'!$B$4),OR('Dashboard'!$E$4="All",N1303='Dashboard'!$E$4),OR('Dashboard'!$H$4="All",K1303='Dashboard'!$H$4),OR('Dashboard'!$K$4="All",C1303='Dashboard'!$K$4)),1,0)</x:f>
        <x:v>1</x:v>
      </x:c>
      <x:c r="AI1303" s="84" t="n">
        <x:f>IF(AND(AG1303=1,OR('Dashboard'!$B$4="All",I1303='Dashboard'!$B$4),OR('Dashboard'!$E$4="All",N1303='Dashboard'!$E$4),OR('Dashboard'!$H$4="All",K1303='Dashboard'!$H$4)),1,0)</x:f>
        <x:v>1</x:v>
      </x:c>
    </x:row>
    <x:row r="1304">
      <x:c r="A1304" s="84" t="str">
        <x:f>'Raw Sales'!A1304</x:f>
        <x:v>ORD-2025-01817</x:v>
      </x:c>
      <x:c r="B1304" s="85" t="n">
        <x:f>'Raw Sales'!B1304</x:f>
        <x:v>45722</x:v>
      </x:c>
      <x:c r="C1304" s="84" t="n">
        <x:f>YEAR(B1304)</x:f>
        <x:v>2025</x:v>
      </x:c>
      <x:c r="D1304" s="91" t="n">
        <x:f>DATE(YEAR(B1304),MONTH(B1304),1)</x:f>
        <x:v>45717</x:v>
      </x:c>
      <x:c r="E1304" s="84" t="str">
        <x:f>TEXT(B1304,"mmm")</x:f>
        <x:v>Mar</x:v>
      </x:c>
      <x:c r="F1304" s="84" t="str">
        <x:f>'Raw Sales'!C1304</x:f>
        <x:v>CUST-0176</x:v>
      </x:c>
      <x:c r="G1304" s="84" t="str">
        <x:f>PROPER(TRIM('Raw Sales'!D1304))</x:f>
        <x:v>Grace Smith</x:v>
      </x:c>
      <x:c r="H1304" s="84" t="str">
        <x:f>IF(TRIM('Raw Sales'!E1304)="","Unknown",PROPER(TRIM('Raw Sales'!E1304)))</x:f>
        <x:v>Corporate</x:v>
      </x:c>
      <x:c r="I1304" s="84" t="str">
        <x:f>PROPER(TRIM('Raw Sales'!F1304))</x:f>
        <x:v>Northeast</x:v>
      </x:c>
      <x:c r="J1304" s="84" t="str">
        <x:f>PROPER(TRIM('Raw Sales'!G1304))</x:f>
        <x:v>New York</x:v>
      </x:c>
      <x:c r="K1304" s="84" t="str">
        <x:f>PROPER(TRIM('Raw Sales'!H1304))</x:f>
        <x:v>Online</x:v>
      </x:c>
      <x:c r="L1304" s="84" t="str">
        <x:f>'Raw Sales'!I1304</x:f>
        <x:v>FITN-005</x:v>
      </x:c>
      <x:c r="M1304" s="84" t="str">
        <x:f>IFERROR(VLOOKUP(L1304,'Reference Data'!$A$5:$F$40,2,FALSE),"Unknown Product")</x:f>
        <x:v>Sports Water Bottle</x:v>
      </x:c>
      <x:c r="N1304" s="84" t="str">
        <x:f>IFERROR(VLOOKUP(L1304,'Reference Data'!$A$5:$F$40,3,FALSE),"Unknown")</x:f>
        <x:v>Fitness</x:v>
      </x:c>
      <x:c r="O1304" s="84" t="str">
        <x:f>IFERROR(VLOOKUP(L1304,'Reference Data'!$A$5:$F$40,4,FALSE),"Unknown")</x:f>
        <x:v>Accessories</x:v>
      </x:c>
      <x:c r="P1304" s="92" t="n">
        <x:f>IFERROR(VLOOKUP(L1304,'Reference Data'!$A$5:$F$40,5,FALSE),0)</x:f>
        <x:v>22</x:v>
      </x:c>
      <x:c r="Q1304" s="92" t="n">
        <x:f>IFERROR(VLOOKUP(L1304,'Reference Data'!$A$5:$F$40,6,FALSE),0)</x:f>
        <x:v>7</x:v>
      </x:c>
      <x:c r="R1304" s="84" t="n">
        <x:f>'Raw Sales'!J1304</x:f>
        <x:v>3</x:v>
      </x:c>
      <x:c r="S1304" s="87" t="n">
        <x:f>'Raw Sales'!K1304</x:f>
        <x:v>0</x:v>
      </x:c>
      <x:c r="T1304" s="93" t="n">
        <x:f>P1304*R1304</x:f>
        <x:v>66</x:v>
      </x:c>
      <x:c r="U1304" s="93" t="n">
        <x:f>T1304*S1304</x:f>
        <x:v>0</x:v>
      </x:c>
      <x:c r="V1304" s="93" t="str">
        <x:f>PROPER(TRIM('Raw Sales'!L1304))</x:f>
        <x:v>Completed</x:v>
      </x:c>
      <x:c r="W1304" s="93" t="n">
        <x:f>IF(V1304="Returned",0,T1304-U1304)</x:f>
        <x:v>66</x:v>
      </x:c>
      <x:c r="X1304" s="93" t="n">
        <x:f>IF(V1304="Returned",Q1304*R1304*10%,Q1304*R1304)</x:f>
        <x:v>21</x:v>
      </x:c>
      <x:c r="Y1304" s="93" t="n">
        <x:f>W1304-X1304</x:f>
        <x:v>45</x:v>
      </x:c>
      <x:c r="Z1304" s="94" t="n">
        <x:f>IFERROR(Y1304/W1304,0)</x:f>
        <x:v>0.6818181818181818</x:v>
      </x:c>
      <x:c r="AA1304" s="84" t="str">
        <x:f>PROPER(TRIM('Raw Sales'!M1304))</x:f>
        <x:v>Credit Card</x:v>
      </x:c>
      <x:c r="AB1304" s="84" t="str">
        <x:f>PROPER(TRIM('Raw Sales'!N1304))</x:f>
        <x:v>Maya Brooks</x:v>
      </x:c>
      <x:c r="AC1304" s="85" t="n">
        <x:f>'Raw Sales'!O1304</x:f>
        <x:v>45727</x:v>
      </x:c>
      <x:c r="AD1304" s="84" t="n">
        <x:f>AC1304-B1304</x:f>
        <x:v>5</x:v>
      </x:c>
      <x:c r="AE1304" s="84" t="str">
        <x:f>IF(COUNTIF($A$5:A1304,A1304)&gt;1,"Duplicate","Keep")</x:f>
        <x:v>Keep</x:v>
      </x:c>
      <x:c r="AF1304" s="84" t="str">
        <x:f>IF(OR(R1304&lt;=0,AC1304&lt;B1304,H1304="Unknown",M1304="Unknown Product"),"Review","Valid")</x:f>
        <x:v>Valid</x:v>
      </x:c>
      <x:c r="AG1304" s="84" t="n">
        <x:f>IF(AND(AE1304="Keep",AF1304="Valid"),1,0)</x:f>
        <x:v>1</x:v>
      </x:c>
      <x:c r="AH1304" s="84" t="n">
        <x:f>IF(AND(AG1304=1,OR('Dashboard'!$B$4="All",I1304='Dashboard'!$B$4),OR('Dashboard'!$E$4="All",N1304='Dashboard'!$E$4),OR('Dashboard'!$H$4="All",K1304='Dashboard'!$H$4),OR('Dashboard'!$K$4="All",C1304='Dashboard'!$K$4)),1,0)</x:f>
        <x:v>1</x:v>
      </x:c>
      <x:c r="AI1304" s="84" t="n">
        <x:f>IF(AND(AG1304=1,OR('Dashboard'!$B$4="All",I1304='Dashboard'!$B$4),OR('Dashboard'!$E$4="All",N1304='Dashboard'!$E$4),OR('Dashboard'!$H$4="All",K1304='Dashboard'!$H$4)),1,0)</x:f>
        <x:v>1</x:v>
      </x:c>
    </x:row>
    <x:row r="1305">
      <x:c r="A1305" s="84" t="str">
        <x:f>'Raw Sales'!A1305</x:f>
        <x:v>ORD-2025-02027</x:v>
      </x:c>
      <x:c r="B1305" s="85" t="n">
        <x:f>'Raw Sales'!B1305</x:f>
        <x:v>45722</x:v>
      </x:c>
      <x:c r="C1305" s="84" t="n">
        <x:f>YEAR(B1305)</x:f>
        <x:v>2025</x:v>
      </x:c>
      <x:c r="D1305" s="91" t="n">
        <x:f>DATE(YEAR(B1305),MONTH(B1305),1)</x:f>
        <x:v>45717</x:v>
      </x:c>
      <x:c r="E1305" s="84" t="str">
        <x:f>TEXT(B1305,"mmm")</x:f>
        <x:v>Mar</x:v>
      </x:c>
      <x:c r="F1305" s="84" t="str">
        <x:f>'Raw Sales'!C1305</x:f>
        <x:v>CUST-0604</x:v>
      </x:c>
      <x:c r="G1305" s="84" t="str">
        <x:f>PROPER(TRIM('Raw Sales'!D1305))</x:f>
        <x:v>William Adams</x:v>
      </x:c>
      <x:c r="H1305" s="84" t="str">
        <x:f>IF(TRIM('Raw Sales'!E1305)="","Unknown",PROPER(TRIM('Raw Sales'!E1305)))</x:f>
        <x:v>Consumer</x:v>
      </x:c>
      <x:c r="I1305" s="84" t="str">
        <x:f>PROPER(TRIM('Raw Sales'!F1305))</x:f>
        <x:v>Northeast</x:v>
      </x:c>
      <x:c r="J1305" s="84" t="str">
        <x:f>PROPER(TRIM('Raw Sales'!G1305))</x:f>
        <x:v>Newark</x:v>
      </x:c>
      <x:c r="K1305" s="84" t="str">
        <x:f>PROPER(TRIM('Raw Sales'!H1305))</x:f>
        <x:v>Online</x:v>
      </x:c>
      <x:c r="L1305" s="84" t="str">
        <x:f>'Raw Sales'!I1305</x:f>
        <x:v>HOME-001</x:v>
      </x:c>
      <x:c r="M1305" s="84" t="str">
        <x:f>IFERROR(VLOOKUP(L1305,'Reference Data'!$A$5:$F$40,2,FALSE),"Unknown Product")</x:f>
        <x:v>Air Fryer</x:v>
      </x:c>
      <x:c r="N1305" s="84" t="str">
        <x:f>IFERROR(VLOOKUP(L1305,'Reference Data'!$A$5:$F$40,3,FALSE),"Unknown")</x:f>
        <x:v>Home &amp; Kitchen</x:v>
      </x:c>
      <x:c r="O1305" s="84" t="str">
        <x:f>IFERROR(VLOOKUP(L1305,'Reference Data'!$A$5:$F$40,4,FALSE),"Unknown")</x:f>
        <x:v>Small Appliances</x:v>
      </x:c>
      <x:c r="P1305" s="92" t="n">
        <x:f>IFERROR(VLOOKUP(L1305,'Reference Data'!$A$5:$F$40,5,FALSE),0)</x:f>
        <x:v>119</x:v>
      </x:c>
      <x:c r="Q1305" s="92" t="n">
        <x:f>IFERROR(VLOOKUP(L1305,'Reference Data'!$A$5:$F$40,6,FALSE),0)</x:f>
        <x:v>68</x:v>
      </x:c>
      <x:c r="R1305" s="84" t="n">
        <x:f>'Raw Sales'!J1305</x:f>
        <x:v>1</x:v>
      </x:c>
      <x:c r="S1305" s="87" t="n">
        <x:f>'Raw Sales'!K1305</x:f>
        <x:v>0.05</x:v>
      </x:c>
      <x:c r="T1305" s="93" t="n">
        <x:f>P1305*R1305</x:f>
        <x:v>119</x:v>
      </x:c>
      <x:c r="U1305" s="93" t="n">
        <x:f>T1305*S1305</x:f>
        <x:v>5.95</x:v>
      </x:c>
      <x:c r="V1305" s="93" t="str">
        <x:f>PROPER(TRIM('Raw Sales'!L1305))</x:f>
        <x:v>Completed</x:v>
      </x:c>
      <x:c r="W1305" s="93" t="n">
        <x:f>IF(V1305="Returned",0,T1305-U1305)</x:f>
        <x:v>113.05</x:v>
      </x:c>
      <x:c r="X1305" s="93" t="n">
        <x:f>IF(V1305="Returned",Q1305*R1305*10%,Q1305*R1305)</x:f>
        <x:v>68</x:v>
      </x:c>
      <x:c r="Y1305" s="93" t="n">
        <x:f>W1305-X1305</x:f>
        <x:v>45.05</x:v>
      </x:c>
      <x:c r="Z1305" s="94" t="n">
        <x:f>IFERROR(Y1305/W1305,0)</x:f>
        <x:v>0.39849624060150374</x:v>
      </x:c>
      <x:c r="AA1305" s="84" t="str">
        <x:f>PROPER(TRIM('Raw Sales'!M1305))</x:f>
        <x:v>Paypal</x:v>
      </x:c>
      <x:c r="AB1305" s="84" t="str">
        <x:f>PROPER(TRIM('Raw Sales'!N1305))</x:f>
        <x:v>Maya Brooks</x:v>
      </x:c>
      <x:c r="AC1305" s="85" t="n">
        <x:f>'Raw Sales'!O1305</x:f>
        <x:v>45724</x:v>
      </x:c>
      <x:c r="AD1305" s="84" t="n">
        <x:f>AC1305-B1305</x:f>
        <x:v>2</x:v>
      </x:c>
      <x:c r="AE1305" s="84" t="str">
        <x:f>IF(COUNTIF($A$5:A1305,A1305)&gt;1,"Duplicate","Keep")</x:f>
        <x:v>Keep</x:v>
      </x:c>
      <x:c r="AF1305" s="84" t="str">
        <x:f>IF(OR(R1305&lt;=0,AC1305&lt;B1305,H1305="Unknown",M1305="Unknown Product"),"Review","Valid")</x:f>
        <x:v>Valid</x:v>
      </x:c>
      <x:c r="AG1305" s="84" t="n">
        <x:f>IF(AND(AE1305="Keep",AF1305="Valid"),1,0)</x:f>
        <x:v>1</x:v>
      </x:c>
      <x:c r="AH1305" s="84" t="n">
        <x:f>IF(AND(AG1305=1,OR('Dashboard'!$B$4="All",I1305='Dashboard'!$B$4),OR('Dashboard'!$E$4="All",N1305='Dashboard'!$E$4),OR('Dashboard'!$H$4="All",K1305='Dashboard'!$H$4),OR('Dashboard'!$K$4="All",C1305='Dashboard'!$K$4)),1,0)</x:f>
        <x:v>1</x:v>
      </x:c>
      <x:c r="AI1305" s="84" t="n">
        <x:f>IF(AND(AG1305=1,OR('Dashboard'!$B$4="All",I1305='Dashboard'!$B$4),OR('Dashboard'!$E$4="All",N1305='Dashboard'!$E$4),OR('Dashboard'!$H$4="All",K1305='Dashboard'!$H$4)),1,0)</x:f>
        <x:v>1</x:v>
      </x:c>
    </x:row>
    <x:row r="1306">
      <x:c r="A1306" s="84" t="str">
        <x:f>'Raw Sales'!A1306</x:f>
        <x:v>ORD-2025-02051</x:v>
      </x:c>
      <x:c r="B1306" s="85" t="n">
        <x:f>'Raw Sales'!B1306</x:f>
        <x:v>45722</x:v>
      </x:c>
      <x:c r="C1306" s="84" t="n">
        <x:f>YEAR(B1306)</x:f>
        <x:v>2025</x:v>
      </x:c>
      <x:c r="D1306" s="91" t="n">
        <x:f>DATE(YEAR(B1306),MONTH(B1306),1)</x:f>
        <x:v>45717</x:v>
      </x:c>
      <x:c r="E1306" s="84" t="str">
        <x:f>TEXT(B1306,"mmm")</x:f>
        <x:v>Mar</x:v>
      </x:c>
      <x:c r="F1306" s="84" t="str">
        <x:f>'Raw Sales'!C1306</x:f>
        <x:v>CUST-0193</x:v>
      </x:c>
      <x:c r="G1306" s="84" t="str">
        <x:f>PROPER(TRIM('Raw Sales'!D1306))</x:f>
        <x:v>Marcus Davis</x:v>
      </x:c>
      <x:c r="H1306" s="84" t="str">
        <x:f>IF(TRIM('Raw Sales'!E1306)="","Unknown",PROPER(TRIM('Raw Sales'!E1306)))</x:f>
        <x:v>Corporate</x:v>
      </x:c>
      <x:c r="I1306" s="84" t="str">
        <x:f>PROPER(TRIM('Raw Sales'!F1306))</x:f>
        <x:v>Midwest</x:v>
      </x:c>
      <x:c r="J1306" s="84" t="str">
        <x:f>PROPER(TRIM('Raw Sales'!G1306))</x:f>
        <x:v>Columbus</x:v>
      </x:c>
      <x:c r="K1306" s="84" t="str">
        <x:f>PROPER(TRIM('Raw Sales'!H1306))</x:f>
        <x:v>Marketplace</x:v>
      </x:c>
      <x:c r="L1306" s="84" t="str">
        <x:f>'Raw Sales'!I1306</x:f>
        <x:v>ACCS-006</x:v>
      </x:c>
      <x:c r="M1306" s="84" t="str">
        <x:f>IFERROR(VLOOKUP(L1306,'Reference Data'!$A$5:$F$40,2,FALSE),"Unknown Product")</x:f>
        <x:v>Insulated Lunch Bag</x:v>
      </x:c>
      <x:c r="N1306" s="84" t="str">
        <x:f>IFERROR(VLOOKUP(L1306,'Reference Data'!$A$5:$F$40,3,FALSE),"Unknown")</x:f>
        <x:v>Accessories</x:v>
      </x:c>
      <x:c r="O1306" s="84" t="str">
        <x:f>IFERROR(VLOOKUP(L1306,'Reference Data'!$A$5:$F$40,4,FALSE),"Unknown")</x:f>
        <x:v>Bags</x:v>
      </x:c>
      <x:c r="P1306" s="92" t="n">
        <x:f>IFERROR(VLOOKUP(L1306,'Reference Data'!$A$5:$F$40,5,FALSE),0)</x:f>
        <x:v>29</x:v>
      </x:c>
      <x:c r="Q1306" s="92" t="n">
        <x:f>IFERROR(VLOOKUP(L1306,'Reference Data'!$A$5:$F$40,6,FALSE),0)</x:f>
        <x:v>10</x:v>
      </x:c>
      <x:c r="R1306" s="84" t="n">
        <x:f>'Raw Sales'!J1306</x:f>
        <x:v>5</x:v>
      </x:c>
      <x:c r="S1306" s="87" t="n">
        <x:f>'Raw Sales'!K1306</x:f>
        <x:v>0.1</x:v>
      </x:c>
      <x:c r="T1306" s="93" t="n">
        <x:f>P1306*R1306</x:f>
        <x:v>145</x:v>
      </x:c>
      <x:c r="U1306" s="93" t="n">
        <x:f>T1306*S1306</x:f>
        <x:v>14.5</x:v>
      </x:c>
      <x:c r="V1306" s="93" t="str">
        <x:f>PROPER(TRIM('Raw Sales'!L1306))</x:f>
        <x:v>Completed</x:v>
      </x:c>
      <x:c r="W1306" s="93" t="n">
        <x:f>IF(V1306="Returned",0,T1306-U1306)</x:f>
        <x:v>130.5</x:v>
      </x:c>
      <x:c r="X1306" s="93" t="n">
        <x:f>IF(V1306="Returned",Q1306*R1306*10%,Q1306*R1306)</x:f>
        <x:v>50</x:v>
      </x:c>
      <x:c r="Y1306" s="93" t="n">
        <x:f>W1306-X1306</x:f>
        <x:v>80.5</x:v>
      </x:c>
      <x:c r="Z1306" s="94" t="n">
        <x:f>IFERROR(Y1306/W1306,0)</x:f>
        <x:v>0.6168582375478927</x:v>
      </x:c>
      <x:c r="AA1306" s="84" t="str">
        <x:f>PROPER(TRIM('Raw Sales'!M1306))</x:f>
        <x:v>Credit Card</x:v>
      </x:c>
      <x:c r="AB1306" s="84" t="str">
        <x:f>PROPER(TRIM('Raw Sales'!N1306))</x:f>
        <x:v>Lucas Grant</x:v>
      </x:c>
      <x:c r="AC1306" s="85" t="n">
        <x:f>'Raw Sales'!O1306</x:f>
        <x:v>45729</x:v>
      </x:c>
      <x:c r="AD1306" s="84" t="n">
        <x:f>AC1306-B1306</x:f>
        <x:v>7</x:v>
      </x:c>
      <x:c r="AE1306" s="84" t="str">
        <x:f>IF(COUNTIF($A$5:A1306,A1306)&gt;1,"Duplicate","Keep")</x:f>
        <x:v>Keep</x:v>
      </x:c>
      <x:c r="AF1306" s="84" t="str">
        <x:f>IF(OR(R1306&lt;=0,AC1306&lt;B1306,H1306="Unknown",M1306="Unknown Product"),"Review","Valid")</x:f>
        <x:v>Valid</x:v>
      </x:c>
      <x:c r="AG1306" s="84" t="n">
        <x:f>IF(AND(AE1306="Keep",AF1306="Valid"),1,0)</x:f>
        <x:v>1</x:v>
      </x:c>
      <x:c r="AH1306" s="84" t="n">
        <x:f>IF(AND(AG1306=1,OR('Dashboard'!$B$4="All",I1306='Dashboard'!$B$4),OR('Dashboard'!$E$4="All",N1306='Dashboard'!$E$4),OR('Dashboard'!$H$4="All",K1306='Dashboard'!$H$4),OR('Dashboard'!$K$4="All",C1306='Dashboard'!$K$4)),1,0)</x:f>
        <x:v>1</x:v>
      </x:c>
      <x:c r="AI1306" s="84" t="n">
        <x:f>IF(AND(AG1306=1,OR('Dashboard'!$B$4="All",I1306='Dashboard'!$B$4),OR('Dashboard'!$E$4="All",N1306='Dashboard'!$E$4),OR('Dashboard'!$H$4="All",K1306='Dashboard'!$H$4)),1,0)</x:f>
        <x:v>1</x:v>
      </x:c>
    </x:row>
    <x:row r="1307">
      <x:c r="A1307" s="84" t="str">
        <x:f>'Raw Sales'!A1307</x:f>
        <x:v>ORD-2025-01591</x:v>
      </x:c>
      <x:c r="B1307" s="85" t="n">
        <x:f>'Raw Sales'!B1307</x:f>
        <x:v>45723</x:v>
      </x:c>
      <x:c r="C1307" s="84" t="n">
        <x:f>YEAR(B1307)</x:f>
        <x:v>2025</x:v>
      </x:c>
      <x:c r="D1307" s="91" t="n">
        <x:f>DATE(YEAR(B1307),MONTH(B1307),1)</x:f>
        <x:v>45717</x:v>
      </x:c>
      <x:c r="E1307" s="84" t="str">
        <x:f>TEXT(B1307,"mmm")</x:f>
        <x:v>Mar</x:v>
      </x:c>
      <x:c r="F1307" s="84" t="str">
        <x:f>'Raw Sales'!C1307</x:f>
        <x:v>CUST-0150</x:v>
      </x:c>
      <x:c r="G1307" s="84" t="str">
        <x:f>PROPER(TRIM('Raw Sales'!D1307))</x:f>
        <x:v>Aiden Carter</x:v>
      </x:c>
      <x:c r="H1307" s="84" t="str">
        <x:f>IF(TRIM('Raw Sales'!E1307)="","Unknown",PROPER(TRIM('Raw Sales'!E1307)))</x:f>
        <x:v>Consumer</x:v>
      </x:c>
      <x:c r="I1307" s="84" t="str">
        <x:f>PROPER(TRIM('Raw Sales'!F1307))</x:f>
        <x:v>Southeast</x:v>
      </x:c>
      <x:c r="J1307" s="84" t="str">
        <x:f>PROPER(TRIM('Raw Sales'!G1307))</x:f>
        <x:v>Atlanta</x:v>
      </x:c>
      <x:c r="K1307" s="84" t="str">
        <x:f>PROPER(TRIM('Raw Sales'!H1307))</x:f>
        <x:v>Marketplace</x:v>
      </x:c>
      <x:c r="L1307" s="84" t="str">
        <x:f>'Raw Sales'!I1307</x:f>
        <x:v>FITN-004</x:v>
      </x:c>
      <x:c r="M1307" s="84" t="str">
        <x:f>IFERROR(VLOOKUP(L1307,'Reference Data'!$A$5:$F$40,2,FALSE),"Unknown Product")</x:f>
        <x:v>Fitness Tracker</x:v>
      </x:c>
      <x:c r="N1307" s="84" t="str">
        <x:f>IFERROR(VLOOKUP(L1307,'Reference Data'!$A$5:$F$40,3,FALSE),"Unknown")</x:f>
        <x:v>Fitness</x:v>
      </x:c>
      <x:c r="O1307" s="84" t="str">
        <x:f>IFERROR(VLOOKUP(L1307,'Reference Data'!$A$5:$F$40,4,FALSE),"Unknown")</x:f>
        <x:v>Wearables</x:v>
      </x:c>
      <x:c r="P1307" s="92" t="n">
        <x:f>IFERROR(VLOOKUP(L1307,'Reference Data'!$A$5:$F$40,5,FALSE),0)</x:f>
        <x:v>89</x:v>
      </x:c>
      <x:c r="Q1307" s="92" t="n">
        <x:f>IFERROR(VLOOKUP(L1307,'Reference Data'!$A$5:$F$40,6,FALSE),0)</x:f>
        <x:v>44</x:v>
      </x:c>
      <x:c r="R1307" s="84" t="n">
        <x:f>'Raw Sales'!J1307</x:f>
        <x:v>3</x:v>
      </x:c>
      <x:c r="S1307" s="87" t="n">
        <x:f>'Raw Sales'!K1307</x:f>
        <x:v>0.1</x:v>
      </x:c>
      <x:c r="T1307" s="93" t="n">
        <x:f>P1307*R1307</x:f>
        <x:v>267</x:v>
      </x:c>
      <x:c r="U1307" s="93" t="n">
        <x:f>T1307*S1307</x:f>
        <x:v>26.700000000000003</x:v>
      </x:c>
      <x:c r="V1307" s="93" t="str">
        <x:f>PROPER(TRIM('Raw Sales'!L1307))</x:f>
        <x:v>Completed</x:v>
      </x:c>
      <x:c r="W1307" s="93" t="n">
        <x:f>IF(V1307="Returned",0,T1307-U1307)</x:f>
        <x:v>240.3</x:v>
      </x:c>
      <x:c r="X1307" s="93" t="n">
        <x:f>IF(V1307="Returned",Q1307*R1307*10%,Q1307*R1307)</x:f>
        <x:v>132</x:v>
      </x:c>
      <x:c r="Y1307" s="93" t="n">
        <x:f>W1307-X1307</x:f>
        <x:v>108.30000000000001</x:v>
      </x:c>
      <x:c r="Z1307" s="94" t="n">
        <x:f>IFERROR(Y1307/W1307,0)</x:f>
        <x:v>0.4506866416978777</x:v>
      </x:c>
      <x:c r="AA1307" s="84" t="str">
        <x:f>PROPER(TRIM('Raw Sales'!M1307))</x:f>
        <x:v>Credit Card</x:v>
      </x:c>
      <x:c r="AB1307" s="84" t="str">
        <x:f>PROPER(TRIM('Raw Sales'!N1307))</x:f>
        <x:v>Ava Mitchell</x:v>
      </x:c>
      <x:c r="AC1307" s="85" t="n">
        <x:f>'Raw Sales'!O1307</x:f>
        <x:v>45729</x:v>
      </x:c>
      <x:c r="AD1307" s="84" t="n">
        <x:f>AC1307-B1307</x:f>
        <x:v>6</x:v>
      </x:c>
      <x:c r="AE1307" s="84" t="str">
        <x:f>IF(COUNTIF($A$5:A1307,A1307)&gt;1,"Duplicate","Keep")</x:f>
        <x:v>Keep</x:v>
      </x:c>
      <x:c r="AF1307" s="84" t="str">
        <x:f>IF(OR(R1307&lt;=0,AC1307&lt;B1307,H1307="Unknown",M1307="Unknown Product"),"Review","Valid")</x:f>
        <x:v>Valid</x:v>
      </x:c>
      <x:c r="AG1307" s="84" t="n">
        <x:f>IF(AND(AE1307="Keep",AF1307="Valid"),1,0)</x:f>
        <x:v>1</x:v>
      </x:c>
      <x:c r="AH1307" s="84" t="n">
        <x:f>IF(AND(AG1307=1,OR('Dashboard'!$B$4="All",I1307='Dashboard'!$B$4),OR('Dashboard'!$E$4="All",N1307='Dashboard'!$E$4),OR('Dashboard'!$H$4="All",K1307='Dashboard'!$H$4),OR('Dashboard'!$K$4="All",C1307='Dashboard'!$K$4)),1,0)</x:f>
        <x:v>1</x:v>
      </x:c>
      <x:c r="AI1307" s="84" t="n">
        <x:f>IF(AND(AG1307=1,OR('Dashboard'!$B$4="All",I1307='Dashboard'!$B$4),OR('Dashboard'!$E$4="All",N1307='Dashboard'!$E$4),OR('Dashboard'!$H$4="All",K1307='Dashboard'!$H$4)),1,0)</x:f>
        <x:v>1</x:v>
      </x:c>
    </x:row>
    <x:row r="1308">
      <x:c r="A1308" s="84" t="str">
        <x:f>'Raw Sales'!A1308</x:f>
        <x:v>ORD-2025-01727</x:v>
      </x:c>
      <x:c r="B1308" s="85" t="n">
        <x:f>'Raw Sales'!B1308</x:f>
        <x:v>45723</x:v>
      </x:c>
      <x:c r="C1308" s="84" t="n">
        <x:f>YEAR(B1308)</x:f>
        <x:v>2025</x:v>
      </x:c>
      <x:c r="D1308" s="91" t="n">
        <x:f>DATE(YEAR(B1308),MONTH(B1308),1)</x:f>
        <x:v>45717</x:v>
      </x:c>
      <x:c r="E1308" s="84" t="str">
        <x:f>TEXT(B1308,"mmm")</x:f>
        <x:v>Mar</x:v>
      </x:c>
      <x:c r="F1308" s="84" t="str">
        <x:f>'Raw Sales'!C1308</x:f>
        <x:v>CUST-0061</x:v>
      </x:c>
      <x:c r="G1308" s="84" t="str">
        <x:f>PROPER(TRIM('Raw Sales'!D1308))</x:f>
        <x:v>Aiden Adams</x:v>
      </x:c>
      <x:c r="H1308" s="84" t="str">
        <x:f>IF(TRIM('Raw Sales'!E1308)="","Unknown",PROPER(TRIM('Raw Sales'!E1308)))</x:f>
        <x:v>Consumer</x:v>
      </x:c>
      <x:c r="I1308" s="84" t="str">
        <x:f>PROPER(TRIM('Raw Sales'!F1308))</x:f>
        <x:v>West</x:v>
      </x:c>
      <x:c r="J1308" s="84" t="str">
        <x:f>PROPER(TRIM('Raw Sales'!G1308))</x:f>
        <x:v>Denver</x:v>
      </x:c>
      <x:c r="K1308" s="84" t="str">
        <x:f>PROPER(TRIM('Raw Sales'!H1308))</x:f>
        <x:v>Retail Store</x:v>
      </x:c>
      <x:c r="L1308" s="84" t="str">
        <x:f>'Raw Sales'!I1308</x:f>
        <x:v>OFFC-005</x:v>
      </x:c>
      <x:c r="M1308" s="84" t="str">
        <x:f>IFERROR(VLOOKUP(L1308,'Reference Data'!$A$5:$F$40,2,FALSE),"Unknown Product")</x:f>
        <x:v>Wireless Keyboard</x:v>
      </x:c>
      <x:c r="N1308" s="84" t="str">
        <x:f>IFERROR(VLOOKUP(L1308,'Reference Data'!$A$5:$F$40,3,FALSE),"Unknown")</x:f>
        <x:v>Office</x:v>
      </x:c>
      <x:c r="O1308" s="84" t="str">
        <x:f>IFERROR(VLOOKUP(L1308,'Reference Data'!$A$5:$F$40,4,FALSE),"Unknown")</x:f>
        <x:v>Computer Accessories</x:v>
      </x:c>
      <x:c r="P1308" s="92" t="n">
        <x:f>IFERROR(VLOOKUP(L1308,'Reference Data'!$A$5:$F$40,5,FALSE),0)</x:f>
        <x:v>59</x:v>
      </x:c>
      <x:c r="Q1308" s="92" t="n">
        <x:f>IFERROR(VLOOKUP(L1308,'Reference Data'!$A$5:$F$40,6,FALSE),0)</x:f>
        <x:v>28</x:v>
      </x:c>
      <x:c r="R1308" s="84" t="n">
        <x:f>'Raw Sales'!J1308</x:f>
        <x:v>1</x:v>
      </x:c>
      <x:c r="S1308" s="87" t="n">
        <x:f>'Raw Sales'!K1308</x:f>
        <x:v>0</x:v>
      </x:c>
      <x:c r="T1308" s="93" t="n">
        <x:f>P1308*R1308</x:f>
        <x:v>59</x:v>
      </x:c>
      <x:c r="U1308" s="93" t="n">
        <x:f>T1308*S1308</x:f>
        <x:v>0</x:v>
      </x:c>
      <x:c r="V1308" s="93" t="str">
        <x:f>PROPER(TRIM('Raw Sales'!L1308))</x:f>
        <x:v>Completed</x:v>
      </x:c>
      <x:c r="W1308" s="93" t="n">
        <x:f>IF(V1308="Returned",0,T1308-U1308)</x:f>
        <x:v>59</x:v>
      </x:c>
      <x:c r="X1308" s="93" t="n">
        <x:f>IF(V1308="Returned",Q1308*R1308*10%,Q1308*R1308)</x:f>
        <x:v>28</x:v>
      </x:c>
      <x:c r="Y1308" s="93" t="n">
        <x:f>W1308-X1308</x:f>
        <x:v>31</x:v>
      </x:c>
      <x:c r="Z1308" s="94" t="n">
        <x:f>IFERROR(Y1308/W1308,0)</x:f>
        <x:v>0.5254237288135594</x:v>
      </x:c>
      <x:c r="AA1308" s="84" t="str">
        <x:f>PROPER(TRIM('Raw Sales'!M1308))</x:f>
        <x:v>Credit Card</x:v>
      </x:c>
      <x:c r="AB1308" s="84" t="str">
        <x:f>PROPER(TRIM('Raw Sales'!N1308))</x:f>
        <x:v>Mia Chen</x:v>
      </x:c>
      <x:c r="AC1308" s="85" t="n">
        <x:f>'Raw Sales'!O1308</x:f>
        <x:v>45723</x:v>
      </x:c>
      <x:c r="AD1308" s="84" t="n">
        <x:f>AC1308-B1308</x:f>
        <x:v>0</x:v>
      </x:c>
      <x:c r="AE1308" s="84" t="str">
        <x:f>IF(COUNTIF($A$5:A1308,A1308)&gt;1,"Duplicate","Keep")</x:f>
        <x:v>Keep</x:v>
      </x:c>
      <x:c r="AF1308" s="84" t="str">
        <x:f>IF(OR(R1308&lt;=0,AC1308&lt;B1308,H1308="Unknown",M1308="Unknown Product"),"Review","Valid")</x:f>
        <x:v>Valid</x:v>
      </x:c>
      <x:c r="AG1308" s="84" t="n">
        <x:f>IF(AND(AE1308="Keep",AF1308="Valid"),1,0)</x:f>
        <x:v>1</x:v>
      </x:c>
      <x:c r="AH1308" s="84" t="n">
        <x:f>IF(AND(AG1308=1,OR('Dashboard'!$B$4="All",I1308='Dashboard'!$B$4),OR('Dashboard'!$E$4="All",N1308='Dashboard'!$E$4),OR('Dashboard'!$H$4="All",K1308='Dashboard'!$H$4),OR('Dashboard'!$K$4="All",C1308='Dashboard'!$K$4)),1,0)</x:f>
        <x:v>1</x:v>
      </x:c>
      <x:c r="AI1308" s="84" t="n">
        <x:f>IF(AND(AG1308=1,OR('Dashboard'!$B$4="All",I1308='Dashboard'!$B$4),OR('Dashboard'!$E$4="All",N1308='Dashboard'!$E$4),OR('Dashboard'!$H$4="All",K1308='Dashboard'!$H$4)),1,0)</x:f>
        <x:v>1</x:v>
      </x:c>
    </x:row>
    <x:row r="1309">
      <x:c r="A1309" s="84" t="str">
        <x:f>'Raw Sales'!A1309</x:f>
        <x:v>ORD-2025-02366</x:v>
      </x:c>
      <x:c r="B1309" s="85" t="n">
        <x:f>'Raw Sales'!B1309</x:f>
        <x:v>45723</x:v>
      </x:c>
      <x:c r="C1309" s="84" t="n">
        <x:f>YEAR(B1309)</x:f>
        <x:v>2025</x:v>
      </x:c>
      <x:c r="D1309" s="91" t="n">
        <x:f>DATE(YEAR(B1309),MONTH(B1309),1)</x:f>
        <x:v>45717</x:v>
      </x:c>
      <x:c r="E1309" s="84" t="str">
        <x:f>TEXT(B1309,"mmm")</x:f>
        <x:v>Mar</x:v>
      </x:c>
      <x:c r="F1309" s="84" t="str">
        <x:f>'Raw Sales'!C1309</x:f>
        <x:v>CUST-0053</x:v>
      </x:c>
      <x:c r="G1309" s="84" t="str">
        <x:f>PROPER(TRIM('Raw Sales'!D1309))</x:f>
        <x:v>Theo Patel</x:v>
      </x:c>
      <x:c r="H1309" s="84" t="str">
        <x:f>IF(TRIM('Raw Sales'!E1309)="","Unknown",PROPER(TRIM('Raw Sales'!E1309)))</x:f>
        <x:v>Small Business</x:v>
      </x:c>
      <x:c r="I1309" s="84" t="str">
        <x:f>PROPER(TRIM('Raw Sales'!F1309))</x:f>
        <x:v>West</x:v>
      </x:c>
      <x:c r="J1309" s="84" t="str">
        <x:f>PROPER(TRIM('Raw Sales'!G1309))</x:f>
        <x:v>Los Angeles</x:v>
      </x:c>
      <x:c r="K1309" s="84" t="str">
        <x:f>PROPER(TRIM('Raw Sales'!H1309))</x:f>
        <x:v>Online</x:v>
      </x:c>
      <x:c r="L1309" s="84" t="str">
        <x:f>'Raw Sales'!I1309</x:f>
        <x:v>ELEC-003</x:v>
      </x:c>
      <x:c r="M1309" s="84" t="str">
        <x:f>IFERROR(VLOOKUP(L1309,'Reference Data'!$A$5:$F$40,2,FALSE),"Unknown Product")</x:f>
        <x:v>Bluetooth Speaker</x:v>
      </x:c>
      <x:c r="N1309" s="84" t="str">
        <x:f>IFERROR(VLOOKUP(L1309,'Reference Data'!$A$5:$F$40,3,FALSE),"Unknown")</x:f>
        <x:v>Electronics</x:v>
      </x:c>
      <x:c r="O1309" s="84" t="str">
        <x:f>IFERROR(VLOOKUP(L1309,'Reference Data'!$A$5:$F$40,4,FALSE),"Unknown")</x:f>
        <x:v>Audio</x:v>
      </x:c>
      <x:c r="P1309" s="92" t="n">
        <x:f>IFERROR(VLOOKUP(L1309,'Reference Data'!$A$5:$F$40,5,FALSE),0)</x:f>
        <x:v>89</x:v>
      </x:c>
      <x:c r="Q1309" s="92" t="n">
        <x:f>IFERROR(VLOOKUP(L1309,'Reference Data'!$A$5:$F$40,6,FALSE),0)</x:f>
        <x:v>44</x:v>
      </x:c>
      <x:c r="R1309" s="84" t="n">
        <x:f>'Raw Sales'!J1309</x:f>
        <x:v>1</x:v>
      </x:c>
      <x:c r="S1309" s="87" t="n">
        <x:f>'Raw Sales'!K1309</x:f>
        <x:v>0</x:v>
      </x:c>
      <x:c r="T1309" s="93" t="n">
        <x:f>P1309*R1309</x:f>
        <x:v>89</x:v>
      </x:c>
      <x:c r="U1309" s="93" t="n">
        <x:f>T1309*S1309</x:f>
        <x:v>0</x:v>
      </x:c>
      <x:c r="V1309" s="93" t="str">
        <x:f>PROPER(TRIM('Raw Sales'!L1309))</x:f>
        <x:v>Completed</x:v>
      </x:c>
      <x:c r="W1309" s="93" t="n">
        <x:f>IF(V1309="Returned",0,T1309-U1309)</x:f>
        <x:v>89</x:v>
      </x:c>
      <x:c r="X1309" s="93" t="n">
        <x:f>IF(V1309="Returned",Q1309*R1309*10%,Q1309*R1309)</x:f>
        <x:v>44</x:v>
      </x:c>
      <x:c r="Y1309" s="93" t="n">
        <x:f>W1309-X1309</x:f>
        <x:v>45</x:v>
      </x:c>
      <x:c r="Z1309" s="94" t="n">
        <x:f>IFERROR(Y1309/W1309,0)</x:f>
        <x:v>0.5056179775280899</x:v>
      </x:c>
      <x:c r="AA1309" s="84" t="str">
        <x:f>PROPER(TRIM('Raw Sales'!M1309))</x:f>
        <x:v>Debit Card</x:v>
      </x:c>
      <x:c r="AB1309" s="84" t="str">
        <x:f>PROPER(TRIM('Raw Sales'!N1309))</x:f>
        <x:v>Mia Chen</x:v>
      </x:c>
      <x:c r="AC1309" s="85" t="n">
        <x:f>'Raw Sales'!O1309</x:f>
        <x:v>45729</x:v>
      </x:c>
      <x:c r="AD1309" s="84" t="n">
        <x:f>AC1309-B1309</x:f>
        <x:v>6</x:v>
      </x:c>
      <x:c r="AE1309" s="84" t="str">
        <x:f>IF(COUNTIF($A$5:A1309,A1309)&gt;1,"Duplicate","Keep")</x:f>
        <x:v>Keep</x:v>
      </x:c>
      <x:c r="AF1309" s="84" t="str">
        <x:f>IF(OR(R1309&lt;=0,AC1309&lt;B1309,H1309="Unknown",M1309="Unknown Product"),"Review","Valid")</x:f>
        <x:v>Valid</x:v>
      </x:c>
      <x:c r="AG1309" s="84" t="n">
        <x:f>IF(AND(AE1309="Keep",AF1309="Valid"),1,0)</x:f>
        <x:v>1</x:v>
      </x:c>
      <x:c r="AH1309" s="84" t="n">
        <x:f>IF(AND(AG1309=1,OR('Dashboard'!$B$4="All",I1309='Dashboard'!$B$4),OR('Dashboard'!$E$4="All",N1309='Dashboard'!$E$4),OR('Dashboard'!$H$4="All",K1309='Dashboard'!$H$4),OR('Dashboard'!$K$4="All",C1309='Dashboard'!$K$4)),1,0)</x:f>
        <x:v>1</x:v>
      </x:c>
      <x:c r="AI1309" s="84" t="n">
        <x:f>IF(AND(AG1309=1,OR('Dashboard'!$B$4="All",I1309='Dashboard'!$B$4),OR('Dashboard'!$E$4="All",N1309='Dashboard'!$E$4),OR('Dashboard'!$H$4="All",K1309='Dashboard'!$H$4)),1,0)</x:f>
        <x:v>1</x:v>
      </x:c>
    </x:row>
    <x:row r="1310">
      <x:c r="A1310" s="84" t="str">
        <x:f>'Raw Sales'!A1310</x:f>
        <x:v>ORD-2025-02385</x:v>
      </x:c>
      <x:c r="B1310" s="85" t="n">
        <x:f>'Raw Sales'!B1310</x:f>
        <x:v>45723</x:v>
      </x:c>
      <x:c r="C1310" s="84" t="n">
        <x:f>YEAR(B1310)</x:f>
        <x:v>2025</x:v>
      </x:c>
      <x:c r="D1310" s="91" t="n">
        <x:f>DATE(YEAR(B1310),MONTH(B1310),1)</x:f>
        <x:v>45717</x:v>
      </x:c>
      <x:c r="E1310" s="84" t="str">
        <x:f>TEXT(B1310,"mmm")</x:f>
        <x:v>Mar</x:v>
      </x:c>
      <x:c r="F1310" s="84" t="str">
        <x:f>'Raw Sales'!C1310</x:f>
        <x:v>CUST-0437</x:v>
      </x:c>
      <x:c r="G1310" s="84" t="str">
        <x:f>PROPER(TRIM('Raw Sales'!D1310))</x:f>
        <x:v>Nathan Garcia</x:v>
      </x:c>
      <x:c r="H1310" s="84" t="str">
        <x:f>IF(TRIM('Raw Sales'!E1310)="","Unknown",PROPER(TRIM('Raw Sales'!E1310)))</x:f>
        <x:v>Corporate</x:v>
      </x:c>
      <x:c r="I1310" s="84" t="str">
        <x:f>PROPER(TRIM('Raw Sales'!F1310))</x:f>
        <x:v>Northeast</x:v>
      </x:c>
      <x:c r="J1310" s="84" t="str">
        <x:f>PROPER(TRIM('Raw Sales'!G1310))</x:f>
        <x:v>Philadelphia</x:v>
      </x:c>
      <x:c r="K1310" s="84" t="str">
        <x:f>PROPER(TRIM('Raw Sales'!H1310))</x:f>
        <x:v>Marketplace</x:v>
      </x:c>
      <x:c r="L1310" s="84" t="str">
        <x:f>'Raw Sales'!I1310</x:f>
        <x:v>HOME-005</x:v>
      </x:c>
      <x:c r="M1310" s="84" t="str">
        <x:f>IFERROR(VLOOKUP(L1310,'Reference Data'!$A$5:$F$40,2,FALSE),"Unknown Product")</x:f>
        <x:v>Cordless Vacuum</x:v>
      </x:c>
      <x:c r="N1310" s="84" t="str">
        <x:f>IFERROR(VLOOKUP(L1310,'Reference Data'!$A$5:$F$40,3,FALSE),"Unknown")</x:f>
        <x:v>Home &amp; Kitchen</x:v>
      </x:c>
      <x:c r="O1310" s="84" t="str">
        <x:f>IFERROR(VLOOKUP(L1310,'Reference Data'!$A$5:$F$40,4,FALSE),"Unknown")</x:f>
        <x:v>Cleaning</x:v>
      </x:c>
      <x:c r="P1310" s="92" t="n">
        <x:f>IFERROR(VLOOKUP(L1310,'Reference Data'!$A$5:$F$40,5,FALSE),0)</x:f>
        <x:v>179</x:v>
      </x:c>
      <x:c r="Q1310" s="92" t="n">
        <x:f>IFERROR(VLOOKUP(L1310,'Reference Data'!$A$5:$F$40,6,FALSE),0)</x:f>
        <x:v>102</x:v>
      </x:c>
      <x:c r="R1310" s="84" t="n">
        <x:f>'Raw Sales'!J1310</x:f>
        <x:v>8</x:v>
      </x:c>
      <x:c r="S1310" s="87" t="n">
        <x:f>'Raw Sales'!K1310</x:f>
        <x:v>0.15</x:v>
      </x:c>
      <x:c r="T1310" s="93" t="n">
        <x:f>P1310*R1310</x:f>
        <x:v>1432</x:v>
      </x:c>
      <x:c r="U1310" s="93" t="n">
        <x:f>T1310*S1310</x:f>
        <x:v>214.79999999999998</x:v>
      </x:c>
      <x:c r="V1310" s="93" t="str">
        <x:f>PROPER(TRIM('Raw Sales'!L1310))</x:f>
        <x:v>Completed</x:v>
      </x:c>
      <x:c r="W1310" s="93" t="n">
        <x:f>IF(V1310="Returned",0,T1310-U1310)</x:f>
        <x:v>1217.2</x:v>
      </x:c>
      <x:c r="X1310" s="93" t="n">
        <x:f>IF(V1310="Returned",Q1310*R1310*10%,Q1310*R1310)</x:f>
        <x:v>816</x:v>
      </x:c>
      <x:c r="Y1310" s="93" t="n">
        <x:f>W1310-X1310</x:f>
        <x:v>401.20000000000005</x:v>
      </x:c>
      <x:c r="Z1310" s="94" t="n">
        <x:f>IFERROR(Y1310/W1310,0)</x:f>
        <x:v>0.3296089385474861</x:v>
      </x:c>
      <x:c r="AA1310" s="84" t="str">
        <x:f>PROPER(TRIM('Raw Sales'!M1310))</x:f>
        <x:v>Credit Card</x:v>
      </x:c>
      <x:c r="AB1310" s="84" t="str">
        <x:f>PROPER(TRIM('Raw Sales'!N1310))</x:f>
        <x:v>Ethan Cole</x:v>
      </x:c>
      <x:c r="AC1310" s="85" t="n">
        <x:f>'Raw Sales'!O1310</x:f>
        <x:v>45729</x:v>
      </x:c>
      <x:c r="AD1310" s="84" t="n">
        <x:f>AC1310-B1310</x:f>
        <x:v>6</x:v>
      </x:c>
      <x:c r="AE1310" s="84" t="str">
        <x:f>IF(COUNTIF($A$5:A1310,A1310)&gt;1,"Duplicate","Keep")</x:f>
        <x:v>Keep</x:v>
      </x:c>
      <x:c r="AF1310" s="84" t="str">
        <x:f>IF(OR(R1310&lt;=0,AC1310&lt;B1310,H1310="Unknown",M1310="Unknown Product"),"Review","Valid")</x:f>
        <x:v>Valid</x:v>
      </x:c>
      <x:c r="AG1310" s="84" t="n">
        <x:f>IF(AND(AE1310="Keep",AF1310="Valid"),1,0)</x:f>
        <x:v>1</x:v>
      </x:c>
      <x:c r="AH1310" s="84" t="n">
        <x:f>IF(AND(AG1310=1,OR('Dashboard'!$B$4="All",I1310='Dashboard'!$B$4),OR('Dashboard'!$E$4="All",N1310='Dashboard'!$E$4),OR('Dashboard'!$H$4="All",K1310='Dashboard'!$H$4),OR('Dashboard'!$K$4="All",C1310='Dashboard'!$K$4)),1,0)</x:f>
        <x:v>1</x:v>
      </x:c>
      <x:c r="AI1310" s="84" t="n">
        <x:f>IF(AND(AG1310=1,OR('Dashboard'!$B$4="All",I1310='Dashboard'!$B$4),OR('Dashboard'!$E$4="All",N1310='Dashboard'!$E$4),OR('Dashboard'!$H$4="All",K1310='Dashboard'!$H$4)),1,0)</x:f>
        <x:v>1</x:v>
      </x:c>
    </x:row>
    <x:row r="1311">
      <x:c r="A1311" s="84" t="str">
        <x:f>'Raw Sales'!A1311</x:f>
        <x:v>ORD-2025-00010</x:v>
      </x:c>
      <x:c r="B1311" s="85" t="n">
        <x:f>'Raw Sales'!B1311</x:f>
        <x:v>45724</x:v>
      </x:c>
      <x:c r="C1311" s="84" t="n">
        <x:f>YEAR(B1311)</x:f>
        <x:v>2025</x:v>
      </x:c>
      <x:c r="D1311" s="91" t="n">
        <x:f>DATE(YEAR(B1311),MONTH(B1311),1)</x:f>
        <x:v>45717</x:v>
      </x:c>
      <x:c r="E1311" s="84" t="str">
        <x:f>TEXT(B1311,"mmm")</x:f>
        <x:v>Mar</x:v>
      </x:c>
      <x:c r="F1311" s="84" t="str">
        <x:f>'Raw Sales'!C1311</x:f>
        <x:v>CUST-0376</x:v>
      </x:c>
      <x:c r="G1311" s="84" t="str">
        <x:f>PROPER(TRIM('Raw Sales'!D1311))</x:f>
        <x:v>Nina Foster</x:v>
      </x:c>
      <x:c r="H1311" s="84" t="str">
        <x:f>IF(TRIM('Raw Sales'!E1311)="","Unknown",PROPER(TRIM('Raw Sales'!E1311)))</x:f>
        <x:v>Consumer</x:v>
      </x:c>
      <x:c r="I1311" s="84" t="str">
        <x:f>PROPER(TRIM('Raw Sales'!F1311))</x:f>
        <x:v>West</x:v>
      </x:c>
      <x:c r="J1311" s="84" t="str">
        <x:f>PROPER(TRIM('Raw Sales'!G1311))</x:f>
        <x:v>Denver</x:v>
      </x:c>
      <x:c r="K1311" s="84" t="str">
        <x:f>PROPER(TRIM('Raw Sales'!H1311))</x:f>
        <x:v>Retail Store</x:v>
      </x:c>
      <x:c r="L1311" s="84" t="str">
        <x:f>'Raw Sales'!I1311</x:f>
        <x:v>HOME-001</x:v>
      </x:c>
      <x:c r="M1311" s="84" t="str">
        <x:f>IFERROR(VLOOKUP(L1311,'Reference Data'!$A$5:$F$40,2,FALSE),"Unknown Product")</x:f>
        <x:v>Air Fryer</x:v>
      </x:c>
      <x:c r="N1311" s="84" t="str">
        <x:f>IFERROR(VLOOKUP(L1311,'Reference Data'!$A$5:$F$40,3,FALSE),"Unknown")</x:f>
        <x:v>Home &amp; Kitchen</x:v>
      </x:c>
      <x:c r="O1311" s="84" t="str">
        <x:f>IFERROR(VLOOKUP(L1311,'Reference Data'!$A$5:$F$40,4,FALSE),"Unknown")</x:f>
        <x:v>Small Appliances</x:v>
      </x:c>
      <x:c r="P1311" s="92" t="n">
        <x:f>IFERROR(VLOOKUP(L1311,'Reference Data'!$A$5:$F$40,5,FALSE),0)</x:f>
        <x:v>119</x:v>
      </x:c>
      <x:c r="Q1311" s="92" t="n">
        <x:f>IFERROR(VLOOKUP(L1311,'Reference Data'!$A$5:$F$40,6,FALSE),0)</x:f>
        <x:v>68</x:v>
      </x:c>
      <x:c r="R1311" s="84" t="n">
        <x:f>'Raw Sales'!J1311</x:f>
        <x:v>1</x:v>
      </x:c>
      <x:c r="S1311" s="87" t="n">
        <x:f>'Raw Sales'!K1311</x:f>
        <x:v>0.05</x:v>
      </x:c>
      <x:c r="T1311" s="93" t="n">
        <x:f>P1311*R1311</x:f>
        <x:v>119</x:v>
      </x:c>
      <x:c r="U1311" s="93" t="n">
        <x:f>T1311*S1311</x:f>
        <x:v>5.95</x:v>
      </x:c>
      <x:c r="V1311" s="93" t="str">
        <x:f>PROPER(TRIM('Raw Sales'!L1311))</x:f>
        <x:v>Completed</x:v>
      </x:c>
      <x:c r="W1311" s="93" t="n">
        <x:f>IF(V1311="Returned",0,T1311-U1311)</x:f>
        <x:v>113.05</x:v>
      </x:c>
      <x:c r="X1311" s="93" t="n">
        <x:f>IF(V1311="Returned",Q1311*R1311*10%,Q1311*R1311)</x:f>
        <x:v>68</x:v>
      </x:c>
      <x:c r="Y1311" s="93" t="n">
        <x:f>W1311-X1311</x:f>
        <x:v>45.05</x:v>
      </x:c>
      <x:c r="Z1311" s="94" t="n">
        <x:f>IFERROR(Y1311/W1311,0)</x:f>
        <x:v>0.39849624060150374</x:v>
      </x:c>
      <x:c r="AA1311" s="84" t="str">
        <x:f>PROPER(TRIM('Raw Sales'!M1311))</x:f>
        <x:v>Credit Card</x:v>
      </x:c>
      <x:c r="AB1311" s="84" t="str">
        <x:f>PROPER(TRIM('Raw Sales'!N1311))</x:f>
        <x:v>Mia Chen</x:v>
      </x:c>
      <x:c r="AC1311" s="85" t="n">
        <x:f>'Raw Sales'!O1311</x:f>
        <x:v>45724</x:v>
      </x:c>
      <x:c r="AD1311" s="84" t="n">
        <x:f>AC1311-B1311</x:f>
        <x:v>0</x:v>
      </x:c>
      <x:c r="AE1311" s="84" t="str">
        <x:f>IF(COUNTIF($A$5:A1311,A1311)&gt;1,"Duplicate","Keep")</x:f>
        <x:v>Keep</x:v>
      </x:c>
      <x:c r="AF1311" s="84" t="str">
        <x:f>IF(OR(R1311&lt;=0,AC1311&lt;B1311,H1311="Unknown",M1311="Unknown Product"),"Review","Valid")</x:f>
        <x:v>Valid</x:v>
      </x:c>
      <x:c r="AG1311" s="84" t="n">
        <x:f>IF(AND(AE1311="Keep",AF1311="Valid"),1,0)</x:f>
        <x:v>1</x:v>
      </x:c>
      <x:c r="AH1311" s="84" t="n">
        <x:f>IF(AND(AG1311=1,OR('Dashboard'!$B$4="All",I1311='Dashboard'!$B$4),OR('Dashboard'!$E$4="All",N1311='Dashboard'!$E$4),OR('Dashboard'!$H$4="All",K1311='Dashboard'!$H$4),OR('Dashboard'!$K$4="All",C1311='Dashboard'!$K$4)),1,0)</x:f>
        <x:v>1</x:v>
      </x:c>
      <x:c r="AI1311" s="84" t="n">
        <x:f>IF(AND(AG1311=1,OR('Dashboard'!$B$4="All",I1311='Dashboard'!$B$4),OR('Dashboard'!$E$4="All",N1311='Dashboard'!$E$4),OR('Dashboard'!$H$4="All",K1311='Dashboard'!$H$4)),1,0)</x:f>
        <x:v>1</x:v>
      </x:c>
    </x:row>
    <x:row r="1312">
      <x:c r="A1312" s="84" t="str">
        <x:f>'Raw Sales'!A1312</x:f>
        <x:v>ORD-2025-00307</x:v>
      </x:c>
      <x:c r="B1312" s="85" t="n">
        <x:f>'Raw Sales'!B1312</x:f>
        <x:v>45724</x:v>
      </x:c>
      <x:c r="C1312" s="84" t="n">
        <x:f>YEAR(B1312)</x:f>
        <x:v>2025</x:v>
      </x:c>
      <x:c r="D1312" s="91" t="n">
        <x:f>DATE(YEAR(B1312),MONTH(B1312),1)</x:f>
        <x:v>45717</x:v>
      </x:c>
      <x:c r="E1312" s="84" t="str">
        <x:f>TEXT(B1312,"mmm")</x:f>
        <x:v>Mar</x:v>
      </x:c>
      <x:c r="F1312" s="84" t="str">
        <x:f>'Raw Sales'!C1312</x:f>
        <x:v>CUST-0060</x:v>
      </x:c>
      <x:c r="G1312" s="84" t="str">
        <x:f>PROPER(TRIM('Raw Sales'!D1312))</x:f>
        <x:v>Amelia Roberts</x:v>
      </x:c>
      <x:c r="H1312" s="84" t="str">
        <x:f>IF(TRIM('Raw Sales'!E1312)="","Unknown",PROPER(TRIM('Raw Sales'!E1312)))</x:f>
        <x:v>Corporate</x:v>
      </x:c>
      <x:c r="I1312" s="84" t="str">
        <x:f>PROPER(TRIM('Raw Sales'!F1312))</x:f>
        <x:v>Midwest</x:v>
      </x:c>
      <x:c r="J1312" s="84" t="str">
        <x:f>PROPER(TRIM('Raw Sales'!G1312))</x:f>
        <x:v>Chicago</x:v>
      </x:c>
      <x:c r="K1312" s="84" t="str">
        <x:f>PROPER(TRIM('Raw Sales'!H1312))</x:f>
        <x:v>Online</x:v>
      </x:c>
      <x:c r="L1312" s="84" t="str">
        <x:f>'Raw Sales'!I1312</x:f>
        <x:v>ELEC-003</x:v>
      </x:c>
      <x:c r="M1312" s="84" t="str">
        <x:f>IFERROR(VLOOKUP(L1312,'Reference Data'!$A$5:$F$40,2,FALSE),"Unknown Product")</x:f>
        <x:v>Bluetooth Speaker</x:v>
      </x:c>
      <x:c r="N1312" s="84" t="str">
        <x:f>IFERROR(VLOOKUP(L1312,'Reference Data'!$A$5:$F$40,3,FALSE),"Unknown")</x:f>
        <x:v>Electronics</x:v>
      </x:c>
      <x:c r="O1312" s="84" t="str">
        <x:f>IFERROR(VLOOKUP(L1312,'Reference Data'!$A$5:$F$40,4,FALSE),"Unknown")</x:f>
        <x:v>Audio</x:v>
      </x:c>
      <x:c r="P1312" s="92" t="n">
        <x:f>IFERROR(VLOOKUP(L1312,'Reference Data'!$A$5:$F$40,5,FALSE),0)</x:f>
        <x:v>89</x:v>
      </x:c>
      <x:c r="Q1312" s="92" t="n">
        <x:f>IFERROR(VLOOKUP(L1312,'Reference Data'!$A$5:$F$40,6,FALSE),0)</x:f>
        <x:v>44</x:v>
      </x:c>
      <x:c r="R1312" s="84" t="n">
        <x:f>'Raw Sales'!J1312</x:f>
        <x:v>2</x:v>
      </x:c>
      <x:c r="S1312" s="87" t="n">
        <x:f>'Raw Sales'!K1312</x:f>
        <x:v>0.2</x:v>
      </x:c>
      <x:c r="T1312" s="93" t="n">
        <x:f>P1312*R1312</x:f>
        <x:v>178</x:v>
      </x:c>
      <x:c r="U1312" s="93" t="n">
        <x:f>T1312*S1312</x:f>
        <x:v>35.6</x:v>
      </x:c>
      <x:c r="V1312" s="93" t="str">
        <x:f>PROPER(TRIM('Raw Sales'!L1312))</x:f>
        <x:v>Completed</x:v>
      </x:c>
      <x:c r="W1312" s="93" t="n">
        <x:f>IF(V1312="Returned",0,T1312-U1312)</x:f>
        <x:v>142.4</x:v>
      </x:c>
      <x:c r="X1312" s="93" t="n">
        <x:f>IF(V1312="Returned",Q1312*R1312*10%,Q1312*R1312)</x:f>
        <x:v>88</x:v>
      </x:c>
      <x:c r="Y1312" s="93" t="n">
        <x:f>W1312-X1312</x:f>
        <x:v>54.400000000000006</x:v>
      </x:c>
      <x:c r="Z1312" s="94" t="n">
        <x:f>IFERROR(Y1312/W1312,0)</x:f>
        <x:v>0.3820224719101124</x:v>
      </x:c>
      <x:c r="AA1312" s="84" t="str">
        <x:f>PROPER(TRIM('Raw Sales'!M1312))</x:f>
        <x:v>Credit Card</x:v>
      </x:c>
      <x:c r="AB1312" s="84" t="str">
        <x:f>PROPER(TRIM('Raw Sales'!N1312))</x:f>
        <x:v>Zoe Turner</x:v>
      </x:c>
      <x:c r="AC1312" s="85" t="n">
        <x:f>'Raw Sales'!O1312</x:f>
        <x:v>45728</x:v>
      </x:c>
      <x:c r="AD1312" s="84" t="n">
        <x:f>AC1312-B1312</x:f>
        <x:v>4</x:v>
      </x:c>
      <x:c r="AE1312" s="84" t="str">
        <x:f>IF(COUNTIF($A$5:A1312,A1312)&gt;1,"Duplicate","Keep")</x:f>
        <x:v>Keep</x:v>
      </x:c>
      <x:c r="AF1312" s="84" t="str">
        <x:f>IF(OR(R1312&lt;=0,AC1312&lt;B1312,H1312="Unknown",M1312="Unknown Product"),"Review","Valid")</x:f>
        <x:v>Valid</x:v>
      </x:c>
      <x:c r="AG1312" s="84" t="n">
        <x:f>IF(AND(AE1312="Keep",AF1312="Valid"),1,0)</x:f>
        <x:v>1</x:v>
      </x:c>
      <x:c r="AH1312" s="84" t="n">
        <x:f>IF(AND(AG1312=1,OR('Dashboard'!$B$4="All",I1312='Dashboard'!$B$4),OR('Dashboard'!$E$4="All",N1312='Dashboard'!$E$4),OR('Dashboard'!$H$4="All",K1312='Dashboard'!$H$4),OR('Dashboard'!$K$4="All",C1312='Dashboard'!$K$4)),1,0)</x:f>
        <x:v>1</x:v>
      </x:c>
      <x:c r="AI1312" s="84" t="n">
        <x:f>IF(AND(AG1312=1,OR('Dashboard'!$B$4="All",I1312='Dashboard'!$B$4),OR('Dashboard'!$E$4="All",N1312='Dashboard'!$E$4),OR('Dashboard'!$H$4="All",K1312='Dashboard'!$H$4)),1,0)</x:f>
        <x:v>1</x:v>
      </x:c>
    </x:row>
    <x:row r="1313">
      <x:c r="A1313" s="84" t="str">
        <x:f>'Raw Sales'!A1313</x:f>
        <x:v>ORD-2025-00442</x:v>
      </x:c>
      <x:c r="B1313" s="85" t="n">
        <x:f>'Raw Sales'!B1313</x:f>
        <x:v>45724</x:v>
      </x:c>
      <x:c r="C1313" s="84" t="n">
        <x:f>YEAR(B1313)</x:f>
        <x:v>2025</x:v>
      </x:c>
      <x:c r="D1313" s="91" t="n">
        <x:f>DATE(YEAR(B1313),MONTH(B1313),1)</x:f>
        <x:v>45717</x:v>
      </x:c>
      <x:c r="E1313" s="84" t="str">
        <x:f>TEXT(B1313,"mmm")</x:f>
        <x:v>Mar</x:v>
      </x:c>
      <x:c r="F1313" s="84" t="str">
        <x:f>'Raw Sales'!C1313</x:f>
        <x:v>CUST-0623</x:v>
      </x:c>
      <x:c r="G1313" s="84" t="str">
        <x:f>PROPER(TRIM('Raw Sales'!D1313))</x:f>
        <x:v>Theo Roberts</x:v>
      </x:c>
      <x:c r="H1313" s="84" t="str">
        <x:f>IF(TRIM('Raw Sales'!E1313)="","Unknown",PROPER(TRIM('Raw Sales'!E1313)))</x:f>
        <x:v>Small Business</x:v>
      </x:c>
      <x:c r="I1313" s="84" t="str">
        <x:f>PROPER(TRIM('Raw Sales'!F1313))</x:f>
        <x:v>Midwest</x:v>
      </x:c>
      <x:c r="J1313" s="84" t="str">
        <x:f>PROPER(TRIM('Raw Sales'!G1313))</x:f>
        <x:v>Detroit</x:v>
      </x:c>
      <x:c r="K1313" s="84" t="str">
        <x:f>PROPER(TRIM('Raw Sales'!H1313))</x:f>
        <x:v>Retail Store</x:v>
      </x:c>
      <x:c r="L1313" s="84" t="str">
        <x:f>'Raw Sales'!I1313</x:f>
        <x:v>FITN-001</x:v>
      </x:c>
      <x:c r="M1313" s="84" t="str">
        <x:f>IFERROR(VLOOKUP(L1313,'Reference Data'!$A$5:$F$40,2,FALSE),"Unknown Product")</x:f>
        <x:v>Yoga Mat</x:v>
      </x:c>
      <x:c r="N1313" s="84" t="str">
        <x:f>IFERROR(VLOOKUP(L1313,'Reference Data'!$A$5:$F$40,3,FALSE),"Unknown")</x:f>
        <x:v>Fitness</x:v>
      </x:c>
      <x:c r="O1313" s="84" t="str">
        <x:f>IFERROR(VLOOKUP(L1313,'Reference Data'!$A$5:$F$40,4,FALSE),"Unknown")</x:f>
        <x:v>Yoga</x:v>
      </x:c>
      <x:c r="P1313" s="92" t="n">
        <x:f>IFERROR(VLOOKUP(L1313,'Reference Data'!$A$5:$F$40,5,FALSE),0)</x:f>
        <x:v>35</x:v>
      </x:c>
      <x:c r="Q1313" s="92" t="n">
        <x:f>IFERROR(VLOOKUP(L1313,'Reference Data'!$A$5:$F$40,6,FALSE),0)</x:f>
        <x:v>13</x:v>
      </x:c>
      <x:c r="R1313" s="84" t="n">
        <x:f>'Raw Sales'!J1313</x:f>
        <x:v>1</x:v>
      </x:c>
      <x:c r="S1313" s="87" t="n">
        <x:f>'Raw Sales'!K1313</x:f>
        <x:v>0.2</x:v>
      </x:c>
      <x:c r="T1313" s="93" t="n">
        <x:f>P1313*R1313</x:f>
        <x:v>35</x:v>
      </x:c>
      <x:c r="U1313" s="93" t="n">
        <x:f>T1313*S1313</x:f>
        <x:v>7</x:v>
      </x:c>
      <x:c r="V1313" s="93" t="str">
        <x:f>PROPER(TRIM('Raw Sales'!L1313))</x:f>
        <x:v>Completed</x:v>
      </x:c>
      <x:c r="W1313" s="93" t="n">
        <x:f>IF(V1313="Returned",0,T1313-U1313)</x:f>
        <x:v>28</x:v>
      </x:c>
      <x:c r="X1313" s="93" t="n">
        <x:f>IF(V1313="Returned",Q1313*R1313*10%,Q1313*R1313)</x:f>
        <x:v>13</x:v>
      </x:c>
      <x:c r="Y1313" s="93" t="n">
        <x:f>W1313-X1313</x:f>
        <x:v>15</x:v>
      </x:c>
      <x:c r="Z1313" s="94" t="n">
        <x:f>IFERROR(Y1313/W1313,0)</x:f>
        <x:v>0.5357142857142857</x:v>
      </x:c>
      <x:c r="AA1313" s="84" t="str">
        <x:f>PROPER(TRIM('Raw Sales'!M1313))</x:f>
        <x:v>Cash</x:v>
      </x:c>
      <x:c r="AB1313" s="84" t="str">
        <x:f>PROPER(TRIM('Raw Sales'!N1313))</x:f>
        <x:v>Emma Hayes</x:v>
      </x:c>
      <x:c r="AC1313" s="85" t="n">
        <x:f>'Raw Sales'!O1313</x:f>
        <x:v>45724</x:v>
      </x:c>
      <x:c r="AD1313" s="84" t="n">
        <x:f>AC1313-B1313</x:f>
        <x:v>0</x:v>
      </x:c>
      <x:c r="AE1313" s="84" t="str">
        <x:f>IF(COUNTIF($A$5:A1313,A1313)&gt;1,"Duplicate","Keep")</x:f>
        <x:v>Keep</x:v>
      </x:c>
      <x:c r="AF1313" s="84" t="str">
        <x:f>IF(OR(R1313&lt;=0,AC1313&lt;B1313,H1313="Unknown",M1313="Unknown Product"),"Review","Valid")</x:f>
        <x:v>Valid</x:v>
      </x:c>
      <x:c r="AG1313" s="84" t="n">
        <x:f>IF(AND(AE1313="Keep",AF1313="Valid"),1,0)</x:f>
        <x:v>1</x:v>
      </x:c>
      <x:c r="AH1313" s="84" t="n">
        <x:f>IF(AND(AG1313=1,OR('Dashboard'!$B$4="All",I1313='Dashboard'!$B$4),OR('Dashboard'!$E$4="All",N1313='Dashboard'!$E$4),OR('Dashboard'!$H$4="All",K1313='Dashboard'!$H$4),OR('Dashboard'!$K$4="All",C1313='Dashboard'!$K$4)),1,0)</x:f>
        <x:v>1</x:v>
      </x:c>
      <x:c r="AI1313" s="84" t="n">
        <x:f>IF(AND(AG1313=1,OR('Dashboard'!$B$4="All",I1313='Dashboard'!$B$4),OR('Dashboard'!$E$4="All",N1313='Dashboard'!$E$4),OR('Dashboard'!$H$4="All",K1313='Dashboard'!$H$4)),1,0)</x:f>
        <x:v>1</x:v>
      </x:c>
    </x:row>
    <x:row r="1314">
      <x:c r="A1314" s="84" t="str">
        <x:f>'Raw Sales'!A1314</x:f>
        <x:v>ORD-2025-01345</x:v>
      </x:c>
      <x:c r="B1314" s="85" t="n">
        <x:f>'Raw Sales'!B1314</x:f>
        <x:v>45724</x:v>
      </x:c>
      <x:c r="C1314" s="84" t="n">
        <x:f>YEAR(B1314)</x:f>
        <x:v>2025</x:v>
      </x:c>
      <x:c r="D1314" s="91" t="n">
        <x:f>DATE(YEAR(B1314),MONTH(B1314),1)</x:f>
        <x:v>45717</x:v>
      </x:c>
      <x:c r="E1314" s="84" t="str">
        <x:f>TEXT(B1314,"mmm")</x:f>
        <x:v>Mar</x:v>
      </x:c>
      <x:c r="F1314" s="84" t="str">
        <x:f>'Raw Sales'!C1314</x:f>
        <x:v>CUST-0046</x:v>
      </x:c>
      <x:c r="G1314" s="84" t="str">
        <x:f>PROPER(TRIM('Raw Sales'!D1314))</x:f>
        <x:v>Nathan Moore</x:v>
      </x:c>
      <x:c r="H1314" s="84" t="str">
        <x:f>IF(TRIM('Raw Sales'!E1314)="","Unknown",PROPER(TRIM('Raw Sales'!E1314)))</x:f>
        <x:v>Consumer</x:v>
      </x:c>
      <x:c r="I1314" s="84" t="str">
        <x:f>PROPER(TRIM('Raw Sales'!F1314))</x:f>
        <x:v>Midwest</x:v>
      </x:c>
      <x:c r="J1314" s="84" t="str">
        <x:f>PROPER(TRIM('Raw Sales'!G1314))</x:f>
        <x:v>Columbus</x:v>
      </x:c>
      <x:c r="K1314" s="84" t="str">
        <x:f>PROPER(TRIM('Raw Sales'!H1314))</x:f>
        <x:v>Online</x:v>
      </x:c>
      <x:c r="L1314" s="84" t="str">
        <x:f>'Raw Sales'!I1314</x:f>
        <x:v>ACCS-005</x:v>
      </x:c>
      <x:c r="M1314" s="84" t="str">
        <x:f>IFERROR(VLOOKUP(L1314,'Reference Data'!$A$5:$F$40,2,FALSE),"Unknown Product")</x:f>
        <x:v>Protective Phone Case</x:v>
      </x:c>
      <x:c r="N1314" s="84" t="str">
        <x:f>IFERROR(VLOOKUP(L1314,'Reference Data'!$A$5:$F$40,3,FALSE),"Unknown")</x:f>
        <x:v>Accessories</x:v>
      </x:c>
      <x:c r="O1314" s="84" t="str">
        <x:f>IFERROR(VLOOKUP(L1314,'Reference Data'!$A$5:$F$40,4,FALSE),"Unknown")</x:f>
        <x:v>Mobile Accessories</x:v>
      </x:c>
      <x:c r="P1314" s="92" t="n">
        <x:f>IFERROR(VLOOKUP(L1314,'Reference Data'!$A$5:$F$40,5,FALSE),0)</x:f>
        <x:v>24</x:v>
      </x:c>
      <x:c r="Q1314" s="92" t="n">
        <x:f>IFERROR(VLOOKUP(L1314,'Reference Data'!$A$5:$F$40,6,FALSE),0)</x:f>
        <x:v>5</x:v>
      </x:c>
      <x:c r="R1314" s="84" t="n">
        <x:f>'Raw Sales'!J1314</x:f>
        <x:v>1</x:v>
      </x:c>
      <x:c r="S1314" s="87" t="n">
        <x:f>'Raw Sales'!K1314</x:f>
        <x:v>0.1</x:v>
      </x:c>
      <x:c r="T1314" s="93" t="n">
        <x:f>P1314*R1314</x:f>
        <x:v>24</x:v>
      </x:c>
      <x:c r="U1314" s="93" t="n">
        <x:f>T1314*S1314</x:f>
        <x:v>2.4000000000000004</x:v>
      </x:c>
      <x:c r="V1314" s="93" t="str">
        <x:f>PROPER(TRIM('Raw Sales'!L1314))</x:f>
        <x:v>Completed</x:v>
      </x:c>
      <x:c r="W1314" s="93" t="n">
        <x:f>IF(V1314="Returned",0,T1314-U1314)</x:f>
        <x:v>21.6</x:v>
      </x:c>
      <x:c r="X1314" s="93" t="n">
        <x:f>IF(V1314="Returned",Q1314*R1314*10%,Q1314*R1314)</x:f>
        <x:v>5</x:v>
      </x:c>
      <x:c r="Y1314" s="93" t="n">
        <x:f>W1314-X1314</x:f>
        <x:v>16.6</x:v>
      </x:c>
      <x:c r="Z1314" s="94" t="n">
        <x:f>IFERROR(Y1314/W1314,0)</x:f>
        <x:v>0.7685185185185185</x:v>
      </x:c>
      <x:c r="AA1314" s="84" t="str">
        <x:f>PROPER(TRIM('Raw Sales'!M1314))</x:f>
        <x:v>Credit Card</x:v>
      </x:c>
      <x:c r="AB1314" s="84" t="str">
        <x:f>PROPER(TRIM('Raw Sales'!N1314))</x:f>
        <x:v>Emma Hayes</x:v>
      </x:c>
      <x:c r="AC1314" s="85" t="n">
        <x:f>'Raw Sales'!O1314</x:f>
        <x:v>45726</x:v>
      </x:c>
      <x:c r="AD1314" s="84" t="n">
        <x:f>AC1314-B1314</x:f>
        <x:v>2</x:v>
      </x:c>
      <x:c r="AE1314" s="84" t="str">
        <x:f>IF(COUNTIF($A$5:A1314,A1314)&gt;1,"Duplicate","Keep")</x:f>
        <x:v>Keep</x:v>
      </x:c>
      <x:c r="AF1314" s="84" t="str">
        <x:f>IF(OR(R1314&lt;=0,AC1314&lt;B1314,H1314="Unknown",M1314="Unknown Product"),"Review","Valid")</x:f>
        <x:v>Valid</x:v>
      </x:c>
      <x:c r="AG1314" s="84" t="n">
        <x:f>IF(AND(AE1314="Keep",AF1314="Valid"),1,0)</x:f>
        <x:v>1</x:v>
      </x:c>
      <x:c r="AH1314" s="84" t="n">
        <x:f>IF(AND(AG1314=1,OR('Dashboard'!$B$4="All",I1314='Dashboard'!$B$4),OR('Dashboard'!$E$4="All",N1314='Dashboard'!$E$4),OR('Dashboard'!$H$4="All",K1314='Dashboard'!$H$4),OR('Dashboard'!$K$4="All",C1314='Dashboard'!$K$4)),1,0)</x:f>
        <x:v>1</x:v>
      </x:c>
      <x:c r="AI1314" s="84" t="n">
        <x:f>IF(AND(AG1314=1,OR('Dashboard'!$B$4="All",I1314='Dashboard'!$B$4),OR('Dashboard'!$E$4="All",N1314='Dashboard'!$E$4),OR('Dashboard'!$H$4="All",K1314='Dashboard'!$H$4)),1,0)</x:f>
        <x:v>1</x:v>
      </x:c>
    </x:row>
    <x:row r="1315">
      <x:c r="A1315" s="84" t="str">
        <x:f>'Raw Sales'!A1315</x:f>
        <x:v>ORD-2025-01871</x:v>
      </x:c>
      <x:c r="B1315" s="85" t="n">
        <x:f>'Raw Sales'!B1315</x:f>
        <x:v>45724</x:v>
      </x:c>
      <x:c r="C1315" s="84" t="n">
        <x:f>YEAR(B1315)</x:f>
        <x:v>2025</x:v>
      </x:c>
      <x:c r="D1315" s="91" t="n">
        <x:f>DATE(YEAR(B1315),MONTH(B1315),1)</x:f>
        <x:v>45717</x:v>
      </x:c>
      <x:c r="E1315" s="84" t="str">
        <x:f>TEXT(B1315,"mmm")</x:f>
        <x:v>Mar</x:v>
      </x:c>
      <x:c r="F1315" s="84" t="str">
        <x:f>'Raw Sales'!C1315</x:f>
        <x:v>CUST-0183</x:v>
      </x:c>
      <x:c r="G1315" s="84" t="str">
        <x:f>PROPER(TRIM('Raw Sales'!D1315))</x:f>
        <x:v>Jasmine Taylor</x:v>
      </x:c>
      <x:c r="H1315" s="84" t="str">
        <x:f>IF(TRIM('Raw Sales'!E1315)="","Unknown",PROPER(TRIM('Raw Sales'!E1315)))</x:f>
        <x:v>Corporate</x:v>
      </x:c>
      <x:c r="I1315" s="84" t="str">
        <x:f>PROPER(TRIM('Raw Sales'!F1315))</x:f>
        <x:v>West</x:v>
      </x:c>
      <x:c r="J1315" s="84" t="str">
        <x:f>PROPER(TRIM('Raw Sales'!G1315))</x:f>
        <x:v>Denver</x:v>
      </x:c>
      <x:c r="K1315" s="84" t="str">
        <x:f>PROPER(TRIM('Raw Sales'!H1315))</x:f>
        <x:v>Retail Store</x:v>
      </x:c>
      <x:c r="L1315" s="84" t="str">
        <x:f>'Raw Sales'!I1315</x:f>
        <x:v>ELEC-003</x:v>
      </x:c>
      <x:c r="M1315" s="84" t="str">
        <x:f>IFERROR(VLOOKUP(L1315,'Reference Data'!$A$5:$F$40,2,FALSE),"Unknown Product")</x:f>
        <x:v>Bluetooth Speaker</x:v>
      </x:c>
      <x:c r="N1315" s="84" t="str">
        <x:f>IFERROR(VLOOKUP(L1315,'Reference Data'!$A$5:$F$40,3,FALSE),"Unknown")</x:f>
        <x:v>Electronics</x:v>
      </x:c>
      <x:c r="O1315" s="84" t="str">
        <x:f>IFERROR(VLOOKUP(L1315,'Reference Data'!$A$5:$F$40,4,FALSE),"Unknown")</x:f>
        <x:v>Audio</x:v>
      </x:c>
      <x:c r="P1315" s="92" t="n">
        <x:f>IFERROR(VLOOKUP(L1315,'Reference Data'!$A$5:$F$40,5,FALSE),0)</x:f>
        <x:v>89</x:v>
      </x:c>
      <x:c r="Q1315" s="92" t="n">
        <x:f>IFERROR(VLOOKUP(L1315,'Reference Data'!$A$5:$F$40,6,FALSE),0)</x:f>
        <x:v>44</x:v>
      </x:c>
      <x:c r="R1315" s="84" t="n">
        <x:f>'Raw Sales'!J1315</x:f>
        <x:v>8</x:v>
      </x:c>
      <x:c r="S1315" s="87" t="n">
        <x:f>'Raw Sales'!K1315</x:f>
        <x:v>0</x:v>
      </x:c>
      <x:c r="T1315" s="93" t="n">
        <x:f>P1315*R1315</x:f>
        <x:v>712</x:v>
      </x:c>
      <x:c r="U1315" s="93" t="n">
        <x:f>T1315*S1315</x:f>
        <x:v>0</x:v>
      </x:c>
      <x:c r="V1315" s="93" t="str">
        <x:f>PROPER(TRIM('Raw Sales'!L1315))</x:f>
        <x:v>Returned</x:v>
      </x:c>
      <x:c r="W1315" s="93" t="n">
        <x:f>IF(V1315="Returned",0,T1315-U1315)</x:f>
        <x:v>0</x:v>
      </x:c>
      <x:c r="X1315" s="93" t="n">
        <x:f>IF(V1315="Returned",Q1315*R1315*10%,Q1315*R1315)</x:f>
        <x:v>35.2</x:v>
      </x:c>
      <x:c r="Y1315" s="93" t="n">
        <x:f>W1315-X1315</x:f>
        <x:v>-35.2</x:v>
      </x:c>
      <x:c r="Z1315" s="94" t="n">
        <x:f>IFERROR(Y1315/W1315,0)</x:f>
        <x:v>0</x:v>
      </x:c>
      <x:c r="AA1315" s="84" t="str">
        <x:f>PROPER(TRIM('Raw Sales'!M1315))</x:f>
        <x:v>Credit Card</x:v>
      </x:c>
      <x:c r="AB1315" s="84" t="str">
        <x:f>PROPER(TRIM('Raw Sales'!N1315))</x:f>
        <x:v>Leo Martinez</x:v>
      </x:c>
      <x:c r="AC1315" s="85" t="n">
        <x:f>'Raw Sales'!O1315</x:f>
        <x:v>45724</x:v>
      </x:c>
      <x:c r="AD1315" s="84" t="n">
        <x:f>AC1315-B1315</x:f>
        <x:v>0</x:v>
      </x:c>
      <x:c r="AE1315" s="84" t="str">
        <x:f>IF(COUNTIF($A$5:A1315,A1315)&gt;1,"Duplicate","Keep")</x:f>
        <x:v>Keep</x:v>
      </x:c>
      <x:c r="AF1315" s="84" t="str">
        <x:f>IF(OR(R1315&lt;=0,AC1315&lt;B1315,H1315="Unknown",M1315="Unknown Product"),"Review","Valid")</x:f>
        <x:v>Valid</x:v>
      </x:c>
      <x:c r="AG1315" s="84" t="n">
        <x:f>IF(AND(AE1315="Keep",AF1315="Valid"),1,0)</x:f>
        <x:v>1</x:v>
      </x:c>
      <x:c r="AH1315" s="84" t="n">
        <x:f>IF(AND(AG1315=1,OR('Dashboard'!$B$4="All",I1315='Dashboard'!$B$4),OR('Dashboard'!$E$4="All",N1315='Dashboard'!$E$4),OR('Dashboard'!$H$4="All",K1315='Dashboard'!$H$4),OR('Dashboard'!$K$4="All",C1315='Dashboard'!$K$4)),1,0)</x:f>
        <x:v>1</x:v>
      </x:c>
      <x:c r="AI1315" s="84" t="n">
        <x:f>IF(AND(AG1315=1,OR('Dashboard'!$B$4="All",I1315='Dashboard'!$B$4),OR('Dashboard'!$E$4="All",N1315='Dashboard'!$E$4),OR('Dashboard'!$H$4="All",K1315='Dashboard'!$H$4)),1,0)</x:f>
        <x:v>1</x:v>
      </x:c>
    </x:row>
    <x:row r="1316">
      <x:c r="A1316" s="84" t="str">
        <x:f>'Raw Sales'!A1316</x:f>
        <x:v>ORD-2025-01938</x:v>
      </x:c>
      <x:c r="B1316" s="85" t="n">
        <x:f>'Raw Sales'!B1316</x:f>
        <x:v>45724</x:v>
      </x:c>
      <x:c r="C1316" s="84" t="n">
        <x:f>YEAR(B1316)</x:f>
        <x:v>2025</x:v>
      </x:c>
      <x:c r="D1316" s="91" t="n">
        <x:f>DATE(YEAR(B1316),MONTH(B1316),1)</x:f>
        <x:v>45717</x:v>
      </x:c>
      <x:c r="E1316" s="84" t="str">
        <x:f>TEXT(B1316,"mmm")</x:f>
        <x:v>Mar</x:v>
      </x:c>
      <x:c r="F1316" s="84" t="str">
        <x:f>'Raw Sales'!C1316</x:f>
        <x:v>CUST-0417</x:v>
      </x:c>
      <x:c r="G1316" s="84" t="str">
        <x:f>PROPER(TRIM('Raw Sales'!D1316))</x:f>
        <x:v>Amelia Evans</x:v>
      </x:c>
      <x:c r="H1316" s="84" t="str">
        <x:f>IF(TRIM('Raw Sales'!E1316)="","Unknown",PROPER(TRIM('Raw Sales'!E1316)))</x:f>
        <x:v>Consumer</x:v>
      </x:c>
      <x:c r="I1316" s="84" t="str">
        <x:f>PROPER(TRIM('Raw Sales'!F1316))</x:f>
        <x:v>Northeast</x:v>
      </x:c>
      <x:c r="J1316" s="84" t="str">
        <x:f>PROPER(TRIM('Raw Sales'!G1316))</x:f>
        <x:v>Boston</x:v>
      </x:c>
      <x:c r="K1316" s="84" t="str">
        <x:f>PROPER(TRIM('Raw Sales'!H1316))</x:f>
        <x:v>Retail Store</x:v>
      </x:c>
      <x:c r="L1316" s="84" t="str">
        <x:f>'Raw Sales'!I1316</x:f>
        <x:v>ACCS-005</x:v>
      </x:c>
      <x:c r="M1316" s="84" t="str">
        <x:f>IFERROR(VLOOKUP(L1316,'Reference Data'!$A$5:$F$40,2,FALSE),"Unknown Product")</x:f>
        <x:v>Protective Phone Case</x:v>
      </x:c>
      <x:c r="N1316" s="84" t="str">
        <x:f>IFERROR(VLOOKUP(L1316,'Reference Data'!$A$5:$F$40,3,FALSE),"Unknown")</x:f>
        <x:v>Accessories</x:v>
      </x:c>
      <x:c r="O1316" s="84" t="str">
        <x:f>IFERROR(VLOOKUP(L1316,'Reference Data'!$A$5:$F$40,4,FALSE),"Unknown")</x:f>
        <x:v>Mobile Accessories</x:v>
      </x:c>
      <x:c r="P1316" s="92" t="n">
        <x:f>IFERROR(VLOOKUP(L1316,'Reference Data'!$A$5:$F$40,5,FALSE),0)</x:f>
        <x:v>24</x:v>
      </x:c>
      <x:c r="Q1316" s="92" t="n">
        <x:f>IFERROR(VLOOKUP(L1316,'Reference Data'!$A$5:$F$40,6,FALSE),0)</x:f>
        <x:v>5</x:v>
      </x:c>
      <x:c r="R1316" s="84" t="n">
        <x:f>'Raw Sales'!J1316</x:f>
        <x:v>1</x:v>
      </x:c>
      <x:c r="S1316" s="87" t="n">
        <x:f>'Raw Sales'!K1316</x:f>
        <x:v>0.1</x:v>
      </x:c>
      <x:c r="T1316" s="93" t="n">
        <x:f>P1316*R1316</x:f>
        <x:v>24</x:v>
      </x:c>
      <x:c r="U1316" s="93" t="n">
        <x:f>T1316*S1316</x:f>
        <x:v>2.4000000000000004</x:v>
      </x:c>
      <x:c r="V1316" s="93" t="str">
        <x:f>PROPER(TRIM('Raw Sales'!L1316))</x:f>
        <x:v>Completed</x:v>
      </x:c>
      <x:c r="W1316" s="93" t="n">
        <x:f>IF(V1316="Returned",0,T1316-U1316)</x:f>
        <x:v>21.6</x:v>
      </x:c>
      <x:c r="X1316" s="93" t="n">
        <x:f>IF(V1316="Returned",Q1316*R1316*10%,Q1316*R1316)</x:f>
        <x:v>5</x:v>
      </x:c>
      <x:c r="Y1316" s="93" t="n">
        <x:f>W1316-X1316</x:f>
        <x:v>16.6</x:v>
      </x:c>
      <x:c r="Z1316" s="94" t="n">
        <x:f>IFERROR(Y1316/W1316,0)</x:f>
        <x:v>0.7685185185185185</x:v>
      </x:c>
      <x:c r="AA1316" s="84" t="str">
        <x:f>PROPER(TRIM('Raw Sales'!M1316))</x:f>
        <x:v>Cash</x:v>
      </x:c>
      <x:c r="AB1316" s="84" t="str">
        <x:f>PROPER(TRIM('Raw Sales'!N1316))</x:f>
        <x:v>Ethan Cole</x:v>
      </x:c>
      <x:c r="AC1316" s="85" t="n">
        <x:f>'Raw Sales'!O1316</x:f>
        <x:v>45725</x:v>
      </x:c>
      <x:c r="AD1316" s="84" t="n">
        <x:f>AC1316-B1316</x:f>
        <x:v>1</x:v>
      </x:c>
      <x:c r="AE1316" s="84" t="str">
        <x:f>IF(COUNTIF($A$5:A1316,A1316)&gt;1,"Duplicate","Keep")</x:f>
        <x:v>Keep</x:v>
      </x:c>
      <x:c r="AF1316" s="84" t="str">
        <x:f>IF(OR(R1316&lt;=0,AC1316&lt;B1316,H1316="Unknown",M1316="Unknown Product"),"Review","Valid")</x:f>
        <x:v>Valid</x:v>
      </x:c>
      <x:c r="AG1316" s="84" t="n">
        <x:f>IF(AND(AE1316="Keep",AF1316="Valid"),1,0)</x:f>
        <x:v>1</x:v>
      </x:c>
      <x:c r="AH1316" s="84" t="n">
        <x:f>IF(AND(AG1316=1,OR('Dashboard'!$B$4="All",I1316='Dashboard'!$B$4),OR('Dashboard'!$E$4="All",N1316='Dashboard'!$E$4),OR('Dashboard'!$H$4="All",K1316='Dashboard'!$H$4),OR('Dashboard'!$K$4="All",C1316='Dashboard'!$K$4)),1,0)</x:f>
        <x:v>1</x:v>
      </x:c>
      <x:c r="AI1316" s="84" t="n">
        <x:f>IF(AND(AG1316=1,OR('Dashboard'!$B$4="All",I1316='Dashboard'!$B$4),OR('Dashboard'!$E$4="All",N1316='Dashboard'!$E$4),OR('Dashboard'!$H$4="All",K1316='Dashboard'!$H$4)),1,0)</x:f>
        <x:v>1</x:v>
      </x:c>
    </x:row>
    <x:row r="1317">
      <x:c r="A1317" s="84" t="str">
        <x:f>'Raw Sales'!A1317</x:f>
        <x:v>ORD-2025-00533</x:v>
      </x:c>
      <x:c r="B1317" s="85" t="n">
        <x:f>'Raw Sales'!B1317</x:f>
        <x:v>45725</x:v>
      </x:c>
      <x:c r="C1317" s="84" t="n">
        <x:f>YEAR(B1317)</x:f>
        <x:v>2025</x:v>
      </x:c>
      <x:c r="D1317" s="91" t="n">
        <x:f>DATE(YEAR(B1317),MONTH(B1317),1)</x:f>
        <x:v>45717</x:v>
      </x:c>
      <x:c r="E1317" s="84" t="str">
        <x:f>TEXT(B1317,"mmm")</x:f>
        <x:v>Mar</x:v>
      </x:c>
      <x:c r="F1317" s="84" t="str">
        <x:f>'Raw Sales'!C1317</x:f>
        <x:v>CUST-0309</x:v>
      </x:c>
      <x:c r="G1317" s="84" t="str">
        <x:f>PROPER(TRIM('Raw Sales'!D1317))</x:f>
        <x:v>Jasmine Garcia</x:v>
      </x:c>
      <x:c r="H1317" s="84" t="str">
        <x:f>IF(TRIM('Raw Sales'!E1317)="","Unknown",PROPER(TRIM('Raw Sales'!E1317)))</x:f>
        <x:v>Consumer</x:v>
      </x:c>
      <x:c r="I1317" s="84" t="str">
        <x:f>PROPER(TRIM('Raw Sales'!F1317))</x:f>
        <x:v>Northeast</x:v>
      </x:c>
      <x:c r="J1317" s="84" t="str">
        <x:f>PROPER(TRIM('Raw Sales'!G1317))</x:f>
        <x:v>Boston</x:v>
      </x:c>
      <x:c r="K1317" s="84" t="str">
        <x:f>PROPER(TRIM('Raw Sales'!H1317))</x:f>
        <x:v>Online</x:v>
      </x:c>
      <x:c r="L1317" s="84" t="str">
        <x:f>'Raw Sales'!I1317</x:f>
        <x:v>ACCS-005</x:v>
      </x:c>
      <x:c r="M1317" s="84" t="str">
        <x:f>IFERROR(VLOOKUP(L1317,'Reference Data'!$A$5:$F$40,2,FALSE),"Unknown Product")</x:f>
        <x:v>Protective Phone Case</x:v>
      </x:c>
      <x:c r="N1317" s="84" t="str">
        <x:f>IFERROR(VLOOKUP(L1317,'Reference Data'!$A$5:$F$40,3,FALSE),"Unknown")</x:f>
        <x:v>Accessories</x:v>
      </x:c>
      <x:c r="O1317" s="84" t="str">
        <x:f>IFERROR(VLOOKUP(L1317,'Reference Data'!$A$5:$F$40,4,FALSE),"Unknown")</x:f>
        <x:v>Mobile Accessories</x:v>
      </x:c>
      <x:c r="P1317" s="92" t="n">
        <x:f>IFERROR(VLOOKUP(L1317,'Reference Data'!$A$5:$F$40,5,FALSE),0)</x:f>
        <x:v>24</x:v>
      </x:c>
      <x:c r="Q1317" s="92" t="n">
        <x:f>IFERROR(VLOOKUP(L1317,'Reference Data'!$A$5:$F$40,6,FALSE),0)</x:f>
        <x:v>5</x:v>
      </x:c>
      <x:c r="R1317" s="84" t="n">
        <x:f>'Raw Sales'!J1317</x:f>
        <x:v>3</x:v>
      </x:c>
      <x:c r="S1317" s="87" t="n">
        <x:f>'Raw Sales'!K1317</x:f>
        <x:v>0.1</x:v>
      </x:c>
      <x:c r="T1317" s="93" t="n">
        <x:f>P1317*R1317</x:f>
        <x:v>72</x:v>
      </x:c>
      <x:c r="U1317" s="93" t="n">
        <x:f>T1317*S1317</x:f>
        <x:v>7.2</x:v>
      </x:c>
      <x:c r="V1317" s="93" t="str">
        <x:f>PROPER(TRIM('Raw Sales'!L1317))</x:f>
        <x:v>Completed</x:v>
      </x:c>
      <x:c r="W1317" s="93" t="n">
        <x:f>IF(V1317="Returned",0,T1317-U1317)</x:f>
        <x:v>64.8</x:v>
      </x:c>
      <x:c r="X1317" s="93" t="n">
        <x:f>IF(V1317="Returned",Q1317*R1317*10%,Q1317*R1317)</x:f>
        <x:v>15</x:v>
      </x:c>
      <x:c r="Y1317" s="93" t="n">
        <x:f>W1317-X1317</x:f>
        <x:v>49.8</x:v>
      </x:c>
      <x:c r="Z1317" s="94" t="n">
        <x:f>IFERROR(Y1317/W1317,0)</x:f>
        <x:v>0.7685185185185185</x:v>
      </x:c>
      <x:c r="AA1317" s="84" t="str">
        <x:f>PROPER(TRIM('Raw Sales'!M1317))</x:f>
        <x:v>Paypal</x:v>
      </x:c>
      <x:c r="AB1317" s="84" t="str">
        <x:f>PROPER(TRIM('Raw Sales'!N1317))</x:f>
        <x:v>Maya Brooks</x:v>
      </x:c>
      <x:c r="AC1317" s="85" t="n">
        <x:f>'Raw Sales'!O1317</x:f>
        <x:v>45729</x:v>
      </x:c>
      <x:c r="AD1317" s="84" t="n">
        <x:f>AC1317-B1317</x:f>
        <x:v>4</x:v>
      </x:c>
      <x:c r="AE1317" s="84" t="str">
        <x:f>IF(COUNTIF($A$5:A1317,A1317)&gt;1,"Duplicate","Keep")</x:f>
        <x:v>Keep</x:v>
      </x:c>
      <x:c r="AF1317" s="84" t="str">
        <x:f>IF(OR(R1317&lt;=0,AC1317&lt;B1317,H1317="Unknown",M1317="Unknown Product"),"Review","Valid")</x:f>
        <x:v>Valid</x:v>
      </x:c>
      <x:c r="AG1317" s="84" t="n">
        <x:f>IF(AND(AE1317="Keep",AF1317="Valid"),1,0)</x:f>
        <x:v>1</x:v>
      </x:c>
      <x:c r="AH1317" s="84" t="n">
        <x:f>IF(AND(AG1317=1,OR('Dashboard'!$B$4="All",I1317='Dashboard'!$B$4),OR('Dashboard'!$E$4="All",N1317='Dashboard'!$E$4),OR('Dashboard'!$H$4="All",K1317='Dashboard'!$H$4),OR('Dashboard'!$K$4="All",C1317='Dashboard'!$K$4)),1,0)</x:f>
        <x:v>1</x:v>
      </x:c>
      <x:c r="AI1317" s="84" t="n">
        <x:f>IF(AND(AG1317=1,OR('Dashboard'!$B$4="All",I1317='Dashboard'!$B$4),OR('Dashboard'!$E$4="All",N1317='Dashboard'!$E$4),OR('Dashboard'!$H$4="All",K1317='Dashboard'!$H$4)),1,0)</x:f>
        <x:v>1</x:v>
      </x:c>
    </x:row>
    <x:row r="1318">
      <x:c r="A1318" s="84" t="str">
        <x:f>'Raw Sales'!A1318</x:f>
        <x:v>ORD-2025-00986</x:v>
      </x:c>
      <x:c r="B1318" s="85" t="n">
        <x:f>'Raw Sales'!B1318</x:f>
        <x:v>45725</x:v>
      </x:c>
      <x:c r="C1318" s="84" t="n">
        <x:f>YEAR(B1318)</x:f>
        <x:v>2025</x:v>
      </x:c>
      <x:c r="D1318" s="91" t="n">
        <x:f>DATE(YEAR(B1318),MONTH(B1318),1)</x:f>
        <x:v>45717</x:v>
      </x:c>
      <x:c r="E1318" s="84" t="str">
        <x:f>TEXT(B1318,"mmm")</x:f>
        <x:v>Mar</x:v>
      </x:c>
      <x:c r="F1318" s="84" t="str">
        <x:f>'Raw Sales'!C1318</x:f>
        <x:v>CUST-0273</x:v>
      </x:c>
      <x:c r="G1318" s="84" t="str">
        <x:f>PROPER(TRIM('Raw Sales'!D1318))</x:f>
        <x:v>Chloe Ortiz</x:v>
      </x:c>
      <x:c r="H1318" s="84" t="str">
        <x:f>IF(TRIM('Raw Sales'!E1318)="","Unknown",PROPER(TRIM('Raw Sales'!E1318)))</x:f>
        <x:v>Consumer</x:v>
      </x:c>
      <x:c r="I1318" s="84" t="str">
        <x:f>PROPER(TRIM('Raw Sales'!F1318))</x:f>
        <x:v>Northeast</x:v>
      </x:c>
      <x:c r="J1318" s="84" t="str">
        <x:f>PROPER(TRIM('Raw Sales'!G1318))</x:f>
        <x:v>Newark</x:v>
      </x:c>
      <x:c r="K1318" s="84" t="str">
        <x:f>PROPER(TRIM('Raw Sales'!H1318))</x:f>
        <x:v>Online</x:v>
      </x:c>
      <x:c r="L1318" s="84" t="str">
        <x:f>'Raw Sales'!I1318</x:f>
        <x:v>ACCS-002</x:v>
      </x:c>
      <x:c r="M1318" s="84" t="str">
        <x:f>IFERROR(VLOOKUP(L1318,'Reference Data'!$A$5:$F$40,2,FALSE),"Unknown Product")</x:f>
        <x:v>Travel Backpack</x:v>
      </x:c>
      <x:c r="N1318" s="84" t="str">
        <x:f>IFERROR(VLOOKUP(L1318,'Reference Data'!$A$5:$F$40,3,FALSE),"Unknown")</x:f>
        <x:v>Accessories</x:v>
      </x:c>
      <x:c r="O1318" s="84" t="str">
        <x:f>IFERROR(VLOOKUP(L1318,'Reference Data'!$A$5:$F$40,4,FALSE),"Unknown")</x:f>
        <x:v>Bags</x:v>
      </x:c>
      <x:c r="P1318" s="92" t="n">
        <x:f>IFERROR(VLOOKUP(L1318,'Reference Data'!$A$5:$F$40,5,FALSE),0)</x:f>
        <x:v>89</x:v>
      </x:c>
      <x:c r="Q1318" s="92" t="n">
        <x:f>IFERROR(VLOOKUP(L1318,'Reference Data'!$A$5:$F$40,6,FALSE),0)</x:f>
        <x:v>36</x:v>
      </x:c>
      <x:c r="R1318" s="84" t="n">
        <x:f>'Raw Sales'!J1318</x:f>
        <x:v>4</x:v>
      </x:c>
      <x:c r="S1318" s="87" t="n">
        <x:f>'Raw Sales'!K1318</x:f>
        <x:v>0.05</x:v>
      </x:c>
      <x:c r="T1318" s="93" t="n">
        <x:f>P1318*R1318</x:f>
        <x:v>356</x:v>
      </x:c>
      <x:c r="U1318" s="93" t="n">
        <x:f>T1318*S1318</x:f>
        <x:v>17.8</x:v>
      </x:c>
      <x:c r="V1318" s="93" t="str">
        <x:f>PROPER(TRIM('Raw Sales'!L1318))</x:f>
        <x:v>Completed</x:v>
      </x:c>
      <x:c r="W1318" s="93" t="n">
        <x:f>IF(V1318="Returned",0,T1318-U1318)</x:f>
        <x:v>338.2</x:v>
      </x:c>
      <x:c r="X1318" s="93" t="n">
        <x:f>IF(V1318="Returned",Q1318*R1318*10%,Q1318*R1318)</x:f>
        <x:v>144</x:v>
      </x:c>
      <x:c r="Y1318" s="93" t="n">
        <x:f>W1318-X1318</x:f>
        <x:v>194.2</x:v>
      </x:c>
      <x:c r="Z1318" s="94" t="n">
        <x:f>IFERROR(Y1318/W1318,0)</x:f>
        <x:v>0.5742164399763453</x:v>
      </x:c>
      <x:c r="AA1318" s="84" t="str">
        <x:f>PROPER(TRIM('Raw Sales'!M1318))</x:f>
        <x:v>Credit Card</x:v>
      </x:c>
      <x:c r="AB1318" s="84" t="str">
        <x:f>PROPER(TRIM('Raw Sales'!N1318))</x:f>
        <x:v>Sofia Bennett</x:v>
      </x:c>
      <x:c r="AC1318" s="85" t="n">
        <x:f>'Raw Sales'!O1318</x:f>
        <x:v>45727</x:v>
      </x:c>
      <x:c r="AD1318" s="84" t="n">
        <x:f>AC1318-B1318</x:f>
        <x:v>2</x:v>
      </x:c>
      <x:c r="AE1318" s="84" t="str">
        <x:f>IF(COUNTIF($A$5:A1318,A1318)&gt;1,"Duplicate","Keep")</x:f>
        <x:v>Keep</x:v>
      </x:c>
      <x:c r="AF1318" s="84" t="str">
        <x:f>IF(OR(R1318&lt;=0,AC1318&lt;B1318,H1318="Unknown",M1318="Unknown Product"),"Review","Valid")</x:f>
        <x:v>Valid</x:v>
      </x:c>
      <x:c r="AG1318" s="84" t="n">
        <x:f>IF(AND(AE1318="Keep",AF1318="Valid"),1,0)</x:f>
        <x:v>1</x:v>
      </x:c>
      <x:c r="AH1318" s="84" t="n">
        <x:f>IF(AND(AG1318=1,OR('Dashboard'!$B$4="All",I1318='Dashboard'!$B$4),OR('Dashboard'!$E$4="All",N1318='Dashboard'!$E$4),OR('Dashboard'!$H$4="All",K1318='Dashboard'!$H$4),OR('Dashboard'!$K$4="All",C1318='Dashboard'!$K$4)),1,0)</x:f>
        <x:v>1</x:v>
      </x:c>
      <x:c r="AI1318" s="84" t="n">
        <x:f>IF(AND(AG1318=1,OR('Dashboard'!$B$4="All",I1318='Dashboard'!$B$4),OR('Dashboard'!$E$4="All",N1318='Dashboard'!$E$4),OR('Dashboard'!$H$4="All",K1318='Dashboard'!$H$4)),1,0)</x:f>
        <x:v>1</x:v>
      </x:c>
    </x:row>
    <x:row r="1319">
      <x:c r="A1319" s="84" t="str">
        <x:f>'Raw Sales'!A1319</x:f>
        <x:v>ORD-2025-02256</x:v>
      </x:c>
      <x:c r="B1319" s="85" t="n">
        <x:f>'Raw Sales'!B1319</x:f>
        <x:v>45725</x:v>
      </x:c>
      <x:c r="C1319" s="84" t="n">
        <x:f>YEAR(B1319)</x:f>
        <x:v>2025</x:v>
      </x:c>
      <x:c r="D1319" s="91" t="n">
        <x:f>DATE(YEAR(B1319),MONTH(B1319),1)</x:f>
        <x:v>45717</x:v>
      </x:c>
      <x:c r="E1319" s="84" t="str">
        <x:f>TEXT(B1319,"mmm")</x:f>
        <x:v>Mar</x:v>
      </x:c>
      <x:c r="F1319" s="84" t="str">
        <x:f>'Raw Sales'!C1319</x:f>
        <x:v>CUST-0292</x:v>
      </x:c>
      <x:c r="G1319" s="84" t="str">
        <x:f>PROPER(TRIM('Raw Sales'!D1319))</x:f>
        <x:v>Caleb Nelson</x:v>
      </x:c>
      <x:c r="H1319" s="84" t="str">
        <x:f>IF(TRIM('Raw Sales'!E1319)="","Unknown",PROPER(TRIM('Raw Sales'!E1319)))</x:f>
        <x:v>Small Business</x:v>
      </x:c>
      <x:c r="I1319" s="84" t="str">
        <x:f>PROPER(TRIM('Raw Sales'!F1319))</x:f>
        <x:v>Midwest</x:v>
      </x:c>
      <x:c r="J1319" s="84" t="str">
        <x:f>PROPER(TRIM('Raw Sales'!G1319))</x:f>
        <x:v>Columbus</x:v>
      </x:c>
      <x:c r="K1319" s="84" t="str">
        <x:f>PROPER(TRIM('Raw Sales'!H1319))</x:f>
        <x:v>Online</x:v>
      </x:c>
      <x:c r="L1319" s="84" t="str">
        <x:f>'Raw Sales'!I1319</x:f>
        <x:v>OFFC-006</x:v>
      </x:c>
      <x:c r="M1319" s="84" t="str">
        <x:f>IFERROR(VLOOKUP(L1319,'Reference Data'!$A$5:$F$40,2,FALSE),"Unknown Product")</x:f>
        <x:v>Monitor Stand</x:v>
      </x:c>
      <x:c r="N1319" s="84" t="str">
        <x:f>IFERROR(VLOOKUP(L1319,'Reference Data'!$A$5:$F$40,3,FALSE),"Unknown")</x:f>
        <x:v>Office</x:v>
      </x:c>
      <x:c r="O1319" s="84" t="str">
        <x:f>IFERROR(VLOOKUP(L1319,'Reference Data'!$A$5:$F$40,4,FALSE),"Unknown")</x:f>
        <x:v>Desk Accessories</x:v>
      </x:c>
      <x:c r="P1319" s="92" t="n">
        <x:f>IFERROR(VLOOKUP(L1319,'Reference Data'!$A$5:$F$40,5,FALSE),0)</x:f>
        <x:v>49</x:v>
      </x:c>
      <x:c r="Q1319" s="92" t="n">
        <x:f>IFERROR(VLOOKUP(L1319,'Reference Data'!$A$5:$F$40,6,FALSE),0)</x:f>
        <x:v>21</x:v>
      </x:c>
      <x:c r="R1319" s="84" t="n">
        <x:f>'Raw Sales'!J1319</x:f>
        <x:v>1</x:v>
      </x:c>
      <x:c r="S1319" s="87" t="n">
        <x:f>'Raw Sales'!K1319</x:f>
        <x:v>0</x:v>
      </x:c>
      <x:c r="T1319" s="93" t="n">
        <x:f>P1319*R1319</x:f>
        <x:v>49</x:v>
      </x:c>
      <x:c r="U1319" s="93" t="n">
        <x:f>T1319*S1319</x:f>
        <x:v>0</x:v>
      </x:c>
      <x:c r="V1319" s="93" t="str">
        <x:f>PROPER(TRIM('Raw Sales'!L1319))</x:f>
        <x:v>Completed</x:v>
      </x:c>
      <x:c r="W1319" s="93" t="n">
        <x:f>IF(V1319="Returned",0,T1319-U1319)</x:f>
        <x:v>49</x:v>
      </x:c>
      <x:c r="X1319" s="93" t="n">
        <x:f>IF(V1319="Returned",Q1319*R1319*10%,Q1319*R1319)</x:f>
        <x:v>21</x:v>
      </x:c>
      <x:c r="Y1319" s="93" t="n">
        <x:f>W1319-X1319</x:f>
        <x:v>28</x:v>
      </x:c>
      <x:c r="Z1319" s="94" t="n">
        <x:f>IFERROR(Y1319/W1319,0)</x:f>
        <x:v>0.5714285714285714</x:v>
      </x:c>
      <x:c r="AA1319" s="84" t="str">
        <x:f>PROPER(TRIM('Raw Sales'!M1319))</x:f>
        <x:v>Mobile Wallet</x:v>
      </x:c>
      <x:c r="AB1319" s="84" t="str">
        <x:f>PROPER(TRIM('Raw Sales'!N1319))</x:f>
        <x:v>Lucas Grant</x:v>
      </x:c>
      <x:c r="AC1319" s="85" t="n">
        <x:f>'Raw Sales'!O1319</x:f>
        <x:v>45730</x:v>
      </x:c>
      <x:c r="AD1319" s="84" t="n">
        <x:f>AC1319-B1319</x:f>
        <x:v>5</x:v>
      </x:c>
      <x:c r="AE1319" s="84" t="str">
        <x:f>IF(COUNTIF($A$5:A1319,A1319)&gt;1,"Duplicate","Keep")</x:f>
        <x:v>Keep</x:v>
      </x:c>
      <x:c r="AF1319" s="84" t="str">
        <x:f>IF(OR(R1319&lt;=0,AC1319&lt;B1319,H1319="Unknown",M1319="Unknown Product"),"Review","Valid")</x:f>
        <x:v>Valid</x:v>
      </x:c>
      <x:c r="AG1319" s="84" t="n">
        <x:f>IF(AND(AE1319="Keep",AF1319="Valid"),1,0)</x:f>
        <x:v>1</x:v>
      </x:c>
      <x:c r="AH1319" s="84" t="n">
        <x:f>IF(AND(AG1319=1,OR('Dashboard'!$B$4="All",I1319='Dashboard'!$B$4),OR('Dashboard'!$E$4="All",N1319='Dashboard'!$E$4),OR('Dashboard'!$H$4="All",K1319='Dashboard'!$H$4),OR('Dashboard'!$K$4="All",C1319='Dashboard'!$K$4)),1,0)</x:f>
        <x:v>1</x:v>
      </x:c>
      <x:c r="AI1319" s="84" t="n">
        <x:f>IF(AND(AG1319=1,OR('Dashboard'!$B$4="All",I1319='Dashboard'!$B$4),OR('Dashboard'!$E$4="All",N1319='Dashboard'!$E$4),OR('Dashboard'!$H$4="All",K1319='Dashboard'!$H$4)),1,0)</x:f>
        <x:v>1</x:v>
      </x:c>
    </x:row>
    <x:row r="1320">
      <x:c r="A1320" s="84" t="str">
        <x:f>'Raw Sales'!A1320</x:f>
        <x:v>ORD-2025-02350</x:v>
      </x:c>
      <x:c r="B1320" s="85" t="n">
        <x:f>'Raw Sales'!B1320</x:f>
        <x:v>45725</x:v>
      </x:c>
      <x:c r="C1320" s="84" t="n">
        <x:f>YEAR(B1320)</x:f>
        <x:v>2025</x:v>
      </x:c>
      <x:c r="D1320" s="91" t="n">
        <x:f>DATE(YEAR(B1320),MONTH(B1320),1)</x:f>
        <x:v>45717</x:v>
      </x:c>
      <x:c r="E1320" s="84" t="str">
        <x:f>TEXT(B1320,"mmm")</x:f>
        <x:v>Mar</x:v>
      </x:c>
      <x:c r="F1320" s="84" t="str">
        <x:f>'Raw Sales'!C1320</x:f>
        <x:v>CUST-0006</x:v>
      </x:c>
      <x:c r="G1320" s="84" t="str">
        <x:f>PROPER(TRIM('Raw Sales'!D1320))</x:f>
        <x:v>Chloe Adams</x:v>
      </x:c>
      <x:c r="H1320" s="84" t="str">
        <x:f>IF(TRIM('Raw Sales'!E1320)="","Unknown",PROPER(TRIM('Raw Sales'!E1320)))</x:f>
        <x:v>Consumer</x:v>
      </x:c>
      <x:c r="I1320" s="84" t="str">
        <x:f>PROPER(TRIM('Raw Sales'!F1320))</x:f>
        <x:v>Midwest</x:v>
      </x:c>
      <x:c r="J1320" s="84" t="str">
        <x:f>PROPER(TRIM('Raw Sales'!G1320))</x:f>
        <x:v>Columbus</x:v>
      </x:c>
      <x:c r="K1320" s="84" t="str">
        <x:f>PROPER(TRIM('Raw Sales'!H1320))</x:f>
        <x:v>Retail Store</x:v>
      </x:c>
      <x:c r="L1320" s="84" t="str">
        <x:f>'Raw Sales'!I1320</x:f>
        <x:v>CARE-002</x:v>
      </x:c>
      <x:c r="M1320" s="84" t="str">
        <x:f>IFERROR(VLOOKUP(L1320,'Reference Data'!$A$5:$F$40,2,FALSE),"Unknown Product")</x:f>
        <x:v>Rechargeable Trimmer</x:v>
      </x:c>
      <x:c r="N1320" s="84" t="str">
        <x:f>IFERROR(VLOOKUP(L1320,'Reference Data'!$A$5:$F$40,3,FALSE),"Unknown")</x:f>
        <x:v>Personal Care</x:v>
      </x:c>
      <x:c r="O1320" s="84" t="str">
        <x:f>IFERROR(VLOOKUP(L1320,'Reference Data'!$A$5:$F$40,4,FALSE),"Unknown")</x:f>
        <x:v>Grooming</x:v>
      </x:c>
      <x:c r="P1320" s="92" t="n">
        <x:f>IFERROR(VLOOKUP(L1320,'Reference Data'!$A$5:$F$40,5,FALSE),0)</x:f>
        <x:v>45</x:v>
      </x:c>
      <x:c r="Q1320" s="92" t="n">
        <x:f>IFERROR(VLOOKUP(L1320,'Reference Data'!$A$5:$F$40,6,FALSE),0)</x:f>
        <x:v>19</x:v>
      </x:c>
      <x:c r="R1320" s="84" t="n">
        <x:f>'Raw Sales'!J1320</x:f>
        <x:v>1</x:v>
      </x:c>
      <x:c r="S1320" s="87" t="n">
        <x:f>'Raw Sales'!K1320</x:f>
        <x:v>0.1</x:v>
      </x:c>
      <x:c r="T1320" s="93" t="n">
        <x:f>P1320*R1320</x:f>
        <x:v>45</x:v>
      </x:c>
      <x:c r="U1320" s="93" t="n">
        <x:f>T1320*S1320</x:f>
        <x:v>4.5</x:v>
      </x:c>
      <x:c r="V1320" s="93" t="str">
        <x:f>PROPER(TRIM('Raw Sales'!L1320))</x:f>
        <x:v>Completed</x:v>
      </x:c>
      <x:c r="W1320" s="93" t="n">
        <x:f>IF(V1320="Returned",0,T1320-U1320)</x:f>
        <x:v>40.5</x:v>
      </x:c>
      <x:c r="X1320" s="93" t="n">
        <x:f>IF(V1320="Returned",Q1320*R1320*10%,Q1320*R1320)</x:f>
        <x:v>19</x:v>
      </x:c>
      <x:c r="Y1320" s="93" t="n">
        <x:f>W1320-X1320</x:f>
        <x:v>21.5</x:v>
      </x:c>
      <x:c r="Z1320" s="94" t="n">
        <x:f>IFERROR(Y1320/W1320,0)</x:f>
        <x:v>0.5308641975308642</x:v>
      </x:c>
      <x:c r="AA1320" s="84" t="str">
        <x:f>PROPER(TRIM('Raw Sales'!M1320))</x:f>
        <x:v>Credit Card</x:v>
      </x:c>
      <x:c r="AB1320" s="84" t="str">
        <x:f>PROPER(TRIM('Raw Sales'!N1320))</x:f>
        <x:v>Lucas Grant</x:v>
      </x:c>
      <x:c r="AC1320" s="85" t="n">
        <x:f>'Raw Sales'!O1320</x:f>
        <x:v>45725</x:v>
      </x:c>
      <x:c r="AD1320" s="84" t="n">
        <x:f>AC1320-B1320</x:f>
        <x:v>0</x:v>
      </x:c>
      <x:c r="AE1320" s="84" t="str">
        <x:f>IF(COUNTIF($A$5:A1320,A1320)&gt;1,"Duplicate","Keep")</x:f>
        <x:v>Keep</x:v>
      </x:c>
      <x:c r="AF1320" s="84" t="str">
        <x:f>IF(OR(R1320&lt;=0,AC1320&lt;B1320,H1320="Unknown",M1320="Unknown Product"),"Review","Valid")</x:f>
        <x:v>Valid</x:v>
      </x:c>
      <x:c r="AG1320" s="84" t="n">
        <x:f>IF(AND(AE1320="Keep",AF1320="Valid"),1,0)</x:f>
        <x:v>1</x:v>
      </x:c>
      <x:c r="AH1320" s="84" t="n">
        <x:f>IF(AND(AG1320=1,OR('Dashboard'!$B$4="All",I1320='Dashboard'!$B$4),OR('Dashboard'!$E$4="All",N1320='Dashboard'!$E$4),OR('Dashboard'!$H$4="All",K1320='Dashboard'!$H$4),OR('Dashboard'!$K$4="All",C1320='Dashboard'!$K$4)),1,0)</x:f>
        <x:v>1</x:v>
      </x:c>
      <x:c r="AI1320" s="84" t="n">
        <x:f>IF(AND(AG1320=1,OR('Dashboard'!$B$4="All",I1320='Dashboard'!$B$4),OR('Dashboard'!$E$4="All",N1320='Dashboard'!$E$4),OR('Dashboard'!$H$4="All",K1320='Dashboard'!$H$4)),1,0)</x:f>
        <x:v>1</x:v>
      </x:c>
    </x:row>
    <x:row r="1321">
      <x:c r="A1321" s="84" t="str">
        <x:f>'Raw Sales'!A1321</x:f>
        <x:v>ORD-2025-00060</x:v>
      </x:c>
      <x:c r="B1321" s="85" t="n">
        <x:f>'Raw Sales'!B1321</x:f>
        <x:v>45726</x:v>
      </x:c>
      <x:c r="C1321" s="84" t="n">
        <x:f>YEAR(B1321)</x:f>
        <x:v>2025</x:v>
      </x:c>
      <x:c r="D1321" s="91" t="n">
        <x:f>DATE(YEAR(B1321),MONTH(B1321),1)</x:f>
        <x:v>45717</x:v>
      </x:c>
      <x:c r="E1321" s="84" t="str">
        <x:f>TEXT(B1321,"mmm")</x:f>
        <x:v>Mar</x:v>
      </x:c>
      <x:c r="F1321" s="84" t="str">
        <x:f>'Raw Sales'!C1321</x:f>
        <x:v>CUST-0488</x:v>
      </x:c>
      <x:c r="G1321" s="84" t="str">
        <x:f>PROPER(TRIM('Raw Sales'!D1321))</x:f>
        <x:v>Nathan Moore</x:v>
      </x:c>
      <x:c r="H1321" s="84" t="str">
        <x:f>IF(TRIM('Raw Sales'!E1321)="","Unknown",PROPER(TRIM('Raw Sales'!E1321)))</x:f>
        <x:v>Consumer</x:v>
      </x:c>
      <x:c r="I1321" s="84" t="str">
        <x:f>PROPER(TRIM('Raw Sales'!F1321))</x:f>
        <x:v>Northeast</x:v>
      </x:c>
      <x:c r="J1321" s="84" t="str">
        <x:f>PROPER(TRIM('Raw Sales'!G1321))</x:f>
        <x:v>New York</x:v>
      </x:c>
      <x:c r="K1321" s="84" t="str">
        <x:f>PROPER(TRIM('Raw Sales'!H1321))</x:f>
        <x:v>Online</x:v>
      </x:c>
      <x:c r="L1321" s="84" t="str">
        <x:f>'Raw Sales'!I1321</x:f>
        <x:v>FITN-003</x:v>
      </x:c>
      <x:c r="M1321" s="84" t="str">
        <x:f>IFERROR(VLOOKUP(L1321,'Reference Data'!$A$5:$F$40,2,FALSE),"Unknown Product")</x:f>
        <x:v>Resistance Band Set</x:v>
      </x:c>
      <x:c r="N1321" s="84" t="str">
        <x:f>IFERROR(VLOOKUP(L1321,'Reference Data'!$A$5:$F$40,3,FALSE),"Unknown")</x:f>
        <x:v>Fitness</x:v>
      </x:c>
      <x:c r="O1321" s="84" t="str">
        <x:f>IFERROR(VLOOKUP(L1321,'Reference Data'!$A$5:$F$40,4,FALSE),"Unknown")</x:f>
        <x:v>Strength</x:v>
      </x:c>
      <x:c r="P1321" s="92" t="n">
        <x:f>IFERROR(VLOOKUP(L1321,'Reference Data'!$A$5:$F$40,5,FALSE),0)</x:f>
        <x:v>24</x:v>
      </x:c>
      <x:c r="Q1321" s="92" t="n">
        <x:f>IFERROR(VLOOKUP(L1321,'Reference Data'!$A$5:$F$40,6,FALSE),0)</x:f>
        <x:v>8</x:v>
      </x:c>
      <x:c r="R1321" s="84" t="n">
        <x:f>'Raw Sales'!J1321</x:f>
        <x:v>1</x:v>
      </x:c>
      <x:c r="S1321" s="87" t="n">
        <x:f>'Raw Sales'!K1321</x:f>
        <x:v>0.1</x:v>
      </x:c>
      <x:c r="T1321" s="93" t="n">
        <x:f>P1321*R1321</x:f>
        <x:v>24</x:v>
      </x:c>
      <x:c r="U1321" s="93" t="n">
        <x:f>T1321*S1321</x:f>
        <x:v>2.4000000000000004</x:v>
      </x:c>
      <x:c r="V1321" s="93" t="str">
        <x:f>PROPER(TRIM('Raw Sales'!L1321))</x:f>
        <x:v>Completed</x:v>
      </x:c>
      <x:c r="W1321" s="93" t="n">
        <x:f>IF(V1321="Returned",0,T1321-U1321)</x:f>
        <x:v>21.6</x:v>
      </x:c>
      <x:c r="X1321" s="93" t="n">
        <x:f>IF(V1321="Returned",Q1321*R1321*10%,Q1321*R1321)</x:f>
        <x:v>8</x:v>
      </x:c>
      <x:c r="Y1321" s="93" t="n">
        <x:f>W1321-X1321</x:f>
        <x:v>13.600000000000001</x:v>
      </x:c>
      <x:c r="Z1321" s="94" t="n">
        <x:f>IFERROR(Y1321/W1321,0)</x:f>
        <x:v>0.6296296296296297</x:v>
      </x:c>
      <x:c r="AA1321" s="84" t="str">
        <x:f>PROPER(TRIM('Raw Sales'!M1321))</x:f>
        <x:v>Credit Card</x:v>
      </x:c>
      <x:c r="AB1321" s="84" t="str">
        <x:f>PROPER(TRIM('Raw Sales'!N1321))</x:f>
        <x:v>Ethan Cole</x:v>
      </x:c>
      <x:c r="AC1321" s="85" t="n">
        <x:f>'Raw Sales'!O1321</x:f>
        <x:v>45731</x:v>
      </x:c>
      <x:c r="AD1321" s="84" t="n">
        <x:f>AC1321-B1321</x:f>
        <x:v>5</x:v>
      </x:c>
      <x:c r="AE1321" s="84" t="str">
        <x:f>IF(COUNTIF($A$5:A1321,A1321)&gt;1,"Duplicate","Keep")</x:f>
        <x:v>Keep</x:v>
      </x:c>
      <x:c r="AF1321" s="84" t="str">
        <x:f>IF(OR(R1321&lt;=0,AC1321&lt;B1321,H1321="Unknown",M1321="Unknown Product"),"Review","Valid")</x:f>
        <x:v>Valid</x:v>
      </x:c>
      <x:c r="AG1321" s="84" t="n">
        <x:f>IF(AND(AE1321="Keep",AF1321="Valid"),1,0)</x:f>
        <x:v>1</x:v>
      </x:c>
      <x:c r="AH1321" s="84" t="n">
        <x:f>IF(AND(AG1321=1,OR('Dashboard'!$B$4="All",I1321='Dashboard'!$B$4),OR('Dashboard'!$E$4="All",N1321='Dashboard'!$E$4),OR('Dashboard'!$H$4="All",K1321='Dashboard'!$H$4),OR('Dashboard'!$K$4="All",C1321='Dashboard'!$K$4)),1,0)</x:f>
        <x:v>1</x:v>
      </x:c>
      <x:c r="AI1321" s="84" t="n">
        <x:f>IF(AND(AG1321=1,OR('Dashboard'!$B$4="All",I1321='Dashboard'!$B$4),OR('Dashboard'!$E$4="All",N1321='Dashboard'!$E$4),OR('Dashboard'!$H$4="All",K1321='Dashboard'!$H$4)),1,0)</x:f>
        <x:v>1</x:v>
      </x:c>
    </x:row>
    <x:row r="1322">
      <x:c r="A1322" s="84" t="str">
        <x:f>'Raw Sales'!A1322</x:f>
        <x:v>ORD-2025-00953</x:v>
      </x:c>
      <x:c r="B1322" s="85" t="n">
        <x:f>'Raw Sales'!B1322</x:f>
        <x:v>45726</x:v>
      </x:c>
      <x:c r="C1322" s="84" t="n">
        <x:f>YEAR(B1322)</x:f>
        <x:v>2025</x:v>
      </x:c>
      <x:c r="D1322" s="91" t="n">
        <x:f>DATE(YEAR(B1322),MONTH(B1322),1)</x:f>
        <x:v>45717</x:v>
      </x:c>
      <x:c r="E1322" s="84" t="str">
        <x:f>TEXT(B1322,"mmm")</x:f>
        <x:v>Mar</x:v>
      </x:c>
      <x:c r="F1322" s="84" t="str">
        <x:f>'Raw Sales'!C1322</x:f>
        <x:v>CUST-0468</x:v>
      </x:c>
      <x:c r="G1322" s="84" t="str">
        <x:f>PROPER(TRIM('Raw Sales'!D1322))</x:f>
        <x:v>Sara Garcia</x:v>
      </x:c>
      <x:c r="H1322" s="84" t="str">
        <x:f>IF(TRIM('Raw Sales'!E1322)="","Unknown",PROPER(TRIM('Raw Sales'!E1322)))</x:f>
        <x:v>Corporate</x:v>
      </x:c>
      <x:c r="I1322" s="84" t="str">
        <x:f>PROPER(TRIM('Raw Sales'!F1322))</x:f>
        <x:v>Northeast</x:v>
      </x:c>
      <x:c r="J1322" s="84" t="str">
        <x:f>PROPER(TRIM('Raw Sales'!G1322))</x:f>
        <x:v>Boston</x:v>
      </x:c>
      <x:c r="K1322" s="84" t="str">
        <x:f>PROPER(TRIM('Raw Sales'!H1322))</x:f>
        <x:v>Retail Store</x:v>
      </x:c>
      <x:c r="L1322" s="84" t="str">
        <x:f>'Raw Sales'!I1322</x:f>
        <x:v>CARE-002</x:v>
      </x:c>
      <x:c r="M1322" s="84" t="str">
        <x:f>IFERROR(VLOOKUP(L1322,'Reference Data'!$A$5:$F$40,2,FALSE),"Unknown Product")</x:f>
        <x:v>Rechargeable Trimmer</x:v>
      </x:c>
      <x:c r="N1322" s="84" t="str">
        <x:f>IFERROR(VLOOKUP(L1322,'Reference Data'!$A$5:$F$40,3,FALSE),"Unknown")</x:f>
        <x:v>Personal Care</x:v>
      </x:c>
      <x:c r="O1322" s="84" t="str">
        <x:f>IFERROR(VLOOKUP(L1322,'Reference Data'!$A$5:$F$40,4,FALSE),"Unknown")</x:f>
        <x:v>Grooming</x:v>
      </x:c>
      <x:c r="P1322" s="92" t="n">
        <x:f>IFERROR(VLOOKUP(L1322,'Reference Data'!$A$5:$F$40,5,FALSE),0)</x:f>
        <x:v>45</x:v>
      </x:c>
      <x:c r="Q1322" s="92" t="n">
        <x:f>IFERROR(VLOOKUP(L1322,'Reference Data'!$A$5:$F$40,6,FALSE),0)</x:f>
        <x:v>19</x:v>
      </x:c>
      <x:c r="R1322" s="84" t="n">
        <x:f>'Raw Sales'!J1322</x:f>
        <x:v>6</x:v>
      </x:c>
      <x:c r="S1322" s="87" t="n">
        <x:f>'Raw Sales'!K1322</x:f>
        <x:v>0.2</x:v>
      </x:c>
      <x:c r="T1322" s="93" t="n">
        <x:f>P1322*R1322</x:f>
        <x:v>270</x:v>
      </x:c>
      <x:c r="U1322" s="93" t="n">
        <x:f>T1322*S1322</x:f>
        <x:v>54</x:v>
      </x:c>
      <x:c r="V1322" s="93" t="str">
        <x:f>PROPER(TRIM('Raw Sales'!L1322))</x:f>
        <x:v>Completed</x:v>
      </x:c>
      <x:c r="W1322" s="93" t="n">
        <x:f>IF(V1322="Returned",0,T1322-U1322)</x:f>
        <x:v>216</x:v>
      </x:c>
      <x:c r="X1322" s="93" t="n">
        <x:f>IF(V1322="Returned",Q1322*R1322*10%,Q1322*R1322)</x:f>
        <x:v>114</x:v>
      </x:c>
      <x:c r="Y1322" s="93" t="n">
        <x:f>W1322-X1322</x:f>
        <x:v>102</x:v>
      </x:c>
      <x:c r="Z1322" s="94" t="n">
        <x:f>IFERROR(Y1322/W1322,0)</x:f>
        <x:v>0.4722222222222222</x:v>
      </x:c>
      <x:c r="AA1322" s="84" t="str">
        <x:f>PROPER(TRIM('Raw Sales'!M1322))</x:f>
        <x:v>Cash</x:v>
      </x:c>
      <x:c r="AB1322" s="84" t="str">
        <x:f>PROPER(TRIM('Raw Sales'!N1322))</x:f>
        <x:v>Ethan Cole</x:v>
      </x:c>
      <x:c r="AC1322" s="85" t="n">
        <x:f>'Raw Sales'!O1322</x:f>
        <x:v>45727</x:v>
      </x:c>
      <x:c r="AD1322" s="84" t="n">
        <x:f>AC1322-B1322</x:f>
        <x:v>1</x:v>
      </x:c>
      <x:c r="AE1322" s="84" t="str">
        <x:f>IF(COUNTIF($A$5:A1322,A1322)&gt;1,"Duplicate","Keep")</x:f>
        <x:v>Keep</x:v>
      </x:c>
      <x:c r="AF1322" s="84" t="str">
        <x:f>IF(OR(R1322&lt;=0,AC1322&lt;B1322,H1322="Unknown",M1322="Unknown Product"),"Review","Valid")</x:f>
        <x:v>Valid</x:v>
      </x:c>
      <x:c r="AG1322" s="84" t="n">
        <x:f>IF(AND(AE1322="Keep",AF1322="Valid"),1,0)</x:f>
        <x:v>1</x:v>
      </x:c>
      <x:c r="AH1322" s="84" t="n">
        <x:f>IF(AND(AG1322=1,OR('Dashboard'!$B$4="All",I1322='Dashboard'!$B$4),OR('Dashboard'!$E$4="All",N1322='Dashboard'!$E$4),OR('Dashboard'!$H$4="All",K1322='Dashboard'!$H$4),OR('Dashboard'!$K$4="All",C1322='Dashboard'!$K$4)),1,0)</x:f>
        <x:v>1</x:v>
      </x:c>
      <x:c r="AI1322" s="84" t="n">
        <x:f>IF(AND(AG1322=1,OR('Dashboard'!$B$4="All",I1322='Dashboard'!$B$4),OR('Dashboard'!$E$4="All",N1322='Dashboard'!$E$4),OR('Dashboard'!$H$4="All",K1322='Dashboard'!$H$4)),1,0)</x:f>
        <x:v>1</x:v>
      </x:c>
    </x:row>
    <x:row r="1323">
      <x:c r="A1323" s="84" t="str">
        <x:f>'Raw Sales'!A1323</x:f>
        <x:v>ORD-2025-02014</x:v>
      </x:c>
      <x:c r="B1323" s="85" t="n">
        <x:f>'Raw Sales'!B1323</x:f>
        <x:v>45727</x:v>
      </x:c>
      <x:c r="C1323" s="84" t="n">
        <x:f>YEAR(B1323)</x:f>
        <x:v>2025</x:v>
      </x:c>
      <x:c r="D1323" s="91" t="n">
        <x:f>DATE(YEAR(B1323),MONTH(B1323),1)</x:f>
        <x:v>45717</x:v>
      </x:c>
      <x:c r="E1323" s="84" t="str">
        <x:f>TEXT(B1323,"mmm")</x:f>
        <x:v>Mar</x:v>
      </x:c>
      <x:c r="F1323" s="84" t="str">
        <x:f>'Raw Sales'!C1323</x:f>
        <x:v>CUST-0604</x:v>
      </x:c>
      <x:c r="G1323" s="84" t="str">
        <x:f>PROPER(TRIM('Raw Sales'!D1323))</x:f>
        <x:v>William Adams</x:v>
      </x:c>
      <x:c r="H1323" s="84" t="str">
        <x:f>IF(TRIM('Raw Sales'!E1323)="","Unknown",PROPER(TRIM('Raw Sales'!E1323)))</x:f>
        <x:v>Consumer</x:v>
      </x:c>
      <x:c r="I1323" s="84" t="str">
        <x:f>PROPER(TRIM('Raw Sales'!F1323))</x:f>
        <x:v>Northeast</x:v>
      </x:c>
      <x:c r="J1323" s="84" t="str">
        <x:f>PROPER(TRIM('Raw Sales'!G1323))</x:f>
        <x:v>Newark</x:v>
      </x:c>
      <x:c r="K1323" s="84" t="str">
        <x:f>PROPER(TRIM('Raw Sales'!H1323))</x:f>
        <x:v>Online</x:v>
      </x:c>
      <x:c r="L1323" s="84" t="str">
        <x:f>'Raw Sales'!I1323</x:f>
        <x:v>HOME-005</x:v>
      </x:c>
      <x:c r="M1323" s="84" t="str">
        <x:f>IFERROR(VLOOKUP(L1323,'Reference Data'!$A$5:$F$40,2,FALSE),"Unknown Product")</x:f>
        <x:v>Cordless Vacuum</x:v>
      </x:c>
      <x:c r="N1323" s="84" t="str">
        <x:f>IFERROR(VLOOKUP(L1323,'Reference Data'!$A$5:$F$40,3,FALSE),"Unknown")</x:f>
        <x:v>Home &amp; Kitchen</x:v>
      </x:c>
      <x:c r="O1323" s="84" t="str">
        <x:f>IFERROR(VLOOKUP(L1323,'Reference Data'!$A$5:$F$40,4,FALSE),"Unknown")</x:f>
        <x:v>Cleaning</x:v>
      </x:c>
      <x:c r="P1323" s="92" t="n">
        <x:f>IFERROR(VLOOKUP(L1323,'Reference Data'!$A$5:$F$40,5,FALSE),0)</x:f>
        <x:v>179</x:v>
      </x:c>
      <x:c r="Q1323" s="92" t="n">
        <x:f>IFERROR(VLOOKUP(L1323,'Reference Data'!$A$5:$F$40,6,FALSE),0)</x:f>
        <x:v>102</x:v>
      </x:c>
      <x:c r="R1323" s="84" t="n">
        <x:f>'Raw Sales'!J1323</x:f>
        <x:v>2</x:v>
      </x:c>
      <x:c r="S1323" s="87" t="n">
        <x:f>'Raw Sales'!K1323</x:f>
        <x:v>0.05</x:v>
      </x:c>
      <x:c r="T1323" s="93" t="n">
        <x:f>P1323*R1323</x:f>
        <x:v>358</x:v>
      </x:c>
      <x:c r="U1323" s="93" t="n">
        <x:f>T1323*S1323</x:f>
        <x:v>17.900000000000002</x:v>
      </x:c>
      <x:c r="V1323" s="93" t="str">
        <x:f>PROPER(TRIM('Raw Sales'!L1323))</x:f>
        <x:v>Returned</x:v>
      </x:c>
      <x:c r="W1323" s="93" t="n">
        <x:f>IF(V1323="Returned",0,T1323-U1323)</x:f>
        <x:v>0</x:v>
      </x:c>
      <x:c r="X1323" s="93" t="n">
        <x:f>IF(V1323="Returned",Q1323*R1323*10%,Q1323*R1323)</x:f>
        <x:v>20.400000000000002</x:v>
      </x:c>
      <x:c r="Y1323" s="93" t="n">
        <x:f>W1323-X1323</x:f>
        <x:v>-20.400000000000002</x:v>
      </x:c>
      <x:c r="Z1323" s="94" t="n">
        <x:f>IFERROR(Y1323/W1323,0)</x:f>
        <x:v>0</x:v>
      </x:c>
      <x:c r="AA1323" s="84" t="str">
        <x:f>PROPER(TRIM('Raw Sales'!M1323))</x:f>
        <x:v>Debit Card</x:v>
      </x:c>
      <x:c r="AB1323" s="84" t="str">
        <x:f>PROPER(TRIM('Raw Sales'!N1323))</x:f>
        <x:v>Sofia Bennett</x:v>
      </x:c>
      <x:c r="AC1323" s="85" t="n">
        <x:f>'Raw Sales'!O1323</x:f>
        <x:v>45732</x:v>
      </x:c>
      <x:c r="AD1323" s="84" t="n">
        <x:f>AC1323-B1323</x:f>
        <x:v>5</x:v>
      </x:c>
      <x:c r="AE1323" s="84" t="str">
        <x:f>IF(COUNTIF($A$5:A1323,A1323)&gt;1,"Duplicate","Keep")</x:f>
        <x:v>Keep</x:v>
      </x:c>
      <x:c r="AF1323" s="84" t="str">
        <x:f>IF(OR(R1323&lt;=0,AC1323&lt;B1323,H1323="Unknown",M1323="Unknown Product"),"Review","Valid")</x:f>
        <x:v>Valid</x:v>
      </x:c>
      <x:c r="AG1323" s="84" t="n">
        <x:f>IF(AND(AE1323="Keep",AF1323="Valid"),1,0)</x:f>
        <x:v>1</x:v>
      </x:c>
      <x:c r="AH1323" s="84" t="n">
        <x:f>IF(AND(AG1323=1,OR('Dashboard'!$B$4="All",I1323='Dashboard'!$B$4),OR('Dashboard'!$E$4="All",N1323='Dashboard'!$E$4),OR('Dashboard'!$H$4="All",K1323='Dashboard'!$H$4),OR('Dashboard'!$K$4="All",C1323='Dashboard'!$K$4)),1,0)</x:f>
        <x:v>1</x:v>
      </x:c>
      <x:c r="AI1323" s="84" t="n">
        <x:f>IF(AND(AG1323=1,OR('Dashboard'!$B$4="All",I1323='Dashboard'!$B$4),OR('Dashboard'!$E$4="All",N1323='Dashboard'!$E$4),OR('Dashboard'!$H$4="All",K1323='Dashboard'!$H$4)),1,0)</x:f>
        <x:v>1</x:v>
      </x:c>
    </x:row>
    <x:row r="1324">
      <x:c r="A1324" s="84" t="str">
        <x:f>'Raw Sales'!A1324</x:f>
        <x:v>ORD-2025-02101</x:v>
      </x:c>
      <x:c r="B1324" s="85" t="n">
        <x:f>'Raw Sales'!B1324</x:f>
        <x:v>45727</x:v>
      </x:c>
      <x:c r="C1324" s="84" t="n">
        <x:f>YEAR(B1324)</x:f>
        <x:v>2025</x:v>
      </x:c>
      <x:c r="D1324" s="91" t="n">
        <x:f>DATE(YEAR(B1324),MONTH(B1324),1)</x:f>
        <x:v>45717</x:v>
      </x:c>
      <x:c r="E1324" s="84" t="str">
        <x:f>TEXT(B1324,"mmm")</x:f>
        <x:v>Mar</x:v>
      </x:c>
      <x:c r="F1324" s="84" t="str">
        <x:f>'Raw Sales'!C1324</x:f>
        <x:v>CUST-0638</x:v>
      </x:c>
      <x:c r="G1324" s="84" t="str">
        <x:f>PROPER(TRIM('Raw Sales'!D1324))</x:f>
        <x:v>Zara Roberts</x:v>
      </x:c>
      <x:c r="H1324" s="84" t="str">
        <x:f>IF(TRIM('Raw Sales'!E1324)="","Unknown",PROPER(TRIM('Raw Sales'!E1324)))</x:f>
        <x:v>Consumer</x:v>
      </x:c>
      <x:c r="I1324" s="84" t="str">
        <x:f>PROPER(TRIM('Raw Sales'!F1324))</x:f>
        <x:v>Northeast</x:v>
      </x:c>
      <x:c r="J1324" s="84" t="str">
        <x:f>PROPER(TRIM('Raw Sales'!G1324))</x:f>
        <x:v>Philadelphia</x:v>
      </x:c>
      <x:c r="K1324" s="84" t="str">
        <x:f>PROPER(TRIM('Raw Sales'!H1324))</x:f>
        <x:v>Online</x:v>
      </x:c>
      <x:c r="L1324" s="84" t="str">
        <x:f>'Raw Sales'!I1324</x:f>
        <x:v>ELEC-001</x:v>
      </x:c>
      <x:c r="M1324" s="84" t="str">
        <x:f>IFERROR(VLOOKUP(L1324,'Reference Data'!$A$5:$F$40,2,FALSE),"Unknown Product")</x:f>
        <x:v>Wireless Earbuds</x:v>
      </x:c>
      <x:c r="N1324" s="84" t="str">
        <x:f>IFERROR(VLOOKUP(L1324,'Reference Data'!$A$5:$F$40,3,FALSE),"Unknown")</x:f>
        <x:v>Electronics</x:v>
      </x:c>
      <x:c r="O1324" s="84" t="str">
        <x:f>IFERROR(VLOOKUP(L1324,'Reference Data'!$A$5:$F$40,4,FALSE),"Unknown")</x:f>
        <x:v>Audio</x:v>
      </x:c>
      <x:c r="P1324" s="92" t="n">
        <x:f>IFERROR(VLOOKUP(L1324,'Reference Data'!$A$5:$F$40,5,FALSE),0)</x:f>
        <x:v>69</x:v>
      </x:c>
      <x:c r="Q1324" s="92" t="n">
        <x:f>IFERROR(VLOOKUP(L1324,'Reference Data'!$A$5:$F$40,6,FALSE),0)</x:f>
        <x:v>36</x:v>
      </x:c>
      <x:c r="R1324" s="84" t="n">
        <x:f>'Raw Sales'!J1324</x:f>
        <x:v>1</x:v>
      </x:c>
      <x:c r="S1324" s="87" t="n">
        <x:f>'Raw Sales'!K1324</x:f>
        <x:v>0</x:v>
      </x:c>
      <x:c r="T1324" s="93" t="n">
        <x:f>P1324*R1324</x:f>
        <x:v>69</x:v>
      </x:c>
      <x:c r="U1324" s="93" t="n">
        <x:f>T1324*S1324</x:f>
        <x:v>0</x:v>
      </x:c>
      <x:c r="V1324" s="93" t="str">
        <x:f>PROPER(TRIM('Raw Sales'!L1324))</x:f>
        <x:v>Completed</x:v>
      </x:c>
      <x:c r="W1324" s="93" t="n">
        <x:f>IF(V1324="Returned",0,T1324-U1324)</x:f>
        <x:v>69</x:v>
      </x:c>
      <x:c r="X1324" s="93" t="n">
        <x:f>IF(V1324="Returned",Q1324*R1324*10%,Q1324*R1324)</x:f>
        <x:v>36</x:v>
      </x:c>
      <x:c r="Y1324" s="93" t="n">
        <x:f>W1324-X1324</x:f>
        <x:v>33</x:v>
      </x:c>
      <x:c r="Z1324" s="94" t="n">
        <x:f>IFERROR(Y1324/W1324,0)</x:f>
        <x:v>0.4782608695652174</x:v>
      </x:c>
      <x:c r="AA1324" s="84" t="str">
        <x:f>PROPER(TRIM('Raw Sales'!M1324))</x:f>
        <x:v>Credit Card</x:v>
      </x:c>
      <x:c r="AB1324" s="84" t="str">
        <x:f>PROPER(TRIM('Raw Sales'!N1324))</x:f>
        <x:v>Sofia Bennett</x:v>
      </x:c>
      <x:c r="AC1324" s="85" t="n">
        <x:f>'Raw Sales'!O1324</x:f>
        <x:v>45731</x:v>
      </x:c>
      <x:c r="AD1324" s="84" t="n">
        <x:f>AC1324-B1324</x:f>
        <x:v>4</x:v>
      </x:c>
      <x:c r="AE1324" s="84" t="str">
        <x:f>IF(COUNTIF($A$5:A1324,A1324)&gt;1,"Duplicate","Keep")</x:f>
        <x:v>Keep</x:v>
      </x:c>
      <x:c r="AF1324" s="84" t="str">
        <x:f>IF(OR(R1324&lt;=0,AC1324&lt;B1324,H1324="Unknown",M1324="Unknown Product"),"Review","Valid")</x:f>
        <x:v>Valid</x:v>
      </x:c>
      <x:c r="AG1324" s="84" t="n">
        <x:f>IF(AND(AE1324="Keep",AF1324="Valid"),1,0)</x:f>
        <x:v>1</x:v>
      </x:c>
      <x:c r="AH1324" s="84" t="n">
        <x:f>IF(AND(AG1324=1,OR('Dashboard'!$B$4="All",I1324='Dashboard'!$B$4),OR('Dashboard'!$E$4="All",N1324='Dashboard'!$E$4),OR('Dashboard'!$H$4="All",K1324='Dashboard'!$H$4),OR('Dashboard'!$K$4="All",C1324='Dashboard'!$K$4)),1,0)</x:f>
        <x:v>1</x:v>
      </x:c>
      <x:c r="AI1324" s="84" t="n">
        <x:f>IF(AND(AG1324=1,OR('Dashboard'!$B$4="All",I1324='Dashboard'!$B$4),OR('Dashboard'!$E$4="All",N1324='Dashboard'!$E$4),OR('Dashboard'!$H$4="All",K1324='Dashboard'!$H$4)),1,0)</x:f>
        <x:v>1</x:v>
      </x:c>
    </x:row>
    <x:row r="1325">
      <x:c r="A1325" s="84" t="str">
        <x:f>'Raw Sales'!A1325</x:f>
        <x:v>ORD-2025-00475</x:v>
      </x:c>
      <x:c r="B1325" s="85" t="n">
        <x:f>'Raw Sales'!B1325</x:f>
        <x:v>45728</x:v>
      </x:c>
      <x:c r="C1325" s="84" t="n">
        <x:f>YEAR(B1325)</x:f>
        <x:v>2025</x:v>
      </x:c>
      <x:c r="D1325" s="91" t="n">
        <x:f>DATE(YEAR(B1325),MONTH(B1325),1)</x:f>
        <x:v>45717</x:v>
      </x:c>
      <x:c r="E1325" s="84" t="str">
        <x:f>TEXT(B1325,"mmm")</x:f>
        <x:v>Mar</x:v>
      </x:c>
      <x:c r="F1325" s="84" t="str">
        <x:f>'Raw Sales'!C1325</x:f>
        <x:v>CUST-0299</x:v>
      </x:c>
      <x:c r="G1325" s="84" t="str">
        <x:f>PROPER(TRIM('Raw Sales'!D1325))</x:f>
        <x:v>Caleb Lewis</x:v>
      </x:c>
      <x:c r="H1325" s="84" t="str">
        <x:f>IF(TRIM('Raw Sales'!E1325)="","Unknown",PROPER(TRIM('Raw Sales'!E1325)))</x:f>
        <x:v>Consumer</x:v>
      </x:c>
      <x:c r="I1325" s="84" t="str">
        <x:f>PROPER(TRIM('Raw Sales'!F1325))</x:f>
        <x:v>Northeast</x:v>
      </x:c>
      <x:c r="J1325" s="84" t="str">
        <x:f>PROPER(TRIM('Raw Sales'!G1325))</x:f>
        <x:v>New York</x:v>
      </x:c>
      <x:c r="K1325" s="84" t="str">
        <x:f>PROPER(TRIM('Raw Sales'!H1325))</x:f>
        <x:v>Online</x:v>
      </x:c>
      <x:c r="L1325" s="84" t="str">
        <x:f>'Raw Sales'!I1325</x:f>
        <x:v>ELEC-002</x:v>
      </x:c>
      <x:c r="M1325" s="84" t="str">
        <x:f>IFERROR(VLOOKUP(L1325,'Reference Data'!$A$5:$F$40,2,FALSE),"Unknown Product")</x:f>
        <x:v>Smartwatch</x:v>
      </x:c>
      <x:c r="N1325" s="84" t="str">
        <x:f>IFERROR(VLOOKUP(L1325,'Reference Data'!$A$5:$F$40,3,FALSE),"Unknown")</x:f>
        <x:v>Electronics</x:v>
      </x:c>
      <x:c r="O1325" s="84" t="str">
        <x:f>IFERROR(VLOOKUP(L1325,'Reference Data'!$A$5:$F$40,4,FALSE),"Unknown")</x:f>
        <x:v>Wearables</x:v>
      </x:c>
      <x:c r="P1325" s="92" t="n">
        <x:f>IFERROR(VLOOKUP(L1325,'Reference Data'!$A$5:$F$40,5,FALSE),0)</x:f>
        <x:v>159</x:v>
      </x:c>
      <x:c r="Q1325" s="92" t="n">
        <x:f>IFERROR(VLOOKUP(L1325,'Reference Data'!$A$5:$F$40,6,FALSE),0)</x:f>
        <x:v>92</x:v>
      </x:c>
      <x:c r="R1325" s="84" t="n">
        <x:f>'Raw Sales'!J1325</x:f>
        <x:v>3</x:v>
      </x:c>
      <x:c r="S1325" s="87" t="n">
        <x:f>'Raw Sales'!K1325</x:f>
        <x:v>0.05</x:v>
      </x:c>
      <x:c r="T1325" s="93" t="n">
        <x:f>P1325*R1325</x:f>
        <x:v>477</x:v>
      </x:c>
      <x:c r="U1325" s="93" t="n">
        <x:f>T1325*S1325</x:f>
        <x:v>23.85</x:v>
      </x:c>
      <x:c r="V1325" s="93" t="str">
        <x:f>PROPER(TRIM('Raw Sales'!L1325))</x:f>
        <x:v>Returned</x:v>
      </x:c>
      <x:c r="W1325" s="93" t="n">
        <x:f>IF(V1325="Returned",0,T1325-U1325)</x:f>
        <x:v>0</x:v>
      </x:c>
      <x:c r="X1325" s="93" t="n">
        <x:f>IF(V1325="Returned",Q1325*R1325*10%,Q1325*R1325)</x:f>
        <x:v>27.6</x:v>
      </x:c>
      <x:c r="Y1325" s="93" t="n">
        <x:f>W1325-X1325</x:f>
        <x:v>-27.6</x:v>
      </x:c>
      <x:c r="Z1325" s="94" t="n">
        <x:f>IFERROR(Y1325/W1325,0)</x:f>
        <x:v>0</x:v>
      </x:c>
      <x:c r="AA1325" s="84" t="str">
        <x:f>PROPER(TRIM('Raw Sales'!M1325))</x:f>
        <x:v>Credit Card</x:v>
      </x:c>
      <x:c r="AB1325" s="84" t="str">
        <x:f>PROPER(TRIM('Raw Sales'!N1325))</x:f>
        <x:v>Maya Brooks</x:v>
      </x:c>
      <x:c r="AC1325" s="85" t="n">
        <x:f>'Raw Sales'!O1325</x:f>
        <x:v>45733</x:v>
      </x:c>
      <x:c r="AD1325" s="84" t="n">
        <x:f>AC1325-B1325</x:f>
        <x:v>5</x:v>
      </x:c>
      <x:c r="AE1325" s="84" t="str">
        <x:f>IF(COUNTIF($A$5:A1325,A1325)&gt;1,"Duplicate","Keep")</x:f>
        <x:v>Keep</x:v>
      </x:c>
      <x:c r="AF1325" s="84" t="str">
        <x:f>IF(OR(R1325&lt;=0,AC1325&lt;B1325,H1325="Unknown",M1325="Unknown Product"),"Review","Valid")</x:f>
        <x:v>Valid</x:v>
      </x:c>
      <x:c r="AG1325" s="84" t="n">
        <x:f>IF(AND(AE1325="Keep",AF1325="Valid"),1,0)</x:f>
        <x:v>1</x:v>
      </x:c>
      <x:c r="AH1325" s="84" t="n">
        <x:f>IF(AND(AG1325=1,OR('Dashboard'!$B$4="All",I1325='Dashboard'!$B$4),OR('Dashboard'!$E$4="All",N1325='Dashboard'!$E$4),OR('Dashboard'!$H$4="All",K1325='Dashboard'!$H$4),OR('Dashboard'!$K$4="All",C1325='Dashboard'!$K$4)),1,0)</x:f>
        <x:v>1</x:v>
      </x:c>
      <x:c r="AI1325" s="84" t="n">
        <x:f>IF(AND(AG1325=1,OR('Dashboard'!$B$4="All",I1325='Dashboard'!$B$4),OR('Dashboard'!$E$4="All",N1325='Dashboard'!$E$4),OR('Dashboard'!$H$4="All",K1325='Dashboard'!$H$4)),1,0)</x:f>
        <x:v>1</x:v>
      </x:c>
    </x:row>
    <x:row r="1326">
      <x:c r="A1326" s="84" t="str">
        <x:f>'Raw Sales'!A1326</x:f>
        <x:v>ORD-2025-00560</x:v>
      </x:c>
      <x:c r="B1326" s="85" t="n">
        <x:f>'Raw Sales'!B1326</x:f>
        <x:v>45728</x:v>
      </x:c>
      <x:c r="C1326" s="84" t="n">
        <x:f>YEAR(B1326)</x:f>
        <x:v>2025</x:v>
      </x:c>
      <x:c r="D1326" s="91" t="n">
        <x:f>DATE(YEAR(B1326),MONTH(B1326),1)</x:f>
        <x:v>45717</x:v>
      </x:c>
      <x:c r="E1326" s="84" t="str">
        <x:f>TEXT(B1326,"mmm")</x:f>
        <x:v>Mar</x:v>
      </x:c>
      <x:c r="F1326" s="84" t="str">
        <x:f>'Raw Sales'!C1326</x:f>
        <x:v>CUST-0100</x:v>
      </x:c>
      <x:c r="G1326" s="84" t="str">
        <x:f>PROPER(TRIM('Raw Sales'!D1326))</x:f>
        <x:v>Caleb Taylor</x:v>
      </x:c>
      <x:c r="H1326" s="84" t="str">
        <x:f>IF(TRIM('Raw Sales'!E1326)="","Unknown",PROPER(TRIM('Raw Sales'!E1326)))</x:f>
        <x:v>Small Business</x:v>
      </x:c>
      <x:c r="I1326" s="84" t="str">
        <x:f>PROPER(TRIM('Raw Sales'!F1326))</x:f>
        <x:v>Southeast</x:v>
      </x:c>
      <x:c r="J1326" s="84" t="str">
        <x:f>PROPER(TRIM('Raw Sales'!G1326))</x:f>
        <x:v>Charlotte</x:v>
      </x:c>
      <x:c r="K1326" s="84" t="str">
        <x:f>PROPER(TRIM('Raw Sales'!H1326))</x:f>
        <x:v>Online</x:v>
      </x:c>
      <x:c r="L1326" s="84" t="str">
        <x:f>'Raw Sales'!I1326</x:f>
        <x:v>FITN-002</x:v>
      </x:c>
      <x:c r="M1326" s="84" t="str">
        <x:f>IFERROR(VLOOKUP(L1326,'Reference Data'!$A$5:$F$40,2,FALSE),"Unknown Product")</x:f>
        <x:v>Adjustable Dumbbell Set</x:v>
      </x:c>
      <x:c r="N1326" s="84" t="str">
        <x:f>IFERROR(VLOOKUP(L1326,'Reference Data'!$A$5:$F$40,3,FALSE),"Unknown")</x:f>
        <x:v>Fitness</x:v>
      </x:c>
      <x:c r="O1326" s="84" t="str">
        <x:f>IFERROR(VLOOKUP(L1326,'Reference Data'!$A$5:$F$40,4,FALSE),"Unknown")</x:f>
        <x:v>Strength</x:v>
      </x:c>
      <x:c r="P1326" s="92" t="n">
        <x:f>IFERROR(VLOOKUP(L1326,'Reference Data'!$A$5:$F$40,5,FALSE),0)</x:f>
        <x:v>99</x:v>
      </x:c>
      <x:c r="Q1326" s="92" t="n">
        <x:f>IFERROR(VLOOKUP(L1326,'Reference Data'!$A$5:$F$40,6,FALSE),0)</x:f>
        <x:v>57</x:v>
      </x:c>
      <x:c r="R1326" s="84" t="n">
        <x:f>'Raw Sales'!J1326</x:f>
        <x:v>2</x:v>
      </x:c>
      <x:c r="S1326" s="87" t="n">
        <x:f>'Raw Sales'!K1326</x:f>
        <x:v>0.15</x:v>
      </x:c>
      <x:c r="T1326" s="93" t="n">
        <x:f>P1326*R1326</x:f>
        <x:v>198</x:v>
      </x:c>
      <x:c r="U1326" s="93" t="n">
        <x:f>T1326*S1326</x:f>
        <x:v>29.7</x:v>
      </x:c>
      <x:c r="V1326" s="93" t="str">
        <x:f>PROPER(TRIM('Raw Sales'!L1326))</x:f>
        <x:v>Completed</x:v>
      </x:c>
      <x:c r="W1326" s="93" t="n">
        <x:f>IF(V1326="Returned",0,T1326-U1326)</x:f>
        <x:v>168.3</x:v>
      </x:c>
      <x:c r="X1326" s="93" t="n">
        <x:f>IF(V1326="Returned",Q1326*R1326*10%,Q1326*R1326)</x:f>
        <x:v>114</x:v>
      </x:c>
      <x:c r="Y1326" s="93" t="n">
        <x:f>W1326-X1326</x:f>
        <x:v>54.30000000000001</x:v>
      </x:c>
      <x:c r="Z1326" s="94" t="n">
        <x:f>IFERROR(Y1326/W1326,0)</x:f>
        <x:v>0.322638146167558</x:v>
      </x:c>
      <x:c r="AA1326" s="84" t="str">
        <x:f>PROPER(TRIM('Raw Sales'!M1326))</x:f>
        <x:v>Debit Card</x:v>
      </x:c>
      <x:c r="AB1326" s="84" t="str">
        <x:f>PROPER(TRIM('Raw Sales'!N1326))</x:f>
        <x:v>Ava Mitchell</x:v>
      </x:c>
      <x:c r="AC1326" s="85" t="n">
        <x:f>'Raw Sales'!O1326</x:f>
        <x:v>45734</x:v>
      </x:c>
      <x:c r="AD1326" s="84" t="n">
        <x:f>AC1326-B1326</x:f>
        <x:v>6</x:v>
      </x:c>
      <x:c r="AE1326" s="84" t="str">
        <x:f>IF(COUNTIF($A$5:A1326,A1326)&gt;1,"Duplicate","Keep")</x:f>
        <x:v>Keep</x:v>
      </x:c>
      <x:c r="AF1326" s="84" t="str">
        <x:f>IF(OR(R1326&lt;=0,AC1326&lt;B1326,H1326="Unknown",M1326="Unknown Product"),"Review","Valid")</x:f>
        <x:v>Valid</x:v>
      </x:c>
      <x:c r="AG1326" s="84" t="n">
        <x:f>IF(AND(AE1326="Keep",AF1326="Valid"),1,0)</x:f>
        <x:v>1</x:v>
      </x:c>
      <x:c r="AH1326" s="84" t="n">
        <x:f>IF(AND(AG1326=1,OR('Dashboard'!$B$4="All",I1326='Dashboard'!$B$4),OR('Dashboard'!$E$4="All",N1326='Dashboard'!$E$4),OR('Dashboard'!$H$4="All",K1326='Dashboard'!$H$4),OR('Dashboard'!$K$4="All",C1326='Dashboard'!$K$4)),1,0)</x:f>
        <x:v>1</x:v>
      </x:c>
      <x:c r="AI1326" s="84" t="n">
        <x:f>IF(AND(AG1326=1,OR('Dashboard'!$B$4="All",I1326='Dashboard'!$B$4),OR('Dashboard'!$E$4="All",N1326='Dashboard'!$E$4),OR('Dashboard'!$H$4="All",K1326='Dashboard'!$H$4)),1,0)</x:f>
        <x:v>1</x:v>
      </x:c>
    </x:row>
    <x:row r="1327">
      <x:c r="A1327" s="84" t="str">
        <x:f>'Raw Sales'!A1327</x:f>
        <x:v>ORD-2025-02307</x:v>
      </x:c>
      <x:c r="B1327" s="85" t="n">
        <x:f>'Raw Sales'!B1327</x:f>
        <x:v>45728</x:v>
      </x:c>
      <x:c r="C1327" s="84" t="n">
        <x:f>YEAR(B1327)</x:f>
        <x:v>2025</x:v>
      </x:c>
      <x:c r="D1327" s="91" t="n">
        <x:f>DATE(YEAR(B1327),MONTH(B1327),1)</x:f>
        <x:v>45717</x:v>
      </x:c>
      <x:c r="E1327" s="84" t="str">
        <x:f>TEXT(B1327,"mmm")</x:f>
        <x:v>Mar</x:v>
      </x:c>
      <x:c r="F1327" s="84" t="str">
        <x:f>'Raw Sales'!C1327</x:f>
        <x:v>CUST-0562</x:v>
      </x:c>
      <x:c r="G1327" s="84" t="str">
        <x:f>PROPER(TRIM('Raw Sales'!D1327))</x:f>
        <x:v>Jasmine Nelson</x:v>
      </x:c>
      <x:c r="H1327" s="84" t="str">
        <x:f>IF(TRIM('Raw Sales'!E1327)="","Unknown",PROPER(TRIM('Raw Sales'!E1327)))</x:f>
        <x:v>Consumer</x:v>
      </x:c>
      <x:c r="I1327" s="84" t="str">
        <x:f>PROPER(TRIM('Raw Sales'!F1327))</x:f>
        <x:v>Northeast</x:v>
      </x:c>
      <x:c r="J1327" s="84" t="str">
        <x:f>PROPER(TRIM('Raw Sales'!G1327))</x:f>
        <x:v>Newark</x:v>
      </x:c>
      <x:c r="K1327" s="84" t="str">
        <x:f>PROPER(TRIM('Raw Sales'!H1327))</x:f>
        <x:v>Online</x:v>
      </x:c>
      <x:c r="L1327" s="84" t="str">
        <x:f>'Raw Sales'!I1327</x:f>
        <x:v>ELEC-003</x:v>
      </x:c>
      <x:c r="M1327" s="84" t="str">
        <x:f>IFERROR(VLOOKUP(L1327,'Reference Data'!$A$5:$F$40,2,FALSE),"Unknown Product")</x:f>
        <x:v>Bluetooth Speaker</x:v>
      </x:c>
      <x:c r="N1327" s="84" t="str">
        <x:f>IFERROR(VLOOKUP(L1327,'Reference Data'!$A$5:$F$40,3,FALSE),"Unknown")</x:f>
        <x:v>Electronics</x:v>
      </x:c>
      <x:c r="O1327" s="84" t="str">
        <x:f>IFERROR(VLOOKUP(L1327,'Reference Data'!$A$5:$F$40,4,FALSE),"Unknown")</x:f>
        <x:v>Audio</x:v>
      </x:c>
      <x:c r="P1327" s="92" t="n">
        <x:f>IFERROR(VLOOKUP(L1327,'Reference Data'!$A$5:$F$40,5,FALSE),0)</x:f>
        <x:v>89</x:v>
      </x:c>
      <x:c r="Q1327" s="92" t="n">
        <x:f>IFERROR(VLOOKUP(L1327,'Reference Data'!$A$5:$F$40,6,FALSE),0)</x:f>
        <x:v>44</x:v>
      </x:c>
      <x:c r="R1327" s="84" t="n">
        <x:f>'Raw Sales'!J1327</x:f>
        <x:v>1</x:v>
      </x:c>
      <x:c r="S1327" s="87" t="n">
        <x:f>'Raw Sales'!K1327</x:f>
        <x:v>0.1</x:v>
      </x:c>
      <x:c r="T1327" s="93" t="n">
        <x:f>P1327*R1327</x:f>
        <x:v>89</x:v>
      </x:c>
      <x:c r="U1327" s="93" t="n">
        <x:f>T1327*S1327</x:f>
        <x:v>8.9</x:v>
      </x:c>
      <x:c r="V1327" s="93" t="str">
        <x:f>PROPER(TRIM('Raw Sales'!L1327))</x:f>
        <x:v>Completed</x:v>
      </x:c>
      <x:c r="W1327" s="93" t="n">
        <x:f>IF(V1327="Returned",0,T1327-U1327)</x:f>
        <x:v>80.1</x:v>
      </x:c>
      <x:c r="X1327" s="93" t="n">
        <x:f>IF(V1327="Returned",Q1327*R1327*10%,Q1327*R1327)</x:f>
        <x:v>44</x:v>
      </x:c>
      <x:c r="Y1327" s="93" t="n">
        <x:f>W1327-X1327</x:f>
        <x:v>36.099999999999994</x:v>
      </x:c>
      <x:c r="Z1327" s="94" t="n">
        <x:f>IFERROR(Y1327/W1327,0)</x:f>
        <x:v>0.4506866416978776</x:v>
      </x:c>
      <x:c r="AA1327" s="84" t="str">
        <x:f>PROPER(TRIM('Raw Sales'!M1327))</x:f>
        <x:v>Paypal</x:v>
      </x:c>
      <x:c r="AB1327" s="84" t="str">
        <x:f>PROPER(TRIM('Raw Sales'!N1327))</x:f>
        <x:v>Sofia Bennett</x:v>
      </x:c>
      <x:c r="AC1327" s="85" t="n">
        <x:f>'Raw Sales'!O1327</x:f>
        <x:v>45733</x:v>
      </x:c>
      <x:c r="AD1327" s="84" t="n">
        <x:f>AC1327-B1327</x:f>
        <x:v>5</x:v>
      </x:c>
      <x:c r="AE1327" s="84" t="str">
        <x:f>IF(COUNTIF($A$5:A1327,A1327)&gt;1,"Duplicate","Keep")</x:f>
        <x:v>Keep</x:v>
      </x:c>
      <x:c r="AF1327" s="84" t="str">
        <x:f>IF(OR(R1327&lt;=0,AC1327&lt;B1327,H1327="Unknown",M1327="Unknown Product"),"Review","Valid")</x:f>
        <x:v>Valid</x:v>
      </x:c>
      <x:c r="AG1327" s="84" t="n">
        <x:f>IF(AND(AE1327="Keep",AF1327="Valid"),1,0)</x:f>
        <x:v>1</x:v>
      </x:c>
      <x:c r="AH1327" s="84" t="n">
        <x:f>IF(AND(AG1327=1,OR('Dashboard'!$B$4="All",I1327='Dashboard'!$B$4),OR('Dashboard'!$E$4="All",N1327='Dashboard'!$E$4),OR('Dashboard'!$H$4="All",K1327='Dashboard'!$H$4),OR('Dashboard'!$K$4="All",C1327='Dashboard'!$K$4)),1,0)</x:f>
        <x:v>1</x:v>
      </x:c>
      <x:c r="AI1327" s="84" t="n">
        <x:f>IF(AND(AG1327=1,OR('Dashboard'!$B$4="All",I1327='Dashboard'!$B$4),OR('Dashboard'!$E$4="All",N1327='Dashboard'!$E$4),OR('Dashboard'!$H$4="All",K1327='Dashboard'!$H$4)),1,0)</x:f>
        <x:v>1</x:v>
      </x:c>
    </x:row>
    <x:row r="1328">
      <x:c r="A1328" s="84" t="str">
        <x:f>'Raw Sales'!A1328</x:f>
        <x:v>ORD-2025-00920</x:v>
      </x:c>
      <x:c r="B1328" s="85" t="n">
        <x:f>'Raw Sales'!B1328</x:f>
        <x:v>45729</x:v>
      </x:c>
      <x:c r="C1328" s="84" t="n">
        <x:f>YEAR(B1328)</x:f>
        <x:v>2025</x:v>
      </x:c>
      <x:c r="D1328" s="91" t="n">
        <x:f>DATE(YEAR(B1328),MONTH(B1328),1)</x:f>
        <x:v>45717</x:v>
      </x:c>
      <x:c r="E1328" s="84" t="str">
        <x:f>TEXT(B1328,"mmm")</x:f>
        <x:v>Mar</x:v>
      </x:c>
      <x:c r="F1328" s="84" t="str">
        <x:f>'Raw Sales'!C1328</x:f>
        <x:v>CUST-0040</x:v>
      </x:c>
      <x:c r="G1328" s="84" t="str">
        <x:f>PROPER(TRIM('Raw Sales'!D1328))</x:f>
        <x:v>Elias Irwin</x:v>
      </x:c>
      <x:c r="H1328" s="84" t="str">
        <x:f>IF(TRIM('Raw Sales'!E1328)="","Unknown",PROPER(TRIM('Raw Sales'!E1328)))</x:f>
        <x:v>Small Business</x:v>
      </x:c>
      <x:c r="I1328" s="84" t="str">
        <x:f>PROPER(TRIM('Raw Sales'!F1328))</x:f>
        <x:v>Southeast</x:v>
      </x:c>
      <x:c r="J1328" s="84" t="str">
        <x:f>PROPER(TRIM('Raw Sales'!G1328))</x:f>
        <x:v>Charlotte</x:v>
      </x:c>
      <x:c r="K1328" s="84" t="str">
        <x:f>PROPER(TRIM('Raw Sales'!H1328))</x:f>
        <x:v>Online</x:v>
      </x:c>
      <x:c r="L1328" s="84" t="str">
        <x:f>'Raw Sales'!I1328</x:f>
        <x:v>ACCS-003</x:v>
      </x:c>
      <x:c r="M1328" s="84" t="str">
        <x:f>IFERROR(VLOOKUP(L1328,'Reference Data'!$A$5:$F$40,2,FALSE),"Unknown Product")</x:f>
        <x:v>Polarized Sunglasses</x:v>
      </x:c>
      <x:c r="N1328" s="84" t="str">
        <x:f>IFERROR(VLOOKUP(L1328,'Reference Data'!$A$5:$F$40,3,FALSE),"Unknown")</x:f>
        <x:v>Accessories</x:v>
      </x:c>
      <x:c r="O1328" s="84" t="str">
        <x:f>IFERROR(VLOOKUP(L1328,'Reference Data'!$A$5:$F$40,4,FALSE),"Unknown")</x:f>
        <x:v>Eyewear</x:v>
      </x:c>
      <x:c r="P1328" s="92" t="n">
        <x:f>IFERROR(VLOOKUP(L1328,'Reference Data'!$A$5:$F$40,5,FALSE),0)</x:f>
        <x:v>59</x:v>
      </x:c>
      <x:c r="Q1328" s="92" t="n">
        <x:f>IFERROR(VLOOKUP(L1328,'Reference Data'!$A$5:$F$40,6,FALSE),0)</x:f>
        <x:v>17</x:v>
      </x:c>
      <x:c r="R1328" s="84" t="n">
        <x:f>'Raw Sales'!J1328</x:f>
        <x:v>1</x:v>
      </x:c>
      <x:c r="S1328" s="87" t="n">
        <x:f>'Raw Sales'!K1328</x:f>
        <x:v>0.15</x:v>
      </x:c>
      <x:c r="T1328" s="93" t="n">
        <x:f>P1328*R1328</x:f>
        <x:v>59</x:v>
      </x:c>
      <x:c r="U1328" s="93" t="n">
        <x:f>T1328*S1328</x:f>
        <x:v>8.85</x:v>
      </x:c>
      <x:c r="V1328" s="93" t="str">
        <x:f>PROPER(TRIM('Raw Sales'!L1328))</x:f>
        <x:v>Completed</x:v>
      </x:c>
      <x:c r="W1328" s="93" t="n">
        <x:f>IF(V1328="Returned",0,T1328-U1328)</x:f>
        <x:v>50.15</x:v>
      </x:c>
      <x:c r="X1328" s="93" t="n">
        <x:f>IF(V1328="Returned",Q1328*R1328*10%,Q1328*R1328)</x:f>
        <x:v>17</x:v>
      </x:c>
      <x:c r="Y1328" s="93" t="n">
        <x:f>W1328-X1328</x:f>
        <x:v>33.15</x:v>
      </x:c>
      <x:c r="Z1328" s="94" t="n">
        <x:f>IFERROR(Y1328/W1328,0)</x:f>
        <x:v>0.6610169491525424</x:v>
      </x:c>
      <x:c r="AA1328" s="84" t="str">
        <x:f>PROPER(TRIM('Raw Sales'!M1328))</x:f>
        <x:v>Credit Card</x:v>
      </x:c>
      <x:c r="AB1328" s="84" t="str">
        <x:f>PROPER(TRIM('Raw Sales'!N1328))</x:f>
        <x:v>Ava Mitchell</x:v>
      </x:c>
      <x:c r="AC1328" s="85" t="n">
        <x:f>'Raw Sales'!O1328</x:f>
        <x:v>45732</x:v>
      </x:c>
      <x:c r="AD1328" s="84" t="n">
        <x:f>AC1328-B1328</x:f>
        <x:v>3</x:v>
      </x:c>
      <x:c r="AE1328" s="84" t="str">
        <x:f>IF(COUNTIF($A$5:A1328,A1328)&gt;1,"Duplicate","Keep")</x:f>
        <x:v>Keep</x:v>
      </x:c>
      <x:c r="AF1328" s="84" t="str">
        <x:f>IF(OR(R1328&lt;=0,AC1328&lt;B1328,H1328="Unknown",M1328="Unknown Product"),"Review","Valid")</x:f>
        <x:v>Valid</x:v>
      </x:c>
      <x:c r="AG1328" s="84" t="n">
        <x:f>IF(AND(AE1328="Keep",AF1328="Valid"),1,0)</x:f>
        <x:v>1</x:v>
      </x:c>
      <x:c r="AH1328" s="84" t="n">
        <x:f>IF(AND(AG1328=1,OR('Dashboard'!$B$4="All",I1328='Dashboard'!$B$4),OR('Dashboard'!$E$4="All",N1328='Dashboard'!$E$4),OR('Dashboard'!$H$4="All",K1328='Dashboard'!$H$4),OR('Dashboard'!$K$4="All",C1328='Dashboard'!$K$4)),1,0)</x:f>
        <x:v>1</x:v>
      </x:c>
      <x:c r="AI1328" s="84" t="n">
        <x:f>IF(AND(AG1328=1,OR('Dashboard'!$B$4="All",I1328='Dashboard'!$B$4),OR('Dashboard'!$E$4="All",N1328='Dashboard'!$E$4),OR('Dashboard'!$H$4="All",K1328='Dashboard'!$H$4)),1,0)</x:f>
        <x:v>1</x:v>
      </x:c>
    </x:row>
    <x:row r="1329">
      <x:c r="A1329" s="84" t="str">
        <x:f>'Raw Sales'!A1329</x:f>
        <x:v>ORD-2025-00663</x:v>
      </x:c>
      <x:c r="B1329" s="85" t="n">
        <x:f>'Raw Sales'!B1329</x:f>
        <x:v>45730</x:v>
      </x:c>
      <x:c r="C1329" s="84" t="n">
        <x:f>YEAR(B1329)</x:f>
        <x:v>2025</x:v>
      </x:c>
      <x:c r="D1329" s="91" t="n">
        <x:f>DATE(YEAR(B1329),MONTH(B1329),1)</x:f>
        <x:v>45717</x:v>
      </x:c>
      <x:c r="E1329" s="84" t="str">
        <x:f>TEXT(B1329,"mmm")</x:f>
        <x:v>Mar</x:v>
      </x:c>
      <x:c r="F1329" s="84" t="str">
        <x:f>'Raw Sales'!C1329</x:f>
        <x:v>CUST-0243</x:v>
      </x:c>
      <x:c r="G1329" s="84" t="str">
        <x:f>PROPER(TRIM('Raw Sales'!D1329))</x:f>
        <x:v>Jasmine Johnson</x:v>
      </x:c>
      <x:c r="H1329" s="84" t="str">
        <x:f>IF(TRIM('Raw Sales'!E1329)="","Unknown",PROPER(TRIM('Raw Sales'!E1329)))</x:f>
        <x:v>Corporate</x:v>
      </x:c>
      <x:c r="I1329" s="84" t="str">
        <x:f>PROPER(TRIM('Raw Sales'!F1329))</x:f>
        <x:v>Northeast</x:v>
      </x:c>
      <x:c r="J1329" s="84" t="str">
        <x:f>PROPER(TRIM('Raw Sales'!G1329))</x:f>
        <x:v>Newark</x:v>
      </x:c>
      <x:c r="K1329" s="84" t="str">
        <x:f>PROPER(TRIM('Raw Sales'!H1329))</x:f>
        <x:v>Retail Store</x:v>
      </x:c>
      <x:c r="L1329" s="84" t="str">
        <x:f>'Raw Sales'!I1329</x:f>
        <x:v>OFFC-004</x:v>
      </x:c>
      <x:c r="M1329" s="84" t="str">
        <x:f>IFERROR(VLOOKUP(L1329,'Reference Data'!$A$5:$F$40,2,FALSE),"Unknown Product")</x:f>
        <x:v>Premium Notebook Pack</x:v>
      </x:c>
      <x:c r="N1329" s="84" t="str">
        <x:f>IFERROR(VLOOKUP(L1329,'Reference Data'!$A$5:$F$40,3,FALSE),"Unknown")</x:f>
        <x:v>Office</x:v>
      </x:c>
      <x:c r="O1329" s="84" t="str">
        <x:f>IFERROR(VLOOKUP(L1329,'Reference Data'!$A$5:$F$40,4,FALSE),"Unknown")</x:f>
        <x:v>Stationery</x:v>
      </x:c>
      <x:c r="P1329" s="92" t="n">
        <x:f>IFERROR(VLOOKUP(L1329,'Reference Data'!$A$5:$F$40,5,FALSE),0)</x:f>
        <x:v>18</x:v>
      </x:c>
      <x:c r="Q1329" s="92" t="n">
        <x:f>IFERROR(VLOOKUP(L1329,'Reference Data'!$A$5:$F$40,6,FALSE),0)</x:f>
        <x:v>6.5</x:v>
      </x:c>
      <x:c r="R1329" s="84" t="n">
        <x:f>'Raw Sales'!J1329</x:f>
        <x:v>5</x:v>
      </x:c>
      <x:c r="S1329" s="87" t="n">
        <x:f>'Raw Sales'!K1329</x:f>
        <x:v>0.05</x:v>
      </x:c>
      <x:c r="T1329" s="93" t="n">
        <x:f>P1329*R1329</x:f>
        <x:v>90</x:v>
      </x:c>
      <x:c r="U1329" s="93" t="n">
        <x:f>T1329*S1329</x:f>
        <x:v>4.5</x:v>
      </x:c>
      <x:c r="V1329" s="93" t="str">
        <x:f>PROPER(TRIM('Raw Sales'!L1329))</x:f>
        <x:v>Completed</x:v>
      </x:c>
      <x:c r="W1329" s="93" t="n">
        <x:f>IF(V1329="Returned",0,T1329-U1329)</x:f>
        <x:v>85.5</x:v>
      </x:c>
      <x:c r="X1329" s="93" t="n">
        <x:f>IF(V1329="Returned",Q1329*R1329*10%,Q1329*R1329)</x:f>
        <x:v>32.5</x:v>
      </x:c>
      <x:c r="Y1329" s="93" t="n">
        <x:f>W1329-X1329</x:f>
        <x:v>53</x:v>
      </x:c>
      <x:c r="Z1329" s="94" t="n">
        <x:f>IFERROR(Y1329/W1329,0)</x:f>
        <x:v>0.6198830409356725</x:v>
      </x:c>
      <x:c r="AA1329" s="84" t="str">
        <x:f>PROPER(TRIM('Raw Sales'!M1329))</x:f>
        <x:v>Debit Card</x:v>
      </x:c>
      <x:c r="AB1329" s="84" t="str">
        <x:f>PROPER(TRIM('Raw Sales'!N1329))</x:f>
        <x:v>Sofia Bennett</x:v>
      </x:c>
      <x:c r="AC1329" s="85" t="n">
        <x:f>'Raw Sales'!O1329</x:f>
        <x:v>45730</x:v>
      </x:c>
      <x:c r="AD1329" s="84" t="n">
        <x:f>AC1329-B1329</x:f>
        <x:v>0</x:v>
      </x:c>
      <x:c r="AE1329" s="84" t="str">
        <x:f>IF(COUNTIF($A$5:A1329,A1329)&gt;1,"Duplicate","Keep")</x:f>
        <x:v>Keep</x:v>
      </x:c>
      <x:c r="AF1329" s="84" t="str">
        <x:f>IF(OR(R1329&lt;=0,AC1329&lt;B1329,H1329="Unknown",M1329="Unknown Product"),"Review","Valid")</x:f>
        <x:v>Valid</x:v>
      </x:c>
      <x:c r="AG1329" s="84" t="n">
        <x:f>IF(AND(AE1329="Keep",AF1329="Valid"),1,0)</x:f>
        <x:v>1</x:v>
      </x:c>
      <x:c r="AH1329" s="84" t="n">
        <x:f>IF(AND(AG1329=1,OR('Dashboard'!$B$4="All",I1329='Dashboard'!$B$4),OR('Dashboard'!$E$4="All",N1329='Dashboard'!$E$4),OR('Dashboard'!$H$4="All",K1329='Dashboard'!$H$4),OR('Dashboard'!$K$4="All",C1329='Dashboard'!$K$4)),1,0)</x:f>
        <x:v>1</x:v>
      </x:c>
      <x:c r="AI1329" s="84" t="n">
        <x:f>IF(AND(AG1329=1,OR('Dashboard'!$B$4="All",I1329='Dashboard'!$B$4),OR('Dashboard'!$E$4="All",N1329='Dashboard'!$E$4),OR('Dashboard'!$H$4="All",K1329='Dashboard'!$H$4)),1,0)</x:f>
        <x:v>1</x:v>
      </x:c>
    </x:row>
    <x:row r="1330">
      <x:c r="A1330" s="84" t="str">
        <x:f>'Raw Sales'!A1330</x:f>
        <x:v>ORD-2025-00308</x:v>
      </x:c>
      <x:c r="B1330" s="85" t="n">
        <x:f>'Raw Sales'!B1330</x:f>
        <x:v>45731</x:v>
      </x:c>
      <x:c r="C1330" s="84" t="n">
        <x:f>YEAR(B1330)</x:f>
        <x:v>2025</x:v>
      </x:c>
      <x:c r="D1330" s="91" t="n">
        <x:f>DATE(YEAR(B1330),MONTH(B1330),1)</x:f>
        <x:v>45717</x:v>
      </x:c>
      <x:c r="E1330" s="84" t="str">
        <x:f>TEXT(B1330,"mmm")</x:f>
        <x:v>Mar</x:v>
      </x:c>
      <x:c r="F1330" s="84" t="str">
        <x:f>'Raw Sales'!C1330</x:f>
        <x:v>CUST-0013</x:v>
      </x:c>
      <x:c r="G1330" s="84" t="str">
        <x:f>PROPER(TRIM('Raw Sales'!D1330))</x:f>
        <x:v>Marcus Moore</x:v>
      </x:c>
      <x:c r="H1330" s="84" t="str">
        <x:f>IF(TRIM('Raw Sales'!E1330)="","Unknown",PROPER(TRIM('Raw Sales'!E1330)))</x:f>
        <x:v>Consumer</x:v>
      </x:c>
      <x:c r="I1330" s="84" t="str">
        <x:f>PROPER(TRIM('Raw Sales'!F1330))</x:f>
        <x:v>Midwest</x:v>
      </x:c>
      <x:c r="J1330" s="84" t="str">
        <x:f>PROPER(TRIM('Raw Sales'!G1330))</x:f>
        <x:v>Columbus</x:v>
      </x:c>
      <x:c r="K1330" s="84" t="str">
        <x:f>PROPER(TRIM('Raw Sales'!H1330))</x:f>
        <x:v>Retail Store</x:v>
      </x:c>
      <x:c r="L1330" s="84" t="str">
        <x:f>'Raw Sales'!I1330</x:f>
        <x:v>ACCS-006</x:v>
      </x:c>
      <x:c r="M1330" s="84" t="str">
        <x:f>IFERROR(VLOOKUP(L1330,'Reference Data'!$A$5:$F$40,2,FALSE),"Unknown Product")</x:f>
        <x:v>Insulated Lunch Bag</x:v>
      </x:c>
      <x:c r="N1330" s="84" t="str">
        <x:f>IFERROR(VLOOKUP(L1330,'Reference Data'!$A$5:$F$40,3,FALSE),"Unknown")</x:f>
        <x:v>Accessories</x:v>
      </x:c>
      <x:c r="O1330" s="84" t="str">
        <x:f>IFERROR(VLOOKUP(L1330,'Reference Data'!$A$5:$F$40,4,FALSE),"Unknown")</x:f>
        <x:v>Bags</x:v>
      </x:c>
      <x:c r="P1330" s="92" t="n">
        <x:f>IFERROR(VLOOKUP(L1330,'Reference Data'!$A$5:$F$40,5,FALSE),0)</x:f>
        <x:v>29</x:v>
      </x:c>
      <x:c r="Q1330" s="92" t="n">
        <x:f>IFERROR(VLOOKUP(L1330,'Reference Data'!$A$5:$F$40,6,FALSE),0)</x:f>
        <x:v>10</x:v>
      </x:c>
      <x:c r="R1330" s="84" t="n">
        <x:f>'Raw Sales'!J1330</x:f>
        <x:v>1</x:v>
      </x:c>
      <x:c r="S1330" s="87" t="n">
        <x:f>'Raw Sales'!K1330</x:f>
        <x:v>0</x:v>
      </x:c>
      <x:c r="T1330" s="93" t="n">
        <x:f>P1330*R1330</x:f>
        <x:v>29</x:v>
      </x:c>
      <x:c r="U1330" s="93" t="n">
        <x:f>T1330*S1330</x:f>
        <x:v>0</x:v>
      </x:c>
      <x:c r="V1330" s="93" t="str">
        <x:f>PROPER(TRIM('Raw Sales'!L1330))</x:f>
        <x:v>Completed</x:v>
      </x:c>
      <x:c r="W1330" s="93" t="n">
        <x:f>IF(V1330="Returned",0,T1330-U1330)</x:f>
        <x:v>29</x:v>
      </x:c>
      <x:c r="X1330" s="93" t="n">
        <x:f>IF(V1330="Returned",Q1330*R1330*10%,Q1330*R1330)</x:f>
        <x:v>10</x:v>
      </x:c>
      <x:c r="Y1330" s="93" t="n">
        <x:f>W1330-X1330</x:f>
        <x:v>19</x:v>
      </x:c>
      <x:c r="Z1330" s="94" t="n">
        <x:f>IFERROR(Y1330/W1330,0)</x:f>
        <x:v>0.6551724137931034</x:v>
      </x:c>
      <x:c r="AA1330" s="84" t="str">
        <x:f>PROPER(TRIM('Raw Sales'!M1330))</x:f>
        <x:v>Debit Card</x:v>
      </x:c>
      <x:c r="AB1330" s="84" t="str">
        <x:f>PROPER(TRIM('Raw Sales'!N1330))</x:f>
        <x:v>Zoe Turner</x:v>
      </x:c>
      <x:c r="AC1330" s="85" t="n">
        <x:f>'Raw Sales'!O1330</x:f>
        <x:v>45732</x:v>
      </x:c>
      <x:c r="AD1330" s="84" t="n">
        <x:f>AC1330-B1330</x:f>
        <x:v>1</x:v>
      </x:c>
      <x:c r="AE1330" s="84" t="str">
        <x:f>IF(COUNTIF($A$5:A1330,A1330)&gt;1,"Duplicate","Keep")</x:f>
        <x:v>Keep</x:v>
      </x:c>
      <x:c r="AF1330" s="84" t="str">
        <x:f>IF(OR(R1330&lt;=0,AC1330&lt;B1330,H1330="Unknown",M1330="Unknown Product"),"Review","Valid")</x:f>
        <x:v>Valid</x:v>
      </x:c>
      <x:c r="AG1330" s="84" t="n">
        <x:f>IF(AND(AE1330="Keep",AF1330="Valid"),1,0)</x:f>
        <x:v>1</x:v>
      </x:c>
      <x:c r="AH1330" s="84" t="n">
        <x:f>IF(AND(AG1330=1,OR('Dashboard'!$B$4="All",I1330='Dashboard'!$B$4),OR('Dashboard'!$E$4="All",N1330='Dashboard'!$E$4),OR('Dashboard'!$H$4="All",K1330='Dashboard'!$H$4),OR('Dashboard'!$K$4="All",C1330='Dashboard'!$K$4)),1,0)</x:f>
        <x:v>1</x:v>
      </x:c>
      <x:c r="AI1330" s="84" t="n">
        <x:f>IF(AND(AG1330=1,OR('Dashboard'!$B$4="All",I1330='Dashboard'!$B$4),OR('Dashboard'!$E$4="All",N1330='Dashboard'!$E$4),OR('Dashboard'!$H$4="All",K1330='Dashboard'!$H$4)),1,0)</x:f>
        <x:v>1</x:v>
      </x:c>
    </x:row>
    <x:row r="1331">
      <x:c r="A1331" s="84" t="str">
        <x:f>'Raw Sales'!A1331</x:f>
        <x:v>ORD-2025-00541</x:v>
      </x:c>
      <x:c r="B1331" s="85" t="n">
        <x:f>'Raw Sales'!B1331</x:f>
        <x:v>45731</x:v>
      </x:c>
      <x:c r="C1331" s="84" t="n">
        <x:f>YEAR(B1331)</x:f>
        <x:v>2025</x:v>
      </x:c>
      <x:c r="D1331" s="91" t="n">
        <x:f>DATE(YEAR(B1331),MONTH(B1331),1)</x:f>
        <x:v>45717</x:v>
      </x:c>
      <x:c r="E1331" s="84" t="str">
        <x:f>TEXT(B1331,"mmm")</x:f>
        <x:v>Mar</x:v>
      </x:c>
      <x:c r="F1331" s="84" t="str">
        <x:f>'Raw Sales'!C1331</x:f>
        <x:v>CUST-0212</x:v>
      </x:c>
      <x:c r="G1331" s="84" t="str">
        <x:f>PROPER(TRIM('Raw Sales'!D1331))</x:f>
        <x:v>Theo Walker</x:v>
      </x:c>
      <x:c r="H1331" s="84" t="str">
        <x:f>IF(TRIM('Raw Sales'!E1331)="","Unknown",PROPER(TRIM('Raw Sales'!E1331)))</x:f>
        <x:v>Corporate</x:v>
      </x:c>
      <x:c r="I1331" s="84" t="str">
        <x:f>PROPER(TRIM('Raw Sales'!F1331))</x:f>
        <x:v>Midwest</x:v>
      </x:c>
      <x:c r="J1331" s="84" t="str">
        <x:f>PROPER(TRIM('Raw Sales'!G1331))</x:f>
        <x:v>Columbus</x:v>
      </x:c>
      <x:c r="K1331" s="84" t="str">
        <x:f>PROPER(TRIM('Raw Sales'!H1331))</x:f>
        <x:v>Retail Store</x:v>
      </x:c>
      <x:c r="L1331" s="84" t="str">
        <x:f>'Raw Sales'!I1331</x:f>
        <x:v>FITN-003</x:v>
      </x:c>
      <x:c r="M1331" s="84" t="str">
        <x:f>IFERROR(VLOOKUP(L1331,'Reference Data'!$A$5:$F$40,2,FALSE),"Unknown Product")</x:f>
        <x:v>Resistance Band Set</x:v>
      </x:c>
      <x:c r="N1331" s="84" t="str">
        <x:f>IFERROR(VLOOKUP(L1331,'Reference Data'!$A$5:$F$40,3,FALSE),"Unknown")</x:f>
        <x:v>Fitness</x:v>
      </x:c>
      <x:c r="O1331" s="84" t="str">
        <x:f>IFERROR(VLOOKUP(L1331,'Reference Data'!$A$5:$F$40,4,FALSE),"Unknown")</x:f>
        <x:v>Strength</x:v>
      </x:c>
      <x:c r="P1331" s="92" t="n">
        <x:f>IFERROR(VLOOKUP(L1331,'Reference Data'!$A$5:$F$40,5,FALSE),0)</x:f>
        <x:v>24</x:v>
      </x:c>
      <x:c r="Q1331" s="92" t="n">
        <x:f>IFERROR(VLOOKUP(L1331,'Reference Data'!$A$5:$F$40,6,FALSE),0)</x:f>
        <x:v>8</x:v>
      </x:c>
      <x:c r="R1331" s="84" t="n">
        <x:f>'Raw Sales'!J1331</x:f>
        <x:v>2</x:v>
      </x:c>
      <x:c r="S1331" s="87" t="n">
        <x:f>'Raw Sales'!K1331</x:f>
        <x:v>0</x:v>
      </x:c>
      <x:c r="T1331" s="93" t="n">
        <x:f>P1331*R1331</x:f>
        <x:v>48</x:v>
      </x:c>
      <x:c r="U1331" s="93" t="n">
        <x:f>T1331*S1331</x:f>
        <x:v>0</x:v>
      </x:c>
      <x:c r="V1331" s="93" t="str">
        <x:f>PROPER(TRIM('Raw Sales'!L1331))</x:f>
        <x:v>Completed</x:v>
      </x:c>
      <x:c r="W1331" s="93" t="n">
        <x:f>IF(V1331="Returned",0,T1331-U1331)</x:f>
        <x:v>48</x:v>
      </x:c>
      <x:c r="X1331" s="93" t="n">
        <x:f>IF(V1331="Returned",Q1331*R1331*10%,Q1331*R1331)</x:f>
        <x:v>16</x:v>
      </x:c>
      <x:c r="Y1331" s="93" t="n">
        <x:f>W1331-X1331</x:f>
        <x:v>32</x:v>
      </x:c>
      <x:c r="Z1331" s="94" t="n">
        <x:f>IFERROR(Y1331/W1331,0)</x:f>
        <x:v>0.6666666666666666</x:v>
      </x:c>
      <x:c r="AA1331" s="84" t="str">
        <x:f>PROPER(TRIM('Raw Sales'!M1331))</x:f>
        <x:v>Credit Card</x:v>
      </x:c>
      <x:c r="AB1331" s="84" t="str">
        <x:f>PROPER(TRIM('Raw Sales'!N1331))</x:f>
        <x:v>Lucas Grant</x:v>
      </x:c>
      <x:c r="AC1331" s="85" t="n">
        <x:f>'Raw Sales'!O1331</x:f>
        <x:v>45731</x:v>
      </x:c>
      <x:c r="AD1331" s="84" t="n">
        <x:f>AC1331-B1331</x:f>
        <x:v>0</x:v>
      </x:c>
      <x:c r="AE1331" s="84" t="str">
        <x:f>IF(COUNTIF($A$5:A1331,A1331)&gt;1,"Duplicate","Keep")</x:f>
        <x:v>Keep</x:v>
      </x:c>
      <x:c r="AF1331" s="84" t="str">
        <x:f>IF(OR(R1331&lt;=0,AC1331&lt;B1331,H1331="Unknown",M1331="Unknown Product"),"Review","Valid")</x:f>
        <x:v>Valid</x:v>
      </x:c>
      <x:c r="AG1331" s="84" t="n">
        <x:f>IF(AND(AE1331="Keep",AF1331="Valid"),1,0)</x:f>
        <x:v>1</x:v>
      </x:c>
      <x:c r="AH1331" s="84" t="n">
        <x:f>IF(AND(AG1331=1,OR('Dashboard'!$B$4="All",I1331='Dashboard'!$B$4),OR('Dashboard'!$E$4="All",N1331='Dashboard'!$E$4),OR('Dashboard'!$H$4="All",K1331='Dashboard'!$H$4),OR('Dashboard'!$K$4="All",C1331='Dashboard'!$K$4)),1,0)</x:f>
        <x:v>1</x:v>
      </x:c>
      <x:c r="AI1331" s="84" t="n">
        <x:f>IF(AND(AG1331=1,OR('Dashboard'!$B$4="All",I1331='Dashboard'!$B$4),OR('Dashboard'!$E$4="All",N1331='Dashboard'!$E$4),OR('Dashboard'!$H$4="All",K1331='Dashboard'!$H$4)),1,0)</x:f>
        <x:v>1</x:v>
      </x:c>
    </x:row>
    <x:row r="1332">
      <x:c r="A1332" s="84" t="str">
        <x:f>'Raw Sales'!A1332</x:f>
        <x:v>ORD-2025-00714</x:v>
      </x:c>
      <x:c r="B1332" s="85" t="n">
        <x:f>'Raw Sales'!B1332</x:f>
        <x:v>45731</x:v>
      </x:c>
      <x:c r="C1332" s="84" t="n">
        <x:f>YEAR(B1332)</x:f>
        <x:v>2025</x:v>
      </x:c>
      <x:c r="D1332" s="91" t="n">
        <x:f>DATE(YEAR(B1332),MONTH(B1332),1)</x:f>
        <x:v>45717</x:v>
      </x:c>
      <x:c r="E1332" s="84" t="str">
        <x:f>TEXT(B1332,"mmm")</x:f>
        <x:v>Mar</x:v>
      </x:c>
      <x:c r="F1332" s="84" t="str">
        <x:f>'Raw Sales'!C1332</x:f>
        <x:v>CUST-0216</x:v>
      </x:c>
      <x:c r="G1332" s="84" t="str">
        <x:f>PROPER(TRIM('Raw Sales'!D1332))</x:f>
        <x:v>Aiden Hall</x:v>
      </x:c>
      <x:c r="H1332" s="84" t="str">
        <x:f>IF(TRIM('Raw Sales'!E1332)="","Unknown",PROPER(TRIM('Raw Sales'!E1332)))</x:f>
        <x:v>Consumer</x:v>
      </x:c>
      <x:c r="I1332" s="84" t="str">
        <x:f>PROPER(TRIM('Raw Sales'!F1332))</x:f>
        <x:v>Midwest</x:v>
      </x:c>
      <x:c r="J1332" s="84" t="str">
        <x:f>PROPER(TRIM('Raw Sales'!G1332))</x:f>
        <x:v>Columbus</x:v>
      </x:c>
      <x:c r="K1332" s="84" t="str">
        <x:f>PROPER(TRIM('Raw Sales'!H1332))</x:f>
        <x:v>Retail Store</x:v>
      </x:c>
      <x:c r="L1332" s="84" t="str">
        <x:f>'Raw Sales'!I1332</x:f>
        <x:v>ELEC-002</x:v>
      </x:c>
      <x:c r="M1332" s="84" t="str">
        <x:f>IFERROR(VLOOKUP(L1332,'Reference Data'!$A$5:$F$40,2,FALSE),"Unknown Product")</x:f>
        <x:v>Smartwatch</x:v>
      </x:c>
      <x:c r="N1332" s="84" t="str">
        <x:f>IFERROR(VLOOKUP(L1332,'Reference Data'!$A$5:$F$40,3,FALSE),"Unknown")</x:f>
        <x:v>Electronics</x:v>
      </x:c>
      <x:c r="O1332" s="84" t="str">
        <x:f>IFERROR(VLOOKUP(L1332,'Reference Data'!$A$5:$F$40,4,FALSE),"Unknown")</x:f>
        <x:v>Wearables</x:v>
      </x:c>
      <x:c r="P1332" s="92" t="n">
        <x:f>IFERROR(VLOOKUP(L1332,'Reference Data'!$A$5:$F$40,5,FALSE),0)</x:f>
        <x:v>159</x:v>
      </x:c>
      <x:c r="Q1332" s="92" t="n">
        <x:f>IFERROR(VLOOKUP(L1332,'Reference Data'!$A$5:$F$40,6,FALSE),0)</x:f>
        <x:v>92</x:v>
      </x:c>
      <x:c r="R1332" s="84" t="n">
        <x:f>'Raw Sales'!J1332</x:f>
        <x:v>1</x:v>
      </x:c>
      <x:c r="S1332" s="87" t="n">
        <x:f>'Raw Sales'!K1332</x:f>
        <x:v>0.1</x:v>
      </x:c>
      <x:c r="T1332" s="93" t="n">
        <x:f>P1332*R1332</x:f>
        <x:v>159</x:v>
      </x:c>
      <x:c r="U1332" s="93" t="n">
        <x:f>T1332*S1332</x:f>
        <x:v>15.9</x:v>
      </x:c>
      <x:c r="V1332" s="93" t="str">
        <x:f>PROPER(TRIM('Raw Sales'!L1332))</x:f>
        <x:v>Completed</x:v>
      </x:c>
      <x:c r="W1332" s="93" t="n">
        <x:f>IF(V1332="Returned",0,T1332-U1332)</x:f>
        <x:v>143.1</x:v>
      </x:c>
      <x:c r="X1332" s="93" t="n">
        <x:f>IF(V1332="Returned",Q1332*R1332*10%,Q1332*R1332)</x:f>
        <x:v>92</x:v>
      </x:c>
      <x:c r="Y1332" s="93" t="n">
        <x:f>W1332-X1332</x:f>
        <x:v>51.099999999999994</x:v>
      </x:c>
      <x:c r="Z1332" s="94" t="n">
        <x:f>IFERROR(Y1332/W1332,0)</x:f>
        <x:v>0.35709294199860236</x:v>
      </x:c>
      <x:c r="AA1332" s="84" t="str">
        <x:f>PROPER(TRIM('Raw Sales'!M1332))</x:f>
        <x:v>Mobile Wallet</x:v>
      </x:c>
      <x:c r="AB1332" s="84" t="str">
        <x:f>PROPER(TRIM('Raw Sales'!N1332))</x:f>
        <x:v>Lucas Grant</x:v>
      </x:c>
      <x:c r="AC1332" s="85" t="n">
        <x:f>'Raw Sales'!O1332</x:f>
        <x:v>45731</x:v>
      </x:c>
      <x:c r="AD1332" s="84" t="n">
        <x:f>AC1332-B1332</x:f>
        <x:v>0</x:v>
      </x:c>
      <x:c r="AE1332" s="84" t="str">
        <x:f>IF(COUNTIF($A$5:A1332,A1332)&gt;1,"Duplicate","Keep")</x:f>
        <x:v>Keep</x:v>
      </x:c>
      <x:c r="AF1332" s="84" t="str">
        <x:f>IF(OR(R1332&lt;=0,AC1332&lt;B1332,H1332="Unknown",M1332="Unknown Product"),"Review","Valid")</x:f>
        <x:v>Valid</x:v>
      </x:c>
      <x:c r="AG1332" s="84" t="n">
        <x:f>IF(AND(AE1332="Keep",AF1332="Valid"),1,0)</x:f>
        <x:v>1</x:v>
      </x:c>
      <x:c r="AH1332" s="84" t="n">
        <x:f>IF(AND(AG1332=1,OR('Dashboard'!$B$4="All",I1332='Dashboard'!$B$4),OR('Dashboard'!$E$4="All",N1332='Dashboard'!$E$4),OR('Dashboard'!$H$4="All",K1332='Dashboard'!$H$4),OR('Dashboard'!$K$4="All",C1332='Dashboard'!$K$4)),1,0)</x:f>
        <x:v>1</x:v>
      </x:c>
      <x:c r="AI1332" s="84" t="n">
        <x:f>IF(AND(AG1332=1,OR('Dashboard'!$B$4="All",I1332='Dashboard'!$B$4),OR('Dashboard'!$E$4="All",N1332='Dashboard'!$E$4),OR('Dashboard'!$H$4="All",K1332='Dashboard'!$H$4)),1,0)</x:f>
        <x:v>1</x:v>
      </x:c>
    </x:row>
    <x:row r="1333">
      <x:c r="A1333" s="84" t="str">
        <x:f>'Raw Sales'!A1333</x:f>
        <x:v>ORD-2025-01566</x:v>
      </x:c>
      <x:c r="B1333" s="85" t="n">
        <x:f>'Raw Sales'!B1333</x:f>
        <x:v>45733</x:v>
      </x:c>
      <x:c r="C1333" s="84" t="n">
        <x:f>YEAR(B1333)</x:f>
        <x:v>2025</x:v>
      </x:c>
      <x:c r="D1333" s="91" t="n">
        <x:f>DATE(YEAR(B1333),MONTH(B1333),1)</x:f>
        <x:v>45717</x:v>
      </x:c>
      <x:c r="E1333" s="84" t="str">
        <x:f>TEXT(B1333,"mmm")</x:f>
        <x:v>Mar</x:v>
      </x:c>
      <x:c r="F1333" s="84" t="str">
        <x:f>'Raw Sales'!C1333</x:f>
        <x:v>CUST-0636</x:v>
      </x:c>
      <x:c r="G1333" s="84" t="str">
        <x:f>PROPER(TRIM('Raw Sales'!D1333))</x:f>
        <x:v>Nina Baker</x:v>
      </x:c>
      <x:c r="H1333" s="84" t="str">
        <x:f>IF(TRIM('Raw Sales'!E1333)="","Unknown",PROPER(TRIM('Raw Sales'!E1333)))</x:f>
        <x:v>Small Business</x:v>
      </x:c>
      <x:c r="I1333" s="84" t="str">
        <x:f>PROPER(TRIM('Raw Sales'!F1333))</x:f>
        <x:v>Midwest</x:v>
      </x:c>
      <x:c r="J1333" s="84" t="str">
        <x:f>PROPER(TRIM('Raw Sales'!G1333))</x:f>
        <x:v>Chicago</x:v>
      </x:c>
      <x:c r="K1333" s="84" t="str">
        <x:f>PROPER(TRIM('Raw Sales'!H1333))</x:f>
        <x:v>Online</x:v>
      </x:c>
      <x:c r="L1333" s="84" t="str">
        <x:f>'Raw Sales'!I1333</x:f>
        <x:v>FITN-001</x:v>
      </x:c>
      <x:c r="M1333" s="84" t="str">
        <x:f>IFERROR(VLOOKUP(L1333,'Reference Data'!$A$5:$F$40,2,FALSE),"Unknown Product")</x:f>
        <x:v>Yoga Mat</x:v>
      </x:c>
      <x:c r="N1333" s="84" t="str">
        <x:f>IFERROR(VLOOKUP(L1333,'Reference Data'!$A$5:$F$40,3,FALSE),"Unknown")</x:f>
        <x:v>Fitness</x:v>
      </x:c>
      <x:c r="O1333" s="84" t="str">
        <x:f>IFERROR(VLOOKUP(L1333,'Reference Data'!$A$5:$F$40,4,FALSE),"Unknown")</x:f>
        <x:v>Yoga</x:v>
      </x:c>
      <x:c r="P1333" s="92" t="n">
        <x:f>IFERROR(VLOOKUP(L1333,'Reference Data'!$A$5:$F$40,5,FALSE),0)</x:f>
        <x:v>35</x:v>
      </x:c>
      <x:c r="Q1333" s="92" t="n">
        <x:f>IFERROR(VLOOKUP(L1333,'Reference Data'!$A$5:$F$40,6,FALSE),0)</x:f>
        <x:v>13</x:v>
      </x:c>
      <x:c r="R1333" s="84" t="n">
        <x:f>'Raw Sales'!J1333</x:f>
        <x:v>1</x:v>
      </x:c>
      <x:c r="S1333" s="87" t="n">
        <x:f>'Raw Sales'!K1333</x:f>
        <x:v>0.2</x:v>
      </x:c>
      <x:c r="T1333" s="93" t="n">
        <x:f>P1333*R1333</x:f>
        <x:v>35</x:v>
      </x:c>
      <x:c r="U1333" s="93" t="n">
        <x:f>T1333*S1333</x:f>
        <x:v>7</x:v>
      </x:c>
      <x:c r="V1333" s="93" t="str">
        <x:f>PROPER(TRIM('Raw Sales'!L1333))</x:f>
        <x:v>Completed</x:v>
      </x:c>
      <x:c r="W1333" s="93" t="n">
        <x:f>IF(V1333="Returned",0,T1333-U1333)</x:f>
        <x:v>28</x:v>
      </x:c>
      <x:c r="X1333" s="93" t="n">
        <x:f>IF(V1333="Returned",Q1333*R1333*10%,Q1333*R1333)</x:f>
        <x:v>13</x:v>
      </x:c>
      <x:c r="Y1333" s="93" t="n">
        <x:f>W1333-X1333</x:f>
        <x:v>15</x:v>
      </x:c>
      <x:c r="Z1333" s="94" t="n">
        <x:f>IFERROR(Y1333/W1333,0)</x:f>
        <x:v>0.5357142857142857</x:v>
      </x:c>
      <x:c r="AA1333" s="84" t="str">
        <x:f>PROPER(TRIM('Raw Sales'!M1333))</x:f>
        <x:v>Credit Card</x:v>
      </x:c>
      <x:c r="AB1333" s="84" t="str">
        <x:f>PROPER(TRIM('Raw Sales'!N1333))</x:f>
        <x:v>Zoe Turner</x:v>
      </x:c>
      <x:c r="AC1333" s="85" t="n">
        <x:f>'Raw Sales'!O1333</x:f>
        <x:v>45738</x:v>
      </x:c>
      <x:c r="AD1333" s="84" t="n">
        <x:f>AC1333-B1333</x:f>
        <x:v>5</x:v>
      </x:c>
      <x:c r="AE1333" s="84" t="str">
        <x:f>IF(COUNTIF($A$5:A1333,A1333)&gt;1,"Duplicate","Keep")</x:f>
        <x:v>Keep</x:v>
      </x:c>
      <x:c r="AF1333" s="84" t="str">
        <x:f>IF(OR(R1333&lt;=0,AC1333&lt;B1333,H1333="Unknown",M1333="Unknown Product"),"Review","Valid")</x:f>
        <x:v>Valid</x:v>
      </x:c>
      <x:c r="AG1333" s="84" t="n">
        <x:f>IF(AND(AE1333="Keep",AF1333="Valid"),1,0)</x:f>
        <x:v>1</x:v>
      </x:c>
      <x:c r="AH1333" s="84" t="n">
        <x:f>IF(AND(AG1333=1,OR('Dashboard'!$B$4="All",I1333='Dashboard'!$B$4),OR('Dashboard'!$E$4="All",N1333='Dashboard'!$E$4),OR('Dashboard'!$H$4="All",K1333='Dashboard'!$H$4),OR('Dashboard'!$K$4="All",C1333='Dashboard'!$K$4)),1,0)</x:f>
        <x:v>1</x:v>
      </x:c>
      <x:c r="AI1333" s="84" t="n">
        <x:f>IF(AND(AG1333=1,OR('Dashboard'!$B$4="All",I1333='Dashboard'!$B$4),OR('Dashboard'!$E$4="All",N1333='Dashboard'!$E$4),OR('Dashboard'!$H$4="All",K1333='Dashboard'!$H$4)),1,0)</x:f>
        <x:v>1</x:v>
      </x:c>
    </x:row>
    <x:row r="1334">
      <x:c r="A1334" s="84" t="str">
        <x:f>'Raw Sales'!A1334</x:f>
        <x:v>ORD-2025-02271</x:v>
      </x:c>
      <x:c r="B1334" s="85" t="n">
        <x:f>'Raw Sales'!B1334</x:f>
        <x:v>45733</x:v>
      </x:c>
      <x:c r="C1334" s="84" t="n">
        <x:f>YEAR(B1334)</x:f>
        <x:v>2025</x:v>
      </x:c>
      <x:c r="D1334" s="91" t="n">
        <x:f>DATE(YEAR(B1334),MONTH(B1334),1)</x:f>
        <x:v>45717</x:v>
      </x:c>
      <x:c r="E1334" s="84" t="str">
        <x:f>TEXT(B1334,"mmm")</x:f>
        <x:v>Mar</x:v>
      </x:c>
      <x:c r="F1334" s="84" t="str">
        <x:f>'Raw Sales'!C1334</x:f>
        <x:v>CUST-0481</x:v>
      </x:c>
      <x:c r="G1334" s="84" t="str">
        <x:f>PROPER(TRIM('Raw Sales'!D1334))</x:f>
        <x:v>Marcus Hall</x:v>
      </x:c>
      <x:c r="H1334" s="84" t="str">
        <x:f>IF(TRIM('Raw Sales'!E1334)="","Unknown",PROPER(TRIM('Raw Sales'!E1334)))</x:f>
        <x:v>Small Business</x:v>
      </x:c>
      <x:c r="I1334" s="84" t="str">
        <x:f>PROPER(TRIM('Raw Sales'!F1334))</x:f>
        <x:v>Northeast</x:v>
      </x:c>
      <x:c r="J1334" s="84" t="str">
        <x:f>PROPER(TRIM('Raw Sales'!G1334))</x:f>
        <x:v>Newark</x:v>
      </x:c>
      <x:c r="K1334" s="84" t="str">
        <x:f>PROPER(TRIM('Raw Sales'!H1334))</x:f>
        <x:v>Marketplace</x:v>
      </x:c>
      <x:c r="L1334" s="84" t="str">
        <x:f>'Raw Sales'!I1334</x:f>
        <x:v>ELEC-001</x:v>
      </x:c>
      <x:c r="M1334" s="84" t="str">
        <x:f>IFERROR(VLOOKUP(L1334,'Reference Data'!$A$5:$F$40,2,FALSE),"Unknown Product")</x:f>
        <x:v>Wireless Earbuds</x:v>
      </x:c>
      <x:c r="N1334" s="84" t="str">
        <x:f>IFERROR(VLOOKUP(L1334,'Reference Data'!$A$5:$F$40,3,FALSE),"Unknown")</x:f>
        <x:v>Electronics</x:v>
      </x:c>
      <x:c r="O1334" s="84" t="str">
        <x:f>IFERROR(VLOOKUP(L1334,'Reference Data'!$A$5:$F$40,4,FALSE),"Unknown")</x:f>
        <x:v>Audio</x:v>
      </x:c>
      <x:c r="P1334" s="92" t="n">
        <x:f>IFERROR(VLOOKUP(L1334,'Reference Data'!$A$5:$F$40,5,FALSE),0)</x:f>
        <x:v>69</x:v>
      </x:c>
      <x:c r="Q1334" s="92" t="n">
        <x:f>IFERROR(VLOOKUP(L1334,'Reference Data'!$A$5:$F$40,6,FALSE),0)</x:f>
        <x:v>36</x:v>
      </x:c>
      <x:c r="R1334" s="84" t="n">
        <x:f>'Raw Sales'!J1334</x:f>
        <x:v>2</x:v>
      </x:c>
      <x:c r="S1334" s="87" t="n">
        <x:f>'Raw Sales'!K1334</x:f>
        <x:v>0.1</x:v>
      </x:c>
      <x:c r="T1334" s="93" t="n">
        <x:f>P1334*R1334</x:f>
        <x:v>138</x:v>
      </x:c>
      <x:c r="U1334" s="93" t="n">
        <x:f>T1334*S1334</x:f>
        <x:v>13.8</x:v>
      </x:c>
      <x:c r="V1334" s="93" t="str">
        <x:f>PROPER(TRIM('Raw Sales'!L1334))</x:f>
        <x:v>Completed</x:v>
      </x:c>
      <x:c r="W1334" s="93" t="n">
        <x:f>IF(V1334="Returned",0,T1334-U1334)</x:f>
        <x:v>124.2</x:v>
      </x:c>
      <x:c r="X1334" s="93" t="n">
        <x:f>IF(V1334="Returned",Q1334*R1334*10%,Q1334*R1334)</x:f>
        <x:v>72</x:v>
      </x:c>
      <x:c r="Y1334" s="93" t="n">
        <x:f>W1334-X1334</x:f>
        <x:v>52.2</x:v>
      </x:c>
      <x:c r="Z1334" s="94" t="n">
        <x:f>IFERROR(Y1334/W1334,0)</x:f>
        <x:v>0.4202898550724638</x:v>
      </x:c>
      <x:c r="AA1334" s="84" t="str">
        <x:f>PROPER(TRIM('Raw Sales'!M1334))</x:f>
        <x:v>Paypal</x:v>
      </x:c>
      <x:c r="AB1334" s="84" t="str">
        <x:f>PROPER(TRIM('Raw Sales'!N1334))</x:f>
        <x:v>Sofia Bennett</x:v>
      </x:c>
      <x:c r="AC1334" s="85" t="n">
        <x:f>'Raw Sales'!O1334</x:f>
        <x:v>45737</x:v>
      </x:c>
      <x:c r="AD1334" s="84" t="n">
        <x:f>AC1334-B1334</x:f>
        <x:v>4</x:v>
      </x:c>
      <x:c r="AE1334" s="84" t="str">
        <x:f>IF(COUNTIF($A$5:A1334,A1334)&gt;1,"Duplicate","Keep")</x:f>
        <x:v>Keep</x:v>
      </x:c>
      <x:c r="AF1334" s="84" t="str">
        <x:f>IF(OR(R1334&lt;=0,AC1334&lt;B1334,H1334="Unknown",M1334="Unknown Product"),"Review","Valid")</x:f>
        <x:v>Valid</x:v>
      </x:c>
      <x:c r="AG1334" s="84" t="n">
        <x:f>IF(AND(AE1334="Keep",AF1334="Valid"),1,0)</x:f>
        <x:v>1</x:v>
      </x:c>
      <x:c r="AH1334" s="84" t="n">
        <x:f>IF(AND(AG1334=1,OR('Dashboard'!$B$4="All",I1334='Dashboard'!$B$4),OR('Dashboard'!$E$4="All",N1334='Dashboard'!$E$4),OR('Dashboard'!$H$4="All",K1334='Dashboard'!$H$4),OR('Dashboard'!$K$4="All",C1334='Dashboard'!$K$4)),1,0)</x:f>
        <x:v>1</x:v>
      </x:c>
      <x:c r="AI1334" s="84" t="n">
        <x:f>IF(AND(AG1334=1,OR('Dashboard'!$B$4="All",I1334='Dashboard'!$B$4),OR('Dashboard'!$E$4="All",N1334='Dashboard'!$E$4),OR('Dashboard'!$H$4="All",K1334='Dashboard'!$H$4)),1,0)</x:f>
        <x:v>1</x:v>
      </x:c>
    </x:row>
    <x:row r="1335">
      <x:c r="A1335" s="84" t="str">
        <x:f>'Raw Sales'!A1335</x:f>
        <x:v>ORD-2025-02352</x:v>
      </x:c>
      <x:c r="B1335" s="85" t="n">
        <x:f>'Raw Sales'!B1335</x:f>
        <x:v>45733</x:v>
      </x:c>
      <x:c r="C1335" s="84" t="n">
        <x:f>YEAR(B1335)</x:f>
        <x:v>2025</x:v>
      </x:c>
      <x:c r="D1335" s="91" t="n">
        <x:f>DATE(YEAR(B1335),MONTH(B1335),1)</x:f>
        <x:v>45717</x:v>
      </x:c>
      <x:c r="E1335" s="84" t="str">
        <x:f>TEXT(B1335,"mmm")</x:f>
        <x:v>Mar</x:v>
      </x:c>
      <x:c r="F1335" s="84" t="str">
        <x:f>'Raw Sales'!C1335</x:f>
        <x:v>CUST-0107</x:v>
      </x:c>
      <x:c r="G1335" s="84" t="str">
        <x:f>PROPER(TRIM('Raw Sales'!D1335))</x:f>
        <x:v>Elena Hall</x:v>
      </x:c>
      <x:c r="H1335" s="84" t="str">
        <x:f>IF(TRIM('Raw Sales'!E1335)="","Unknown",PROPER(TRIM('Raw Sales'!E1335)))</x:f>
        <x:v>Consumer</x:v>
      </x:c>
      <x:c r="I1335" s="84" t="str">
        <x:f>PROPER(TRIM('Raw Sales'!F1335))</x:f>
        <x:v>Midwest</x:v>
      </x:c>
      <x:c r="J1335" s="84" t="str">
        <x:f>PROPER(TRIM('Raw Sales'!G1335))</x:f>
        <x:v>Columbus</x:v>
      </x:c>
      <x:c r="K1335" s="84" t="str">
        <x:f>PROPER(TRIM('Raw Sales'!H1335))</x:f>
        <x:v>Retail Store</x:v>
      </x:c>
      <x:c r="L1335" s="84" t="str">
        <x:f>'Raw Sales'!I1335</x:f>
        <x:v>ELEC-003</x:v>
      </x:c>
      <x:c r="M1335" s="84" t="str">
        <x:f>IFERROR(VLOOKUP(L1335,'Reference Data'!$A$5:$F$40,2,FALSE),"Unknown Product")</x:f>
        <x:v>Bluetooth Speaker</x:v>
      </x:c>
      <x:c r="N1335" s="84" t="str">
        <x:f>IFERROR(VLOOKUP(L1335,'Reference Data'!$A$5:$F$40,3,FALSE),"Unknown")</x:f>
        <x:v>Electronics</x:v>
      </x:c>
      <x:c r="O1335" s="84" t="str">
        <x:f>IFERROR(VLOOKUP(L1335,'Reference Data'!$A$5:$F$40,4,FALSE),"Unknown")</x:f>
        <x:v>Audio</x:v>
      </x:c>
      <x:c r="P1335" s="92" t="n">
        <x:f>IFERROR(VLOOKUP(L1335,'Reference Data'!$A$5:$F$40,5,FALSE),0)</x:f>
        <x:v>89</x:v>
      </x:c>
      <x:c r="Q1335" s="92" t="n">
        <x:f>IFERROR(VLOOKUP(L1335,'Reference Data'!$A$5:$F$40,6,FALSE),0)</x:f>
        <x:v>44</x:v>
      </x:c>
      <x:c r="R1335" s="84" t="n">
        <x:f>'Raw Sales'!J1335</x:f>
        <x:v>2</x:v>
      </x:c>
      <x:c r="S1335" s="87" t="n">
        <x:f>'Raw Sales'!K1335</x:f>
        <x:v>0.1</x:v>
      </x:c>
      <x:c r="T1335" s="93" t="n">
        <x:f>P1335*R1335</x:f>
        <x:v>178</x:v>
      </x:c>
      <x:c r="U1335" s="93" t="n">
        <x:f>T1335*S1335</x:f>
        <x:v>17.8</x:v>
      </x:c>
      <x:c r="V1335" s="93" t="str">
        <x:f>PROPER(TRIM('Raw Sales'!L1335))</x:f>
        <x:v>Completed</x:v>
      </x:c>
      <x:c r="W1335" s="93" t="n">
        <x:f>IF(V1335="Returned",0,T1335-U1335)</x:f>
        <x:v>160.2</x:v>
      </x:c>
      <x:c r="X1335" s="93" t="n">
        <x:f>IF(V1335="Returned",Q1335*R1335*10%,Q1335*R1335)</x:f>
        <x:v>88</x:v>
      </x:c>
      <x:c r="Y1335" s="93" t="n">
        <x:f>W1335-X1335</x:f>
        <x:v>72.19999999999999</x:v>
      </x:c>
      <x:c r="Z1335" s="94" t="n">
        <x:f>IFERROR(Y1335/W1335,0)</x:f>
        <x:v>0.4506866416978776</x:v>
      </x:c>
      <x:c r="AA1335" s="84" t="str">
        <x:f>PROPER(TRIM('Raw Sales'!M1335))</x:f>
        <x:v>Mobile Wallet</x:v>
      </x:c>
      <x:c r="AB1335" s="84" t="str">
        <x:f>PROPER(TRIM('Raw Sales'!N1335))</x:f>
        <x:v>Zoe Turner</x:v>
      </x:c>
      <x:c r="AC1335" s="85" t="n">
        <x:f>'Raw Sales'!O1335</x:f>
        <x:v>45734</x:v>
      </x:c>
      <x:c r="AD1335" s="84" t="n">
        <x:f>AC1335-B1335</x:f>
        <x:v>1</x:v>
      </x:c>
      <x:c r="AE1335" s="84" t="str">
        <x:f>IF(COUNTIF($A$5:A1335,A1335)&gt;1,"Duplicate","Keep")</x:f>
        <x:v>Keep</x:v>
      </x:c>
      <x:c r="AF1335" s="84" t="str">
        <x:f>IF(OR(R1335&lt;=0,AC1335&lt;B1335,H1335="Unknown",M1335="Unknown Product"),"Review","Valid")</x:f>
        <x:v>Valid</x:v>
      </x:c>
      <x:c r="AG1335" s="84" t="n">
        <x:f>IF(AND(AE1335="Keep",AF1335="Valid"),1,0)</x:f>
        <x:v>1</x:v>
      </x:c>
      <x:c r="AH1335" s="84" t="n">
        <x:f>IF(AND(AG1335=1,OR('Dashboard'!$B$4="All",I1335='Dashboard'!$B$4),OR('Dashboard'!$E$4="All",N1335='Dashboard'!$E$4),OR('Dashboard'!$H$4="All",K1335='Dashboard'!$H$4),OR('Dashboard'!$K$4="All",C1335='Dashboard'!$K$4)),1,0)</x:f>
        <x:v>1</x:v>
      </x:c>
      <x:c r="AI1335" s="84" t="n">
        <x:f>IF(AND(AG1335=1,OR('Dashboard'!$B$4="All",I1335='Dashboard'!$B$4),OR('Dashboard'!$E$4="All",N1335='Dashboard'!$E$4),OR('Dashboard'!$H$4="All",K1335='Dashboard'!$H$4)),1,0)</x:f>
        <x:v>1</x:v>
      </x:c>
    </x:row>
    <x:row r="1336">
      <x:c r="A1336" s="84" t="str">
        <x:f>'Raw Sales'!A1336</x:f>
        <x:v>ORD-2025-00325</x:v>
      </x:c>
      <x:c r="B1336" s="85" t="n">
        <x:f>'Raw Sales'!B1336</x:f>
        <x:v>45734</x:v>
      </x:c>
      <x:c r="C1336" s="84" t="n">
        <x:f>YEAR(B1336)</x:f>
        <x:v>2025</x:v>
      </x:c>
      <x:c r="D1336" s="91" t="n">
        <x:f>DATE(YEAR(B1336),MONTH(B1336),1)</x:f>
        <x:v>45717</x:v>
      </x:c>
      <x:c r="E1336" s="84" t="str">
        <x:f>TEXT(B1336,"mmm")</x:f>
        <x:v>Mar</x:v>
      </x:c>
      <x:c r="F1336" s="84" t="str">
        <x:f>'Raw Sales'!C1336</x:f>
        <x:v>CUST-0514</x:v>
      </x:c>
      <x:c r="G1336" s="84" t="str">
        <x:f>PROPER(TRIM('Raw Sales'!D1336))</x:f>
        <x:v>Caleb Young</x:v>
      </x:c>
      <x:c r="H1336" s="84" t="str">
        <x:f>IF(TRIM('Raw Sales'!E1336)="","Unknown",PROPER(TRIM('Raw Sales'!E1336)))</x:f>
        <x:v>Consumer</x:v>
      </x:c>
      <x:c r="I1336" s="84" t="str">
        <x:f>PROPER(TRIM('Raw Sales'!F1336))</x:f>
        <x:v>Northeast</x:v>
      </x:c>
      <x:c r="J1336" s="84" t="str">
        <x:f>PROPER(TRIM('Raw Sales'!G1336))</x:f>
        <x:v>Boston</x:v>
      </x:c>
      <x:c r="K1336" s="84" t="str">
        <x:f>PROPER(TRIM('Raw Sales'!H1336))</x:f>
        <x:v>Online</x:v>
      </x:c>
      <x:c r="L1336" s="84" t="str">
        <x:f>'Raw Sales'!I1336</x:f>
        <x:v>ELEC-004</x:v>
      </x:c>
      <x:c r="M1336" s="84" t="str">
        <x:f>IFERROR(VLOOKUP(L1336,'Reference Data'!$A$5:$F$40,2,FALSE),"Unknown Product")</x:f>
        <x:v>Power Bank</x:v>
      </x:c>
      <x:c r="N1336" s="84" t="str">
        <x:f>IFERROR(VLOOKUP(L1336,'Reference Data'!$A$5:$F$40,3,FALSE),"Unknown")</x:f>
        <x:v>Electronics</x:v>
      </x:c>
      <x:c r="O1336" s="84" t="str">
        <x:f>IFERROR(VLOOKUP(L1336,'Reference Data'!$A$5:$F$40,4,FALSE),"Unknown")</x:f>
        <x:v>Mobile Accessories</x:v>
      </x:c>
      <x:c r="P1336" s="92" t="n">
        <x:f>IFERROR(VLOOKUP(L1336,'Reference Data'!$A$5:$F$40,5,FALSE),0)</x:f>
        <x:v>39</x:v>
      </x:c>
      <x:c r="Q1336" s="92" t="n">
        <x:f>IFERROR(VLOOKUP(L1336,'Reference Data'!$A$5:$F$40,6,FALSE),0)</x:f>
        <x:v>18</x:v>
      </x:c>
      <x:c r="R1336" s="84" t="n">
        <x:f>'Raw Sales'!J1336</x:f>
        <x:v>1</x:v>
      </x:c>
      <x:c r="S1336" s="87" t="n">
        <x:f>'Raw Sales'!K1336</x:f>
        <x:v>0.05</x:v>
      </x:c>
      <x:c r="T1336" s="93" t="n">
        <x:f>P1336*R1336</x:f>
        <x:v>39</x:v>
      </x:c>
      <x:c r="U1336" s="93" t="n">
        <x:f>T1336*S1336</x:f>
        <x:v>1.9500000000000002</x:v>
      </x:c>
      <x:c r="V1336" s="93" t="str">
        <x:f>PROPER(TRIM('Raw Sales'!L1336))</x:f>
        <x:v>Completed</x:v>
      </x:c>
      <x:c r="W1336" s="93" t="n">
        <x:f>IF(V1336="Returned",0,T1336-U1336)</x:f>
        <x:v>37.05</x:v>
      </x:c>
      <x:c r="X1336" s="93" t="n">
        <x:f>IF(V1336="Returned",Q1336*R1336*10%,Q1336*R1336)</x:f>
        <x:v>18</x:v>
      </x:c>
      <x:c r="Y1336" s="93" t="n">
        <x:f>W1336-X1336</x:f>
        <x:v>19.049999999999997</x:v>
      </x:c>
      <x:c r="Z1336" s="94" t="n">
        <x:f>IFERROR(Y1336/W1336,0)</x:f>
        <x:v>0.5141700404858299</x:v>
      </x:c>
      <x:c r="AA1336" s="84" t="str">
        <x:f>PROPER(TRIM('Raw Sales'!M1336))</x:f>
        <x:v>Debit Card</x:v>
      </x:c>
      <x:c r="AB1336" s="84" t="str">
        <x:f>PROPER(TRIM('Raw Sales'!N1336))</x:f>
        <x:v>Maya Brooks</x:v>
      </x:c>
      <x:c r="AC1336" s="85" t="n">
        <x:f>'Raw Sales'!O1336</x:f>
        <x:v>45737</x:v>
      </x:c>
      <x:c r="AD1336" s="84" t="n">
        <x:f>AC1336-B1336</x:f>
        <x:v>3</x:v>
      </x:c>
      <x:c r="AE1336" s="84" t="str">
        <x:f>IF(COUNTIF($A$5:A1336,A1336)&gt;1,"Duplicate","Keep")</x:f>
        <x:v>Keep</x:v>
      </x:c>
      <x:c r="AF1336" s="84" t="str">
        <x:f>IF(OR(R1336&lt;=0,AC1336&lt;B1336,H1336="Unknown",M1336="Unknown Product"),"Review","Valid")</x:f>
        <x:v>Valid</x:v>
      </x:c>
      <x:c r="AG1336" s="84" t="n">
        <x:f>IF(AND(AE1336="Keep",AF1336="Valid"),1,0)</x:f>
        <x:v>1</x:v>
      </x:c>
      <x:c r="AH1336" s="84" t="n">
        <x:f>IF(AND(AG1336=1,OR('Dashboard'!$B$4="All",I1336='Dashboard'!$B$4),OR('Dashboard'!$E$4="All",N1336='Dashboard'!$E$4),OR('Dashboard'!$H$4="All",K1336='Dashboard'!$H$4),OR('Dashboard'!$K$4="All",C1336='Dashboard'!$K$4)),1,0)</x:f>
        <x:v>1</x:v>
      </x:c>
      <x:c r="AI1336" s="84" t="n">
        <x:f>IF(AND(AG1336=1,OR('Dashboard'!$B$4="All",I1336='Dashboard'!$B$4),OR('Dashboard'!$E$4="All",N1336='Dashboard'!$E$4),OR('Dashboard'!$H$4="All",K1336='Dashboard'!$H$4)),1,0)</x:f>
        <x:v>1</x:v>
      </x:c>
    </x:row>
    <x:row r="1337">
      <x:c r="A1337" s="84" t="str">
        <x:f>'Raw Sales'!A1337</x:f>
        <x:v>ORD-2025-01579</x:v>
      </x:c>
      <x:c r="B1337" s="85" t="n">
        <x:f>'Raw Sales'!B1337</x:f>
        <x:v>45734</x:v>
      </x:c>
      <x:c r="C1337" s="84" t="n">
        <x:f>YEAR(B1337)</x:f>
        <x:v>2025</x:v>
      </x:c>
      <x:c r="D1337" s="91" t="n">
        <x:f>DATE(YEAR(B1337),MONTH(B1337),1)</x:f>
        <x:v>45717</x:v>
      </x:c>
      <x:c r="E1337" s="84" t="str">
        <x:f>TEXT(B1337,"mmm")</x:f>
        <x:v>Mar</x:v>
      </x:c>
      <x:c r="F1337" s="84" t="str">
        <x:f>'Raw Sales'!C1337</x:f>
        <x:v>CUST-0459</x:v>
      </x:c>
      <x:c r="G1337" s="84" t="str">
        <x:f>PROPER(TRIM('Raw Sales'!D1337))</x:f>
        <x:v>Theo Baker</x:v>
      </x:c>
      <x:c r="H1337" s="84" t="str">
        <x:f>IF(TRIM('Raw Sales'!E1337)="","Unknown",PROPER(TRIM('Raw Sales'!E1337)))</x:f>
        <x:v>Consumer</x:v>
      </x:c>
      <x:c r="I1337" s="84" t="str">
        <x:f>PROPER(TRIM('Raw Sales'!F1337))</x:f>
        <x:v>Southeast</x:v>
      </x:c>
      <x:c r="J1337" s="84" t="str">
        <x:f>PROPER(TRIM('Raw Sales'!G1337))</x:f>
        <x:v>Miami</x:v>
      </x:c>
      <x:c r="K1337" s="84" t="str">
        <x:f>PROPER(TRIM('Raw Sales'!H1337))</x:f>
        <x:v>Marketplace</x:v>
      </x:c>
      <x:c r="L1337" s="84" t="str">
        <x:f>'Raw Sales'!I1337</x:f>
        <x:v>HOME-001</x:v>
      </x:c>
      <x:c r="M1337" s="84" t="str">
        <x:f>IFERROR(VLOOKUP(L1337,'Reference Data'!$A$5:$F$40,2,FALSE),"Unknown Product")</x:f>
        <x:v>Air Fryer</x:v>
      </x:c>
      <x:c r="N1337" s="84" t="str">
        <x:f>IFERROR(VLOOKUP(L1337,'Reference Data'!$A$5:$F$40,3,FALSE),"Unknown")</x:f>
        <x:v>Home &amp; Kitchen</x:v>
      </x:c>
      <x:c r="O1337" s="84" t="str">
        <x:f>IFERROR(VLOOKUP(L1337,'Reference Data'!$A$5:$F$40,4,FALSE),"Unknown")</x:f>
        <x:v>Small Appliances</x:v>
      </x:c>
      <x:c r="P1337" s="92" t="n">
        <x:f>IFERROR(VLOOKUP(L1337,'Reference Data'!$A$5:$F$40,5,FALSE),0)</x:f>
        <x:v>119</x:v>
      </x:c>
      <x:c r="Q1337" s="92" t="n">
        <x:f>IFERROR(VLOOKUP(L1337,'Reference Data'!$A$5:$F$40,6,FALSE),0)</x:f>
        <x:v>68</x:v>
      </x:c>
      <x:c r="R1337" s="84" t="n">
        <x:f>'Raw Sales'!J1337</x:f>
        <x:v>1</x:v>
      </x:c>
      <x:c r="S1337" s="87" t="n">
        <x:f>'Raw Sales'!K1337</x:f>
        <x:v>0.2</x:v>
      </x:c>
      <x:c r="T1337" s="93" t="n">
        <x:f>P1337*R1337</x:f>
        <x:v>119</x:v>
      </x:c>
      <x:c r="U1337" s="93" t="n">
        <x:f>T1337*S1337</x:f>
        <x:v>23.8</x:v>
      </x:c>
      <x:c r="V1337" s="93" t="str">
        <x:f>PROPER(TRIM('Raw Sales'!L1337))</x:f>
        <x:v>Completed</x:v>
      </x:c>
      <x:c r="W1337" s="93" t="n">
        <x:f>IF(V1337="Returned",0,T1337-U1337)</x:f>
        <x:v>95.2</x:v>
      </x:c>
      <x:c r="X1337" s="93" t="n">
        <x:f>IF(V1337="Returned",Q1337*R1337*10%,Q1337*R1337)</x:f>
        <x:v>68</x:v>
      </x:c>
      <x:c r="Y1337" s="93" t="n">
        <x:f>W1337-X1337</x:f>
        <x:v>27.200000000000003</x:v>
      </x:c>
      <x:c r="Z1337" s="94" t="n">
        <x:f>IFERROR(Y1337/W1337,0)</x:f>
        <x:v>0.28571428571428575</x:v>
      </x:c>
      <x:c r="AA1337" s="84" t="str">
        <x:f>PROPER(TRIM('Raw Sales'!M1337))</x:f>
        <x:v>Mobile Wallet</x:v>
      </x:c>
      <x:c r="AB1337" s="84" t="str">
        <x:f>PROPER(TRIM('Raw Sales'!N1337))</x:f>
        <x:v>Liam Parker</x:v>
      </x:c>
      <x:c r="AC1337" s="85" t="n">
        <x:f>'Raw Sales'!O1337</x:f>
        <x:v>45739</x:v>
      </x:c>
      <x:c r="AD1337" s="84" t="n">
        <x:f>AC1337-B1337</x:f>
        <x:v>5</x:v>
      </x:c>
      <x:c r="AE1337" s="84" t="str">
        <x:f>IF(COUNTIF($A$5:A1337,A1337)&gt;1,"Duplicate","Keep")</x:f>
        <x:v>Keep</x:v>
      </x:c>
      <x:c r="AF1337" s="84" t="str">
        <x:f>IF(OR(R1337&lt;=0,AC1337&lt;B1337,H1337="Unknown",M1337="Unknown Product"),"Review","Valid")</x:f>
        <x:v>Valid</x:v>
      </x:c>
      <x:c r="AG1337" s="84" t="n">
        <x:f>IF(AND(AE1337="Keep",AF1337="Valid"),1,0)</x:f>
        <x:v>1</x:v>
      </x:c>
      <x:c r="AH1337" s="84" t="n">
        <x:f>IF(AND(AG1337=1,OR('Dashboard'!$B$4="All",I1337='Dashboard'!$B$4),OR('Dashboard'!$E$4="All",N1337='Dashboard'!$E$4),OR('Dashboard'!$H$4="All",K1337='Dashboard'!$H$4),OR('Dashboard'!$K$4="All",C1337='Dashboard'!$K$4)),1,0)</x:f>
        <x:v>1</x:v>
      </x:c>
      <x:c r="AI1337" s="84" t="n">
        <x:f>IF(AND(AG1337=1,OR('Dashboard'!$B$4="All",I1337='Dashboard'!$B$4),OR('Dashboard'!$E$4="All",N1337='Dashboard'!$E$4),OR('Dashboard'!$H$4="All",K1337='Dashboard'!$H$4)),1,0)</x:f>
        <x:v>1</x:v>
      </x:c>
    </x:row>
    <x:row r="1338">
      <x:c r="A1338" s="84" t="str">
        <x:f>'Raw Sales'!A1338</x:f>
        <x:v>ORD-2025-01911</x:v>
      </x:c>
      <x:c r="B1338" s="85" t="n">
        <x:f>'Raw Sales'!B1338</x:f>
        <x:v>45734</x:v>
      </x:c>
      <x:c r="C1338" s="84" t="n">
        <x:f>YEAR(B1338)</x:f>
        <x:v>2025</x:v>
      </x:c>
      <x:c r="D1338" s="91" t="n">
        <x:f>DATE(YEAR(B1338),MONTH(B1338),1)</x:f>
        <x:v>45717</x:v>
      </x:c>
      <x:c r="E1338" s="84" t="str">
        <x:f>TEXT(B1338,"mmm")</x:f>
        <x:v>Mar</x:v>
      </x:c>
      <x:c r="F1338" s="84" t="str">
        <x:f>'Raw Sales'!C1338</x:f>
        <x:v>CUST-0203</x:v>
      </x:c>
      <x:c r="G1338" s="84" t="str">
        <x:f>PROPER(TRIM('Raw Sales'!D1338))</x:f>
        <x:v>Jasmine Carter</x:v>
      </x:c>
      <x:c r="H1338" s="84" t="str">
        <x:f>IF(TRIM('Raw Sales'!E1338)="","Unknown",PROPER(TRIM('Raw Sales'!E1338)))</x:f>
        <x:v>Consumer</x:v>
      </x:c>
      <x:c r="I1338" s="84" t="str">
        <x:f>PROPER(TRIM('Raw Sales'!F1338))</x:f>
        <x:v>Midwest</x:v>
      </x:c>
      <x:c r="J1338" s="84" t="str">
        <x:f>PROPER(TRIM('Raw Sales'!G1338))</x:f>
        <x:v>Detroit</x:v>
      </x:c>
      <x:c r="K1338" s="84" t="str">
        <x:f>PROPER(TRIM('Raw Sales'!H1338))</x:f>
        <x:v>Marketplace</x:v>
      </x:c>
      <x:c r="L1338" s="84" t="str">
        <x:f>'Raw Sales'!I1338</x:f>
        <x:v>HOME-005</x:v>
      </x:c>
      <x:c r="M1338" s="84" t="str">
        <x:f>IFERROR(VLOOKUP(L1338,'Reference Data'!$A$5:$F$40,2,FALSE),"Unknown Product")</x:f>
        <x:v>Cordless Vacuum</x:v>
      </x:c>
      <x:c r="N1338" s="84" t="str">
        <x:f>IFERROR(VLOOKUP(L1338,'Reference Data'!$A$5:$F$40,3,FALSE),"Unknown")</x:f>
        <x:v>Home &amp; Kitchen</x:v>
      </x:c>
      <x:c r="O1338" s="84" t="str">
        <x:f>IFERROR(VLOOKUP(L1338,'Reference Data'!$A$5:$F$40,4,FALSE),"Unknown")</x:f>
        <x:v>Cleaning</x:v>
      </x:c>
      <x:c r="P1338" s="92" t="n">
        <x:f>IFERROR(VLOOKUP(L1338,'Reference Data'!$A$5:$F$40,5,FALSE),0)</x:f>
        <x:v>179</x:v>
      </x:c>
      <x:c r="Q1338" s="92" t="n">
        <x:f>IFERROR(VLOOKUP(L1338,'Reference Data'!$A$5:$F$40,6,FALSE),0)</x:f>
        <x:v>102</x:v>
      </x:c>
      <x:c r="R1338" s="84" t="n">
        <x:f>'Raw Sales'!J1338</x:f>
        <x:v>1</x:v>
      </x:c>
      <x:c r="S1338" s="87" t="n">
        <x:f>'Raw Sales'!K1338</x:f>
        <x:v>0.05</x:v>
      </x:c>
      <x:c r="T1338" s="93" t="n">
        <x:f>P1338*R1338</x:f>
        <x:v>179</x:v>
      </x:c>
      <x:c r="U1338" s="93" t="n">
        <x:f>T1338*S1338</x:f>
        <x:v>8.950000000000001</x:v>
      </x:c>
      <x:c r="V1338" s="93" t="str">
        <x:f>PROPER(TRIM('Raw Sales'!L1338))</x:f>
        <x:v>Completed</x:v>
      </x:c>
      <x:c r="W1338" s="93" t="n">
        <x:f>IF(V1338="Returned",0,T1338-U1338)</x:f>
        <x:v>170.05</x:v>
      </x:c>
      <x:c r="X1338" s="93" t="n">
        <x:f>IF(V1338="Returned",Q1338*R1338*10%,Q1338*R1338)</x:f>
        <x:v>102</x:v>
      </x:c>
      <x:c r="Y1338" s="93" t="n">
        <x:f>W1338-X1338</x:f>
        <x:v>68.05000000000001</x:v>
      </x:c>
      <x:c r="Z1338" s="94" t="n">
        <x:f>IFERROR(Y1338/W1338,0)</x:f>
        <x:v>0.4001764187003823</x:v>
      </x:c>
      <x:c r="AA1338" s="84" t="str">
        <x:f>PROPER(TRIM('Raw Sales'!M1338))</x:f>
        <x:v>Credit Card</x:v>
      </x:c>
      <x:c r="AB1338" s="84" t="str">
        <x:f>PROPER(TRIM('Raw Sales'!N1338))</x:f>
        <x:v>Zoe Turner</x:v>
      </x:c>
      <x:c r="AC1338" s="85" t="n">
        <x:f>'Raw Sales'!O1338</x:f>
        <x:v>45740</x:v>
      </x:c>
      <x:c r="AD1338" s="84" t="n">
        <x:f>AC1338-B1338</x:f>
        <x:v>6</x:v>
      </x:c>
      <x:c r="AE1338" s="84" t="str">
        <x:f>IF(COUNTIF($A$5:A1338,A1338)&gt;1,"Duplicate","Keep")</x:f>
        <x:v>Keep</x:v>
      </x:c>
      <x:c r="AF1338" s="84" t="str">
        <x:f>IF(OR(R1338&lt;=0,AC1338&lt;B1338,H1338="Unknown",M1338="Unknown Product"),"Review","Valid")</x:f>
        <x:v>Valid</x:v>
      </x:c>
      <x:c r="AG1338" s="84" t="n">
        <x:f>IF(AND(AE1338="Keep",AF1338="Valid"),1,0)</x:f>
        <x:v>1</x:v>
      </x:c>
      <x:c r="AH1338" s="84" t="n">
        <x:f>IF(AND(AG1338=1,OR('Dashboard'!$B$4="All",I1338='Dashboard'!$B$4),OR('Dashboard'!$E$4="All",N1338='Dashboard'!$E$4),OR('Dashboard'!$H$4="All",K1338='Dashboard'!$H$4),OR('Dashboard'!$K$4="All",C1338='Dashboard'!$K$4)),1,0)</x:f>
        <x:v>1</x:v>
      </x:c>
      <x:c r="AI1338" s="84" t="n">
        <x:f>IF(AND(AG1338=1,OR('Dashboard'!$B$4="All",I1338='Dashboard'!$B$4),OR('Dashboard'!$E$4="All",N1338='Dashboard'!$E$4),OR('Dashboard'!$H$4="All",K1338='Dashboard'!$H$4)),1,0)</x:f>
        <x:v>1</x:v>
      </x:c>
    </x:row>
    <x:row r="1339">
      <x:c r="A1339" s="84" t="str">
        <x:f>'Raw Sales'!A1339</x:f>
        <x:v>ORD-2025-00975</x:v>
      </x:c>
      <x:c r="B1339" s="85" t="n">
        <x:f>'Raw Sales'!B1339</x:f>
        <x:v>45735</x:v>
      </x:c>
      <x:c r="C1339" s="84" t="n">
        <x:f>YEAR(B1339)</x:f>
        <x:v>2025</x:v>
      </x:c>
      <x:c r="D1339" s="91" t="n">
        <x:f>DATE(YEAR(B1339),MONTH(B1339),1)</x:f>
        <x:v>45717</x:v>
      </x:c>
      <x:c r="E1339" s="84" t="str">
        <x:f>TEXT(B1339,"mmm")</x:f>
        <x:v>Mar</x:v>
      </x:c>
      <x:c r="F1339" s="84" t="str">
        <x:f>'Raw Sales'!C1339</x:f>
        <x:v>CUST-0297</x:v>
      </x:c>
      <x:c r="G1339" s="84" t="str">
        <x:f>PROPER(TRIM('Raw Sales'!D1339))</x:f>
        <x:v>Nathan Davis</x:v>
      </x:c>
      <x:c r="H1339" s="84" t="str">
        <x:f>IF(TRIM('Raw Sales'!E1339)="","Unknown",PROPER(TRIM('Raw Sales'!E1339)))</x:f>
        <x:v>Consumer</x:v>
      </x:c>
      <x:c r="I1339" s="84" t="str">
        <x:f>PROPER(TRIM('Raw Sales'!F1339))</x:f>
        <x:v>Midwest</x:v>
      </x:c>
      <x:c r="J1339" s="84" t="str">
        <x:f>PROPER(TRIM('Raw Sales'!G1339))</x:f>
        <x:v>Minneapolis</x:v>
      </x:c>
      <x:c r="K1339" s="84" t="str">
        <x:f>PROPER(TRIM('Raw Sales'!H1339))</x:f>
        <x:v>Online</x:v>
      </x:c>
      <x:c r="L1339" s="84" t="str">
        <x:f>'Raw Sales'!I1339</x:f>
        <x:v>ELEC-002</x:v>
      </x:c>
      <x:c r="M1339" s="84" t="str">
        <x:f>IFERROR(VLOOKUP(L1339,'Reference Data'!$A$5:$F$40,2,FALSE),"Unknown Product")</x:f>
        <x:v>Smartwatch</x:v>
      </x:c>
      <x:c r="N1339" s="84" t="str">
        <x:f>IFERROR(VLOOKUP(L1339,'Reference Data'!$A$5:$F$40,3,FALSE),"Unknown")</x:f>
        <x:v>Electronics</x:v>
      </x:c>
      <x:c r="O1339" s="84" t="str">
        <x:f>IFERROR(VLOOKUP(L1339,'Reference Data'!$A$5:$F$40,4,FALSE),"Unknown")</x:f>
        <x:v>Wearables</x:v>
      </x:c>
      <x:c r="P1339" s="92" t="n">
        <x:f>IFERROR(VLOOKUP(L1339,'Reference Data'!$A$5:$F$40,5,FALSE),0)</x:f>
        <x:v>159</x:v>
      </x:c>
      <x:c r="Q1339" s="92" t="n">
        <x:f>IFERROR(VLOOKUP(L1339,'Reference Data'!$A$5:$F$40,6,FALSE),0)</x:f>
        <x:v>92</x:v>
      </x:c>
      <x:c r="R1339" s="84" t="n">
        <x:f>'Raw Sales'!J1339</x:f>
        <x:v>2</x:v>
      </x:c>
      <x:c r="S1339" s="87" t="n">
        <x:f>'Raw Sales'!K1339</x:f>
        <x:v>0.1</x:v>
      </x:c>
      <x:c r="T1339" s="93" t="n">
        <x:f>P1339*R1339</x:f>
        <x:v>318</x:v>
      </x:c>
      <x:c r="U1339" s="93" t="n">
        <x:f>T1339*S1339</x:f>
        <x:v>31.8</x:v>
      </x:c>
      <x:c r="V1339" s="93" t="str">
        <x:f>PROPER(TRIM('Raw Sales'!L1339))</x:f>
        <x:v>Completed</x:v>
      </x:c>
      <x:c r="W1339" s="93" t="n">
        <x:f>IF(V1339="Returned",0,T1339-U1339)</x:f>
        <x:v>286.2</x:v>
      </x:c>
      <x:c r="X1339" s="93" t="n">
        <x:f>IF(V1339="Returned",Q1339*R1339*10%,Q1339*R1339)</x:f>
        <x:v>184</x:v>
      </x:c>
      <x:c r="Y1339" s="93" t="n">
        <x:f>W1339-X1339</x:f>
        <x:v>102.19999999999999</x:v>
      </x:c>
      <x:c r="Z1339" s="94" t="n">
        <x:f>IFERROR(Y1339/W1339,0)</x:f>
        <x:v>0.35709294199860236</x:v>
      </x:c>
      <x:c r="AA1339" s="84" t="str">
        <x:f>PROPER(TRIM('Raw Sales'!M1339))</x:f>
        <x:v>Debit Card</x:v>
      </x:c>
      <x:c r="AB1339" s="84" t="str">
        <x:f>PROPER(TRIM('Raw Sales'!N1339))</x:f>
        <x:v>Lucas Grant</x:v>
      </x:c>
      <x:c r="AC1339" s="85" t="n">
        <x:f>'Raw Sales'!O1339</x:f>
        <x:v>45738</x:v>
      </x:c>
      <x:c r="AD1339" s="84" t="n">
        <x:f>AC1339-B1339</x:f>
        <x:v>3</x:v>
      </x:c>
      <x:c r="AE1339" s="84" t="str">
        <x:f>IF(COUNTIF($A$5:A1339,A1339)&gt;1,"Duplicate","Keep")</x:f>
        <x:v>Keep</x:v>
      </x:c>
      <x:c r="AF1339" s="84" t="str">
        <x:f>IF(OR(R1339&lt;=0,AC1339&lt;B1339,H1339="Unknown",M1339="Unknown Product"),"Review","Valid")</x:f>
        <x:v>Valid</x:v>
      </x:c>
      <x:c r="AG1339" s="84" t="n">
        <x:f>IF(AND(AE1339="Keep",AF1339="Valid"),1,0)</x:f>
        <x:v>1</x:v>
      </x:c>
      <x:c r="AH1339" s="84" t="n">
        <x:f>IF(AND(AG1339=1,OR('Dashboard'!$B$4="All",I1339='Dashboard'!$B$4),OR('Dashboard'!$E$4="All",N1339='Dashboard'!$E$4),OR('Dashboard'!$H$4="All",K1339='Dashboard'!$H$4),OR('Dashboard'!$K$4="All",C1339='Dashboard'!$K$4)),1,0)</x:f>
        <x:v>1</x:v>
      </x:c>
      <x:c r="AI1339" s="84" t="n">
        <x:f>IF(AND(AG1339=1,OR('Dashboard'!$B$4="All",I1339='Dashboard'!$B$4),OR('Dashboard'!$E$4="All",N1339='Dashboard'!$E$4),OR('Dashboard'!$H$4="All",K1339='Dashboard'!$H$4)),1,0)</x:f>
        <x:v>1</x:v>
      </x:c>
    </x:row>
    <x:row r="1340">
      <x:c r="A1340" s="84" t="str">
        <x:f>'Raw Sales'!A1340</x:f>
        <x:v>ORD-2025-01047</x:v>
      </x:c>
      <x:c r="B1340" s="85" t="n">
        <x:f>'Raw Sales'!B1340</x:f>
        <x:v>45735</x:v>
      </x:c>
      <x:c r="C1340" s="84" t="n">
        <x:f>YEAR(B1340)</x:f>
        <x:v>2025</x:v>
      </x:c>
      <x:c r="D1340" s="91" t="n">
        <x:f>DATE(YEAR(B1340),MONTH(B1340),1)</x:f>
        <x:v>45717</x:v>
      </x:c>
      <x:c r="E1340" s="84" t="str">
        <x:f>TEXT(B1340,"mmm")</x:f>
        <x:v>Mar</x:v>
      </x:c>
      <x:c r="F1340" s="84" t="str">
        <x:f>'Raw Sales'!C1340</x:f>
        <x:v>CUST-0255</x:v>
      </x:c>
      <x:c r="G1340" s="84" t="str">
        <x:f>PROPER(TRIM('Raw Sales'!D1340))</x:f>
        <x:v>Layla Smith</x:v>
      </x:c>
      <x:c r="H1340" s="84" t="str">
        <x:f>IF(TRIM('Raw Sales'!E1340)="","Unknown",PROPER(TRIM('Raw Sales'!E1340)))</x:f>
        <x:v>Consumer</x:v>
      </x:c>
      <x:c r="I1340" s="84" t="str">
        <x:f>PROPER(TRIM('Raw Sales'!F1340))</x:f>
        <x:v>West</x:v>
      </x:c>
      <x:c r="J1340" s="84" t="str">
        <x:f>PROPER(TRIM('Raw Sales'!G1340))</x:f>
        <x:v>Seattle</x:v>
      </x:c>
      <x:c r="K1340" s="84" t="str">
        <x:f>PROPER(TRIM('Raw Sales'!H1340))</x:f>
        <x:v>Online</x:v>
      </x:c>
      <x:c r="L1340" s="84" t="str">
        <x:f>'Raw Sales'!I1340</x:f>
        <x:v>HOME-002</x:v>
      </x:c>
      <x:c r="M1340" s="84" t="str">
        <x:f>IFERROR(VLOOKUP(L1340,'Reference Data'!$A$5:$F$40,2,FALSE),"Unknown Product")</x:f>
        <x:v>Electric Kettle</x:v>
      </x:c>
      <x:c r="N1340" s="84" t="str">
        <x:f>IFERROR(VLOOKUP(L1340,'Reference Data'!$A$5:$F$40,3,FALSE),"Unknown")</x:f>
        <x:v>Home &amp; Kitchen</x:v>
      </x:c>
      <x:c r="O1340" s="84" t="str">
        <x:f>IFERROR(VLOOKUP(L1340,'Reference Data'!$A$5:$F$40,4,FALSE),"Unknown")</x:f>
        <x:v>Small Appliances</x:v>
      </x:c>
      <x:c r="P1340" s="92" t="n">
        <x:f>IFERROR(VLOOKUP(L1340,'Reference Data'!$A$5:$F$40,5,FALSE),0)</x:f>
        <x:v>49</x:v>
      </x:c>
      <x:c r="Q1340" s="92" t="n">
        <x:f>IFERROR(VLOOKUP(L1340,'Reference Data'!$A$5:$F$40,6,FALSE),0)</x:f>
        <x:v>23</x:v>
      </x:c>
      <x:c r="R1340" s="84" t="n">
        <x:f>'Raw Sales'!J1340</x:f>
        <x:v>1</x:v>
      </x:c>
      <x:c r="S1340" s="87" t="n">
        <x:f>'Raw Sales'!K1340</x:f>
        <x:v>0.1</x:v>
      </x:c>
      <x:c r="T1340" s="93" t="n">
        <x:f>P1340*R1340</x:f>
        <x:v>49</x:v>
      </x:c>
      <x:c r="U1340" s="93" t="n">
        <x:f>T1340*S1340</x:f>
        <x:v>4.9</x:v>
      </x:c>
      <x:c r="V1340" s="93" t="str">
        <x:f>PROPER(TRIM('Raw Sales'!L1340))</x:f>
        <x:v>Completed</x:v>
      </x:c>
      <x:c r="W1340" s="93" t="n">
        <x:f>IF(V1340="Returned",0,T1340-U1340)</x:f>
        <x:v>44.1</x:v>
      </x:c>
      <x:c r="X1340" s="93" t="n">
        <x:f>IF(V1340="Returned",Q1340*R1340*10%,Q1340*R1340)</x:f>
        <x:v>23</x:v>
      </x:c>
      <x:c r="Y1340" s="93" t="n">
        <x:f>W1340-X1340</x:f>
        <x:v>21.1</x:v>
      </x:c>
      <x:c r="Z1340" s="94" t="n">
        <x:f>IFERROR(Y1340/W1340,0)</x:f>
        <x:v>0.47845804988662133</x:v>
      </x:c>
      <x:c r="AA1340" s="84" t="str">
        <x:f>PROPER(TRIM('Raw Sales'!M1340))</x:f>
        <x:v>Paypal</x:v>
      </x:c>
      <x:c r="AB1340" s="84" t="str">
        <x:f>PROPER(TRIM('Raw Sales'!N1340))</x:f>
        <x:v>Nora Kim</x:v>
      </x:c>
      <x:c r="AC1340" s="85" t="n">
        <x:f>'Raw Sales'!O1340</x:f>
        <x:v>45738</x:v>
      </x:c>
      <x:c r="AD1340" s="84" t="n">
        <x:f>AC1340-B1340</x:f>
        <x:v>3</x:v>
      </x:c>
      <x:c r="AE1340" s="84" t="str">
        <x:f>IF(COUNTIF($A$5:A1340,A1340)&gt;1,"Duplicate","Keep")</x:f>
        <x:v>Keep</x:v>
      </x:c>
      <x:c r="AF1340" s="84" t="str">
        <x:f>IF(OR(R1340&lt;=0,AC1340&lt;B1340,H1340="Unknown",M1340="Unknown Product"),"Review","Valid")</x:f>
        <x:v>Valid</x:v>
      </x:c>
      <x:c r="AG1340" s="84" t="n">
        <x:f>IF(AND(AE1340="Keep",AF1340="Valid"),1,0)</x:f>
        <x:v>1</x:v>
      </x:c>
      <x:c r="AH1340" s="84" t="n">
        <x:f>IF(AND(AG1340=1,OR('Dashboard'!$B$4="All",I1340='Dashboard'!$B$4),OR('Dashboard'!$E$4="All",N1340='Dashboard'!$E$4),OR('Dashboard'!$H$4="All",K1340='Dashboard'!$H$4),OR('Dashboard'!$K$4="All",C1340='Dashboard'!$K$4)),1,0)</x:f>
        <x:v>1</x:v>
      </x:c>
      <x:c r="AI1340" s="84" t="n">
        <x:f>IF(AND(AG1340=1,OR('Dashboard'!$B$4="All",I1340='Dashboard'!$B$4),OR('Dashboard'!$E$4="All",N1340='Dashboard'!$E$4),OR('Dashboard'!$H$4="All",K1340='Dashboard'!$H$4)),1,0)</x:f>
        <x:v>1</x:v>
      </x:c>
    </x:row>
    <x:row r="1341">
      <x:c r="A1341" s="84" t="str">
        <x:f>'Raw Sales'!A1341</x:f>
        <x:v>ORD-2025-02194</x:v>
      </x:c>
      <x:c r="B1341" s="85" t="n">
        <x:f>'Raw Sales'!B1341</x:f>
        <x:v>45735</x:v>
      </x:c>
      <x:c r="C1341" s="84" t="n">
        <x:f>YEAR(B1341)</x:f>
        <x:v>2025</x:v>
      </x:c>
      <x:c r="D1341" s="91" t="n">
        <x:f>DATE(YEAR(B1341),MONTH(B1341),1)</x:f>
        <x:v>45717</x:v>
      </x:c>
      <x:c r="E1341" s="84" t="str">
        <x:f>TEXT(B1341,"mmm")</x:f>
        <x:v>Mar</x:v>
      </x:c>
      <x:c r="F1341" s="84" t="str">
        <x:f>'Raw Sales'!C1341</x:f>
        <x:v>CUST-0371</x:v>
      </x:c>
      <x:c r="G1341" s="84" t="str">
        <x:f>PROPER(TRIM('Raw Sales'!D1341))</x:f>
        <x:v>Sara Moore</x:v>
      </x:c>
      <x:c r="H1341" s="84" t="str">
        <x:f>IF(TRIM('Raw Sales'!E1341)="","Unknown",PROPER(TRIM('Raw Sales'!E1341)))</x:f>
        <x:v>Small Business</x:v>
      </x:c>
      <x:c r="I1341" s="84" t="str">
        <x:f>PROPER(TRIM('Raw Sales'!F1341))</x:f>
        <x:v>West</x:v>
      </x:c>
      <x:c r="J1341" s="84" t="str">
        <x:f>PROPER(TRIM('Raw Sales'!G1341))</x:f>
        <x:v>Seattle</x:v>
      </x:c>
      <x:c r="K1341" s="84" t="str">
        <x:f>PROPER(TRIM('Raw Sales'!H1341))</x:f>
        <x:v>Marketplace</x:v>
      </x:c>
      <x:c r="L1341" s="84" t="str">
        <x:f>'Raw Sales'!I1341</x:f>
        <x:v>CARE-004</x:v>
      </x:c>
      <x:c r="M1341" s="84" t="str">
        <x:f>IFERROR(VLOOKUP(L1341,'Reference Data'!$A$5:$F$40,2,FALSE),"Unknown Product")</x:f>
        <x:v>Electric Toothbrush</x:v>
      </x:c>
      <x:c r="N1341" s="84" t="str">
        <x:f>IFERROR(VLOOKUP(L1341,'Reference Data'!$A$5:$F$40,3,FALSE),"Unknown")</x:f>
        <x:v>Personal Care</x:v>
      </x:c>
      <x:c r="O1341" s="84" t="str">
        <x:f>IFERROR(VLOOKUP(L1341,'Reference Data'!$A$5:$F$40,4,FALSE),"Unknown")</x:f>
        <x:v>Oral Care</x:v>
      </x:c>
      <x:c r="P1341" s="92" t="n">
        <x:f>IFERROR(VLOOKUP(L1341,'Reference Data'!$A$5:$F$40,5,FALSE),0)</x:f>
        <x:v>69</x:v>
      </x:c>
      <x:c r="Q1341" s="92" t="n">
        <x:f>IFERROR(VLOOKUP(L1341,'Reference Data'!$A$5:$F$40,6,FALSE),0)</x:f>
        <x:v>31</x:v>
      </x:c>
      <x:c r="R1341" s="84" t="n">
        <x:f>'Raw Sales'!J1341</x:f>
        <x:v>3</x:v>
      </x:c>
      <x:c r="S1341" s="87" t="n">
        <x:f>'Raw Sales'!K1341</x:f>
        <x:v>0.15</x:v>
      </x:c>
      <x:c r="T1341" s="93" t="n">
        <x:f>P1341*R1341</x:f>
        <x:v>207</x:v>
      </x:c>
      <x:c r="U1341" s="93" t="n">
        <x:f>T1341*S1341</x:f>
        <x:v>31.049999999999997</x:v>
      </x:c>
      <x:c r="V1341" s="93" t="str">
        <x:f>PROPER(TRIM('Raw Sales'!L1341))</x:f>
        <x:v>Completed</x:v>
      </x:c>
      <x:c r="W1341" s="93" t="n">
        <x:f>IF(V1341="Returned",0,T1341-U1341)</x:f>
        <x:v>175.95</x:v>
      </x:c>
      <x:c r="X1341" s="93" t="n">
        <x:f>IF(V1341="Returned",Q1341*R1341*10%,Q1341*R1341)</x:f>
        <x:v>93</x:v>
      </x:c>
      <x:c r="Y1341" s="93" t="n">
        <x:f>W1341-X1341</x:f>
        <x:v>82.94999999999999</x:v>
      </x:c>
      <x:c r="Z1341" s="94" t="n">
        <x:f>IFERROR(Y1341/W1341,0)</x:f>
        <x:v>0.4714407502131287</x:v>
      </x:c>
      <x:c r="AA1341" s="84" t="str">
        <x:f>PROPER(TRIM('Raw Sales'!M1341))</x:f>
        <x:v>Debit Card</x:v>
      </x:c>
      <x:c r="AB1341" s="84" t="str">
        <x:f>PROPER(TRIM('Raw Sales'!N1341))</x:f>
        <x:v>Mia Chen</x:v>
      </x:c>
      <x:c r="AC1341" s="85" t="n">
        <x:f>'Raw Sales'!O1341</x:f>
        <x:v>45741</x:v>
      </x:c>
      <x:c r="AD1341" s="84" t="n">
        <x:f>AC1341-B1341</x:f>
        <x:v>6</x:v>
      </x:c>
      <x:c r="AE1341" s="84" t="str">
        <x:f>IF(COUNTIF($A$5:A1341,A1341)&gt;1,"Duplicate","Keep")</x:f>
        <x:v>Keep</x:v>
      </x:c>
      <x:c r="AF1341" s="84" t="str">
        <x:f>IF(OR(R1341&lt;=0,AC1341&lt;B1341,H1341="Unknown",M1341="Unknown Product"),"Review","Valid")</x:f>
        <x:v>Valid</x:v>
      </x:c>
      <x:c r="AG1341" s="84" t="n">
        <x:f>IF(AND(AE1341="Keep",AF1341="Valid"),1,0)</x:f>
        <x:v>1</x:v>
      </x:c>
      <x:c r="AH1341" s="84" t="n">
        <x:f>IF(AND(AG1341=1,OR('Dashboard'!$B$4="All",I1341='Dashboard'!$B$4),OR('Dashboard'!$E$4="All",N1341='Dashboard'!$E$4),OR('Dashboard'!$H$4="All",K1341='Dashboard'!$H$4),OR('Dashboard'!$K$4="All",C1341='Dashboard'!$K$4)),1,0)</x:f>
        <x:v>1</x:v>
      </x:c>
      <x:c r="AI1341" s="84" t="n">
        <x:f>IF(AND(AG1341=1,OR('Dashboard'!$B$4="All",I1341='Dashboard'!$B$4),OR('Dashboard'!$E$4="All",N1341='Dashboard'!$E$4),OR('Dashboard'!$H$4="All",K1341='Dashboard'!$H$4)),1,0)</x:f>
        <x:v>1</x:v>
      </x:c>
    </x:row>
    <x:row r="1342">
      <x:c r="A1342" s="84" t="str">
        <x:f>'Raw Sales'!A1342</x:f>
        <x:v>ORD-2025-00068</x:v>
      </x:c>
      <x:c r="B1342" s="85" t="n">
        <x:f>'Raw Sales'!B1342</x:f>
        <x:v>45736</x:v>
      </x:c>
      <x:c r="C1342" s="84" t="n">
        <x:f>YEAR(B1342)</x:f>
        <x:v>2025</x:v>
      </x:c>
      <x:c r="D1342" s="91" t="n">
        <x:f>DATE(YEAR(B1342),MONTH(B1342),1)</x:f>
        <x:v>45717</x:v>
      </x:c>
      <x:c r="E1342" s="84" t="str">
        <x:f>TEXT(B1342,"mmm")</x:f>
        <x:v>Mar</x:v>
      </x:c>
      <x:c r="F1342" s="84" t="str">
        <x:f>'Raw Sales'!C1342</x:f>
        <x:v>CUST-0166</x:v>
      </x:c>
      <x:c r="G1342" s="84" t="str">
        <x:f>PROPER(TRIM('Raw Sales'!D1342))</x:f>
        <x:v>Marcus Young</x:v>
      </x:c>
      <x:c r="H1342" s="84" t="str">
        <x:f>IF(TRIM('Raw Sales'!E1342)="","Unknown",PROPER(TRIM('Raw Sales'!E1342)))</x:f>
        <x:v>Consumer</x:v>
      </x:c>
      <x:c r="I1342" s="84" t="str">
        <x:f>PROPER(TRIM('Raw Sales'!F1342))</x:f>
        <x:v>West</x:v>
      </x:c>
      <x:c r="J1342" s="84" t="str">
        <x:f>PROPER(TRIM('Raw Sales'!G1342))</x:f>
        <x:v>Phoenix</x:v>
      </x:c>
      <x:c r="K1342" s="84" t="str">
        <x:f>PROPER(TRIM('Raw Sales'!H1342))</x:f>
        <x:v>Retail Store</x:v>
      </x:c>
      <x:c r="L1342" s="84" t="str">
        <x:f>'Raw Sales'!I1342</x:f>
        <x:v>OFFC-004</x:v>
      </x:c>
      <x:c r="M1342" s="84" t="str">
        <x:f>IFERROR(VLOOKUP(L1342,'Reference Data'!$A$5:$F$40,2,FALSE),"Unknown Product")</x:f>
        <x:v>Premium Notebook Pack</x:v>
      </x:c>
      <x:c r="N1342" s="84" t="str">
        <x:f>IFERROR(VLOOKUP(L1342,'Reference Data'!$A$5:$F$40,3,FALSE),"Unknown")</x:f>
        <x:v>Office</x:v>
      </x:c>
      <x:c r="O1342" s="84" t="str">
        <x:f>IFERROR(VLOOKUP(L1342,'Reference Data'!$A$5:$F$40,4,FALSE),"Unknown")</x:f>
        <x:v>Stationery</x:v>
      </x:c>
      <x:c r="P1342" s="92" t="n">
        <x:f>IFERROR(VLOOKUP(L1342,'Reference Data'!$A$5:$F$40,5,FALSE),0)</x:f>
        <x:v>18</x:v>
      </x:c>
      <x:c r="Q1342" s="92" t="n">
        <x:f>IFERROR(VLOOKUP(L1342,'Reference Data'!$A$5:$F$40,6,FALSE),0)</x:f>
        <x:v>6.5</x:v>
      </x:c>
      <x:c r="R1342" s="84" t="n">
        <x:f>'Raw Sales'!J1342</x:f>
        <x:v>1</x:v>
      </x:c>
      <x:c r="S1342" s="87" t="n">
        <x:f>'Raw Sales'!K1342</x:f>
        <x:v>0.1</x:v>
      </x:c>
      <x:c r="T1342" s="93" t="n">
        <x:f>P1342*R1342</x:f>
        <x:v>18</x:v>
      </x:c>
      <x:c r="U1342" s="93" t="n">
        <x:f>T1342*S1342</x:f>
        <x:v>1.8</x:v>
      </x:c>
      <x:c r="V1342" s="93" t="str">
        <x:f>PROPER(TRIM('Raw Sales'!L1342))</x:f>
        <x:v>Completed</x:v>
      </x:c>
      <x:c r="W1342" s="93" t="n">
        <x:f>IF(V1342="Returned",0,T1342-U1342)</x:f>
        <x:v>16.2</x:v>
      </x:c>
      <x:c r="X1342" s="93" t="n">
        <x:f>IF(V1342="Returned",Q1342*R1342*10%,Q1342*R1342)</x:f>
        <x:v>6.5</x:v>
      </x:c>
      <x:c r="Y1342" s="93" t="n">
        <x:f>W1342-X1342</x:f>
        <x:v>9.7</x:v>
      </x:c>
      <x:c r="Z1342" s="94" t="n">
        <x:f>IFERROR(Y1342/W1342,0)</x:f>
        <x:v>0.5987654320987654</x:v>
      </x:c>
      <x:c r="AA1342" s="84" t="str">
        <x:f>PROPER(TRIM('Raw Sales'!M1342))</x:f>
        <x:v>Debit Card</x:v>
      </x:c>
      <x:c r="AB1342" s="84" t="str">
        <x:f>PROPER(TRIM('Raw Sales'!N1342))</x:f>
        <x:v>Nora Kim</x:v>
      </x:c>
      <x:c r="AC1342" s="85" t="n">
        <x:f>'Raw Sales'!O1342</x:f>
        <x:v>45736</x:v>
      </x:c>
      <x:c r="AD1342" s="84" t="n">
        <x:f>AC1342-B1342</x:f>
        <x:v>0</x:v>
      </x:c>
      <x:c r="AE1342" s="84" t="str">
        <x:f>IF(COUNTIF($A$5:A1342,A1342)&gt;1,"Duplicate","Keep")</x:f>
        <x:v>Keep</x:v>
      </x:c>
      <x:c r="AF1342" s="84" t="str">
        <x:f>IF(OR(R1342&lt;=0,AC1342&lt;B1342,H1342="Unknown",M1342="Unknown Product"),"Review","Valid")</x:f>
        <x:v>Valid</x:v>
      </x:c>
      <x:c r="AG1342" s="84" t="n">
        <x:f>IF(AND(AE1342="Keep",AF1342="Valid"),1,0)</x:f>
        <x:v>1</x:v>
      </x:c>
      <x:c r="AH1342" s="84" t="n">
        <x:f>IF(AND(AG1342=1,OR('Dashboard'!$B$4="All",I1342='Dashboard'!$B$4),OR('Dashboard'!$E$4="All",N1342='Dashboard'!$E$4),OR('Dashboard'!$H$4="All",K1342='Dashboard'!$H$4),OR('Dashboard'!$K$4="All",C1342='Dashboard'!$K$4)),1,0)</x:f>
        <x:v>1</x:v>
      </x:c>
      <x:c r="AI1342" s="84" t="n">
        <x:f>IF(AND(AG1342=1,OR('Dashboard'!$B$4="All",I1342='Dashboard'!$B$4),OR('Dashboard'!$E$4="All",N1342='Dashboard'!$E$4),OR('Dashboard'!$H$4="All",K1342='Dashboard'!$H$4)),1,0)</x:f>
        <x:v>1</x:v>
      </x:c>
    </x:row>
    <x:row r="1343">
      <x:c r="A1343" s="84" t="str">
        <x:f>'Raw Sales'!A1343</x:f>
        <x:v>ORD-2025-00754</x:v>
      </x:c>
      <x:c r="B1343" s="85" t="n">
        <x:f>'Raw Sales'!B1343</x:f>
        <x:v>45736</x:v>
      </x:c>
      <x:c r="C1343" s="84" t="n">
        <x:f>YEAR(B1343)</x:f>
        <x:v>2025</x:v>
      </x:c>
      <x:c r="D1343" s="91" t="n">
        <x:f>DATE(YEAR(B1343),MONTH(B1343),1)</x:f>
        <x:v>45717</x:v>
      </x:c>
      <x:c r="E1343" s="84" t="str">
        <x:f>TEXT(B1343,"mmm")</x:f>
        <x:v>Mar</x:v>
      </x:c>
      <x:c r="F1343" s="84" t="str">
        <x:f>'Raw Sales'!C1343</x:f>
        <x:v>CUST-0208</x:v>
      </x:c>
      <x:c r="G1343" s="84" t="str">
        <x:f>PROPER(TRIM('Raw Sales'!D1343))</x:f>
        <x:v>Layla Patel</x:v>
      </x:c>
      <x:c r="H1343" s="84" t="str">
        <x:f>IF(TRIM('Raw Sales'!E1343)="","Unknown",PROPER(TRIM('Raw Sales'!E1343)))</x:f>
        <x:v>Consumer</x:v>
      </x:c>
      <x:c r="I1343" s="84" t="str">
        <x:f>PROPER(TRIM('Raw Sales'!F1343))</x:f>
        <x:v>West</x:v>
      </x:c>
      <x:c r="J1343" s="84" t="str">
        <x:f>PROPER(TRIM('Raw Sales'!G1343))</x:f>
        <x:v>Los Angeles</x:v>
      </x:c>
      <x:c r="K1343" s="84" t="str">
        <x:f>PROPER(TRIM('Raw Sales'!H1343))</x:f>
        <x:v>Marketplace</x:v>
      </x:c>
      <x:c r="L1343" s="84" t="str">
        <x:f>'Raw Sales'!I1343</x:f>
        <x:v>ACCS-001</x:v>
      </x:c>
      <x:c r="M1343" s="84" t="str">
        <x:f>IFERROR(VLOOKUP(L1343,'Reference Data'!$A$5:$F$40,2,FALSE),"Unknown Product")</x:f>
        <x:v>Canvas Tote Bag</x:v>
      </x:c>
      <x:c r="N1343" s="84" t="str">
        <x:f>IFERROR(VLOOKUP(L1343,'Reference Data'!$A$5:$F$40,3,FALSE),"Unknown")</x:f>
        <x:v>Accessories</x:v>
      </x:c>
      <x:c r="O1343" s="84" t="str">
        <x:f>IFERROR(VLOOKUP(L1343,'Reference Data'!$A$5:$F$40,4,FALSE),"Unknown")</x:f>
        <x:v>Bags</x:v>
      </x:c>
      <x:c r="P1343" s="92" t="n">
        <x:f>IFERROR(VLOOKUP(L1343,'Reference Data'!$A$5:$F$40,5,FALSE),0)</x:f>
        <x:v>39</x:v>
      </x:c>
      <x:c r="Q1343" s="92" t="n">
        <x:f>IFERROR(VLOOKUP(L1343,'Reference Data'!$A$5:$F$40,6,FALSE),0)</x:f>
        <x:v>14</x:v>
      </x:c>
      <x:c r="R1343" s="84" t="n">
        <x:f>'Raw Sales'!J1343</x:f>
        <x:v>1</x:v>
      </x:c>
      <x:c r="S1343" s="87" t="n">
        <x:f>'Raw Sales'!K1343</x:f>
        <x:v>0.2</x:v>
      </x:c>
      <x:c r="T1343" s="93" t="n">
        <x:f>P1343*R1343</x:f>
        <x:v>39</x:v>
      </x:c>
      <x:c r="U1343" s="93" t="n">
        <x:f>T1343*S1343</x:f>
        <x:v>7.800000000000001</x:v>
      </x:c>
      <x:c r="V1343" s="93" t="str">
        <x:f>PROPER(TRIM('Raw Sales'!L1343))</x:f>
        <x:v>Completed</x:v>
      </x:c>
      <x:c r="W1343" s="93" t="n">
        <x:f>IF(V1343="Returned",0,T1343-U1343)</x:f>
        <x:v>31.2</x:v>
      </x:c>
      <x:c r="X1343" s="93" t="n">
        <x:f>IF(V1343="Returned",Q1343*R1343*10%,Q1343*R1343)</x:f>
        <x:v>14</x:v>
      </x:c>
      <x:c r="Y1343" s="93" t="n">
        <x:f>W1343-X1343</x:f>
        <x:v>17.2</x:v>
      </x:c>
      <x:c r="Z1343" s="94" t="n">
        <x:f>IFERROR(Y1343/W1343,0)</x:f>
        <x:v>0.5512820512820513</x:v>
      </x:c>
      <x:c r="AA1343" s="84" t="str">
        <x:f>PROPER(TRIM('Raw Sales'!M1343))</x:f>
        <x:v>Debit Card</x:v>
      </x:c>
      <x:c r="AB1343" s="84" t="str">
        <x:f>PROPER(TRIM('Raw Sales'!N1343))</x:f>
        <x:v>Mia Chen</x:v>
      </x:c>
      <x:c r="AC1343" s="85" t="n">
        <x:f>'Raw Sales'!O1343</x:f>
        <x:v>45740</x:v>
      </x:c>
      <x:c r="AD1343" s="84" t="n">
        <x:f>AC1343-B1343</x:f>
        <x:v>4</x:v>
      </x:c>
      <x:c r="AE1343" s="84" t="str">
        <x:f>IF(COUNTIF($A$5:A1343,A1343)&gt;1,"Duplicate","Keep")</x:f>
        <x:v>Keep</x:v>
      </x:c>
      <x:c r="AF1343" s="84" t="str">
        <x:f>IF(OR(R1343&lt;=0,AC1343&lt;B1343,H1343="Unknown",M1343="Unknown Product"),"Review","Valid")</x:f>
        <x:v>Valid</x:v>
      </x:c>
      <x:c r="AG1343" s="84" t="n">
        <x:f>IF(AND(AE1343="Keep",AF1343="Valid"),1,0)</x:f>
        <x:v>1</x:v>
      </x:c>
      <x:c r="AH1343" s="84" t="n">
        <x:f>IF(AND(AG1343=1,OR('Dashboard'!$B$4="All",I1343='Dashboard'!$B$4),OR('Dashboard'!$E$4="All",N1343='Dashboard'!$E$4),OR('Dashboard'!$H$4="All",K1343='Dashboard'!$H$4),OR('Dashboard'!$K$4="All",C1343='Dashboard'!$K$4)),1,0)</x:f>
        <x:v>1</x:v>
      </x:c>
      <x:c r="AI1343" s="84" t="n">
        <x:f>IF(AND(AG1343=1,OR('Dashboard'!$B$4="All",I1343='Dashboard'!$B$4),OR('Dashboard'!$E$4="All",N1343='Dashboard'!$E$4),OR('Dashboard'!$H$4="All",K1343='Dashboard'!$H$4)),1,0)</x:f>
        <x:v>1</x:v>
      </x:c>
    </x:row>
    <x:row r="1344">
      <x:c r="A1344" s="84" t="str">
        <x:f>'Raw Sales'!A1344</x:f>
        <x:v>ORD-2025-01261</x:v>
      </x:c>
      <x:c r="B1344" s="85" t="n">
        <x:f>'Raw Sales'!B1344</x:f>
        <x:v>45737</x:v>
      </x:c>
      <x:c r="C1344" s="84" t="n">
        <x:f>YEAR(B1344)</x:f>
        <x:v>2025</x:v>
      </x:c>
      <x:c r="D1344" s="91" t="n">
        <x:f>DATE(YEAR(B1344),MONTH(B1344),1)</x:f>
        <x:v>45717</x:v>
      </x:c>
      <x:c r="E1344" s="84" t="str">
        <x:f>TEXT(B1344,"mmm")</x:f>
        <x:v>Mar</x:v>
      </x:c>
      <x:c r="F1344" s="84" t="str">
        <x:f>'Raw Sales'!C1344</x:f>
        <x:v>CUST-0492</x:v>
      </x:c>
      <x:c r="G1344" s="84" t="str">
        <x:f>PROPER(TRIM('Raw Sales'!D1344))</x:f>
        <x:v>Jonah Garcia</x:v>
      </x:c>
      <x:c r="H1344" s="84" t="str">
        <x:f>IF(TRIM('Raw Sales'!E1344)="","Unknown",PROPER(TRIM('Raw Sales'!E1344)))</x:f>
        <x:v>Small Business</x:v>
      </x:c>
      <x:c r="I1344" s="84" t="str">
        <x:f>PROPER(TRIM('Raw Sales'!F1344))</x:f>
        <x:v>Southeast</x:v>
      </x:c>
      <x:c r="J1344" s="84" t="str">
        <x:f>PROPER(TRIM('Raw Sales'!G1344))</x:f>
        <x:v>Charlotte</x:v>
      </x:c>
      <x:c r="K1344" s="84" t="str">
        <x:f>PROPER(TRIM('Raw Sales'!H1344))</x:f>
        <x:v>Retail Store</x:v>
      </x:c>
      <x:c r="L1344" s="84" t="str">
        <x:f>'Raw Sales'!I1344</x:f>
        <x:v>ACCS-005</x:v>
      </x:c>
      <x:c r="M1344" s="84" t="str">
        <x:f>IFERROR(VLOOKUP(L1344,'Reference Data'!$A$5:$F$40,2,FALSE),"Unknown Product")</x:f>
        <x:v>Protective Phone Case</x:v>
      </x:c>
      <x:c r="N1344" s="84" t="str">
        <x:f>IFERROR(VLOOKUP(L1344,'Reference Data'!$A$5:$F$40,3,FALSE),"Unknown")</x:f>
        <x:v>Accessories</x:v>
      </x:c>
      <x:c r="O1344" s="84" t="str">
        <x:f>IFERROR(VLOOKUP(L1344,'Reference Data'!$A$5:$F$40,4,FALSE),"Unknown")</x:f>
        <x:v>Mobile Accessories</x:v>
      </x:c>
      <x:c r="P1344" s="92" t="n">
        <x:f>IFERROR(VLOOKUP(L1344,'Reference Data'!$A$5:$F$40,5,FALSE),0)</x:f>
        <x:v>24</x:v>
      </x:c>
      <x:c r="Q1344" s="92" t="n">
        <x:f>IFERROR(VLOOKUP(L1344,'Reference Data'!$A$5:$F$40,6,FALSE),0)</x:f>
        <x:v>5</x:v>
      </x:c>
      <x:c r="R1344" s="84" t="n">
        <x:f>'Raw Sales'!J1344</x:f>
        <x:v>2</x:v>
      </x:c>
      <x:c r="S1344" s="87" t="n">
        <x:f>'Raw Sales'!K1344</x:f>
        <x:v>0</x:v>
      </x:c>
      <x:c r="T1344" s="93" t="n">
        <x:f>P1344*R1344</x:f>
        <x:v>48</x:v>
      </x:c>
      <x:c r="U1344" s="93" t="n">
        <x:f>T1344*S1344</x:f>
        <x:v>0</x:v>
      </x:c>
      <x:c r="V1344" s="93" t="str">
        <x:f>PROPER(TRIM('Raw Sales'!L1344))</x:f>
        <x:v>Completed</x:v>
      </x:c>
      <x:c r="W1344" s="93" t="n">
        <x:f>IF(V1344="Returned",0,T1344-U1344)</x:f>
        <x:v>48</x:v>
      </x:c>
      <x:c r="X1344" s="93" t="n">
        <x:f>IF(V1344="Returned",Q1344*R1344*10%,Q1344*R1344)</x:f>
        <x:v>10</x:v>
      </x:c>
      <x:c r="Y1344" s="93" t="n">
        <x:f>W1344-X1344</x:f>
        <x:v>38</x:v>
      </x:c>
      <x:c r="Z1344" s="94" t="n">
        <x:f>IFERROR(Y1344/W1344,0)</x:f>
        <x:v>0.7916666666666666</x:v>
      </x:c>
      <x:c r="AA1344" s="84" t="str">
        <x:f>PROPER(TRIM('Raw Sales'!M1344))</x:f>
        <x:v>Credit Card</x:v>
      </x:c>
      <x:c r="AB1344" s="84" t="str">
        <x:f>PROPER(TRIM('Raw Sales'!N1344))</x:f>
        <x:v>Ava Mitchell</x:v>
      </x:c>
      <x:c r="AC1344" s="85" t="n">
        <x:f>'Raw Sales'!O1344</x:f>
        <x:v>45737</x:v>
      </x:c>
      <x:c r="AD1344" s="84" t="n">
        <x:f>AC1344-B1344</x:f>
        <x:v>0</x:v>
      </x:c>
      <x:c r="AE1344" s="84" t="str">
        <x:f>IF(COUNTIF($A$5:A1344,A1344)&gt;1,"Duplicate","Keep")</x:f>
        <x:v>Keep</x:v>
      </x:c>
      <x:c r="AF1344" s="84" t="str">
        <x:f>IF(OR(R1344&lt;=0,AC1344&lt;B1344,H1344="Unknown",M1344="Unknown Product"),"Review","Valid")</x:f>
        <x:v>Valid</x:v>
      </x:c>
      <x:c r="AG1344" s="84" t="n">
        <x:f>IF(AND(AE1344="Keep",AF1344="Valid"),1,0)</x:f>
        <x:v>1</x:v>
      </x:c>
      <x:c r="AH1344" s="84" t="n">
        <x:f>IF(AND(AG1344=1,OR('Dashboard'!$B$4="All",I1344='Dashboard'!$B$4),OR('Dashboard'!$E$4="All",N1344='Dashboard'!$E$4),OR('Dashboard'!$H$4="All",K1344='Dashboard'!$H$4),OR('Dashboard'!$K$4="All",C1344='Dashboard'!$K$4)),1,0)</x:f>
        <x:v>1</x:v>
      </x:c>
      <x:c r="AI1344" s="84" t="n">
        <x:f>IF(AND(AG1344=1,OR('Dashboard'!$B$4="All",I1344='Dashboard'!$B$4),OR('Dashboard'!$E$4="All",N1344='Dashboard'!$E$4),OR('Dashboard'!$H$4="All",K1344='Dashboard'!$H$4)),1,0)</x:f>
        <x:v>1</x:v>
      </x:c>
    </x:row>
    <x:row r="1345">
      <x:c r="A1345" s="84" t="str">
        <x:f>'Raw Sales'!A1345</x:f>
        <x:v>ORD-2025-01387</x:v>
      </x:c>
      <x:c r="B1345" s="85" t="n">
        <x:f>'Raw Sales'!B1345</x:f>
        <x:v>45737</x:v>
      </x:c>
      <x:c r="C1345" s="84" t="n">
        <x:f>YEAR(B1345)</x:f>
        <x:v>2025</x:v>
      </x:c>
      <x:c r="D1345" s="91" t="n">
        <x:f>DATE(YEAR(B1345),MONTH(B1345),1)</x:f>
        <x:v>45717</x:v>
      </x:c>
      <x:c r="E1345" s="84" t="str">
        <x:f>TEXT(B1345,"mmm")</x:f>
        <x:v>Mar</x:v>
      </x:c>
      <x:c r="F1345" s="84" t="str">
        <x:f>'Raw Sales'!C1345</x:f>
        <x:v>CUST-0564</x:v>
      </x:c>
      <x:c r="G1345" s="84" t="str">
        <x:f>PROPER(TRIM('Raw Sales'!D1345))</x:f>
        <x:v>Amelia Khan</x:v>
      </x:c>
      <x:c r="H1345" s="84" t="str">
        <x:f>IF(TRIM('Raw Sales'!E1345)="","Unknown",PROPER(TRIM('Raw Sales'!E1345)))</x:f>
        <x:v>Corporate</x:v>
      </x:c>
      <x:c r="I1345" s="84" t="str">
        <x:f>PROPER(TRIM('Raw Sales'!F1345))</x:f>
        <x:v>Southeast</x:v>
      </x:c>
      <x:c r="J1345" s="84" t="str">
        <x:f>PROPER(TRIM('Raw Sales'!G1345))</x:f>
        <x:v>Miami</x:v>
      </x:c>
      <x:c r="K1345" s="84" t="str">
        <x:f>PROPER(TRIM('Raw Sales'!H1345))</x:f>
        <x:v>Online</x:v>
      </x:c>
      <x:c r="L1345" s="84" t="str">
        <x:f>'Raw Sales'!I1345</x:f>
        <x:v>OFFC-002</x:v>
      </x:c>
      <x:c r="M1345" s="84" t="str">
        <x:f>IFERROR(VLOOKUP(L1345,'Reference Data'!$A$5:$F$40,2,FALSE),"Unknown Product")</x:f>
        <x:v>Standing Desk</x:v>
      </x:c>
      <x:c r="N1345" s="84" t="str">
        <x:f>IFERROR(VLOOKUP(L1345,'Reference Data'!$A$5:$F$40,3,FALSE),"Unknown")</x:f>
        <x:v>Office</x:v>
      </x:c>
      <x:c r="O1345" s="84" t="str">
        <x:f>IFERROR(VLOOKUP(L1345,'Reference Data'!$A$5:$F$40,4,FALSE),"Unknown")</x:f>
        <x:v>Furniture</x:v>
      </x:c>
      <x:c r="P1345" s="92" t="n">
        <x:f>IFERROR(VLOOKUP(L1345,'Reference Data'!$A$5:$F$40,5,FALSE),0)</x:f>
        <x:v>399</x:v>
      </x:c>
      <x:c r="Q1345" s="92" t="n">
        <x:f>IFERROR(VLOOKUP(L1345,'Reference Data'!$A$5:$F$40,6,FALSE),0)</x:f>
        <x:v>235</x:v>
      </x:c>
      <x:c r="R1345" s="84" t="n">
        <x:f>'Raw Sales'!J1345</x:f>
        <x:v>6</x:v>
      </x:c>
      <x:c r="S1345" s="87" t="n">
        <x:f>'Raw Sales'!K1345</x:f>
        <x:v>0</x:v>
      </x:c>
      <x:c r="T1345" s="93" t="n">
        <x:f>P1345*R1345</x:f>
        <x:v>2394</x:v>
      </x:c>
      <x:c r="U1345" s="93" t="n">
        <x:f>T1345*S1345</x:f>
        <x:v>0</x:v>
      </x:c>
      <x:c r="V1345" s="93" t="str">
        <x:f>PROPER(TRIM('Raw Sales'!L1345))</x:f>
        <x:v>Completed</x:v>
      </x:c>
      <x:c r="W1345" s="93" t="n">
        <x:f>IF(V1345="Returned",0,T1345-U1345)</x:f>
        <x:v>2394</x:v>
      </x:c>
      <x:c r="X1345" s="93" t="n">
        <x:f>IF(V1345="Returned",Q1345*R1345*10%,Q1345*R1345)</x:f>
        <x:v>1410</x:v>
      </x:c>
      <x:c r="Y1345" s="93" t="n">
        <x:f>W1345-X1345</x:f>
        <x:v>984</x:v>
      </x:c>
      <x:c r="Z1345" s="94" t="n">
        <x:f>IFERROR(Y1345/W1345,0)</x:f>
        <x:v>0.41102756892230574</x:v>
      </x:c>
      <x:c r="AA1345" s="84" t="str">
        <x:f>PROPER(TRIM('Raw Sales'!M1345))</x:f>
        <x:v>Credit Card</x:v>
      </x:c>
      <x:c r="AB1345" s="84" t="str">
        <x:f>PROPER(TRIM('Raw Sales'!N1345))</x:f>
        <x:v>Liam Parker</x:v>
      </x:c>
      <x:c r="AC1345" s="85" t="n">
        <x:f>'Raw Sales'!O1345</x:f>
        <x:v>45742</x:v>
      </x:c>
      <x:c r="AD1345" s="84" t="n">
        <x:f>AC1345-B1345</x:f>
        <x:v>5</x:v>
      </x:c>
      <x:c r="AE1345" s="84" t="str">
        <x:f>IF(COUNTIF($A$5:A1345,A1345)&gt;1,"Duplicate","Keep")</x:f>
        <x:v>Keep</x:v>
      </x:c>
      <x:c r="AF1345" s="84" t="str">
        <x:f>IF(OR(R1345&lt;=0,AC1345&lt;B1345,H1345="Unknown",M1345="Unknown Product"),"Review","Valid")</x:f>
        <x:v>Valid</x:v>
      </x:c>
      <x:c r="AG1345" s="84" t="n">
        <x:f>IF(AND(AE1345="Keep",AF1345="Valid"),1,0)</x:f>
        <x:v>1</x:v>
      </x:c>
      <x:c r="AH1345" s="84" t="n">
        <x:f>IF(AND(AG1345=1,OR('Dashboard'!$B$4="All",I1345='Dashboard'!$B$4),OR('Dashboard'!$E$4="All",N1345='Dashboard'!$E$4),OR('Dashboard'!$H$4="All",K1345='Dashboard'!$H$4),OR('Dashboard'!$K$4="All",C1345='Dashboard'!$K$4)),1,0)</x:f>
        <x:v>1</x:v>
      </x:c>
      <x:c r="AI1345" s="84" t="n">
        <x:f>IF(AND(AG1345=1,OR('Dashboard'!$B$4="All",I1345='Dashboard'!$B$4),OR('Dashboard'!$E$4="All",N1345='Dashboard'!$E$4),OR('Dashboard'!$H$4="All",K1345='Dashboard'!$H$4)),1,0)</x:f>
        <x:v>1</x:v>
      </x:c>
    </x:row>
    <x:row r="1346">
      <x:c r="A1346" s="84" t="str">
        <x:f>'Raw Sales'!A1346</x:f>
        <x:v>ORD-2025-02171</x:v>
      </x:c>
      <x:c r="B1346" s="85" t="n">
        <x:f>'Raw Sales'!B1346</x:f>
        <x:v>45738</x:v>
      </x:c>
      <x:c r="C1346" s="84" t="n">
        <x:f>YEAR(B1346)</x:f>
        <x:v>2025</x:v>
      </x:c>
      <x:c r="D1346" s="91" t="n">
        <x:f>DATE(YEAR(B1346),MONTH(B1346),1)</x:f>
        <x:v>45717</x:v>
      </x:c>
      <x:c r="E1346" s="84" t="str">
        <x:f>TEXT(B1346,"mmm")</x:f>
        <x:v>Mar</x:v>
      </x:c>
      <x:c r="F1346" s="84" t="str">
        <x:f>'Raw Sales'!C1346</x:f>
        <x:v>CUST-0435</x:v>
      </x:c>
      <x:c r="G1346" s="84" t="str">
        <x:f>PROPER(TRIM('Raw Sales'!D1346))</x:f>
        <x:v>Maya Patel</x:v>
      </x:c>
      <x:c r="H1346" s="84" t="str">
        <x:f>IF(TRIM('Raw Sales'!E1346)="","Unknown",PROPER(TRIM('Raw Sales'!E1346)))</x:f>
        <x:v>Consumer</x:v>
      </x:c>
      <x:c r="I1346" s="84" t="str">
        <x:f>PROPER(TRIM('Raw Sales'!F1346))</x:f>
        <x:v>Northeast</x:v>
      </x:c>
      <x:c r="J1346" s="84" t="str">
        <x:f>PROPER(TRIM('Raw Sales'!G1346))</x:f>
        <x:v>New York</x:v>
      </x:c>
      <x:c r="K1346" s="84" t="str">
        <x:f>PROPER(TRIM('Raw Sales'!H1346))</x:f>
        <x:v>Retail Store</x:v>
      </x:c>
      <x:c r="L1346" s="84" t="str">
        <x:f>'Raw Sales'!I1346</x:f>
        <x:v>ELEC-003</x:v>
      </x:c>
      <x:c r="M1346" s="84" t="str">
        <x:f>IFERROR(VLOOKUP(L1346,'Reference Data'!$A$5:$F$40,2,FALSE),"Unknown Product")</x:f>
        <x:v>Bluetooth Speaker</x:v>
      </x:c>
      <x:c r="N1346" s="84" t="str">
        <x:f>IFERROR(VLOOKUP(L1346,'Reference Data'!$A$5:$F$40,3,FALSE),"Unknown")</x:f>
        <x:v>Electronics</x:v>
      </x:c>
      <x:c r="O1346" s="84" t="str">
        <x:f>IFERROR(VLOOKUP(L1346,'Reference Data'!$A$5:$F$40,4,FALSE),"Unknown")</x:f>
        <x:v>Audio</x:v>
      </x:c>
      <x:c r="P1346" s="92" t="n">
        <x:f>IFERROR(VLOOKUP(L1346,'Reference Data'!$A$5:$F$40,5,FALSE),0)</x:f>
        <x:v>89</x:v>
      </x:c>
      <x:c r="Q1346" s="92" t="n">
        <x:f>IFERROR(VLOOKUP(L1346,'Reference Data'!$A$5:$F$40,6,FALSE),0)</x:f>
        <x:v>44</x:v>
      </x:c>
      <x:c r="R1346" s="84" t="n">
        <x:f>'Raw Sales'!J1346</x:f>
        <x:v>1</x:v>
      </x:c>
      <x:c r="S1346" s="87" t="n">
        <x:f>'Raw Sales'!K1346</x:f>
        <x:v>0</x:v>
      </x:c>
      <x:c r="T1346" s="93" t="n">
        <x:f>P1346*R1346</x:f>
        <x:v>89</x:v>
      </x:c>
      <x:c r="U1346" s="93" t="n">
        <x:f>T1346*S1346</x:f>
        <x:v>0</x:v>
      </x:c>
      <x:c r="V1346" s="93" t="str">
        <x:f>PROPER(TRIM('Raw Sales'!L1346))</x:f>
        <x:v>Completed</x:v>
      </x:c>
      <x:c r="W1346" s="93" t="n">
        <x:f>IF(V1346="Returned",0,T1346-U1346)</x:f>
        <x:v>89</x:v>
      </x:c>
      <x:c r="X1346" s="93" t="n">
        <x:f>IF(V1346="Returned",Q1346*R1346*10%,Q1346*R1346)</x:f>
        <x:v>44</x:v>
      </x:c>
      <x:c r="Y1346" s="93" t="n">
        <x:f>W1346-X1346</x:f>
        <x:v>45</x:v>
      </x:c>
      <x:c r="Z1346" s="94" t="n">
        <x:f>IFERROR(Y1346/W1346,0)</x:f>
        <x:v>0.5056179775280899</x:v>
      </x:c>
      <x:c r="AA1346" s="84" t="str">
        <x:f>PROPER(TRIM('Raw Sales'!M1346))</x:f>
        <x:v>Mobile Wallet</x:v>
      </x:c>
      <x:c r="AB1346" s="84" t="str">
        <x:f>PROPER(TRIM('Raw Sales'!N1346))</x:f>
        <x:v>Sofia Bennett</x:v>
      </x:c>
      <x:c r="AC1346" s="85" t="n">
        <x:f>'Raw Sales'!O1346</x:f>
        <x:v>45739</x:v>
      </x:c>
      <x:c r="AD1346" s="84" t="n">
        <x:f>AC1346-B1346</x:f>
        <x:v>1</x:v>
      </x:c>
      <x:c r="AE1346" s="84" t="str">
        <x:f>IF(COUNTIF($A$5:A1346,A1346)&gt;1,"Duplicate","Keep")</x:f>
        <x:v>Keep</x:v>
      </x:c>
      <x:c r="AF1346" s="84" t="str">
        <x:f>IF(OR(R1346&lt;=0,AC1346&lt;B1346,H1346="Unknown",M1346="Unknown Product"),"Review","Valid")</x:f>
        <x:v>Valid</x:v>
      </x:c>
      <x:c r="AG1346" s="84" t="n">
        <x:f>IF(AND(AE1346="Keep",AF1346="Valid"),1,0)</x:f>
        <x:v>1</x:v>
      </x:c>
      <x:c r="AH1346" s="84" t="n">
        <x:f>IF(AND(AG1346=1,OR('Dashboard'!$B$4="All",I1346='Dashboard'!$B$4),OR('Dashboard'!$E$4="All",N1346='Dashboard'!$E$4),OR('Dashboard'!$H$4="All",K1346='Dashboard'!$H$4),OR('Dashboard'!$K$4="All",C1346='Dashboard'!$K$4)),1,0)</x:f>
        <x:v>1</x:v>
      </x:c>
      <x:c r="AI1346" s="84" t="n">
        <x:f>IF(AND(AG1346=1,OR('Dashboard'!$B$4="All",I1346='Dashboard'!$B$4),OR('Dashboard'!$E$4="All",N1346='Dashboard'!$E$4),OR('Dashboard'!$H$4="All",K1346='Dashboard'!$H$4)),1,0)</x:f>
        <x:v>1</x:v>
      </x:c>
    </x:row>
    <x:row r="1347">
      <x:c r="A1347" s="84" t="str">
        <x:f>'Raw Sales'!A1347</x:f>
        <x:v>ORD-2025-02209</x:v>
      </x:c>
      <x:c r="B1347" s="85" t="n">
        <x:f>'Raw Sales'!B1347</x:f>
        <x:v>45738</x:v>
      </x:c>
      <x:c r="C1347" s="84" t="n">
        <x:f>YEAR(B1347)</x:f>
        <x:v>2025</x:v>
      </x:c>
      <x:c r="D1347" s="91" t="n">
        <x:f>DATE(YEAR(B1347),MONTH(B1347),1)</x:f>
        <x:v>45717</x:v>
      </x:c>
      <x:c r="E1347" s="84" t="str">
        <x:f>TEXT(B1347,"mmm")</x:f>
        <x:v>Mar</x:v>
      </x:c>
      <x:c r="F1347" s="84" t="str">
        <x:f>'Raw Sales'!C1347</x:f>
        <x:v>CUST-0524</x:v>
      </x:c>
      <x:c r="G1347" s="84" t="str">
        <x:f>PROPER(TRIM('Raw Sales'!D1347))</x:f>
        <x:v>Elena Adams</x:v>
      </x:c>
      <x:c r="H1347" s="84" t="str">
        <x:f>IF(TRIM('Raw Sales'!E1347)="","Unknown",PROPER(TRIM('Raw Sales'!E1347)))</x:f>
        <x:v>Consumer</x:v>
      </x:c>
      <x:c r="I1347" s="84" t="str">
        <x:f>PROPER(TRIM('Raw Sales'!F1347))</x:f>
        <x:v>Midwest</x:v>
      </x:c>
      <x:c r="J1347" s="84" t="str">
        <x:f>PROPER(TRIM('Raw Sales'!G1347))</x:f>
        <x:v>Detroit</x:v>
      </x:c>
      <x:c r="K1347" s="84" t="str">
        <x:f>PROPER(TRIM('Raw Sales'!H1347))</x:f>
        <x:v>Retail Store</x:v>
      </x:c>
      <x:c r="L1347" s="84" t="str">
        <x:f>'Raw Sales'!I1347</x:f>
        <x:v>HOME-003</x:v>
      </x:c>
      <x:c r="M1347" s="84" t="str">
        <x:f>IFERROR(VLOOKUP(L1347,'Reference Data'!$A$5:$F$40,2,FALSE),"Unknown Product")</x:f>
        <x:v>Countertop Blender</x:v>
      </x:c>
      <x:c r="N1347" s="84" t="str">
        <x:f>IFERROR(VLOOKUP(L1347,'Reference Data'!$A$5:$F$40,3,FALSE),"Unknown")</x:f>
        <x:v>Home &amp; Kitchen</x:v>
      </x:c>
      <x:c r="O1347" s="84" t="str">
        <x:f>IFERROR(VLOOKUP(L1347,'Reference Data'!$A$5:$F$40,4,FALSE),"Unknown")</x:f>
        <x:v>Small Appliances</x:v>
      </x:c>
      <x:c r="P1347" s="92" t="n">
        <x:f>IFERROR(VLOOKUP(L1347,'Reference Data'!$A$5:$F$40,5,FALSE),0)</x:f>
        <x:v>89</x:v>
      </x:c>
      <x:c r="Q1347" s="92" t="n">
        <x:f>IFERROR(VLOOKUP(L1347,'Reference Data'!$A$5:$F$40,6,FALSE),0)</x:f>
        <x:v>46</x:v>
      </x:c>
      <x:c r="R1347" s="84" t="n">
        <x:f>'Raw Sales'!J1347</x:f>
        <x:v>1</x:v>
      </x:c>
      <x:c r="S1347" s="87" t="n">
        <x:f>'Raw Sales'!K1347</x:f>
        <x:v>0</x:v>
      </x:c>
      <x:c r="T1347" s="93" t="n">
        <x:f>P1347*R1347</x:f>
        <x:v>89</x:v>
      </x:c>
      <x:c r="U1347" s="93" t="n">
        <x:f>T1347*S1347</x:f>
        <x:v>0</x:v>
      </x:c>
      <x:c r="V1347" s="93" t="str">
        <x:f>PROPER(TRIM('Raw Sales'!L1347))</x:f>
        <x:v>Completed</x:v>
      </x:c>
      <x:c r="W1347" s="93" t="n">
        <x:f>IF(V1347="Returned",0,T1347-U1347)</x:f>
        <x:v>89</x:v>
      </x:c>
      <x:c r="X1347" s="93" t="n">
        <x:f>IF(V1347="Returned",Q1347*R1347*10%,Q1347*R1347)</x:f>
        <x:v>46</x:v>
      </x:c>
      <x:c r="Y1347" s="93" t="n">
        <x:f>W1347-X1347</x:f>
        <x:v>43</x:v>
      </x:c>
      <x:c r="Z1347" s="94" t="n">
        <x:f>IFERROR(Y1347/W1347,0)</x:f>
        <x:v>0.48314606741573035</x:v>
      </x:c>
      <x:c r="AA1347" s="84" t="str">
        <x:f>PROPER(TRIM('Raw Sales'!M1347))</x:f>
        <x:v>Debit Card</x:v>
      </x:c>
      <x:c r="AB1347" s="84" t="str">
        <x:f>PROPER(TRIM('Raw Sales'!N1347))</x:f>
        <x:v>Emma Hayes</x:v>
      </x:c>
      <x:c r="AC1347" s="85" t="n">
        <x:f>'Raw Sales'!O1347</x:f>
        <x:v>45738</x:v>
      </x:c>
      <x:c r="AD1347" s="84" t="n">
        <x:f>AC1347-B1347</x:f>
        <x:v>0</x:v>
      </x:c>
      <x:c r="AE1347" s="84" t="str">
        <x:f>IF(COUNTIF($A$5:A1347,A1347)&gt;1,"Duplicate","Keep")</x:f>
        <x:v>Keep</x:v>
      </x:c>
      <x:c r="AF1347" s="84" t="str">
        <x:f>IF(OR(R1347&lt;=0,AC1347&lt;B1347,H1347="Unknown",M1347="Unknown Product"),"Review","Valid")</x:f>
        <x:v>Valid</x:v>
      </x:c>
      <x:c r="AG1347" s="84" t="n">
        <x:f>IF(AND(AE1347="Keep",AF1347="Valid"),1,0)</x:f>
        <x:v>1</x:v>
      </x:c>
      <x:c r="AH1347" s="84" t="n">
        <x:f>IF(AND(AG1347=1,OR('Dashboard'!$B$4="All",I1347='Dashboard'!$B$4),OR('Dashboard'!$E$4="All",N1347='Dashboard'!$E$4),OR('Dashboard'!$H$4="All",K1347='Dashboard'!$H$4),OR('Dashboard'!$K$4="All",C1347='Dashboard'!$K$4)),1,0)</x:f>
        <x:v>1</x:v>
      </x:c>
      <x:c r="AI1347" s="84" t="n">
        <x:f>IF(AND(AG1347=1,OR('Dashboard'!$B$4="All",I1347='Dashboard'!$B$4),OR('Dashboard'!$E$4="All",N1347='Dashboard'!$E$4),OR('Dashboard'!$H$4="All",K1347='Dashboard'!$H$4)),1,0)</x:f>
        <x:v>1</x:v>
      </x:c>
    </x:row>
    <x:row r="1348">
      <x:c r="A1348" s="84" t="str">
        <x:f>'Raw Sales'!A1348</x:f>
        <x:v>ORD-2025-02248</x:v>
      </x:c>
      <x:c r="B1348" s="85" t="n">
        <x:f>'Raw Sales'!B1348</x:f>
        <x:v>45738</x:v>
      </x:c>
      <x:c r="C1348" s="84" t="n">
        <x:f>YEAR(B1348)</x:f>
        <x:v>2025</x:v>
      </x:c>
      <x:c r="D1348" s="91" t="n">
        <x:f>DATE(YEAR(B1348),MONTH(B1348),1)</x:f>
        <x:v>45717</x:v>
      </x:c>
      <x:c r="E1348" s="84" t="str">
        <x:f>TEXT(B1348,"mmm")</x:f>
        <x:v>Mar</x:v>
      </x:c>
      <x:c r="F1348" s="84" t="str">
        <x:f>'Raw Sales'!C1348</x:f>
        <x:v>CUST-0529</x:v>
      </x:c>
      <x:c r="G1348" s="84" t="str">
        <x:f>PROPER(TRIM('Raw Sales'!D1348))</x:f>
        <x:v>Grace Hall</x:v>
      </x:c>
      <x:c r="H1348" s="84" t="str">
        <x:f>IF(TRIM('Raw Sales'!E1348)="","Unknown",PROPER(TRIM('Raw Sales'!E1348)))</x:f>
        <x:v>Consumer</x:v>
      </x:c>
      <x:c r="I1348" s="84" t="str">
        <x:f>PROPER(TRIM('Raw Sales'!F1348))</x:f>
        <x:v>Northeast</x:v>
      </x:c>
      <x:c r="J1348" s="84" t="str">
        <x:f>PROPER(TRIM('Raw Sales'!G1348))</x:f>
        <x:v>Newark</x:v>
      </x:c>
      <x:c r="K1348" s="84" t="str">
        <x:f>PROPER(TRIM('Raw Sales'!H1348))</x:f>
        <x:v>Online</x:v>
      </x:c>
      <x:c r="L1348" s="84" t="str">
        <x:f>'Raw Sales'!I1348</x:f>
        <x:v>ELEC-001</x:v>
      </x:c>
      <x:c r="M1348" s="84" t="str">
        <x:f>IFERROR(VLOOKUP(L1348,'Reference Data'!$A$5:$F$40,2,FALSE),"Unknown Product")</x:f>
        <x:v>Wireless Earbuds</x:v>
      </x:c>
      <x:c r="N1348" s="84" t="str">
        <x:f>IFERROR(VLOOKUP(L1348,'Reference Data'!$A$5:$F$40,3,FALSE),"Unknown")</x:f>
        <x:v>Electronics</x:v>
      </x:c>
      <x:c r="O1348" s="84" t="str">
        <x:f>IFERROR(VLOOKUP(L1348,'Reference Data'!$A$5:$F$40,4,FALSE),"Unknown")</x:f>
        <x:v>Audio</x:v>
      </x:c>
      <x:c r="P1348" s="92" t="n">
        <x:f>IFERROR(VLOOKUP(L1348,'Reference Data'!$A$5:$F$40,5,FALSE),0)</x:f>
        <x:v>69</x:v>
      </x:c>
      <x:c r="Q1348" s="92" t="n">
        <x:f>IFERROR(VLOOKUP(L1348,'Reference Data'!$A$5:$F$40,6,FALSE),0)</x:f>
        <x:v>36</x:v>
      </x:c>
      <x:c r="R1348" s="84" t="n">
        <x:f>'Raw Sales'!J1348</x:f>
        <x:v>3</x:v>
      </x:c>
      <x:c r="S1348" s="87" t="n">
        <x:f>'Raw Sales'!K1348</x:f>
        <x:v>0.05</x:v>
      </x:c>
      <x:c r="T1348" s="93" t="n">
        <x:f>P1348*R1348</x:f>
        <x:v>207</x:v>
      </x:c>
      <x:c r="U1348" s="93" t="n">
        <x:f>T1348*S1348</x:f>
        <x:v>10.350000000000001</x:v>
      </x:c>
      <x:c r="V1348" s="93" t="str">
        <x:f>PROPER(TRIM('Raw Sales'!L1348))</x:f>
        <x:v>Completed</x:v>
      </x:c>
      <x:c r="W1348" s="93" t="n">
        <x:f>IF(V1348="Returned",0,T1348-U1348)</x:f>
        <x:v>196.65</x:v>
      </x:c>
      <x:c r="X1348" s="93" t="n">
        <x:f>IF(V1348="Returned",Q1348*R1348*10%,Q1348*R1348)</x:f>
        <x:v>108</x:v>
      </x:c>
      <x:c r="Y1348" s="93" t="n">
        <x:f>W1348-X1348</x:f>
        <x:v>88.65</x:v>
      </x:c>
      <x:c r="Z1348" s="94" t="n">
        <x:f>IFERROR(Y1348/W1348,0)</x:f>
        <x:v>0.45080091533180777</x:v>
      </x:c>
      <x:c r="AA1348" s="84" t="str">
        <x:f>PROPER(TRIM('Raw Sales'!M1348))</x:f>
        <x:v>Credit Card</x:v>
      </x:c>
      <x:c r="AB1348" s="84" t="str">
        <x:f>PROPER(TRIM('Raw Sales'!N1348))</x:f>
        <x:v>Maya Brooks</x:v>
      </x:c>
      <x:c r="AC1348" s="85" t="n">
        <x:f>'Raw Sales'!O1348</x:f>
        <x:v>45741</x:v>
      </x:c>
      <x:c r="AD1348" s="84" t="n">
        <x:f>AC1348-B1348</x:f>
        <x:v>3</x:v>
      </x:c>
      <x:c r="AE1348" s="84" t="str">
        <x:f>IF(COUNTIF($A$5:A1348,A1348)&gt;1,"Duplicate","Keep")</x:f>
        <x:v>Keep</x:v>
      </x:c>
      <x:c r="AF1348" s="84" t="str">
        <x:f>IF(OR(R1348&lt;=0,AC1348&lt;B1348,H1348="Unknown",M1348="Unknown Product"),"Review","Valid")</x:f>
        <x:v>Valid</x:v>
      </x:c>
      <x:c r="AG1348" s="84" t="n">
        <x:f>IF(AND(AE1348="Keep",AF1348="Valid"),1,0)</x:f>
        <x:v>1</x:v>
      </x:c>
      <x:c r="AH1348" s="84" t="n">
        <x:f>IF(AND(AG1348=1,OR('Dashboard'!$B$4="All",I1348='Dashboard'!$B$4),OR('Dashboard'!$E$4="All",N1348='Dashboard'!$E$4),OR('Dashboard'!$H$4="All",K1348='Dashboard'!$H$4),OR('Dashboard'!$K$4="All",C1348='Dashboard'!$K$4)),1,0)</x:f>
        <x:v>1</x:v>
      </x:c>
      <x:c r="AI1348" s="84" t="n">
        <x:f>IF(AND(AG1348=1,OR('Dashboard'!$B$4="All",I1348='Dashboard'!$B$4),OR('Dashboard'!$E$4="All",N1348='Dashboard'!$E$4),OR('Dashboard'!$H$4="All",K1348='Dashboard'!$H$4)),1,0)</x:f>
        <x:v>1</x:v>
      </x:c>
    </x:row>
    <x:row r="1349">
      <x:c r="A1349" s="84" t="str">
        <x:f>'Raw Sales'!A1349</x:f>
        <x:v>ORD-2025-02376</x:v>
      </x:c>
      <x:c r="B1349" s="85" t="n">
        <x:f>'Raw Sales'!B1349</x:f>
        <x:v>45738</x:v>
      </x:c>
      <x:c r="C1349" s="84" t="n">
        <x:f>YEAR(B1349)</x:f>
        <x:v>2025</x:v>
      </x:c>
      <x:c r="D1349" s="91" t="n">
        <x:f>DATE(YEAR(B1349),MONTH(B1349),1)</x:f>
        <x:v>45717</x:v>
      </x:c>
      <x:c r="E1349" s="84" t="str">
        <x:f>TEXT(B1349,"mmm")</x:f>
        <x:v>Mar</x:v>
      </x:c>
      <x:c r="F1349" s="84" t="str">
        <x:f>'Raw Sales'!C1349</x:f>
        <x:v>CUST-0581</x:v>
      </x:c>
      <x:c r="G1349" s="84" t="str">
        <x:f>PROPER(TRIM('Raw Sales'!D1349))</x:f>
        <x:v>Grace Lewis</x:v>
      </x:c>
      <x:c r="H1349" s="84" t="str">
        <x:f>IF(TRIM('Raw Sales'!E1349)="","Unknown",PROPER(TRIM('Raw Sales'!E1349)))</x:f>
        <x:v>Consumer</x:v>
      </x:c>
      <x:c r="I1349" s="84" t="str">
        <x:f>PROPER(TRIM('Raw Sales'!F1349))</x:f>
        <x:v>West</x:v>
      </x:c>
      <x:c r="J1349" s="84" t="str">
        <x:f>PROPER(TRIM('Raw Sales'!G1349))</x:f>
        <x:v>Phoenix</x:v>
      </x:c>
      <x:c r="K1349" s="84" t="str">
        <x:f>PROPER(TRIM('Raw Sales'!H1349))</x:f>
        <x:v>Online</x:v>
      </x:c>
      <x:c r="L1349" s="84" t="str">
        <x:f>'Raw Sales'!I1349</x:f>
        <x:v>FITN-005</x:v>
      </x:c>
      <x:c r="M1349" s="84" t="str">
        <x:f>IFERROR(VLOOKUP(L1349,'Reference Data'!$A$5:$F$40,2,FALSE),"Unknown Product")</x:f>
        <x:v>Sports Water Bottle</x:v>
      </x:c>
      <x:c r="N1349" s="84" t="str">
        <x:f>IFERROR(VLOOKUP(L1349,'Reference Data'!$A$5:$F$40,3,FALSE),"Unknown")</x:f>
        <x:v>Fitness</x:v>
      </x:c>
      <x:c r="O1349" s="84" t="str">
        <x:f>IFERROR(VLOOKUP(L1349,'Reference Data'!$A$5:$F$40,4,FALSE),"Unknown")</x:f>
        <x:v>Accessories</x:v>
      </x:c>
      <x:c r="P1349" s="92" t="n">
        <x:f>IFERROR(VLOOKUP(L1349,'Reference Data'!$A$5:$F$40,5,FALSE),0)</x:f>
        <x:v>22</x:v>
      </x:c>
      <x:c r="Q1349" s="92" t="n">
        <x:f>IFERROR(VLOOKUP(L1349,'Reference Data'!$A$5:$F$40,6,FALSE),0)</x:f>
        <x:v>7</x:v>
      </x:c>
      <x:c r="R1349" s="84" t="n">
        <x:f>'Raw Sales'!J1349</x:f>
        <x:v>1</x:v>
      </x:c>
      <x:c r="S1349" s="87" t="n">
        <x:f>'Raw Sales'!K1349</x:f>
        <x:v>0.2</x:v>
      </x:c>
      <x:c r="T1349" s="93" t="n">
        <x:f>P1349*R1349</x:f>
        <x:v>22</x:v>
      </x:c>
      <x:c r="U1349" s="93" t="n">
        <x:f>T1349*S1349</x:f>
        <x:v>4.4</x:v>
      </x:c>
      <x:c r="V1349" s="93" t="str">
        <x:f>PROPER(TRIM('Raw Sales'!L1349))</x:f>
        <x:v>Completed</x:v>
      </x:c>
      <x:c r="W1349" s="93" t="n">
        <x:f>IF(V1349="Returned",0,T1349-U1349)</x:f>
        <x:v>17.6</x:v>
      </x:c>
      <x:c r="X1349" s="93" t="n">
        <x:f>IF(V1349="Returned",Q1349*R1349*10%,Q1349*R1349)</x:f>
        <x:v>7</x:v>
      </x:c>
      <x:c r="Y1349" s="93" t="n">
        <x:f>W1349-X1349</x:f>
        <x:v>10.600000000000001</x:v>
      </x:c>
      <x:c r="Z1349" s="94" t="n">
        <x:f>IFERROR(Y1349/W1349,0)</x:f>
        <x:v>0.6022727272727273</x:v>
      </x:c>
      <x:c r="AA1349" s="84" t="str">
        <x:f>PROPER(TRIM('Raw Sales'!M1349))</x:f>
        <x:v>Debit Card</x:v>
      </x:c>
      <x:c r="AB1349" s="84" t="str">
        <x:f>PROPER(TRIM('Raw Sales'!N1349))</x:f>
        <x:v>Nora Kim</x:v>
      </x:c>
      <x:c r="AC1349" s="85" t="n">
        <x:f>'Raw Sales'!O1349</x:f>
        <x:v>45740</x:v>
      </x:c>
      <x:c r="AD1349" s="84" t="n">
        <x:f>AC1349-B1349</x:f>
        <x:v>2</x:v>
      </x:c>
      <x:c r="AE1349" s="84" t="str">
        <x:f>IF(COUNTIF($A$5:A1349,A1349)&gt;1,"Duplicate","Keep")</x:f>
        <x:v>Keep</x:v>
      </x:c>
      <x:c r="AF1349" s="84" t="str">
        <x:f>IF(OR(R1349&lt;=0,AC1349&lt;B1349,H1349="Unknown",M1349="Unknown Product"),"Review","Valid")</x:f>
        <x:v>Valid</x:v>
      </x:c>
      <x:c r="AG1349" s="84" t="n">
        <x:f>IF(AND(AE1349="Keep",AF1349="Valid"),1,0)</x:f>
        <x:v>1</x:v>
      </x:c>
      <x:c r="AH1349" s="84" t="n">
        <x:f>IF(AND(AG1349=1,OR('Dashboard'!$B$4="All",I1349='Dashboard'!$B$4),OR('Dashboard'!$E$4="All",N1349='Dashboard'!$E$4),OR('Dashboard'!$H$4="All",K1349='Dashboard'!$H$4),OR('Dashboard'!$K$4="All",C1349='Dashboard'!$K$4)),1,0)</x:f>
        <x:v>1</x:v>
      </x:c>
      <x:c r="AI1349" s="84" t="n">
        <x:f>IF(AND(AG1349=1,OR('Dashboard'!$B$4="All",I1349='Dashboard'!$B$4),OR('Dashboard'!$E$4="All",N1349='Dashboard'!$E$4),OR('Dashboard'!$H$4="All",K1349='Dashboard'!$H$4)),1,0)</x:f>
        <x:v>1</x:v>
      </x:c>
    </x:row>
    <x:row r="1350">
      <x:c r="A1350" s="84" t="str">
        <x:f>'Raw Sales'!A1350</x:f>
        <x:v>ORD-2025-00434</x:v>
      </x:c>
      <x:c r="B1350" s="85" t="n">
        <x:f>'Raw Sales'!B1350</x:f>
        <x:v>45739</x:v>
      </x:c>
      <x:c r="C1350" s="84" t="n">
        <x:f>YEAR(B1350)</x:f>
        <x:v>2025</x:v>
      </x:c>
      <x:c r="D1350" s="91" t="n">
        <x:f>DATE(YEAR(B1350),MONTH(B1350),1)</x:f>
        <x:v>45717</x:v>
      </x:c>
      <x:c r="E1350" s="84" t="str">
        <x:f>TEXT(B1350,"mmm")</x:f>
        <x:v>Mar</x:v>
      </x:c>
      <x:c r="F1350" s="84" t="str">
        <x:f>'Raw Sales'!C1350</x:f>
        <x:v>CUST-0015</x:v>
      </x:c>
      <x:c r="G1350" s="84" t="str">
        <x:f>PROPER(TRIM('Raw Sales'!D1350))</x:f>
        <x:v>Elena Walker</x:v>
      </x:c>
      <x:c r="H1350" s="84" t="str">
        <x:f>IF(TRIM('Raw Sales'!E1350)="","Unknown",PROPER(TRIM('Raw Sales'!E1350)))</x:f>
        <x:v>Consumer</x:v>
      </x:c>
      <x:c r="I1350" s="84" t="str">
        <x:f>PROPER(TRIM('Raw Sales'!F1350))</x:f>
        <x:v>West</x:v>
      </x:c>
      <x:c r="J1350" s="84" t="str">
        <x:f>PROPER(TRIM('Raw Sales'!G1350))</x:f>
        <x:v>Denver</x:v>
      </x:c>
      <x:c r="K1350" s="84" t="str">
        <x:f>PROPER(TRIM('Raw Sales'!H1350))</x:f>
        <x:v>Marketplace</x:v>
      </x:c>
      <x:c r="L1350" s="84" t="str">
        <x:f>'Raw Sales'!I1350</x:f>
        <x:v>ELEC-002</x:v>
      </x:c>
      <x:c r="M1350" s="84" t="str">
        <x:f>IFERROR(VLOOKUP(L1350,'Reference Data'!$A$5:$F$40,2,FALSE),"Unknown Product")</x:f>
        <x:v>Smartwatch</x:v>
      </x:c>
      <x:c r="N1350" s="84" t="str">
        <x:f>IFERROR(VLOOKUP(L1350,'Reference Data'!$A$5:$F$40,3,FALSE),"Unknown")</x:f>
        <x:v>Electronics</x:v>
      </x:c>
      <x:c r="O1350" s="84" t="str">
        <x:f>IFERROR(VLOOKUP(L1350,'Reference Data'!$A$5:$F$40,4,FALSE),"Unknown")</x:f>
        <x:v>Wearables</x:v>
      </x:c>
      <x:c r="P1350" s="92" t="n">
        <x:f>IFERROR(VLOOKUP(L1350,'Reference Data'!$A$5:$F$40,5,FALSE),0)</x:f>
        <x:v>159</x:v>
      </x:c>
      <x:c r="Q1350" s="92" t="n">
        <x:f>IFERROR(VLOOKUP(L1350,'Reference Data'!$A$5:$F$40,6,FALSE),0)</x:f>
        <x:v>92</x:v>
      </x:c>
      <x:c r="R1350" s="84" t="n">
        <x:f>'Raw Sales'!J1350</x:f>
        <x:v>1</x:v>
      </x:c>
      <x:c r="S1350" s="87" t="n">
        <x:f>'Raw Sales'!K1350</x:f>
        <x:v>0</x:v>
      </x:c>
      <x:c r="T1350" s="93" t="n">
        <x:f>P1350*R1350</x:f>
        <x:v>159</x:v>
      </x:c>
      <x:c r="U1350" s="93" t="n">
        <x:f>T1350*S1350</x:f>
        <x:v>0</x:v>
      </x:c>
      <x:c r="V1350" s="93" t="str">
        <x:f>PROPER(TRIM('Raw Sales'!L1350))</x:f>
        <x:v>Completed</x:v>
      </x:c>
      <x:c r="W1350" s="93" t="n">
        <x:f>IF(V1350="Returned",0,T1350-U1350)</x:f>
        <x:v>159</x:v>
      </x:c>
      <x:c r="X1350" s="93" t="n">
        <x:f>IF(V1350="Returned",Q1350*R1350*10%,Q1350*R1350)</x:f>
        <x:v>92</x:v>
      </x:c>
      <x:c r="Y1350" s="93" t="n">
        <x:f>W1350-X1350</x:f>
        <x:v>67</x:v>
      </x:c>
      <x:c r="Z1350" s="94" t="n">
        <x:f>IFERROR(Y1350/W1350,0)</x:f>
        <x:v>0.42138364779874216</x:v>
      </x:c>
      <x:c r="AA1350" s="84" t="str">
        <x:f>PROPER(TRIM('Raw Sales'!M1350))</x:f>
        <x:v>Credit Card</x:v>
      </x:c>
      <x:c r="AB1350" s="84" t="str">
        <x:f>PROPER(TRIM('Raw Sales'!N1350))</x:f>
        <x:v>Nora Kim</x:v>
      </x:c>
      <x:c r="AC1350" s="85" t="n">
        <x:f>'Raw Sales'!O1350</x:f>
        <x:v>45745</x:v>
      </x:c>
      <x:c r="AD1350" s="84" t="n">
        <x:f>AC1350-B1350</x:f>
        <x:v>6</x:v>
      </x:c>
      <x:c r="AE1350" s="84" t="str">
        <x:f>IF(COUNTIF($A$5:A1350,A1350)&gt;1,"Duplicate","Keep")</x:f>
        <x:v>Keep</x:v>
      </x:c>
      <x:c r="AF1350" s="84" t="str">
        <x:f>IF(OR(R1350&lt;=0,AC1350&lt;B1350,H1350="Unknown",M1350="Unknown Product"),"Review","Valid")</x:f>
        <x:v>Valid</x:v>
      </x:c>
      <x:c r="AG1350" s="84" t="n">
        <x:f>IF(AND(AE1350="Keep",AF1350="Valid"),1,0)</x:f>
        <x:v>1</x:v>
      </x:c>
      <x:c r="AH1350" s="84" t="n">
        <x:f>IF(AND(AG1350=1,OR('Dashboard'!$B$4="All",I1350='Dashboard'!$B$4),OR('Dashboard'!$E$4="All",N1350='Dashboard'!$E$4),OR('Dashboard'!$H$4="All",K1350='Dashboard'!$H$4),OR('Dashboard'!$K$4="All",C1350='Dashboard'!$K$4)),1,0)</x:f>
        <x:v>1</x:v>
      </x:c>
      <x:c r="AI1350" s="84" t="n">
        <x:f>IF(AND(AG1350=1,OR('Dashboard'!$B$4="All",I1350='Dashboard'!$B$4),OR('Dashboard'!$E$4="All",N1350='Dashboard'!$E$4),OR('Dashboard'!$H$4="All",K1350='Dashboard'!$H$4)),1,0)</x:f>
        <x:v>1</x:v>
      </x:c>
    </x:row>
    <x:row r="1351">
      <x:c r="A1351" s="84" t="str">
        <x:f>'Raw Sales'!A1351</x:f>
        <x:v>ORD-2025-00246</x:v>
      </x:c>
      <x:c r="B1351" s="85" t="n">
        <x:f>'Raw Sales'!B1351</x:f>
        <x:v>45740</x:v>
      </x:c>
      <x:c r="C1351" s="84" t="n">
        <x:f>YEAR(B1351)</x:f>
        <x:v>2025</x:v>
      </x:c>
      <x:c r="D1351" s="91" t="n">
        <x:f>DATE(YEAR(B1351),MONTH(B1351),1)</x:f>
        <x:v>45717</x:v>
      </x:c>
      <x:c r="E1351" s="84" t="str">
        <x:f>TEXT(B1351,"mmm")</x:f>
        <x:v>Mar</x:v>
      </x:c>
      <x:c r="F1351" s="84" t="str">
        <x:f>'Raw Sales'!C1351</x:f>
        <x:v>CUST-0074</x:v>
      </x:c>
      <x:c r="G1351" s="84" t="str">
        <x:f>PROPER(TRIM('Raw Sales'!D1351))</x:f>
        <x:v>Grace Taylor</x:v>
      </x:c>
      <x:c r="H1351" s="84" t="str">
        <x:f>IF(TRIM('Raw Sales'!E1351)="","Unknown",PROPER(TRIM('Raw Sales'!E1351)))</x:f>
        <x:v>Consumer</x:v>
      </x:c>
      <x:c r="I1351" s="84" t="str">
        <x:f>PROPER(TRIM('Raw Sales'!F1351))</x:f>
        <x:v>West</x:v>
      </x:c>
      <x:c r="J1351" s="84" t="str">
        <x:f>PROPER(TRIM('Raw Sales'!G1351))</x:f>
        <x:v>Seattle</x:v>
      </x:c>
      <x:c r="K1351" s="84" t="str">
        <x:f>PROPER(TRIM('Raw Sales'!H1351))</x:f>
        <x:v>Retail Store</x:v>
      </x:c>
      <x:c r="L1351" s="84" t="str">
        <x:f>'Raw Sales'!I1351</x:f>
        <x:v>ACCS-001</x:v>
      </x:c>
      <x:c r="M1351" s="84" t="str">
        <x:f>IFERROR(VLOOKUP(L1351,'Reference Data'!$A$5:$F$40,2,FALSE),"Unknown Product")</x:f>
        <x:v>Canvas Tote Bag</x:v>
      </x:c>
      <x:c r="N1351" s="84" t="str">
        <x:f>IFERROR(VLOOKUP(L1351,'Reference Data'!$A$5:$F$40,3,FALSE),"Unknown")</x:f>
        <x:v>Accessories</x:v>
      </x:c>
      <x:c r="O1351" s="84" t="str">
        <x:f>IFERROR(VLOOKUP(L1351,'Reference Data'!$A$5:$F$40,4,FALSE),"Unknown")</x:f>
        <x:v>Bags</x:v>
      </x:c>
      <x:c r="P1351" s="92" t="n">
        <x:f>IFERROR(VLOOKUP(L1351,'Reference Data'!$A$5:$F$40,5,FALSE),0)</x:f>
        <x:v>39</x:v>
      </x:c>
      <x:c r="Q1351" s="92" t="n">
        <x:f>IFERROR(VLOOKUP(L1351,'Reference Data'!$A$5:$F$40,6,FALSE),0)</x:f>
        <x:v>14</x:v>
      </x:c>
      <x:c r="R1351" s="84" t="n">
        <x:f>'Raw Sales'!J1351</x:f>
        <x:v>2</x:v>
      </x:c>
      <x:c r="S1351" s="87" t="n">
        <x:f>'Raw Sales'!K1351</x:f>
        <x:v>0.05</x:v>
      </x:c>
      <x:c r="T1351" s="93" t="n">
        <x:f>P1351*R1351</x:f>
        <x:v>78</x:v>
      </x:c>
      <x:c r="U1351" s="93" t="n">
        <x:f>T1351*S1351</x:f>
        <x:v>3.9000000000000004</x:v>
      </x:c>
      <x:c r="V1351" s="93" t="str">
        <x:f>PROPER(TRIM('Raw Sales'!L1351))</x:f>
        <x:v>Completed</x:v>
      </x:c>
      <x:c r="W1351" s="93" t="n">
        <x:f>IF(V1351="Returned",0,T1351-U1351)</x:f>
        <x:v>74.1</x:v>
      </x:c>
      <x:c r="X1351" s="93" t="n">
        <x:f>IF(V1351="Returned",Q1351*R1351*10%,Q1351*R1351)</x:f>
        <x:v>28</x:v>
      </x:c>
      <x:c r="Y1351" s="93" t="n">
        <x:f>W1351-X1351</x:f>
        <x:v>46.099999999999994</x:v>
      </x:c>
      <x:c r="Z1351" s="94" t="n">
        <x:f>IFERROR(Y1351/W1351,0)</x:f>
        <x:v>0.6221322537112011</x:v>
      </x:c>
      <x:c r="AA1351" s="84" t="str">
        <x:f>PROPER(TRIM('Raw Sales'!M1351))</x:f>
        <x:v>Cash</x:v>
      </x:c>
      <x:c r="AB1351" s="84" t="str">
        <x:f>PROPER(TRIM('Raw Sales'!N1351))</x:f>
        <x:v>Mia Chen</x:v>
      </x:c>
      <x:c r="AC1351" s="85" t="n">
        <x:f>'Raw Sales'!O1351</x:f>
        <x:v>45740</x:v>
      </x:c>
      <x:c r="AD1351" s="84" t="n">
        <x:f>AC1351-B1351</x:f>
        <x:v>0</x:v>
      </x:c>
      <x:c r="AE1351" s="84" t="str">
        <x:f>IF(COUNTIF($A$5:A1351,A1351)&gt;1,"Duplicate","Keep")</x:f>
        <x:v>Keep</x:v>
      </x:c>
      <x:c r="AF1351" s="84" t="str">
        <x:f>IF(OR(R1351&lt;=0,AC1351&lt;B1351,H1351="Unknown",M1351="Unknown Product"),"Review","Valid")</x:f>
        <x:v>Valid</x:v>
      </x:c>
      <x:c r="AG1351" s="84" t="n">
        <x:f>IF(AND(AE1351="Keep",AF1351="Valid"),1,0)</x:f>
        <x:v>1</x:v>
      </x:c>
      <x:c r="AH1351" s="84" t="n">
        <x:f>IF(AND(AG1351=1,OR('Dashboard'!$B$4="All",I1351='Dashboard'!$B$4),OR('Dashboard'!$E$4="All",N1351='Dashboard'!$E$4),OR('Dashboard'!$H$4="All",K1351='Dashboard'!$H$4),OR('Dashboard'!$K$4="All",C1351='Dashboard'!$K$4)),1,0)</x:f>
        <x:v>1</x:v>
      </x:c>
      <x:c r="AI1351" s="84" t="n">
        <x:f>IF(AND(AG1351=1,OR('Dashboard'!$B$4="All",I1351='Dashboard'!$B$4),OR('Dashboard'!$E$4="All",N1351='Dashboard'!$E$4),OR('Dashboard'!$H$4="All",K1351='Dashboard'!$H$4)),1,0)</x:f>
        <x:v>1</x:v>
      </x:c>
    </x:row>
    <x:row r="1352">
      <x:c r="A1352" s="84" t="str">
        <x:f>'Raw Sales'!A1352</x:f>
        <x:v>ORD-2025-00724</x:v>
      </x:c>
      <x:c r="B1352" s="85" t="n">
        <x:f>'Raw Sales'!B1352</x:f>
        <x:v>45740</x:v>
      </x:c>
      <x:c r="C1352" s="84" t="n">
        <x:f>YEAR(B1352)</x:f>
        <x:v>2025</x:v>
      </x:c>
      <x:c r="D1352" s="91" t="n">
        <x:f>DATE(YEAR(B1352),MONTH(B1352),1)</x:f>
        <x:v>45717</x:v>
      </x:c>
      <x:c r="E1352" s="84" t="str">
        <x:f>TEXT(B1352,"mmm")</x:f>
        <x:v>Mar</x:v>
      </x:c>
      <x:c r="F1352" s="84" t="str">
        <x:f>'Raw Sales'!C1352</x:f>
        <x:v>CUST-0422</x:v>
      </x:c>
      <x:c r="G1352" s="84" t="str">
        <x:f>PROPER(TRIM('Raw Sales'!D1352))</x:f>
        <x:v>William Adams</x:v>
      </x:c>
      <x:c r="H1352" s="84" t="str">
        <x:f>IF(TRIM('Raw Sales'!E1352)="","Unknown",PROPER(TRIM('Raw Sales'!E1352)))</x:f>
        <x:v>Consumer</x:v>
      </x:c>
      <x:c r="I1352" s="84" t="str">
        <x:f>PROPER(TRIM('Raw Sales'!F1352))</x:f>
        <x:v>Midwest</x:v>
      </x:c>
      <x:c r="J1352" s="84" t="str">
        <x:f>PROPER(TRIM('Raw Sales'!G1352))</x:f>
        <x:v>Detroit</x:v>
      </x:c>
      <x:c r="K1352" s="84" t="str">
        <x:f>PROPER(TRIM('Raw Sales'!H1352))</x:f>
        <x:v>Marketplace</x:v>
      </x:c>
      <x:c r="L1352" s="84" t="str">
        <x:f>'Raw Sales'!I1352</x:f>
        <x:v>ELEC-001</x:v>
      </x:c>
      <x:c r="M1352" s="84" t="str">
        <x:f>IFERROR(VLOOKUP(L1352,'Reference Data'!$A$5:$F$40,2,FALSE),"Unknown Product")</x:f>
        <x:v>Wireless Earbuds</x:v>
      </x:c>
      <x:c r="N1352" s="84" t="str">
        <x:f>IFERROR(VLOOKUP(L1352,'Reference Data'!$A$5:$F$40,3,FALSE),"Unknown")</x:f>
        <x:v>Electronics</x:v>
      </x:c>
      <x:c r="O1352" s="84" t="str">
        <x:f>IFERROR(VLOOKUP(L1352,'Reference Data'!$A$5:$F$40,4,FALSE),"Unknown")</x:f>
        <x:v>Audio</x:v>
      </x:c>
      <x:c r="P1352" s="92" t="n">
        <x:f>IFERROR(VLOOKUP(L1352,'Reference Data'!$A$5:$F$40,5,FALSE),0)</x:f>
        <x:v>69</x:v>
      </x:c>
      <x:c r="Q1352" s="92" t="n">
        <x:f>IFERROR(VLOOKUP(L1352,'Reference Data'!$A$5:$F$40,6,FALSE),0)</x:f>
        <x:v>36</x:v>
      </x:c>
      <x:c r="R1352" s="84" t="n">
        <x:f>'Raw Sales'!J1352</x:f>
        <x:v>2</x:v>
      </x:c>
      <x:c r="S1352" s="87" t="n">
        <x:f>'Raw Sales'!K1352</x:f>
        <x:v>0</x:v>
      </x:c>
      <x:c r="T1352" s="93" t="n">
        <x:f>P1352*R1352</x:f>
        <x:v>138</x:v>
      </x:c>
      <x:c r="U1352" s="93" t="n">
        <x:f>T1352*S1352</x:f>
        <x:v>0</x:v>
      </x:c>
      <x:c r="V1352" s="93" t="str">
        <x:f>PROPER(TRIM('Raw Sales'!L1352))</x:f>
        <x:v>Completed</x:v>
      </x:c>
      <x:c r="W1352" s="93" t="n">
        <x:f>IF(V1352="Returned",0,T1352-U1352)</x:f>
        <x:v>138</x:v>
      </x:c>
      <x:c r="X1352" s="93" t="n">
        <x:f>IF(V1352="Returned",Q1352*R1352*10%,Q1352*R1352)</x:f>
        <x:v>72</x:v>
      </x:c>
      <x:c r="Y1352" s="93" t="n">
        <x:f>W1352-X1352</x:f>
        <x:v>66</x:v>
      </x:c>
      <x:c r="Z1352" s="94" t="n">
        <x:f>IFERROR(Y1352/W1352,0)</x:f>
        <x:v>0.4782608695652174</x:v>
      </x:c>
      <x:c r="AA1352" s="84" t="str">
        <x:f>PROPER(TRIM('Raw Sales'!M1352))</x:f>
        <x:v>Debit Card</x:v>
      </x:c>
      <x:c r="AB1352" s="84" t="str">
        <x:f>PROPER(TRIM('Raw Sales'!N1352))</x:f>
        <x:v>Zoe Turner</x:v>
      </x:c>
      <x:c r="AC1352" s="85" t="n">
        <x:f>'Raw Sales'!O1352</x:f>
        <x:v>45743</x:v>
      </x:c>
      <x:c r="AD1352" s="84" t="n">
        <x:f>AC1352-B1352</x:f>
        <x:v>3</x:v>
      </x:c>
      <x:c r="AE1352" s="84" t="str">
        <x:f>IF(COUNTIF($A$5:A1352,A1352)&gt;1,"Duplicate","Keep")</x:f>
        <x:v>Keep</x:v>
      </x:c>
      <x:c r="AF1352" s="84" t="str">
        <x:f>IF(OR(R1352&lt;=0,AC1352&lt;B1352,H1352="Unknown",M1352="Unknown Product"),"Review","Valid")</x:f>
        <x:v>Valid</x:v>
      </x:c>
      <x:c r="AG1352" s="84" t="n">
        <x:f>IF(AND(AE1352="Keep",AF1352="Valid"),1,0)</x:f>
        <x:v>1</x:v>
      </x:c>
      <x:c r="AH1352" s="84" t="n">
        <x:f>IF(AND(AG1352=1,OR('Dashboard'!$B$4="All",I1352='Dashboard'!$B$4),OR('Dashboard'!$E$4="All",N1352='Dashboard'!$E$4),OR('Dashboard'!$H$4="All",K1352='Dashboard'!$H$4),OR('Dashboard'!$K$4="All",C1352='Dashboard'!$K$4)),1,0)</x:f>
        <x:v>1</x:v>
      </x:c>
      <x:c r="AI1352" s="84" t="n">
        <x:f>IF(AND(AG1352=1,OR('Dashboard'!$B$4="All",I1352='Dashboard'!$B$4),OR('Dashboard'!$E$4="All",N1352='Dashboard'!$E$4),OR('Dashboard'!$H$4="All",K1352='Dashboard'!$H$4)),1,0)</x:f>
        <x:v>1</x:v>
      </x:c>
    </x:row>
    <x:row r="1353">
      <x:c r="A1353" s="84" t="str">
        <x:f>'Raw Sales'!A1353</x:f>
        <x:v>ORD-2025-00814</x:v>
      </x:c>
      <x:c r="B1353" s="85" t="n">
        <x:f>'Raw Sales'!B1353</x:f>
        <x:v>45740</x:v>
      </x:c>
      <x:c r="C1353" s="84" t="n">
        <x:f>YEAR(B1353)</x:f>
        <x:v>2025</x:v>
      </x:c>
      <x:c r="D1353" s="91" t="n">
        <x:f>DATE(YEAR(B1353),MONTH(B1353),1)</x:f>
        <x:v>45717</x:v>
      </x:c>
      <x:c r="E1353" s="84" t="str">
        <x:f>TEXT(B1353,"mmm")</x:f>
        <x:v>Mar</x:v>
      </x:c>
      <x:c r="F1353" s="84" t="str">
        <x:f>'Raw Sales'!C1353</x:f>
        <x:v>CUST-0262</x:v>
      </x:c>
      <x:c r="G1353" s="84" t="str">
        <x:f>PROPER(TRIM('Raw Sales'!D1353))</x:f>
        <x:v>Owen Carter</x:v>
      </x:c>
      <x:c r="H1353" s="84" t="str">
        <x:f>IF(TRIM('Raw Sales'!E1353)="","Unknown",PROPER(TRIM('Raw Sales'!E1353)))</x:f>
        <x:v>Small Business</x:v>
      </x:c>
      <x:c r="I1353" s="84" t="str">
        <x:f>PROPER(TRIM('Raw Sales'!F1353))</x:f>
        <x:v>Northeast</x:v>
      </x:c>
      <x:c r="J1353" s="84" t="str">
        <x:f>PROPER(TRIM('Raw Sales'!G1353))</x:f>
        <x:v>New York</x:v>
      </x:c>
      <x:c r="K1353" s="84" t="str">
        <x:f>PROPER(TRIM('Raw Sales'!H1353))</x:f>
        <x:v>Online</x:v>
      </x:c>
      <x:c r="L1353" s="84" t="str">
        <x:f>'Raw Sales'!I1353</x:f>
        <x:v>HOME-004</x:v>
      </x:c>
      <x:c r="M1353" s="84" t="str">
        <x:f>IFERROR(VLOOKUP(L1353,'Reference Data'!$A$5:$F$40,2,FALSE),"Unknown Product")</x:f>
        <x:v>Coffee Maker</x:v>
      </x:c>
      <x:c r="N1353" s="84" t="str">
        <x:f>IFERROR(VLOOKUP(L1353,'Reference Data'!$A$5:$F$40,3,FALSE),"Unknown")</x:f>
        <x:v>Home &amp; Kitchen</x:v>
      </x:c>
      <x:c r="O1353" s="84" t="str">
        <x:f>IFERROR(VLOOKUP(L1353,'Reference Data'!$A$5:$F$40,4,FALSE),"Unknown")</x:f>
        <x:v>Small Appliances</x:v>
      </x:c>
      <x:c r="P1353" s="92" t="n">
        <x:f>IFERROR(VLOOKUP(L1353,'Reference Data'!$A$5:$F$40,5,FALSE),0)</x:f>
        <x:v>99</x:v>
      </x:c>
      <x:c r="Q1353" s="92" t="n">
        <x:f>IFERROR(VLOOKUP(L1353,'Reference Data'!$A$5:$F$40,6,FALSE),0)</x:f>
        <x:v>51</x:v>
      </x:c>
      <x:c r="R1353" s="84" t="n">
        <x:f>'Raw Sales'!J1353</x:f>
        <x:v>1</x:v>
      </x:c>
      <x:c r="S1353" s="87" t="n">
        <x:f>'Raw Sales'!K1353</x:f>
        <x:v>0.05</x:v>
      </x:c>
      <x:c r="T1353" s="93" t="n">
        <x:f>P1353*R1353</x:f>
        <x:v>99</x:v>
      </x:c>
      <x:c r="U1353" s="93" t="n">
        <x:f>T1353*S1353</x:f>
        <x:v>4.95</x:v>
      </x:c>
      <x:c r="V1353" s="93" t="str">
        <x:f>PROPER(TRIM('Raw Sales'!L1353))</x:f>
        <x:v>Completed</x:v>
      </x:c>
      <x:c r="W1353" s="93" t="n">
        <x:f>IF(V1353="Returned",0,T1353-U1353)</x:f>
        <x:v>94.05</x:v>
      </x:c>
      <x:c r="X1353" s="93" t="n">
        <x:f>IF(V1353="Returned",Q1353*R1353*10%,Q1353*R1353)</x:f>
        <x:v>51</x:v>
      </x:c>
      <x:c r="Y1353" s="93" t="n">
        <x:f>W1353-X1353</x:f>
        <x:v>43.05</x:v>
      </x:c>
      <x:c r="Z1353" s="94" t="n">
        <x:f>IFERROR(Y1353/W1353,0)</x:f>
        <x:v>0.4577352472089314</x:v>
      </x:c>
      <x:c r="AA1353" s="84" t="str">
        <x:f>PROPER(TRIM('Raw Sales'!M1353))</x:f>
        <x:v>Debit Card</x:v>
      </x:c>
      <x:c r="AB1353" s="84" t="str">
        <x:f>PROPER(TRIM('Raw Sales'!N1353))</x:f>
        <x:v>Ethan Cole</x:v>
      </x:c>
      <x:c r="AC1353" s="85" t="n">
        <x:f>'Raw Sales'!O1353</x:f>
        <x:v>45744</x:v>
      </x:c>
      <x:c r="AD1353" s="84" t="n">
        <x:f>AC1353-B1353</x:f>
        <x:v>4</x:v>
      </x:c>
      <x:c r="AE1353" s="84" t="str">
        <x:f>IF(COUNTIF($A$5:A1353,A1353)&gt;1,"Duplicate","Keep")</x:f>
        <x:v>Keep</x:v>
      </x:c>
      <x:c r="AF1353" s="84" t="str">
        <x:f>IF(OR(R1353&lt;=0,AC1353&lt;B1353,H1353="Unknown",M1353="Unknown Product"),"Review","Valid")</x:f>
        <x:v>Valid</x:v>
      </x:c>
      <x:c r="AG1353" s="84" t="n">
        <x:f>IF(AND(AE1353="Keep",AF1353="Valid"),1,0)</x:f>
        <x:v>1</x:v>
      </x:c>
      <x:c r="AH1353" s="84" t="n">
        <x:f>IF(AND(AG1353=1,OR('Dashboard'!$B$4="All",I1353='Dashboard'!$B$4),OR('Dashboard'!$E$4="All",N1353='Dashboard'!$E$4),OR('Dashboard'!$H$4="All",K1353='Dashboard'!$H$4),OR('Dashboard'!$K$4="All",C1353='Dashboard'!$K$4)),1,0)</x:f>
        <x:v>1</x:v>
      </x:c>
      <x:c r="AI1353" s="84" t="n">
        <x:f>IF(AND(AG1353=1,OR('Dashboard'!$B$4="All",I1353='Dashboard'!$B$4),OR('Dashboard'!$E$4="All",N1353='Dashboard'!$E$4),OR('Dashboard'!$H$4="All",K1353='Dashboard'!$H$4)),1,0)</x:f>
        <x:v>1</x:v>
      </x:c>
    </x:row>
    <x:row r="1354">
      <x:c r="A1354" s="84" t="str">
        <x:f>'Raw Sales'!A1354</x:f>
        <x:v>ORD-2025-00851</x:v>
      </x:c>
      <x:c r="B1354" s="85" t="n">
        <x:f>'Raw Sales'!B1354</x:f>
        <x:v>45740</x:v>
      </x:c>
      <x:c r="C1354" s="84" t="n">
        <x:f>YEAR(B1354)</x:f>
        <x:v>2025</x:v>
      </x:c>
      <x:c r="D1354" s="91" t="n">
        <x:f>DATE(YEAR(B1354),MONTH(B1354),1)</x:f>
        <x:v>45717</x:v>
      </x:c>
      <x:c r="E1354" s="84" t="str">
        <x:f>TEXT(B1354,"mmm")</x:f>
        <x:v>Mar</x:v>
      </x:c>
      <x:c r="F1354" s="84" t="str">
        <x:f>'Raw Sales'!C1354</x:f>
        <x:v>CUST-0279</x:v>
      </x:c>
      <x:c r="G1354" s="84" t="str">
        <x:f>PROPER(TRIM('Raw Sales'!D1354))</x:f>
        <x:v>Priya Johnson</x:v>
      </x:c>
      <x:c r="H1354" s="84" t="str">
        <x:f>IF(TRIM('Raw Sales'!E1354)="","Unknown",PROPER(TRIM('Raw Sales'!E1354)))</x:f>
        <x:v>Consumer</x:v>
      </x:c>
      <x:c r="I1354" s="84" t="str">
        <x:f>PROPER(TRIM('Raw Sales'!F1354))</x:f>
        <x:v>West</x:v>
      </x:c>
      <x:c r="J1354" s="84" t="str">
        <x:f>PROPER(TRIM('Raw Sales'!G1354))</x:f>
        <x:v>Seattle</x:v>
      </x:c>
      <x:c r="K1354" s="84" t="str">
        <x:f>PROPER(TRIM('Raw Sales'!H1354))</x:f>
        <x:v>Marketplace</x:v>
      </x:c>
      <x:c r="L1354" s="84" t="str">
        <x:f>'Raw Sales'!I1354</x:f>
        <x:v>OFFC-006</x:v>
      </x:c>
      <x:c r="M1354" s="84" t="str">
        <x:f>IFERROR(VLOOKUP(L1354,'Reference Data'!$A$5:$F$40,2,FALSE),"Unknown Product")</x:f>
        <x:v>Monitor Stand</x:v>
      </x:c>
      <x:c r="N1354" s="84" t="str">
        <x:f>IFERROR(VLOOKUP(L1354,'Reference Data'!$A$5:$F$40,3,FALSE),"Unknown")</x:f>
        <x:v>Office</x:v>
      </x:c>
      <x:c r="O1354" s="84" t="str">
        <x:f>IFERROR(VLOOKUP(L1354,'Reference Data'!$A$5:$F$40,4,FALSE),"Unknown")</x:f>
        <x:v>Desk Accessories</x:v>
      </x:c>
      <x:c r="P1354" s="92" t="n">
        <x:f>IFERROR(VLOOKUP(L1354,'Reference Data'!$A$5:$F$40,5,FALSE),0)</x:f>
        <x:v>49</x:v>
      </x:c>
      <x:c r="Q1354" s="92" t="n">
        <x:f>IFERROR(VLOOKUP(L1354,'Reference Data'!$A$5:$F$40,6,FALSE),0)</x:f>
        <x:v>21</x:v>
      </x:c>
      <x:c r="R1354" s="84" t="n">
        <x:f>'Raw Sales'!J1354</x:f>
        <x:v>1</x:v>
      </x:c>
      <x:c r="S1354" s="87" t="n">
        <x:f>'Raw Sales'!K1354</x:f>
        <x:v>0.2</x:v>
      </x:c>
      <x:c r="T1354" s="93" t="n">
        <x:f>P1354*R1354</x:f>
        <x:v>49</x:v>
      </x:c>
      <x:c r="U1354" s="93" t="n">
        <x:f>T1354*S1354</x:f>
        <x:v>9.8</x:v>
      </x:c>
      <x:c r="V1354" s="93" t="str">
        <x:f>PROPER(TRIM('Raw Sales'!L1354))</x:f>
        <x:v>Completed</x:v>
      </x:c>
      <x:c r="W1354" s="93" t="n">
        <x:f>IF(V1354="Returned",0,T1354-U1354)</x:f>
        <x:v>39.2</x:v>
      </x:c>
      <x:c r="X1354" s="93" t="n">
        <x:f>IF(V1354="Returned",Q1354*R1354*10%,Q1354*R1354)</x:f>
        <x:v>21</x:v>
      </x:c>
      <x:c r="Y1354" s="93" t="n">
        <x:f>W1354-X1354</x:f>
        <x:v>18.200000000000003</x:v>
      </x:c>
      <x:c r="Z1354" s="94" t="n">
        <x:f>IFERROR(Y1354/W1354,0)</x:f>
        <x:v>0.4642857142857143</x:v>
      </x:c>
      <x:c r="AA1354" s="84" t="str">
        <x:f>PROPER(TRIM('Raw Sales'!M1354))</x:f>
        <x:v>Credit Card</x:v>
      </x:c>
      <x:c r="AB1354" s="84" t="str">
        <x:f>PROPER(TRIM('Raw Sales'!N1354))</x:f>
        <x:v>Nora Kim</x:v>
      </x:c>
      <x:c r="AC1354" s="85" t="n">
        <x:f>'Raw Sales'!O1354</x:f>
        <x:v>45745</x:v>
      </x:c>
      <x:c r="AD1354" s="84" t="n">
        <x:f>AC1354-B1354</x:f>
        <x:v>5</x:v>
      </x:c>
      <x:c r="AE1354" s="84" t="str">
        <x:f>IF(COUNTIF($A$5:A1354,A1354)&gt;1,"Duplicate","Keep")</x:f>
        <x:v>Keep</x:v>
      </x:c>
      <x:c r="AF1354" s="84" t="str">
        <x:f>IF(OR(R1354&lt;=0,AC1354&lt;B1354,H1354="Unknown",M1354="Unknown Product"),"Review","Valid")</x:f>
        <x:v>Valid</x:v>
      </x:c>
      <x:c r="AG1354" s="84" t="n">
        <x:f>IF(AND(AE1354="Keep",AF1354="Valid"),1,0)</x:f>
        <x:v>1</x:v>
      </x:c>
      <x:c r="AH1354" s="84" t="n">
        <x:f>IF(AND(AG1354=1,OR('Dashboard'!$B$4="All",I1354='Dashboard'!$B$4),OR('Dashboard'!$E$4="All",N1354='Dashboard'!$E$4),OR('Dashboard'!$H$4="All",K1354='Dashboard'!$H$4),OR('Dashboard'!$K$4="All",C1354='Dashboard'!$K$4)),1,0)</x:f>
        <x:v>1</x:v>
      </x:c>
      <x:c r="AI1354" s="84" t="n">
        <x:f>IF(AND(AG1354=1,OR('Dashboard'!$B$4="All",I1354='Dashboard'!$B$4),OR('Dashboard'!$E$4="All",N1354='Dashboard'!$E$4),OR('Dashboard'!$H$4="All",K1354='Dashboard'!$H$4)),1,0)</x:f>
        <x:v>1</x:v>
      </x:c>
    </x:row>
    <x:row r="1355">
      <x:c r="A1355" s="84" t="str">
        <x:f>'Raw Sales'!A1355</x:f>
        <x:v>ORD-2025-01619</x:v>
      </x:c>
      <x:c r="B1355" s="85" t="n">
        <x:f>'Raw Sales'!B1355</x:f>
        <x:v>45740</x:v>
      </x:c>
      <x:c r="C1355" s="84" t="n">
        <x:f>YEAR(B1355)</x:f>
        <x:v>2025</x:v>
      </x:c>
      <x:c r="D1355" s="91" t="n">
        <x:f>DATE(YEAR(B1355),MONTH(B1355),1)</x:f>
        <x:v>45717</x:v>
      </x:c>
      <x:c r="E1355" s="84" t="str">
        <x:f>TEXT(B1355,"mmm")</x:f>
        <x:v>Mar</x:v>
      </x:c>
      <x:c r="F1355" s="84" t="str">
        <x:f>'Raw Sales'!C1355</x:f>
        <x:v>CUST-0398</x:v>
      </x:c>
      <x:c r="G1355" s="84" t="str">
        <x:f>PROPER(TRIM('Raw Sales'!D1355))</x:f>
        <x:v>Daniel Baker</x:v>
      </x:c>
      <x:c r="H1355" s="84" t="str">
        <x:f>IF(TRIM('Raw Sales'!E1355)="","Unknown",PROPER(TRIM('Raw Sales'!E1355)))</x:f>
        <x:v>Consumer</x:v>
      </x:c>
      <x:c r="I1355" s="84" t="str">
        <x:f>PROPER(TRIM('Raw Sales'!F1355))</x:f>
        <x:v>Northeast</x:v>
      </x:c>
      <x:c r="J1355" s="84" t="str">
        <x:f>PROPER(TRIM('Raw Sales'!G1355))</x:f>
        <x:v>New York</x:v>
      </x:c>
      <x:c r="K1355" s="84" t="str">
        <x:f>PROPER(TRIM('Raw Sales'!H1355))</x:f>
        <x:v>Online</x:v>
      </x:c>
      <x:c r="L1355" s="84" t="str">
        <x:f>'Raw Sales'!I1355</x:f>
        <x:v>CARE-005</x:v>
      </x:c>
      <x:c r="M1355" s="84" t="str">
        <x:f>IFERROR(VLOOKUP(L1355,'Reference Data'!$A$5:$F$40,2,FALSE),"Unknown Product")</x:f>
        <x:v>Skin Care Starter Kit</x:v>
      </x:c>
      <x:c r="N1355" s="84" t="str">
        <x:f>IFERROR(VLOOKUP(L1355,'Reference Data'!$A$5:$F$40,3,FALSE),"Unknown")</x:f>
        <x:v>Personal Care</x:v>
      </x:c>
      <x:c r="O1355" s="84" t="str">
        <x:f>IFERROR(VLOOKUP(L1355,'Reference Data'!$A$5:$F$40,4,FALSE),"Unknown")</x:f>
        <x:v>Skin Care</x:v>
      </x:c>
      <x:c r="P1355" s="92" t="n">
        <x:f>IFERROR(VLOOKUP(L1355,'Reference Data'!$A$5:$F$40,5,FALSE),0)</x:f>
        <x:v>58</x:v>
      </x:c>
      <x:c r="Q1355" s="92" t="n">
        <x:f>IFERROR(VLOOKUP(L1355,'Reference Data'!$A$5:$F$40,6,FALSE),0)</x:f>
        <x:v>24</x:v>
      </x:c>
      <x:c r="R1355" s="84" t="n">
        <x:f>'Raw Sales'!J1355</x:f>
        <x:v>2</x:v>
      </x:c>
      <x:c r="S1355" s="87" t="n">
        <x:f>'Raw Sales'!K1355</x:f>
        <x:v>0.1</x:v>
      </x:c>
      <x:c r="T1355" s="93" t="n">
        <x:f>P1355*R1355</x:f>
        <x:v>116</x:v>
      </x:c>
      <x:c r="U1355" s="93" t="n">
        <x:f>T1355*S1355</x:f>
        <x:v>11.600000000000001</x:v>
      </x:c>
      <x:c r="V1355" s="93" t="str">
        <x:f>PROPER(TRIM('Raw Sales'!L1355))</x:f>
        <x:v>Completed</x:v>
      </x:c>
      <x:c r="W1355" s="93" t="n">
        <x:f>IF(V1355="Returned",0,T1355-U1355)</x:f>
        <x:v>104.4</x:v>
      </x:c>
      <x:c r="X1355" s="93" t="n">
        <x:f>IF(V1355="Returned",Q1355*R1355*10%,Q1355*R1355)</x:f>
        <x:v>48</x:v>
      </x:c>
      <x:c r="Y1355" s="93" t="n">
        <x:f>W1355-X1355</x:f>
        <x:v>56.400000000000006</x:v>
      </x:c>
      <x:c r="Z1355" s="94" t="n">
        <x:f>IFERROR(Y1355/W1355,0)</x:f>
        <x:v>0.5402298850574713</x:v>
      </x:c>
      <x:c r="AA1355" s="84" t="str">
        <x:f>PROPER(TRIM('Raw Sales'!M1355))</x:f>
        <x:v>Credit Card</x:v>
      </x:c>
      <x:c r="AB1355" s="84" t="str">
        <x:f>PROPER(TRIM('Raw Sales'!N1355))</x:f>
        <x:v>Maya Brooks</x:v>
      </x:c>
      <x:c r="AC1355" s="85" t="n">
        <x:f>'Raw Sales'!O1355</x:f>
        <x:v>45743</x:v>
      </x:c>
      <x:c r="AD1355" s="84" t="n">
        <x:f>AC1355-B1355</x:f>
        <x:v>3</x:v>
      </x:c>
      <x:c r="AE1355" s="84" t="str">
        <x:f>IF(COUNTIF($A$5:A1355,A1355)&gt;1,"Duplicate","Keep")</x:f>
        <x:v>Keep</x:v>
      </x:c>
      <x:c r="AF1355" s="84" t="str">
        <x:f>IF(OR(R1355&lt;=0,AC1355&lt;B1355,H1355="Unknown",M1355="Unknown Product"),"Review","Valid")</x:f>
        <x:v>Valid</x:v>
      </x:c>
      <x:c r="AG1355" s="84" t="n">
        <x:f>IF(AND(AE1355="Keep",AF1355="Valid"),1,0)</x:f>
        <x:v>1</x:v>
      </x:c>
      <x:c r="AH1355" s="84" t="n">
        <x:f>IF(AND(AG1355=1,OR('Dashboard'!$B$4="All",I1355='Dashboard'!$B$4),OR('Dashboard'!$E$4="All",N1355='Dashboard'!$E$4),OR('Dashboard'!$H$4="All",K1355='Dashboard'!$H$4),OR('Dashboard'!$K$4="All",C1355='Dashboard'!$K$4)),1,0)</x:f>
        <x:v>1</x:v>
      </x:c>
      <x:c r="AI1355" s="84" t="n">
        <x:f>IF(AND(AG1355=1,OR('Dashboard'!$B$4="All",I1355='Dashboard'!$B$4),OR('Dashboard'!$E$4="All",N1355='Dashboard'!$E$4),OR('Dashboard'!$H$4="All",K1355='Dashboard'!$H$4)),1,0)</x:f>
        <x:v>1</x:v>
      </x:c>
    </x:row>
    <x:row r="1356">
      <x:c r="A1356" s="84" t="str">
        <x:f>'Raw Sales'!A1356</x:f>
        <x:v>ORD-2025-01211</x:v>
      </x:c>
      <x:c r="B1356" s="85" t="n">
        <x:f>'Raw Sales'!B1356</x:f>
        <x:v>45741</x:v>
      </x:c>
      <x:c r="C1356" s="84" t="n">
        <x:f>YEAR(B1356)</x:f>
        <x:v>2025</x:v>
      </x:c>
      <x:c r="D1356" s="91" t="n">
        <x:f>DATE(YEAR(B1356),MONTH(B1356),1)</x:f>
        <x:v>45717</x:v>
      </x:c>
      <x:c r="E1356" s="84" t="str">
        <x:f>TEXT(B1356,"mmm")</x:f>
        <x:v>Mar</x:v>
      </x:c>
      <x:c r="F1356" s="84" t="str">
        <x:f>'Raw Sales'!C1356</x:f>
        <x:v>CUST-0322</x:v>
      </x:c>
      <x:c r="G1356" s="84" t="str">
        <x:f>PROPER(TRIM('Raw Sales'!D1356))</x:f>
        <x:v>Jasmine Khan</x:v>
      </x:c>
      <x:c r="H1356" s="84" t="str">
        <x:f>IF(TRIM('Raw Sales'!E1356)="","Unknown",PROPER(TRIM('Raw Sales'!E1356)))</x:f>
        <x:v>Corporate</x:v>
      </x:c>
      <x:c r="I1356" s="84" t="str">
        <x:f>PROPER(TRIM('Raw Sales'!F1356))</x:f>
        <x:v>Southeast</x:v>
      </x:c>
      <x:c r="J1356" s="84" t="str">
        <x:f>PROPER(TRIM('Raw Sales'!G1356))</x:f>
        <x:v>Atlanta</x:v>
      </x:c>
      <x:c r="K1356" s="84" t="str">
        <x:f>PROPER(TRIM('Raw Sales'!H1356))</x:f>
        <x:v>Retail Store</x:v>
      </x:c>
      <x:c r="L1356" s="84" t="str">
        <x:f>'Raw Sales'!I1356</x:f>
        <x:v>OFFC-005</x:v>
      </x:c>
      <x:c r="M1356" s="84" t="str">
        <x:f>IFERROR(VLOOKUP(L1356,'Reference Data'!$A$5:$F$40,2,FALSE),"Unknown Product")</x:f>
        <x:v>Wireless Keyboard</x:v>
      </x:c>
      <x:c r="N1356" s="84" t="str">
        <x:f>IFERROR(VLOOKUP(L1356,'Reference Data'!$A$5:$F$40,3,FALSE),"Unknown")</x:f>
        <x:v>Office</x:v>
      </x:c>
      <x:c r="O1356" s="84" t="str">
        <x:f>IFERROR(VLOOKUP(L1356,'Reference Data'!$A$5:$F$40,4,FALSE),"Unknown")</x:f>
        <x:v>Computer Accessories</x:v>
      </x:c>
      <x:c r="P1356" s="92" t="n">
        <x:f>IFERROR(VLOOKUP(L1356,'Reference Data'!$A$5:$F$40,5,FALSE),0)</x:f>
        <x:v>59</x:v>
      </x:c>
      <x:c r="Q1356" s="92" t="n">
        <x:f>IFERROR(VLOOKUP(L1356,'Reference Data'!$A$5:$F$40,6,FALSE),0)</x:f>
        <x:v>28</x:v>
      </x:c>
      <x:c r="R1356" s="84" t="n">
        <x:f>'Raw Sales'!J1356</x:f>
        <x:v>8</x:v>
      </x:c>
      <x:c r="S1356" s="87" t="n">
        <x:f>'Raw Sales'!K1356</x:f>
        <x:v>0</x:v>
      </x:c>
      <x:c r="T1356" s="93" t="n">
        <x:f>P1356*R1356</x:f>
        <x:v>472</x:v>
      </x:c>
      <x:c r="U1356" s="93" t="n">
        <x:f>T1356*S1356</x:f>
        <x:v>0</x:v>
      </x:c>
      <x:c r="V1356" s="93" t="str">
        <x:f>PROPER(TRIM('Raw Sales'!L1356))</x:f>
        <x:v>Completed</x:v>
      </x:c>
      <x:c r="W1356" s="93" t="n">
        <x:f>IF(V1356="Returned",0,T1356-U1356)</x:f>
        <x:v>472</x:v>
      </x:c>
      <x:c r="X1356" s="93" t="n">
        <x:f>IF(V1356="Returned",Q1356*R1356*10%,Q1356*R1356)</x:f>
        <x:v>224</x:v>
      </x:c>
      <x:c r="Y1356" s="93" t="n">
        <x:f>W1356-X1356</x:f>
        <x:v>248</x:v>
      </x:c>
      <x:c r="Z1356" s="94" t="n">
        <x:f>IFERROR(Y1356/W1356,0)</x:f>
        <x:v>0.5254237288135594</x:v>
      </x:c>
      <x:c r="AA1356" s="84" t="str">
        <x:f>PROPER(TRIM('Raw Sales'!M1356))</x:f>
        <x:v>Credit Card</x:v>
      </x:c>
      <x:c r="AB1356" s="84" t="str">
        <x:f>PROPER(TRIM('Raw Sales'!N1356))</x:f>
        <x:v>Ava Mitchell</x:v>
      </x:c>
      <x:c r="AC1356" s="85" t="n">
        <x:f>'Raw Sales'!O1356</x:f>
        <x:v>45741</x:v>
      </x:c>
      <x:c r="AD1356" s="84" t="n">
        <x:f>AC1356-B1356</x:f>
        <x:v>0</x:v>
      </x:c>
      <x:c r="AE1356" s="84" t="str">
        <x:f>IF(COUNTIF($A$5:A1356,A1356)&gt;1,"Duplicate","Keep")</x:f>
        <x:v>Keep</x:v>
      </x:c>
      <x:c r="AF1356" s="84" t="str">
        <x:f>IF(OR(R1356&lt;=0,AC1356&lt;B1356,H1356="Unknown",M1356="Unknown Product"),"Review","Valid")</x:f>
        <x:v>Valid</x:v>
      </x:c>
      <x:c r="AG1356" s="84" t="n">
        <x:f>IF(AND(AE1356="Keep",AF1356="Valid"),1,0)</x:f>
        <x:v>1</x:v>
      </x:c>
      <x:c r="AH1356" s="84" t="n">
        <x:f>IF(AND(AG1356=1,OR('Dashboard'!$B$4="All",I1356='Dashboard'!$B$4),OR('Dashboard'!$E$4="All",N1356='Dashboard'!$E$4),OR('Dashboard'!$H$4="All",K1356='Dashboard'!$H$4),OR('Dashboard'!$K$4="All",C1356='Dashboard'!$K$4)),1,0)</x:f>
        <x:v>1</x:v>
      </x:c>
      <x:c r="AI1356" s="84" t="n">
        <x:f>IF(AND(AG1356=1,OR('Dashboard'!$B$4="All",I1356='Dashboard'!$B$4),OR('Dashboard'!$E$4="All",N1356='Dashboard'!$E$4),OR('Dashboard'!$H$4="All",K1356='Dashboard'!$H$4)),1,0)</x:f>
        <x:v>1</x:v>
      </x:c>
    </x:row>
    <x:row r="1357">
      <x:c r="A1357" s="84" t="str">
        <x:f>'Raw Sales'!A1357</x:f>
        <x:v>ORD-2025-00553</x:v>
      </x:c>
      <x:c r="B1357" s="85" t="n">
        <x:f>'Raw Sales'!B1357</x:f>
        <x:v>45742</x:v>
      </x:c>
      <x:c r="C1357" s="84" t="n">
        <x:f>YEAR(B1357)</x:f>
        <x:v>2025</x:v>
      </x:c>
      <x:c r="D1357" s="91" t="n">
        <x:f>DATE(YEAR(B1357),MONTH(B1357),1)</x:f>
        <x:v>45717</x:v>
      </x:c>
      <x:c r="E1357" s="84" t="str">
        <x:f>TEXT(B1357,"mmm")</x:f>
        <x:v>Mar</x:v>
      </x:c>
      <x:c r="F1357" s="84" t="str">
        <x:f>'Raw Sales'!C1357</x:f>
        <x:v>CUST-0311</x:v>
      </x:c>
      <x:c r="G1357" s="84" t="str">
        <x:f>PROPER(TRIM('Raw Sales'!D1357))</x:f>
        <x:v>Amelia Evans</x:v>
      </x:c>
      <x:c r="H1357" s="84" t="str">
        <x:f>IF(TRIM('Raw Sales'!E1357)="","Unknown",PROPER(TRIM('Raw Sales'!E1357)))</x:f>
        <x:v>Consumer</x:v>
      </x:c>
      <x:c r="I1357" s="84" t="str">
        <x:f>PROPER(TRIM('Raw Sales'!F1357))</x:f>
        <x:v>Midwest</x:v>
      </x:c>
      <x:c r="J1357" s="84" t="str">
        <x:f>PROPER(TRIM('Raw Sales'!G1357))</x:f>
        <x:v>Detroit</x:v>
      </x:c>
      <x:c r="K1357" s="84" t="str">
        <x:f>PROPER(TRIM('Raw Sales'!H1357))</x:f>
        <x:v>Retail Store</x:v>
      </x:c>
      <x:c r="L1357" s="84" t="str">
        <x:f>'Raw Sales'!I1357</x:f>
        <x:v>ACCS-005</x:v>
      </x:c>
      <x:c r="M1357" s="84" t="str">
        <x:f>IFERROR(VLOOKUP(L1357,'Reference Data'!$A$5:$F$40,2,FALSE),"Unknown Product")</x:f>
        <x:v>Protective Phone Case</x:v>
      </x:c>
      <x:c r="N1357" s="84" t="str">
        <x:f>IFERROR(VLOOKUP(L1357,'Reference Data'!$A$5:$F$40,3,FALSE),"Unknown")</x:f>
        <x:v>Accessories</x:v>
      </x:c>
      <x:c r="O1357" s="84" t="str">
        <x:f>IFERROR(VLOOKUP(L1357,'Reference Data'!$A$5:$F$40,4,FALSE),"Unknown")</x:f>
        <x:v>Mobile Accessories</x:v>
      </x:c>
      <x:c r="P1357" s="92" t="n">
        <x:f>IFERROR(VLOOKUP(L1357,'Reference Data'!$A$5:$F$40,5,FALSE),0)</x:f>
        <x:v>24</x:v>
      </x:c>
      <x:c r="Q1357" s="92" t="n">
        <x:f>IFERROR(VLOOKUP(L1357,'Reference Data'!$A$5:$F$40,6,FALSE),0)</x:f>
        <x:v>5</x:v>
      </x:c>
      <x:c r="R1357" s="84" t="n">
        <x:f>'Raw Sales'!J1357</x:f>
        <x:v>1</x:v>
      </x:c>
      <x:c r="S1357" s="87" t="n">
        <x:f>'Raw Sales'!K1357</x:f>
        <x:v>0</x:v>
      </x:c>
      <x:c r="T1357" s="93" t="n">
        <x:f>P1357*R1357</x:f>
        <x:v>24</x:v>
      </x:c>
      <x:c r="U1357" s="93" t="n">
        <x:f>T1357*S1357</x:f>
        <x:v>0</x:v>
      </x:c>
      <x:c r="V1357" s="93" t="str">
        <x:f>PROPER(TRIM('Raw Sales'!L1357))</x:f>
        <x:v>Completed</x:v>
      </x:c>
      <x:c r="W1357" s="93" t="n">
        <x:f>IF(V1357="Returned",0,T1357-U1357)</x:f>
        <x:v>24</x:v>
      </x:c>
      <x:c r="X1357" s="93" t="n">
        <x:f>IF(V1357="Returned",Q1357*R1357*10%,Q1357*R1357)</x:f>
        <x:v>5</x:v>
      </x:c>
      <x:c r="Y1357" s="93" t="n">
        <x:f>W1357-X1357</x:f>
        <x:v>19</x:v>
      </x:c>
      <x:c r="Z1357" s="94" t="n">
        <x:f>IFERROR(Y1357/W1357,0)</x:f>
        <x:v>0.7916666666666666</x:v>
      </x:c>
      <x:c r="AA1357" s="84" t="str">
        <x:f>PROPER(TRIM('Raw Sales'!M1357))</x:f>
        <x:v>Debit Card</x:v>
      </x:c>
      <x:c r="AB1357" s="84" t="str">
        <x:f>PROPER(TRIM('Raw Sales'!N1357))</x:f>
        <x:v>Lucas Grant</x:v>
      </x:c>
      <x:c r="AC1357" s="85" t="n">
        <x:f>'Raw Sales'!O1357</x:f>
        <x:v>45742</x:v>
      </x:c>
      <x:c r="AD1357" s="84" t="n">
        <x:f>AC1357-B1357</x:f>
        <x:v>0</x:v>
      </x:c>
      <x:c r="AE1357" s="84" t="str">
        <x:f>IF(COUNTIF($A$5:A1357,A1357)&gt;1,"Duplicate","Keep")</x:f>
        <x:v>Keep</x:v>
      </x:c>
      <x:c r="AF1357" s="84" t="str">
        <x:f>IF(OR(R1357&lt;=0,AC1357&lt;B1357,H1357="Unknown",M1357="Unknown Product"),"Review","Valid")</x:f>
        <x:v>Valid</x:v>
      </x:c>
      <x:c r="AG1357" s="84" t="n">
        <x:f>IF(AND(AE1357="Keep",AF1357="Valid"),1,0)</x:f>
        <x:v>1</x:v>
      </x:c>
      <x:c r="AH1357" s="84" t="n">
        <x:f>IF(AND(AG1357=1,OR('Dashboard'!$B$4="All",I1357='Dashboard'!$B$4),OR('Dashboard'!$E$4="All",N1357='Dashboard'!$E$4),OR('Dashboard'!$H$4="All",K1357='Dashboard'!$H$4),OR('Dashboard'!$K$4="All",C1357='Dashboard'!$K$4)),1,0)</x:f>
        <x:v>1</x:v>
      </x:c>
      <x:c r="AI1357" s="84" t="n">
        <x:f>IF(AND(AG1357=1,OR('Dashboard'!$B$4="All",I1357='Dashboard'!$B$4),OR('Dashboard'!$E$4="All",N1357='Dashboard'!$E$4),OR('Dashboard'!$H$4="All",K1357='Dashboard'!$H$4)),1,0)</x:f>
        <x:v>1</x:v>
      </x:c>
    </x:row>
    <x:row r="1358">
      <x:c r="A1358" s="84" t="str">
        <x:f>'Raw Sales'!A1358</x:f>
        <x:v>ORD-2025-01981</x:v>
      </x:c>
      <x:c r="B1358" s="85" t="n">
        <x:f>'Raw Sales'!B1358</x:f>
        <x:v>45743</x:v>
      </x:c>
      <x:c r="C1358" s="84" t="n">
        <x:f>YEAR(B1358)</x:f>
        <x:v>2025</x:v>
      </x:c>
      <x:c r="D1358" s="91" t="n">
        <x:f>DATE(YEAR(B1358),MONTH(B1358),1)</x:f>
        <x:v>45717</x:v>
      </x:c>
      <x:c r="E1358" s="84" t="str">
        <x:f>TEXT(B1358,"mmm")</x:f>
        <x:v>Mar</x:v>
      </x:c>
      <x:c r="F1358" s="84" t="str">
        <x:f>'Raw Sales'!C1358</x:f>
        <x:v>CUST-0531</x:v>
      </x:c>
      <x:c r="G1358" s="84" t="str">
        <x:f>PROPER(TRIM('Raw Sales'!D1358))</x:f>
        <x:v>Grace Ortiz</x:v>
      </x:c>
      <x:c r="H1358" s="84" t="str">
        <x:f>IF(TRIM('Raw Sales'!E1358)="","Unknown",PROPER(TRIM('Raw Sales'!E1358)))</x:f>
        <x:v>Small Business</x:v>
      </x:c>
      <x:c r="I1358" s="84" t="str">
        <x:f>PROPER(TRIM('Raw Sales'!F1358))</x:f>
        <x:v>Northeast</x:v>
      </x:c>
      <x:c r="J1358" s="84" t="str">
        <x:f>PROPER(TRIM('Raw Sales'!G1358))</x:f>
        <x:v>Newark</x:v>
      </x:c>
      <x:c r="K1358" s="84" t="str">
        <x:f>PROPER(TRIM('Raw Sales'!H1358))</x:f>
        <x:v>Online</x:v>
      </x:c>
      <x:c r="L1358" s="84" t="str">
        <x:f>'Raw Sales'!I1358</x:f>
        <x:v>ACCS-002</x:v>
      </x:c>
      <x:c r="M1358" s="84" t="str">
        <x:f>IFERROR(VLOOKUP(L1358,'Reference Data'!$A$5:$F$40,2,FALSE),"Unknown Product")</x:f>
        <x:v>Travel Backpack</x:v>
      </x:c>
      <x:c r="N1358" s="84" t="str">
        <x:f>IFERROR(VLOOKUP(L1358,'Reference Data'!$A$5:$F$40,3,FALSE),"Unknown")</x:f>
        <x:v>Accessories</x:v>
      </x:c>
      <x:c r="O1358" s="84" t="str">
        <x:f>IFERROR(VLOOKUP(L1358,'Reference Data'!$A$5:$F$40,4,FALSE),"Unknown")</x:f>
        <x:v>Bags</x:v>
      </x:c>
      <x:c r="P1358" s="92" t="n">
        <x:f>IFERROR(VLOOKUP(L1358,'Reference Data'!$A$5:$F$40,5,FALSE),0)</x:f>
        <x:v>89</x:v>
      </x:c>
      <x:c r="Q1358" s="92" t="n">
        <x:f>IFERROR(VLOOKUP(L1358,'Reference Data'!$A$5:$F$40,6,FALSE),0)</x:f>
        <x:v>36</x:v>
      </x:c>
      <x:c r="R1358" s="84" t="n">
        <x:f>'Raw Sales'!J1358</x:f>
        <x:v>2</x:v>
      </x:c>
      <x:c r="S1358" s="87" t="n">
        <x:f>'Raw Sales'!K1358</x:f>
        <x:v>0</x:v>
      </x:c>
      <x:c r="T1358" s="93" t="n">
        <x:f>P1358*R1358</x:f>
        <x:v>178</x:v>
      </x:c>
      <x:c r="U1358" s="93" t="n">
        <x:f>T1358*S1358</x:f>
        <x:v>0</x:v>
      </x:c>
      <x:c r="V1358" s="93" t="str">
        <x:f>PROPER(TRIM('Raw Sales'!L1358))</x:f>
        <x:v>Completed</x:v>
      </x:c>
      <x:c r="W1358" s="93" t="n">
        <x:f>IF(V1358="Returned",0,T1358-U1358)</x:f>
        <x:v>178</x:v>
      </x:c>
      <x:c r="X1358" s="93" t="n">
        <x:f>IF(V1358="Returned",Q1358*R1358*10%,Q1358*R1358)</x:f>
        <x:v>72</x:v>
      </x:c>
      <x:c r="Y1358" s="93" t="n">
        <x:f>W1358-X1358</x:f>
        <x:v>106</x:v>
      </x:c>
      <x:c r="Z1358" s="94" t="n">
        <x:f>IFERROR(Y1358/W1358,0)</x:f>
        <x:v>0.5955056179775281</x:v>
      </x:c>
      <x:c r="AA1358" s="84" t="str">
        <x:f>PROPER(TRIM('Raw Sales'!M1358))</x:f>
        <x:v>Credit Card</x:v>
      </x:c>
      <x:c r="AB1358" s="84" t="str">
        <x:f>PROPER(TRIM('Raw Sales'!N1358))</x:f>
        <x:v>Ethan Cole</x:v>
      </x:c>
      <x:c r="AC1358" s="85" t="n">
        <x:f>'Raw Sales'!O1358</x:f>
        <x:v>45747</x:v>
      </x:c>
      <x:c r="AD1358" s="84" t="n">
        <x:f>AC1358-B1358</x:f>
        <x:v>4</x:v>
      </x:c>
      <x:c r="AE1358" s="84" t="str">
        <x:f>IF(COUNTIF($A$5:A1358,A1358)&gt;1,"Duplicate","Keep")</x:f>
        <x:v>Keep</x:v>
      </x:c>
      <x:c r="AF1358" s="84" t="str">
        <x:f>IF(OR(R1358&lt;=0,AC1358&lt;B1358,H1358="Unknown",M1358="Unknown Product"),"Review","Valid")</x:f>
        <x:v>Valid</x:v>
      </x:c>
      <x:c r="AG1358" s="84" t="n">
        <x:f>IF(AND(AE1358="Keep",AF1358="Valid"),1,0)</x:f>
        <x:v>1</x:v>
      </x:c>
      <x:c r="AH1358" s="84" t="n">
        <x:f>IF(AND(AG1358=1,OR('Dashboard'!$B$4="All",I1358='Dashboard'!$B$4),OR('Dashboard'!$E$4="All",N1358='Dashboard'!$E$4),OR('Dashboard'!$H$4="All",K1358='Dashboard'!$H$4),OR('Dashboard'!$K$4="All",C1358='Dashboard'!$K$4)),1,0)</x:f>
        <x:v>1</x:v>
      </x:c>
      <x:c r="AI1358" s="84" t="n">
        <x:f>IF(AND(AG1358=1,OR('Dashboard'!$B$4="All",I1358='Dashboard'!$B$4),OR('Dashboard'!$E$4="All",N1358='Dashboard'!$E$4),OR('Dashboard'!$H$4="All",K1358='Dashboard'!$H$4)),1,0)</x:f>
        <x:v>1</x:v>
      </x:c>
    </x:row>
    <x:row r="1359">
      <x:c r="A1359" s="84" t="str">
        <x:f>'Raw Sales'!A1359</x:f>
        <x:v>ORD-2025-00548</x:v>
      </x:c>
      <x:c r="B1359" s="85" t="n">
        <x:f>'Raw Sales'!B1359</x:f>
        <x:v>45744</x:v>
      </x:c>
      <x:c r="C1359" s="84" t="n">
        <x:f>YEAR(B1359)</x:f>
        <x:v>2025</x:v>
      </x:c>
      <x:c r="D1359" s="91" t="n">
        <x:f>DATE(YEAR(B1359),MONTH(B1359),1)</x:f>
        <x:v>45717</x:v>
      </x:c>
      <x:c r="E1359" s="84" t="str">
        <x:f>TEXT(B1359,"mmm")</x:f>
        <x:v>Mar</x:v>
      </x:c>
      <x:c r="F1359" s="84" t="str">
        <x:f>'Raw Sales'!C1359</x:f>
        <x:v>CUST-0255</x:v>
      </x:c>
      <x:c r="G1359" s="84" t="str">
        <x:f>PROPER(TRIM('Raw Sales'!D1359))</x:f>
        <x:v>Layla Smith</x:v>
      </x:c>
      <x:c r="H1359" s="84" t="str">
        <x:f>IF(TRIM('Raw Sales'!E1359)="","Unknown",PROPER(TRIM('Raw Sales'!E1359)))</x:f>
        <x:v>Consumer</x:v>
      </x:c>
      <x:c r="I1359" s="84" t="str">
        <x:f>PROPER(TRIM('Raw Sales'!F1359))</x:f>
        <x:v>West</x:v>
      </x:c>
      <x:c r="J1359" s="84" t="str">
        <x:f>PROPER(TRIM('Raw Sales'!G1359))</x:f>
        <x:v>Seattle</x:v>
      </x:c>
      <x:c r="K1359" s="84" t="str">
        <x:f>PROPER(TRIM('Raw Sales'!H1359))</x:f>
        <x:v>Marketplace</x:v>
      </x:c>
      <x:c r="L1359" s="84" t="str">
        <x:f>'Raw Sales'!I1359</x:f>
        <x:v>HOME-001</x:v>
      </x:c>
      <x:c r="M1359" s="84" t="str">
        <x:f>IFERROR(VLOOKUP(L1359,'Reference Data'!$A$5:$F$40,2,FALSE),"Unknown Product")</x:f>
        <x:v>Air Fryer</x:v>
      </x:c>
      <x:c r="N1359" s="84" t="str">
        <x:f>IFERROR(VLOOKUP(L1359,'Reference Data'!$A$5:$F$40,3,FALSE),"Unknown")</x:f>
        <x:v>Home &amp; Kitchen</x:v>
      </x:c>
      <x:c r="O1359" s="84" t="str">
        <x:f>IFERROR(VLOOKUP(L1359,'Reference Data'!$A$5:$F$40,4,FALSE),"Unknown")</x:f>
        <x:v>Small Appliances</x:v>
      </x:c>
      <x:c r="P1359" s="92" t="n">
        <x:f>IFERROR(VLOOKUP(L1359,'Reference Data'!$A$5:$F$40,5,FALSE),0)</x:f>
        <x:v>119</x:v>
      </x:c>
      <x:c r="Q1359" s="92" t="n">
        <x:f>IFERROR(VLOOKUP(L1359,'Reference Data'!$A$5:$F$40,6,FALSE),0)</x:f>
        <x:v>68</x:v>
      </x:c>
      <x:c r="R1359" s="84" t="n">
        <x:f>'Raw Sales'!J1359</x:f>
        <x:v>1</x:v>
      </x:c>
      <x:c r="S1359" s="87" t="n">
        <x:f>'Raw Sales'!K1359</x:f>
        <x:v>0.15</x:v>
      </x:c>
      <x:c r="T1359" s="93" t="n">
        <x:f>P1359*R1359</x:f>
        <x:v>119</x:v>
      </x:c>
      <x:c r="U1359" s="93" t="n">
        <x:f>T1359*S1359</x:f>
        <x:v>17.849999999999998</x:v>
      </x:c>
      <x:c r="V1359" s="93" t="str">
        <x:f>PROPER(TRIM('Raw Sales'!L1359))</x:f>
        <x:v>Completed</x:v>
      </x:c>
      <x:c r="W1359" s="93" t="n">
        <x:f>IF(V1359="Returned",0,T1359-U1359)</x:f>
        <x:v>101.15</x:v>
      </x:c>
      <x:c r="X1359" s="93" t="n">
        <x:f>IF(V1359="Returned",Q1359*R1359*10%,Q1359*R1359)</x:f>
        <x:v>68</x:v>
      </x:c>
      <x:c r="Y1359" s="93" t="n">
        <x:f>W1359-X1359</x:f>
        <x:v>33.150000000000006</x:v>
      </x:c>
      <x:c r="Z1359" s="94" t="n">
        <x:f>IFERROR(Y1359/W1359,0)</x:f>
        <x:v>0.32773109243697485</x:v>
      </x:c>
      <x:c r="AA1359" s="84" t="str">
        <x:f>PROPER(TRIM('Raw Sales'!M1359))</x:f>
        <x:v>Paypal</x:v>
      </x:c>
      <x:c r="AB1359" s="84" t="str">
        <x:f>PROPER(TRIM('Raw Sales'!N1359))</x:f>
        <x:v>Nora Kim</x:v>
      </x:c>
      <x:c r="AC1359" s="85" t="n">
        <x:f>'Raw Sales'!O1359</x:f>
        <x:v>45749</x:v>
      </x:c>
      <x:c r="AD1359" s="84" t="n">
        <x:f>AC1359-B1359</x:f>
        <x:v>5</x:v>
      </x:c>
      <x:c r="AE1359" s="84" t="str">
        <x:f>IF(COUNTIF($A$5:A1359,A1359)&gt;1,"Duplicate","Keep")</x:f>
        <x:v>Keep</x:v>
      </x:c>
      <x:c r="AF1359" s="84" t="str">
        <x:f>IF(OR(R1359&lt;=0,AC1359&lt;B1359,H1359="Unknown",M1359="Unknown Product"),"Review","Valid")</x:f>
        <x:v>Valid</x:v>
      </x:c>
      <x:c r="AG1359" s="84" t="n">
        <x:f>IF(AND(AE1359="Keep",AF1359="Valid"),1,0)</x:f>
        <x:v>1</x:v>
      </x:c>
      <x:c r="AH1359" s="84" t="n">
        <x:f>IF(AND(AG1359=1,OR('Dashboard'!$B$4="All",I1359='Dashboard'!$B$4),OR('Dashboard'!$E$4="All",N1359='Dashboard'!$E$4),OR('Dashboard'!$H$4="All",K1359='Dashboard'!$H$4),OR('Dashboard'!$K$4="All",C1359='Dashboard'!$K$4)),1,0)</x:f>
        <x:v>1</x:v>
      </x:c>
      <x:c r="AI1359" s="84" t="n">
        <x:f>IF(AND(AG1359=1,OR('Dashboard'!$B$4="All",I1359='Dashboard'!$B$4),OR('Dashboard'!$E$4="All",N1359='Dashboard'!$E$4),OR('Dashboard'!$H$4="All",K1359='Dashboard'!$H$4)),1,0)</x:f>
        <x:v>1</x:v>
      </x:c>
    </x:row>
    <x:row r="1360">
      <x:c r="A1360" s="84" t="str">
        <x:f>'Raw Sales'!A1360</x:f>
        <x:v>ORD-2025-01691</x:v>
      </x:c>
      <x:c r="B1360" s="85" t="n">
        <x:f>'Raw Sales'!B1360</x:f>
        <x:v>45744</x:v>
      </x:c>
      <x:c r="C1360" s="84" t="n">
        <x:f>YEAR(B1360)</x:f>
        <x:v>2025</x:v>
      </x:c>
      <x:c r="D1360" s="91" t="n">
        <x:f>DATE(YEAR(B1360),MONTH(B1360),1)</x:f>
        <x:v>45717</x:v>
      </x:c>
      <x:c r="E1360" s="84" t="str">
        <x:f>TEXT(B1360,"mmm")</x:f>
        <x:v>Mar</x:v>
      </x:c>
      <x:c r="F1360" s="84" t="str">
        <x:f>'Raw Sales'!C1360</x:f>
        <x:v>CUST-0429</x:v>
      </x:c>
      <x:c r="G1360" s="84" t="str">
        <x:f>PROPER(TRIM('Raw Sales'!D1360))</x:f>
        <x:v>Maya Smith</x:v>
      </x:c>
      <x:c r="H1360" s="84" t="str">
        <x:f>IF(TRIM('Raw Sales'!E1360)="","Unknown",PROPER(TRIM('Raw Sales'!E1360)))</x:f>
        <x:v>Small Business</x:v>
      </x:c>
      <x:c r="I1360" s="84" t="str">
        <x:f>PROPER(TRIM('Raw Sales'!F1360))</x:f>
        <x:v>West</x:v>
      </x:c>
      <x:c r="J1360" s="84" t="str">
        <x:f>PROPER(TRIM('Raw Sales'!G1360))</x:f>
        <x:v>Los Angeles</x:v>
      </x:c>
      <x:c r="K1360" s="84" t="str">
        <x:f>PROPER(TRIM('Raw Sales'!H1360))</x:f>
        <x:v>Online</x:v>
      </x:c>
      <x:c r="L1360" s="84" t="str">
        <x:f>'Raw Sales'!I1360</x:f>
        <x:v>ELEC-006</x:v>
      </x:c>
      <x:c r="M1360" s="84" t="str">
        <x:f>IFERROR(VLOOKUP(L1360,'Reference Data'!$A$5:$F$40,2,FALSE),"Unknown Product")</x:f>
        <x:v>Portable SSD</x:v>
      </x:c>
      <x:c r="N1360" s="84" t="str">
        <x:f>IFERROR(VLOOKUP(L1360,'Reference Data'!$A$5:$F$40,3,FALSE),"Unknown")</x:f>
        <x:v>Electronics</x:v>
      </x:c>
      <x:c r="O1360" s="84" t="str">
        <x:f>IFERROR(VLOOKUP(L1360,'Reference Data'!$A$5:$F$40,4,FALSE),"Unknown")</x:f>
        <x:v>Storage</x:v>
      </x:c>
      <x:c r="P1360" s="92" t="n">
        <x:f>IFERROR(VLOOKUP(L1360,'Reference Data'!$A$5:$F$40,5,FALSE),0)</x:f>
        <x:v>129</x:v>
      </x:c>
      <x:c r="Q1360" s="92" t="n">
        <x:f>IFERROR(VLOOKUP(L1360,'Reference Data'!$A$5:$F$40,6,FALSE),0)</x:f>
        <x:v>75</x:v>
      </x:c>
      <x:c r="R1360" s="84" t="n">
        <x:f>'Raw Sales'!J1360</x:f>
        <x:v>1</x:v>
      </x:c>
      <x:c r="S1360" s="87" t="n">
        <x:f>'Raw Sales'!K1360</x:f>
        <x:v>0</x:v>
      </x:c>
      <x:c r="T1360" s="93" t="n">
        <x:f>P1360*R1360</x:f>
        <x:v>129</x:v>
      </x:c>
      <x:c r="U1360" s="93" t="n">
        <x:f>T1360*S1360</x:f>
        <x:v>0</x:v>
      </x:c>
      <x:c r="V1360" s="93" t="str">
        <x:f>PROPER(TRIM('Raw Sales'!L1360))</x:f>
        <x:v>Completed</x:v>
      </x:c>
      <x:c r="W1360" s="93" t="n">
        <x:f>IF(V1360="Returned",0,T1360-U1360)</x:f>
        <x:v>129</x:v>
      </x:c>
      <x:c r="X1360" s="93" t="n">
        <x:f>IF(V1360="Returned",Q1360*R1360*10%,Q1360*R1360)</x:f>
        <x:v>75</x:v>
      </x:c>
      <x:c r="Y1360" s="93" t="n">
        <x:f>W1360-X1360</x:f>
        <x:v>54</x:v>
      </x:c>
      <x:c r="Z1360" s="94" t="n">
        <x:f>IFERROR(Y1360/W1360,0)</x:f>
        <x:v>0.4186046511627907</x:v>
      </x:c>
      <x:c r="AA1360" s="84" t="str">
        <x:f>PROPER(TRIM('Raw Sales'!M1360))</x:f>
        <x:v>Credit Card</x:v>
      </x:c>
      <x:c r="AB1360" s="84" t="str">
        <x:f>PROPER(TRIM('Raw Sales'!N1360))</x:f>
        <x:v>Nora Kim</x:v>
      </x:c>
      <x:c r="AC1360" s="85" t="n">
        <x:f>'Raw Sales'!O1360</x:f>
        <x:v>45749</x:v>
      </x:c>
      <x:c r="AD1360" s="84" t="n">
        <x:f>AC1360-B1360</x:f>
        <x:v>5</x:v>
      </x:c>
      <x:c r="AE1360" s="84" t="str">
        <x:f>IF(COUNTIF($A$5:A1360,A1360)&gt;1,"Duplicate","Keep")</x:f>
        <x:v>Keep</x:v>
      </x:c>
      <x:c r="AF1360" s="84" t="str">
        <x:f>IF(OR(R1360&lt;=0,AC1360&lt;B1360,H1360="Unknown",M1360="Unknown Product"),"Review","Valid")</x:f>
        <x:v>Valid</x:v>
      </x:c>
      <x:c r="AG1360" s="84" t="n">
        <x:f>IF(AND(AE1360="Keep",AF1360="Valid"),1,0)</x:f>
        <x:v>1</x:v>
      </x:c>
      <x:c r="AH1360" s="84" t="n">
        <x:f>IF(AND(AG1360=1,OR('Dashboard'!$B$4="All",I1360='Dashboard'!$B$4),OR('Dashboard'!$E$4="All",N1360='Dashboard'!$E$4),OR('Dashboard'!$H$4="All",K1360='Dashboard'!$H$4),OR('Dashboard'!$K$4="All",C1360='Dashboard'!$K$4)),1,0)</x:f>
        <x:v>1</x:v>
      </x:c>
      <x:c r="AI1360" s="84" t="n">
        <x:f>IF(AND(AG1360=1,OR('Dashboard'!$B$4="All",I1360='Dashboard'!$B$4),OR('Dashboard'!$E$4="All",N1360='Dashboard'!$E$4),OR('Dashboard'!$H$4="All",K1360='Dashboard'!$H$4)),1,0)</x:f>
        <x:v>1</x:v>
      </x:c>
    </x:row>
    <x:row r="1361">
      <x:c r="A1361" s="84" t="str">
        <x:f>'Raw Sales'!A1361</x:f>
        <x:v>ORD-2025-01789</x:v>
      </x:c>
      <x:c r="B1361" s="85" t="n">
        <x:f>'Raw Sales'!B1361</x:f>
        <x:v>45744</x:v>
      </x:c>
      <x:c r="C1361" s="84" t="n">
        <x:f>YEAR(B1361)</x:f>
        <x:v>2025</x:v>
      </x:c>
      <x:c r="D1361" s="91" t="n">
        <x:f>DATE(YEAR(B1361),MONTH(B1361),1)</x:f>
        <x:v>45717</x:v>
      </x:c>
      <x:c r="E1361" s="84" t="str">
        <x:f>TEXT(B1361,"mmm")</x:f>
        <x:v>Mar</x:v>
      </x:c>
      <x:c r="F1361" s="84" t="str">
        <x:f>'Raw Sales'!C1361</x:f>
        <x:v>CUST-0494</x:v>
      </x:c>
      <x:c r="G1361" s="84" t="str">
        <x:f>PROPER(TRIM('Raw Sales'!D1361))</x:f>
        <x:v>Zara Taylor</x:v>
      </x:c>
      <x:c r="H1361" s="84" t="str">
        <x:f>IF(TRIM('Raw Sales'!E1361)="","Unknown",PROPER(TRIM('Raw Sales'!E1361)))</x:f>
        <x:v>Consumer</x:v>
      </x:c>
      <x:c r="I1361" s="84" t="str">
        <x:f>PROPER(TRIM('Raw Sales'!F1361))</x:f>
        <x:v>Southeast</x:v>
      </x:c>
      <x:c r="J1361" s="84" t="str">
        <x:f>PROPER(TRIM('Raw Sales'!G1361))</x:f>
        <x:v>Atlanta</x:v>
      </x:c>
      <x:c r="K1361" s="84" t="str">
        <x:f>PROPER(TRIM('Raw Sales'!H1361))</x:f>
        <x:v>Marketplace</x:v>
      </x:c>
      <x:c r="L1361" s="84" t="str">
        <x:f>'Raw Sales'!I1361</x:f>
        <x:v>OFFC-006</x:v>
      </x:c>
      <x:c r="M1361" s="84" t="str">
        <x:f>IFERROR(VLOOKUP(L1361,'Reference Data'!$A$5:$F$40,2,FALSE),"Unknown Product")</x:f>
        <x:v>Monitor Stand</x:v>
      </x:c>
      <x:c r="N1361" s="84" t="str">
        <x:f>IFERROR(VLOOKUP(L1361,'Reference Data'!$A$5:$F$40,3,FALSE),"Unknown")</x:f>
        <x:v>Office</x:v>
      </x:c>
      <x:c r="O1361" s="84" t="str">
        <x:f>IFERROR(VLOOKUP(L1361,'Reference Data'!$A$5:$F$40,4,FALSE),"Unknown")</x:f>
        <x:v>Desk Accessories</x:v>
      </x:c>
      <x:c r="P1361" s="92" t="n">
        <x:f>IFERROR(VLOOKUP(L1361,'Reference Data'!$A$5:$F$40,5,FALSE),0)</x:f>
        <x:v>49</x:v>
      </x:c>
      <x:c r="Q1361" s="92" t="n">
        <x:f>IFERROR(VLOOKUP(L1361,'Reference Data'!$A$5:$F$40,6,FALSE),0)</x:f>
        <x:v>21</x:v>
      </x:c>
      <x:c r="R1361" s="84" t="n">
        <x:f>'Raw Sales'!J1361</x:f>
        <x:v>1</x:v>
      </x:c>
      <x:c r="S1361" s="87" t="n">
        <x:f>'Raw Sales'!K1361</x:f>
        <x:v>0</x:v>
      </x:c>
      <x:c r="T1361" s="93" t="n">
        <x:f>P1361*R1361</x:f>
        <x:v>49</x:v>
      </x:c>
      <x:c r="U1361" s="93" t="n">
        <x:f>T1361*S1361</x:f>
        <x:v>0</x:v>
      </x:c>
      <x:c r="V1361" s="93" t="str">
        <x:f>PROPER(TRIM('Raw Sales'!L1361))</x:f>
        <x:v>Completed</x:v>
      </x:c>
      <x:c r="W1361" s="93" t="n">
        <x:f>IF(V1361="Returned",0,T1361-U1361)</x:f>
        <x:v>49</x:v>
      </x:c>
      <x:c r="X1361" s="93" t="n">
        <x:f>IF(V1361="Returned",Q1361*R1361*10%,Q1361*R1361)</x:f>
        <x:v>21</x:v>
      </x:c>
      <x:c r="Y1361" s="93" t="n">
        <x:f>W1361-X1361</x:f>
        <x:v>28</x:v>
      </x:c>
      <x:c r="Z1361" s="94" t="n">
        <x:f>IFERROR(Y1361/W1361,0)</x:f>
        <x:v>0.5714285714285714</x:v>
      </x:c>
      <x:c r="AA1361" s="84" t="str">
        <x:f>PROPER(TRIM('Raw Sales'!M1361))</x:f>
        <x:v>Debit Card</x:v>
      </x:c>
      <x:c r="AB1361" s="84" t="str">
        <x:f>PROPER(TRIM('Raw Sales'!N1361))</x:f>
        <x:v>Noah Reed</x:v>
      </x:c>
      <x:c r="AC1361" s="85" t="n">
        <x:f>'Raw Sales'!O1361</x:f>
        <x:v>45749</x:v>
      </x:c>
      <x:c r="AD1361" s="84" t="n">
        <x:f>AC1361-B1361</x:f>
        <x:v>5</x:v>
      </x:c>
      <x:c r="AE1361" s="84" t="str">
        <x:f>IF(COUNTIF($A$5:A1361,A1361)&gt;1,"Duplicate","Keep")</x:f>
        <x:v>Keep</x:v>
      </x:c>
      <x:c r="AF1361" s="84" t="str">
        <x:f>IF(OR(R1361&lt;=0,AC1361&lt;B1361,H1361="Unknown",M1361="Unknown Product"),"Review","Valid")</x:f>
        <x:v>Valid</x:v>
      </x:c>
      <x:c r="AG1361" s="84" t="n">
        <x:f>IF(AND(AE1361="Keep",AF1361="Valid"),1,0)</x:f>
        <x:v>1</x:v>
      </x:c>
      <x:c r="AH1361" s="84" t="n">
        <x:f>IF(AND(AG1361=1,OR('Dashboard'!$B$4="All",I1361='Dashboard'!$B$4),OR('Dashboard'!$E$4="All",N1361='Dashboard'!$E$4),OR('Dashboard'!$H$4="All",K1361='Dashboard'!$H$4),OR('Dashboard'!$K$4="All",C1361='Dashboard'!$K$4)),1,0)</x:f>
        <x:v>1</x:v>
      </x:c>
      <x:c r="AI1361" s="84" t="n">
        <x:f>IF(AND(AG1361=1,OR('Dashboard'!$B$4="All",I1361='Dashboard'!$B$4),OR('Dashboard'!$E$4="All",N1361='Dashboard'!$E$4),OR('Dashboard'!$H$4="All",K1361='Dashboard'!$H$4)),1,0)</x:f>
        <x:v>1</x:v>
      </x:c>
    </x:row>
    <x:row r="1362">
      <x:c r="A1362" s="84" t="str">
        <x:f>'Raw Sales'!A1362</x:f>
        <x:v>ORD-2025-00178</x:v>
      </x:c>
      <x:c r="B1362" s="85" t="n">
        <x:f>'Raw Sales'!B1362</x:f>
        <x:v>45745</x:v>
      </x:c>
      <x:c r="C1362" s="84" t="n">
        <x:f>YEAR(B1362)</x:f>
        <x:v>2025</x:v>
      </x:c>
      <x:c r="D1362" s="91" t="n">
        <x:f>DATE(YEAR(B1362),MONTH(B1362),1)</x:f>
        <x:v>45717</x:v>
      </x:c>
      <x:c r="E1362" s="84" t="str">
        <x:f>TEXT(B1362,"mmm")</x:f>
        <x:v>Mar</x:v>
      </x:c>
      <x:c r="F1362" s="84" t="str">
        <x:f>'Raw Sales'!C1362</x:f>
        <x:v>CUST-0560</x:v>
      </x:c>
      <x:c r="G1362" s="84" t="str">
        <x:f>PROPER(TRIM('Raw Sales'!D1362))</x:f>
        <x:v>Sara Khan</x:v>
      </x:c>
      <x:c r="H1362" s="84" t="str">
        <x:f>IF(TRIM('Raw Sales'!E1362)="","Unknown",PROPER(TRIM('Raw Sales'!E1362)))</x:f>
        <x:v>Consumer</x:v>
      </x:c>
      <x:c r="I1362" s="84" t="str">
        <x:f>PROPER(TRIM('Raw Sales'!F1362))</x:f>
        <x:v>Northeast</x:v>
      </x:c>
      <x:c r="J1362" s="84" t="str">
        <x:f>PROPER(TRIM('Raw Sales'!G1362))</x:f>
        <x:v>Philadelphia</x:v>
      </x:c>
      <x:c r="K1362" s="84" t="str">
        <x:f>PROPER(TRIM('Raw Sales'!H1362))</x:f>
        <x:v>Retail Store</x:v>
      </x:c>
      <x:c r="L1362" s="84" t="str">
        <x:f>'Raw Sales'!I1362</x:f>
        <x:v>CARE-001</x:v>
      </x:c>
      <x:c r="M1362" s="84" t="str">
        <x:f>IFERROR(VLOOKUP(L1362,'Reference Data'!$A$5:$F$40,2,FALSE),"Unknown Product")</x:f>
        <x:v>Ionic Hair Dryer</x:v>
      </x:c>
      <x:c r="N1362" s="84" t="str">
        <x:f>IFERROR(VLOOKUP(L1362,'Reference Data'!$A$5:$F$40,3,FALSE),"Unknown")</x:f>
        <x:v>Personal Care</x:v>
      </x:c>
      <x:c r="O1362" s="84" t="str">
        <x:f>IFERROR(VLOOKUP(L1362,'Reference Data'!$A$5:$F$40,4,FALSE),"Unknown")</x:f>
        <x:v>Hair Care</x:v>
      </x:c>
      <x:c r="P1362" s="92" t="n">
        <x:f>IFERROR(VLOOKUP(L1362,'Reference Data'!$A$5:$F$40,5,FALSE),0)</x:f>
        <x:v>54</x:v>
      </x:c>
      <x:c r="Q1362" s="92" t="n">
        <x:f>IFERROR(VLOOKUP(L1362,'Reference Data'!$A$5:$F$40,6,FALSE),0)</x:f>
        <x:v>25</x:v>
      </x:c>
      <x:c r="R1362" s="84" t="n">
        <x:f>'Raw Sales'!J1362</x:f>
        <x:v>2</x:v>
      </x:c>
      <x:c r="S1362" s="87" t="n">
        <x:f>'Raw Sales'!K1362</x:f>
        <x:v>0</x:v>
      </x:c>
      <x:c r="T1362" s="93" t="n">
        <x:f>P1362*R1362</x:f>
        <x:v>108</x:v>
      </x:c>
      <x:c r="U1362" s="93" t="n">
        <x:f>T1362*S1362</x:f>
        <x:v>0</x:v>
      </x:c>
      <x:c r="V1362" s="93" t="str">
        <x:f>PROPER(TRIM('Raw Sales'!L1362))</x:f>
        <x:v>Completed</x:v>
      </x:c>
      <x:c r="W1362" s="93" t="n">
        <x:f>IF(V1362="Returned",0,T1362-U1362)</x:f>
        <x:v>108</x:v>
      </x:c>
      <x:c r="X1362" s="93" t="n">
        <x:f>IF(V1362="Returned",Q1362*R1362*10%,Q1362*R1362)</x:f>
        <x:v>50</x:v>
      </x:c>
      <x:c r="Y1362" s="93" t="n">
        <x:f>W1362-X1362</x:f>
        <x:v>58</x:v>
      </x:c>
      <x:c r="Z1362" s="94" t="n">
        <x:f>IFERROR(Y1362/W1362,0)</x:f>
        <x:v>0.5370370370370371</x:v>
      </x:c>
      <x:c r="AA1362" s="84" t="str">
        <x:f>PROPER(TRIM('Raw Sales'!M1362))</x:f>
        <x:v>Credit Card</x:v>
      </x:c>
      <x:c r="AB1362" s="84" t="str">
        <x:f>PROPER(TRIM('Raw Sales'!N1362))</x:f>
        <x:v>Ethan Cole</x:v>
      </x:c>
      <x:c r="AC1362" s="85" t="n">
        <x:f>'Raw Sales'!O1362</x:f>
        <x:v>45745</x:v>
      </x:c>
      <x:c r="AD1362" s="84" t="n">
        <x:f>AC1362-B1362</x:f>
        <x:v>0</x:v>
      </x:c>
      <x:c r="AE1362" s="84" t="str">
        <x:f>IF(COUNTIF($A$5:A1362,A1362)&gt;1,"Duplicate","Keep")</x:f>
        <x:v>Keep</x:v>
      </x:c>
      <x:c r="AF1362" s="84" t="str">
        <x:f>IF(OR(R1362&lt;=0,AC1362&lt;B1362,H1362="Unknown",M1362="Unknown Product"),"Review","Valid")</x:f>
        <x:v>Valid</x:v>
      </x:c>
      <x:c r="AG1362" s="84" t="n">
        <x:f>IF(AND(AE1362="Keep",AF1362="Valid"),1,0)</x:f>
        <x:v>1</x:v>
      </x:c>
      <x:c r="AH1362" s="84" t="n">
        <x:f>IF(AND(AG1362=1,OR('Dashboard'!$B$4="All",I1362='Dashboard'!$B$4),OR('Dashboard'!$E$4="All",N1362='Dashboard'!$E$4),OR('Dashboard'!$H$4="All",K1362='Dashboard'!$H$4),OR('Dashboard'!$K$4="All",C1362='Dashboard'!$K$4)),1,0)</x:f>
        <x:v>1</x:v>
      </x:c>
      <x:c r="AI1362" s="84" t="n">
        <x:f>IF(AND(AG1362=1,OR('Dashboard'!$B$4="All",I1362='Dashboard'!$B$4),OR('Dashboard'!$E$4="All",N1362='Dashboard'!$E$4),OR('Dashboard'!$H$4="All",K1362='Dashboard'!$H$4)),1,0)</x:f>
        <x:v>1</x:v>
      </x:c>
    </x:row>
    <x:row r="1363">
      <x:c r="A1363" s="84" t="str">
        <x:f>'Raw Sales'!A1363</x:f>
        <x:v>ORD-2025-00708</x:v>
      </x:c>
      <x:c r="B1363" s="85" t="n">
        <x:f>'Raw Sales'!B1363</x:f>
        <x:v>45745</x:v>
      </x:c>
      <x:c r="C1363" s="84" t="n">
        <x:f>YEAR(B1363)</x:f>
        <x:v>2025</x:v>
      </x:c>
      <x:c r="D1363" s="91" t="n">
        <x:f>DATE(YEAR(B1363),MONTH(B1363),1)</x:f>
        <x:v>45717</x:v>
      </x:c>
      <x:c r="E1363" s="84" t="str">
        <x:f>TEXT(B1363,"mmm")</x:f>
        <x:v>Mar</x:v>
      </x:c>
      <x:c r="F1363" s="84" t="str">
        <x:f>'Raw Sales'!C1363</x:f>
        <x:v>CUST-0543</x:v>
      </x:c>
      <x:c r="G1363" s="84" t="str">
        <x:f>PROPER(TRIM('Raw Sales'!D1363))</x:f>
        <x:v>Marcus Quinn</x:v>
      </x:c>
      <x:c r="H1363" s="84" t="str">
        <x:f>IF(TRIM('Raw Sales'!E1363)="","Unknown",PROPER(TRIM('Raw Sales'!E1363)))</x:f>
        <x:v>Consumer</x:v>
      </x:c>
      <x:c r="I1363" s="84" t="str">
        <x:f>PROPER(TRIM('Raw Sales'!F1363))</x:f>
        <x:v>Southeast</x:v>
      </x:c>
      <x:c r="J1363" s="84" t="str">
        <x:f>PROPER(TRIM('Raw Sales'!G1363))</x:f>
        <x:v>Charlotte</x:v>
      </x:c>
      <x:c r="K1363" s="84" t="str">
        <x:f>PROPER(TRIM('Raw Sales'!H1363))</x:f>
        <x:v>Online</x:v>
      </x:c>
      <x:c r="L1363" s="84" t="str">
        <x:f>'Raw Sales'!I1363</x:f>
        <x:v>ACCS-004</x:v>
      </x:c>
      <x:c r="M1363" s="84" t="str">
        <x:f>IFERROR(VLOOKUP(L1363,'Reference Data'!$A$5:$F$40,2,FALSE),"Unknown Product")</x:f>
        <x:v>Leather Wallet</x:v>
      </x:c>
      <x:c r="N1363" s="84" t="str">
        <x:f>IFERROR(VLOOKUP(L1363,'Reference Data'!$A$5:$F$40,3,FALSE),"Unknown")</x:f>
        <x:v>Accessories</x:v>
      </x:c>
      <x:c r="O1363" s="84" t="str">
        <x:f>IFERROR(VLOOKUP(L1363,'Reference Data'!$A$5:$F$40,4,FALSE),"Unknown")</x:f>
        <x:v>Wallets</x:v>
      </x:c>
      <x:c r="P1363" s="92" t="n">
        <x:f>IFERROR(VLOOKUP(L1363,'Reference Data'!$A$5:$F$40,5,FALSE),0)</x:f>
        <x:v>49</x:v>
      </x:c>
      <x:c r="Q1363" s="92" t="n">
        <x:f>IFERROR(VLOOKUP(L1363,'Reference Data'!$A$5:$F$40,6,FALSE),0)</x:f>
        <x:v>18</x:v>
      </x:c>
      <x:c r="R1363" s="84" t="n">
        <x:f>'Raw Sales'!J1363</x:f>
        <x:v>3</x:v>
      </x:c>
      <x:c r="S1363" s="87" t="n">
        <x:f>'Raw Sales'!K1363</x:f>
        <x:v>0</x:v>
      </x:c>
      <x:c r="T1363" s="93" t="n">
        <x:f>P1363*R1363</x:f>
        <x:v>147</x:v>
      </x:c>
      <x:c r="U1363" s="93" t="n">
        <x:f>T1363*S1363</x:f>
        <x:v>0</x:v>
      </x:c>
      <x:c r="V1363" s="93" t="str">
        <x:f>PROPER(TRIM('Raw Sales'!L1363))</x:f>
        <x:v>Completed</x:v>
      </x:c>
      <x:c r="W1363" s="93" t="n">
        <x:f>IF(V1363="Returned",0,T1363-U1363)</x:f>
        <x:v>147</x:v>
      </x:c>
      <x:c r="X1363" s="93" t="n">
        <x:f>IF(V1363="Returned",Q1363*R1363*10%,Q1363*R1363)</x:f>
        <x:v>54</x:v>
      </x:c>
      <x:c r="Y1363" s="93" t="n">
        <x:f>W1363-X1363</x:f>
        <x:v>93</x:v>
      </x:c>
      <x:c r="Z1363" s="94" t="n">
        <x:f>IFERROR(Y1363/W1363,0)</x:f>
        <x:v>0.6326530612244898</x:v>
      </x:c>
      <x:c r="AA1363" s="84" t="str">
        <x:f>PROPER(TRIM('Raw Sales'!M1363))</x:f>
        <x:v>Credit Card</x:v>
      </x:c>
      <x:c r="AB1363" s="84" t="str">
        <x:f>PROPER(TRIM('Raw Sales'!N1363))</x:f>
        <x:v>Liam Parker</x:v>
      </x:c>
      <x:c r="AC1363" s="85" t="n">
        <x:f>'Raw Sales'!O1363</x:f>
        <x:v>45747</x:v>
      </x:c>
      <x:c r="AD1363" s="84" t="n">
        <x:f>AC1363-B1363</x:f>
        <x:v>2</x:v>
      </x:c>
      <x:c r="AE1363" s="84" t="str">
        <x:f>IF(COUNTIF($A$5:A1363,A1363)&gt;1,"Duplicate","Keep")</x:f>
        <x:v>Keep</x:v>
      </x:c>
      <x:c r="AF1363" s="84" t="str">
        <x:f>IF(OR(R1363&lt;=0,AC1363&lt;B1363,H1363="Unknown",M1363="Unknown Product"),"Review","Valid")</x:f>
        <x:v>Valid</x:v>
      </x:c>
      <x:c r="AG1363" s="84" t="n">
        <x:f>IF(AND(AE1363="Keep",AF1363="Valid"),1,0)</x:f>
        <x:v>1</x:v>
      </x:c>
      <x:c r="AH1363" s="84" t="n">
        <x:f>IF(AND(AG1363=1,OR('Dashboard'!$B$4="All",I1363='Dashboard'!$B$4),OR('Dashboard'!$E$4="All",N1363='Dashboard'!$E$4),OR('Dashboard'!$H$4="All",K1363='Dashboard'!$H$4),OR('Dashboard'!$K$4="All",C1363='Dashboard'!$K$4)),1,0)</x:f>
        <x:v>1</x:v>
      </x:c>
      <x:c r="AI1363" s="84" t="n">
        <x:f>IF(AND(AG1363=1,OR('Dashboard'!$B$4="All",I1363='Dashboard'!$B$4),OR('Dashboard'!$E$4="All",N1363='Dashboard'!$E$4),OR('Dashboard'!$H$4="All",K1363='Dashboard'!$H$4)),1,0)</x:f>
        <x:v>1</x:v>
      </x:c>
    </x:row>
    <x:row r="1364">
      <x:c r="A1364" s="84" t="str">
        <x:f>'Raw Sales'!A1364</x:f>
        <x:v>ORD-2025-01100</x:v>
      </x:c>
      <x:c r="B1364" s="85" t="n">
        <x:f>'Raw Sales'!B1364</x:f>
        <x:v>45745</x:v>
      </x:c>
      <x:c r="C1364" s="84" t="n">
        <x:f>YEAR(B1364)</x:f>
        <x:v>2025</x:v>
      </x:c>
      <x:c r="D1364" s="91" t="n">
        <x:f>DATE(YEAR(B1364),MONTH(B1364),1)</x:f>
        <x:v>45717</x:v>
      </x:c>
      <x:c r="E1364" s="84" t="str">
        <x:f>TEXT(B1364,"mmm")</x:f>
        <x:v>Mar</x:v>
      </x:c>
      <x:c r="F1364" s="84" t="str">
        <x:f>'Raw Sales'!C1364</x:f>
        <x:v>CUST-0548</x:v>
      </x:c>
      <x:c r="G1364" s="84" t="str">
        <x:f>PROPER(TRIM('Raw Sales'!D1364))</x:f>
        <x:v>Maya Foster</x:v>
      </x:c>
      <x:c r="H1364" s="84" t="str">
        <x:f>IF(TRIM('Raw Sales'!E1364)="","Unknown",PROPER(TRIM('Raw Sales'!E1364)))</x:f>
        <x:v>Consumer</x:v>
      </x:c>
      <x:c r="I1364" s="84" t="str">
        <x:f>PROPER(TRIM('Raw Sales'!F1364))</x:f>
        <x:v>Southeast</x:v>
      </x:c>
      <x:c r="J1364" s="84" t="str">
        <x:f>PROPER(TRIM('Raw Sales'!G1364))</x:f>
        <x:v>Miami</x:v>
      </x:c>
      <x:c r="K1364" s="84" t="str">
        <x:f>PROPER(TRIM('Raw Sales'!H1364))</x:f>
        <x:v>Marketplace</x:v>
      </x:c>
      <x:c r="L1364" s="84" t="str">
        <x:f>'Raw Sales'!I1364</x:f>
        <x:v>OFFC-006</x:v>
      </x:c>
      <x:c r="M1364" s="84" t="str">
        <x:f>IFERROR(VLOOKUP(L1364,'Reference Data'!$A$5:$F$40,2,FALSE),"Unknown Product")</x:f>
        <x:v>Monitor Stand</x:v>
      </x:c>
      <x:c r="N1364" s="84" t="str">
        <x:f>IFERROR(VLOOKUP(L1364,'Reference Data'!$A$5:$F$40,3,FALSE),"Unknown")</x:f>
        <x:v>Office</x:v>
      </x:c>
      <x:c r="O1364" s="84" t="str">
        <x:f>IFERROR(VLOOKUP(L1364,'Reference Data'!$A$5:$F$40,4,FALSE),"Unknown")</x:f>
        <x:v>Desk Accessories</x:v>
      </x:c>
      <x:c r="P1364" s="92" t="n">
        <x:f>IFERROR(VLOOKUP(L1364,'Reference Data'!$A$5:$F$40,5,FALSE),0)</x:f>
        <x:v>49</x:v>
      </x:c>
      <x:c r="Q1364" s="92" t="n">
        <x:f>IFERROR(VLOOKUP(L1364,'Reference Data'!$A$5:$F$40,6,FALSE),0)</x:f>
        <x:v>21</x:v>
      </x:c>
      <x:c r="R1364" s="84" t="n">
        <x:f>'Raw Sales'!J1364</x:f>
        <x:v>1</x:v>
      </x:c>
      <x:c r="S1364" s="87" t="n">
        <x:f>'Raw Sales'!K1364</x:f>
        <x:v>0.15</x:v>
      </x:c>
      <x:c r="T1364" s="93" t="n">
        <x:f>P1364*R1364</x:f>
        <x:v>49</x:v>
      </x:c>
      <x:c r="U1364" s="93" t="n">
        <x:f>T1364*S1364</x:f>
        <x:v>7.35</x:v>
      </x:c>
      <x:c r="V1364" s="93" t="str">
        <x:f>PROPER(TRIM('Raw Sales'!L1364))</x:f>
        <x:v>Completed</x:v>
      </x:c>
      <x:c r="W1364" s="93" t="n">
        <x:f>IF(V1364="Returned",0,T1364-U1364)</x:f>
        <x:v>41.65</x:v>
      </x:c>
      <x:c r="X1364" s="93" t="n">
        <x:f>IF(V1364="Returned",Q1364*R1364*10%,Q1364*R1364)</x:f>
        <x:v>21</x:v>
      </x:c>
      <x:c r="Y1364" s="93" t="n">
        <x:f>W1364-X1364</x:f>
        <x:v>20.65</x:v>
      </x:c>
      <x:c r="Z1364" s="94" t="n">
        <x:f>IFERROR(Y1364/W1364,0)</x:f>
        <x:v>0.49579831932773105</x:v>
      </x:c>
      <x:c r="AA1364" s="84" t="str">
        <x:f>PROPER(TRIM('Raw Sales'!M1364))</x:f>
        <x:v>Credit Card</x:v>
      </x:c>
      <x:c r="AB1364" s="84" t="str">
        <x:f>PROPER(TRIM('Raw Sales'!N1364))</x:f>
        <x:v>Noah Reed</x:v>
      </x:c>
      <x:c r="AC1364" s="85" t="n">
        <x:f>'Raw Sales'!O1364</x:f>
        <x:v>45753</x:v>
      </x:c>
      <x:c r="AD1364" s="84" t="n">
        <x:f>AC1364-B1364</x:f>
        <x:v>8</x:v>
      </x:c>
      <x:c r="AE1364" s="84" t="str">
        <x:f>IF(COUNTIF($A$5:A1364,A1364)&gt;1,"Duplicate","Keep")</x:f>
        <x:v>Keep</x:v>
      </x:c>
      <x:c r="AF1364" s="84" t="str">
        <x:f>IF(OR(R1364&lt;=0,AC1364&lt;B1364,H1364="Unknown",M1364="Unknown Product"),"Review","Valid")</x:f>
        <x:v>Valid</x:v>
      </x:c>
      <x:c r="AG1364" s="84" t="n">
        <x:f>IF(AND(AE1364="Keep",AF1364="Valid"),1,0)</x:f>
        <x:v>1</x:v>
      </x:c>
      <x:c r="AH1364" s="84" t="n">
        <x:f>IF(AND(AG1364=1,OR('Dashboard'!$B$4="All",I1364='Dashboard'!$B$4),OR('Dashboard'!$E$4="All",N1364='Dashboard'!$E$4),OR('Dashboard'!$H$4="All",K1364='Dashboard'!$H$4),OR('Dashboard'!$K$4="All",C1364='Dashboard'!$K$4)),1,0)</x:f>
        <x:v>1</x:v>
      </x:c>
      <x:c r="AI1364" s="84" t="n">
        <x:f>IF(AND(AG1364=1,OR('Dashboard'!$B$4="All",I1364='Dashboard'!$B$4),OR('Dashboard'!$E$4="All",N1364='Dashboard'!$E$4),OR('Dashboard'!$H$4="All",K1364='Dashboard'!$H$4)),1,0)</x:f>
        <x:v>1</x:v>
      </x:c>
    </x:row>
    <x:row r="1365">
      <x:c r="A1365" s="84" t="str">
        <x:f>'Raw Sales'!A1365</x:f>
        <x:v>ORD-2025-01378</x:v>
      </x:c>
      <x:c r="B1365" s="85" t="n">
        <x:f>'Raw Sales'!B1365</x:f>
        <x:v>45745</x:v>
      </x:c>
      <x:c r="C1365" s="84" t="n">
        <x:f>YEAR(B1365)</x:f>
        <x:v>2025</x:v>
      </x:c>
      <x:c r="D1365" s="91" t="n">
        <x:f>DATE(YEAR(B1365),MONTH(B1365),1)</x:f>
        <x:v>45717</x:v>
      </x:c>
      <x:c r="E1365" s="84" t="str">
        <x:f>TEXT(B1365,"mmm")</x:f>
        <x:v>Mar</x:v>
      </x:c>
      <x:c r="F1365" s="84" t="str">
        <x:f>'Raw Sales'!C1365</x:f>
        <x:v>CUST-0262</x:v>
      </x:c>
      <x:c r="G1365" s="84" t="str">
        <x:f>PROPER(TRIM('Raw Sales'!D1365))</x:f>
        <x:v>Owen Carter</x:v>
      </x:c>
      <x:c r="H1365" s="84" t="str">
        <x:f>IF(TRIM('Raw Sales'!E1365)="","Unknown",PROPER(TRIM('Raw Sales'!E1365)))</x:f>
        <x:v>Small Business</x:v>
      </x:c>
      <x:c r="I1365" s="84" t="str">
        <x:f>PROPER(TRIM('Raw Sales'!F1365))</x:f>
        <x:v>Northeast</x:v>
      </x:c>
      <x:c r="J1365" s="84" t="str">
        <x:f>PROPER(TRIM('Raw Sales'!G1365))</x:f>
        <x:v>New York</x:v>
      </x:c>
      <x:c r="K1365" s="84" t="str">
        <x:f>PROPER(TRIM('Raw Sales'!H1365))</x:f>
        <x:v>Retail Store</x:v>
      </x:c>
      <x:c r="L1365" s="84" t="str">
        <x:f>'Raw Sales'!I1365</x:f>
        <x:v>FITN-005</x:v>
      </x:c>
      <x:c r="M1365" s="84" t="str">
        <x:f>IFERROR(VLOOKUP(L1365,'Reference Data'!$A$5:$F$40,2,FALSE),"Unknown Product")</x:f>
        <x:v>Sports Water Bottle</x:v>
      </x:c>
      <x:c r="N1365" s="84" t="str">
        <x:f>IFERROR(VLOOKUP(L1365,'Reference Data'!$A$5:$F$40,3,FALSE),"Unknown")</x:f>
        <x:v>Fitness</x:v>
      </x:c>
      <x:c r="O1365" s="84" t="str">
        <x:f>IFERROR(VLOOKUP(L1365,'Reference Data'!$A$5:$F$40,4,FALSE),"Unknown")</x:f>
        <x:v>Accessories</x:v>
      </x:c>
      <x:c r="P1365" s="92" t="n">
        <x:f>IFERROR(VLOOKUP(L1365,'Reference Data'!$A$5:$F$40,5,FALSE),0)</x:f>
        <x:v>22</x:v>
      </x:c>
      <x:c r="Q1365" s="92" t="n">
        <x:f>IFERROR(VLOOKUP(L1365,'Reference Data'!$A$5:$F$40,6,FALSE),0)</x:f>
        <x:v>7</x:v>
      </x:c>
      <x:c r="R1365" s="84" t="n">
        <x:f>'Raw Sales'!J1365</x:f>
        <x:v>1</x:v>
      </x:c>
      <x:c r="S1365" s="87" t="n">
        <x:f>'Raw Sales'!K1365</x:f>
        <x:v>0.15</x:v>
      </x:c>
      <x:c r="T1365" s="93" t="n">
        <x:f>P1365*R1365</x:f>
        <x:v>22</x:v>
      </x:c>
      <x:c r="U1365" s="93" t="n">
        <x:f>T1365*S1365</x:f>
        <x:v>3.3</x:v>
      </x:c>
      <x:c r="V1365" s="93" t="str">
        <x:f>PROPER(TRIM('Raw Sales'!L1365))</x:f>
        <x:v>Completed</x:v>
      </x:c>
      <x:c r="W1365" s="93" t="n">
        <x:f>IF(V1365="Returned",0,T1365-U1365)</x:f>
        <x:v>18.7</x:v>
      </x:c>
      <x:c r="X1365" s="93" t="n">
        <x:f>IF(V1365="Returned",Q1365*R1365*10%,Q1365*R1365)</x:f>
        <x:v>7</x:v>
      </x:c>
      <x:c r="Y1365" s="93" t="n">
        <x:f>W1365-X1365</x:f>
        <x:v>11.7</x:v>
      </x:c>
      <x:c r="Z1365" s="94" t="n">
        <x:f>IFERROR(Y1365/W1365,0)</x:f>
        <x:v>0.6256684491978609</x:v>
      </x:c>
      <x:c r="AA1365" s="84" t="str">
        <x:f>PROPER(TRIM('Raw Sales'!M1365))</x:f>
        <x:v>Credit Card</x:v>
      </x:c>
      <x:c r="AB1365" s="84" t="str">
        <x:f>PROPER(TRIM('Raw Sales'!N1365))</x:f>
        <x:v>Maya Brooks</x:v>
      </x:c>
      <x:c r="AC1365" s="85" t="n">
        <x:f>'Raw Sales'!O1365</x:f>
        <x:v>45745</x:v>
      </x:c>
      <x:c r="AD1365" s="84" t="n">
        <x:f>AC1365-B1365</x:f>
        <x:v>0</x:v>
      </x:c>
      <x:c r="AE1365" s="84" t="str">
        <x:f>IF(COUNTIF($A$5:A1365,A1365)&gt;1,"Duplicate","Keep")</x:f>
        <x:v>Keep</x:v>
      </x:c>
      <x:c r="AF1365" s="84" t="str">
        <x:f>IF(OR(R1365&lt;=0,AC1365&lt;B1365,H1365="Unknown",M1365="Unknown Product"),"Review","Valid")</x:f>
        <x:v>Valid</x:v>
      </x:c>
      <x:c r="AG1365" s="84" t="n">
        <x:f>IF(AND(AE1365="Keep",AF1365="Valid"),1,0)</x:f>
        <x:v>1</x:v>
      </x:c>
      <x:c r="AH1365" s="84" t="n">
        <x:f>IF(AND(AG1365=1,OR('Dashboard'!$B$4="All",I1365='Dashboard'!$B$4),OR('Dashboard'!$E$4="All",N1365='Dashboard'!$E$4),OR('Dashboard'!$H$4="All",K1365='Dashboard'!$H$4),OR('Dashboard'!$K$4="All",C1365='Dashboard'!$K$4)),1,0)</x:f>
        <x:v>1</x:v>
      </x:c>
      <x:c r="AI1365" s="84" t="n">
        <x:f>IF(AND(AG1365=1,OR('Dashboard'!$B$4="All",I1365='Dashboard'!$B$4),OR('Dashboard'!$E$4="All",N1365='Dashboard'!$E$4),OR('Dashboard'!$H$4="All",K1365='Dashboard'!$H$4)),1,0)</x:f>
        <x:v>1</x:v>
      </x:c>
    </x:row>
    <x:row r="1366">
      <x:c r="A1366" s="84" t="str">
        <x:f>'Raw Sales'!A1366</x:f>
        <x:v>ORD-2025-01754</x:v>
      </x:c>
      <x:c r="B1366" s="85" t="n">
        <x:f>'Raw Sales'!B1366</x:f>
        <x:v>45745</x:v>
      </x:c>
      <x:c r="C1366" s="84" t="n">
        <x:f>YEAR(B1366)</x:f>
        <x:v>2025</x:v>
      </x:c>
      <x:c r="D1366" s="91" t="n">
        <x:f>DATE(YEAR(B1366),MONTH(B1366),1)</x:f>
        <x:v>45717</x:v>
      </x:c>
      <x:c r="E1366" s="84" t="str">
        <x:f>TEXT(B1366,"mmm")</x:f>
        <x:v>Mar</x:v>
      </x:c>
      <x:c r="F1366" s="84" t="str">
        <x:f>'Raw Sales'!C1366</x:f>
        <x:v>CUST-0190</x:v>
      </x:c>
      <x:c r="G1366" s="84" t="str">
        <x:f>PROPER(TRIM('Raw Sales'!D1366))</x:f>
        <x:v>Samuel Evans</x:v>
      </x:c>
      <x:c r="H1366" s="84" t="str">
        <x:f>IF(TRIM('Raw Sales'!E1366)="","Unknown",PROPER(TRIM('Raw Sales'!E1366)))</x:f>
        <x:v>Consumer</x:v>
      </x:c>
      <x:c r="I1366" s="84" t="str">
        <x:f>PROPER(TRIM('Raw Sales'!F1366))</x:f>
        <x:v>Midwest</x:v>
      </x:c>
      <x:c r="J1366" s="84" t="str">
        <x:f>PROPER(TRIM('Raw Sales'!G1366))</x:f>
        <x:v>Detroit</x:v>
      </x:c>
      <x:c r="K1366" s="84" t="str">
        <x:f>PROPER(TRIM('Raw Sales'!H1366))</x:f>
        <x:v>Retail Store</x:v>
      </x:c>
      <x:c r="L1366" s="84" t="str">
        <x:f>'Raw Sales'!I1366</x:f>
        <x:v>ELEC-002</x:v>
      </x:c>
      <x:c r="M1366" s="84" t="str">
        <x:f>IFERROR(VLOOKUP(L1366,'Reference Data'!$A$5:$F$40,2,FALSE),"Unknown Product")</x:f>
        <x:v>Smartwatch</x:v>
      </x:c>
      <x:c r="N1366" s="84" t="str">
        <x:f>IFERROR(VLOOKUP(L1366,'Reference Data'!$A$5:$F$40,3,FALSE),"Unknown")</x:f>
        <x:v>Electronics</x:v>
      </x:c>
      <x:c r="O1366" s="84" t="str">
        <x:f>IFERROR(VLOOKUP(L1366,'Reference Data'!$A$5:$F$40,4,FALSE),"Unknown")</x:f>
        <x:v>Wearables</x:v>
      </x:c>
      <x:c r="P1366" s="92" t="n">
        <x:f>IFERROR(VLOOKUP(L1366,'Reference Data'!$A$5:$F$40,5,FALSE),0)</x:f>
        <x:v>159</x:v>
      </x:c>
      <x:c r="Q1366" s="92" t="n">
        <x:f>IFERROR(VLOOKUP(L1366,'Reference Data'!$A$5:$F$40,6,FALSE),0)</x:f>
        <x:v>92</x:v>
      </x:c>
      <x:c r="R1366" s="84" t="n">
        <x:f>'Raw Sales'!J1366</x:f>
        <x:v>3</x:v>
      </x:c>
      <x:c r="S1366" s="87" t="n">
        <x:f>'Raw Sales'!K1366</x:f>
        <x:v>0.15</x:v>
      </x:c>
      <x:c r="T1366" s="93" t="n">
        <x:f>P1366*R1366</x:f>
        <x:v>477</x:v>
      </x:c>
      <x:c r="U1366" s="93" t="n">
        <x:f>T1366*S1366</x:f>
        <x:v>71.55</x:v>
      </x:c>
      <x:c r="V1366" s="93" t="str">
        <x:f>PROPER(TRIM('Raw Sales'!L1366))</x:f>
        <x:v>Completed</x:v>
      </x:c>
      <x:c r="W1366" s="93" t="n">
        <x:f>IF(V1366="Returned",0,T1366-U1366)</x:f>
        <x:v>405.45</x:v>
      </x:c>
      <x:c r="X1366" s="93" t="n">
        <x:f>IF(V1366="Returned",Q1366*R1366*10%,Q1366*R1366)</x:f>
        <x:v>276</x:v>
      </x:c>
      <x:c r="Y1366" s="93" t="n">
        <x:f>W1366-X1366</x:f>
        <x:v>129.45</x:v>
      </x:c>
      <x:c r="Z1366" s="94" t="n">
        <x:f>IFERROR(Y1366/W1366,0)</x:f>
        <x:v>0.31927487976322605</x:v>
      </x:c>
      <x:c r="AA1366" s="84" t="str">
        <x:f>PROPER(TRIM('Raw Sales'!M1366))</x:f>
        <x:v>Mobile Wallet</x:v>
      </x:c>
      <x:c r="AB1366" s="84" t="str">
        <x:f>PROPER(TRIM('Raw Sales'!N1366))</x:f>
        <x:v>Lucas Grant</x:v>
      </x:c>
      <x:c r="AC1366" s="85" t="n">
        <x:f>'Raw Sales'!O1366</x:f>
        <x:v>45745</x:v>
      </x:c>
      <x:c r="AD1366" s="84" t="n">
        <x:f>AC1366-B1366</x:f>
        <x:v>0</x:v>
      </x:c>
      <x:c r="AE1366" s="84" t="str">
        <x:f>IF(COUNTIF($A$5:A1366,A1366)&gt;1,"Duplicate","Keep")</x:f>
        <x:v>Keep</x:v>
      </x:c>
      <x:c r="AF1366" s="84" t="str">
        <x:f>IF(OR(R1366&lt;=0,AC1366&lt;B1366,H1366="Unknown",M1366="Unknown Product"),"Review","Valid")</x:f>
        <x:v>Valid</x:v>
      </x:c>
      <x:c r="AG1366" s="84" t="n">
        <x:f>IF(AND(AE1366="Keep",AF1366="Valid"),1,0)</x:f>
        <x:v>1</x:v>
      </x:c>
      <x:c r="AH1366" s="84" t="n">
        <x:f>IF(AND(AG1366=1,OR('Dashboard'!$B$4="All",I1366='Dashboard'!$B$4),OR('Dashboard'!$E$4="All",N1366='Dashboard'!$E$4),OR('Dashboard'!$H$4="All",K1366='Dashboard'!$H$4),OR('Dashboard'!$K$4="All",C1366='Dashboard'!$K$4)),1,0)</x:f>
        <x:v>1</x:v>
      </x:c>
      <x:c r="AI1366" s="84" t="n">
        <x:f>IF(AND(AG1366=1,OR('Dashboard'!$B$4="All",I1366='Dashboard'!$B$4),OR('Dashboard'!$E$4="All",N1366='Dashboard'!$E$4),OR('Dashboard'!$H$4="All",K1366='Dashboard'!$H$4)),1,0)</x:f>
        <x:v>1</x:v>
      </x:c>
    </x:row>
    <x:row r="1367">
      <x:c r="A1367" s="84" t="str">
        <x:f>'Raw Sales'!A1367</x:f>
        <x:v>ORD-2025-00020</x:v>
      </x:c>
      <x:c r="B1367" s="85" t="n">
        <x:f>'Raw Sales'!B1367</x:f>
        <x:v>45746</x:v>
      </x:c>
      <x:c r="C1367" s="84" t="n">
        <x:f>YEAR(B1367)</x:f>
        <x:v>2025</x:v>
      </x:c>
      <x:c r="D1367" s="91" t="n">
        <x:f>DATE(YEAR(B1367),MONTH(B1367),1)</x:f>
        <x:v>45717</x:v>
      </x:c>
      <x:c r="E1367" s="84" t="str">
        <x:f>TEXT(B1367,"mmm")</x:f>
        <x:v>Mar</x:v>
      </x:c>
      <x:c r="F1367" s="84" t="str">
        <x:f>'Raw Sales'!C1367</x:f>
        <x:v>CUST-0031</x:v>
      </x:c>
      <x:c r="G1367" s="84" t="str">
        <x:f>PROPER(TRIM('Raw Sales'!D1367))</x:f>
        <x:v>Theo Smith</x:v>
      </x:c>
      <x:c r="H1367" s="84" t="str">
        <x:f>IF(TRIM('Raw Sales'!E1367)="","Unknown",PROPER(TRIM('Raw Sales'!E1367)))</x:f>
        <x:v>Consumer</x:v>
      </x:c>
      <x:c r="I1367" s="84" t="str">
        <x:f>PROPER(TRIM('Raw Sales'!F1367))</x:f>
        <x:v>Southeast</x:v>
      </x:c>
      <x:c r="J1367" s="84" t="str">
        <x:f>PROPER(TRIM('Raw Sales'!G1367))</x:f>
        <x:v>Atlanta</x:v>
      </x:c>
      <x:c r="K1367" s="84" t="str">
        <x:f>PROPER(TRIM('Raw Sales'!H1367))</x:f>
        <x:v>Marketplace</x:v>
      </x:c>
      <x:c r="L1367" s="84" t="str">
        <x:f>'Raw Sales'!I1367</x:f>
        <x:v>FITN-003</x:v>
      </x:c>
      <x:c r="M1367" s="84" t="str">
        <x:f>IFERROR(VLOOKUP(L1367,'Reference Data'!$A$5:$F$40,2,FALSE),"Unknown Product")</x:f>
        <x:v>Resistance Band Set</x:v>
      </x:c>
      <x:c r="N1367" s="84" t="str">
        <x:f>IFERROR(VLOOKUP(L1367,'Reference Data'!$A$5:$F$40,3,FALSE),"Unknown")</x:f>
        <x:v>Fitness</x:v>
      </x:c>
      <x:c r="O1367" s="84" t="str">
        <x:f>IFERROR(VLOOKUP(L1367,'Reference Data'!$A$5:$F$40,4,FALSE),"Unknown")</x:f>
        <x:v>Strength</x:v>
      </x:c>
      <x:c r="P1367" s="92" t="n">
        <x:f>IFERROR(VLOOKUP(L1367,'Reference Data'!$A$5:$F$40,5,FALSE),0)</x:f>
        <x:v>24</x:v>
      </x:c>
      <x:c r="Q1367" s="92" t="n">
        <x:f>IFERROR(VLOOKUP(L1367,'Reference Data'!$A$5:$F$40,6,FALSE),0)</x:f>
        <x:v>8</x:v>
      </x:c>
      <x:c r="R1367" s="84" t="n">
        <x:f>'Raw Sales'!J1367</x:f>
        <x:v>2</x:v>
      </x:c>
      <x:c r="S1367" s="87" t="n">
        <x:f>'Raw Sales'!K1367</x:f>
        <x:v>0</x:v>
      </x:c>
      <x:c r="T1367" s="93" t="n">
        <x:f>P1367*R1367</x:f>
        <x:v>48</x:v>
      </x:c>
      <x:c r="U1367" s="93" t="n">
        <x:f>T1367*S1367</x:f>
        <x:v>0</x:v>
      </x:c>
      <x:c r="V1367" s="93" t="str">
        <x:f>PROPER(TRIM('Raw Sales'!L1367))</x:f>
        <x:v>Completed</x:v>
      </x:c>
      <x:c r="W1367" s="93" t="n">
        <x:f>IF(V1367="Returned",0,T1367-U1367)</x:f>
        <x:v>48</x:v>
      </x:c>
      <x:c r="X1367" s="93" t="n">
        <x:f>IF(V1367="Returned",Q1367*R1367*10%,Q1367*R1367)</x:f>
        <x:v>16</x:v>
      </x:c>
      <x:c r="Y1367" s="93" t="n">
        <x:f>W1367-X1367</x:f>
        <x:v>32</x:v>
      </x:c>
      <x:c r="Z1367" s="94" t="n">
        <x:f>IFERROR(Y1367/W1367,0)</x:f>
        <x:v>0.6666666666666666</x:v>
      </x:c>
      <x:c r="AA1367" s="84" t="str">
        <x:f>PROPER(TRIM('Raw Sales'!M1367))</x:f>
        <x:v>Credit Card</x:v>
      </x:c>
      <x:c r="AB1367" s="84" t="str">
        <x:f>PROPER(TRIM('Raw Sales'!N1367))</x:f>
        <x:v>Liam Parker</x:v>
      </x:c>
      <x:c r="AC1367" s="85" t="n">
        <x:f>'Raw Sales'!O1367</x:f>
        <x:v>45753</x:v>
      </x:c>
      <x:c r="AD1367" s="84" t="n">
        <x:f>AC1367-B1367</x:f>
        <x:v>7</x:v>
      </x:c>
      <x:c r="AE1367" s="84" t="str">
        <x:f>IF(COUNTIF($A$5:A1367,A1367)&gt;1,"Duplicate","Keep")</x:f>
        <x:v>Keep</x:v>
      </x:c>
      <x:c r="AF1367" s="84" t="str">
        <x:f>IF(OR(R1367&lt;=0,AC1367&lt;B1367,H1367="Unknown",M1367="Unknown Product"),"Review","Valid")</x:f>
        <x:v>Valid</x:v>
      </x:c>
      <x:c r="AG1367" s="84" t="n">
        <x:f>IF(AND(AE1367="Keep",AF1367="Valid"),1,0)</x:f>
        <x:v>1</x:v>
      </x:c>
      <x:c r="AH1367" s="84" t="n">
        <x:f>IF(AND(AG1367=1,OR('Dashboard'!$B$4="All",I1367='Dashboard'!$B$4),OR('Dashboard'!$E$4="All",N1367='Dashboard'!$E$4),OR('Dashboard'!$H$4="All",K1367='Dashboard'!$H$4),OR('Dashboard'!$K$4="All",C1367='Dashboard'!$K$4)),1,0)</x:f>
        <x:v>1</x:v>
      </x:c>
      <x:c r="AI1367" s="84" t="n">
        <x:f>IF(AND(AG1367=1,OR('Dashboard'!$B$4="All",I1367='Dashboard'!$B$4),OR('Dashboard'!$E$4="All",N1367='Dashboard'!$E$4),OR('Dashboard'!$H$4="All",K1367='Dashboard'!$H$4)),1,0)</x:f>
        <x:v>1</x:v>
      </x:c>
    </x:row>
    <x:row r="1368">
      <x:c r="A1368" s="84" t="str">
        <x:f>'Raw Sales'!A1368</x:f>
        <x:v>ORD-2025-00103</x:v>
      </x:c>
      <x:c r="B1368" s="85" t="n">
        <x:f>'Raw Sales'!B1368</x:f>
        <x:v>45746</x:v>
      </x:c>
      <x:c r="C1368" s="84" t="n">
        <x:f>YEAR(B1368)</x:f>
        <x:v>2025</x:v>
      </x:c>
      <x:c r="D1368" s="91" t="n">
        <x:f>DATE(YEAR(B1368),MONTH(B1368),1)</x:f>
        <x:v>45717</x:v>
      </x:c>
      <x:c r="E1368" s="84" t="str">
        <x:f>TEXT(B1368,"mmm")</x:f>
        <x:v>Mar</x:v>
      </x:c>
      <x:c r="F1368" s="84" t="str">
        <x:f>'Raw Sales'!C1368</x:f>
        <x:v>CUST-0144</x:v>
      </x:c>
      <x:c r="G1368" s="84" t="str">
        <x:f>PROPER(TRIM('Raw Sales'!D1368))</x:f>
        <x:v>Grace Patel</x:v>
      </x:c>
      <x:c r="H1368" s="84" t="str">
        <x:f>IF(TRIM('Raw Sales'!E1368)="","Unknown",PROPER(TRIM('Raw Sales'!E1368)))</x:f>
        <x:v>Corporate</x:v>
      </x:c>
      <x:c r="I1368" s="84" t="str">
        <x:f>PROPER(TRIM('Raw Sales'!F1368))</x:f>
        <x:v>West</x:v>
      </x:c>
      <x:c r="J1368" s="84" t="str">
        <x:f>PROPER(TRIM('Raw Sales'!G1368))</x:f>
        <x:v>Phoenix</x:v>
      </x:c>
      <x:c r="K1368" s="84" t="str">
        <x:f>PROPER(TRIM('Raw Sales'!H1368))</x:f>
        <x:v>Retail Store</x:v>
      </x:c>
      <x:c r="L1368" s="84" t="str">
        <x:f>'Raw Sales'!I1368</x:f>
        <x:v>ACCS-004</x:v>
      </x:c>
      <x:c r="M1368" s="84" t="str">
        <x:f>IFERROR(VLOOKUP(L1368,'Reference Data'!$A$5:$F$40,2,FALSE),"Unknown Product")</x:f>
        <x:v>Leather Wallet</x:v>
      </x:c>
      <x:c r="N1368" s="84" t="str">
        <x:f>IFERROR(VLOOKUP(L1368,'Reference Data'!$A$5:$F$40,3,FALSE),"Unknown")</x:f>
        <x:v>Accessories</x:v>
      </x:c>
      <x:c r="O1368" s="84" t="str">
        <x:f>IFERROR(VLOOKUP(L1368,'Reference Data'!$A$5:$F$40,4,FALSE),"Unknown")</x:f>
        <x:v>Wallets</x:v>
      </x:c>
      <x:c r="P1368" s="92" t="n">
        <x:f>IFERROR(VLOOKUP(L1368,'Reference Data'!$A$5:$F$40,5,FALSE),0)</x:f>
        <x:v>49</x:v>
      </x:c>
      <x:c r="Q1368" s="92" t="n">
        <x:f>IFERROR(VLOOKUP(L1368,'Reference Data'!$A$5:$F$40,6,FALSE),0)</x:f>
        <x:v>18</x:v>
      </x:c>
      <x:c r="R1368" s="84" t="n">
        <x:f>'Raw Sales'!J1368</x:f>
        <x:v>3</x:v>
      </x:c>
      <x:c r="S1368" s="87" t="n">
        <x:f>'Raw Sales'!K1368</x:f>
        <x:v>0</x:v>
      </x:c>
      <x:c r="T1368" s="93" t="n">
        <x:f>P1368*R1368</x:f>
        <x:v>147</x:v>
      </x:c>
      <x:c r="U1368" s="93" t="n">
        <x:f>T1368*S1368</x:f>
        <x:v>0</x:v>
      </x:c>
      <x:c r="V1368" s="93" t="str">
        <x:f>PROPER(TRIM('Raw Sales'!L1368))</x:f>
        <x:v>Completed</x:v>
      </x:c>
      <x:c r="W1368" s="93" t="n">
        <x:f>IF(V1368="Returned",0,T1368-U1368)</x:f>
        <x:v>147</x:v>
      </x:c>
      <x:c r="X1368" s="93" t="n">
        <x:f>IF(V1368="Returned",Q1368*R1368*10%,Q1368*R1368)</x:f>
        <x:v>54</x:v>
      </x:c>
      <x:c r="Y1368" s="93" t="n">
        <x:f>W1368-X1368</x:f>
        <x:v>93</x:v>
      </x:c>
      <x:c r="Z1368" s="94" t="n">
        <x:f>IFERROR(Y1368/W1368,0)</x:f>
        <x:v>0.6326530612244898</x:v>
      </x:c>
      <x:c r="AA1368" s="84" t="str">
        <x:f>PROPER(TRIM('Raw Sales'!M1368))</x:f>
        <x:v>Debit Card</x:v>
      </x:c>
      <x:c r="AB1368" s="84" t="str">
        <x:f>PROPER(TRIM('Raw Sales'!N1368))</x:f>
        <x:v>Mia Chen</x:v>
      </x:c>
      <x:c r="AC1368" s="85" t="n">
        <x:f>'Raw Sales'!O1368</x:f>
        <x:v>45746</x:v>
      </x:c>
      <x:c r="AD1368" s="84" t="n">
        <x:f>AC1368-B1368</x:f>
        <x:v>0</x:v>
      </x:c>
      <x:c r="AE1368" s="84" t="str">
        <x:f>IF(COUNTIF($A$5:A1368,A1368)&gt;1,"Duplicate","Keep")</x:f>
        <x:v>Keep</x:v>
      </x:c>
      <x:c r="AF1368" s="84" t="str">
        <x:f>IF(OR(R1368&lt;=0,AC1368&lt;B1368,H1368="Unknown",M1368="Unknown Product"),"Review","Valid")</x:f>
        <x:v>Valid</x:v>
      </x:c>
      <x:c r="AG1368" s="84" t="n">
        <x:f>IF(AND(AE1368="Keep",AF1368="Valid"),1,0)</x:f>
        <x:v>1</x:v>
      </x:c>
      <x:c r="AH1368" s="84" t="n">
        <x:f>IF(AND(AG1368=1,OR('Dashboard'!$B$4="All",I1368='Dashboard'!$B$4),OR('Dashboard'!$E$4="All",N1368='Dashboard'!$E$4),OR('Dashboard'!$H$4="All",K1368='Dashboard'!$H$4),OR('Dashboard'!$K$4="All",C1368='Dashboard'!$K$4)),1,0)</x:f>
        <x:v>1</x:v>
      </x:c>
      <x:c r="AI1368" s="84" t="n">
        <x:f>IF(AND(AG1368=1,OR('Dashboard'!$B$4="All",I1368='Dashboard'!$B$4),OR('Dashboard'!$E$4="All",N1368='Dashboard'!$E$4),OR('Dashboard'!$H$4="All",K1368='Dashboard'!$H$4)),1,0)</x:f>
        <x:v>1</x:v>
      </x:c>
    </x:row>
    <x:row r="1369">
      <x:c r="A1369" s="84" t="str">
        <x:f>'Raw Sales'!A1369</x:f>
        <x:v>ORD-2025-00992</x:v>
      </x:c>
      <x:c r="B1369" s="85" t="n">
        <x:f>'Raw Sales'!B1369</x:f>
        <x:v>45747</x:v>
      </x:c>
      <x:c r="C1369" s="84" t="n">
        <x:f>YEAR(B1369)</x:f>
        <x:v>2025</x:v>
      </x:c>
      <x:c r="D1369" s="91" t="n">
        <x:f>DATE(YEAR(B1369),MONTH(B1369),1)</x:f>
        <x:v>45717</x:v>
      </x:c>
      <x:c r="E1369" s="84" t="str">
        <x:f>TEXT(B1369,"mmm")</x:f>
        <x:v>Mar</x:v>
      </x:c>
      <x:c r="F1369" s="84" t="str">
        <x:f>'Raw Sales'!C1369</x:f>
        <x:v>CUST-0152</x:v>
      </x:c>
      <x:c r="G1369" s="84" t="str">
        <x:f>PROPER(TRIM('Raw Sales'!D1369))</x:f>
        <x:v>Aiden Ortiz</x:v>
      </x:c>
      <x:c r="H1369" s="84" t="str">
        <x:f>IF(TRIM('Raw Sales'!E1369)="","Unknown",PROPER(TRIM('Raw Sales'!E1369)))</x:f>
        <x:v>Consumer</x:v>
      </x:c>
      <x:c r="I1369" s="84" t="str">
        <x:f>PROPER(TRIM('Raw Sales'!F1369))</x:f>
        <x:v>West</x:v>
      </x:c>
      <x:c r="J1369" s="84" t="str">
        <x:f>PROPER(TRIM('Raw Sales'!G1369))</x:f>
        <x:v>Denver</x:v>
      </x:c>
      <x:c r="K1369" s="84" t="str">
        <x:f>PROPER(TRIM('Raw Sales'!H1369))</x:f>
        <x:v>Online</x:v>
      </x:c>
      <x:c r="L1369" s="84" t="str">
        <x:f>'Raw Sales'!I1369</x:f>
        <x:v>OFFC-003</x:v>
      </x:c>
      <x:c r="M1369" s="84" t="str">
        <x:f>IFERROR(VLOOKUP(L1369,'Reference Data'!$A$5:$F$40,2,FALSE),"Unknown Product")</x:f>
        <x:v>LED Desk Lamp</x:v>
      </x:c>
      <x:c r="N1369" s="84" t="str">
        <x:f>IFERROR(VLOOKUP(L1369,'Reference Data'!$A$5:$F$40,3,FALSE),"Unknown")</x:f>
        <x:v>Office</x:v>
      </x:c>
      <x:c r="O1369" s="84" t="str">
        <x:f>IFERROR(VLOOKUP(L1369,'Reference Data'!$A$5:$F$40,4,FALSE),"Unknown")</x:f>
        <x:v>Desk Accessories</x:v>
      </x:c>
      <x:c r="P1369" s="92" t="n">
        <x:f>IFERROR(VLOOKUP(L1369,'Reference Data'!$A$5:$F$40,5,FALSE),0)</x:f>
        <x:v>45</x:v>
      </x:c>
      <x:c r="Q1369" s="92" t="n">
        <x:f>IFERROR(VLOOKUP(L1369,'Reference Data'!$A$5:$F$40,6,FALSE),0)</x:f>
        <x:v>20</x:v>
      </x:c>
      <x:c r="R1369" s="84" t="n">
        <x:f>'Raw Sales'!J1369</x:f>
        <x:v>1</x:v>
      </x:c>
      <x:c r="S1369" s="87" t="n">
        <x:f>'Raw Sales'!K1369</x:f>
        <x:v>0.15</x:v>
      </x:c>
      <x:c r="T1369" s="93" t="n">
        <x:f>P1369*R1369</x:f>
        <x:v>45</x:v>
      </x:c>
      <x:c r="U1369" s="93" t="n">
        <x:f>T1369*S1369</x:f>
        <x:v>6.75</x:v>
      </x:c>
      <x:c r="V1369" s="93" t="str">
        <x:f>PROPER(TRIM('Raw Sales'!L1369))</x:f>
        <x:v>Completed</x:v>
      </x:c>
      <x:c r="W1369" s="93" t="n">
        <x:f>IF(V1369="Returned",0,T1369-U1369)</x:f>
        <x:v>38.25</x:v>
      </x:c>
      <x:c r="X1369" s="93" t="n">
        <x:f>IF(V1369="Returned",Q1369*R1369*10%,Q1369*R1369)</x:f>
        <x:v>20</x:v>
      </x:c>
      <x:c r="Y1369" s="93" t="n">
        <x:f>W1369-X1369</x:f>
        <x:v>18.25</x:v>
      </x:c>
      <x:c r="Z1369" s="94" t="n">
        <x:f>IFERROR(Y1369/W1369,0)</x:f>
        <x:v>0.477124183006536</x:v>
      </x:c>
      <x:c r="AA1369" s="84" t="str">
        <x:f>PROPER(TRIM('Raw Sales'!M1369))</x:f>
        <x:v>Paypal</x:v>
      </x:c>
      <x:c r="AB1369" s="84" t="str">
        <x:f>PROPER(TRIM('Raw Sales'!N1369))</x:f>
        <x:v>Mia Chen</x:v>
      </x:c>
      <x:c r="AC1369" s="85" t="n">
        <x:f>'Raw Sales'!O1369</x:f>
        <x:v>45750</x:v>
      </x:c>
      <x:c r="AD1369" s="84" t="n">
        <x:f>AC1369-B1369</x:f>
        <x:v>3</x:v>
      </x:c>
      <x:c r="AE1369" s="84" t="str">
        <x:f>IF(COUNTIF($A$5:A1369,A1369)&gt;1,"Duplicate","Keep")</x:f>
        <x:v>Keep</x:v>
      </x:c>
      <x:c r="AF1369" s="84" t="str">
        <x:f>IF(OR(R1369&lt;=0,AC1369&lt;B1369,H1369="Unknown",M1369="Unknown Product"),"Review","Valid")</x:f>
        <x:v>Valid</x:v>
      </x:c>
      <x:c r="AG1369" s="84" t="n">
        <x:f>IF(AND(AE1369="Keep",AF1369="Valid"),1,0)</x:f>
        <x:v>1</x:v>
      </x:c>
      <x:c r="AH1369" s="84" t="n">
        <x:f>IF(AND(AG1369=1,OR('Dashboard'!$B$4="All",I1369='Dashboard'!$B$4),OR('Dashboard'!$E$4="All",N1369='Dashboard'!$E$4),OR('Dashboard'!$H$4="All",K1369='Dashboard'!$H$4),OR('Dashboard'!$K$4="All",C1369='Dashboard'!$K$4)),1,0)</x:f>
        <x:v>1</x:v>
      </x:c>
      <x:c r="AI1369" s="84" t="n">
        <x:f>IF(AND(AG1369=1,OR('Dashboard'!$B$4="All",I1369='Dashboard'!$B$4),OR('Dashboard'!$E$4="All",N1369='Dashboard'!$E$4),OR('Dashboard'!$H$4="All",K1369='Dashboard'!$H$4)),1,0)</x:f>
        <x:v>1</x:v>
      </x:c>
    </x:row>
    <x:row r="1370">
      <x:c r="A1370" s="84" t="str">
        <x:f>'Raw Sales'!A1370</x:f>
        <x:v>ORD-2025-02339</x:v>
      </x:c>
      <x:c r="B1370" s="85" t="n">
        <x:f>'Raw Sales'!B1370</x:f>
        <x:v>45747</x:v>
      </x:c>
      <x:c r="C1370" s="84" t="n">
        <x:f>YEAR(B1370)</x:f>
        <x:v>2025</x:v>
      </x:c>
      <x:c r="D1370" s="91" t="n">
        <x:f>DATE(YEAR(B1370),MONTH(B1370),1)</x:f>
        <x:v>45717</x:v>
      </x:c>
      <x:c r="E1370" s="84" t="str">
        <x:f>TEXT(B1370,"mmm")</x:f>
        <x:v>Mar</x:v>
      </x:c>
      <x:c r="F1370" s="84" t="str">
        <x:f>'Raw Sales'!C1370</x:f>
        <x:v>CUST-0119</x:v>
      </x:c>
      <x:c r="G1370" s="84" t="str">
        <x:f>PROPER(TRIM('Raw Sales'!D1370))</x:f>
        <x:v>Grace Nelson</x:v>
      </x:c>
      <x:c r="H1370" s="84" t="str">
        <x:f>IF(TRIM('Raw Sales'!E1370)="","Unknown",PROPER(TRIM('Raw Sales'!E1370)))</x:f>
        <x:v>Small Business</x:v>
      </x:c>
      <x:c r="I1370" s="84" t="str">
        <x:f>PROPER(TRIM('Raw Sales'!F1370))</x:f>
        <x:v>West</x:v>
      </x:c>
      <x:c r="J1370" s="84" t="str">
        <x:f>PROPER(TRIM('Raw Sales'!G1370))</x:f>
        <x:v>Denver</x:v>
      </x:c>
      <x:c r="K1370" s="84" t="str">
        <x:f>PROPER(TRIM('Raw Sales'!H1370))</x:f>
        <x:v>Online</x:v>
      </x:c>
      <x:c r="L1370" s="84" t="str">
        <x:f>'Raw Sales'!I1370</x:f>
        <x:v>ACCS-002</x:v>
      </x:c>
      <x:c r="M1370" s="84" t="str">
        <x:f>IFERROR(VLOOKUP(L1370,'Reference Data'!$A$5:$F$40,2,FALSE),"Unknown Product")</x:f>
        <x:v>Travel Backpack</x:v>
      </x:c>
      <x:c r="N1370" s="84" t="str">
        <x:f>IFERROR(VLOOKUP(L1370,'Reference Data'!$A$5:$F$40,3,FALSE),"Unknown")</x:f>
        <x:v>Accessories</x:v>
      </x:c>
      <x:c r="O1370" s="84" t="str">
        <x:f>IFERROR(VLOOKUP(L1370,'Reference Data'!$A$5:$F$40,4,FALSE),"Unknown")</x:f>
        <x:v>Bags</x:v>
      </x:c>
      <x:c r="P1370" s="92" t="n">
        <x:f>IFERROR(VLOOKUP(L1370,'Reference Data'!$A$5:$F$40,5,FALSE),0)</x:f>
        <x:v>89</x:v>
      </x:c>
      <x:c r="Q1370" s="92" t="n">
        <x:f>IFERROR(VLOOKUP(L1370,'Reference Data'!$A$5:$F$40,6,FALSE),0)</x:f>
        <x:v>36</x:v>
      </x:c>
      <x:c r="R1370" s="84" t="n">
        <x:f>'Raw Sales'!J1370</x:f>
        <x:v>3</x:v>
      </x:c>
      <x:c r="S1370" s="87" t="n">
        <x:f>'Raw Sales'!K1370</x:f>
        <x:v>0.15</x:v>
      </x:c>
      <x:c r="T1370" s="93" t="n">
        <x:f>P1370*R1370</x:f>
        <x:v>267</x:v>
      </x:c>
      <x:c r="U1370" s="93" t="n">
        <x:f>T1370*S1370</x:f>
        <x:v>40.05</x:v>
      </x:c>
      <x:c r="V1370" s="93" t="str">
        <x:f>PROPER(TRIM('Raw Sales'!L1370))</x:f>
        <x:v>Completed</x:v>
      </x:c>
      <x:c r="W1370" s="93" t="n">
        <x:f>IF(V1370="Returned",0,T1370-U1370)</x:f>
        <x:v>226.95</x:v>
      </x:c>
      <x:c r="X1370" s="93" t="n">
        <x:f>IF(V1370="Returned",Q1370*R1370*10%,Q1370*R1370)</x:f>
        <x:v>108</x:v>
      </x:c>
      <x:c r="Y1370" s="93" t="n">
        <x:f>W1370-X1370</x:f>
        <x:v>118.94999999999999</x:v>
      </x:c>
      <x:c r="Z1370" s="94" t="n">
        <x:f>IFERROR(Y1370/W1370,0)</x:f>
        <x:v>0.5241242564441506</x:v>
      </x:c>
      <x:c r="AA1370" s="84" t="str">
        <x:f>PROPER(TRIM('Raw Sales'!M1370))</x:f>
        <x:v>Credit Card</x:v>
      </x:c>
      <x:c r="AB1370" s="84" t="str">
        <x:f>PROPER(TRIM('Raw Sales'!N1370))</x:f>
        <x:v>Nora Kim</x:v>
      </x:c>
      <x:c r="AC1370" s="85" t="n">
        <x:f>'Raw Sales'!O1370</x:f>
        <x:v>45749</x:v>
      </x:c>
      <x:c r="AD1370" s="84" t="n">
        <x:f>AC1370-B1370</x:f>
        <x:v>2</x:v>
      </x:c>
      <x:c r="AE1370" s="84" t="str">
        <x:f>IF(COUNTIF($A$5:A1370,A1370)&gt;1,"Duplicate","Keep")</x:f>
        <x:v>Keep</x:v>
      </x:c>
      <x:c r="AF1370" s="84" t="str">
        <x:f>IF(OR(R1370&lt;=0,AC1370&lt;B1370,H1370="Unknown",M1370="Unknown Product"),"Review","Valid")</x:f>
        <x:v>Valid</x:v>
      </x:c>
      <x:c r="AG1370" s="84" t="n">
        <x:f>IF(AND(AE1370="Keep",AF1370="Valid"),1,0)</x:f>
        <x:v>1</x:v>
      </x:c>
      <x:c r="AH1370" s="84" t="n">
        <x:f>IF(AND(AG1370=1,OR('Dashboard'!$B$4="All",I1370='Dashboard'!$B$4),OR('Dashboard'!$E$4="All",N1370='Dashboard'!$E$4),OR('Dashboard'!$H$4="All",K1370='Dashboard'!$H$4),OR('Dashboard'!$K$4="All",C1370='Dashboard'!$K$4)),1,0)</x:f>
        <x:v>1</x:v>
      </x:c>
      <x:c r="AI1370" s="84" t="n">
        <x:f>IF(AND(AG1370=1,OR('Dashboard'!$B$4="All",I1370='Dashboard'!$B$4),OR('Dashboard'!$E$4="All",N1370='Dashboard'!$E$4),OR('Dashboard'!$H$4="All",K1370='Dashboard'!$H$4)),1,0)</x:f>
        <x:v>1</x:v>
      </x:c>
    </x:row>
    <x:row r="1371">
      <x:c r="A1371" s="84" t="str">
        <x:f>'Raw Sales'!A1371</x:f>
        <x:v>ORD-2025-00382</x:v>
      </x:c>
      <x:c r="B1371" s="85" t="n">
        <x:f>'Raw Sales'!B1371</x:f>
        <x:v>45748</x:v>
      </x:c>
      <x:c r="C1371" s="84" t="n">
        <x:f>YEAR(B1371)</x:f>
        <x:v>2025</x:v>
      </x:c>
      <x:c r="D1371" s="91" t="n">
        <x:f>DATE(YEAR(B1371),MONTH(B1371),1)</x:f>
        <x:v>45748</x:v>
      </x:c>
      <x:c r="E1371" s="84" t="str">
        <x:f>TEXT(B1371,"mmm")</x:f>
        <x:v>Apr</x:v>
      </x:c>
      <x:c r="F1371" s="84" t="str">
        <x:f>'Raw Sales'!C1371</x:f>
        <x:v>CUST-0385</x:v>
      </x:c>
      <x:c r="G1371" s="84" t="str">
        <x:f>PROPER(TRIM('Raw Sales'!D1371))</x:f>
        <x:v>Elias Garcia</x:v>
      </x:c>
      <x:c r="H1371" s="84" t="str">
        <x:f>IF(TRIM('Raw Sales'!E1371)="","Unknown",PROPER(TRIM('Raw Sales'!E1371)))</x:f>
        <x:v>Corporate</x:v>
      </x:c>
      <x:c r="I1371" s="84" t="str">
        <x:f>PROPER(TRIM('Raw Sales'!F1371))</x:f>
        <x:v>Southeast</x:v>
      </x:c>
      <x:c r="J1371" s="84" t="str">
        <x:f>PROPER(TRIM('Raw Sales'!G1371))</x:f>
        <x:v>Atlanta</x:v>
      </x:c>
      <x:c r="K1371" s="84" t="str">
        <x:f>PROPER(TRIM('Raw Sales'!H1371))</x:f>
        <x:v>Online</x:v>
      </x:c>
      <x:c r="L1371" s="84" t="str">
        <x:f>'Raw Sales'!I1371</x:f>
        <x:v>ELEC-006</x:v>
      </x:c>
      <x:c r="M1371" s="84" t="str">
        <x:f>IFERROR(VLOOKUP(L1371,'Reference Data'!$A$5:$F$40,2,FALSE),"Unknown Product")</x:f>
        <x:v>Portable SSD</x:v>
      </x:c>
      <x:c r="N1371" s="84" t="str">
        <x:f>IFERROR(VLOOKUP(L1371,'Reference Data'!$A$5:$F$40,3,FALSE),"Unknown")</x:f>
        <x:v>Electronics</x:v>
      </x:c>
      <x:c r="O1371" s="84" t="str">
        <x:f>IFERROR(VLOOKUP(L1371,'Reference Data'!$A$5:$F$40,4,FALSE),"Unknown")</x:f>
        <x:v>Storage</x:v>
      </x:c>
      <x:c r="P1371" s="92" t="n">
        <x:f>IFERROR(VLOOKUP(L1371,'Reference Data'!$A$5:$F$40,5,FALSE),0)</x:f>
        <x:v>129</x:v>
      </x:c>
      <x:c r="Q1371" s="92" t="n">
        <x:f>IFERROR(VLOOKUP(L1371,'Reference Data'!$A$5:$F$40,6,FALSE),0)</x:f>
        <x:v>75</x:v>
      </x:c>
      <x:c r="R1371" s="84" t="n">
        <x:f>'Raw Sales'!J1371</x:f>
        <x:v>6</x:v>
      </x:c>
      <x:c r="S1371" s="87" t="n">
        <x:f>'Raw Sales'!K1371</x:f>
        <x:v>0.1</x:v>
      </x:c>
      <x:c r="T1371" s="93" t="n">
        <x:f>P1371*R1371</x:f>
        <x:v>774</x:v>
      </x:c>
      <x:c r="U1371" s="93" t="n">
        <x:f>T1371*S1371</x:f>
        <x:v>77.4</x:v>
      </x:c>
      <x:c r="V1371" s="93" t="str">
        <x:f>PROPER(TRIM('Raw Sales'!L1371))</x:f>
        <x:v>Completed</x:v>
      </x:c>
      <x:c r="W1371" s="93" t="n">
        <x:f>IF(V1371="Returned",0,T1371-U1371)</x:f>
        <x:v>696.6</x:v>
      </x:c>
      <x:c r="X1371" s="93" t="n">
        <x:f>IF(V1371="Returned",Q1371*R1371*10%,Q1371*R1371)</x:f>
        <x:v>450</x:v>
      </x:c>
      <x:c r="Y1371" s="93" t="n">
        <x:f>W1371-X1371</x:f>
        <x:v>246.60000000000002</x:v>
      </x:c>
      <x:c r="Z1371" s="94" t="n">
        <x:f>IFERROR(Y1371/W1371,0)</x:f>
        <x:v>0.35400516795865633</x:v>
      </x:c>
      <x:c r="AA1371" s="84" t="str">
        <x:f>PROPER(TRIM('Raw Sales'!M1371))</x:f>
        <x:v>Paypal</x:v>
      </x:c>
      <x:c r="AB1371" s="84" t="str">
        <x:f>PROPER(TRIM('Raw Sales'!N1371))</x:f>
        <x:v>Noah Reed</x:v>
      </x:c>
      <x:c r="AC1371" s="85" t="n">
        <x:f>'Raw Sales'!O1371</x:f>
        <x:v>45753</x:v>
      </x:c>
      <x:c r="AD1371" s="84" t="n">
        <x:f>AC1371-B1371</x:f>
        <x:v>5</x:v>
      </x:c>
      <x:c r="AE1371" s="84" t="str">
        <x:f>IF(COUNTIF($A$5:A1371,A1371)&gt;1,"Duplicate","Keep")</x:f>
        <x:v>Keep</x:v>
      </x:c>
      <x:c r="AF1371" s="84" t="str">
        <x:f>IF(OR(R1371&lt;=0,AC1371&lt;B1371,H1371="Unknown",M1371="Unknown Product"),"Review","Valid")</x:f>
        <x:v>Valid</x:v>
      </x:c>
      <x:c r="AG1371" s="84" t="n">
        <x:f>IF(AND(AE1371="Keep",AF1371="Valid"),1,0)</x:f>
        <x:v>1</x:v>
      </x:c>
      <x:c r="AH1371" s="84" t="n">
        <x:f>IF(AND(AG1371=1,OR('Dashboard'!$B$4="All",I1371='Dashboard'!$B$4),OR('Dashboard'!$E$4="All",N1371='Dashboard'!$E$4),OR('Dashboard'!$H$4="All",K1371='Dashboard'!$H$4),OR('Dashboard'!$K$4="All",C1371='Dashboard'!$K$4)),1,0)</x:f>
        <x:v>1</x:v>
      </x:c>
      <x:c r="AI1371" s="84" t="n">
        <x:f>IF(AND(AG1371=1,OR('Dashboard'!$B$4="All",I1371='Dashboard'!$B$4),OR('Dashboard'!$E$4="All",N1371='Dashboard'!$E$4),OR('Dashboard'!$H$4="All",K1371='Dashboard'!$H$4)),1,0)</x:f>
        <x:v>1</x:v>
      </x:c>
    </x:row>
    <x:row r="1372">
      <x:c r="A1372" s="84" t="str">
        <x:f>'Raw Sales'!A1372</x:f>
        <x:v>ORD-2025-00944</x:v>
      </x:c>
      <x:c r="B1372" s="85" t="n">
        <x:f>'Raw Sales'!B1372</x:f>
        <x:v>45748</x:v>
      </x:c>
      <x:c r="C1372" s="84" t="n">
        <x:f>YEAR(B1372)</x:f>
        <x:v>2025</x:v>
      </x:c>
      <x:c r="D1372" s="91" t="n">
        <x:f>DATE(YEAR(B1372),MONTH(B1372),1)</x:f>
        <x:v>45748</x:v>
      </x:c>
      <x:c r="E1372" s="84" t="str">
        <x:f>TEXT(B1372,"mmm")</x:f>
        <x:v>Apr</x:v>
      </x:c>
      <x:c r="F1372" s="84" t="str">
        <x:f>'Raw Sales'!C1372</x:f>
        <x:v>CUST-0288</x:v>
      </x:c>
      <x:c r="G1372" s="84" t="str">
        <x:f>PROPER(TRIM('Raw Sales'!D1372))</x:f>
        <x:v>Owen Quinn</x:v>
      </x:c>
      <x:c r="H1372" s="84" t="str">
        <x:f>IF(TRIM('Raw Sales'!E1372)="","Unknown",PROPER(TRIM('Raw Sales'!E1372)))</x:f>
        <x:v>Small Business</x:v>
      </x:c>
      <x:c r="I1372" s="84" t="str">
        <x:f>PROPER(TRIM('Raw Sales'!F1372))</x:f>
        <x:v>West</x:v>
      </x:c>
      <x:c r="J1372" s="84" t="str">
        <x:f>PROPER(TRIM('Raw Sales'!G1372))</x:f>
        <x:v>Seattle</x:v>
      </x:c>
      <x:c r="K1372" s="84" t="str">
        <x:f>PROPER(TRIM('Raw Sales'!H1372))</x:f>
        <x:v>Retail Store</x:v>
      </x:c>
      <x:c r="L1372" s="84" t="str">
        <x:f>'Raw Sales'!I1372</x:f>
        <x:v>FITN-003</x:v>
      </x:c>
      <x:c r="M1372" s="84" t="str">
        <x:f>IFERROR(VLOOKUP(L1372,'Reference Data'!$A$5:$F$40,2,FALSE),"Unknown Product")</x:f>
        <x:v>Resistance Band Set</x:v>
      </x:c>
      <x:c r="N1372" s="84" t="str">
        <x:f>IFERROR(VLOOKUP(L1372,'Reference Data'!$A$5:$F$40,3,FALSE),"Unknown")</x:f>
        <x:v>Fitness</x:v>
      </x:c>
      <x:c r="O1372" s="84" t="str">
        <x:f>IFERROR(VLOOKUP(L1372,'Reference Data'!$A$5:$F$40,4,FALSE),"Unknown")</x:f>
        <x:v>Strength</x:v>
      </x:c>
      <x:c r="P1372" s="92" t="n">
        <x:f>IFERROR(VLOOKUP(L1372,'Reference Data'!$A$5:$F$40,5,FALSE),0)</x:f>
        <x:v>24</x:v>
      </x:c>
      <x:c r="Q1372" s="92" t="n">
        <x:f>IFERROR(VLOOKUP(L1372,'Reference Data'!$A$5:$F$40,6,FALSE),0)</x:f>
        <x:v>8</x:v>
      </x:c>
      <x:c r="R1372" s="84" t="n">
        <x:f>'Raw Sales'!J1372</x:f>
        <x:v>3</x:v>
      </x:c>
      <x:c r="S1372" s="87" t="n">
        <x:f>'Raw Sales'!K1372</x:f>
        <x:v>0</x:v>
      </x:c>
      <x:c r="T1372" s="93" t="n">
        <x:f>P1372*R1372</x:f>
        <x:v>72</x:v>
      </x:c>
      <x:c r="U1372" s="93" t="n">
        <x:f>T1372*S1372</x:f>
        <x:v>0</x:v>
      </x:c>
      <x:c r="V1372" s="93" t="str">
        <x:f>PROPER(TRIM('Raw Sales'!L1372))</x:f>
        <x:v>Completed</x:v>
      </x:c>
      <x:c r="W1372" s="93" t="n">
        <x:f>IF(V1372="Returned",0,T1372-U1372)</x:f>
        <x:v>72</x:v>
      </x:c>
      <x:c r="X1372" s="93" t="n">
        <x:f>IF(V1372="Returned",Q1372*R1372*10%,Q1372*R1372)</x:f>
        <x:v>24</x:v>
      </x:c>
      <x:c r="Y1372" s="93" t="n">
        <x:f>W1372-X1372</x:f>
        <x:v>48</x:v>
      </x:c>
      <x:c r="Z1372" s="94" t="n">
        <x:f>IFERROR(Y1372/W1372,0)</x:f>
        <x:v>0.6666666666666666</x:v>
      </x:c>
      <x:c r="AA1372" s="84" t="str">
        <x:f>PROPER(TRIM('Raw Sales'!M1372))</x:f>
        <x:v>Credit Card</x:v>
      </x:c>
      <x:c r="AB1372" s="84" t="str">
        <x:f>PROPER(TRIM('Raw Sales'!N1372))</x:f>
        <x:v>Leo Martinez</x:v>
      </x:c>
      <x:c r="AC1372" s="85" t="n">
        <x:f>'Raw Sales'!O1372</x:f>
        <x:v>45748</x:v>
      </x:c>
      <x:c r="AD1372" s="84" t="n">
        <x:f>AC1372-B1372</x:f>
        <x:v>0</x:v>
      </x:c>
      <x:c r="AE1372" s="84" t="str">
        <x:f>IF(COUNTIF($A$5:A1372,A1372)&gt;1,"Duplicate","Keep")</x:f>
        <x:v>Keep</x:v>
      </x:c>
      <x:c r="AF1372" s="84" t="str">
        <x:f>IF(OR(R1372&lt;=0,AC1372&lt;B1372,H1372="Unknown",M1372="Unknown Product"),"Review","Valid")</x:f>
        <x:v>Valid</x:v>
      </x:c>
      <x:c r="AG1372" s="84" t="n">
        <x:f>IF(AND(AE1372="Keep",AF1372="Valid"),1,0)</x:f>
        <x:v>1</x:v>
      </x:c>
      <x:c r="AH1372" s="84" t="n">
        <x:f>IF(AND(AG1372=1,OR('Dashboard'!$B$4="All",I1372='Dashboard'!$B$4),OR('Dashboard'!$E$4="All",N1372='Dashboard'!$E$4),OR('Dashboard'!$H$4="All",K1372='Dashboard'!$H$4),OR('Dashboard'!$K$4="All",C1372='Dashboard'!$K$4)),1,0)</x:f>
        <x:v>1</x:v>
      </x:c>
      <x:c r="AI1372" s="84" t="n">
        <x:f>IF(AND(AG1372=1,OR('Dashboard'!$B$4="All",I1372='Dashboard'!$B$4),OR('Dashboard'!$E$4="All",N1372='Dashboard'!$E$4),OR('Dashboard'!$H$4="All",K1372='Dashboard'!$H$4)),1,0)</x:f>
        <x:v>1</x:v>
      </x:c>
    </x:row>
    <x:row r="1373">
      <x:c r="A1373" s="84" t="str">
        <x:f>'Raw Sales'!A1373</x:f>
        <x:v>ORD-2025-01351</x:v>
      </x:c>
      <x:c r="B1373" s="85" t="n">
        <x:f>'Raw Sales'!B1373</x:f>
        <x:v>45748</x:v>
      </x:c>
      <x:c r="C1373" s="84" t="n">
        <x:f>YEAR(B1373)</x:f>
        <x:v>2025</x:v>
      </x:c>
      <x:c r="D1373" s="91" t="n">
        <x:f>DATE(YEAR(B1373),MONTH(B1373),1)</x:f>
        <x:v>45748</x:v>
      </x:c>
      <x:c r="E1373" s="84" t="str">
        <x:f>TEXT(B1373,"mmm")</x:f>
        <x:v>Apr</x:v>
      </x:c>
      <x:c r="F1373" s="84" t="str">
        <x:f>'Raw Sales'!C1373</x:f>
        <x:v>CUST-0565</x:v>
      </x:c>
      <x:c r="G1373" s="84" t="str">
        <x:f>PROPER(TRIM('Raw Sales'!D1373))</x:f>
        <x:v>Nathan Taylor</x:v>
      </x:c>
      <x:c r="H1373" s="84" t="str">
        <x:f>IF(TRIM('Raw Sales'!E1373)="","Unknown",PROPER(TRIM('Raw Sales'!E1373)))</x:f>
        <x:v>Consumer</x:v>
      </x:c>
      <x:c r="I1373" s="84" t="str">
        <x:f>PROPER(TRIM('Raw Sales'!F1373))</x:f>
        <x:v>West</x:v>
      </x:c>
      <x:c r="J1373" s="84" t="str">
        <x:f>PROPER(TRIM('Raw Sales'!G1373))</x:f>
        <x:v>Phoenix</x:v>
      </x:c>
      <x:c r="K1373" s="84" t="str">
        <x:f>PROPER(TRIM('Raw Sales'!H1373))</x:f>
        <x:v>Marketplace</x:v>
      </x:c>
      <x:c r="L1373" s="84" t="str">
        <x:f>'Raw Sales'!I1373</x:f>
        <x:v>ELEC-002</x:v>
      </x:c>
      <x:c r="M1373" s="84" t="str">
        <x:f>IFERROR(VLOOKUP(L1373,'Reference Data'!$A$5:$F$40,2,FALSE),"Unknown Product")</x:f>
        <x:v>Smartwatch</x:v>
      </x:c>
      <x:c r="N1373" s="84" t="str">
        <x:f>IFERROR(VLOOKUP(L1373,'Reference Data'!$A$5:$F$40,3,FALSE),"Unknown")</x:f>
        <x:v>Electronics</x:v>
      </x:c>
      <x:c r="O1373" s="84" t="str">
        <x:f>IFERROR(VLOOKUP(L1373,'Reference Data'!$A$5:$F$40,4,FALSE),"Unknown")</x:f>
        <x:v>Wearables</x:v>
      </x:c>
      <x:c r="P1373" s="92" t="n">
        <x:f>IFERROR(VLOOKUP(L1373,'Reference Data'!$A$5:$F$40,5,FALSE),0)</x:f>
        <x:v>159</x:v>
      </x:c>
      <x:c r="Q1373" s="92" t="n">
        <x:f>IFERROR(VLOOKUP(L1373,'Reference Data'!$A$5:$F$40,6,FALSE),0)</x:f>
        <x:v>92</x:v>
      </x:c>
      <x:c r="R1373" s="84" t="n">
        <x:f>'Raw Sales'!J1373</x:f>
        <x:v>1</x:v>
      </x:c>
      <x:c r="S1373" s="87" t="n">
        <x:f>'Raw Sales'!K1373</x:f>
        <x:v>0.15</x:v>
      </x:c>
      <x:c r="T1373" s="93" t="n">
        <x:f>P1373*R1373</x:f>
        <x:v>159</x:v>
      </x:c>
      <x:c r="U1373" s="93" t="n">
        <x:f>T1373*S1373</x:f>
        <x:v>23.849999999999998</x:v>
      </x:c>
      <x:c r="V1373" s="93" t="str">
        <x:f>PROPER(TRIM('Raw Sales'!L1373))</x:f>
        <x:v>Returned</x:v>
      </x:c>
      <x:c r="W1373" s="93" t="n">
        <x:f>IF(V1373="Returned",0,T1373-U1373)</x:f>
        <x:v>0</x:v>
      </x:c>
      <x:c r="X1373" s="93" t="n">
        <x:f>IF(V1373="Returned",Q1373*R1373*10%,Q1373*R1373)</x:f>
        <x:v>9.200000000000001</x:v>
      </x:c>
      <x:c r="Y1373" s="93" t="n">
        <x:f>W1373-X1373</x:f>
        <x:v>-9.200000000000001</x:v>
      </x:c>
      <x:c r="Z1373" s="94" t="n">
        <x:f>IFERROR(Y1373/W1373,0)</x:f>
        <x:v>0</x:v>
      </x:c>
      <x:c r="AA1373" s="84" t="str">
        <x:f>PROPER(TRIM('Raw Sales'!M1373))</x:f>
        <x:v>Credit Card</x:v>
      </x:c>
      <x:c r="AB1373" s="84" t="str">
        <x:f>PROPER(TRIM('Raw Sales'!N1373))</x:f>
        <x:v>Leo Martinez</x:v>
      </x:c>
      <x:c r="AC1373" s="85" t="n">
        <x:f>'Raw Sales'!O1373</x:f>
        <x:v>45754</x:v>
      </x:c>
      <x:c r="AD1373" s="84" t="n">
        <x:f>AC1373-B1373</x:f>
        <x:v>6</x:v>
      </x:c>
      <x:c r="AE1373" s="84" t="str">
        <x:f>IF(COUNTIF($A$5:A1373,A1373)&gt;1,"Duplicate","Keep")</x:f>
        <x:v>Keep</x:v>
      </x:c>
      <x:c r="AF1373" s="84" t="str">
        <x:f>IF(OR(R1373&lt;=0,AC1373&lt;B1373,H1373="Unknown",M1373="Unknown Product"),"Review","Valid")</x:f>
        <x:v>Valid</x:v>
      </x:c>
      <x:c r="AG1373" s="84" t="n">
        <x:f>IF(AND(AE1373="Keep",AF1373="Valid"),1,0)</x:f>
        <x:v>1</x:v>
      </x:c>
      <x:c r="AH1373" s="84" t="n">
        <x:f>IF(AND(AG1373=1,OR('Dashboard'!$B$4="All",I1373='Dashboard'!$B$4),OR('Dashboard'!$E$4="All",N1373='Dashboard'!$E$4),OR('Dashboard'!$H$4="All",K1373='Dashboard'!$H$4),OR('Dashboard'!$K$4="All",C1373='Dashboard'!$K$4)),1,0)</x:f>
        <x:v>1</x:v>
      </x:c>
      <x:c r="AI1373" s="84" t="n">
        <x:f>IF(AND(AG1373=1,OR('Dashboard'!$B$4="All",I1373='Dashboard'!$B$4),OR('Dashboard'!$E$4="All",N1373='Dashboard'!$E$4),OR('Dashboard'!$H$4="All",K1373='Dashboard'!$H$4)),1,0)</x:f>
        <x:v>1</x:v>
      </x:c>
    </x:row>
    <x:row r="1374">
      <x:c r="A1374" s="84" t="str">
        <x:f>'Raw Sales'!A1374</x:f>
        <x:v>ORD-2025-01801</x:v>
      </x:c>
      <x:c r="B1374" s="85" t="n">
        <x:f>'Raw Sales'!B1374</x:f>
        <x:v>45748</x:v>
      </x:c>
      <x:c r="C1374" s="84" t="n">
        <x:f>YEAR(B1374)</x:f>
        <x:v>2025</x:v>
      </x:c>
      <x:c r="D1374" s="91" t="n">
        <x:f>DATE(YEAR(B1374),MONTH(B1374),1)</x:f>
        <x:v>45748</x:v>
      </x:c>
      <x:c r="E1374" s="84" t="str">
        <x:f>TEXT(B1374,"mmm")</x:f>
        <x:v>Apr</x:v>
      </x:c>
      <x:c r="F1374" s="84" t="str">
        <x:f>'Raw Sales'!C1374</x:f>
        <x:v>CUST-0384</x:v>
      </x:c>
      <x:c r="G1374" s="84" t="str">
        <x:f>PROPER(TRIM('Raw Sales'!D1374))</x:f>
        <x:v>Priya Smith</x:v>
      </x:c>
      <x:c r="H1374" s="84" t="str">
        <x:f>IF(TRIM('Raw Sales'!E1374)="","Unknown",PROPER(TRIM('Raw Sales'!E1374)))</x:f>
        <x:v>Corporate</x:v>
      </x:c>
      <x:c r="I1374" s="84" t="str">
        <x:f>PROPER(TRIM('Raw Sales'!F1374))</x:f>
        <x:v>Northeast</x:v>
      </x:c>
      <x:c r="J1374" s="84" t="str">
        <x:f>PROPER(TRIM('Raw Sales'!G1374))</x:f>
        <x:v>New York</x:v>
      </x:c>
      <x:c r="K1374" s="84" t="str">
        <x:f>PROPER(TRIM('Raw Sales'!H1374))</x:f>
        <x:v>Online</x:v>
      </x:c>
      <x:c r="L1374" s="84" t="str">
        <x:f>'Raw Sales'!I1374</x:f>
        <x:v>HOME-001</x:v>
      </x:c>
      <x:c r="M1374" s="84" t="str">
        <x:f>IFERROR(VLOOKUP(L1374,'Reference Data'!$A$5:$F$40,2,FALSE),"Unknown Product")</x:f>
        <x:v>Air Fryer</x:v>
      </x:c>
      <x:c r="N1374" s="84" t="str">
        <x:f>IFERROR(VLOOKUP(L1374,'Reference Data'!$A$5:$F$40,3,FALSE),"Unknown")</x:f>
        <x:v>Home &amp; Kitchen</x:v>
      </x:c>
      <x:c r="O1374" s="84" t="str">
        <x:f>IFERROR(VLOOKUP(L1374,'Reference Data'!$A$5:$F$40,4,FALSE),"Unknown")</x:f>
        <x:v>Small Appliances</x:v>
      </x:c>
      <x:c r="P1374" s="92" t="n">
        <x:f>IFERROR(VLOOKUP(L1374,'Reference Data'!$A$5:$F$40,5,FALSE),0)</x:f>
        <x:v>119</x:v>
      </x:c>
      <x:c r="Q1374" s="92" t="n">
        <x:f>IFERROR(VLOOKUP(L1374,'Reference Data'!$A$5:$F$40,6,FALSE),0)</x:f>
        <x:v>68</x:v>
      </x:c>
      <x:c r="R1374" s="84" t="n">
        <x:f>'Raw Sales'!J1374</x:f>
        <x:v>2</x:v>
      </x:c>
      <x:c r="S1374" s="87" t="n">
        <x:f>'Raw Sales'!K1374</x:f>
        <x:v>0.2</x:v>
      </x:c>
      <x:c r="T1374" s="93" t="n">
        <x:f>P1374*R1374</x:f>
        <x:v>238</x:v>
      </x:c>
      <x:c r="U1374" s="93" t="n">
        <x:f>T1374*S1374</x:f>
        <x:v>47.6</x:v>
      </x:c>
      <x:c r="V1374" s="93" t="str">
        <x:f>PROPER(TRIM('Raw Sales'!L1374))</x:f>
        <x:v>Completed</x:v>
      </x:c>
      <x:c r="W1374" s="93" t="n">
        <x:f>IF(V1374="Returned",0,T1374-U1374)</x:f>
        <x:v>190.4</x:v>
      </x:c>
      <x:c r="X1374" s="93" t="n">
        <x:f>IF(V1374="Returned",Q1374*R1374*10%,Q1374*R1374)</x:f>
        <x:v>136</x:v>
      </x:c>
      <x:c r="Y1374" s="93" t="n">
        <x:f>W1374-X1374</x:f>
        <x:v>54.400000000000006</x:v>
      </x:c>
      <x:c r="Z1374" s="94" t="n">
        <x:f>IFERROR(Y1374/W1374,0)</x:f>
        <x:v>0.28571428571428575</x:v>
      </x:c>
      <x:c r="AA1374" s="84" t="str">
        <x:f>PROPER(TRIM('Raw Sales'!M1374))</x:f>
        <x:v>Mobile Wallet</x:v>
      </x:c>
      <x:c r="AB1374" s="84" t="str">
        <x:f>PROPER(TRIM('Raw Sales'!N1374))</x:f>
        <x:v>Ethan Cole</x:v>
      </x:c>
      <x:c r="AC1374" s="85" t="n">
        <x:f>'Raw Sales'!O1374</x:f>
        <x:v>45751</x:v>
      </x:c>
      <x:c r="AD1374" s="84" t="n">
        <x:f>AC1374-B1374</x:f>
        <x:v>3</x:v>
      </x:c>
      <x:c r="AE1374" s="84" t="str">
        <x:f>IF(COUNTIF($A$5:A1374,A1374)&gt;1,"Duplicate","Keep")</x:f>
        <x:v>Keep</x:v>
      </x:c>
      <x:c r="AF1374" s="84" t="str">
        <x:f>IF(OR(R1374&lt;=0,AC1374&lt;B1374,H1374="Unknown",M1374="Unknown Product"),"Review","Valid")</x:f>
        <x:v>Valid</x:v>
      </x:c>
      <x:c r="AG1374" s="84" t="n">
        <x:f>IF(AND(AE1374="Keep",AF1374="Valid"),1,0)</x:f>
        <x:v>1</x:v>
      </x:c>
      <x:c r="AH1374" s="84" t="n">
        <x:f>IF(AND(AG1374=1,OR('Dashboard'!$B$4="All",I1374='Dashboard'!$B$4),OR('Dashboard'!$E$4="All",N1374='Dashboard'!$E$4),OR('Dashboard'!$H$4="All",K1374='Dashboard'!$H$4),OR('Dashboard'!$K$4="All",C1374='Dashboard'!$K$4)),1,0)</x:f>
        <x:v>1</x:v>
      </x:c>
      <x:c r="AI1374" s="84" t="n">
        <x:f>IF(AND(AG1374=1,OR('Dashboard'!$B$4="All",I1374='Dashboard'!$B$4),OR('Dashboard'!$E$4="All",N1374='Dashboard'!$E$4),OR('Dashboard'!$H$4="All",K1374='Dashboard'!$H$4)),1,0)</x:f>
        <x:v>1</x:v>
      </x:c>
    </x:row>
    <x:row r="1375">
      <x:c r="A1375" s="84" t="str">
        <x:f>'Raw Sales'!A1375</x:f>
        <x:v>ORD-2025-01930</x:v>
      </x:c>
      <x:c r="B1375" s="85" t="n">
        <x:f>'Raw Sales'!B1375</x:f>
        <x:v>45748</x:v>
      </x:c>
      <x:c r="C1375" s="84" t="n">
        <x:f>YEAR(B1375)</x:f>
        <x:v>2025</x:v>
      </x:c>
      <x:c r="D1375" s="91" t="n">
        <x:f>DATE(YEAR(B1375),MONTH(B1375),1)</x:f>
        <x:v>45748</x:v>
      </x:c>
      <x:c r="E1375" s="84" t="str">
        <x:f>TEXT(B1375,"mmm")</x:f>
        <x:v>Apr</x:v>
      </x:c>
      <x:c r="F1375" s="84" t="str">
        <x:f>'Raw Sales'!C1375</x:f>
        <x:v>CUST-0142</x:v>
      </x:c>
      <x:c r="G1375" s="84" t="str">
        <x:f>PROPER(TRIM('Raw Sales'!D1375))</x:f>
        <x:v>Elena Adams</x:v>
      </x:c>
      <x:c r="H1375" s="84" t="str">
        <x:f>IF(TRIM('Raw Sales'!E1375)="","Unknown",PROPER(TRIM('Raw Sales'!E1375)))</x:f>
        <x:v>Consumer</x:v>
      </x:c>
      <x:c r="I1375" s="84" t="str">
        <x:f>PROPER(TRIM('Raw Sales'!F1375))</x:f>
        <x:v>Midwest</x:v>
      </x:c>
      <x:c r="J1375" s="84" t="str">
        <x:f>PROPER(TRIM('Raw Sales'!G1375))</x:f>
        <x:v>Chicago</x:v>
      </x:c>
      <x:c r="K1375" s="84" t="str">
        <x:f>PROPER(TRIM('Raw Sales'!H1375))</x:f>
        <x:v>Marketplace</x:v>
      </x:c>
      <x:c r="L1375" s="84" t="str">
        <x:f>'Raw Sales'!I1375</x:f>
        <x:v>FITN-002</x:v>
      </x:c>
      <x:c r="M1375" s="84" t="str">
        <x:f>IFERROR(VLOOKUP(L1375,'Reference Data'!$A$5:$F$40,2,FALSE),"Unknown Product")</x:f>
        <x:v>Adjustable Dumbbell Set</x:v>
      </x:c>
      <x:c r="N1375" s="84" t="str">
        <x:f>IFERROR(VLOOKUP(L1375,'Reference Data'!$A$5:$F$40,3,FALSE),"Unknown")</x:f>
        <x:v>Fitness</x:v>
      </x:c>
      <x:c r="O1375" s="84" t="str">
        <x:f>IFERROR(VLOOKUP(L1375,'Reference Data'!$A$5:$F$40,4,FALSE),"Unknown")</x:f>
        <x:v>Strength</x:v>
      </x:c>
      <x:c r="P1375" s="92" t="n">
        <x:f>IFERROR(VLOOKUP(L1375,'Reference Data'!$A$5:$F$40,5,FALSE),0)</x:f>
        <x:v>99</x:v>
      </x:c>
      <x:c r="Q1375" s="92" t="n">
        <x:f>IFERROR(VLOOKUP(L1375,'Reference Data'!$A$5:$F$40,6,FALSE),0)</x:f>
        <x:v>57</x:v>
      </x:c>
      <x:c r="R1375" s="84" t="n">
        <x:f>'Raw Sales'!J1375</x:f>
        <x:v>1</x:v>
      </x:c>
      <x:c r="S1375" s="87" t="n">
        <x:f>'Raw Sales'!K1375</x:f>
        <x:v>0.1</x:v>
      </x:c>
      <x:c r="T1375" s="93" t="n">
        <x:f>P1375*R1375</x:f>
        <x:v>99</x:v>
      </x:c>
      <x:c r="U1375" s="93" t="n">
        <x:f>T1375*S1375</x:f>
        <x:v>9.9</x:v>
      </x:c>
      <x:c r="V1375" s="93" t="str">
        <x:f>PROPER(TRIM('Raw Sales'!L1375))</x:f>
        <x:v>Completed</x:v>
      </x:c>
      <x:c r="W1375" s="93" t="n">
        <x:f>IF(V1375="Returned",0,T1375-U1375)</x:f>
        <x:v>89.1</x:v>
      </x:c>
      <x:c r="X1375" s="93" t="n">
        <x:f>IF(V1375="Returned",Q1375*R1375*10%,Q1375*R1375)</x:f>
        <x:v>57</x:v>
      </x:c>
      <x:c r="Y1375" s="93" t="n">
        <x:f>W1375-X1375</x:f>
        <x:v>32.099999999999994</x:v>
      </x:c>
      <x:c r="Z1375" s="94" t="n">
        <x:f>IFERROR(Y1375/W1375,0)</x:f>
        <x:v>0.36026936026936024</x:v>
      </x:c>
      <x:c r="AA1375" s="84" t="str">
        <x:f>PROPER(TRIM('Raw Sales'!M1375))</x:f>
        <x:v>Credit Card</x:v>
      </x:c>
      <x:c r="AB1375" s="84" t="str">
        <x:f>PROPER(TRIM('Raw Sales'!N1375))</x:f>
        <x:v>Lucas Grant</x:v>
      </x:c>
      <x:c r="AC1375" s="85" t="n">
        <x:f>'Raw Sales'!O1375</x:f>
        <x:v>45755</x:v>
      </x:c>
      <x:c r="AD1375" s="84" t="n">
        <x:f>AC1375-B1375</x:f>
        <x:v>7</x:v>
      </x:c>
      <x:c r="AE1375" s="84" t="str">
        <x:f>IF(COUNTIF($A$5:A1375,A1375)&gt;1,"Duplicate","Keep")</x:f>
        <x:v>Keep</x:v>
      </x:c>
      <x:c r="AF1375" s="84" t="str">
        <x:f>IF(OR(R1375&lt;=0,AC1375&lt;B1375,H1375="Unknown",M1375="Unknown Product"),"Review","Valid")</x:f>
        <x:v>Valid</x:v>
      </x:c>
      <x:c r="AG1375" s="84" t="n">
        <x:f>IF(AND(AE1375="Keep",AF1375="Valid"),1,0)</x:f>
        <x:v>1</x:v>
      </x:c>
      <x:c r="AH1375" s="84" t="n">
        <x:f>IF(AND(AG1375=1,OR('Dashboard'!$B$4="All",I1375='Dashboard'!$B$4),OR('Dashboard'!$E$4="All",N1375='Dashboard'!$E$4),OR('Dashboard'!$H$4="All",K1375='Dashboard'!$H$4),OR('Dashboard'!$K$4="All",C1375='Dashboard'!$K$4)),1,0)</x:f>
        <x:v>1</x:v>
      </x:c>
      <x:c r="AI1375" s="84" t="n">
        <x:f>IF(AND(AG1375=1,OR('Dashboard'!$B$4="All",I1375='Dashboard'!$B$4),OR('Dashboard'!$E$4="All",N1375='Dashboard'!$E$4),OR('Dashboard'!$H$4="All",K1375='Dashboard'!$H$4)),1,0)</x:f>
        <x:v>1</x:v>
      </x:c>
    </x:row>
    <x:row r="1376">
      <x:c r="A1376" s="84" t="str">
        <x:f>'Raw Sales'!A1376</x:f>
        <x:v>ORD-2025-02251</x:v>
      </x:c>
      <x:c r="B1376" s="85" t="n">
        <x:f>'Raw Sales'!B1376</x:f>
        <x:v>45749</x:v>
      </x:c>
      <x:c r="C1376" s="84" t="n">
        <x:f>YEAR(B1376)</x:f>
        <x:v>2025</x:v>
      </x:c>
      <x:c r="D1376" s="91" t="n">
        <x:f>DATE(YEAR(B1376),MONTH(B1376),1)</x:f>
        <x:v>45748</x:v>
      </x:c>
      <x:c r="E1376" s="84" t="str">
        <x:f>TEXT(B1376,"mmm")</x:f>
        <x:v>Apr</x:v>
      </x:c>
      <x:c r="F1376" s="84" t="str">
        <x:f>'Raw Sales'!C1376</x:f>
        <x:v>CUST-0232</x:v>
      </x:c>
      <x:c r="G1376" s="84" t="str">
        <x:f>PROPER(TRIM('Raw Sales'!D1376))</x:f>
        <x:v>Layla Smith</x:v>
      </x:c>
      <x:c r="H1376" s="84" t="str">
        <x:f>IF(TRIM('Raw Sales'!E1376)="","Unknown",PROPER(TRIM('Raw Sales'!E1376)))</x:f>
        <x:v>Consumer</x:v>
      </x:c>
      <x:c r="I1376" s="84" t="str">
        <x:f>PROPER(TRIM('Raw Sales'!F1376))</x:f>
        <x:v>Southeast</x:v>
      </x:c>
      <x:c r="J1376" s="84" t="str">
        <x:f>PROPER(TRIM('Raw Sales'!G1376))</x:f>
        <x:v>Atlanta</x:v>
      </x:c>
      <x:c r="K1376" s="84" t="str">
        <x:f>PROPER(TRIM('Raw Sales'!H1376))</x:f>
        <x:v>Retail Store</x:v>
      </x:c>
      <x:c r="L1376" s="84" t="str">
        <x:f>'Raw Sales'!I1376</x:f>
        <x:v>HOME-004</x:v>
      </x:c>
      <x:c r="M1376" s="84" t="str">
        <x:f>IFERROR(VLOOKUP(L1376,'Reference Data'!$A$5:$F$40,2,FALSE),"Unknown Product")</x:f>
        <x:v>Coffee Maker</x:v>
      </x:c>
      <x:c r="N1376" s="84" t="str">
        <x:f>IFERROR(VLOOKUP(L1376,'Reference Data'!$A$5:$F$40,3,FALSE),"Unknown")</x:f>
        <x:v>Home &amp; Kitchen</x:v>
      </x:c>
      <x:c r="O1376" s="84" t="str">
        <x:f>IFERROR(VLOOKUP(L1376,'Reference Data'!$A$5:$F$40,4,FALSE),"Unknown")</x:f>
        <x:v>Small Appliances</x:v>
      </x:c>
      <x:c r="P1376" s="92" t="n">
        <x:f>IFERROR(VLOOKUP(L1376,'Reference Data'!$A$5:$F$40,5,FALSE),0)</x:f>
        <x:v>99</x:v>
      </x:c>
      <x:c r="Q1376" s="92" t="n">
        <x:f>IFERROR(VLOOKUP(L1376,'Reference Data'!$A$5:$F$40,6,FALSE),0)</x:f>
        <x:v>51</x:v>
      </x:c>
      <x:c r="R1376" s="84" t="n">
        <x:f>'Raw Sales'!J1376</x:f>
        <x:v>1</x:v>
      </x:c>
      <x:c r="S1376" s="87" t="n">
        <x:f>'Raw Sales'!K1376</x:f>
        <x:v>0.1</x:v>
      </x:c>
      <x:c r="T1376" s="93" t="n">
        <x:f>P1376*R1376</x:f>
        <x:v>99</x:v>
      </x:c>
      <x:c r="U1376" s="93" t="n">
        <x:f>T1376*S1376</x:f>
        <x:v>9.9</x:v>
      </x:c>
      <x:c r="V1376" s="93" t="str">
        <x:f>PROPER(TRIM('Raw Sales'!L1376))</x:f>
        <x:v>Completed</x:v>
      </x:c>
      <x:c r="W1376" s="93" t="n">
        <x:f>IF(V1376="Returned",0,T1376-U1376)</x:f>
        <x:v>89.1</x:v>
      </x:c>
      <x:c r="X1376" s="93" t="n">
        <x:f>IF(V1376="Returned",Q1376*R1376*10%,Q1376*R1376)</x:f>
        <x:v>51</x:v>
      </x:c>
      <x:c r="Y1376" s="93" t="n">
        <x:f>W1376-X1376</x:f>
        <x:v>38.099999999999994</x:v>
      </x:c>
      <x:c r="Z1376" s="94" t="n">
        <x:f>IFERROR(Y1376/W1376,0)</x:f>
        <x:v>0.42760942760942755</x:v>
      </x:c>
      <x:c r="AA1376" s="84" t="str">
        <x:f>PROPER(TRIM('Raw Sales'!M1376))</x:f>
        <x:v>Credit Card</x:v>
      </x:c>
      <x:c r="AB1376" s="84" t="str">
        <x:f>PROPER(TRIM('Raw Sales'!N1376))</x:f>
        <x:v>Noah Reed</x:v>
      </x:c>
      <x:c r="AC1376" s="85" t="n">
        <x:f>'Raw Sales'!O1376</x:f>
        <x:v>45749</x:v>
      </x:c>
      <x:c r="AD1376" s="84" t="n">
        <x:f>AC1376-B1376</x:f>
        <x:v>0</x:v>
      </x:c>
      <x:c r="AE1376" s="84" t="str">
        <x:f>IF(COUNTIF($A$5:A1376,A1376)&gt;1,"Duplicate","Keep")</x:f>
        <x:v>Keep</x:v>
      </x:c>
      <x:c r="AF1376" s="84" t="str">
        <x:f>IF(OR(R1376&lt;=0,AC1376&lt;B1376,H1376="Unknown",M1376="Unknown Product"),"Review","Valid")</x:f>
        <x:v>Valid</x:v>
      </x:c>
      <x:c r="AG1376" s="84" t="n">
        <x:f>IF(AND(AE1376="Keep",AF1376="Valid"),1,0)</x:f>
        <x:v>1</x:v>
      </x:c>
      <x:c r="AH1376" s="84" t="n">
        <x:f>IF(AND(AG1376=1,OR('Dashboard'!$B$4="All",I1376='Dashboard'!$B$4),OR('Dashboard'!$E$4="All",N1376='Dashboard'!$E$4),OR('Dashboard'!$H$4="All",K1376='Dashboard'!$H$4),OR('Dashboard'!$K$4="All",C1376='Dashboard'!$K$4)),1,0)</x:f>
        <x:v>1</x:v>
      </x:c>
      <x:c r="AI1376" s="84" t="n">
        <x:f>IF(AND(AG1376=1,OR('Dashboard'!$B$4="All",I1376='Dashboard'!$B$4),OR('Dashboard'!$E$4="All",N1376='Dashboard'!$E$4),OR('Dashboard'!$H$4="All",K1376='Dashboard'!$H$4)),1,0)</x:f>
        <x:v>1</x:v>
      </x:c>
    </x:row>
    <x:row r="1377">
      <x:c r="A1377" s="84" t="str">
        <x:f>'Raw Sales'!A1377</x:f>
        <x:v>ORD-2025-01961</x:v>
      </x:c>
      <x:c r="B1377" s="85" t="n">
        <x:f>'Raw Sales'!B1377</x:f>
        <x:v>45750</x:v>
      </x:c>
      <x:c r="C1377" s="84" t="n">
        <x:f>YEAR(B1377)</x:f>
        <x:v>2025</x:v>
      </x:c>
      <x:c r="D1377" s="91" t="n">
        <x:f>DATE(YEAR(B1377),MONTH(B1377),1)</x:f>
        <x:v>45748</x:v>
      </x:c>
      <x:c r="E1377" s="84" t="str">
        <x:f>TEXT(B1377,"mmm")</x:f>
        <x:v>Apr</x:v>
      </x:c>
      <x:c r="F1377" s="84" t="str">
        <x:f>'Raw Sales'!C1377</x:f>
        <x:v>CUST-0128</x:v>
      </x:c>
      <x:c r="G1377" s="84" t="str">
        <x:f>PROPER(TRIM('Raw Sales'!D1377))</x:f>
        <x:v>Zara Patel</x:v>
      </x:c>
      <x:c r="H1377" s="84" t="str">
        <x:f>IF(TRIM('Raw Sales'!E1377)="","Unknown",PROPER(TRIM('Raw Sales'!E1377)))</x:f>
        <x:v>Consumer</x:v>
      </x:c>
      <x:c r="I1377" s="84" t="str">
        <x:f>PROPER(TRIM('Raw Sales'!F1377))</x:f>
        <x:v>Midwest</x:v>
      </x:c>
      <x:c r="J1377" s="84" t="str">
        <x:f>PROPER(TRIM('Raw Sales'!G1377))</x:f>
        <x:v>Detroit</x:v>
      </x:c>
      <x:c r="K1377" s="84" t="str">
        <x:f>PROPER(TRIM('Raw Sales'!H1377))</x:f>
        <x:v>Marketplace</x:v>
      </x:c>
      <x:c r="L1377" s="84" t="str">
        <x:f>'Raw Sales'!I1377</x:f>
        <x:v>ELEC-003</x:v>
      </x:c>
      <x:c r="M1377" s="84" t="str">
        <x:f>IFERROR(VLOOKUP(L1377,'Reference Data'!$A$5:$F$40,2,FALSE),"Unknown Product")</x:f>
        <x:v>Bluetooth Speaker</x:v>
      </x:c>
      <x:c r="N1377" s="84" t="str">
        <x:f>IFERROR(VLOOKUP(L1377,'Reference Data'!$A$5:$F$40,3,FALSE),"Unknown")</x:f>
        <x:v>Electronics</x:v>
      </x:c>
      <x:c r="O1377" s="84" t="str">
        <x:f>IFERROR(VLOOKUP(L1377,'Reference Data'!$A$5:$F$40,4,FALSE),"Unknown")</x:f>
        <x:v>Audio</x:v>
      </x:c>
      <x:c r="P1377" s="92" t="n">
        <x:f>IFERROR(VLOOKUP(L1377,'Reference Data'!$A$5:$F$40,5,FALSE),0)</x:f>
        <x:v>89</x:v>
      </x:c>
      <x:c r="Q1377" s="92" t="n">
        <x:f>IFERROR(VLOOKUP(L1377,'Reference Data'!$A$5:$F$40,6,FALSE),0)</x:f>
        <x:v>44</x:v>
      </x:c>
      <x:c r="R1377" s="84" t="n">
        <x:f>'Raw Sales'!J1377</x:f>
        <x:v>1</x:v>
      </x:c>
      <x:c r="S1377" s="87" t="n">
        <x:f>'Raw Sales'!K1377</x:f>
        <x:v>0.15</x:v>
      </x:c>
      <x:c r="T1377" s="93" t="n">
        <x:f>P1377*R1377</x:f>
        <x:v>89</x:v>
      </x:c>
      <x:c r="U1377" s="93" t="n">
        <x:f>T1377*S1377</x:f>
        <x:v>13.35</x:v>
      </x:c>
      <x:c r="V1377" s="93" t="str">
        <x:f>PROPER(TRIM('Raw Sales'!L1377))</x:f>
        <x:v>Completed</x:v>
      </x:c>
      <x:c r="W1377" s="93" t="n">
        <x:f>IF(V1377="Returned",0,T1377-U1377)</x:f>
        <x:v>75.65</x:v>
      </x:c>
      <x:c r="X1377" s="93" t="n">
        <x:f>IF(V1377="Returned",Q1377*R1377*10%,Q1377*R1377)</x:f>
        <x:v>44</x:v>
      </x:c>
      <x:c r="Y1377" s="93" t="n">
        <x:f>W1377-X1377</x:f>
        <x:v>31.650000000000006</x:v>
      </x:c>
      <x:c r="Z1377" s="94" t="n">
        <x:f>IFERROR(Y1377/W1377,0)</x:f>
        <x:v>0.4183740912095176</x:v>
      </x:c>
      <x:c r="AA1377" s="84" t="str">
        <x:f>PROPER(TRIM('Raw Sales'!M1377))</x:f>
        <x:v>Mobile Wallet</x:v>
      </x:c>
      <x:c r="AB1377" s="84" t="str">
        <x:f>PROPER(TRIM('Raw Sales'!N1377))</x:f>
        <x:v>Lucas Grant</x:v>
      </x:c>
      <x:c r="AC1377" s="85" t="n">
        <x:f>'Raw Sales'!O1377</x:f>
        <x:v>45754</x:v>
      </x:c>
      <x:c r="AD1377" s="84" t="n">
        <x:f>AC1377-B1377</x:f>
        <x:v>4</x:v>
      </x:c>
      <x:c r="AE1377" s="84" t="str">
        <x:f>IF(COUNTIF($A$5:A1377,A1377)&gt;1,"Duplicate","Keep")</x:f>
        <x:v>Keep</x:v>
      </x:c>
      <x:c r="AF1377" s="84" t="str">
        <x:f>IF(OR(R1377&lt;=0,AC1377&lt;B1377,H1377="Unknown",M1377="Unknown Product"),"Review","Valid")</x:f>
        <x:v>Valid</x:v>
      </x:c>
      <x:c r="AG1377" s="84" t="n">
        <x:f>IF(AND(AE1377="Keep",AF1377="Valid"),1,0)</x:f>
        <x:v>1</x:v>
      </x:c>
      <x:c r="AH1377" s="84" t="n">
        <x:f>IF(AND(AG1377=1,OR('Dashboard'!$B$4="All",I1377='Dashboard'!$B$4),OR('Dashboard'!$E$4="All",N1377='Dashboard'!$E$4),OR('Dashboard'!$H$4="All",K1377='Dashboard'!$H$4),OR('Dashboard'!$K$4="All",C1377='Dashboard'!$K$4)),1,0)</x:f>
        <x:v>1</x:v>
      </x:c>
      <x:c r="AI1377" s="84" t="n">
        <x:f>IF(AND(AG1377=1,OR('Dashboard'!$B$4="All",I1377='Dashboard'!$B$4),OR('Dashboard'!$E$4="All",N1377='Dashboard'!$E$4),OR('Dashboard'!$H$4="All",K1377='Dashboard'!$H$4)),1,0)</x:f>
        <x:v>1</x:v>
      </x:c>
    </x:row>
    <x:row r="1378">
      <x:c r="A1378" s="84" t="str">
        <x:f>'Raw Sales'!A1378</x:f>
        <x:v>ORD-2025-01234</x:v>
      </x:c>
      <x:c r="B1378" s="85" t="n">
        <x:f>'Raw Sales'!B1378</x:f>
        <x:v>45751</x:v>
      </x:c>
      <x:c r="C1378" s="84" t="n">
        <x:f>YEAR(B1378)</x:f>
        <x:v>2025</x:v>
      </x:c>
      <x:c r="D1378" s="91" t="n">
        <x:f>DATE(YEAR(B1378),MONTH(B1378),1)</x:f>
        <x:v>45748</x:v>
      </x:c>
      <x:c r="E1378" s="84" t="str">
        <x:f>TEXT(B1378,"mmm")</x:f>
        <x:v>Apr</x:v>
      </x:c>
      <x:c r="F1378" s="84" t="str">
        <x:f>'Raw Sales'!C1378</x:f>
        <x:v>CUST-0143</x:v>
      </x:c>
      <x:c r="G1378" s="84" t="str">
        <x:f>PROPER(TRIM('Raw Sales'!D1378))</x:f>
        <x:v>Owen Foster</x:v>
      </x:c>
      <x:c r="H1378" s="84" t="str">
        <x:f>IF(TRIM('Raw Sales'!E1378)="","Unknown",PROPER(TRIM('Raw Sales'!E1378)))</x:f>
        <x:v>Small Business</x:v>
      </x:c>
      <x:c r="I1378" s="84" t="str">
        <x:f>PROPER(TRIM('Raw Sales'!F1378))</x:f>
        <x:v>Southeast</x:v>
      </x:c>
      <x:c r="J1378" s="84" t="str">
        <x:f>PROPER(TRIM('Raw Sales'!G1378))</x:f>
        <x:v>Atlanta</x:v>
      </x:c>
      <x:c r="K1378" s="84" t="str">
        <x:f>PROPER(TRIM('Raw Sales'!H1378))</x:f>
        <x:v>Online</x:v>
      </x:c>
      <x:c r="L1378" s="84" t="str">
        <x:f>'Raw Sales'!I1378</x:f>
        <x:v>FITN-002</x:v>
      </x:c>
      <x:c r="M1378" s="84" t="str">
        <x:f>IFERROR(VLOOKUP(L1378,'Reference Data'!$A$5:$F$40,2,FALSE),"Unknown Product")</x:f>
        <x:v>Adjustable Dumbbell Set</x:v>
      </x:c>
      <x:c r="N1378" s="84" t="str">
        <x:f>IFERROR(VLOOKUP(L1378,'Reference Data'!$A$5:$F$40,3,FALSE),"Unknown")</x:f>
        <x:v>Fitness</x:v>
      </x:c>
      <x:c r="O1378" s="84" t="str">
        <x:f>IFERROR(VLOOKUP(L1378,'Reference Data'!$A$5:$F$40,4,FALSE),"Unknown")</x:f>
        <x:v>Strength</x:v>
      </x:c>
      <x:c r="P1378" s="92" t="n">
        <x:f>IFERROR(VLOOKUP(L1378,'Reference Data'!$A$5:$F$40,5,FALSE),0)</x:f>
        <x:v>99</x:v>
      </x:c>
      <x:c r="Q1378" s="92" t="n">
        <x:f>IFERROR(VLOOKUP(L1378,'Reference Data'!$A$5:$F$40,6,FALSE),0)</x:f>
        <x:v>57</x:v>
      </x:c>
      <x:c r="R1378" s="84" t="n">
        <x:f>'Raw Sales'!J1378</x:f>
        <x:v>2</x:v>
      </x:c>
      <x:c r="S1378" s="87" t="n">
        <x:f>'Raw Sales'!K1378</x:f>
        <x:v>0.05</x:v>
      </x:c>
      <x:c r="T1378" s="93" t="n">
        <x:f>P1378*R1378</x:f>
        <x:v>198</x:v>
      </x:c>
      <x:c r="U1378" s="93" t="n">
        <x:f>T1378*S1378</x:f>
        <x:v>9.9</x:v>
      </x:c>
      <x:c r="V1378" s="93" t="str">
        <x:f>PROPER(TRIM('Raw Sales'!L1378))</x:f>
        <x:v>Completed</x:v>
      </x:c>
      <x:c r="W1378" s="93" t="n">
        <x:f>IF(V1378="Returned",0,T1378-U1378)</x:f>
        <x:v>188.1</x:v>
      </x:c>
      <x:c r="X1378" s="93" t="n">
        <x:f>IF(V1378="Returned",Q1378*R1378*10%,Q1378*R1378)</x:f>
        <x:v>114</x:v>
      </x:c>
      <x:c r="Y1378" s="93" t="n">
        <x:f>W1378-X1378</x:f>
        <x:v>74.1</x:v>
      </x:c>
      <x:c r="Z1378" s="94" t="n">
        <x:f>IFERROR(Y1378/W1378,0)</x:f>
        <x:v>0.3939393939393939</x:v>
      </x:c>
      <x:c r="AA1378" s="84" t="str">
        <x:f>PROPER(TRIM('Raw Sales'!M1378))</x:f>
        <x:v>Mobile Wallet</x:v>
      </x:c>
      <x:c r="AB1378" s="84" t="str">
        <x:f>PROPER(TRIM('Raw Sales'!N1378))</x:f>
        <x:v>Ava Mitchell</x:v>
      </x:c>
      <x:c r="AC1378" s="85" t="n">
        <x:f>'Raw Sales'!O1378</x:f>
        <x:v>45757</x:v>
      </x:c>
      <x:c r="AD1378" s="84" t="n">
        <x:f>AC1378-B1378</x:f>
        <x:v>6</x:v>
      </x:c>
      <x:c r="AE1378" s="84" t="str">
        <x:f>IF(COUNTIF($A$5:A1378,A1378)&gt;1,"Duplicate","Keep")</x:f>
        <x:v>Keep</x:v>
      </x:c>
      <x:c r="AF1378" s="84" t="str">
        <x:f>IF(OR(R1378&lt;=0,AC1378&lt;B1378,H1378="Unknown",M1378="Unknown Product"),"Review","Valid")</x:f>
        <x:v>Valid</x:v>
      </x:c>
      <x:c r="AG1378" s="84" t="n">
        <x:f>IF(AND(AE1378="Keep",AF1378="Valid"),1,0)</x:f>
        <x:v>1</x:v>
      </x:c>
      <x:c r="AH1378" s="84" t="n">
        <x:f>IF(AND(AG1378=1,OR('Dashboard'!$B$4="All",I1378='Dashboard'!$B$4),OR('Dashboard'!$E$4="All",N1378='Dashboard'!$E$4),OR('Dashboard'!$H$4="All",K1378='Dashboard'!$H$4),OR('Dashboard'!$K$4="All",C1378='Dashboard'!$K$4)),1,0)</x:f>
        <x:v>1</x:v>
      </x:c>
      <x:c r="AI1378" s="84" t="n">
        <x:f>IF(AND(AG1378=1,OR('Dashboard'!$B$4="All",I1378='Dashboard'!$B$4),OR('Dashboard'!$E$4="All",N1378='Dashboard'!$E$4),OR('Dashboard'!$H$4="All",K1378='Dashboard'!$H$4)),1,0)</x:f>
        <x:v>1</x:v>
      </x:c>
    </x:row>
    <x:row r="1379">
      <x:c r="A1379" s="84" t="str">
        <x:f>'Raw Sales'!A1379</x:f>
        <x:v>ORD-2025-01493</x:v>
      </x:c>
      <x:c r="B1379" s="85" t="n">
        <x:f>'Raw Sales'!B1379</x:f>
        <x:v>45751</x:v>
      </x:c>
      <x:c r="C1379" s="84" t="n">
        <x:f>YEAR(B1379)</x:f>
        <x:v>2025</x:v>
      </x:c>
      <x:c r="D1379" s="91" t="n">
        <x:f>DATE(YEAR(B1379),MONTH(B1379),1)</x:f>
        <x:v>45748</x:v>
      </x:c>
      <x:c r="E1379" s="84" t="str">
        <x:f>TEXT(B1379,"mmm")</x:f>
        <x:v>Apr</x:v>
      </x:c>
      <x:c r="F1379" s="84" t="str">
        <x:f>'Raw Sales'!C1379</x:f>
        <x:v>CUST-0450</x:v>
      </x:c>
      <x:c r="G1379" s="84" t="str">
        <x:f>PROPER(TRIM('Raw Sales'!D1379))</x:f>
        <x:v>Samuel Garcia</x:v>
      </x:c>
      <x:c r="H1379" s="84" t="str">
        <x:f>IF(TRIM('Raw Sales'!E1379)="","Unknown",PROPER(TRIM('Raw Sales'!E1379)))</x:f>
        <x:v>Small Business</x:v>
      </x:c>
      <x:c r="I1379" s="84" t="str">
        <x:f>PROPER(TRIM('Raw Sales'!F1379))</x:f>
        <x:v>West</x:v>
      </x:c>
      <x:c r="J1379" s="84" t="str">
        <x:f>PROPER(TRIM('Raw Sales'!G1379))</x:f>
        <x:v>Seattle</x:v>
      </x:c>
      <x:c r="K1379" s="84" t="str">
        <x:f>PROPER(TRIM('Raw Sales'!H1379))</x:f>
        <x:v>Retail Store</x:v>
      </x:c>
      <x:c r="L1379" s="84" t="str">
        <x:f>'Raw Sales'!I1379</x:f>
        <x:v>ACCS-004</x:v>
      </x:c>
      <x:c r="M1379" s="84" t="str">
        <x:f>IFERROR(VLOOKUP(L1379,'Reference Data'!$A$5:$F$40,2,FALSE),"Unknown Product")</x:f>
        <x:v>Leather Wallet</x:v>
      </x:c>
      <x:c r="N1379" s="84" t="str">
        <x:f>IFERROR(VLOOKUP(L1379,'Reference Data'!$A$5:$F$40,3,FALSE),"Unknown")</x:f>
        <x:v>Accessories</x:v>
      </x:c>
      <x:c r="O1379" s="84" t="str">
        <x:f>IFERROR(VLOOKUP(L1379,'Reference Data'!$A$5:$F$40,4,FALSE),"Unknown")</x:f>
        <x:v>Wallets</x:v>
      </x:c>
      <x:c r="P1379" s="92" t="n">
        <x:f>IFERROR(VLOOKUP(L1379,'Reference Data'!$A$5:$F$40,5,FALSE),0)</x:f>
        <x:v>49</x:v>
      </x:c>
      <x:c r="Q1379" s="92" t="n">
        <x:f>IFERROR(VLOOKUP(L1379,'Reference Data'!$A$5:$F$40,6,FALSE),0)</x:f>
        <x:v>18</x:v>
      </x:c>
      <x:c r="R1379" s="84" t="n">
        <x:f>'Raw Sales'!J1379</x:f>
        <x:v>1</x:v>
      </x:c>
      <x:c r="S1379" s="87" t="n">
        <x:f>'Raw Sales'!K1379</x:f>
        <x:v>0.05</x:v>
      </x:c>
      <x:c r="T1379" s="93" t="n">
        <x:f>P1379*R1379</x:f>
        <x:v>49</x:v>
      </x:c>
      <x:c r="U1379" s="93" t="n">
        <x:f>T1379*S1379</x:f>
        <x:v>2.45</x:v>
      </x:c>
      <x:c r="V1379" s="93" t="str">
        <x:f>PROPER(TRIM('Raw Sales'!L1379))</x:f>
        <x:v>Completed</x:v>
      </x:c>
      <x:c r="W1379" s="93" t="n">
        <x:f>IF(V1379="Returned",0,T1379-U1379)</x:f>
        <x:v>46.55</x:v>
      </x:c>
      <x:c r="X1379" s="93" t="n">
        <x:f>IF(V1379="Returned",Q1379*R1379*10%,Q1379*R1379)</x:f>
        <x:v>18</x:v>
      </x:c>
      <x:c r="Y1379" s="93" t="n">
        <x:f>W1379-X1379</x:f>
        <x:v>28.549999999999997</x:v>
      </x:c>
      <x:c r="Z1379" s="94" t="n">
        <x:f>IFERROR(Y1379/W1379,0)</x:f>
        <x:v>0.6133190118152524</x:v>
      </x:c>
      <x:c r="AA1379" s="84" t="str">
        <x:f>PROPER(TRIM('Raw Sales'!M1379))</x:f>
        <x:v>Credit Card</x:v>
      </x:c>
      <x:c r="AB1379" s="84" t="str">
        <x:f>PROPER(TRIM('Raw Sales'!N1379))</x:f>
        <x:v>Nora Kim</x:v>
      </x:c>
      <x:c r="AC1379" s="85" t="n">
        <x:f>'Raw Sales'!O1379</x:f>
        <x:v>45751</x:v>
      </x:c>
      <x:c r="AD1379" s="84" t="n">
        <x:f>AC1379-B1379</x:f>
        <x:v>0</x:v>
      </x:c>
      <x:c r="AE1379" s="84" t="str">
        <x:f>IF(COUNTIF($A$5:A1379,A1379)&gt;1,"Duplicate","Keep")</x:f>
        <x:v>Keep</x:v>
      </x:c>
      <x:c r="AF1379" s="84" t="str">
        <x:f>IF(OR(R1379&lt;=0,AC1379&lt;B1379,H1379="Unknown",M1379="Unknown Product"),"Review","Valid")</x:f>
        <x:v>Valid</x:v>
      </x:c>
      <x:c r="AG1379" s="84" t="n">
        <x:f>IF(AND(AE1379="Keep",AF1379="Valid"),1,0)</x:f>
        <x:v>1</x:v>
      </x:c>
      <x:c r="AH1379" s="84" t="n">
        <x:f>IF(AND(AG1379=1,OR('Dashboard'!$B$4="All",I1379='Dashboard'!$B$4),OR('Dashboard'!$E$4="All",N1379='Dashboard'!$E$4),OR('Dashboard'!$H$4="All",K1379='Dashboard'!$H$4),OR('Dashboard'!$K$4="All",C1379='Dashboard'!$K$4)),1,0)</x:f>
        <x:v>1</x:v>
      </x:c>
      <x:c r="AI1379" s="84" t="n">
        <x:f>IF(AND(AG1379=1,OR('Dashboard'!$B$4="All",I1379='Dashboard'!$B$4),OR('Dashboard'!$E$4="All",N1379='Dashboard'!$E$4),OR('Dashboard'!$H$4="All",K1379='Dashboard'!$H$4)),1,0)</x:f>
        <x:v>1</x:v>
      </x:c>
    </x:row>
    <x:row r="1380">
      <x:c r="A1380" s="84" t="str">
        <x:f>'Raw Sales'!A1380</x:f>
        <x:v>ORD-2025-01514</x:v>
      </x:c>
      <x:c r="B1380" s="85" t="n">
        <x:f>'Raw Sales'!B1380</x:f>
        <x:v>45751</x:v>
      </x:c>
      <x:c r="C1380" s="84" t="n">
        <x:f>YEAR(B1380)</x:f>
        <x:v>2025</x:v>
      </x:c>
      <x:c r="D1380" s="91" t="n">
        <x:f>DATE(YEAR(B1380),MONTH(B1380),1)</x:f>
        <x:v>45748</x:v>
      </x:c>
      <x:c r="E1380" s="84" t="str">
        <x:f>TEXT(B1380,"mmm")</x:f>
        <x:v>Apr</x:v>
      </x:c>
      <x:c r="F1380" s="84" t="str">
        <x:f>'Raw Sales'!C1380</x:f>
        <x:v>CUST-0007</x:v>
      </x:c>
      <x:c r="G1380" s="84" t="str">
        <x:f>PROPER(TRIM('Raw Sales'!D1380))</x:f>
        <x:v>Owen Roberts</x:v>
      </x:c>
      <x:c r="H1380" s="84" t="str">
        <x:f>IF(TRIM('Raw Sales'!E1380)="","Unknown",PROPER(TRIM('Raw Sales'!E1380)))</x:f>
        <x:v>Consumer</x:v>
      </x:c>
      <x:c r="I1380" s="84" t="str">
        <x:f>PROPER(TRIM('Raw Sales'!F1380))</x:f>
        <x:v>Northeast</x:v>
      </x:c>
      <x:c r="J1380" s="84" t="str">
        <x:f>PROPER(TRIM('Raw Sales'!G1380))</x:f>
        <x:v>Newark</x:v>
      </x:c>
      <x:c r="K1380" s="84" t="str">
        <x:f>PROPER(TRIM('Raw Sales'!H1380))</x:f>
        <x:v>Marketplace</x:v>
      </x:c>
      <x:c r="L1380" s="84" t="str">
        <x:f>'Raw Sales'!I1380</x:f>
        <x:v>OFFC-002</x:v>
      </x:c>
      <x:c r="M1380" s="84" t="str">
        <x:f>IFERROR(VLOOKUP(L1380,'Reference Data'!$A$5:$F$40,2,FALSE),"Unknown Product")</x:f>
        <x:v>Standing Desk</x:v>
      </x:c>
      <x:c r="N1380" s="84" t="str">
        <x:f>IFERROR(VLOOKUP(L1380,'Reference Data'!$A$5:$F$40,3,FALSE),"Unknown")</x:f>
        <x:v>Office</x:v>
      </x:c>
      <x:c r="O1380" s="84" t="str">
        <x:f>IFERROR(VLOOKUP(L1380,'Reference Data'!$A$5:$F$40,4,FALSE),"Unknown")</x:f>
        <x:v>Furniture</x:v>
      </x:c>
      <x:c r="P1380" s="92" t="n">
        <x:f>IFERROR(VLOOKUP(L1380,'Reference Data'!$A$5:$F$40,5,FALSE),0)</x:f>
        <x:v>399</x:v>
      </x:c>
      <x:c r="Q1380" s="92" t="n">
        <x:f>IFERROR(VLOOKUP(L1380,'Reference Data'!$A$5:$F$40,6,FALSE),0)</x:f>
        <x:v>235</x:v>
      </x:c>
      <x:c r="R1380" s="84" t="n">
        <x:f>'Raw Sales'!J1380</x:f>
        <x:v>1</x:v>
      </x:c>
      <x:c r="S1380" s="87" t="n">
        <x:f>'Raw Sales'!K1380</x:f>
        <x:v>0.05</x:v>
      </x:c>
      <x:c r="T1380" s="93" t="n">
        <x:f>P1380*R1380</x:f>
        <x:v>399</x:v>
      </x:c>
      <x:c r="U1380" s="93" t="n">
        <x:f>T1380*S1380</x:f>
        <x:v>19.950000000000003</x:v>
      </x:c>
      <x:c r="V1380" s="93" t="str">
        <x:f>PROPER(TRIM('Raw Sales'!L1380))</x:f>
        <x:v>Completed</x:v>
      </x:c>
      <x:c r="W1380" s="93" t="n">
        <x:f>IF(V1380="Returned",0,T1380-U1380)</x:f>
        <x:v>379.05</x:v>
      </x:c>
      <x:c r="X1380" s="93" t="n">
        <x:f>IF(V1380="Returned",Q1380*R1380*10%,Q1380*R1380)</x:f>
        <x:v>235</x:v>
      </x:c>
      <x:c r="Y1380" s="93" t="n">
        <x:f>W1380-X1380</x:f>
        <x:v>144.05</x:v>
      </x:c>
      <x:c r="Z1380" s="94" t="n">
        <x:f>IFERROR(Y1380/W1380,0)</x:f>
        <x:v>0.38002901991821664</x:v>
      </x:c>
      <x:c r="AA1380" s="84" t="str">
        <x:f>PROPER(TRIM('Raw Sales'!M1380))</x:f>
        <x:v>Mobile Wallet</x:v>
      </x:c>
      <x:c r="AB1380" s="84" t="str">
        <x:f>PROPER(TRIM('Raw Sales'!N1380))</x:f>
        <x:v>Maya Brooks</x:v>
      </x:c>
      <x:c r="AC1380" s="85" t="n">
        <x:f>'Raw Sales'!O1380</x:f>
        <x:v>45756</x:v>
      </x:c>
      <x:c r="AD1380" s="84" t="n">
        <x:f>AC1380-B1380</x:f>
        <x:v>5</x:v>
      </x:c>
      <x:c r="AE1380" s="84" t="str">
        <x:f>IF(COUNTIF($A$5:A1380,A1380)&gt;1,"Duplicate","Keep")</x:f>
        <x:v>Keep</x:v>
      </x:c>
      <x:c r="AF1380" s="84" t="str">
        <x:f>IF(OR(R1380&lt;=0,AC1380&lt;B1380,H1380="Unknown",M1380="Unknown Product"),"Review","Valid")</x:f>
        <x:v>Valid</x:v>
      </x:c>
      <x:c r="AG1380" s="84" t="n">
        <x:f>IF(AND(AE1380="Keep",AF1380="Valid"),1,0)</x:f>
        <x:v>1</x:v>
      </x:c>
      <x:c r="AH1380" s="84" t="n">
        <x:f>IF(AND(AG1380=1,OR('Dashboard'!$B$4="All",I1380='Dashboard'!$B$4),OR('Dashboard'!$E$4="All",N1380='Dashboard'!$E$4),OR('Dashboard'!$H$4="All",K1380='Dashboard'!$H$4),OR('Dashboard'!$K$4="All",C1380='Dashboard'!$K$4)),1,0)</x:f>
        <x:v>1</x:v>
      </x:c>
      <x:c r="AI1380" s="84" t="n">
        <x:f>IF(AND(AG1380=1,OR('Dashboard'!$B$4="All",I1380='Dashboard'!$B$4),OR('Dashboard'!$E$4="All",N1380='Dashboard'!$E$4),OR('Dashboard'!$H$4="All",K1380='Dashboard'!$H$4)),1,0)</x:f>
        <x:v>1</x:v>
      </x:c>
    </x:row>
    <x:row r="1381">
      <x:c r="A1381" s="84" t="str">
        <x:f>'Raw Sales'!A1381</x:f>
        <x:v>ORD-2025-01914</x:v>
      </x:c>
      <x:c r="B1381" s="85" t="n">
        <x:f>'Raw Sales'!B1381</x:f>
        <x:v>45751</x:v>
      </x:c>
      <x:c r="C1381" s="84" t="n">
        <x:f>YEAR(B1381)</x:f>
        <x:v>2025</x:v>
      </x:c>
      <x:c r="D1381" s="91" t="n">
        <x:f>DATE(YEAR(B1381),MONTH(B1381),1)</x:f>
        <x:v>45748</x:v>
      </x:c>
      <x:c r="E1381" s="84" t="str">
        <x:f>TEXT(B1381,"mmm")</x:f>
        <x:v>Apr</x:v>
      </x:c>
      <x:c r="F1381" s="84" t="str">
        <x:f>'Raw Sales'!C1381</x:f>
        <x:v>CUST-0202</x:v>
      </x:c>
      <x:c r="G1381" s="84" t="str">
        <x:f>PROPER(TRIM('Raw Sales'!D1381))</x:f>
        <x:v>Jasmine Garcia</x:v>
      </x:c>
      <x:c r="H1381" s="84" t="str">
        <x:f>IF(TRIM('Raw Sales'!E1381)="","Unknown",PROPER(TRIM('Raw Sales'!E1381)))</x:f>
        <x:v>Small Business</x:v>
      </x:c>
      <x:c r="I1381" s="84" t="str">
        <x:f>PROPER(TRIM('Raw Sales'!F1381))</x:f>
        <x:v>Midwest</x:v>
      </x:c>
      <x:c r="J1381" s="84" t="str">
        <x:f>PROPER(TRIM('Raw Sales'!G1381))</x:f>
        <x:v>Detroit</x:v>
      </x:c>
      <x:c r="K1381" s="84" t="str">
        <x:f>PROPER(TRIM('Raw Sales'!H1381))</x:f>
        <x:v>Retail Store</x:v>
      </x:c>
      <x:c r="L1381" s="84" t="str">
        <x:f>'Raw Sales'!I1381</x:f>
        <x:v>CARE-002</x:v>
      </x:c>
      <x:c r="M1381" s="84" t="str">
        <x:f>IFERROR(VLOOKUP(L1381,'Reference Data'!$A$5:$F$40,2,FALSE),"Unknown Product")</x:f>
        <x:v>Rechargeable Trimmer</x:v>
      </x:c>
      <x:c r="N1381" s="84" t="str">
        <x:f>IFERROR(VLOOKUP(L1381,'Reference Data'!$A$5:$F$40,3,FALSE),"Unknown")</x:f>
        <x:v>Personal Care</x:v>
      </x:c>
      <x:c r="O1381" s="84" t="str">
        <x:f>IFERROR(VLOOKUP(L1381,'Reference Data'!$A$5:$F$40,4,FALSE),"Unknown")</x:f>
        <x:v>Grooming</x:v>
      </x:c>
      <x:c r="P1381" s="92" t="n">
        <x:f>IFERROR(VLOOKUP(L1381,'Reference Data'!$A$5:$F$40,5,FALSE),0)</x:f>
        <x:v>45</x:v>
      </x:c>
      <x:c r="Q1381" s="92" t="n">
        <x:f>IFERROR(VLOOKUP(L1381,'Reference Data'!$A$5:$F$40,6,FALSE),0)</x:f>
        <x:v>19</x:v>
      </x:c>
      <x:c r="R1381" s="84" t="n">
        <x:f>'Raw Sales'!J1381</x:f>
        <x:v>3</x:v>
      </x:c>
      <x:c r="S1381" s="87" t="n">
        <x:f>'Raw Sales'!K1381</x:f>
        <x:v>0</x:v>
      </x:c>
      <x:c r="T1381" s="93" t="n">
        <x:f>P1381*R1381</x:f>
        <x:v>135</x:v>
      </x:c>
      <x:c r="U1381" s="93" t="n">
        <x:f>T1381*S1381</x:f>
        <x:v>0</x:v>
      </x:c>
      <x:c r="V1381" s="93" t="str">
        <x:f>PROPER(TRIM('Raw Sales'!L1381))</x:f>
        <x:v>Completed</x:v>
      </x:c>
      <x:c r="W1381" s="93" t="n">
        <x:f>IF(V1381="Returned",0,T1381-U1381)</x:f>
        <x:v>135</x:v>
      </x:c>
      <x:c r="X1381" s="93" t="n">
        <x:f>IF(V1381="Returned",Q1381*R1381*10%,Q1381*R1381)</x:f>
        <x:v>57</x:v>
      </x:c>
      <x:c r="Y1381" s="93" t="n">
        <x:f>W1381-X1381</x:f>
        <x:v>78</x:v>
      </x:c>
      <x:c r="Z1381" s="94" t="n">
        <x:f>IFERROR(Y1381/W1381,0)</x:f>
        <x:v>0.5777777777777777</x:v>
      </x:c>
      <x:c r="AA1381" s="84" t="str">
        <x:f>PROPER(TRIM('Raw Sales'!M1381))</x:f>
        <x:v>Debit Card</x:v>
      </x:c>
      <x:c r="AB1381" s="84" t="str">
        <x:f>PROPER(TRIM('Raw Sales'!N1381))</x:f>
        <x:v>Lucas Grant</x:v>
      </x:c>
      <x:c r="AC1381" s="85" t="n">
        <x:f>'Raw Sales'!O1381</x:f>
        <x:v>45751</x:v>
      </x:c>
      <x:c r="AD1381" s="84" t="n">
        <x:f>AC1381-B1381</x:f>
        <x:v>0</x:v>
      </x:c>
      <x:c r="AE1381" s="84" t="str">
        <x:f>IF(COUNTIF($A$5:A1381,A1381)&gt;1,"Duplicate","Keep")</x:f>
        <x:v>Keep</x:v>
      </x:c>
      <x:c r="AF1381" s="84" t="str">
        <x:f>IF(OR(R1381&lt;=0,AC1381&lt;B1381,H1381="Unknown",M1381="Unknown Product"),"Review","Valid")</x:f>
        <x:v>Valid</x:v>
      </x:c>
      <x:c r="AG1381" s="84" t="n">
        <x:f>IF(AND(AE1381="Keep",AF1381="Valid"),1,0)</x:f>
        <x:v>1</x:v>
      </x:c>
      <x:c r="AH1381" s="84" t="n">
        <x:f>IF(AND(AG1381=1,OR('Dashboard'!$B$4="All",I1381='Dashboard'!$B$4),OR('Dashboard'!$E$4="All",N1381='Dashboard'!$E$4),OR('Dashboard'!$H$4="All",K1381='Dashboard'!$H$4),OR('Dashboard'!$K$4="All",C1381='Dashboard'!$K$4)),1,0)</x:f>
        <x:v>1</x:v>
      </x:c>
      <x:c r="AI1381" s="84" t="n">
        <x:f>IF(AND(AG1381=1,OR('Dashboard'!$B$4="All",I1381='Dashboard'!$B$4),OR('Dashboard'!$E$4="All",N1381='Dashboard'!$E$4),OR('Dashboard'!$H$4="All",K1381='Dashboard'!$H$4)),1,0)</x:f>
        <x:v>1</x:v>
      </x:c>
    </x:row>
    <x:row r="1382">
      <x:c r="A1382" s="84" t="str">
        <x:f>'Raw Sales'!A1382</x:f>
        <x:v>ORD-2025-02223</x:v>
      </x:c>
      <x:c r="B1382" s="85" t="n">
        <x:f>'Raw Sales'!B1382</x:f>
        <x:v>45751</x:v>
      </x:c>
      <x:c r="C1382" s="84" t="n">
        <x:f>YEAR(B1382)</x:f>
        <x:v>2025</x:v>
      </x:c>
      <x:c r="D1382" s="91" t="n">
        <x:f>DATE(YEAR(B1382),MONTH(B1382),1)</x:f>
        <x:v>45748</x:v>
      </x:c>
      <x:c r="E1382" s="84" t="str">
        <x:f>TEXT(B1382,"mmm")</x:f>
        <x:v>Apr</x:v>
      </x:c>
      <x:c r="F1382" s="84" t="str">
        <x:f>'Raw Sales'!C1382</x:f>
        <x:v>CUST-0397</x:v>
      </x:c>
      <x:c r="G1382" s="84" t="str">
        <x:f>PROPER(TRIM('Raw Sales'!D1382))</x:f>
        <x:v>Amelia Baker</x:v>
      </x:c>
      <x:c r="H1382" s="84" t="str">
        <x:f>IF(TRIM('Raw Sales'!E1382)="","Unknown",PROPER(TRIM('Raw Sales'!E1382)))</x:f>
        <x:v>Corporate</x:v>
      </x:c>
      <x:c r="I1382" s="84" t="str">
        <x:f>PROPER(TRIM('Raw Sales'!F1382))</x:f>
        <x:v>Northeast</x:v>
      </x:c>
      <x:c r="J1382" s="84" t="str">
        <x:f>PROPER(TRIM('Raw Sales'!G1382))</x:f>
        <x:v>Newark</x:v>
      </x:c>
      <x:c r="K1382" s="84" t="str">
        <x:f>PROPER(TRIM('Raw Sales'!H1382))</x:f>
        <x:v>Marketplace</x:v>
      </x:c>
      <x:c r="L1382" s="84" t="str">
        <x:f>'Raw Sales'!I1382</x:f>
        <x:v>ELEC-002</x:v>
      </x:c>
      <x:c r="M1382" s="84" t="str">
        <x:f>IFERROR(VLOOKUP(L1382,'Reference Data'!$A$5:$F$40,2,FALSE),"Unknown Product")</x:f>
        <x:v>Smartwatch</x:v>
      </x:c>
      <x:c r="N1382" s="84" t="str">
        <x:f>IFERROR(VLOOKUP(L1382,'Reference Data'!$A$5:$F$40,3,FALSE),"Unknown")</x:f>
        <x:v>Electronics</x:v>
      </x:c>
      <x:c r="O1382" s="84" t="str">
        <x:f>IFERROR(VLOOKUP(L1382,'Reference Data'!$A$5:$F$40,4,FALSE),"Unknown")</x:f>
        <x:v>Wearables</x:v>
      </x:c>
      <x:c r="P1382" s="92" t="n">
        <x:f>IFERROR(VLOOKUP(L1382,'Reference Data'!$A$5:$F$40,5,FALSE),0)</x:f>
        <x:v>159</x:v>
      </x:c>
      <x:c r="Q1382" s="92" t="n">
        <x:f>IFERROR(VLOOKUP(L1382,'Reference Data'!$A$5:$F$40,6,FALSE),0)</x:f>
        <x:v>92</x:v>
      </x:c>
      <x:c r="R1382" s="84" t="n">
        <x:f>'Raw Sales'!J1382</x:f>
        <x:v>4</x:v>
      </x:c>
      <x:c r="S1382" s="87" t="n">
        <x:f>'Raw Sales'!K1382</x:f>
        <x:v>0.05</x:v>
      </x:c>
      <x:c r="T1382" s="93" t="n">
        <x:f>P1382*R1382</x:f>
        <x:v>636</x:v>
      </x:c>
      <x:c r="U1382" s="93" t="n">
        <x:f>T1382*S1382</x:f>
        <x:v>31.8</x:v>
      </x:c>
      <x:c r="V1382" s="93" t="str">
        <x:f>PROPER(TRIM('Raw Sales'!L1382))</x:f>
        <x:v>Completed</x:v>
      </x:c>
      <x:c r="W1382" s="93" t="n">
        <x:f>IF(V1382="Returned",0,T1382-U1382)</x:f>
        <x:v>604.2</x:v>
      </x:c>
      <x:c r="X1382" s="93" t="n">
        <x:f>IF(V1382="Returned",Q1382*R1382*10%,Q1382*R1382)</x:f>
        <x:v>368</x:v>
      </x:c>
      <x:c r="Y1382" s="93" t="n">
        <x:f>W1382-X1382</x:f>
        <x:v>236.20000000000005</x:v>
      </x:c>
      <x:c r="Z1382" s="94" t="n">
        <x:f>IFERROR(Y1382/W1382,0)</x:f>
        <x:v>0.39093015557762334</x:v>
      </x:c>
      <x:c r="AA1382" s="84" t="str">
        <x:f>PROPER(TRIM('Raw Sales'!M1382))</x:f>
        <x:v>Credit Card</x:v>
      </x:c>
      <x:c r="AB1382" s="84" t="str">
        <x:f>PROPER(TRIM('Raw Sales'!N1382))</x:f>
        <x:v>Sofia Bennett</x:v>
      </x:c>
      <x:c r="AC1382" s="85" t="n">
        <x:f>'Raw Sales'!O1382</x:f>
        <x:v>45754</x:v>
      </x:c>
      <x:c r="AD1382" s="84" t="n">
        <x:f>AC1382-B1382</x:f>
        <x:v>3</x:v>
      </x:c>
      <x:c r="AE1382" s="84" t="str">
        <x:f>IF(COUNTIF($A$5:A1382,A1382)&gt;1,"Duplicate","Keep")</x:f>
        <x:v>Keep</x:v>
      </x:c>
      <x:c r="AF1382" s="84" t="str">
        <x:f>IF(OR(R1382&lt;=0,AC1382&lt;B1382,H1382="Unknown",M1382="Unknown Product"),"Review","Valid")</x:f>
        <x:v>Valid</x:v>
      </x:c>
      <x:c r="AG1382" s="84" t="n">
        <x:f>IF(AND(AE1382="Keep",AF1382="Valid"),1,0)</x:f>
        <x:v>1</x:v>
      </x:c>
      <x:c r="AH1382" s="84" t="n">
        <x:f>IF(AND(AG1382=1,OR('Dashboard'!$B$4="All",I1382='Dashboard'!$B$4),OR('Dashboard'!$E$4="All",N1382='Dashboard'!$E$4),OR('Dashboard'!$H$4="All",K1382='Dashboard'!$H$4),OR('Dashboard'!$K$4="All",C1382='Dashboard'!$K$4)),1,0)</x:f>
        <x:v>1</x:v>
      </x:c>
      <x:c r="AI1382" s="84" t="n">
        <x:f>IF(AND(AG1382=1,OR('Dashboard'!$B$4="All",I1382='Dashboard'!$B$4),OR('Dashboard'!$E$4="All",N1382='Dashboard'!$E$4),OR('Dashboard'!$H$4="All",K1382='Dashboard'!$H$4)),1,0)</x:f>
        <x:v>1</x:v>
      </x:c>
    </x:row>
    <x:row r="1383">
      <x:c r="A1383" s="84" t="str">
        <x:f>'Raw Sales'!A1383</x:f>
        <x:v>ORD-2025-00455</x:v>
      </x:c>
      <x:c r="B1383" s="85" t="n">
        <x:f>'Raw Sales'!B1383</x:f>
        <x:v>45752</x:v>
      </x:c>
      <x:c r="C1383" s="84" t="n">
        <x:f>YEAR(B1383)</x:f>
        <x:v>2025</x:v>
      </x:c>
      <x:c r="D1383" s="91" t="n">
        <x:f>DATE(YEAR(B1383),MONTH(B1383),1)</x:f>
        <x:v>45748</x:v>
      </x:c>
      <x:c r="E1383" s="84" t="str">
        <x:f>TEXT(B1383,"mmm")</x:f>
        <x:v>Apr</x:v>
      </x:c>
      <x:c r="F1383" s="84" t="str">
        <x:f>'Raw Sales'!C1383</x:f>
        <x:v>CUST-0043</x:v>
      </x:c>
      <x:c r="G1383" s="84" t="str">
        <x:f>PROPER(TRIM('Raw Sales'!D1383))</x:f>
        <x:v>Nina Hall</x:v>
      </x:c>
      <x:c r="H1383" s="84" t="str">
        <x:f>IF(TRIM('Raw Sales'!E1383)="","Unknown",PROPER(TRIM('Raw Sales'!E1383)))</x:f>
        <x:v>Consumer</x:v>
      </x:c>
      <x:c r="I1383" s="84" t="str">
        <x:f>PROPER(TRIM('Raw Sales'!F1383))</x:f>
        <x:v>Northeast</x:v>
      </x:c>
      <x:c r="J1383" s="84" t="str">
        <x:f>PROPER(TRIM('Raw Sales'!G1383))</x:f>
        <x:v>Philadelphia</x:v>
      </x:c>
      <x:c r="K1383" s="84" t="str">
        <x:f>PROPER(TRIM('Raw Sales'!H1383))</x:f>
        <x:v>Online</x:v>
      </x:c>
      <x:c r="L1383" s="84" t="str">
        <x:f>'Raw Sales'!I1383</x:f>
        <x:v>HOME-001</x:v>
      </x:c>
      <x:c r="M1383" s="84" t="str">
        <x:f>IFERROR(VLOOKUP(L1383,'Reference Data'!$A$5:$F$40,2,FALSE),"Unknown Product")</x:f>
        <x:v>Air Fryer</x:v>
      </x:c>
      <x:c r="N1383" s="84" t="str">
        <x:f>IFERROR(VLOOKUP(L1383,'Reference Data'!$A$5:$F$40,3,FALSE),"Unknown")</x:f>
        <x:v>Home &amp; Kitchen</x:v>
      </x:c>
      <x:c r="O1383" s="84" t="str">
        <x:f>IFERROR(VLOOKUP(L1383,'Reference Data'!$A$5:$F$40,4,FALSE),"Unknown")</x:f>
        <x:v>Small Appliances</x:v>
      </x:c>
      <x:c r="P1383" s="92" t="n">
        <x:f>IFERROR(VLOOKUP(L1383,'Reference Data'!$A$5:$F$40,5,FALSE),0)</x:f>
        <x:v>119</x:v>
      </x:c>
      <x:c r="Q1383" s="92" t="n">
        <x:f>IFERROR(VLOOKUP(L1383,'Reference Data'!$A$5:$F$40,6,FALSE),0)</x:f>
        <x:v>68</x:v>
      </x:c>
      <x:c r="R1383" s="84" t="n">
        <x:f>'Raw Sales'!J1383</x:f>
        <x:v>2</x:v>
      </x:c>
      <x:c r="S1383" s="87" t="n">
        <x:f>'Raw Sales'!K1383</x:f>
        <x:v>0</x:v>
      </x:c>
      <x:c r="T1383" s="93" t="n">
        <x:f>P1383*R1383</x:f>
        <x:v>238</x:v>
      </x:c>
      <x:c r="U1383" s="93" t="n">
        <x:f>T1383*S1383</x:f>
        <x:v>0</x:v>
      </x:c>
      <x:c r="V1383" s="93" t="str">
        <x:f>PROPER(TRIM('Raw Sales'!L1383))</x:f>
        <x:v>Returned</x:v>
      </x:c>
      <x:c r="W1383" s="93" t="n">
        <x:f>IF(V1383="Returned",0,T1383-U1383)</x:f>
        <x:v>0</x:v>
      </x:c>
      <x:c r="X1383" s="93" t="n">
        <x:f>IF(V1383="Returned",Q1383*R1383*10%,Q1383*R1383)</x:f>
        <x:v>13.600000000000001</x:v>
      </x:c>
      <x:c r="Y1383" s="93" t="n">
        <x:f>W1383-X1383</x:f>
        <x:v>-13.600000000000001</x:v>
      </x:c>
      <x:c r="Z1383" s="94" t="n">
        <x:f>IFERROR(Y1383/W1383,0)</x:f>
        <x:v>0</x:v>
      </x:c>
      <x:c r="AA1383" s="84" t="str">
        <x:f>PROPER(TRIM('Raw Sales'!M1383))</x:f>
        <x:v>Credit Card</x:v>
      </x:c>
      <x:c r="AB1383" s="84" t="str">
        <x:f>PROPER(TRIM('Raw Sales'!N1383))</x:f>
        <x:v>Maya Brooks</x:v>
      </x:c>
      <x:c r="AC1383" s="85" t="n">
        <x:f>'Raw Sales'!O1383</x:f>
        <x:v>45756</x:v>
      </x:c>
      <x:c r="AD1383" s="84" t="n">
        <x:f>AC1383-B1383</x:f>
        <x:v>4</x:v>
      </x:c>
      <x:c r="AE1383" s="84" t="str">
        <x:f>IF(COUNTIF($A$5:A1383,A1383)&gt;1,"Duplicate","Keep")</x:f>
        <x:v>Keep</x:v>
      </x:c>
      <x:c r="AF1383" s="84" t="str">
        <x:f>IF(OR(R1383&lt;=0,AC1383&lt;B1383,H1383="Unknown",M1383="Unknown Product"),"Review","Valid")</x:f>
        <x:v>Valid</x:v>
      </x:c>
      <x:c r="AG1383" s="84" t="n">
        <x:f>IF(AND(AE1383="Keep",AF1383="Valid"),1,0)</x:f>
        <x:v>1</x:v>
      </x:c>
      <x:c r="AH1383" s="84" t="n">
        <x:f>IF(AND(AG1383=1,OR('Dashboard'!$B$4="All",I1383='Dashboard'!$B$4),OR('Dashboard'!$E$4="All",N1383='Dashboard'!$E$4),OR('Dashboard'!$H$4="All",K1383='Dashboard'!$H$4),OR('Dashboard'!$K$4="All",C1383='Dashboard'!$K$4)),1,0)</x:f>
        <x:v>1</x:v>
      </x:c>
      <x:c r="AI1383" s="84" t="n">
        <x:f>IF(AND(AG1383=1,OR('Dashboard'!$B$4="All",I1383='Dashboard'!$B$4),OR('Dashboard'!$E$4="All",N1383='Dashboard'!$E$4),OR('Dashboard'!$H$4="All",K1383='Dashboard'!$H$4)),1,0)</x:f>
        <x:v>1</x:v>
      </x:c>
    </x:row>
    <x:row r="1384">
      <x:c r="A1384" s="84" t="str">
        <x:f>'Raw Sales'!A1384</x:f>
        <x:v>ORD-2025-01084</x:v>
      </x:c>
      <x:c r="B1384" s="85" t="n">
        <x:f>'Raw Sales'!B1384</x:f>
        <x:v>45752</x:v>
      </x:c>
      <x:c r="C1384" s="84" t="n">
        <x:f>YEAR(B1384)</x:f>
        <x:v>2025</x:v>
      </x:c>
      <x:c r="D1384" s="91" t="n">
        <x:f>DATE(YEAR(B1384),MONTH(B1384),1)</x:f>
        <x:v>45748</x:v>
      </x:c>
      <x:c r="E1384" s="84" t="str">
        <x:f>TEXT(B1384,"mmm")</x:f>
        <x:v>Apr</x:v>
      </x:c>
      <x:c r="F1384" s="84" t="str">
        <x:f>'Raw Sales'!C1384</x:f>
        <x:v>CUST-0449</x:v>
      </x:c>
      <x:c r="G1384" s="84" t="str">
        <x:f>PROPER(TRIM('Raw Sales'!D1384))</x:f>
        <x:v>Chloe Taylor</x:v>
      </x:c>
      <x:c r="H1384" s="84" t="str">
        <x:f>IF(TRIM('Raw Sales'!E1384)="","Unknown",PROPER(TRIM('Raw Sales'!E1384)))</x:f>
        <x:v>Corporate</x:v>
      </x:c>
      <x:c r="I1384" s="84" t="str">
        <x:f>PROPER(TRIM('Raw Sales'!F1384))</x:f>
        <x:v>West</x:v>
      </x:c>
      <x:c r="J1384" s="84" t="str">
        <x:f>PROPER(TRIM('Raw Sales'!G1384))</x:f>
        <x:v>Seattle</x:v>
      </x:c>
      <x:c r="K1384" s="84" t="str">
        <x:f>PROPER(TRIM('Raw Sales'!H1384))</x:f>
        <x:v>Marketplace</x:v>
      </x:c>
      <x:c r="L1384" s="84" t="str">
        <x:f>'Raw Sales'!I1384</x:f>
        <x:v>CARE-006</x:v>
      </x:c>
      <x:c r="M1384" s="84" t="str">
        <x:f>IFERROR(VLOOKUP(L1384,'Reference Data'!$A$5:$F$40,2,FALSE),"Unknown Product")</x:f>
        <x:v>Percussion Massage Gun</x:v>
      </x:c>
      <x:c r="N1384" s="84" t="str">
        <x:f>IFERROR(VLOOKUP(L1384,'Reference Data'!$A$5:$F$40,3,FALSE),"Unknown")</x:f>
        <x:v>Personal Care</x:v>
      </x:c>
      <x:c r="O1384" s="84" t="str">
        <x:f>IFERROR(VLOOKUP(L1384,'Reference Data'!$A$5:$F$40,4,FALSE),"Unknown")</x:f>
        <x:v>Wellness</x:v>
      </x:c>
      <x:c r="P1384" s="92" t="n">
        <x:f>IFERROR(VLOOKUP(L1384,'Reference Data'!$A$5:$F$40,5,FALSE),0)</x:f>
        <x:v>129</x:v>
      </x:c>
      <x:c r="Q1384" s="92" t="n">
        <x:f>IFERROR(VLOOKUP(L1384,'Reference Data'!$A$5:$F$40,6,FALSE),0)</x:f>
        <x:v>70</x:v>
      </x:c>
      <x:c r="R1384" s="84" t="n">
        <x:f>'Raw Sales'!J1384</x:f>
        <x:v>2</x:v>
      </x:c>
      <x:c r="S1384" s="87" t="n">
        <x:f>'Raw Sales'!K1384</x:f>
        <x:v>0</x:v>
      </x:c>
      <x:c r="T1384" s="93" t="n">
        <x:f>P1384*R1384</x:f>
        <x:v>258</x:v>
      </x:c>
      <x:c r="U1384" s="93" t="n">
        <x:f>T1384*S1384</x:f>
        <x:v>0</x:v>
      </x:c>
      <x:c r="V1384" s="93" t="str">
        <x:f>PROPER(TRIM('Raw Sales'!L1384))</x:f>
        <x:v>Completed</x:v>
      </x:c>
      <x:c r="W1384" s="93" t="n">
        <x:f>IF(V1384="Returned",0,T1384-U1384)</x:f>
        <x:v>258</x:v>
      </x:c>
      <x:c r="X1384" s="93" t="n">
        <x:f>IF(V1384="Returned",Q1384*R1384*10%,Q1384*R1384)</x:f>
        <x:v>140</x:v>
      </x:c>
      <x:c r="Y1384" s="93" t="n">
        <x:f>W1384-X1384</x:f>
        <x:v>118</x:v>
      </x:c>
      <x:c r="Z1384" s="94" t="n">
        <x:f>IFERROR(Y1384/W1384,0)</x:f>
        <x:v>0.4573643410852713</x:v>
      </x:c>
      <x:c r="AA1384" s="84" t="str">
        <x:f>PROPER(TRIM('Raw Sales'!M1384))</x:f>
        <x:v>Debit Card</x:v>
      </x:c>
      <x:c r="AB1384" s="84" t="str">
        <x:f>PROPER(TRIM('Raw Sales'!N1384))</x:f>
        <x:v>Leo Martinez</x:v>
      </x:c>
      <x:c r="AC1384" s="85" t="n">
        <x:f>'Raw Sales'!O1384</x:f>
        <x:v>45757</x:v>
      </x:c>
      <x:c r="AD1384" s="84" t="n">
        <x:f>AC1384-B1384</x:f>
        <x:v>5</x:v>
      </x:c>
      <x:c r="AE1384" s="84" t="str">
        <x:f>IF(COUNTIF($A$5:A1384,A1384)&gt;1,"Duplicate","Keep")</x:f>
        <x:v>Keep</x:v>
      </x:c>
      <x:c r="AF1384" s="84" t="str">
        <x:f>IF(OR(R1384&lt;=0,AC1384&lt;B1384,H1384="Unknown",M1384="Unknown Product"),"Review","Valid")</x:f>
        <x:v>Valid</x:v>
      </x:c>
      <x:c r="AG1384" s="84" t="n">
        <x:f>IF(AND(AE1384="Keep",AF1384="Valid"),1,0)</x:f>
        <x:v>1</x:v>
      </x:c>
      <x:c r="AH1384" s="84" t="n">
        <x:f>IF(AND(AG1384=1,OR('Dashboard'!$B$4="All",I1384='Dashboard'!$B$4),OR('Dashboard'!$E$4="All",N1384='Dashboard'!$E$4),OR('Dashboard'!$H$4="All",K1384='Dashboard'!$H$4),OR('Dashboard'!$K$4="All",C1384='Dashboard'!$K$4)),1,0)</x:f>
        <x:v>1</x:v>
      </x:c>
      <x:c r="AI1384" s="84" t="n">
        <x:f>IF(AND(AG1384=1,OR('Dashboard'!$B$4="All",I1384='Dashboard'!$B$4),OR('Dashboard'!$E$4="All",N1384='Dashboard'!$E$4),OR('Dashboard'!$H$4="All",K1384='Dashboard'!$H$4)),1,0)</x:f>
        <x:v>1</x:v>
      </x:c>
    </x:row>
    <x:row r="1385">
      <x:c r="A1385" s="84" t="str">
        <x:f>'Raw Sales'!A1385</x:f>
        <x:v>ORD-2025-01300</x:v>
      </x:c>
      <x:c r="B1385" s="85" t="n">
        <x:f>'Raw Sales'!B1385</x:f>
        <x:v>45752</x:v>
      </x:c>
      <x:c r="C1385" s="84" t="n">
        <x:f>YEAR(B1385)</x:f>
        <x:v>2025</x:v>
      </x:c>
      <x:c r="D1385" s="91" t="n">
        <x:f>DATE(YEAR(B1385),MONTH(B1385),1)</x:f>
        <x:v>45748</x:v>
      </x:c>
      <x:c r="E1385" s="84" t="str">
        <x:f>TEXT(B1385,"mmm")</x:f>
        <x:v>Apr</x:v>
      </x:c>
      <x:c r="F1385" s="84" t="str">
        <x:f>'Raw Sales'!C1385</x:f>
        <x:v>CUST-0564</x:v>
      </x:c>
      <x:c r="G1385" s="84" t="str">
        <x:f>PROPER(TRIM('Raw Sales'!D1385))</x:f>
        <x:v>Amelia Khan</x:v>
      </x:c>
      <x:c r="H1385" s="84" t="str">
        <x:f>IF(TRIM('Raw Sales'!E1385)="","Unknown",PROPER(TRIM('Raw Sales'!E1385)))</x:f>
        <x:v>Corporate</x:v>
      </x:c>
      <x:c r="I1385" s="84" t="str">
        <x:f>PROPER(TRIM('Raw Sales'!F1385))</x:f>
        <x:v>Southeast</x:v>
      </x:c>
      <x:c r="J1385" s="84" t="str">
        <x:f>PROPER(TRIM('Raw Sales'!G1385))</x:f>
        <x:v>Miami</x:v>
      </x:c>
      <x:c r="K1385" s="84" t="str">
        <x:f>PROPER(TRIM('Raw Sales'!H1385))</x:f>
        <x:v>Retail Store</x:v>
      </x:c>
      <x:c r="L1385" s="84" t="str">
        <x:f>'Raw Sales'!I1385</x:f>
        <x:v>ACCS-001</x:v>
      </x:c>
      <x:c r="M1385" s="84" t="str">
        <x:f>IFERROR(VLOOKUP(L1385,'Reference Data'!$A$5:$F$40,2,FALSE),"Unknown Product")</x:f>
        <x:v>Canvas Tote Bag</x:v>
      </x:c>
      <x:c r="N1385" s="84" t="str">
        <x:f>IFERROR(VLOOKUP(L1385,'Reference Data'!$A$5:$F$40,3,FALSE),"Unknown")</x:f>
        <x:v>Accessories</x:v>
      </x:c>
      <x:c r="O1385" s="84" t="str">
        <x:f>IFERROR(VLOOKUP(L1385,'Reference Data'!$A$5:$F$40,4,FALSE),"Unknown")</x:f>
        <x:v>Bags</x:v>
      </x:c>
      <x:c r="P1385" s="92" t="n">
        <x:f>IFERROR(VLOOKUP(L1385,'Reference Data'!$A$5:$F$40,5,FALSE),0)</x:f>
        <x:v>39</x:v>
      </x:c>
      <x:c r="Q1385" s="92" t="n">
        <x:f>IFERROR(VLOOKUP(L1385,'Reference Data'!$A$5:$F$40,6,FALSE),0)</x:f>
        <x:v>14</x:v>
      </x:c>
      <x:c r="R1385" s="84" t="n">
        <x:f>'Raw Sales'!J1385</x:f>
        <x:v>2</x:v>
      </x:c>
      <x:c r="S1385" s="87" t="n">
        <x:f>'Raw Sales'!K1385</x:f>
        <x:v>0</x:v>
      </x:c>
      <x:c r="T1385" s="93" t="n">
        <x:f>P1385*R1385</x:f>
        <x:v>78</x:v>
      </x:c>
      <x:c r="U1385" s="93" t="n">
        <x:f>T1385*S1385</x:f>
        <x:v>0</x:v>
      </x:c>
      <x:c r="V1385" s="93" t="str">
        <x:f>PROPER(TRIM('Raw Sales'!L1385))</x:f>
        <x:v>Completed</x:v>
      </x:c>
      <x:c r="W1385" s="93" t="n">
        <x:f>IF(V1385="Returned",0,T1385-U1385)</x:f>
        <x:v>78</x:v>
      </x:c>
      <x:c r="X1385" s="93" t="n">
        <x:f>IF(V1385="Returned",Q1385*R1385*10%,Q1385*R1385)</x:f>
        <x:v>28</x:v>
      </x:c>
      <x:c r="Y1385" s="93" t="n">
        <x:f>W1385-X1385</x:f>
        <x:v>50</x:v>
      </x:c>
      <x:c r="Z1385" s="94" t="n">
        <x:f>IFERROR(Y1385/W1385,0)</x:f>
        <x:v>0.6410256410256411</x:v>
      </x:c>
      <x:c r="AA1385" s="84" t="str">
        <x:f>PROPER(TRIM('Raw Sales'!M1385))</x:f>
        <x:v>Mobile Wallet</x:v>
      </x:c>
      <x:c r="AB1385" s="84" t="str">
        <x:f>PROPER(TRIM('Raw Sales'!N1385))</x:f>
        <x:v>Noah Reed</x:v>
      </x:c>
      <x:c r="AC1385" s="85" t="n">
        <x:f>'Raw Sales'!O1385</x:f>
        <x:v>45752</x:v>
      </x:c>
      <x:c r="AD1385" s="84" t="n">
        <x:f>AC1385-B1385</x:f>
        <x:v>0</x:v>
      </x:c>
      <x:c r="AE1385" s="84" t="str">
        <x:f>IF(COUNTIF($A$5:A1385,A1385)&gt;1,"Duplicate","Keep")</x:f>
        <x:v>Keep</x:v>
      </x:c>
      <x:c r="AF1385" s="84" t="str">
        <x:f>IF(OR(R1385&lt;=0,AC1385&lt;B1385,H1385="Unknown",M1385="Unknown Product"),"Review","Valid")</x:f>
        <x:v>Valid</x:v>
      </x:c>
      <x:c r="AG1385" s="84" t="n">
        <x:f>IF(AND(AE1385="Keep",AF1385="Valid"),1,0)</x:f>
        <x:v>1</x:v>
      </x:c>
      <x:c r="AH1385" s="84" t="n">
        <x:f>IF(AND(AG1385=1,OR('Dashboard'!$B$4="All",I1385='Dashboard'!$B$4),OR('Dashboard'!$E$4="All",N1385='Dashboard'!$E$4),OR('Dashboard'!$H$4="All",K1385='Dashboard'!$H$4),OR('Dashboard'!$K$4="All",C1385='Dashboard'!$K$4)),1,0)</x:f>
        <x:v>1</x:v>
      </x:c>
      <x:c r="AI1385" s="84" t="n">
        <x:f>IF(AND(AG1385=1,OR('Dashboard'!$B$4="All",I1385='Dashboard'!$B$4),OR('Dashboard'!$E$4="All",N1385='Dashboard'!$E$4),OR('Dashboard'!$H$4="All",K1385='Dashboard'!$H$4)),1,0)</x:f>
        <x:v>1</x:v>
      </x:c>
    </x:row>
    <x:row r="1386">
      <x:c r="A1386" s="84" t="str">
        <x:f>'Raw Sales'!A1386</x:f>
        <x:v>ORD-2025-01674</x:v>
      </x:c>
      <x:c r="B1386" s="85" t="n">
        <x:f>'Raw Sales'!B1386</x:f>
        <x:v>45752</x:v>
      </x:c>
      <x:c r="C1386" s="84" t="n">
        <x:f>YEAR(B1386)</x:f>
        <x:v>2025</x:v>
      </x:c>
      <x:c r="D1386" s="91" t="n">
        <x:f>DATE(YEAR(B1386),MONTH(B1386),1)</x:f>
        <x:v>45748</x:v>
      </x:c>
      <x:c r="E1386" s="84" t="str">
        <x:f>TEXT(B1386,"mmm")</x:f>
        <x:v>Apr</x:v>
      </x:c>
      <x:c r="F1386" s="84" t="str">
        <x:f>'Raw Sales'!C1386</x:f>
        <x:v>CUST-0574</x:v>
      </x:c>
      <x:c r="G1386" s="84" t="str">
        <x:f>PROPER(TRIM('Raw Sales'!D1386))</x:f>
        <x:v>Grace Quinn</x:v>
      </x:c>
      <x:c r="H1386" s="84" t="str">
        <x:f>IF(TRIM('Raw Sales'!E1386)="","Unknown",PROPER(TRIM('Raw Sales'!E1386)))</x:f>
        <x:v>Corporate</x:v>
      </x:c>
      <x:c r="I1386" s="84" t="str">
        <x:f>PROPER(TRIM('Raw Sales'!F1386))</x:f>
        <x:v>Northeast</x:v>
      </x:c>
      <x:c r="J1386" s="84" t="str">
        <x:f>PROPER(TRIM('Raw Sales'!G1386))</x:f>
        <x:v>New York</x:v>
      </x:c>
      <x:c r="K1386" s="84" t="str">
        <x:f>PROPER(TRIM('Raw Sales'!H1386))</x:f>
        <x:v>Retail Store</x:v>
      </x:c>
      <x:c r="L1386" s="84" t="str">
        <x:f>'Raw Sales'!I1386</x:f>
        <x:v>OFFC-004</x:v>
      </x:c>
      <x:c r="M1386" s="84" t="str">
        <x:f>IFERROR(VLOOKUP(L1386,'Reference Data'!$A$5:$F$40,2,FALSE),"Unknown Product")</x:f>
        <x:v>Premium Notebook Pack</x:v>
      </x:c>
      <x:c r="N1386" s="84" t="str">
        <x:f>IFERROR(VLOOKUP(L1386,'Reference Data'!$A$5:$F$40,3,FALSE),"Unknown")</x:f>
        <x:v>Office</x:v>
      </x:c>
      <x:c r="O1386" s="84" t="str">
        <x:f>IFERROR(VLOOKUP(L1386,'Reference Data'!$A$5:$F$40,4,FALSE),"Unknown")</x:f>
        <x:v>Stationery</x:v>
      </x:c>
      <x:c r="P1386" s="92" t="n">
        <x:f>IFERROR(VLOOKUP(L1386,'Reference Data'!$A$5:$F$40,5,FALSE),0)</x:f>
        <x:v>18</x:v>
      </x:c>
      <x:c r="Q1386" s="92" t="n">
        <x:f>IFERROR(VLOOKUP(L1386,'Reference Data'!$A$5:$F$40,6,FALSE),0)</x:f>
        <x:v>6.5</x:v>
      </x:c>
      <x:c r="R1386" s="84" t="n">
        <x:f>'Raw Sales'!J1386</x:f>
        <x:v>5</x:v>
      </x:c>
      <x:c r="S1386" s="87" t="n">
        <x:f>'Raw Sales'!K1386</x:f>
        <x:v>0.1</x:v>
      </x:c>
      <x:c r="T1386" s="93" t="n">
        <x:f>P1386*R1386</x:f>
        <x:v>90</x:v>
      </x:c>
      <x:c r="U1386" s="93" t="n">
        <x:f>T1386*S1386</x:f>
        <x:v>9</x:v>
      </x:c>
      <x:c r="V1386" s="93" t="str">
        <x:f>PROPER(TRIM('Raw Sales'!L1386))</x:f>
        <x:v>Completed</x:v>
      </x:c>
      <x:c r="W1386" s="93" t="n">
        <x:f>IF(V1386="Returned",0,T1386-U1386)</x:f>
        <x:v>81</x:v>
      </x:c>
      <x:c r="X1386" s="93" t="n">
        <x:f>IF(V1386="Returned",Q1386*R1386*10%,Q1386*R1386)</x:f>
        <x:v>32.5</x:v>
      </x:c>
      <x:c r="Y1386" s="93" t="n">
        <x:f>W1386-X1386</x:f>
        <x:v>48.5</x:v>
      </x:c>
      <x:c r="Z1386" s="94" t="n">
        <x:f>IFERROR(Y1386/W1386,0)</x:f>
        <x:v>0.5987654320987654</x:v>
      </x:c>
      <x:c r="AA1386" s="84" t="str">
        <x:f>PROPER(TRIM('Raw Sales'!M1386))</x:f>
        <x:v>Debit Card</x:v>
      </x:c>
      <x:c r="AB1386" s="84" t="str">
        <x:f>PROPER(TRIM('Raw Sales'!N1386))</x:f>
        <x:v>Ethan Cole</x:v>
      </x:c>
      <x:c r="AC1386" s="85" t="n">
        <x:f>'Raw Sales'!O1386</x:f>
        <x:v>45752</x:v>
      </x:c>
      <x:c r="AD1386" s="84" t="n">
        <x:f>AC1386-B1386</x:f>
        <x:v>0</x:v>
      </x:c>
      <x:c r="AE1386" s="84" t="str">
        <x:f>IF(COUNTIF($A$5:A1386,A1386)&gt;1,"Duplicate","Keep")</x:f>
        <x:v>Keep</x:v>
      </x:c>
      <x:c r="AF1386" s="84" t="str">
        <x:f>IF(OR(R1386&lt;=0,AC1386&lt;B1386,H1386="Unknown",M1386="Unknown Product"),"Review","Valid")</x:f>
        <x:v>Valid</x:v>
      </x:c>
      <x:c r="AG1386" s="84" t="n">
        <x:f>IF(AND(AE1386="Keep",AF1386="Valid"),1,0)</x:f>
        <x:v>1</x:v>
      </x:c>
      <x:c r="AH1386" s="84" t="n">
        <x:f>IF(AND(AG1386=1,OR('Dashboard'!$B$4="All",I1386='Dashboard'!$B$4),OR('Dashboard'!$E$4="All",N1386='Dashboard'!$E$4),OR('Dashboard'!$H$4="All",K1386='Dashboard'!$H$4),OR('Dashboard'!$K$4="All",C1386='Dashboard'!$K$4)),1,0)</x:f>
        <x:v>1</x:v>
      </x:c>
      <x:c r="AI1386" s="84" t="n">
        <x:f>IF(AND(AG1386=1,OR('Dashboard'!$B$4="All",I1386='Dashboard'!$B$4),OR('Dashboard'!$E$4="All",N1386='Dashboard'!$E$4),OR('Dashboard'!$H$4="All",K1386='Dashboard'!$H$4)),1,0)</x:f>
        <x:v>1</x:v>
      </x:c>
    </x:row>
    <x:row r="1387">
      <x:c r="A1387" s="84" t="str">
        <x:f>'Raw Sales'!A1387</x:f>
        <x:v>ORD-2025-01703</x:v>
      </x:c>
      <x:c r="B1387" s="85" t="n">
        <x:f>'Raw Sales'!B1387</x:f>
        <x:v>45752</x:v>
      </x:c>
      <x:c r="C1387" s="84" t="n">
        <x:f>YEAR(B1387)</x:f>
        <x:v>2025</x:v>
      </x:c>
      <x:c r="D1387" s="91" t="n">
        <x:f>DATE(YEAR(B1387),MONTH(B1387),1)</x:f>
        <x:v>45748</x:v>
      </x:c>
      <x:c r="E1387" s="84" t="str">
        <x:f>TEXT(B1387,"mmm")</x:f>
        <x:v>Apr</x:v>
      </x:c>
      <x:c r="F1387" s="84" t="str">
        <x:f>'Raw Sales'!C1387</x:f>
        <x:v>CUST-0265</x:v>
      </x:c>
      <x:c r="G1387" s="84" t="str">
        <x:f>PROPER(TRIM('Raw Sales'!D1387))</x:f>
        <x:v>Sara Adams</x:v>
      </x:c>
      <x:c r="H1387" s="84" t="str">
        <x:f>IF(TRIM('Raw Sales'!E1387)="","Unknown",PROPER(TRIM('Raw Sales'!E1387)))</x:f>
        <x:v>Consumer</x:v>
      </x:c>
      <x:c r="I1387" s="84" t="str">
        <x:f>PROPER(TRIM('Raw Sales'!F1387))</x:f>
        <x:v>Southeast</x:v>
      </x:c>
      <x:c r="J1387" s="84" t="str">
        <x:f>PROPER(TRIM('Raw Sales'!G1387))</x:f>
        <x:v>Nashville</x:v>
      </x:c>
      <x:c r="K1387" s="84" t="str">
        <x:f>PROPER(TRIM('Raw Sales'!H1387))</x:f>
        <x:v>Retail Store</x:v>
      </x:c>
      <x:c r="L1387" s="84" t="str">
        <x:f>'Raw Sales'!I1387</x:f>
        <x:v>FITN-003</x:v>
      </x:c>
      <x:c r="M1387" s="84" t="str">
        <x:f>IFERROR(VLOOKUP(L1387,'Reference Data'!$A$5:$F$40,2,FALSE),"Unknown Product")</x:f>
        <x:v>Resistance Band Set</x:v>
      </x:c>
      <x:c r="N1387" s="84" t="str">
        <x:f>IFERROR(VLOOKUP(L1387,'Reference Data'!$A$5:$F$40,3,FALSE),"Unknown")</x:f>
        <x:v>Fitness</x:v>
      </x:c>
      <x:c r="O1387" s="84" t="str">
        <x:f>IFERROR(VLOOKUP(L1387,'Reference Data'!$A$5:$F$40,4,FALSE),"Unknown")</x:f>
        <x:v>Strength</x:v>
      </x:c>
      <x:c r="P1387" s="92" t="n">
        <x:f>IFERROR(VLOOKUP(L1387,'Reference Data'!$A$5:$F$40,5,FALSE),0)</x:f>
        <x:v>24</x:v>
      </x:c>
      <x:c r="Q1387" s="92" t="n">
        <x:f>IFERROR(VLOOKUP(L1387,'Reference Data'!$A$5:$F$40,6,FALSE),0)</x:f>
        <x:v>8</x:v>
      </x:c>
      <x:c r="R1387" s="84" t="n">
        <x:f>'Raw Sales'!J1387</x:f>
        <x:v>2</x:v>
      </x:c>
      <x:c r="S1387" s="87" t="n">
        <x:f>'Raw Sales'!K1387</x:f>
        <x:v>0</x:v>
      </x:c>
      <x:c r="T1387" s="93" t="n">
        <x:f>P1387*R1387</x:f>
        <x:v>48</x:v>
      </x:c>
      <x:c r="U1387" s="93" t="n">
        <x:f>T1387*S1387</x:f>
        <x:v>0</x:v>
      </x:c>
      <x:c r="V1387" s="93" t="str">
        <x:f>PROPER(TRIM('Raw Sales'!L1387))</x:f>
        <x:v>Completed</x:v>
      </x:c>
      <x:c r="W1387" s="93" t="n">
        <x:f>IF(V1387="Returned",0,T1387-U1387)</x:f>
        <x:v>48</x:v>
      </x:c>
      <x:c r="X1387" s="93" t="n">
        <x:f>IF(V1387="Returned",Q1387*R1387*10%,Q1387*R1387)</x:f>
        <x:v>16</x:v>
      </x:c>
      <x:c r="Y1387" s="93" t="n">
        <x:f>W1387-X1387</x:f>
        <x:v>32</x:v>
      </x:c>
      <x:c r="Z1387" s="94" t="n">
        <x:f>IFERROR(Y1387/W1387,0)</x:f>
        <x:v>0.6666666666666666</x:v>
      </x:c>
      <x:c r="AA1387" s="84" t="str">
        <x:f>PROPER(TRIM('Raw Sales'!M1387))</x:f>
        <x:v>Credit Card</x:v>
      </x:c>
      <x:c r="AB1387" s="84" t="str">
        <x:f>PROPER(TRIM('Raw Sales'!N1387))</x:f>
        <x:v>Ava Mitchell</x:v>
      </x:c>
      <x:c r="AC1387" s="85" t="n">
        <x:f>'Raw Sales'!O1387</x:f>
        <x:v>45752</x:v>
      </x:c>
      <x:c r="AD1387" s="84" t="n">
        <x:f>AC1387-B1387</x:f>
        <x:v>0</x:v>
      </x:c>
      <x:c r="AE1387" s="84" t="str">
        <x:f>IF(COUNTIF($A$5:A1387,A1387)&gt;1,"Duplicate","Keep")</x:f>
        <x:v>Keep</x:v>
      </x:c>
      <x:c r="AF1387" s="84" t="str">
        <x:f>IF(OR(R1387&lt;=0,AC1387&lt;B1387,H1387="Unknown",M1387="Unknown Product"),"Review","Valid")</x:f>
        <x:v>Valid</x:v>
      </x:c>
      <x:c r="AG1387" s="84" t="n">
        <x:f>IF(AND(AE1387="Keep",AF1387="Valid"),1,0)</x:f>
        <x:v>1</x:v>
      </x:c>
      <x:c r="AH1387" s="84" t="n">
        <x:f>IF(AND(AG1387=1,OR('Dashboard'!$B$4="All",I1387='Dashboard'!$B$4),OR('Dashboard'!$E$4="All",N1387='Dashboard'!$E$4),OR('Dashboard'!$H$4="All",K1387='Dashboard'!$H$4),OR('Dashboard'!$K$4="All",C1387='Dashboard'!$K$4)),1,0)</x:f>
        <x:v>1</x:v>
      </x:c>
      <x:c r="AI1387" s="84" t="n">
        <x:f>IF(AND(AG1387=1,OR('Dashboard'!$B$4="All",I1387='Dashboard'!$B$4),OR('Dashboard'!$E$4="All",N1387='Dashboard'!$E$4),OR('Dashboard'!$H$4="All",K1387='Dashboard'!$H$4)),1,0)</x:f>
        <x:v>1</x:v>
      </x:c>
    </x:row>
    <x:row r="1388">
      <x:c r="A1388" s="84" t="str">
        <x:f>'Raw Sales'!A1388</x:f>
        <x:v>ORD-2025-02174</x:v>
      </x:c>
      <x:c r="B1388" s="85" t="n">
        <x:f>'Raw Sales'!B1388</x:f>
        <x:v>45752</x:v>
      </x:c>
      <x:c r="C1388" s="84" t="n">
        <x:f>YEAR(B1388)</x:f>
        <x:v>2025</x:v>
      </x:c>
      <x:c r="D1388" s="91" t="n">
        <x:f>DATE(YEAR(B1388),MONTH(B1388),1)</x:f>
        <x:v>45748</x:v>
      </x:c>
      <x:c r="E1388" s="84" t="str">
        <x:f>TEXT(B1388,"mmm")</x:f>
        <x:v>Apr</x:v>
      </x:c>
      <x:c r="F1388" s="84" t="str">
        <x:f>'Raw Sales'!C1388</x:f>
        <x:v>CUST-0168</x:v>
      </x:c>
      <x:c r="G1388" s="84" t="str">
        <x:f>PROPER(TRIM('Raw Sales'!D1388))</x:f>
        <x:v>Priya Foster</x:v>
      </x:c>
      <x:c r="H1388" s="84" t="str">
        <x:f>IF(TRIM('Raw Sales'!E1388)="","Unknown",PROPER(TRIM('Raw Sales'!E1388)))</x:f>
        <x:v>Small Business</x:v>
      </x:c>
      <x:c r="I1388" s="84" t="str">
        <x:f>PROPER(TRIM('Raw Sales'!F1388))</x:f>
        <x:v>Northeast</x:v>
      </x:c>
      <x:c r="J1388" s="84" t="str">
        <x:f>PROPER(TRIM('Raw Sales'!G1388))</x:f>
        <x:v>Newark</x:v>
      </x:c>
      <x:c r="K1388" s="84" t="str">
        <x:f>PROPER(TRIM('Raw Sales'!H1388))</x:f>
        <x:v>Marketplace</x:v>
      </x:c>
      <x:c r="L1388" s="84" t="str">
        <x:f>'Raw Sales'!I1388</x:f>
        <x:v>HOME-005</x:v>
      </x:c>
      <x:c r="M1388" s="84" t="str">
        <x:f>IFERROR(VLOOKUP(L1388,'Reference Data'!$A$5:$F$40,2,FALSE),"Unknown Product")</x:f>
        <x:v>Cordless Vacuum</x:v>
      </x:c>
      <x:c r="N1388" s="84" t="str">
        <x:f>IFERROR(VLOOKUP(L1388,'Reference Data'!$A$5:$F$40,3,FALSE),"Unknown")</x:f>
        <x:v>Home &amp; Kitchen</x:v>
      </x:c>
      <x:c r="O1388" s="84" t="str">
        <x:f>IFERROR(VLOOKUP(L1388,'Reference Data'!$A$5:$F$40,4,FALSE),"Unknown")</x:f>
        <x:v>Cleaning</x:v>
      </x:c>
      <x:c r="P1388" s="92" t="n">
        <x:f>IFERROR(VLOOKUP(L1388,'Reference Data'!$A$5:$F$40,5,FALSE),0)</x:f>
        <x:v>179</x:v>
      </x:c>
      <x:c r="Q1388" s="92" t="n">
        <x:f>IFERROR(VLOOKUP(L1388,'Reference Data'!$A$5:$F$40,6,FALSE),0)</x:f>
        <x:v>102</x:v>
      </x:c>
      <x:c r="R1388" s="84" t="n">
        <x:f>'Raw Sales'!J1388</x:f>
        <x:v>3</x:v>
      </x:c>
      <x:c r="S1388" s="87" t="n">
        <x:f>'Raw Sales'!K1388</x:f>
        <x:v>0.05</x:v>
      </x:c>
      <x:c r="T1388" s="93" t="n">
        <x:f>P1388*R1388</x:f>
        <x:v>537</x:v>
      </x:c>
      <x:c r="U1388" s="93" t="n">
        <x:f>T1388*S1388</x:f>
        <x:v>26.85</x:v>
      </x:c>
      <x:c r="V1388" s="93" t="str">
        <x:f>PROPER(TRIM('Raw Sales'!L1388))</x:f>
        <x:v>Completed</x:v>
      </x:c>
      <x:c r="W1388" s="93" t="n">
        <x:f>IF(V1388="Returned",0,T1388-U1388)</x:f>
        <x:v>510.15</x:v>
      </x:c>
      <x:c r="X1388" s="93" t="n">
        <x:f>IF(V1388="Returned",Q1388*R1388*10%,Q1388*R1388)</x:f>
        <x:v>306</x:v>
      </x:c>
      <x:c r="Y1388" s="93" t="n">
        <x:f>W1388-X1388</x:f>
        <x:v>204.14999999999998</x:v>
      </x:c>
      <x:c r="Z1388" s="94" t="n">
        <x:f>IFERROR(Y1388/W1388,0)</x:f>
        <x:v>0.40017641870038223</x:v>
      </x:c>
      <x:c r="AA1388" s="84" t="str">
        <x:f>PROPER(TRIM('Raw Sales'!M1388))</x:f>
        <x:v>Credit Card</x:v>
      </x:c>
      <x:c r="AB1388" s="84" t="str">
        <x:f>PROPER(TRIM('Raw Sales'!N1388))</x:f>
        <x:v>Maya Brooks</x:v>
      </x:c>
      <x:c r="AC1388" s="85" t="n">
        <x:f>'Raw Sales'!O1388</x:f>
        <x:v>45759</x:v>
      </x:c>
      <x:c r="AD1388" s="84" t="n">
        <x:f>AC1388-B1388</x:f>
        <x:v>7</x:v>
      </x:c>
      <x:c r="AE1388" s="84" t="str">
        <x:f>IF(COUNTIF($A$5:A1388,A1388)&gt;1,"Duplicate","Keep")</x:f>
        <x:v>Keep</x:v>
      </x:c>
      <x:c r="AF1388" s="84" t="str">
        <x:f>IF(OR(R1388&lt;=0,AC1388&lt;B1388,H1388="Unknown",M1388="Unknown Product"),"Review","Valid")</x:f>
        <x:v>Valid</x:v>
      </x:c>
      <x:c r="AG1388" s="84" t="n">
        <x:f>IF(AND(AE1388="Keep",AF1388="Valid"),1,0)</x:f>
        <x:v>1</x:v>
      </x:c>
      <x:c r="AH1388" s="84" t="n">
        <x:f>IF(AND(AG1388=1,OR('Dashboard'!$B$4="All",I1388='Dashboard'!$B$4),OR('Dashboard'!$E$4="All",N1388='Dashboard'!$E$4),OR('Dashboard'!$H$4="All",K1388='Dashboard'!$H$4),OR('Dashboard'!$K$4="All",C1388='Dashboard'!$K$4)),1,0)</x:f>
        <x:v>1</x:v>
      </x:c>
      <x:c r="AI1388" s="84" t="n">
        <x:f>IF(AND(AG1388=1,OR('Dashboard'!$B$4="All",I1388='Dashboard'!$B$4),OR('Dashboard'!$E$4="All",N1388='Dashboard'!$E$4),OR('Dashboard'!$H$4="All",K1388='Dashboard'!$H$4)),1,0)</x:f>
        <x:v>1</x:v>
      </x:c>
    </x:row>
    <x:row r="1389">
      <x:c r="A1389" s="84" t="str">
        <x:f>'Raw Sales'!A1389</x:f>
        <x:v>ORD-2025-01207</x:v>
      </x:c>
      <x:c r="B1389" s="85" t="n">
        <x:f>'Raw Sales'!B1389</x:f>
        <x:v>45753</x:v>
      </x:c>
      <x:c r="C1389" s="84" t="n">
        <x:f>YEAR(B1389)</x:f>
        <x:v>2025</x:v>
      </x:c>
      <x:c r="D1389" s="91" t="n">
        <x:f>DATE(YEAR(B1389),MONTH(B1389),1)</x:f>
        <x:v>45748</x:v>
      </x:c>
      <x:c r="E1389" s="84" t="str">
        <x:f>TEXT(B1389,"mmm")</x:f>
        <x:v>Apr</x:v>
      </x:c>
      <x:c r="F1389" s="84" t="str">
        <x:f>'Raw Sales'!C1389</x:f>
        <x:v>CUST-0076</x:v>
      </x:c>
      <x:c r="G1389" s="84" t="str">
        <x:f>PROPER(TRIM('Raw Sales'!D1389))</x:f>
        <x:v>Jonah Patel</x:v>
      </x:c>
      <x:c r="H1389" s="84" t="str">
        <x:f>IF(TRIM('Raw Sales'!E1389)="","Unknown",PROPER(TRIM('Raw Sales'!E1389)))</x:f>
        <x:v>Small Business</x:v>
      </x:c>
      <x:c r="I1389" s="84" t="str">
        <x:f>PROPER(TRIM('Raw Sales'!F1389))</x:f>
        <x:v>Southeast</x:v>
      </x:c>
      <x:c r="J1389" s="84" t="str">
        <x:f>PROPER(TRIM('Raw Sales'!G1389))</x:f>
        <x:v>Charlotte</x:v>
      </x:c>
      <x:c r="K1389" s="84" t="str">
        <x:f>PROPER(TRIM('Raw Sales'!H1389))</x:f>
        <x:v>Online</x:v>
      </x:c>
      <x:c r="L1389" s="84" t="str">
        <x:f>'Raw Sales'!I1389</x:f>
        <x:v>ACCS-001</x:v>
      </x:c>
      <x:c r="M1389" s="84" t="str">
        <x:f>IFERROR(VLOOKUP(L1389,'Reference Data'!$A$5:$F$40,2,FALSE),"Unknown Product")</x:f>
        <x:v>Canvas Tote Bag</x:v>
      </x:c>
      <x:c r="N1389" s="84" t="str">
        <x:f>IFERROR(VLOOKUP(L1389,'Reference Data'!$A$5:$F$40,3,FALSE),"Unknown")</x:f>
        <x:v>Accessories</x:v>
      </x:c>
      <x:c r="O1389" s="84" t="str">
        <x:f>IFERROR(VLOOKUP(L1389,'Reference Data'!$A$5:$F$40,4,FALSE),"Unknown")</x:f>
        <x:v>Bags</x:v>
      </x:c>
      <x:c r="P1389" s="92" t="n">
        <x:f>IFERROR(VLOOKUP(L1389,'Reference Data'!$A$5:$F$40,5,FALSE),0)</x:f>
        <x:v>39</x:v>
      </x:c>
      <x:c r="Q1389" s="92" t="n">
        <x:f>IFERROR(VLOOKUP(L1389,'Reference Data'!$A$5:$F$40,6,FALSE),0)</x:f>
        <x:v>14</x:v>
      </x:c>
      <x:c r="R1389" s="84" t="n">
        <x:f>'Raw Sales'!J1389</x:f>
        <x:v>1</x:v>
      </x:c>
      <x:c r="S1389" s="87" t="n">
        <x:f>'Raw Sales'!K1389</x:f>
        <x:v>0.05</x:v>
      </x:c>
      <x:c r="T1389" s="93" t="n">
        <x:f>P1389*R1389</x:f>
        <x:v>39</x:v>
      </x:c>
      <x:c r="U1389" s="93" t="n">
        <x:f>T1389*S1389</x:f>
        <x:v>1.9500000000000002</x:v>
      </x:c>
      <x:c r="V1389" s="93" t="str">
        <x:f>PROPER(TRIM('Raw Sales'!L1389))</x:f>
        <x:v>Completed</x:v>
      </x:c>
      <x:c r="W1389" s="93" t="n">
        <x:f>IF(V1389="Returned",0,T1389-U1389)</x:f>
        <x:v>37.05</x:v>
      </x:c>
      <x:c r="X1389" s="93" t="n">
        <x:f>IF(V1389="Returned",Q1389*R1389*10%,Q1389*R1389)</x:f>
        <x:v>14</x:v>
      </x:c>
      <x:c r="Y1389" s="93" t="n">
        <x:f>W1389-X1389</x:f>
        <x:v>23.049999999999997</x:v>
      </x:c>
      <x:c r="Z1389" s="94" t="n">
        <x:f>IFERROR(Y1389/W1389,0)</x:f>
        <x:v>0.6221322537112011</x:v>
      </x:c>
      <x:c r="AA1389" s="84" t="str">
        <x:f>PROPER(TRIM('Raw Sales'!M1389))</x:f>
        <x:v>Credit Card</x:v>
      </x:c>
      <x:c r="AB1389" s="84" t="str">
        <x:f>PROPER(TRIM('Raw Sales'!N1389))</x:f>
        <x:v>Liam Parker</x:v>
      </x:c>
      <x:c r="AC1389" s="85" t="n">
        <x:f>'Raw Sales'!O1389</x:f>
        <x:v>45757</x:v>
      </x:c>
      <x:c r="AD1389" s="84" t="n">
        <x:f>AC1389-B1389</x:f>
        <x:v>4</x:v>
      </x:c>
      <x:c r="AE1389" s="84" t="str">
        <x:f>IF(COUNTIF($A$5:A1389,A1389)&gt;1,"Duplicate","Keep")</x:f>
        <x:v>Keep</x:v>
      </x:c>
      <x:c r="AF1389" s="84" t="str">
        <x:f>IF(OR(R1389&lt;=0,AC1389&lt;B1389,H1389="Unknown",M1389="Unknown Product"),"Review","Valid")</x:f>
        <x:v>Valid</x:v>
      </x:c>
      <x:c r="AG1389" s="84" t="n">
        <x:f>IF(AND(AE1389="Keep",AF1389="Valid"),1,0)</x:f>
        <x:v>1</x:v>
      </x:c>
      <x:c r="AH1389" s="84" t="n">
        <x:f>IF(AND(AG1389=1,OR('Dashboard'!$B$4="All",I1389='Dashboard'!$B$4),OR('Dashboard'!$E$4="All",N1389='Dashboard'!$E$4),OR('Dashboard'!$H$4="All",K1389='Dashboard'!$H$4),OR('Dashboard'!$K$4="All",C1389='Dashboard'!$K$4)),1,0)</x:f>
        <x:v>1</x:v>
      </x:c>
      <x:c r="AI1389" s="84" t="n">
        <x:f>IF(AND(AG1389=1,OR('Dashboard'!$B$4="All",I1389='Dashboard'!$B$4),OR('Dashboard'!$E$4="All",N1389='Dashboard'!$E$4),OR('Dashboard'!$H$4="All",K1389='Dashboard'!$H$4)),1,0)</x:f>
        <x:v>1</x:v>
      </x:c>
    </x:row>
    <x:row r="1390">
      <x:c r="A1390" s="84" t="str">
        <x:f>'Raw Sales'!A1390</x:f>
        <x:v>ORD-2025-00201</x:v>
      </x:c>
      <x:c r="B1390" s="85" t="n">
        <x:f>'Raw Sales'!B1390</x:f>
        <x:v>45754</x:v>
      </x:c>
      <x:c r="C1390" s="84" t="n">
        <x:f>YEAR(B1390)</x:f>
        <x:v>2025</x:v>
      </x:c>
      <x:c r="D1390" s="91" t="n">
        <x:f>DATE(YEAR(B1390),MONTH(B1390),1)</x:f>
        <x:v>45748</x:v>
      </x:c>
      <x:c r="E1390" s="84" t="str">
        <x:f>TEXT(B1390,"mmm")</x:f>
        <x:v>Apr</x:v>
      </x:c>
      <x:c r="F1390" s="84" t="str">
        <x:f>'Raw Sales'!C1390</x:f>
        <x:v>CUST-0587</x:v>
      </x:c>
      <x:c r="G1390" s="84" t="str">
        <x:f>PROPER(TRIM('Raw Sales'!D1390))</x:f>
        <x:v>Marcus Young</x:v>
      </x:c>
      <x:c r="H1390" s="84" t="str">
        <x:f>IF(TRIM('Raw Sales'!E1390)="","Unknown",PROPER(TRIM('Raw Sales'!E1390)))</x:f>
        <x:v>Small Business</x:v>
      </x:c>
      <x:c r="I1390" s="84" t="str">
        <x:f>PROPER(TRIM('Raw Sales'!F1390))</x:f>
        <x:v>Northeast</x:v>
      </x:c>
      <x:c r="J1390" s="84" t="str">
        <x:f>PROPER(TRIM('Raw Sales'!G1390))</x:f>
        <x:v>Boston</x:v>
      </x:c>
      <x:c r="K1390" s="84" t="str">
        <x:f>PROPER(TRIM('Raw Sales'!H1390))</x:f>
        <x:v>Online</x:v>
      </x:c>
      <x:c r="L1390" s="84" t="str">
        <x:f>'Raw Sales'!I1390</x:f>
        <x:v>ACCS-001</x:v>
      </x:c>
      <x:c r="M1390" s="84" t="str">
        <x:f>IFERROR(VLOOKUP(L1390,'Reference Data'!$A$5:$F$40,2,FALSE),"Unknown Product")</x:f>
        <x:v>Canvas Tote Bag</x:v>
      </x:c>
      <x:c r="N1390" s="84" t="str">
        <x:f>IFERROR(VLOOKUP(L1390,'Reference Data'!$A$5:$F$40,3,FALSE),"Unknown")</x:f>
        <x:v>Accessories</x:v>
      </x:c>
      <x:c r="O1390" s="84" t="str">
        <x:f>IFERROR(VLOOKUP(L1390,'Reference Data'!$A$5:$F$40,4,FALSE),"Unknown")</x:f>
        <x:v>Bags</x:v>
      </x:c>
      <x:c r="P1390" s="92" t="n">
        <x:f>IFERROR(VLOOKUP(L1390,'Reference Data'!$A$5:$F$40,5,FALSE),0)</x:f>
        <x:v>39</x:v>
      </x:c>
      <x:c r="Q1390" s="92" t="n">
        <x:f>IFERROR(VLOOKUP(L1390,'Reference Data'!$A$5:$F$40,6,FALSE),0)</x:f>
        <x:v>14</x:v>
      </x:c>
      <x:c r="R1390" s="84" t="n">
        <x:f>'Raw Sales'!J1390</x:f>
        <x:v>2</x:v>
      </x:c>
      <x:c r="S1390" s="87" t="n">
        <x:f>'Raw Sales'!K1390</x:f>
        <x:v>0.05</x:v>
      </x:c>
      <x:c r="T1390" s="93" t="n">
        <x:f>P1390*R1390</x:f>
        <x:v>78</x:v>
      </x:c>
      <x:c r="U1390" s="93" t="n">
        <x:f>T1390*S1390</x:f>
        <x:v>3.9000000000000004</x:v>
      </x:c>
      <x:c r="V1390" s="93" t="str">
        <x:f>PROPER(TRIM('Raw Sales'!L1390))</x:f>
        <x:v>Completed</x:v>
      </x:c>
      <x:c r="W1390" s="93" t="n">
        <x:f>IF(V1390="Returned",0,T1390-U1390)</x:f>
        <x:v>74.1</x:v>
      </x:c>
      <x:c r="X1390" s="93" t="n">
        <x:f>IF(V1390="Returned",Q1390*R1390*10%,Q1390*R1390)</x:f>
        <x:v>28</x:v>
      </x:c>
      <x:c r="Y1390" s="93" t="n">
        <x:f>W1390-X1390</x:f>
        <x:v>46.099999999999994</x:v>
      </x:c>
      <x:c r="Z1390" s="94" t="n">
        <x:f>IFERROR(Y1390/W1390,0)</x:f>
        <x:v>0.6221322537112011</x:v>
      </x:c>
      <x:c r="AA1390" s="84" t="str">
        <x:f>PROPER(TRIM('Raw Sales'!M1390))</x:f>
        <x:v>Mobile Wallet</x:v>
      </x:c>
      <x:c r="AB1390" s="84" t="str">
        <x:f>PROPER(TRIM('Raw Sales'!N1390))</x:f>
        <x:v>Ethan Cole</x:v>
      </x:c>
      <x:c r="AC1390" s="85" t="n">
        <x:f>'Raw Sales'!O1390</x:f>
        <x:v>45759</x:v>
      </x:c>
      <x:c r="AD1390" s="84" t="n">
        <x:f>AC1390-B1390</x:f>
        <x:v>5</x:v>
      </x:c>
      <x:c r="AE1390" s="84" t="str">
        <x:f>IF(COUNTIF($A$5:A1390,A1390)&gt;1,"Duplicate","Keep")</x:f>
        <x:v>Keep</x:v>
      </x:c>
      <x:c r="AF1390" s="84" t="str">
        <x:f>IF(OR(R1390&lt;=0,AC1390&lt;B1390,H1390="Unknown",M1390="Unknown Product"),"Review","Valid")</x:f>
        <x:v>Valid</x:v>
      </x:c>
      <x:c r="AG1390" s="84" t="n">
        <x:f>IF(AND(AE1390="Keep",AF1390="Valid"),1,0)</x:f>
        <x:v>1</x:v>
      </x:c>
      <x:c r="AH1390" s="84" t="n">
        <x:f>IF(AND(AG1390=1,OR('Dashboard'!$B$4="All",I1390='Dashboard'!$B$4),OR('Dashboard'!$E$4="All",N1390='Dashboard'!$E$4),OR('Dashboard'!$H$4="All",K1390='Dashboard'!$H$4),OR('Dashboard'!$K$4="All",C1390='Dashboard'!$K$4)),1,0)</x:f>
        <x:v>1</x:v>
      </x:c>
      <x:c r="AI1390" s="84" t="n">
        <x:f>IF(AND(AG1390=1,OR('Dashboard'!$B$4="All",I1390='Dashboard'!$B$4),OR('Dashboard'!$E$4="All",N1390='Dashboard'!$E$4),OR('Dashboard'!$H$4="All",K1390='Dashboard'!$H$4)),1,0)</x:f>
        <x:v>1</x:v>
      </x:c>
    </x:row>
    <x:row r="1391">
      <x:c r="A1391" s="84" t="str">
        <x:f>'Raw Sales'!A1391</x:f>
        <x:v>ORD-2025-01852</x:v>
      </x:c>
      <x:c r="B1391" s="85" t="n">
        <x:f>'Raw Sales'!B1391</x:f>
        <x:v>45754</x:v>
      </x:c>
      <x:c r="C1391" s="84" t="n">
        <x:f>YEAR(B1391)</x:f>
        <x:v>2025</x:v>
      </x:c>
      <x:c r="D1391" s="91" t="n">
        <x:f>DATE(YEAR(B1391),MONTH(B1391),1)</x:f>
        <x:v>45748</x:v>
      </x:c>
      <x:c r="E1391" s="84" t="str">
        <x:f>TEXT(B1391,"mmm")</x:f>
        <x:v>Apr</x:v>
      </x:c>
      <x:c r="F1391" s="84" t="str">
        <x:f>'Raw Sales'!C1391</x:f>
        <x:v>CUST-0265</x:v>
      </x:c>
      <x:c r="G1391" s="84" t="str">
        <x:f>PROPER(TRIM('Raw Sales'!D1391))</x:f>
        <x:v>Sara Adams</x:v>
      </x:c>
      <x:c r="H1391" s="84" t="str">
        <x:f>IF(TRIM('Raw Sales'!E1391)="","Unknown",PROPER(TRIM('Raw Sales'!E1391)))</x:f>
        <x:v>Consumer</x:v>
      </x:c>
      <x:c r="I1391" s="84" t="str">
        <x:f>PROPER(TRIM('Raw Sales'!F1391))</x:f>
        <x:v>Southeast</x:v>
      </x:c>
      <x:c r="J1391" s="84" t="str">
        <x:f>PROPER(TRIM('Raw Sales'!G1391))</x:f>
        <x:v>Nashville</x:v>
      </x:c>
      <x:c r="K1391" s="84" t="str">
        <x:f>PROPER(TRIM('Raw Sales'!H1391))</x:f>
        <x:v>Marketplace</x:v>
      </x:c>
      <x:c r="L1391" s="84" t="str">
        <x:f>'Raw Sales'!I1391</x:f>
        <x:v>HOME-003</x:v>
      </x:c>
      <x:c r="M1391" s="84" t="str">
        <x:f>IFERROR(VLOOKUP(L1391,'Reference Data'!$A$5:$F$40,2,FALSE),"Unknown Product")</x:f>
        <x:v>Countertop Blender</x:v>
      </x:c>
      <x:c r="N1391" s="84" t="str">
        <x:f>IFERROR(VLOOKUP(L1391,'Reference Data'!$A$5:$F$40,3,FALSE),"Unknown")</x:f>
        <x:v>Home &amp; Kitchen</x:v>
      </x:c>
      <x:c r="O1391" s="84" t="str">
        <x:f>IFERROR(VLOOKUP(L1391,'Reference Data'!$A$5:$F$40,4,FALSE),"Unknown")</x:f>
        <x:v>Small Appliances</x:v>
      </x:c>
      <x:c r="P1391" s="92" t="n">
        <x:f>IFERROR(VLOOKUP(L1391,'Reference Data'!$A$5:$F$40,5,FALSE),0)</x:f>
        <x:v>89</x:v>
      </x:c>
      <x:c r="Q1391" s="92" t="n">
        <x:f>IFERROR(VLOOKUP(L1391,'Reference Data'!$A$5:$F$40,6,FALSE),0)</x:f>
        <x:v>46</x:v>
      </x:c>
      <x:c r="R1391" s="84" t="n">
        <x:f>'Raw Sales'!J1391</x:f>
        <x:v>3</x:v>
      </x:c>
      <x:c r="S1391" s="87" t="n">
        <x:f>'Raw Sales'!K1391</x:f>
        <x:v>0</x:v>
      </x:c>
      <x:c r="T1391" s="93" t="n">
        <x:f>P1391*R1391</x:f>
        <x:v>267</x:v>
      </x:c>
      <x:c r="U1391" s="93" t="n">
        <x:f>T1391*S1391</x:f>
        <x:v>0</x:v>
      </x:c>
      <x:c r="V1391" s="93" t="str">
        <x:f>PROPER(TRIM('Raw Sales'!L1391))</x:f>
        <x:v>Completed</x:v>
      </x:c>
      <x:c r="W1391" s="93" t="n">
        <x:f>IF(V1391="Returned",0,T1391-U1391)</x:f>
        <x:v>267</x:v>
      </x:c>
      <x:c r="X1391" s="93" t="n">
        <x:f>IF(V1391="Returned",Q1391*R1391*10%,Q1391*R1391)</x:f>
        <x:v>138</x:v>
      </x:c>
      <x:c r="Y1391" s="93" t="n">
        <x:f>W1391-X1391</x:f>
        <x:v>129</x:v>
      </x:c>
      <x:c r="Z1391" s="94" t="n">
        <x:f>IFERROR(Y1391/W1391,0)</x:f>
        <x:v>0.48314606741573035</x:v>
      </x:c>
      <x:c r="AA1391" s="84" t="str">
        <x:f>PROPER(TRIM('Raw Sales'!M1391))</x:f>
        <x:v>Debit Card</x:v>
      </x:c>
      <x:c r="AB1391" s="84" t="str">
        <x:f>PROPER(TRIM('Raw Sales'!N1391))</x:f>
        <x:v>Liam Parker</x:v>
      </x:c>
      <x:c r="AC1391" s="85" t="n">
        <x:f>'Raw Sales'!O1391</x:f>
        <x:v>45758</x:v>
      </x:c>
      <x:c r="AD1391" s="84" t="n">
        <x:f>AC1391-B1391</x:f>
        <x:v>4</x:v>
      </x:c>
      <x:c r="AE1391" s="84" t="str">
        <x:f>IF(COUNTIF($A$5:A1391,A1391)&gt;1,"Duplicate","Keep")</x:f>
        <x:v>Keep</x:v>
      </x:c>
      <x:c r="AF1391" s="84" t="str">
        <x:f>IF(OR(R1391&lt;=0,AC1391&lt;B1391,H1391="Unknown",M1391="Unknown Product"),"Review","Valid")</x:f>
        <x:v>Valid</x:v>
      </x:c>
      <x:c r="AG1391" s="84" t="n">
        <x:f>IF(AND(AE1391="Keep",AF1391="Valid"),1,0)</x:f>
        <x:v>1</x:v>
      </x:c>
      <x:c r="AH1391" s="84" t="n">
        <x:f>IF(AND(AG1391=1,OR('Dashboard'!$B$4="All",I1391='Dashboard'!$B$4),OR('Dashboard'!$E$4="All",N1391='Dashboard'!$E$4),OR('Dashboard'!$H$4="All",K1391='Dashboard'!$H$4),OR('Dashboard'!$K$4="All",C1391='Dashboard'!$K$4)),1,0)</x:f>
        <x:v>1</x:v>
      </x:c>
      <x:c r="AI1391" s="84" t="n">
        <x:f>IF(AND(AG1391=1,OR('Dashboard'!$B$4="All",I1391='Dashboard'!$B$4),OR('Dashboard'!$E$4="All",N1391='Dashboard'!$E$4),OR('Dashboard'!$H$4="All",K1391='Dashboard'!$H$4)),1,0)</x:f>
        <x:v>1</x:v>
      </x:c>
    </x:row>
    <x:row r="1392">
      <x:c r="A1392" s="84" t="str">
        <x:f>'Raw Sales'!A1392</x:f>
        <x:v>ORD-2025-00239</x:v>
      </x:c>
      <x:c r="B1392" s="85" t="n">
        <x:f>'Raw Sales'!B1392</x:f>
        <x:v>45755</x:v>
      </x:c>
      <x:c r="C1392" s="84" t="n">
        <x:f>YEAR(B1392)</x:f>
        <x:v>2025</x:v>
      </x:c>
      <x:c r="D1392" s="91" t="n">
        <x:f>DATE(YEAR(B1392),MONTH(B1392),1)</x:f>
        <x:v>45748</x:v>
      </x:c>
      <x:c r="E1392" s="84" t="str">
        <x:f>TEXT(B1392,"mmm")</x:f>
        <x:v>Apr</x:v>
      </x:c>
      <x:c r="F1392" s="84" t="str">
        <x:f>'Raw Sales'!C1392</x:f>
        <x:v>CUST-0517</x:v>
      </x:c>
      <x:c r="G1392" s="84" t="str">
        <x:f>PROPER(TRIM('Raw Sales'!D1392))</x:f>
        <x:v>Layla Irwin</x:v>
      </x:c>
      <x:c r="H1392" s="84" t="str">
        <x:f>IF(TRIM('Raw Sales'!E1392)="","Unknown",PROPER(TRIM('Raw Sales'!E1392)))</x:f>
        <x:v>Corporate</x:v>
      </x:c>
      <x:c r="I1392" s="84" t="str">
        <x:f>PROPER(TRIM('Raw Sales'!F1392))</x:f>
        <x:v>Northeast</x:v>
      </x:c>
      <x:c r="J1392" s="84" t="str">
        <x:f>PROPER(TRIM('Raw Sales'!G1392))</x:f>
        <x:v>Newark</x:v>
      </x:c>
      <x:c r="K1392" s="84" t="str">
        <x:f>PROPER(TRIM('Raw Sales'!H1392))</x:f>
        <x:v>Marketplace</x:v>
      </x:c>
      <x:c r="L1392" s="84" t="str">
        <x:f>'Raw Sales'!I1392</x:f>
        <x:v>OFFC-006</x:v>
      </x:c>
      <x:c r="M1392" s="84" t="str">
        <x:f>IFERROR(VLOOKUP(L1392,'Reference Data'!$A$5:$F$40,2,FALSE),"Unknown Product")</x:f>
        <x:v>Monitor Stand</x:v>
      </x:c>
      <x:c r="N1392" s="84" t="str">
        <x:f>IFERROR(VLOOKUP(L1392,'Reference Data'!$A$5:$F$40,3,FALSE),"Unknown")</x:f>
        <x:v>Office</x:v>
      </x:c>
      <x:c r="O1392" s="84" t="str">
        <x:f>IFERROR(VLOOKUP(L1392,'Reference Data'!$A$5:$F$40,4,FALSE),"Unknown")</x:f>
        <x:v>Desk Accessories</x:v>
      </x:c>
      <x:c r="P1392" s="92" t="n">
        <x:f>IFERROR(VLOOKUP(L1392,'Reference Data'!$A$5:$F$40,5,FALSE),0)</x:f>
        <x:v>49</x:v>
      </x:c>
      <x:c r="Q1392" s="92" t="n">
        <x:f>IFERROR(VLOOKUP(L1392,'Reference Data'!$A$5:$F$40,6,FALSE),0)</x:f>
        <x:v>21</x:v>
      </x:c>
      <x:c r="R1392" s="84" t="n">
        <x:f>'Raw Sales'!J1392</x:f>
        <x:v>4</x:v>
      </x:c>
      <x:c r="S1392" s="87" t="n">
        <x:f>'Raw Sales'!K1392</x:f>
        <x:v>0</x:v>
      </x:c>
      <x:c r="T1392" s="93" t="n">
        <x:f>P1392*R1392</x:f>
        <x:v>196</x:v>
      </x:c>
      <x:c r="U1392" s="93" t="n">
        <x:f>T1392*S1392</x:f>
        <x:v>0</x:v>
      </x:c>
      <x:c r="V1392" s="93" t="str">
        <x:f>PROPER(TRIM('Raw Sales'!L1392))</x:f>
        <x:v>Completed</x:v>
      </x:c>
      <x:c r="W1392" s="93" t="n">
        <x:f>IF(V1392="Returned",0,T1392-U1392)</x:f>
        <x:v>196</x:v>
      </x:c>
      <x:c r="X1392" s="93" t="n">
        <x:f>IF(V1392="Returned",Q1392*R1392*10%,Q1392*R1392)</x:f>
        <x:v>84</x:v>
      </x:c>
      <x:c r="Y1392" s="93" t="n">
        <x:f>W1392-X1392</x:f>
        <x:v>112</x:v>
      </x:c>
      <x:c r="Z1392" s="94" t="n">
        <x:f>IFERROR(Y1392/W1392,0)</x:f>
        <x:v>0.5714285714285714</x:v>
      </x:c>
      <x:c r="AA1392" s="84" t="str">
        <x:f>PROPER(TRIM('Raw Sales'!M1392))</x:f>
        <x:v>Paypal</x:v>
      </x:c>
      <x:c r="AB1392" s="84" t="str">
        <x:f>PROPER(TRIM('Raw Sales'!N1392))</x:f>
        <x:v>Maya Brooks</x:v>
      </x:c>
      <x:c r="AC1392" s="85" t="n">
        <x:f>'Raw Sales'!O1392</x:f>
        <x:v>45762</x:v>
      </x:c>
      <x:c r="AD1392" s="84" t="n">
        <x:f>AC1392-B1392</x:f>
        <x:v>7</x:v>
      </x:c>
      <x:c r="AE1392" s="84" t="str">
        <x:f>IF(COUNTIF($A$5:A1392,A1392)&gt;1,"Duplicate","Keep")</x:f>
        <x:v>Keep</x:v>
      </x:c>
      <x:c r="AF1392" s="84" t="str">
        <x:f>IF(OR(R1392&lt;=0,AC1392&lt;B1392,H1392="Unknown",M1392="Unknown Product"),"Review","Valid")</x:f>
        <x:v>Valid</x:v>
      </x:c>
      <x:c r="AG1392" s="84" t="n">
        <x:f>IF(AND(AE1392="Keep",AF1392="Valid"),1,0)</x:f>
        <x:v>1</x:v>
      </x:c>
      <x:c r="AH1392" s="84" t="n">
        <x:f>IF(AND(AG1392=1,OR('Dashboard'!$B$4="All",I1392='Dashboard'!$B$4),OR('Dashboard'!$E$4="All",N1392='Dashboard'!$E$4),OR('Dashboard'!$H$4="All",K1392='Dashboard'!$H$4),OR('Dashboard'!$K$4="All",C1392='Dashboard'!$K$4)),1,0)</x:f>
        <x:v>1</x:v>
      </x:c>
      <x:c r="AI1392" s="84" t="n">
        <x:f>IF(AND(AG1392=1,OR('Dashboard'!$B$4="All",I1392='Dashboard'!$B$4),OR('Dashboard'!$E$4="All",N1392='Dashboard'!$E$4),OR('Dashboard'!$H$4="All",K1392='Dashboard'!$H$4)),1,0)</x:f>
        <x:v>1</x:v>
      </x:c>
    </x:row>
    <x:row r="1393">
      <x:c r="A1393" s="84" t="str">
        <x:f>'Raw Sales'!A1393</x:f>
        <x:v>ORD-2025-00881</x:v>
      </x:c>
      <x:c r="B1393" s="85" t="n">
        <x:f>'Raw Sales'!B1393</x:f>
        <x:v>45755</x:v>
      </x:c>
      <x:c r="C1393" s="84" t="n">
        <x:f>YEAR(B1393)</x:f>
        <x:v>2025</x:v>
      </x:c>
      <x:c r="D1393" s="91" t="n">
        <x:f>DATE(YEAR(B1393),MONTH(B1393),1)</x:f>
        <x:v>45748</x:v>
      </x:c>
      <x:c r="E1393" s="84" t="str">
        <x:f>TEXT(B1393,"mmm")</x:f>
        <x:v>Apr</x:v>
      </x:c>
      <x:c r="F1393" s="84" t="str">
        <x:f>'Raw Sales'!C1393</x:f>
        <x:v>CUST-0027</x:v>
      </x:c>
      <x:c r="G1393" s="84" t="str">
        <x:f>PROPER(TRIM('Raw Sales'!D1393))</x:f>
        <x:v>Samuel Hall</x:v>
      </x:c>
      <x:c r="H1393" s="84" t="str">
        <x:f>IF(TRIM('Raw Sales'!E1393)="","Unknown",PROPER(TRIM('Raw Sales'!E1393)))</x:f>
        <x:v>Consumer</x:v>
      </x:c>
      <x:c r="I1393" s="84" t="str">
        <x:f>PROPER(TRIM('Raw Sales'!F1393))</x:f>
        <x:v>Northeast</x:v>
      </x:c>
      <x:c r="J1393" s="84" t="str">
        <x:f>PROPER(TRIM('Raw Sales'!G1393))</x:f>
        <x:v>Philadelphia</x:v>
      </x:c>
      <x:c r="K1393" s="84" t="str">
        <x:f>PROPER(TRIM('Raw Sales'!H1393))</x:f>
        <x:v>Online</x:v>
      </x:c>
      <x:c r="L1393" s="84" t="str">
        <x:f>'Raw Sales'!I1393</x:f>
        <x:v>OFFC-004</x:v>
      </x:c>
      <x:c r="M1393" s="84" t="str">
        <x:f>IFERROR(VLOOKUP(L1393,'Reference Data'!$A$5:$F$40,2,FALSE),"Unknown Product")</x:f>
        <x:v>Premium Notebook Pack</x:v>
      </x:c>
      <x:c r="N1393" s="84" t="str">
        <x:f>IFERROR(VLOOKUP(L1393,'Reference Data'!$A$5:$F$40,3,FALSE),"Unknown")</x:f>
        <x:v>Office</x:v>
      </x:c>
      <x:c r="O1393" s="84" t="str">
        <x:f>IFERROR(VLOOKUP(L1393,'Reference Data'!$A$5:$F$40,4,FALSE),"Unknown")</x:f>
        <x:v>Stationery</x:v>
      </x:c>
      <x:c r="P1393" s="92" t="n">
        <x:f>IFERROR(VLOOKUP(L1393,'Reference Data'!$A$5:$F$40,5,FALSE),0)</x:f>
        <x:v>18</x:v>
      </x:c>
      <x:c r="Q1393" s="92" t="n">
        <x:f>IFERROR(VLOOKUP(L1393,'Reference Data'!$A$5:$F$40,6,FALSE),0)</x:f>
        <x:v>6.5</x:v>
      </x:c>
      <x:c r="R1393" s="84" t="n">
        <x:f>'Raw Sales'!J1393</x:f>
        <x:v>2</x:v>
      </x:c>
      <x:c r="S1393" s="87" t="n">
        <x:f>'Raw Sales'!K1393</x:f>
        <x:v>0.05</x:v>
      </x:c>
      <x:c r="T1393" s="93" t="n">
        <x:f>P1393*R1393</x:f>
        <x:v>36</x:v>
      </x:c>
      <x:c r="U1393" s="93" t="n">
        <x:f>T1393*S1393</x:f>
        <x:v>1.8</x:v>
      </x:c>
      <x:c r="V1393" s="93" t="str">
        <x:f>PROPER(TRIM('Raw Sales'!L1393))</x:f>
        <x:v>Completed</x:v>
      </x:c>
      <x:c r="W1393" s="93" t="n">
        <x:f>IF(V1393="Returned",0,T1393-U1393)</x:f>
        <x:v>34.2</x:v>
      </x:c>
      <x:c r="X1393" s="93" t="n">
        <x:f>IF(V1393="Returned",Q1393*R1393*10%,Q1393*R1393)</x:f>
        <x:v>13</x:v>
      </x:c>
      <x:c r="Y1393" s="93" t="n">
        <x:f>W1393-X1393</x:f>
        <x:v>21.200000000000003</x:v>
      </x:c>
      <x:c r="Z1393" s="94" t="n">
        <x:f>IFERROR(Y1393/W1393,0)</x:f>
        <x:v>0.6198830409356726</x:v>
      </x:c>
      <x:c r="AA1393" s="84" t="str">
        <x:f>PROPER(TRIM('Raw Sales'!M1393))</x:f>
        <x:v>Mobile Wallet</x:v>
      </x:c>
      <x:c r="AB1393" s="84" t="str">
        <x:f>PROPER(TRIM('Raw Sales'!N1393))</x:f>
        <x:v>Ethan Cole</x:v>
      </x:c>
      <x:c r="AC1393" s="85" t="n">
        <x:f>'Raw Sales'!O1393</x:f>
        <x:v>45758</x:v>
      </x:c>
      <x:c r="AD1393" s="84" t="n">
        <x:f>AC1393-B1393</x:f>
        <x:v>3</x:v>
      </x:c>
      <x:c r="AE1393" s="84" t="str">
        <x:f>IF(COUNTIF($A$5:A1393,A1393)&gt;1,"Duplicate","Keep")</x:f>
        <x:v>Keep</x:v>
      </x:c>
      <x:c r="AF1393" s="84" t="str">
        <x:f>IF(OR(R1393&lt;=0,AC1393&lt;B1393,H1393="Unknown",M1393="Unknown Product"),"Review","Valid")</x:f>
        <x:v>Valid</x:v>
      </x:c>
      <x:c r="AG1393" s="84" t="n">
        <x:f>IF(AND(AE1393="Keep",AF1393="Valid"),1,0)</x:f>
        <x:v>1</x:v>
      </x:c>
      <x:c r="AH1393" s="84" t="n">
        <x:f>IF(AND(AG1393=1,OR('Dashboard'!$B$4="All",I1393='Dashboard'!$B$4),OR('Dashboard'!$E$4="All",N1393='Dashboard'!$E$4),OR('Dashboard'!$H$4="All",K1393='Dashboard'!$H$4),OR('Dashboard'!$K$4="All",C1393='Dashboard'!$K$4)),1,0)</x:f>
        <x:v>1</x:v>
      </x:c>
      <x:c r="AI1393" s="84" t="n">
        <x:f>IF(AND(AG1393=1,OR('Dashboard'!$B$4="All",I1393='Dashboard'!$B$4),OR('Dashboard'!$E$4="All",N1393='Dashboard'!$E$4),OR('Dashboard'!$H$4="All",K1393='Dashboard'!$H$4)),1,0)</x:f>
        <x:v>1</x:v>
      </x:c>
    </x:row>
    <x:row r="1394">
      <x:c r="A1394" s="84" t="str">
        <x:f>'Raw Sales'!A1394</x:f>
        <x:v>ORD-2025-00292</x:v>
      </x:c>
      <x:c r="B1394" s="85" t="n">
        <x:f>'Raw Sales'!B1394</x:f>
        <x:v>45756</x:v>
      </x:c>
      <x:c r="C1394" s="84" t="n">
        <x:f>YEAR(B1394)</x:f>
        <x:v>2025</x:v>
      </x:c>
      <x:c r="D1394" s="91" t="n">
        <x:f>DATE(YEAR(B1394),MONTH(B1394),1)</x:f>
        <x:v>45748</x:v>
      </x:c>
      <x:c r="E1394" s="84" t="str">
        <x:f>TEXT(B1394,"mmm")</x:f>
        <x:v>Apr</x:v>
      </x:c>
      <x:c r="F1394" s="84" t="str">
        <x:f>'Raw Sales'!C1394</x:f>
        <x:v>CUST-0458</x:v>
      </x:c>
      <x:c r="G1394" s="84" t="str">
        <x:f>PROPER(TRIM('Raw Sales'!D1394))</x:f>
        <x:v>Samuel Carter</x:v>
      </x:c>
      <x:c r="H1394" s="84" t="str">
        <x:f>IF(TRIM('Raw Sales'!E1394)="","Unknown",PROPER(TRIM('Raw Sales'!E1394)))</x:f>
        <x:v>Consumer</x:v>
      </x:c>
      <x:c r="I1394" s="84" t="str">
        <x:f>PROPER(TRIM('Raw Sales'!F1394))</x:f>
        <x:v>Southeast</x:v>
      </x:c>
      <x:c r="J1394" s="84" t="str">
        <x:f>PROPER(TRIM('Raw Sales'!G1394))</x:f>
        <x:v>Atlanta</x:v>
      </x:c>
      <x:c r="K1394" s="84" t="str">
        <x:f>PROPER(TRIM('Raw Sales'!H1394))</x:f>
        <x:v>Marketplace</x:v>
      </x:c>
      <x:c r="L1394" s="84" t="str">
        <x:f>'Raw Sales'!I1394</x:f>
        <x:v>OFFC-004</x:v>
      </x:c>
      <x:c r="M1394" s="84" t="str">
        <x:f>IFERROR(VLOOKUP(L1394,'Reference Data'!$A$5:$F$40,2,FALSE),"Unknown Product")</x:f>
        <x:v>Premium Notebook Pack</x:v>
      </x:c>
      <x:c r="N1394" s="84" t="str">
        <x:f>IFERROR(VLOOKUP(L1394,'Reference Data'!$A$5:$F$40,3,FALSE),"Unknown")</x:f>
        <x:v>Office</x:v>
      </x:c>
      <x:c r="O1394" s="84" t="str">
        <x:f>IFERROR(VLOOKUP(L1394,'Reference Data'!$A$5:$F$40,4,FALSE),"Unknown")</x:f>
        <x:v>Stationery</x:v>
      </x:c>
      <x:c r="P1394" s="92" t="n">
        <x:f>IFERROR(VLOOKUP(L1394,'Reference Data'!$A$5:$F$40,5,FALSE),0)</x:f>
        <x:v>18</x:v>
      </x:c>
      <x:c r="Q1394" s="92" t="n">
        <x:f>IFERROR(VLOOKUP(L1394,'Reference Data'!$A$5:$F$40,6,FALSE),0)</x:f>
        <x:v>6.5</x:v>
      </x:c>
      <x:c r="R1394" s="84" t="n">
        <x:f>'Raw Sales'!J1394</x:f>
        <x:v>1</x:v>
      </x:c>
      <x:c r="S1394" s="87" t="n">
        <x:f>'Raw Sales'!K1394</x:f>
        <x:v>0.15</x:v>
      </x:c>
      <x:c r="T1394" s="93" t="n">
        <x:f>P1394*R1394</x:f>
        <x:v>18</x:v>
      </x:c>
      <x:c r="U1394" s="93" t="n">
        <x:f>T1394*S1394</x:f>
        <x:v>2.6999999999999997</x:v>
      </x:c>
      <x:c r="V1394" s="93" t="str">
        <x:f>PROPER(TRIM('Raw Sales'!L1394))</x:f>
        <x:v>Completed</x:v>
      </x:c>
      <x:c r="W1394" s="93" t="n">
        <x:f>IF(V1394="Returned",0,T1394-U1394)</x:f>
        <x:v>15.3</x:v>
      </x:c>
      <x:c r="X1394" s="93" t="n">
        <x:f>IF(V1394="Returned",Q1394*R1394*10%,Q1394*R1394)</x:f>
        <x:v>6.5</x:v>
      </x:c>
      <x:c r="Y1394" s="93" t="n">
        <x:f>W1394-X1394</x:f>
        <x:v>8.8</x:v>
      </x:c>
      <x:c r="Z1394" s="94" t="n">
        <x:f>IFERROR(Y1394/W1394,0)</x:f>
        <x:v>0.5751633986928105</x:v>
      </x:c>
      <x:c r="AA1394" s="84" t="str">
        <x:f>PROPER(TRIM('Raw Sales'!M1394))</x:f>
        <x:v>Credit Card</x:v>
      </x:c>
      <x:c r="AB1394" s="84" t="str">
        <x:f>PROPER(TRIM('Raw Sales'!N1394))</x:f>
        <x:v>Noah Reed</x:v>
      </x:c>
      <x:c r="AC1394" s="85" t="n">
        <x:f>'Raw Sales'!O1394</x:f>
        <x:v>45761</x:v>
      </x:c>
      <x:c r="AD1394" s="84" t="n">
        <x:f>AC1394-B1394</x:f>
        <x:v>5</x:v>
      </x:c>
      <x:c r="AE1394" s="84" t="str">
        <x:f>IF(COUNTIF($A$5:A1394,A1394)&gt;1,"Duplicate","Keep")</x:f>
        <x:v>Keep</x:v>
      </x:c>
      <x:c r="AF1394" s="84" t="str">
        <x:f>IF(OR(R1394&lt;=0,AC1394&lt;B1394,H1394="Unknown",M1394="Unknown Product"),"Review","Valid")</x:f>
        <x:v>Valid</x:v>
      </x:c>
      <x:c r="AG1394" s="84" t="n">
        <x:f>IF(AND(AE1394="Keep",AF1394="Valid"),1,0)</x:f>
        <x:v>1</x:v>
      </x:c>
      <x:c r="AH1394" s="84" t="n">
        <x:f>IF(AND(AG1394=1,OR('Dashboard'!$B$4="All",I1394='Dashboard'!$B$4),OR('Dashboard'!$E$4="All",N1394='Dashboard'!$E$4),OR('Dashboard'!$H$4="All",K1394='Dashboard'!$H$4),OR('Dashboard'!$K$4="All",C1394='Dashboard'!$K$4)),1,0)</x:f>
        <x:v>1</x:v>
      </x:c>
      <x:c r="AI1394" s="84" t="n">
        <x:f>IF(AND(AG1394=1,OR('Dashboard'!$B$4="All",I1394='Dashboard'!$B$4),OR('Dashboard'!$E$4="All",N1394='Dashboard'!$E$4),OR('Dashboard'!$H$4="All",K1394='Dashboard'!$H$4)),1,0)</x:f>
        <x:v>1</x:v>
      </x:c>
    </x:row>
    <x:row r="1395">
      <x:c r="A1395" s="84" t="str">
        <x:f>'Raw Sales'!A1395</x:f>
        <x:v>ORD-2025-01709</x:v>
      </x:c>
      <x:c r="B1395" s="85" t="n">
        <x:f>'Raw Sales'!B1395</x:f>
        <x:v>45756</x:v>
      </x:c>
      <x:c r="C1395" s="84" t="n">
        <x:f>YEAR(B1395)</x:f>
        <x:v>2025</x:v>
      </x:c>
      <x:c r="D1395" s="91" t="n">
        <x:f>DATE(YEAR(B1395),MONTH(B1395),1)</x:f>
        <x:v>45748</x:v>
      </x:c>
      <x:c r="E1395" s="84" t="str">
        <x:f>TEXT(B1395,"mmm")</x:f>
        <x:v>Apr</x:v>
      </x:c>
      <x:c r="F1395" s="84" t="str">
        <x:f>'Raw Sales'!C1395</x:f>
        <x:v>CUST-0244</x:v>
      </x:c>
      <x:c r="G1395" s="84" t="str">
        <x:f>PROPER(TRIM('Raw Sales'!D1395))</x:f>
        <x:v>Caleb Nelson</x:v>
      </x:c>
      <x:c r="H1395" s="84" t="str">
        <x:f>IF(TRIM('Raw Sales'!E1395)="","Unknown",PROPER(TRIM('Raw Sales'!E1395)))</x:f>
        <x:v>Small Business</x:v>
      </x:c>
      <x:c r="I1395" s="84" t="str">
        <x:f>PROPER(TRIM('Raw Sales'!F1395))</x:f>
        <x:v>Midwest</x:v>
      </x:c>
      <x:c r="J1395" s="84" t="str">
        <x:f>PROPER(TRIM('Raw Sales'!G1395))</x:f>
        <x:v>Detroit</x:v>
      </x:c>
      <x:c r="K1395" s="84" t="str">
        <x:f>PROPER(TRIM('Raw Sales'!H1395))</x:f>
        <x:v>Online</x:v>
      </x:c>
      <x:c r="L1395" s="84" t="str">
        <x:f>'Raw Sales'!I1395</x:f>
        <x:v>ELEC-006</x:v>
      </x:c>
      <x:c r="M1395" s="84" t="str">
        <x:f>IFERROR(VLOOKUP(L1395,'Reference Data'!$A$5:$F$40,2,FALSE),"Unknown Product")</x:f>
        <x:v>Portable SSD</x:v>
      </x:c>
      <x:c r="N1395" s="84" t="str">
        <x:f>IFERROR(VLOOKUP(L1395,'Reference Data'!$A$5:$F$40,3,FALSE),"Unknown")</x:f>
        <x:v>Electronics</x:v>
      </x:c>
      <x:c r="O1395" s="84" t="str">
        <x:f>IFERROR(VLOOKUP(L1395,'Reference Data'!$A$5:$F$40,4,FALSE),"Unknown")</x:f>
        <x:v>Storage</x:v>
      </x:c>
      <x:c r="P1395" s="92" t="n">
        <x:f>IFERROR(VLOOKUP(L1395,'Reference Data'!$A$5:$F$40,5,FALSE),0)</x:f>
        <x:v>129</x:v>
      </x:c>
      <x:c r="Q1395" s="92" t="n">
        <x:f>IFERROR(VLOOKUP(L1395,'Reference Data'!$A$5:$F$40,6,FALSE),0)</x:f>
        <x:v>75</x:v>
      </x:c>
      <x:c r="R1395" s="84" t="n">
        <x:f>'Raw Sales'!J1395</x:f>
        <x:v>1</x:v>
      </x:c>
      <x:c r="S1395" s="87" t="n">
        <x:f>'Raw Sales'!K1395</x:f>
        <x:v>0.05</x:v>
      </x:c>
      <x:c r="T1395" s="93" t="n">
        <x:f>P1395*R1395</x:f>
        <x:v>129</x:v>
      </x:c>
      <x:c r="U1395" s="93" t="n">
        <x:f>T1395*S1395</x:f>
        <x:v>6.45</x:v>
      </x:c>
      <x:c r="V1395" s="93" t="str">
        <x:f>PROPER(TRIM('Raw Sales'!L1395))</x:f>
        <x:v>Completed</x:v>
      </x:c>
      <x:c r="W1395" s="93" t="n">
        <x:f>IF(V1395="Returned",0,T1395-U1395)</x:f>
        <x:v>122.55</x:v>
      </x:c>
      <x:c r="X1395" s="93" t="n">
        <x:f>IF(V1395="Returned",Q1395*R1395*10%,Q1395*R1395)</x:f>
        <x:v>75</x:v>
      </x:c>
      <x:c r="Y1395" s="93" t="n">
        <x:f>W1395-X1395</x:f>
        <x:v>47.55</x:v>
      </x:c>
      <x:c r="Z1395" s="94" t="n">
        <x:f>IFERROR(Y1395/W1395,0)</x:f>
        <x:v>0.3880048959608323</x:v>
      </x:c>
      <x:c r="AA1395" s="84" t="str">
        <x:f>PROPER(TRIM('Raw Sales'!M1395))</x:f>
        <x:v>Debit Card</x:v>
      </x:c>
      <x:c r="AB1395" s="84" t="str">
        <x:f>PROPER(TRIM('Raw Sales'!N1395))</x:f>
        <x:v>Lucas Grant</x:v>
      </x:c>
      <x:c r="AC1395" s="85" t="n">
        <x:f>'Raw Sales'!O1395</x:f>
        <x:v>45760</x:v>
      </x:c>
      <x:c r="AD1395" s="84" t="n">
        <x:f>AC1395-B1395</x:f>
        <x:v>4</x:v>
      </x:c>
      <x:c r="AE1395" s="84" t="str">
        <x:f>IF(COUNTIF($A$5:A1395,A1395)&gt;1,"Duplicate","Keep")</x:f>
        <x:v>Keep</x:v>
      </x:c>
      <x:c r="AF1395" s="84" t="str">
        <x:f>IF(OR(R1395&lt;=0,AC1395&lt;B1395,H1395="Unknown",M1395="Unknown Product"),"Review","Valid")</x:f>
        <x:v>Valid</x:v>
      </x:c>
      <x:c r="AG1395" s="84" t="n">
        <x:f>IF(AND(AE1395="Keep",AF1395="Valid"),1,0)</x:f>
        <x:v>1</x:v>
      </x:c>
      <x:c r="AH1395" s="84" t="n">
        <x:f>IF(AND(AG1395=1,OR('Dashboard'!$B$4="All",I1395='Dashboard'!$B$4),OR('Dashboard'!$E$4="All",N1395='Dashboard'!$E$4),OR('Dashboard'!$H$4="All",K1395='Dashboard'!$H$4),OR('Dashboard'!$K$4="All",C1395='Dashboard'!$K$4)),1,0)</x:f>
        <x:v>1</x:v>
      </x:c>
      <x:c r="AI1395" s="84" t="n">
        <x:f>IF(AND(AG1395=1,OR('Dashboard'!$B$4="All",I1395='Dashboard'!$B$4),OR('Dashboard'!$E$4="All",N1395='Dashboard'!$E$4),OR('Dashboard'!$H$4="All",K1395='Dashboard'!$H$4)),1,0)</x:f>
        <x:v>1</x:v>
      </x:c>
    </x:row>
    <x:row r="1396">
      <x:c r="A1396" s="84" t="str">
        <x:f>'Raw Sales'!A1396</x:f>
        <x:v>ORD-2025-02371</x:v>
      </x:c>
      <x:c r="B1396" s="85" t="n">
        <x:f>'Raw Sales'!B1396</x:f>
        <x:v>45756</x:v>
      </x:c>
      <x:c r="C1396" s="84" t="n">
        <x:f>YEAR(B1396)</x:f>
        <x:v>2025</x:v>
      </x:c>
      <x:c r="D1396" s="91" t="n">
        <x:f>DATE(YEAR(B1396),MONTH(B1396),1)</x:f>
        <x:v>45748</x:v>
      </x:c>
      <x:c r="E1396" s="84" t="str">
        <x:f>TEXT(B1396,"mmm")</x:f>
        <x:v>Apr</x:v>
      </x:c>
      <x:c r="F1396" s="84" t="str">
        <x:f>'Raw Sales'!C1396</x:f>
        <x:v>CUST-0072</x:v>
      </x:c>
      <x:c r="G1396" s="84" t="str">
        <x:f>PROPER(TRIM('Raw Sales'!D1396))</x:f>
        <x:v>Nina Roberts</x:v>
      </x:c>
      <x:c r="H1396" s="84" t="str">
        <x:f>IF(TRIM('Raw Sales'!E1396)="","Unknown",PROPER(TRIM('Raw Sales'!E1396)))</x:f>
        <x:v>Corporate</x:v>
      </x:c>
      <x:c r="I1396" s="84" t="str">
        <x:f>PROPER(TRIM('Raw Sales'!F1396))</x:f>
        <x:v>Northeast</x:v>
      </x:c>
      <x:c r="J1396" s="84" t="str">
        <x:f>PROPER(TRIM('Raw Sales'!G1396))</x:f>
        <x:v>New York</x:v>
      </x:c>
      <x:c r="K1396" s="84" t="str">
        <x:f>PROPER(TRIM('Raw Sales'!H1396))</x:f>
        <x:v>Retail Store</x:v>
      </x:c>
      <x:c r="L1396" s="84" t="str">
        <x:f>'Raw Sales'!I1396</x:f>
        <x:v>ACCS-006</x:v>
      </x:c>
      <x:c r="M1396" s="84" t="str">
        <x:f>IFERROR(VLOOKUP(L1396,'Reference Data'!$A$5:$F$40,2,FALSE),"Unknown Product")</x:f>
        <x:v>Insulated Lunch Bag</x:v>
      </x:c>
      <x:c r="N1396" s="84" t="str">
        <x:f>IFERROR(VLOOKUP(L1396,'Reference Data'!$A$5:$F$40,3,FALSE),"Unknown")</x:f>
        <x:v>Accessories</x:v>
      </x:c>
      <x:c r="O1396" s="84" t="str">
        <x:f>IFERROR(VLOOKUP(L1396,'Reference Data'!$A$5:$F$40,4,FALSE),"Unknown")</x:f>
        <x:v>Bags</x:v>
      </x:c>
      <x:c r="P1396" s="92" t="n">
        <x:f>IFERROR(VLOOKUP(L1396,'Reference Data'!$A$5:$F$40,5,FALSE),0)</x:f>
        <x:v>29</x:v>
      </x:c>
      <x:c r="Q1396" s="92" t="n">
        <x:f>IFERROR(VLOOKUP(L1396,'Reference Data'!$A$5:$F$40,6,FALSE),0)</x:f>
        <x:v>10</x:v>
      </x:c>
      <x:c r="R1396" s="84" t="n">
        <x:f>'Raw Sales'!J1396</x:f>
        <x:v>1</x:v>
      </x:c>
      <x:c r="S1396" s="87" t="n">
        <x:f>'Raw Sales'!K1396</x:f>
        <x:v>0.15</x:v>
      </x:c>
      <x:c r="T1396" s="93" t="n">
        <x:f>P1396*R1396</x:f>
        <x:v>29</x:v>
      </x:c>
      <x:c r="U1396" s="93" t="n">
        <x:f>T1396*S1396</x:f>
        <x:v>4.35</x:v>
      </x:c>
      <x:c r="V1396" s="93" t="str">
        <x:f>PROPER(TRIM('Raw Sales'!L1396))</x:f>
        <x:v>Completed</x:v>
      </x:c>
      <x:c r="W1396" s="93" t="n">
        <x:f>IF(V1396="Returned",0,T1396-U1396)</x:f>
        <x:v>24.65</x:v>
      </x:c>
      <x:c r="X1396" s="93" t="n">
        <x:f>IF(V1396="Returned",Q1396*R1396*10%,Q1396*R1396)</x:f>
        <x:v>10</x:v>
      </x:c>
      <x:c r="Y1396" s="93" t="n">
        <x:f>W1396-X1396</x:f>
        <x:v>14.649999999999999</x:v>
      </x:c>
      <x:c r="Z1396" s="94" t="n">
        <x:f>IFERROR(Y1396/W1396,0)</x:f>
        <x:v>0.5943204868154158</x:v>
      </x:c>
      <x:c r="AA1396" s="84" t="str">
        <x:f>PROPER(TRIM('Raw Sales'!M1396))</x:f>
        <x:v>Mobile Wallet</x:v>
      </x:c>
      <x:c r="AB1396" s="84" t="str">
        <x:f>PROPER(TRIM('Raw Sales'!N1396))</x:f>
        <x:v>Maya Brooks</x:v>
      </x:c>
      <x:c r="AC1396" s="85" t="n">
        <x:f>'Raw Sales'!O1396</x:f>
        <x:v>45756</x:v>
      </x:c>
      <x:c r="AD1396" s="84" t="n">
        <x:f>AC1396-B1396</x:f>
        <x:v>0</x:v>
      </x:c>
      <x:c r="AE1396" s="84" t="str">
        <x:f>IF(COUNTIF($A$5:A1396,A1396)&gt;1,"Duplicate","Keep")</x:f>
        <x:v>Keep</x:v>
      </x:c>
      <x:c r="AF1396" s="84" t="str">
        <x:f>IF(OR(R1396&lt;=0,AC1396&lt;B1396,H1396="Unknown",M1396="Unknown Product"),"Review","Valid")</x:f>
        <x:v>Valid</x:v>
      </x:c>
      <x:c r="AG1396" s="84" t="n">
        <x:f>IF(AND(AE1396="Keep",AF1396="Valid"),1,0)</x:f>
        <x:v>1</x:v>
      </x:c>
      <x:c r="AH1396" s="84" t="n">
        <x:f>IF(AND(AG1396=1,OR('Dashboard'!$B$4="All",I1396='Dashboard'!$B$4),OR('Dashboard'!$E$4="All",N1396='Dashboard'!$E$4),OR('Dashboard'!$H$4="All",K1396='Dashboard'!$H$4),OR('Dashboard'!$K$4="All",C1396='Dashboard'!$K$4)),1,0)</x:f>
        <x:v>1</x:v>
      </x:c>
      <x:c r="AI1396" s="84" t="n">
        <x:f>IF(AND(AG1396=1,OR('Dashboard'!$B$4="All",I1396='Dashboard'!$B$4),OR('Dashboard'!$E$4="All",N1396='Dashboard'!$E$4),OR('Dashboard'!$H$4="All",K1396='Dashboard'!$H$4)),1,0)</x:f>
        <x:v>1</x:v>
      </x:c>
    </x:row>
    <x:row r="1397">
      <x:c r="A1397" s="84" t="str">
        <x:f>'Raw Sales'!A1397</x:f>
        <x:v>ORD-2025-00268</x:v>
      </x:c>
      <x:c r="B1397" s="85" t="n">
        <x:f>'Raw Sales'!B1397</x:f>
        <x:v>45757</x:v>
      </x:c>
      <x:c r="C1397" s="84" t="n">
        <x:f>YEAR(B1397)</x:f>
        <x:v>2025</x:v>
      </x:c>
      <x:c r="D1397" s="91" t="n">
        <x:f>DATE(YEAR(B1397),MONTH(B1397),1)</x:f>
        <x:v>45748</x:v>
      </x:c>
      <x:c r="E1397" s="84" t="str">
        <x:f>TEXT(B1397,"mmm")</x:f>
        <x:v>Apr</x:v>
      </x:c>
      <x:c r="F1397" s="84" t="str">
        <x:f>'Raw Sales'!C1397</x:f>
        <x:v>CUST-0513</x:v>
      </x:c>
      <x:c r="G1397" s="84" t="str">
        <x:f>PROPER(TRIM('Raw Sales'!D1397))</x:f>
        <x:v>Zara Davis</x:v>
      </x:c>
      <x:c r="H1397" s="84" t="str">
        <x:f>IF(TRIM('Raw Sales'!E1397)="","Unknown",PROPER(TRIM('Raw Sales'!E1397)))</x:f>
        <x:v>Small Business</x:v>
      </x:c>
      <x:c r="I1397" s="84" t="str">
        <x:f>PROPER(TRIM('Raw Sales'!F1397))</x:f>
        <x:v>Midwest</x:v>
      </x:c>
      <x:c r="J1397" s="84" t="str">
        <x:f>PROPER(TRIM('Raw Sales'!G1397))</x:f>
        <x:v>Chicago</x:v>
      </x:c>
      <x:c r="K1397" s="84" t="str">
        <x:f>PROPER(TRIM('Raw Sales'!H1397))</x:f>
        <x:v>Retail Store</x:v>
      </x:c>
      <x:c r="L1397" s="84" t="str">
        <x:f>'Raw Sales'!I1397</x:f>
        <x:v>HOME-001</x:v>
      </x:c>
      <x:c r="M1397" s="84" t="str">
        <x:f>IFERROR(VLOOKUP(L1397,'Reference Data'!$A$5:$F$40,2,FALSE),"Unknown Product")</x:f>
        <x:v>Air Fryer</x:v>
      </x:c>
      <x:c r="N1397" s="84" t="str">
        <x:f>IFERROR(VLOOKUP(L1397,'Reference Data'!$A$5:$F$40,3,FALSE),"Unknown")</x:f>
        <x:v>Home &amp; Kitchen</x:v>
      </x:c>
      <x:c r="O1397" s="84" t="str">
        <x:f>IFERROR(VLOOKUP(L1397,'Reference Data'!$A$5:$F$40,4,FALSE),"Unknown")</x:f>
        <x:v>Small Appliances</x:v>
      </x:c>
      <x:c r="P1397" s="92" t="n">
        <x:f>IFERROR(VLOOKUP(L1397,'Reference Data'!$A$5:$F$40,5,FALSE),0)</x:f>
        <x:v>119</x:v>
      </x:c>
      <x:c r="Q1397" s="92" t="n">
        <x:f>IFERROR(VLOOKUP(L1397,'Reference Data'!$A$5:$F$40,6,FALSE),0)</x:f>
        <x:v>68</x:v>
      </x:c>
      <x:c r="R1397" s="84" t="n">
        <x:f>'Raw Sales'!J1397</x:f>
        <x:v>3</x:v>
      </x:c>
      <x:c r="S1397" s="87" t="n">
        <x:f>'Raw Sales'!K1397</x:f>
        <x:v>0.05</x:v>
      </x:c>
      <x:c r="T1397" s="93" t="n">
        <x:f>P1397*R1397</x:f>
        <x:v>357</x:v>
      </x:c>
      <x:c r="U1397" s="93" t="n">
        <x:f>T1397*S1397</x:f>
        <x:v>17.85</x:v>
      </x:c>
      <x:c r="V1397" s="93" t="str">
        <x:f>PROPER(TRIM('Raw Sales'!L1397))</x:f>
        <x:v>Completed</x:v>
      </x:c>
      <x:c r="W1397" s="93" t="n">
        <x:f>IF(V1397="Returned",0,T1397-U1397)</x:f>
        <x:v>339.15</x:v>
      </x:c>
      <x:c r="X1397" s="93" t="n">
        <x:f>IF(V1397="Returned",Q1397*R1397*10%,Q1397*R1397)</x:f>
        <x:v>204</x:v>
      </x:c>
      <x:c r="Y1397" s="93" t="n">
        <x:f>W1397-X1397</x:f>
        <x:v>135.14999999999998</x:v>
      </x:c>
      <x:c r="Z1397" s="94" t="n">
        <x:f>IFERROR(Y1397/W1397,0)</x:f>
        <x:v>0.39849624060150374</x:v>
      </x:c>
      <x:c r="AA1397" s="84" t="str">
        <x:f>PROPER(TRIM('Raw Sales'!M1397))</x:f>
        <x:v>Credit Card</x:v>
      </x:c>
      <x:c r="AB1397" s="84" t="str">
        <x:f>PROPER(TRIM('Raw Sales'!N1397))</x:f>
        <x:v>Zoe Turner</x:v>
      </x:c>
      <x:c r="AC1397" s="85" t="n">
        <x:f>'Raw Sales'!O1397</x:f>
        <x:v>45757</x:v>
      </x:c>
      <x:c r="AD1397" s="84" t="n">
        <x:f>AC1397-B1397</x:f>
        <x:v>0</x:v>
      </x:c>
      <x:c r="AE1397" s="84" t="str">
        <x:f>IF(COUNTIF($A$5:A1397,A1397)&gt;1,"Duplicate","Keep")</x:f>
        <x:v>Keep</x:v>
      </x:c>
      <x:c r="AF1397" s="84" t="str">
        <x:f>IF(OR(R1397&lt;=0,AC1397&lt;B1397,H1397="Unknown",M1397="Unknown Product"),"Review","Valid")</x:f>
        <x:v>Valid</x:v>
      </x:c>
      <x:c r="AG1397" s="84" t="n">
        <x:f>IF(AND(AE1397="Keep",AF1397="Valid"),1,0)</x:f>
        <x:v>1</x:v>
      </x:c>
      <x:c r="AH1397" s="84" t="n">
        <x:f>IF(AND(AG1397=1,OR('Dashboard'!$B$4="All",I1397='Dashboard'!$B$4),OR('Dashboard'!$E$4="All",N1397='Dashboard'!$E$4),OR('Dashboard'!$H$4="All",K1397='Dashboard'!$H$4),OR('Dashboard'!$K$4="All",C1397='Dashboard'!$K$4)),1,0)</x:f>
        <x:v>1</x:v>
      </x:c>
      <x:c r="AI1397" s="84" t="n">
        <x:f>IF(AND(AG1397=1,OR('Dashboard'!$B$4="All",I1397='Dashboard'!$B$4),OR('Dashboard'!$E$4="All",N1397='Dashboard'!$E$4),OR('Dashboard'!$H$4="All",K1397='Dashboard'!$H$4)),1,0)</x:f>
        <x:v>1</x:v>
      </x:c>
    </x:row>
    <x:row r="1398">
      <x:c r="A1398" s="84" t="str">
        <x:f>'Raw Sales'!A1398</x:f>
        <x:v>ORD-2025-00372</x:v>
      </x:c>
      <x:c r="B1398" s="85" t="n">
        <x:f>'Raw Sales'!B1398</x:f>
        <x:v>45757</x:v>
      </x:c>
      <x:c r="C1398" s="84" t="n">
        <x:f>YEAR(B1398)</x:f>
        <x:v>2025</x:v>
      </x:c>
      <x:c r="D1398" s="91" t="n">
        <x:f>DATE(YEAR(B1398),MONTH(B1398),1)</x:f>
        <x:v>45748</x:v>
      </x:c>
      <x:c r="E1398" s="84" t="str">
        <x:f>TEXT(B1398,"mmm")</x:f>
        <x:v>Apr</x:v>
      </x:c>
      <x:c r="F1398" s="84" t="str">
        <x:f>'Raw Sales'!C1398</x:f>
        <x:v>CUST-0437</x:v>
      </x:c>
      <x:c r="G1398" s="84" t="str">
        <x:f>PROPER(TRIM('Raw Sales'!D1398))</x:f>
        <x:v>Nathan Garcia</x:v>
      </x:c>
      <x:c r="H1398" s="84" t="str">
        <x:f>IF(TRIM('Raw Sales'!E1398)="","Unknown",PROPER(TRIM('Raw Sales'!E1398)))</x:f>
        <x:v>Corporate</x:v>
      </x:c>
      <x:c r="I1398" s="84" t="str">
        <x:f>PROPER(TRIM('Raw Sales'!F1398))</x:f>
        <x:v>Northeast</x:v>
      </x:c>
      <x:c r="J1398" s="84" t="str">
        <x:f>PROPER(TRIM('Raw Sales'!G1398))</x:f>
        <x:v>Philadelphia</x:v>
      </x:c>
      <x:c r="K1398" s="84" t="str">
        <x:f>PROPER(TRIM('Raw Sales'!H1398))</x:f>
        <x:v>Online</x:v>
      </x:c>
      <x:c r="L1398" s="84" t="str">
        <x:f>'Raw Sales'!I1398</x:f>
        <x:v>OFFC-002</x:v>
      </x:c>
      <x:c r="M1398" s="84" t="str">
        <x:f>IFERROR(VLOOKUP(L1398,'Reference Data'!$A$5:$F$40,2,FALSE),"Unknown Product")</x:f>
        <x:v>Standing Desk</x:v>
      </x:c>
      <x:c r="N1398" s="84" t="str">
        <x:f>IFERROR(VLOOKUP(L1398,'Reference Data'!$A$5:$F$40,3,FALSE),"Unknown")</x:f>
        <x:v>Office</x:v>
      </x:c>
      <x:c r="O1398" s="84" t="str">
        <x:f>IFERROR(VLOOKUP(L1398,'Reference Data'!$A$5:$F$40,4,FALSE),"Unknown")</x:f>
        <x:v>Furniture</x:v>
      </x:c>
      <x:c r="P1398" s="92" t="n">
        <x:f>IFERROR(VLOOKUP(L1398,'Reference Data'!$A$5:$F$40,5,FALSE),0)</x:f>
        <x:v>399</x:v>
      </x:c>
      <x:c r="Q1398" s="92" t="n">
        <x:f>IFERROR(VLOOKUP(L1398,'Reference Data'!$A$5:$F$40,6,FALSE),0)</x:f>
        <x:v>235</x:v>
      </x:c>
      <x:c r="R1398" s="84" t="n">
        <x:f>'Raw Sales'!J1398</x:f>
        <x:v>5</x:v>
      </x:c>
      <x:c r="S1398" s="87" t="n">
        <x:f>'Raw Sales'!K1398</x:f>
        <x:v>0.05</x:v>
      </x:c>
      <x:c r="T1398" s="93" t="n">
        <x:f>P1398*R1398</x:f>
        <x:v>1995</x:v>
      </x:c>
      <x:c r="U1398" s="93" t="n">
        <x:f>T1398*S1398</x:f>
        <x:v>99.75</x:v>
      </x:c>
      <x:c r="V1398" s="93" t="str">
        <x:f>PROPER(TRIM('Raw Sales'!L1398))</x:f>
        <x:v>Completed</x:v>
      </x:c>
      <x:c r="W1398" s="93" t="n">
        <x:f>IF(V1398="Returned",0,T1398-U1398)</x:f>
        <x:v>1895.25</x:v>
      </x:c>
      <x:c r="X1398" s="93" t="n">
        <x:f>IF(V1398="Returned",Q1398*R1398*10%,Q1398*R1398)</x:f>
        <x:v>1175</x:v>
      </x:c>
      <x:c r="Y1398" s="93" t="n">
        <x:f>W1398-X1398</x:f>
        <x:v>720.25</x:v>
      </x:c>
      <x:c r="Z1398" s="94" t="n">
        <x:f>IFERROR(Y1398/W1398,0)</x:f>
        <x:v>0.3800290199182166</x:v>
      </x:c>
      <x:c r="AA1398" s="84" t="str">
        <x:f>PROPER(TRIM('Raw Sales'!M1398))</x:f>
        <x:v>Debit Card</x:v>
      </x:c>
      <x:c r="AB1398" s="84" t="str">
        <x:f>PROPER(TRIM('Raw Sales'!N1398))</x:f>
        <x:v>Ethan Cole</x:v>
      </x:c>
      <x:c r="AC1398" s="85" t="n">
        <x:f>'Raw Sales'!O1398</x:f>
        <x:v>45761</x:v>
      </x:c>
      <x:c r="AD1398" s="84" t="n">
        <x:f>AC1398-B1398</x:f>
        <x:v>4</x:v>
      </x:c>
      <x:c r="AE1398" s="84" t="str">
        <x:f>IF(COUNTIF($A$5:A1398,A1398)&gt;1,"Duplicate","Keep")</x:f>
        <x:v>Keep</x:v>
      </x:c>
      <x:c r="AF1398" s="84" t="str">
        <x:f>IF(OR(R1398&lt;=0,AC1398&lt;B1398,H1398="Unknown",M1398="Unknown Product"),"Review","Valid")</x:f>
        <x:v>Valid</x:v>
      </x:c>
      <x:c r="AG1398" s="84" t="n">
        <x:f>IF(AND(AE1398="Keep",AF1398="Valid"),1,0)</x:f>
        <x:v>1</x:v>
      </x:c>
      <x:c r="AH1398" s="84" t="n">
        <x:f>IF(AND(AG1398=1,OR('Dashboard'!$B$4="All",I1398='Dashboard'!$B$4),OR('Dashboard'!$E$4="All",N1398='Dashboard'!$E$4),OR('Dashboard'!$H$4="All",K1398='Dashboard'!$H$4),OR('Dashboard'!$K$4="All",C1398='Dashboard'!$K$4)),1,0)</x:f>
        <x:v>1</x:v>
      </x:c>
      <x:c r="AI1398" s="84" t="n">
        <x:f>IF(AND(AG1398=1,OR('Dashboard'!$B$4="All",I1398='Dashboard'!$B$4),OR('Dashboard'!$E$4="All",N1398='Dashboard'!$E$4),OR('Dashboard'!$H$4="All",K1398='Dashboard'!$H$4)),1,0)</x:f>
        <x:v>1</x:v>
      </x:c>
    </x:row>
    <x:row r="1399">
      <x:c r="A1399" s="84" t="str">
        <x:f>'Raw Sales'!A1399</x:f>
        <x:v>ORD-2025-01041</x:v>
      </x:c>
      <x:c r="B1399" s="85" t="n">
        <x:f>'Raw Sales'!B1399</x:f>
        <x:v>45757</x:v>
      </x:c>
      <x:c r="C1399" s="84" t="n">
        <x:f>YEAR(B1399)</x:f>
        <x:v>2025</x:v>
      </x:c>
      <x:c r="D1399" s="91" t="n">
        <x:f>DATE(YEAR(B1399),MONTH(B1399),1)</x:f>
        <x:v>45748</x:v>
      </x:c>
      <x:c r="E1399" s="84" t="str">
        <x:f>TEXT(B1399,"mmm")</x:f>
        <x:v>Apr</x:v>
      </x:c>
      <x:c r="F1399" s="84" t="str">
        <x:f>'Raw Sales'!C1399</x:f>
        <x:v>CUST-0184</x:v>
      </x:c>
      <x:c r="G1399" s="84" t="str">
        <x:f>PROPER(TRIM('Raw Sales'!D1399))</x:f>
        <x:v>Elena Patel</x:v>
      </x:c>
      <x:c r="H1399" s="84" t="str">
        <x:f>IF(TRIM('Raw Sales'!E1399)="","Unknown",PROPER(TRIM('Raw Sales'!E1399)))</x:f>
        <x:v>Consumer</x:v>
      </x:c>
      <x:c r="I1399" s="84" t="str">
        <x:f>PROPER(TRIM('Raw Sales'!F1399))</x:f>
        <x:v>Southeast</x:v>
      </x:c>
      <x:c r="J1399" s="84" t="str">
        <x:f>PROPER(TRIM('Raw Sales'!G1399))</x:f>
        <x:v>Miami</x:v>
      </x:c>
      <x:c r="K1399" s="84" t="str">
        <x:f>PROPER(TRIM('Raw Sales'!H1399))</x:f>
        <x:v>Online</x:v>
      </x:c>
      <x:c r="L1399" s="84" t="str">
        <x:f>'Raw Sales'!I1399</x:f>
        <x:v>ELEC-006</x:v>
      </x:c>
      <x:c r="M1399" s="84" t="str">
        <x:f>IFERROR(VLOOKUP(L1399,'Reference Data'!$A$5:$F$40,2,FALSE),"Unknown Product")</x:f>
        <x:v>Portable SSD</x:v>
      </x:c>
      <x:c r="N1399" s="84" t="str">
        <x:f>IFERROR(VLOOKUP(L1399,'Reference Data'!$A$5:$F$40,3,FALSE),"Unknown")</x:f>
        <x:v>Electronics</x:v>
      </x:c>
      <x:c r="O1399" s="84" t="str">
        <x:f>IFERROR(VLOOKUP(L1399,'Reference Data'!$A$5:$F$40,4,FALSE),"Unknown")</x:f>
        <x:v>Storage</x:v>
      </x:c>
      <x:c r="P1399" s="92" t="n">
        <x:f>IFERROR(VLOOKUP(L1399,'Reference Data'!$A$5:$F$40,5,FALSE),0)</x:f>
        <x:v>129</x:v>
      </x:c>
      <x:c r="Q1399" s="92" t="n">
        <x:f>IFERROR(VLOOKUP(L1399,'Reference Data'!$A$5:$F$40,6,FALSE),0)</x:f>
        <x:v>75</x:v>
      </x:c>
      <x:c r="R1399" s="84" t="n">
        <x:f>'Raw Sales'!J1399</x:f>
        <x:v>1</x:v>
      </x:c>
      <x:c r="S1399" s="87" t="n">
        <x:f>'Raw Sales'!K1399</x:f>
        <x:v>0</x:v>
      </x:c>
      <x:c r="T1399" s="93" t="n">
        <x:f>P1399*R1399</x:f>
        <x:v>129</x:v>
      </x:c>
      <x:c r="U1399" s="93" t="n">
        <x:f>T1399*S1399</x:f>
        <x:v>0</x:v>
      </x:c>
      <x:c r="V1399" s="93" t="str">
        <x:f>PROPER(TRIM('Raw Sales'!L1399))</x:f>
        <x:v>Returned</x:v>
      </x:c>
      <x:c r="W1399" s="93" t="n">
        <x:f>IF(V1399="Returned",0,T1399-U1399)</x:f>
        <x:v>0</x:v>
      </x:c>
      <x:c r="X1399" s="93" t="n">
        <x:f>IF(V1399="Returned",Q1399*R1399*10%,Q1399*R1399)</x:f>
        <x:v>7.5</x:v>
      </x:c>
      <x:c r="Y1399" s="93" t="n">
        <x:f>W1399-X1399</x:f>
        <x:v>-7.5</x:v>
      </x:c>
      <x:c r="Z1399" s="94" t="n">
        <x:f>IFERROR(Y1399/W1399,0)</x:f>
        <x:v>0</x:v>
      </x:c>
      <x:c r="AA1399" s="84" t="str">
        <x:f>PROPER(TRIM('Raw Sales'!M1399))</x:f>
        <x:v>Debit Card</x:v>
      </x:c>
      <x:c r="AB1399" s="84" t="str">
        <x:f>PROPER(TRIM('Raw Sales'!N1399))</x:f>
        <x:v>Noah Reed</x:v>
      </x:c>
      <x:c r="AC1399" s="85" t="n">
        <x:f>'Raw Sales'!O1399</x:f>
        <x:v>45760</x:v>
      </x:c>
      <x:c r="AD1399" s="84" t="n">
        <x:f>AC1399-B1399</x:f>
        <x:v>3</x:v>
      </x:c>
      <x:c r="AE1399" s="84" t="str">
        <x:f>IF(COUNTIF($A$5:A1399,A1399)&gt;1,"Duplicate","Keep")</x:f>
        <x:v>Keep</x:v>
      </x:c>
      <x:c r="AF1399" s="84" t="str">
        <x:f>IF(OR(R1399&lt;=0,AC1399&lt;B1399,H1399="Unknown",M1399="Unknown Product"),"Review","Valid")</x:f>
        <x:v>Valid</x:v>
      </x:c>
      <x:c r="AG1399" s="84" t="n">
        <x:f>IF(AND(AE1399="Keep",AF1399="Valid"),1,0)</x:f>
        <x:v>1</x:v>
      </x:c>
      <x:c r="AH1399" s="84" t="n">
        <x:f>IF(AND(AG1399=1,OR('Dashboard'!$B$4="All",I1399='Dashboard'!$B$4),OR('Dashboard'!$E$4="All",N1399='Dashboard'!$E$4),OR('Dashboard'!$H$4="All",K1399='Dashboard'!$H$4),OR('Dashboard'!$K$4="All",C1399='Dashboard'!$K$4)),1,0)</x:f>
        <x:v>1</x:v>
      </x:c>
      <x:c r="AI1399" s="84" t="n">
        <x:f>IF(AND(AG1399=1,OR('Dashboard'!$B$4="All",I1399='Dashboard'!$B$4),OR('Dashboard'!$E$4="All",N1399='Dashboard'!$E$4),OR('Dashboard'!$H$4="All",K1399='Dashboard'!$H$4)),1,0)</x:f>
        <x:v>1</x:v>
      </x:c>
    </x:row>
    <x:row r="1400">
      <x:c r="A1400" s="84" t="str">
        <x:f>'Raw Sales'!A1400</x:f>
        <x:v>ORD-2025-01098</x:v>
      </x:c>
      <x:c r="B1400" s="85" t="n">
        <x:f>'Raw Sales'!B1400</x:f>
        <x:v>45757</x:v>
      </x:c>
      <x:c r="C1400" s="84" t="n">
        <x:f>YEAR(B1400)</x:f>
        <x:v>2025</x:v>
      </x:c>
      <x:c r="D1400" s="91" t="n">
        <x:f>DATE(YEAR(B1400),MONTH(B1400),1)</x:f>
        <x:v>45748</x:v>
      </x:c>
      <x:c r="E1400" s="84" t="str">
        <x:f>TEXT(B1400,"mmm")</x:f>
        <x:v>Apr</x:v>
      </x:c>
      <x:c r="F1400" s="84" t="str">
        <x:f>'Raw Sales'!C1400</x:f>
        <x:v>CUST-0584</x:v>
      </x:c>
      <x:c r="G1400" s="84" t="str">
        <x:f>PROPER(TRIM('Raw Sales'!D1400))</x:f>
        <x:v>William Khan</x:v>
      </x:c>
      <x:c r="H1400" s="84" t="str">
        <x:f>IF(TRIM('Raw Sales'!E1400)="","Unknown",PROPER(TRIM('Raw Sales'!E1400)))</x:f>
        <x:v>Unknown</x:v>
      </x:c>
      <x:c r="I1400" s="84" t="str">
        <x:f>PROPER(TRIM('Raw Sales'!F1400))</x:f>
        <x:v>Northeast</x:v>
      </x:c>
      <x:c r="J1400" s="84" t="str">
        <x:f>PROPER(TRIM('Raw Sales'!G1400))</x:f>
        <x:v>Philadelphia</x:v>
      </x:c>
      <x:c r="K1400" s="84" t="str">
        <x:f>PROPER(TRIM('Raw Sales'!H1400))</x:f>
        <x:v>Marketplace</x:v>
      </x:c>
      <x:c r="L1400" s="84" t="str">
        <x:f>'Raw Sales'!I1400</x:f>
        <x:v>ACCS-001</x:v>
      </x:c>
      <x:c r="M1400" s="84" t="str">
        <x:f>IFERROR(VLOOKUP(L1400,'Reference Data'!$A$5:$F$40,2,FALSE),"Unknown Product")</x:f>
        <x:v>Canvas Tote Bag</x:v>
      </x:c>
      <x:c r="N1400" s="84" t="str">
        <x:f>IFERROR(VLOOKUP(L1400,'Reference Data'!$A$5:$F$40,3,FALSE),"Unknown")</x:f>
        <x:v>Accessories</x:v>
      </x:c>
      <x:c r="O1400" s="84" t="str">
        <x:f>IFERROR(VLOOKUP(L1400,'Reference Data'!$A$5:$F$40,4,FALSE),"Unknown")</x:f>
        <x:v>Bags</x:v>
      </x:c>
      <x:c r="P1400" s="92" t="n">
        <x:f>IFERROR(VLOOKUP(L1400,'Reference Data'!$A$5:$F$40,5,FALSE),0)</x:f>
        <x:v>39</x:v>
      </x:c>
      <x:c r="Q1400" s="92" t="n">
        <x:f>IFERROR(VLOOKUP(L1400,'Reference Data'!$A$5:$F$40,6,FALSE),0)</x:f>
        <x:v>14</x:v>
      </x:c>
      <x:c r="R1400" s="84" t="n">
        <x:f>'Raw Sales'!J1400</x:f>
        <x:v>4</x:v>
      </x:c>
      <x:c r="S1400" s="87" t="n">
        <x:f>'Raw Sales'!K1400</x:f>
        <x:v>0.05</x:v>
      </x:c>
      <x:c r="T1400" s="93" t="n">
        <x:f>P1400*R1400</x:f>
        <x:v>156</x:v>
      </x:c>
      <x:c r="U1400" s="93" t="n">
        <x:f>T1400*S1400</x:f>
        <x:v>7.800000000000001</x:v>
      </x:c>
      <x:c r="V1400" s="93" t="str">
        <x:f>PROPER(TRIM('Raw Sales'!L1400))</x:f>
        <x:v>Completed</x:v>
      </x:c>
      <x:c r="W1400" s="93" t="n">
        <x:f>IF(V1400="Returned",0,T1400-U1400)</x:f>
        <x:v>148.2</x:v>
      </x:c>
      <x:c r="X1400" s="93" t="n">
        <x:f>IF(V1400="Returned",Q1400*R1400*10%,Q1400*R1400)</x:f>
        <x:v>56</x:v>
      </x:c>
      <x:c r="Y1400" s="93" t="n">
        <x:f>W1400-X1400</x:f>
        <x:v>92.19999999999999</x:v>
      </x:c>
      <x:c r="Z1400" s="94" t="n">
        <x:f>IFERROR(Y1400/W1400,0)</x:f>
        <x:v>0.6221322537112011</x:v>
      </x:c>
      <x:c r="AA1400" s="84" t="str">
        <x:f>PROPER(TRIM('Raw Sales'!M1400))</x:f>
        <x:v>Credit Card</x:v>
      </x:c>
      <x:c r="AB1400" s="84" t="str">
        <x:f>PROPER(TRIM('Raw Sales'!N1400))</x:f>
        <x:v>Ethan Cole</x:v>
      </x:c>
      <x:c r="AC1400" s="85" t="n">
        <x:f>'Raw Sales'!O1400</x:f>
        <x:v>45761</x:v>
      </x:c>
      <x:c r="AD1400" s="84" t="n">
        <x:f>AC1400-B1400</x:f>
        <x:v>4</x:v>
      </x:c>
      <x:c r="AE1400" s="84" t="str">
        <x:f>IF(COUNTIF($A$5:A1400,A1400)&gt;1,"Duplicate","Keep")</x:f>
        <x:v>Keep</x:v>
      </x:c>
      <x:c r="AF1400" s="84" t="str">
        <x:f>IF(OR(R1400&lt;=0,AC1400&lt;B1400,H1400="Unknown",M1400="Unknown Product"),"Review","Valid")</x:f>
        <x:v>Review</x:v>
      </x:c>
      <x:c r="AG1400" s="84" t="n">
        <x:f>IF(AND(AE1400="Keep",AF1400="Valid"),1,0)</x:f>
        <x:v>0</x:v>
      </x:c>
      <x:c r="AH1400" s="84" t="n">
        <x:f>IF(AND(AG1400=1,OR('Dashboard'!$B$4="All",I1400='Dashboard'!$B$4),OR('Dashboard'!$E$4="All",N1400='Dashboard'!$E$4),OR('Dashboard'!$H$4="All",K1400='Dashboard'!$H$4),OR('Dashboard'!$K$4="All",C1400='Dashboard'!$K$4)),1,0)</x:f>
        <x:v>0</x:v>
      </x:c>
      <x:c r="AI1400" s="84" t="n">
        <x:f>IF(AND(AG1400=1,OR('Dashboard'!$B$4="All",I1400='Dashboard'!$B$4),OR('Dashboard'!$E$4="All",N1400='Dashboard'!$E$4),OR('Dashboard'!$H$4="All",K1400='Dashboard'!$H$4)),1,0)</x:f>
        <x:v>0</x:v>
      </x:c>
    </x:row>
    <x:row r="1401">
      <x:c r="A1401" s="84" t="str">
        <x:f>'Raw Sales'!A1401</x:f>
        <x:v>ORD-2025-02204</x:v>
      </x:c>
      <x:c r="B1401" s="85" t="n">
        <x:f>'Raw Sales'!B1401</x:f>
        <x:v>45757</x:v>
      </x:c>
      <x:c r="C1401" s="84" t="n">
        <x:f>YEAR(B1401)</x:f>
        <x:v>2025</x:v>
      </x:c>
      <x:c r="D1401" s="91" t="n">
        <x:f>DATE(YEAR(B1401),MONTH(B1401),1)</x:f>
        <x:v>45748</x:v>
      </x:c>
      <x:c r="E1401" s="84" t="str">
        <x:f>TEXT(B1401,"mmm")</x:f>
        <x:v>Apr</x:v>
      </x:c>
      <x:c r="F1401" s="84" t="str">
        <x:f>'Raw Sales'!C1401</x:f>
        <x:v>CUST-0378</x:v>
      </x:c>
      <x:c r="G1401" s="84" t="str">
        <x:f>PROPER(TRIM('Raw Sales'!D1401))</x:f>
        <x:v>Victoria Nelson</x:v>
      </x:c>
      <x:c r="H1401" s="84" t="str">
        <x:f>IF(TRIM('Raw Sales'!E1401)="","Unknown",PROPER(TRIM('Raw Sales'!E1401)))</x:f>
        <x:v>Consumer</x:v>
      </x:c>
      <x:c r="I1401" s="84" t="str">
        <x:f>PROPER(TRIM('Raw Sales'!F1401))</x:f>
        <x:v>Midwest</x:v>
      </x:c>
      <x:c r="J1401" s="84" t="str">
        <x:f>PROPER(TRIM('Raw Sales'!G1401))</x:f>
        <x:v>Chicago</x:v>
      </x:c>
      <x:c r="K1401" s="84" t="str">
        <x:f>PROPER(TRIM('Raw Sales'!H1401))</x:f>
        <x:v>Online</x:v>
      </x:c>
      <x:c r="L1401" s="84" t="str">
        <x:f>'Raw Sales'!I1401</x:f>
        <x:v>ELEC-002</x:v>
      </x:c>
      <x:c r="M1401" s="84" t="str">
        <x:f>IFERROR(VLOOKUP(L1401,'Reference Data'!$A$5:$F$40,2,FALSE),"Unknown Product")</x:f>
        <x:v>Smartwatch</x:v>
      </x:c>
      <x:c r="N1401" s="84" t="str">
        <x:f>IFERROR(VLOOKUP(L1401,'Reference Data'!$A$5:$F$40,3,FALSE),"Unknown")</x:f>
        <x:v>Electronics</x:v>
      </x:c>
      <x:c r="O1401" s="84" t="str">
        <x:f>IFERROR(VLOOKUP(L1401,'Reference Data'!$A$5:$F$40,4,FALSE),"Unknown")</x:f>
        <x:v>Wearables</x:v>
      </x:c>
      <x:c r="P1401" s="92" t="n">
        <x:f>IFERROR(VLOOKUP(L1401,'Reference Data'!$A$5:$F$40,5,FALSE),0)</x:f>
        <x:v>159</x:v>
      </x:c>
      <x:c r="Q1401" s="92" t="n">
        <x:f>IFERROR(VLOOKUP(L1401,'Reference Data'!$A$5:$F$40,6,FALSE),0)</x:f>
        <x:v>92</x:v>
      </x:c>
      <x:c r="R1401" s="84" t="n">
        <x:f>'Raw Sales'!J1401</x:f>
        <x:v>1</x:v>
      </x:c>
      <x:c r="S1401" s="87" t="n">
        <x:f>'Raw Sales'!K1401</x:f>
        <x:v>0.05</x:v>
      </x:c>
      <x:c r="T1401" s="93" t="n">
        <x:f>P1401*R1401</x:f>
        <x:v>159</x:v>
      </x:c>
      <x:c r="U1401" s="93" t="n">
        <x:f>T1401*S1401</x:f>
        <x:v>7.95</x:v>
      </x:c>
      <x:c r="V1401" s="93" t="str">
        <x:f>PROPER(TRIM('Raw Sales'!L1401))</x:f>
        <x:v>Completed</x:v>
      </x:c>
      <x:c r="W1401" s="93" t="n">
        <x:f>IF(V1401="Returned",0,T1401-U1401)</x:f>
        <x:v>151.05</x:v>
      </x:c>
      <x:c r="X1401" s="93" t="n">
        <x:f>IF(V1401="Returned",Q1401*R1401*10%,Q1401*R1401)</x:f>
        <x:v>92</x:v>
      </x:c>
      <x:c r="Y1401" s="93" t="n">
        <x:f>W1401-X1401</x:f>
        <x:v>59.05000000000001</x:v>
      </x:c>
      <x:c r="Z1401" s="94" t="n">
        <x:f>IFERROR(Y1401/W1401,0)</x:f>
        <x:v>0.39093015557762334</x:v>
      </x:c>
      <x:c r="AA1401" s="84" t="str">
        <x:f>PROPER(TRIM('Raw Sales'!M1401))</x:f>
        <x:v>Debit Card</x:v>
      </x:c>
      <x:c r="AB1401" s="84" t="str">
        <x:f>PROPER(TRIM('Raw Sales'!N1401))</x:f>
        <x:v>Lucas Grant</x:v>
      </x:c>
      <x:c r="AC1401" s="85" t="n">
        <x:f>'Raw Sales'!O1401</x:f>
        <x:v>45760</x:v>
      </x:c>
      <x:c r="AD1401" s="84" t="n">
        <x:f>AC1401-B1401</x:f>
        <x:v>3</x:v>
      </x:c>
      <x:c r="AE1401" s="84" t="str">
        <x:f>IF(COUNTIF($A$5:A1401,A1401)&gt;1,"Duplicate","Keep")</x:f>
        <x:v>Keep</x:v>
      </x:c>
      <x:c r="AF1401" s="84" t="str">
        <x:f>IF(OR(R1401&lt;=0,AC1401&lt;B1401,H1401="Unknown",M1401="Unknown Product"),"Review","Valid")</x:f>
        <x:v>Valid</x:v>
      </x:c>
      <x:c r="AG1401" s="84" t="n">
        <x:f>IF(AND(AE1401="Keep",AF1401="Valid"),1,0)</x:f>
        <x:v>1</x:v>
      </x:c>
      <x:c r="AH1401" s="84" t="n">
        <x:f>IF(AND(AG1401=1,OR('Dashboard'!$B$4="All",I1401='Dashboard'!$B$4),OR('Dashboard'!$E$4="All",N1401='Dashboard'!$E$4),OR('Dashboard'!$H$4="All",K1401='Dashboard'!$H$4),OR('Dashboard'!$K$4="All",C1401='Dashboard'!$K$4)),1,0)</x:f>
        <x:v>1</x:v>
      </x:c>
      <x:c r="AI1401" s="84" t="n">
        <x:f>IF(AND(AG1401=1,OR('Dashboard'!$B$4="All",I1401='Dashboard'!$B$4),OR('Dashboard'!$E$4="All",N1401='Dashboard'!$E$4),OR('Dashboard'!$H$4="All",K1401='Dashboard'!$H$4)),1,0)</x:f>
        <x:v>1</x:v>
      </x:c>
    </x:row>
    <x:row r="1402">
      <x:c r="A1402" s="84" t="str">
        <x:f>'Raw Sales'!A1402</x:f>
        <x:v>ORD-2025-00683</x:v>
      </x:c>
      <x:c r="B1402" s="85" t="n">
        <x:f>'Raw Sales'!B1402</x:f>
        <x:v>45758</x:v>
      </x:c>
      <x:c r="C1402" s="84" t="n">
        <x:f>YEAR(B1402)</x:f>
        <x:v>2025</x:v>
      </x:c>
      <x:c r="D1402" s="91" t="n">
        <x:f>DATE(YEAR(B1402),MONTH(B1402),1)</x:f>
        <x:v>45748</x:v>
      </x:c>
      <x:c r="E1402" s="84" t="str">
        <x:f>TEXT(B1402,"mmm")</x:f>
        <x:v>Apr</x:v>
      </x:c>
      <x:c r="F1402" s="84" t="str">
        <x:f>'Raw Sales'!C1402</x:f>
        <x:v>CUST-0352</x:v>
      </x:c>
      <x:c r="G1402" s="84" t="str">
        <x:f>PROPER(TRIM('Raw Sales'!D1402))</x:f>
        <x:v>Theo Garcia</x:v>
      </x:c>
      <x:c r="H1402" s="84" t="str">
        <x:f>IF(TRIM('Raw Sales'!E1402)="","Unknown",PROPER(TRIM('Raw Sales'!E1402)))</x:f>
        <x:v>Consumer</x:v>
      </x:c>
      <x:c r="I1402" s="84" t="str">
        <x:f>PROPER(TRIM('Raw Sales'!F1402))</x:f>
        <x:v>West</x:v>
      </x:c>
      <x:c r="J1402" s="84" t="str">
        <x:f>PROPER(TRIM('Raw Sales'!G1402))</x:f>
        <x:v>Seattle</x:v>
      </x:c>
      <x:c r="K1402" s="84" t="str">
        <x:f>PROPER(TRIM('Raw Sales'!H1402))</x:f>
        <x:v>Marketplace</x:v>
      </x:c>
      <x:c r="L1402" s="84" t="str">
        <x:f>'Raw Sales'!I1402</x:f>
        <x:v>FITN-001</x:v>
      </x:c>
      <x:c r="M1402" s="84" t="str">
        <x:f>IFERROR(VLOOKUP(L1402,'Reference Data'!$A$5:$F$40,2,FALSE),"Unknown Product")</x:f>
        <x:v>Yoga Mat</x:v>
      </x:c>
      <x:c r="N1402" s="84" t="str">
        <x:f>IFERROR(VLOOKUP(L1402,'Reference Data'!$A$5:$F$40,3,FALSE),"Unknown")</x:f>
        <x:v>Fitness</x:v>
      </x:c>
      <x:c r="O1402" s="84" t="str">
        <x:f>IFERROR(VLOOKUP(L1402,'Reference Data'!$A$5:$F$40,4,FALSE),"Unknown")</x:f>
        <x:v>Yoga</x:v>
      </x:c>
      <x:c r="P1402" s="92" t="n">
        <x:f>IFERROR(VLOOKUP(L1402,'Reference Data'!$A$5:$F$40,5,FALSE),0)</x:f>
        <x:v>35</x:v>
      </x:c>
      <x:c r="Q1402" s="92" t="n">
        <x:f>IFERROR(VLOOKUP(L1402,'Reference Data'!$A$5:$F$40,6,FALSE),0)</x:f>
        <x:v>13</x:v>
      </x:c>
      <x:c r="R1402" s="84" t="n">
        <x:f>'Raw Sales'!J1402</x:f>
        <x:v>1</x:v>
      </x:c>
      <x:c r="S1402" s="87" t="n">
        <x:f>'Raw Sales'!K1402</x:f>
        <x:v>0.2</x:v>
      </x:c>
      <x:c r="T1402" s="93" t="n">
        <x:f>P1402*R1402</x:f>
        <x:v>35</x:v>
      </x:c>
      <x:c r="U1402" s="93" t="n">
        <x:f>T1402*S1402</x:f>
        <x:v>7</x:v>
      </x:c>
      <x:c r="V1402" s="93" t="str">
        <x:f>PROPER(TRIM('Raw Sales'!L1402))</x:f>
        <x:v>Completed</x:v>
      </x:c>
      <x:c r="W1402" s="93" t="n">
        <x:f>IF(V1402="Returned",0,T1402-U1402)</x:f>
        <x:v>28</x:v>
      </x:c>
      <x:c r="X1402" s="93" t="n">
        <x:f>IF(V1402="Returned",Q1402*R1402*10%,Q1402*R1402)</x:f>
        <x:v>13</x:v>
      </x:c>
      <x:c r="Y1402" s="93" t="n">
        <x:f>W1402-X1402</x:f>
        <x:v>15</x:v>
      </x:c>
      <x:c r="Z1402" s="94" t="n">
        <x:f>IFERROR(Y1402/W1402,0)</x:f>
        <x:v>0.5357142857142857</x:v>
      </x:c>
      <x:c r="AA1402" s="84" t="str">
        <x:f>PROPER(TRIM('Raw Sales'!M1402))</x:f>
        <x:v>Paypal</x:v>
      </x:c>
      <x:c r="AB1402" s="84" t="str">
        <x:f>PROPER(TRIM('Raw Sales'!N1402))</x:f>
        <x:v>Nora Kim</x:v>
      </x:c>
      <x:c r="AC1402" s="85" t="n">
        <x:f>'Raw Sales'!O1402</x:f>
        <x:v>45763</x:v>
      </x:c>
      <x:c r="AD1402" s="84" t="n">
        <x:f>AC1402-B1402</x:f>
        <x:v>5</x:v>
      </x:c>
      <x:c r="AE1402" s="84" t="str">
        <x:f>IF(COUNTIF($A$5:A1402,A1402)&gt;1,"Duplicate","Keep")</x:f>
        <x:v>Keep</x:v>
      </x:c>
      <x:c r="AF1402" s="84" t="str">
        <x:f>IF(OR(R1402&lt;=0,AC1402&lt;B1402,H1402="Unknown",M1402="Unknown Product"),"Review","Valid")</x:f>
        <x:v>Valid</x:v>
      </x:c>
      <x:c r="AG1402" s="84" t="n">
        <x:f>IF(AND(AE1402="Keep",AF1402="Valid"),1,0)</x:f>
        <x:v>1</x:v>
      </x:c>
      <x:c r="AH1402" s="84" t="n">
        <x:f>IF(AND(AG1402=1,OR('Dashboard'!$B$4="All",I1402='Dashboard'!$B$4),OR('Dashboard'!$E$4="All",N1402='Dashboard'!$E$4),OR('Dashboard'!$H$4="All",K1402='Dashboard'!$H$4),OR('Dashboard'!$K$4="All",C1402='Dashboard'!$K$4)),1,0)</x:f>
        <x:v>1</x:v>
      </x:c>
      <x:c r="AI1402" s="84" t="n">
        <x:f>IF(AND(AG1402=1,OR('Dashboard'!$B$4="All",I1402='Dashboard'!$B$4),OR('Dashboard'!$E$4="All",N1402='Dashboard'!$E$4),OR('Dashboard'!$H$4="All",K1402='Dashboard'!$H$4)),1,0)</x:f>
        <x:v>1</x:v>
      </x:c>
    </x:row>
    <x:row r="1403">
      <x:c r="A1403" s="84" t="str">
        <x:f>'Raw Sales'!A1403</x:f>
        <x:v>ORD-2025-01125</x:v>
      </x:c>
      <x:c r="B1403" s="85" t="n">
        <x:f>'Raw Sales'!B1403</x:f>
        <x:v>45758</x:v>
      </x:c>
      <x:c r="C1403" s="84" t="n">
        <x:f>YEAR(B1403)</x:f>
        <x:v>2025</x:v>
      </x:c>
      <x:c r="D1403" s="91" t="n">
        <x:f>DATE(YEAR(B1403),MONTH(B1403),1)</x:f>
        <x:v>45748</x:v>
      </x:c>
      <x:c r="E1403" s="84" t="str">
        <x:f>TEXT(B1403,"mmm")</x:f>
        <x:v>Apr</x:v>
      </x:c>
      <x:c r="F1403" s="84" t="str">
        <x:f>'Raw Sales'!C1403</x:f>
        <x:v>CUST-0304</x:v>
      </x:c>
      <x:c r="G1403" s="84" t="str">
        <x:f>PROPER(TRIM('Raw Sales'!D1403))</x:f>
        <x:v>Isaac Carter</x:v>
      </x:c>
      <x:c r="H1403" s="84" t="str">
        <x:f>IF(TRIM('Raw Sales'!E1403)="","Unknown",PROPER(TRIM('Raw Sales'!E1403)))</x:f>
        <x:v>Corporate</x:v>
      </x:c>
      <x:c r="I1403" s="84" t="str">
        <x:f>PROPER(TRIM('Raw Sales'!F1403))</x:f>
        <x:v>Northeast</x:v>
      </x:c>
      <x:c r="J1403" s="84" t="str">
        <x:f>PROPER(TRIM('Raw Sales'!G1403))</x:f>
        <x:v>New York</x:v>
      </x:c>
      <x:c r="K1403" s="84" t="str">
        <x:f>PROPER(TRIM('Raw Sales'!H1403))</x:f>
        <x:v>Retail Store</x:v>
      </x:c>
      <x:c r="L1403" s="84" t="str">
        <x:f>'Raw Sales'!I1403</x:f>
        <x:v>HOME-006</x:v>
      </x:c>
      <x:c r="M1403" s="84" t="str">
        <x:f>IFERROR(VLOOKUP(L1403,'Reference Data'!$A$5:$F$40,2,FALSE),"Unknown Product")</x:f>
        <x:v>Food Storage Set</x:v>
      </x:c>
      <x:c r="N1403" s="84" t="str">
        <x:f>IFERROR(VLOOKUP(L1403,'Reference Data'!$A$5:$F$40,3,FALSE),"Unknown")</x:f>
        <x:v>Home &amp; Kitchen</x:v>
      </x:c>
      <x:c r="O1403" s="84" t="str">
        <x:f>IFERROR(VLOOKUP(L1403,'Reference Data'!$A$5:$F$40,4,FALSE),"Unknown")</x:f>
        <x:v>Kitchenware</x:v>
      </x:c>
      <x:c r="P1403" s="92" t="n">
        <x:f>IFERROR(VLOOKUP(L1403,'Reference Data'!$A$5:$F$40,5,FALSE),0)</x:f>
        <x:v>34</x:v>
      </x:c>
      <x:c r="Q1403" s="92" t="n">
        <x:f>IFERROR(VLOOKUP(L1403,'Reference Data'!$A$5:$F$40,6,FALSE),0)</x:f>
        <x:v>15</x:v>
      </x:c>
      <x:c r="R1403" s="84" t="n">
        <x:f>'Raw Sales'!J1403</x:f>
        <x:v>2</x:v>
      </x:c>
      <x:c r="S1403" s="87" t="n">
        <x:f>'Raw Sales'!K1403</x:f>
        <x:v>0.1</x:v>
      </x:c>
      <x:c r="T1403" s="93" t="n">
        <x:f>P1403*R1403</x:f>
        <x:v>68</x:v>
      </x:c>
      <x:c r="U1403" s="93" t="n">
        <x:f>T1403*S1403</x:f>
        <x:v>6.800000000000001</x:v>
      </x:c>
      <x:c r="V1403" s="93" t="str">
        <x:f>PROPER(TRIM('Raw Sales'!L1403))</x:f>
        <x:v>Completed</x:v>
      </x:c>
      <x:c r="W1403" s="93" t="n">
        <x:f>IF(V1403="Returned",0,T1403-U1403)</x:f>
        <x:v>61.2</x:v>
      </x:c>
      <x:c r="X1403" s="93" t="n">
        <x:f>IF(V1403="Returned",Q1403*R1403*10%,Q1403*R1403)</x:f>
        <x:v>30</x:v>
      </x:c>
      <x:c r="Y1403" s="93" t="n">
        <x:f>W1403-X1403</x:f>
        <x:v>31.200000000000003</x:v>
      </x:c>
      <x:c r="Z1403" s="94" t="n">
        <x:f>IFERROR(Y1403/W1403,0)</x:f>
        <x:v>0.5098039215686275</x:v>
      </x:c>
      <x:c r="AA1403" s="84" t="str">
        <x:f>PROPER(TRIM('Raw Sales'!M1403))</x:f>
        <x:v>Credit Card</x:v>
      </x:c>
      <x:c r="AB1403" s="84" t="str">
        <x:f>PROPER(TRIM('Raw Sales'!N1403))</x:f>
        <x:v>Ethan Cole</x:v>
      </x:c>
      <x:c r="AC1403" s="85" t="n">
        <x:f>'Raw Sales'!O1403</x:f>
        <x:v>45759</x:v>
      </x:c>
      <x:c r="AD1403" s="84" t="n">
        <x:f>AC1403-B1403</x:f>
        <x:v>1</x:v>
      </x:c>
      <x:c r="AE1403" s="84" t="str">
        <x:f>IF(COUNTIF($A$5:A1403,A1403)&gt;1,"Duplicate","Keep")</x:f>
        <x:v>Keep</x:v>
      </x:c>
      <x:c r="AF1403" s="84" t="str">
        <x:f>IF(OR(R1403&lt;=0,AC1403&lt;B1403,H1403="Unknown",M1403="Unknown Product"),"Review","Valid")</x:f>
        <x:v>Valid</x:v>
      </x:c>
      <x:c r="AG1403" s="84" t="n">
        <x:f>IF(AND(AE1403="Keep",AF1403="Valid"),1,0)</x:f>
        <x:v>1</x:v>
      </x:c>
      <x:c r="AH1403" s="84" t="n">
        <x:f>IF(AND(AG1403=1,OR('Dashboard'!$B$4="All",I1403='Dashboard'!$B$4),OR('Dashboard'!$E$4="All",N1403='Dashboard'!$E$4),OR('Dashboard'!$H$4="All",K1403='Dashboard'!$H$4),OR('Dashboard'!$K$4="All",C1403='Dashboard'!$K$4)),1,0)</x:f>
        <x:v>1</x:v>
      </x:c>
      <x:c r="AI1403" s="84" t="n">
        <x:f>IF(AND(AG1403=1,OR('Dashboard'!$B$4="All",I1403='Dashboard'!$B$4),OR('Dashboard'!$E$4="All",N1403='Dashboard'!$E$4),OR('Dashboard'!$H$4="All",K1403='Dashboard'!$H$4)),1,0)</x:f>
        <x:v>1</x:v>
      </x:c>
    </x:row>
    <x:row r="1404">
      <x:c r="A1404" s="84" t="str">
        <x:f>'Raw Sales'!A1404</x:f>
        <x:v>ORD-2025-01202</x:v>
      </x:c>
      <x:c r="B1404" s="85" t="n">
        <x:f>'Raw Sales'!B1404</x:f>
        <x:v>45758</x:v>
      </x:c>
      <x:c r="C1404" s="84" t="n">
        <x:f>YEAR(B1404)</x:f>
        <x:v>2025</x:v>
      </x:c>
      <x:c r="D1404" s="91" t="n">
        <x:f>DATE(YEAR(B1404),MONTH(B1404),1)</x:f>
        <x:v>45748</x:v>
      </x:c>
      <x:c r="E1404" s="84" t="str">
        <x:f>TEXT(B1404,"mmm")</x:f>
        <x:v>Apr</x:v>
      </x:c>
      <x:c r="F1404" s="84" t="str">
        <x:f>'Raw Sales'!C1404</x:f>
        <x:v>CUST-0051</x:v>
      </x:c>
      <x:c r="G1404" s="84" t="str">
        <x:f>PROPER(TRIM('Raw Sales'!D1404))</x:f>
        <x:v>Marcus Moore</x:v>
      </x:c>
      <x:c r="H1404" s="84" t="str">
        <x:f>IF(TRIM('Raw Sales'!E1404)="","Unknown",PROPER(TRIM('Raw Sales'!E1404)))</x:f>
        <x:v>Consumer</x:v>
      </x:c>
      <x:c r="I1404" s="84" t="str">
        <x:f>PROPER(TRIM('Raw Sales'!F1404))</x:f>
        <x:v>West</x:v>
      </x:c>
      <x:c r="J1404" s="84" t="str">
        <x:f>PROPER(TRIM('Raw Sales'!G1404))</x:f>
        <x:v>Seattle</x:v>
      </x:c>
      <x:c r="K1404" s="84" t="str">
        <x:f>PROPER(TRIM('Raw Sales'!H1404))</x:f>
        <x:v>Retail Store</x:v>
      </x:c>
      <x:c r="L1404" s="84" t="str">
        <x:f>'Raw Sales'!I1404</x:f>
        <x:v>CARE-006</x:v>
      </x:c>
      <x:c r="M1404" s="84" t="str">
        <x:f>IFERROR(VLOOKUP(L1404,'Reference Data'!$A$5:$F$40,2,FALSE),"Unknown Product")</x:f>
        <x:v>Percussion Massage Gun</x:v>
      </x:c>
      <x:c r="N1404" s="84" t="str">
        <x:f>IFERROR(VLOOKUP(L1404,'Reference Data'!$A$5:$F$40,3,FALSE),"Unknown")</x:f>
        <x:v>Personal Care</x:v>
      </x:c>
      <x:c r="O1404" s="84" t="str">
        <x:f>IFERROR(VLOOKUP(L1404,'Reference Data'!$A$5:$F$40,4,FALSE),"Unknown")</x:f>
        <x:v>Wellness</x:v>
      </x:c>
      <x:c r="P1404" s="92" t="n">
        <x:f>IFERROR(VLOOKUP(L1404,'Reference Data'!$A$5:$F$40,5,FALSE),0)</x:f>
        <x:v>129</x:v>
      </x:c>
      <x:c r="Q1404" s="92" t="n">
        <x:f>IFERROR(VLOOKUP(L1404,'Reference Data'!$A$5:$F$40,6,FALSE),0)</x:f>
        <x:v>70</x:v>
      </x:c>
      <x:c r="R1404" s="84" t="n">
        <x:f>'Raw Sales'!J1404</x:f>
        <x:v>4</x:v>
      </x:c>
      <x:c r="S1404" s="87" t="n">
        <x:f>'Raw Sales'!K1404</x:f>
        <x:v>0.05</x:v>
      </x:c>
      <x:c r="T1404" s="93" t="n">
        <x:f>P1404*R1404</x:f>
        <x:v>516</x:v>
      </x:c>
      <x:c r="U1404" s="93" t="n">
        <x:f>T1404*S1404</x:f>
        <x:v>25.8</x:v>
      </x:c>
      <x:c r="V1404" s="93" t="str">
        <x:f>PROPER(TRIM('Raw Sales'!L1404))</x:f>
        <x:v>Completed</x:v>
      </x:c>
      <x:c r="W1404" s="93" t="n">
        <x:f>IF(V1404="Returned",0,T1404-U1404)</x:f>
        <x:v>490.2</x:v>
      </x:c>
      <x:c r="X1404" s="93" t="n">
        <x:f>IF(V1404="Returned",Q1404*R1404*10%,Q1404*R1404)</x:f>
        <x:v>280</x:v>
      </x:c>
      <x:c r="Y1404" s="93" t="n">
        <x:f>W1404-X1404</x:f>
        <x:v>210.2</x:v>
      </x:c>
      <x:c r="Z1404" s="94" t="n">
        <x:f>IFERROR(Y1404/W1404,0)</x:f>
        <x:v>0.4288045695634435</x:v>
      </x:c>
      <x:c r="AA1404" s="84" t="str">
        <x:f>PROPER(TRIM('Raw Sales'!M1404))</x:f>
        <x:v>Mobile Wallet</x:v>
      </x:c>
      <x:c r="AB1404" s="84" t="str">
        <x:f>PROPER(TRIM('Raw Sales'!N1404))</x:f>
        <x:v>Mia Chen</x:v>
      </x:c>
      <x:c r="AC1404" s="85" t="n">
        <x:f>'Raw Sales'!O1404</x:f>
        <x:v>45758</x:v>
      </x:c>
      <x:c r="AD1404" s="84" t="n">
        <x:f>AC1404-B1404</x:f>
        <x:v>0</x:v>
      </x:c>
      <x:c r="AE1404" s="84" t="str">
        <x:f>IF(COUNTIF($A$5:A1404,A1404)&gt;1,"Duplicate","Keep")</x:f>
        <x:v>Keep</x:v>
      </x:c>
      <x:c r="AF1404" s="84" t="str">
        <x:f>IF(OR(R1404&lt;=0,AC1404&lt;B1404,H1404="Unknown",M1404="Unknown Product"),"Review","Valid")</x:f>
        <x:v>Valid</x:v>
      </x:c>
      <x:c r="AG1404" s="84" t="n">
        <x:f>IF(AND(AE1404="Keep",AF1404="Valid"),1,0)</x:f>
        <x:v>1</x:v>
      </x:c>
      <x:c r="AH1404" s="84" t="n">
        <x:f>IF(AND(AG1404=1,OR('Dashboard'!$B$4="All",I1404='Dashboard'!$B$4),OR('Dashboard'!$E$4="All",N1404='Dashboard'!$E$4),OR('Dashboard'!$H$4="All",K1404='Dashboard'!$H$4),OR('Dashboard'!$K$4="All",C1404='Dashboard'!$K$4)),1,0)</x:f>
        <x:v>1</x:v>
      </x:c>
      <x:c r="AI1404" s="84" t="n">
        <x:f>IF(AND(AG1404=1,OR('Dashboard'!$B$4="All",I1404='Dashboard'!$B$4),OR('Dashboard'!$E$4="All",N1404='Dashboard'!$E$4),OR('Dashboard'!$H$4="All",K1404='Dashboard'!$H$4)),1,0)</x:f>
        <x:v>1</x:v>
      </x:c>
    </x:row>
    <x:row r="1405">
      <x:c r="A1405" s="84" t="str">
        <x:f>'Raw Sales'!A1405</x:f>
        <x:v>ORD-2025-00052</x:v>
      </x:c>
      <x:c r="B1405" s="85" t="n">
        <x:f>'Raw Sales'!B1405</x:f>
        <x:v>45759</x:v>
      </x:c>
      <x:c r="C1405" s="84" t="n">
        <x:f>YEAR(B1405)</x:f>
        <x:v>2025</x:v>
      </x:c>
      <x:c r="D1405" s="91" t="n">
        <x:f>DATE(YEAR(B1405),MONTH(B1405),1)</x:f>
        <x:v>45748</x:v>
      </x:c>
      <x:c r="E1405" s="84" t="str">
        <x:f>TEXT(B1405,"mmm")</x:f>
        <x:v>Apr</x:v>
      </x:c>
      <x:c r="F1405" s="84" t="str">
        <x:f>'Raw Sales'!C1405</x:f>
        <x:v>CUST-0604</x:v>
      </x:c>
      <x:c r="G1405" s="84" t="str">
        <x:f>PROPER(TRIM('Raw Sales'!D1405))</x:f>
        <x:v>William Adams</x:v>
      </x:c>
      <x:c r="H1405" s="84" t="str">
        <x:f>IF(TRIM('Raw Sales'!E1405)="","Unknown",PROPER(TRIM('Raw Sales'!E1405)))</x:f>
        <x:v>Consumer</x:v>
      </x:c>
      <x:c r="I1405" s="84" t="str">
        <x:f>PROPER(TRIM('Raw Sales'!F1405))</x:f>
        <x:v>Northeast</x:v>
      </x:c>
      <x:c r="J1405" s="84" t="str">
        <x:f>PROPER(TRIM('Raw Sales'!G1405))</x:f>
        <x:v>Newark</x:v>
      </x:c>
      <x:c r="K1405" s="84" t="str">
        <x:f>PROPER(TRIM('Raw Sales'!H1405))</x:f>
        <x:v>Retail Store</x:v>
      </x:c>
      <x:c r="L1405" s="84" t="str">
        <x:f>'Raw Sales'!I1405</x:f>
        <x:v>HOME-001</x:v>
      </x:c>
      <x:c r="M1405" s="84" t="str">
        <x:f>IFERROR(VLOOKUP(L1405,'Reference Data'!$A$5:$F$40,2,FALSE),"Unknown Product")</x:f>
        <x:v>Air Fryer</x:v>
      </x:c>
      <x:c r="N1405" s="84" t="str">
        <x:f>IFERROR(VLOOKUP(L1405,'Reference Data'!$A$5:$F$40,3,FALSE),"Unknown")</x:f>
        <x:v>Home &amp; Kitchen</x:v>
      </x:c>
      <x:c r="O1405" s="84" t="str">
        <x:f>IFERROR(VLOOKUP(L1405,'Reference Data'!$A$5:$F$40,4,FALSE),"Unknown")</x:f>
        <x:v>Small Appliances</x:v>
      </x:c>
      <x:c r="P1405" s="92" t="n">
        <x:f>IFERROR(VLOOKUP(L1405,'Reference Data'!$A$5:$F$40,5,FALSE),0)</x:f>
        <x:v>119</x:v>
      </x:c>
      <x:c r="Q1405" s="92" t="n">
        <x:f>IFERROR(VLOOKUP(L1405,'Reference Data'!$A$5:$F$40,6,FALSE),0)</x:f>
        <x:v>68</x:v>
      </x:c>
      <x:c r="R1405" s="84" t="n">
        <x:f>'Raw Sales'!J1405</x:f>
        <x:v>1</x:v>
      </x:c>
      <x:c r="S1405" s="87" t="n">
        <x:f>'Raw Sales'!K1405</x:f>
        <x:v>0</x:v>
      </x:c>
      <x:c r="T1405" s="93" t="n">
        <x:f>P1405*R1405</x:f>
        <x:v>119</x:v>
      </x:c>
      <x:c r="U1405" s="93" t="n">
        <x:f>T1405*S1405</x:f>
        <x:v>0</x:v>
      </x:c>
      <x:c r="V1405" s="93" t="str">
        <x:f>PROPER(TRIM('Raw Sales'!L1405))</x:f>
        <x:v>Completed</x:v>
      </x:c>
      <x:c r="W1405" s="93" t="n">
        <x:f>IF(V1405="Returned",0,T1405-U1405)</x:f>
        <x:v>119</x:v>
      </x:c>
      <x:c r="X1405" s="93" t="n">
        <x:f>IF(V1405="Returned",Q1405*R1405*10%,Q1405*R1405)</x:f>
        <x:v>68</x:v>
      </x:c>
      <x:c r="Y1405" s="93" t="n">
        <x:f>W1405-X1405</x:f>
        <x:v>51</x:v>
      </x:c>
      <x:c r="Z1405" s="94" t="n">
        <x:f>IFERROR(Y1405/W1405,0)</x:f>
        <x:v>0.42857142857142855</x:v>
      </x:c>
      <x:c r="AA1405" s="84" t="str">
        <x:f>PROPER(TRIM('Raw Sales'!M1405))</x:f>
        <x:v>Credit Card</x:v>
      </x:c>
      <x:c r="AB1405" s="84" t="str">
        <x:f>PROPER(TRIM('Raw Sales'!N1405))</x:f>
        <x:v>Ethan Cole</x:v>
      </x:c>
      <x:c r="AC1405" s="85" t="n">
        <x:f>'Raw Sales'!O1405</x:f>
        <x:v>45760</x:v>
      </x:c>
      <x:c r="AD1405" s="84" t="n">
        <x:f>AC1405-B1405</x:f>
        <x:v>1</x:v>
      </x:c>
      <x:c r="AE1405" s="84" t="str">
        <x:f>IF(COUNTIF($A$5:A1405,A1405)&gt;1,"Duplicate","Keep")</x:f>
        <x:v>Keep</x:v>
      </x:c>
      <x:c r="AF1405" s="84" t="str">
        <x:f>IF(OR(R1405&lt;=0,AC1405&lt;B1405,H1405="Unknown",M1405="Unknown Product"),"Review","Valid")</x:f>
        <x:v>Valid</x:v>
      </x:c>
      <x:c r="AG1405" s="84" t="n">
        <x:f>IF(AND(AE1405="Keep",AF1405="Valid"),1,0)</x:f>
        <x:v>1</x:v>
      </x:c>
      <x:c r="AH1405" s="84" t="n">
        <x:f>IF(AND(AG1405=1,OR('Dashboard'!$B$4="All",I1405='Dashboard'!$B$4),OR('Dashboard'!$E$4="All",N1405='Dashboard'!$E$4),OR('Dashboard'!$H$4="All",K1405='Dashboard'!$H$4),OR('Dashboard'!$K$4="All",C1405='Dashboard'!$K$4)),1,0)</x:f>
        <x:v>1</x:v>
      </x:c>
      <x:c r="AI1405" s="84" t="n">
        <x:f>IF(AND(AG1405=1,OR('Dashboard'!$B$4="All",I1405='Dashboard'!$B$4),OR('Dashboard'!$E$4="All",N1405='Dashboard'!$E$4),OR('Dashboard'!$H$4="All",K1405='Dashboard'!$H$4)),1,0)</x:f>
        <x:v>1</x:v>
      </x:c>
    </x:row>
    <x:row r="1406">
      <x:c r="A1406" s="84" t="str">
        <x:f>'Raw Sales'!A1406</x:f>
        <x:v>ORD-2025-00091</x:v>
      </x:c>
      <x:c r="B1406" s="85" t="n">
        <x:f>'Raw Sales'!B1406</x:f>
        <x:v>45759</x:v>
      </x:c>
      <x:c r="C1406" s="84" t="n">
        <x:f>YEAR(B1406)</x:f>
        <x:v>2025</x:v>
      </x:c>
      <x:c r="D1406" s="91" t="n">
        <x:f>DATE(YEAR(B1406),MONTH(B1406),1)</x:f>
        <x:v>45748</x:v>
      </x:c>
      <x:c r="E1406" s="84" t="str">
        <x:f>TEXT(B1406,"mmm")</x:f>
        <x:v>Apr</x:v>
      </x:c>
      <x:c r="F1406" s="84" t="str">
        <x:f>'Raw Sales'!C1406</x:f>
        <x:v>CUST-0021</x:v>
      </x:c>
      <x:c r="G1406" s="84" t="str">
        <x:f>PROPER(TRIM('Raw Sales'!D1406))</x:f>
        <x:v>Elena Adams</x:v>
      </x:c>
      <x:c r="H1406" s="84" t="str">
        <x:f>IF(TRIM('Raw Sales'!E1406)="","Unknown",PROPER(TRIM('Raw Sales'!E1406)))</x:f>
        <x:v>Consumer</x:v>
      </x:c>
      <x:c r="I1406" s="84" t="str">
        <x:f>PROPER(TRIM('Raw Sales'!F1406))</x:f>
        <x:v>West</x:v>
      </x:c>
      <x:c r="J1406" s="84" t="str">
        <x:f>PROPER(TRIM('Raw Sales'!G1406))</x:f>
        <x:v>Denver</x:v>
      </x:c>
      <x:c r="K1406" s="84" t="str">
        <x:f>PROPER(TRIM('Raw Sales'!H1406))</x:f>
        <x:v>Retail Store</x:v>
      </x:c>
      <x:c r="L1406" s="84" t="str">
        <x:f>'Raw Sales'!I1406</x:f>
        <x:v>FITN-001</x:v>
      </x:c>
      <x:c r="M1406" s="84" t="str">
        <x:f>IFERROR(VLOOKUP(L1406,'Reference Data'!$A$5:$F$40,2,FALSE),"Unknown Product")</x:f>
        <x:v>Yoga Mat</x:v>
      </x:c>
      <x:c r="N1406" s="84" t="str">
        <x:f>IFERROR(VLOOKUP(L1406,'Reference Data'!$A$5:$F$40,3,FALSE),"Unknown")</x:f>
        <x:v>Fitness</x:v>
      </x:c>
      <x:c r="O1406" s="84" t="str">
        <x:f>IFERROR(VLOOKUP(L1406,'Reference Data'!$A$5:$F$40,4,FALSE),"Unknown")</x:f>
        <x:v>Yoga</x:v>
      </x:c>
      <x:c r="P1406" s="92" t="n">
        <x:f>IFERROR(VLOOKUP(L1406,'Reference Data'!$A$5:$F$40,5,FALSE),0)</x:f>
        <x:v>35</x:v>
      </x:c>
      <x:c r="Q1406" s="92" t="n">
        <x:f>IFERROR(VLOOKUP(L1406,'Reference Data'!$A$5:$F$40,6,FALSE),0)</x:f>
        <x:v>13</x:v>
      </x:c>
      <x:c r="R1406" s="84" t="n">
        <x:f>'Raw Sales'!J1406</x:f>
        <x:v>1</x:v>
      </x:c>
      <x:c r="S1406" s="87" t="n">
        <x:f>'Raw Sales'!K1406</x:f>
        <x:v>0</x:v>
      </x:c>
      <x:c r="T1406" s="93" t="n">
        <x:f>P1406*R1406</x:f>
        <x:v>35</x:v>
      </x:c>
      <x:c r="U1406" s="93" t="n">
        <x:f>T1406*S1406</x:f>
        <x:v>0</x:v>
      </x:c>
      <x:c r="V1406" s="93" t="str">
        <x:f>PROPER(TRIM('Raw Sales'!L1406))</x:f>
        <x:v>Completed</x:v>
      </x:c>
      <x:c r="W1406" s="93" t="n">
        <x:f>IF(V1406="Returned",0,T1406-U1406)</x:f>
        <x:v>35</x:v>
      </x:c>
      <x:c r="X1406" s="93" t="n">
        <x:f>IF(V1406="Returned",Q1406*R1406*10%,Q1406*R1406)</x:f>
        <x:v>13</x:v>
      </x:c>
      <x:c r="Y1406" s="93" t="n">
        <x:f>W1406-X1406</x:f>
        <x:v>22</x:v>
      </x:c>
      <x:c r="Z1406" s="94" t="n">
        <x:f>IFERROR(Y1406/W1406,0)</x:f>
        <x:v>0.6285714285714286</x:v>
      </x:c>
      <x:c r="AA1406" s="84" t="str">
        <x:f>PROPER(TRIM('Raw Sales'!M1406))</x:f>
        <x:v>Mobile Wallet</x:v>
      </x:c>
      <x:c r="AB1406" s="84" t="str">
        <x:f>PROPER(TRIM('Raw Sales'!N1406))</x:f>
        <x:v>Mia Chen</x:v>
      </x:c>
      <x:c r="AC1406" s="85" t="n">
        <x:f>'Raw Sales'!O1406</x:f>
        <x:v>45759</x:v>
      </x:c>
      <x:c r="AD1406" s="84" t="n">
        <x:f>AC1406-B1406</x:f>
        <x:v>0</x:v>
      </x:c>
      <x:c r="AE1406" s="84" t="str">
        <x:f>IF(COUNTIF($A$5:A1406,A1406)&gt;1,"Duplicate","Keep")</x:f>
        <x:v>Keep</x:v>
      </x:c>
      <x:c r="AF1406" s="84" t="str">
        <x:f>IF(OR(R1406&lt;=0,AC1406&lt;B1406,H1406="Unknown",M1406="Unknown Product"),"Review","Valid")</x:f>
        <x:v>Valid</x:v>
      </x:c>
      <x:c r="AG1406" s="84" t="n">
        <x:f>IF(AND(AE1406="Keep",AF1406="Valid"),1,0)</x:f>
        <x:v>1</x:v>
      </x:c>
      <x:c r="AH1406" s="84" t="n">
        <x:f>IF(AND(AG1406=1,OR('Dashboard'!$B$4="All",I1406='Dashboard'!$B$4),OR('Dashboard'!$E$4="All",N1406='Dashboard'!$E$4),OR('Dashboard'!$H$4="All",K1406='Dashboard'!$H$4),OR('Dashboard'!$K$4="All",C1406='Dashboard'!$K$4)),1,0)</x:f>
        <x:v>1</x:v>
      </x:c>
      <x:c r="AI1406" s="84" t="n">
        <x:f>IF(AND(AG1406=1,OR('Dashboard'!$B$4="All",I1406='Dashboard'!$B$4),OR('Dashboard'!$E$4="All",N1406='Dashboard'!$E$4),OR('Dashboard'!$H$4="All",K1406='Dashboard'!$H$4)),1,0)</x:f>
        <x:v>1</x:v>
      </x:c>
    </x:row>
    <x:row r="1407">
      <x:c r="A1407" s="84" t="str">
        <x:f>'Raw Sales'!A1407</x:f>
        <x:v>ORD-2025-00418</x:v>
      </x:c>
      <x:c r="B1407" s="85" t="n">
        <x:f>'Raw Sales'!B1407</x:f>
        <x:v>45759</x:v>
      </x:c>
      <x:c r="C1407" s="84" t="n">
        <x:f>YEAR(B1407)</x:f>
        <x:v>2025</x:v>
      </x:c>
      <x:c r="D1407" s="91" t="n">
        <x:f>DATE(YEAR(B1407),MONTH(B1407),1)</x:f>
        <x:v>45748</x:v>
      </x:c>
      <x:c r="E1407" s="84" t="str">
        <x:f>TEXT(B1407,"mmm")</x:f>
        <x:v>Apr</x:v>
      </x:c>
      <x:c r="F1407" s="84" t="str">
        <x:f>'Raw Sales'!C1407</x:f>
        <x:v>CUST-0016</x:v>
      </x:c>
      <x:c r="G1407" s="84" t="str">
        <x:f>PROPER(TRIM('Raw Sales'!D1407))</x:f>
        <x:v>Jonah Young</x:v>
      </x:c>
      <x:c r="H1407" s="84" t="str">
        <x:f>IF(TRIM('Raw Sales'!E1407)="","Unknown",PROPER(TRIM('Raw Sales'!E1407)))</x:f>
        <x:v>Consumer</x:v>
      </x:c>
      <x:c r="I1407" s="84" t="str">
        <x:f>PROPER(TRIM('Raw Sales'!F1407))</x:f>
        <x:v>Northeast</x:v>
      </x:c>
      <x:c r="J1407" s="84" t="str">
        <x:f>PROPER(TRIM('Raw Sales'!G1407))</x:f>
        <x:v>New York</x:v>
      </x:c>
      <x:c r="K1407" s="84" t="str">
        <x:f>PROPER(TRIM('Raw Sales'!H1407))</x:f>
        <x:v>Online</x:v>
      </x:c>
      <x:c r="L1407" s="84" t="str">
        <x:f>'Raw Sales'!I1407</x:f>
        <x:v>ACCS-003</x:v>
      </x:c>
      <x:c r="M1407" s="84" t="str">
        <x:f>IFERROR(VLOOKUP(L1407,'Reference Data'!$A$5:$F$40,2,FALSE),"Unknown Product")</x:f>
        <x:v>Polarized Sunglasses</x:v>
      </x:c>
      <x:c r="N1407" s="84" t="str">
        <x:f>IFERROR(VLOOKUP(L1407,'Reference Data'!$A$5:$F$40,3,FALSE),"Unknown")</x:f>
        <x:v>Accessories</x:v>
      </x:c>
      <x:c r="O1407" s="84" t="str">
        <x:f>IFERROR(VLOOKUP(L1407,'Reference Data'!$A$5:$F$40,4,FALSE),"Unknown")</x:f>
        <x:v>Eyewear</x:v>
      </x:c>
      <x:c r="P1407" s="92" t="n">
        <x:f>IFERROR(VLOOKUP(L1407,'Reference Data'!$A$5:$F$40,5,FALSE),0)</x:f>
        <x:v>59</x:v>
      </x:c>
      <x:c r="Q1407" s="92" t="n">
        <x:f>IFERROR(VLOOKUP(L1407,'Reference Data'!$A$5:$F$40,6,FALSE),0)</x:f>
        <x:v>17</x:v>
      </x:c>
      <x:c r="R1407" s="84" t="n">
        <x:f>'Raw Sales'!J1407</x:f>
        <x:v>1</x:v>
      </x:c>
      <x:c r="S1407" s="87" t="n">
        <x:f>'Raw Sales'!K1407</x:f>
        <x:v>0.1</x:v>
      </x:c>
      <x:c r="T1407" s="93" t="n">
        <x:f>P1407*R1407</x:f>
        <x:v>59</x:v>
      </x:c>
      <x:c r="U1407" s="93" t="n">
        <x:f>T1407*S1407</x:f>
        <x:v>5.9</x:v>
      </x:c>
      <x:c r="V1407" s="93" t="str">
        <x:f>PROPER(TRIM('Raw Sales'!L1407))</x:f>
        <x:v>Completed</x:v>
      </x:c>
      <x:c r="W1407" s="93" t="n">
        <x:f>IF(V1407="Returned",0,T1407-U1407)</x:f>
        <x:v>53.1</x:v>
      </x:c>
      <x:c r="X1407" s="93" t="n">
        <x:f>IF(V1407="Returned",Q1407*R1407*10%,Q1407*R1407)</x:f>
        <x:v>17</x:v>
      </x:c>
      <x:c r="Y1407" s="93" t="n">
        <x:f>W1407-X1407</x:f>
        <x:v>36.1</x:v>
      </x:c>
      <x:c r="Z1407" s="94" t="n">
        <x:f>IFERROR(Y1407/W1407,0)</x:f>
        <x:v>0.67984934086629</x:v>
      </x:c>
      <x:c r="AA1407" s="84" t="str">
        <x:f>PROPER(TRIM('Raw Sales'!M1407))</x:f>
        <x:v>Mobile Wallet</x:v>
      </x:c>
      <x:c r="AB1407" s="84" t="str">
        <x:f>PROPER(TRIM('Raw Sales'!N1407))</x:f>
        <x:v>Maya Brooks</x:v>
      </x:c>
      <x:c r="AC1407" s="85" t="n">
        <x:f>'Raw Sales'!O1407</x:f>
        <x:v>45765</x:v>
      </x:c>
      <x:c r="AD1407" s="84" t="n">
        <x:f>AC1407-B1407</x:f>
        <x:v>6</x:v>
      </x:c>
      <x:c r="AE1407" s="84" t="str">
        <x:f>IF(COUNTIF($A$5:A1407,A1407)&gt;1,"Duplicate","Keep")</x:f>
        <x:v>Keep</x:v>
      </x:c>
      <x:c r="AF1407" s="84" t="str">
        <x:f>IF(OR(R1407&lt;=0,AC1407&lt;B1407,H1407="Unknown",M1407="Unknown Product"),"Review","Valid")</x:f>
        <x:v>Valid</x:v>
      </x:c>
      <x:c r="AG1407" s="84" t="n">
        <x:f>IF(AND(AE1407="Keep",AF1407="Valid"),1,0)</x:f>
        <x:v>1</x:v>
      </x:c>
      <x:c r="AH1407" s="84" t="n">
        <x:f>IF(AND(AG1407=1,OR('Dashboard'!$B$4="All",I1407='Dashboard'!$B$4),OR('Dashboard'!$E$4="All",N1407='Dashboard'!$E$4),OR('Dashboard'!$H$4="All",K1407='Dashboard'!$H$4),OR('Dashboard'!$K$4="All",C1407='Dashboard'!$K$4)),1,0)</x:f>
        <x:v>1</x:v>
      </x:c>
      <x:c r="AI1407" s="84" t="n">
        <x:f>IF(AND(AG1407=1,OR('Dashboard'!$B$4="All",I1407='Dashboard'!$B$4),OR('Dashboard'!$E$4="All",N1407='Dashboard'!$E$4),OR('Dashboard'!$H$4="All",K1407='Dashboard'!$H$4)),1,0)</x:f>
        <x:v>1</x:v>
      </x:c>
    </x:row>
    <x:row r="1408">
      <x:c r="A1408" s="84" t="str">
        <x:f>'Raw Sales'!A1408</x:f>
        <x:v>ORD-2025-01494</x:v>
      </x:c>
      <x:c r="B1408" s="85" t="n">
        <x:f>'Raw Sales'!B1408</x:f>
        <x:v>45759</x:v>
      </x:c>
      <x:c r="C1408" s="84" t="n">
        <x:f>YEAR(B1408)</x:f>
        <x:v>2025</x:v>
      </x:c>
      <x:c r="D1408" s="91" t="n">
        <x:f>DATE(YEAR(B1408),MONTH(B1408),1)</x:f>
        <x:v>45748</x:v>
      </x:c>
      <x:c r="E1408" s="84" t="str">
        <x:f>TEXT(B1408,"mmm")</x:f>
        <x:v>Apr</x:v>
      </x:c>
      <x:c r="F1408" s="84" t="str">
        <x:f>'Raw Sales'!C1408</x:f>
        <x:v>CUST-0054</x:v>
      </x:c>
      <x:c r="G1408" s="84" t="str">
        <x:f>PROPER(TRIM('Raw Sales'!D1408))</x:f>
        <x:v>Priya Roberts</x:v>
      </x:c>
      <x:c r="H1408" s="84" t="str">
        <x:f>IF(TRIM('Raw Sales'!E1408)="","Unknown",PROPER(TRIM('Raw Sales'!E1408)))</x:f>
        <x:v>Consumer</x:v>
      </x:c>
      <x:c r="I1408" s="84" t="str">
        <x:f>PROPER(TRIM('Raw Sales'!F1408))</x:f>
        <x:v>West</x:v>
      </x:c>
      <x:c r="J1408" s="84" t="str">
        <x:f>PROPER(TRIM('Raw Sales'!G1408))</x:f>
        <x:v>Phoenix</x:v>
      </x:c>
      <x:c r="K1408" s="84" t="str">
        <x:f>PROPER(TRIM('Raw Sales'!H1408))</x:f>
        <x:v>Retail Store</x:v>
      </x:c>
      <x:c r="L1408" s="84" t="str">
        <x:f>'Raw Sales'!I1408</x:f>
        <x:v>HOME-003</x:v>
      </x:c>
      <x:c r="M1408" s="84" t="str">
        <x:f>IFERROR(VLOOKUP(L1408,'Reference Data'!$A$5:$F$40,2,FALSE),"Unknown Product")</x:f>
        <x:v>Countertop Blender</x:v>
      </x:c>
      <x:c r="N1408" s="84" t="str">
        <x:f>IFERROR(VLOOKUP(L1408,'Reference Data'!$A$5:$F$40,3,FALSE),"Unknown")</x:f>
        <x:v>Home &amp; Kitchen</x:v>
      </x:c>
      <x:c r="O1408" s="84" t="str">
        <x:f>IFERROR(VLOOKUP(L1408,'Reference Data'!$A$5:$F$40,4,FALSE),"Unknown")</x:f>
        <x:v>Small Appliances</x:v>
      </x:c>
      <x:c r="P1408" s="92" t="n">
        <x:f>IFERROR(VLOOKUP(L1408,'Reference Data'!$A$5:$F$40,5,FALSE),0)</x:f>
        <x:v>89</x:v>
      </x:c>
      <x:c r="Q1408" s="92" t="n">
        <x:f>IFERROR(VLOOKUP(L1408,'Reference Data'!$A$5:$F$40,6,FALSE),0)</x:f>
        <x:v>46</x:v>
      </x:c>
      <x:c r="R1408" s="84" t="n">
        <x:f>'Raw Sales'!J1408</x:f>
        <x:v>1</x:v>
      </x:c>
      <x:c r="S1408" s="87" t="n">
        <x:f>'Raw Sales'!K1408</x:f>
        <x:v>0.1</x:v>
      </x:c>
      <x:c r="T1408" s="93" t="n">
        <x:f>P1408*R1408</x:f>
        <x:v>89</x:v>
      </x:c>
      <x:c r="U1408" s="93" t="n">
        <x:f>T1408*S1408</x:f>
        <x:v>8.9</x:v>
      </x:c>
      <x:c r="V1408" s="93" t="str">
        <x:f>PROPER(TRIM('Raw Sales'!L1408))</x:f>
        <x:v>Completed</x:v>
      </x:c>
      <x:c r="W1408" s="93" t="n">
        <x:f>IF(V1408="Returned",0,T1408-U1408)</x:f>
        <x:v>80.1</x:v>
      </x:c>
      <x:c r="X1408" s="93" t="n">
        <x:f>IF(V1408="Returned",Q1408*R1408*10%,Q1408*R1408)</x:f>
        <x:v>46</x:v>
      </x:c>
      <x:c r="Y1408" s="93" t="n">
        <x:f>W1408-X1408</x:f>
        <x:v>34.099999999999994</x:v>
      </x:c>
      <x:c r="Z1408" s="94" t="n">
        <x:f>IFERROR(Y1408/W1408,0)</x:f>
        <x:v>0.4257178526841448</x:v>
      </x:c>
      <x:c r="AA1408" s="84" t="str">
        <x:f>PROPER(TRIM('Raw Sales'!M1408))</x:f>
        <x:v>Debit Card</x:v>
      </x:c>
      <x:c r="AB1408" s="84" t="str">
        <x:f>PROPER(TRIM('Raw Sales'!N1408))</x:f>
        <x:v>Mia Chen</x:v>
      </x:c>
      <x:c r="AC1408" s="85" t="n">
        <x:f>'Raw Sales'!O1408</x:f>
        <x:v>45759</x:v>
      </x:c>
      <x:c r="AD1408" s="84" t="n">
        <x:f>AC1408-B1408</x:f>
        <x:v>0</x:v>
      </x:c>
      <x:c r="AE1408" s="84" t="str">
        <x:f>IF(COUNTIF($A$5:A1408,A1408)&gt;1,"Duplicate","Keep")</x:f>
        <x:v>Keep</x:v>
      </x:c>
      <x:c r="AF1408" s="84" t="str">
        <x:f>IF(OR(R1408&lt;=0,AC1408&lt;B1408,H1408="Unknown",M1408="Unknown Product"),"Review","Valid")</x:f>
        <x:v>Valid</x:v>
      </x:c>
      <x:c r="AG1408" s="84" t="n">
        <x:f>IF(AND(AE1408="Keep",AF1408="Valid"),1,0)</x:f>
        <x:v>1</x:v>
      </x:c>
      <x:c r="AH1408" s="84" t="n">
        <x:f>IF(AND(AG1408=1,OR('Dashboard'!$B$4="All",I1408='Dashboard'!$B$4),OR('Dashboard'!$E$4="All",N1408='Dashboard'!$E$4),OR('Dashboard'!$H$4="All",K1408='Dashboard'!$H$4),OR('Dashboard'!$K$4="All",C1408='Dashboard'!$K$4)),1,0)</x:f>
        <x:v>1</x:v>
      </x:c>
      <x:c r="AI1408" s="84" t="n">
        <x:f>IF(AND(AG1408=1,OR('Dashboard'!$B$4="All",I1408='Dashboard'!$B$4),OR('Dashboard'!$E$4="All",N1408='Dashboard'!$E$4),OR('Dashboard'!$H$4="All",K1408='Dashboard'!$H$4)),1,0)</x:f>
        <x:v>1</x:v>
      </x:c>
    </x:row>
    <x:row r="1409">
      <x:c r="A1409" s="84" t="str">
        <x:f>'Raw Sales'!A1409</x:f>
        <x:v>ORD-2025-01681</x:v>
      </x:c>
      <x:c r="B1409" s="85" t="n">
        <x:f>'Raw Sales'!B1409</x:f>
        <x:v>45759</x:v>
      </x:c>
      <x:c r="C1409" s="84" t="n">
        <x:f>YEAR(B1409)</x:f>
        <x:v>2025</x:v>
      </x:c>
      <x:c r="D1409" s="91" t="n">
        <x:f>DATE(YEAR(B1409),MONTH(B1409),1)</x:f>
        <x:v>45748</x:v>
      </x:c>
      <x:c r="E1409" s="84" t="str">
        <x:f>TEXT(B1409,"mmm")</x:f>
        <x:v>Apr</x:v>
      </x:c>
      <x:c r="F1409" s="84" t="str">
        <x:f>'Raw Sales'!C1409</x:f>
        <x:v>CUST-0011</x:v>
      </x:c>
      <x:c r="G1409" s="84" t="str">
        <x:f>PROPER(TRIM('Raw Sales'!D1409))</x:f>
        <x:v>Priya Hall</x:v>
      </x:c>
      <x:c r="H1409" s="84" t="str">
        <x:f>IF(TRIM('Raw Sales'!E1409)="","Unknown",PROPER(TRIM('Raw Sales'!E1409)))</x:f>
        <x:v>Consumer</x:v>
      </x:c>
      <x:c r="I1409" s="84" t="str">
        <x:f>PROPER(TRIM('Raw Sales'!F1409))</x:f>
        <x:v>Midwest</x:v>
      </x:c>
      <x:c r="J1409" s="84" t="str">
        <x:f>PROPER(TRIM('Raw Sales'!G1409))</x:f>
        <x:v>Minneapolis</x:v>
      </x:c>
      <x:c r="K1409" s="84" t="str">
        <x:f>PROPER(TRIM('Raw Sales'!H1409))</x:f>
        <x:v>Online</x:v>
      </x:c>
      <x:c r="L1409" s="84" t="str">
        <x:f>'Raw Sales'!I1409</x:f>
        <x:v>OFFC-004</x:v>
      </x:c>
      <x:c r="M1409" s="84" t="str">
        <x:f>IFERROR(VLOOKUP(L1409,'Reference Data'!$A$5:$F$40,2,FALSE),"Unknown Product")</x:f>
        <x:v>Premium Notebook Pack</x:v>
      </x:c>
      <x:c r="N1409" s="84" t="str">
        <x:f>IFERROR(VLOOKUP(L1409,'Reference Data'!$A$5:$F$40,3,FALSE),"Unknown")</x:f>
        <x:v>Office</x:v>
      </x:c>
      <x:c r="O1409" s="84" t="str">
        <x:f>IFERROR(VLOOKUP(L1409,'Reference Data'!$A$5:$F$40,4,FALSE),"Unknown")</x:f>
        <x:v>Stationery</x:v>
      </x:c>
      <x:c r="P1409" s="92" t="n">
        <x:f>IFERROR(VLOOKUP(L1409,'Reference Data'!$A$5:$F$40,5,FALSE),0)</x:f>
        <x:v>18</x:v>
      </x:c>
      <x:c r="Q1409" s="92" t="n">
        <x:f>IFERROR(VLOOKUP(L1409,'Reference Data'!$A$5:$F$40,6,FALSE),0)</x:f>
        <x:v>6.5</x:v>
      </x:c>
      <x:c r="R1409" s="84" t="n">
        <x:f>'Raw Sales'!J1409</x:f>
        <x:v>1</x:v>
      </x:c>
      <x:c r="S1409" s="87" t="n">
        <x:f>'Raw Sales'!K1409</x:f>
        <x:v>0.05</x:v>
      </x:c>
      <x:c r="T1409" s="93" t="n">
        <x:f>P1409*R1409</x:f>
        <x:v>18</x:v>
      </x:c>
      <x:c r="U1409" s="93" t="n">
        <x:f>T1409*S1409</x:f>
        <x:v>0.9</x:v>
      </x:c>
      <x:c r="V1409" s="93" t="str">
        <x:f>PROPER(TRIM('Raw Sales'!L1409))</x:f>
        <x:v>Completed</x:v>
      </x:c>
      <x:c r="W1409" s="93" t="n">
        <x:f>IF(V1409="Returned",0,T1409-U1409)</x:f>
        <x:v>17.1</x:v>
      </x:c>
      <x:c r="X1409" s="93" t="n">
        <x:f>IF(V1409="Returned",Q1409*R1409*10%,Q1409*R1409)</x:f>
        <x:v>6.5</x:v>
      </x:c>
      <x:c r="Y1409" s="93" t="n">
        <x:f>W1409-X1409</x:f>
        <x:v>10.600000000000001</x:v>
      </x:c>
      <x:c r="Z1409" s="94" t="n">
        <x:f>IFERROR(Y1409/W1409,0)</x:f>
        <x:v>0.6198830409356726</x:v>
      </x:c>
      <x:c r="AA1409" s="84" t="str">
        <x:f>PROPER(TRIM('Raw Sales'!M1409))</x:f>
        <x:v>Paypal</x:v>
      </x:c>
      <x:c r="AB1409" s="84" t="str">
        <x:f>PROPER(TRIM('Raw Sales'!N1409))</x:f>
        <x:v>Lucas Grant</x:v>
      </x:c>
      <x:c r="AC1409" s="85" t="n">
        <x:f>'Raw Sales'!O1409</x:f>
        <x:v>45762</x:v>
      </x:c>
      <x:c r="AD1409" s="84" t="n">
        <x:f>AC1409-B1409</x:f>
        <x:v>3</x:v>
      </x:c>
      <x:c r="AE1409" s="84" t="str">
        <x:f>IF(COUNTIF($A$5:A1409,A1409)&gt;1,"Duplicate","Keep")</x:f>
        <x:v>Keep</x:v>
      </x:c>
      <x:c r="AF1409" s="84" t="str">
        <x:f>IF(OR(R1409&lt;=0,AC1409&lt;B1409,H1409="Unknown",M1409="Unknown Product"),"Review","Valid")</x:f>
        <x:v>Valid</x:v>
      </x:c>
      <x:c r="AG1409" s="84" t="n">
        <x:f>IF(AND(AE1409="Keep",AF1409="Valid"),1,0)</x:f>
        <x:v>1</x:v>
      </x:c>
      <x:c r="AH1409" s="84" t="n">
        <x:f>IF(AND(AG1409=1,OR('Dashboard'!$B$4="All",I1409='Dashboard'!$B$4),OR('Dashboard'!$E$4="All",N1409='Dashboard'!$E$4),OR('Dashboard'!$H$4="All",K1409='Dashboard'!$H$4),OR('Dashboard'!$K$4="All",C1409='Dashboard'!$K$4)),1,0)</x:f>
        <x:v>1</x:v>
      </x:c>
      <x:c r="AI1409" s="84" t="n">
        <x:f>IF(AND(AG1409=1,OR('Dashboard'!$B$4="All",I1409='Dashboard'!$B$4),OR('Dashboard'!$E$4="All",N1409='Dashboard'!$E$4),OR('Dashboard'!$H$4="All",K1409='Dashboard'!$H$4)),1,0)</x:f>
        <x:v>1</x:v>
      </x:c>
    </x:row>
    <x:row r="1410">
      <x:c r="A1410" s="84" t="str">
        <x:f>'Raw Sales'!A1410</x:f>
        <x:v>ORD-2025-00516</x:v>
      </x:c>
      <x:c r="B1410" s="85" t="n">
        <x:f>'Raw Sales'!B1410</x:f>
        <x:v>45760</x:v>
      </x:c>
      <x:c r="C1410" s="84" t="n">
        <x:f>YEAR(B1410)</x:f>
        <x:v>2025</x:v>
      </x:c>
      <x:c r="D1410" s="91" t="n">
        <x:f>DATE(YEAR(B1410),MONTH(B1410),1)</x:f>
        <x:v>45748</x:v>
      </x:c>
      <x:c r="E1410" s="84" t="str">
        <x:f>TEXT(B1410,"mmm")</x:f>
        <x:v>Apr</x:v>
      </x:c>
      <x:c r="F1410" s="84" t="str">
        <x:f>'Raw Sales'!C1410</x:f>
        <x:v>CUST-0261</x:v>
      </x:c>
      <x:c r="G1410" s="84" t="str">
        <x:f>PROPER(TRIM('Raw Sales'!D1410))</x:f>
        <x:v>Elias Evans</x:v>
      </x:c>
      <x:c r="H1410" s="84" t="str">
        <x:f>IF(TRIM('Raw Sales'!E1410)="","Unknown",PROPER(TRIM('Raw Sales'!E1410)))</x:f>
        <x:v>Consumer</x:v>
      </x:c>
      <x:c r="I1410" s="84" t="str">
        <x:f>PROPER(TRIM('Raw Sales'!F1410))</x:f>
        <x:v>Northeast</x:v>
      </x:c>
      <x:c r="J1410" s="84" t="str">
        <x:f>PROPER(TRIM('Raw Sales'!G1410))</x:f>
        <x:v>Philadelphia</x:v>
      </x:c>
      <x:c r="K1410" s="84" t="str">
        <x:f>PROPER(TRIM('Raw Sales'!H1410))</x:f>
        <x:v>Retail Store</x:v>
      </x:c>
      <x:c r="L1410" s="84" t="str">
        <x:f>'Raw Sales'!I1410</x:f>
        <x:v>CARE-005</x:v>
      </x:c>
      <x:c r="M1410" s="84" t="str">
        <x:f>IFERROR(VLOOKUP(L1410,'Reference Data'!$A$5:$F$40,2,FALSE),"Unknown Product")</x:f>
        <x:v>Skin Care Starter Kit</x:v>
      </x:c>
      <x:c r="N1410" s="84" t="str">
        <x:f>IFERROR(VLOOKUP(L1410,'Reference Data'!$A$5:$F$40,3,FALSE),"Unknown")</x:f>
        <x:v>Personal Care</x:v>
      </x:c>
      <x:c r="O1410" s="84" t="str">
        <x:f>IFERROR(VLOOKUP(L1410,'Reference Data'!$A$5:$F$40,4,FALSE),"Unknown")</x:f>
        <x:v>Skin Care</x:v>
      </x:c>
      <x:c r="P1410" s="92" t="n">
        <x:f>IFERROR(VLOOKUP(L1410,'Reference Data'!$A$5:$F$40,5,FALSE),0)</x:f>
        <x:v>58</x:v>
      </x:c>
      <x:c r="Q1410" s="92" t="n">
        <x:f>IFERROR(VLOOKUP(L1410,'Reference Data'!$A$5:$F$40,6,FALSE),0)</x:f>
        <x:v>24</x:v>
      </x:c>
      <x:c r="R1410" s="84" t="n">
        <x:f>'Raw Sales'!J1410</x:f>
        <x:v>2</x:v>
      </x:c>
      <x:c r="S1410" s="87" t="n">
        <x:f>'Raw Sales'!K1410</x:f>
        <x:v>0.2</x:v>
      </x:c>
      <x:c r="T1410" s="93" t="n">
        <x:f>P1410*R1410</x:f>
        <x:v>116</x:v>
      </x:c>
      <x:c r="U1410" s="93" t="n">
        <x:f>T1410*S1410</x:f>
        <x:v>23.200000000000003</x:v>
      </x:c>
      <x:c r="V1410" s="93" t="str">
        <x:f>PROPER(TRIM('Raw Sales'!L1410))</x:f>
        <x:v>Completed</x:v>
      </x:c>
      <x:c r="W1410" s="93" t="n">
        <x:f>IF(V1410="Returned",0,T1410-U1410)</x:f>
        <x:v>92.8</x:v>
      </x:c>
      <x:c r="X1410" s="93" t="n">
        <x:f>IF(V1410="Returned",Q1410*R1410*10%,Q1410*R1410)</x:f>
        <x:v>48</x:v>
      </x:c>
      <x:c r="Y1410" s="93" t="n">
        <x:f>W1410-X1410</x:f>
        <x:v>44.8</x:v>
      </x:c>
      <x:c r="Z1410" s="94" t="n">
        <x:f>IFERROR(Y1410/W1410,0)</x:f>
        <x:v>0.48275862068965514</x:v>
      </x:c>
      <x:c r="AA1410" s="84" t="str">
        <x:f>PROPER(TRIM('Raw Sales'!M1410))</x:f>
        <x:v>Debit Card</x:v>
      </x:c>
      <x:c r="AB1410" s="84" t="str">
        <x:f>PROPER(TRIM('Raw Sales'!N1410))</x:f>
        <x:v>Ethan Cole</x:v>
      </x:c>
      <x:c r="AC1410" s="85" t="n">
        <x:f>'Raw Sales'!O1410</x:f>
        <x:v>45761</x:v>
      </x:c>
      <x:c r="AD1410" s="84" t="n">
        <x:f>AC1410-B1410</x:f>
        <x:v>1</x:v>
      </x:c>
      <x:c r="AE1410" s="84" t="str">
        <x:f>IF(COUNTIF($A$5:A1410,A1410)&gt;1,"Duplicate","Keep")</x:f>
        <x:v>Keep</x:v>
      </x:c>
      <x:c r="AF1410" s="84" t="str">
        <x:f>IF(OR(R1410&lt;=0,AC1410&lt;B1410,H1410="Unknown",M1410="Unknown Product"),"Review","Valid")</x:f>
        <x:v>Valid</x:v>
      </x:c>
      <x:c r="AG1410" s="84" t="n">
        <x:f>IF(AND(AE1410="Keep",AF1410="Valid"),1,0)</x:f>
        <x:v>1</x:v>
      </x:c>
      <x:c r="AH1410" s="84" t="n">
        <x:f>IF(AND(AG1410=1,OR('Dashboard'!$B$4="All",I1410='Dashboard'!$B$4),OR('Dashboard'!$E$4="All",N1410='Dashboard'!$E$4),OR('Dashboard'!$H$4="All",K1410='Dashboard'!$H$4),OR('Dashboard'!$K$4="All",C1410='Dashboard'!$K$4)),1,0)</x:f>
        <x:v>1</x:v>
      </x:c>
      <x:c r="AI1410" s="84" t="n">
        <x:f>IF(AND(AG1410=1,OR('Dashboard'!$B$4="All",I1410='Dashboard'!$B$4),OR('Dashboard'!$E$4="All",N1410='Dashboard'!$E$4),OR('Dashboard'!$H$4="All",K1410='Dashboard'!$H$4)),1,0)</x:f>
        <x:v>1</x:v>
      </x:c>
    </x:row>
    <x:row r="1411">
      <x:c r="A1411" s="84" t="str">
        <x:f>'Raw Sales'!A1411</x:f>
        <x:v>ORD-2025-01319</x:v>
      </x:c>
      <x:c r="B1411" s="85" t="n">
        <x:f>'Raw Sales'!B1411</x:f>
        <x:v>45760</x:v>
      </x:c>
      <x:c r="C1411" s="84" t="n">
        <x:f>YEAR(B1411)</x:f>
        <x:v>2025</x:v>
      </x:c>
      <x:c r="D1411" s="91" t="n">
        <x:f>DATE(YEAR(B1411),MONTH(B1411),1)</x:f>
        <x:v>45748</x:v>
      </x:c>
      <x:c r="E1411" s="84" t="str">
        <x:f>TEXT(B1411,"mmm")</x:f>
        <x:v>Apr</x:v>
      </x:c>
      <x:c r="F1411" s="84" t="str">
        <x:f>'Raw Sales'!C1411</x:f>
        <x:v>CUST-0111</x:v>
      </x:c>
      <x:c r="G1411" s="84" t="str">
        <x:f>PROPER(TRIM('Raw Sales'!D1411))</x:f>
        <x:v>Elias Evans</x:v>
      </x:c>
      <x:c r="H1411" s="84" t="str">
        <x:f>IF(TRIM('Raw Sales'!E1411)="","Unknown",PROPER(TRIM('Raw Sales'!E1411)))</x:f>
        <x:v>Small Business</x:v>
      </x:c>
      <x:c r="I1411" s="84" t="str">
        <x:f>PROPER(TRIM('Raw Sales'!F1411))</x:f>
        <x:v>Northeast</x:v>
      </x:c>
      <x:c r="J1411" s="84" t="str">
        <x:f>PROPER(TRIM('Raw Sales'!G1411))</x:f>
        <x:v>New York</x:v>
      </x:c>
      <x:c r="K1411" s="84" t="str">
        <x:f>PROPER(TRIM('Raw Sales'!H1411))</x:f>
        <x:v>Marketplace</x:v>
      </x:c>
      <x:c r="L1411" s="84" t="str">
        <x:f>'Raw Sales'!I1411</x:f>
        <x:v>HOME-006</x:v>
      </x:c>
      <x:c r="M1411" s="84" t="str">
        <x:f>IFERROR(VLOOKUP(L1411,'Reference Data'!$A$5:$F$40,2,FALSE),"Unknown Product")</x:f>
        <x:v>Food Storage Set</x:v>
      </x:c>
      <x:c r="N1411" s="84" t="str">
        <x:f>IFERROR(VLOOKUP(L1411,'Reference Data'!$A$5:$F$40,3,FALSE),"Unknown")</x:f>
        <x:v>Home &amp; Kitchen</x:v>
      </x:c>
      <x:c r="O1411" s="84" t="str">
        <x:f>IFERROR(VLOOKUP(L1411,'Reference Data'!$A$5:$F$40,4,FALSE),"Unknown")</x:f>
        <x:v>Kitchenware</x:v>
      </x:c>
      <x:c r="P1411" s="92" t="n">
        <x:f>IFERROR(VLOOKUP(L1411,'Reference Data'!$A$5:$F$40,5,FALSE),0)</x:f>
        <x:v>34</x:v>
      </x:c>
      <x:c r="Q1411" s="92" t="n">
        <x:f>IFERROR(VLOOKUP(L1411,'Reference Data'!$A$5:$F$40,6,FALSE),0)</x:f>
        <x:v>15</x:v>
      </x:c>
      <x:c r="R1411" s="84" t="n">
        <x:f>'Raw Sales'!J1411</x:f>
        <x:v>1</x:v>
      </x:c>
      <x:c r="S1411" s="87" t="n">
        <x:f>'Raw Sales'!K1411</x:f>
        <x:v>0.05</x:v>
      </x:c>
      <x:c r="T1411" s="93" t="n">
        <x:f>P1411*R1411</x:f>
        <x:v>34</x:v>
      </x:c>
      <x:c r="U1411" s="93" t="n">
        <x:f>T1411*S1411</x:f>
        <x:v>1.7000000000000002</x:v>
      </x:c>
      <x:c r="V1411" s="93" t="str">
        <x:f>PROPER(TRIM('Raw Sales'!L1411))</x:f>
        <x:v>Completed</x:v>
      </x:c>
      <x:c r="W1411" s="93" t="n">
        <x:f>IF(V1411="Returned",0,T1411-U1411)</x:f>
        <x:v>32.3</x:v>
      </x:c>
      <x:c r="X1411" s="93" t="n">
        <x:f>IF(V1411="Returned",Q1411*R1411*10%,Q1411*R1411)</x:f>
        <x:v>15</x:v>
      </x:c>
      <x:c r="Y1411" s="93" t="n">
        <x:f>W1411-X1411</x:f>
        <x:v>17.299999999999997</x:v>
      </x:c>
      <x:c r="Z1411" s="94" t="n">
        <x:f>IFERROR(Y1411/W1411,0)</x:f>
        <x:v>0.5356037151702786</x:v>
      </x:c>
      <x:c r="AA1411" s="84" t="str">
        <x:f>PROPER(TRIM('Raw Sales'!M1411))</x:f>
        <x:v>Paypal</x:v>
      </x:c>
      <x:c r="AB1411" s="84" t="str">
        <x:f>PROPER(TRIM('Raw Sales'!N1411))</x:f>
        <x:v>Maya Brooks</x:v>
      </x:c>
      <x:c r="AC1411" s="85" t="n">
        <x:f>'Raw Sales'!O1411</x:f>
        <x:v>45765</x:v>
      </x:c>
      <x:c r="AD1411" s="84" t="n">
        <x:f>AC1411-B1411</x:f>
        <x:v>5</x:v>
      </x:c>
      <x:c r="AE1411" s="84" t="str">
        <x:f>IF(COUNTIF($A$5:A1411,A1411)&gt;1,"Duplicate","Keep")</x:f>
        <x:v>Keep</x:v>
      </x:c>
      <x:c r="AF1411" s="84" t="str">
        <x:f>IF(OR(R1411&lt;=0,AC1411&lt;B1411,H1411="Unknown",M1411="Unknown Product"),"Review","Valid")</x:f>
        <x:v>Valid</x:v>
      </x:c>
      <x:c r="AG1411" s="84" t="n">
        <x:f>IF(AND(AE1411="Keep",AF1411="Valid"),1,0)</x:f>
        <x:v>1</x:v>
      </x:c>
      <x:c r="AH1411" s="84" t="n">
        <x:f>IF(AND(AG1411=1,OR('Dashboard'!$B$4="All",I1411='Dashboard'!$B$4),OR('Dashboard'!$E$4="All",N1411='Dashboard'!$E$4),OR('Dashboard'!$H$4="All",K1411='Dashboard'!$H$4),OR('Dashboard'!$K$4="All",C1411='Dashboard'!$K$4)),1,0)</x:f>
        <x:v>1</x:v>
      </x:c>
      <x:c r="AI1411" s="84" t="n">
        <x:f>IF(AND(AG1411=1,OR('Dashboard'!$B$4="All",I1411='Dashboard'!$B$4),OR('Dashboard'!$E$4="All",N1411='Dashboard'!$E$4),OR('Dashboard'!$H$4="All",K1411='Dashboard'!$H$4)),1,0)</x:f>
        <x:v>1</x:v>
      </x:c>
    </x:row>
    <x:row r="1412">
      <x:c r="A1412" s="84" t="str">
        <x:f>'Raw Sales'!A1412</x:f>
        <x:v>ORD-2025-00054</x:v>
      </x:c>
      <x:c r="B1412" s="85" t="n">
        <x:f>'Raw Sales'!B1412</x:f>
        <x:v>45761</x:v>
      </x:c>
      <x:c r="C1412" s="84" t="n">
        <x:f>YEAR(B1412)</x:f>
        <x:v>2025</x:v>
      </x:c>
      <x:c r="D1412" s="91" t="n">
        <x:f>DATE(YEAR(B1412),MONTH(B1412),1)</x:f>
        <x:v>45748</x:v>
      </x:c>
      <x:c r="E1412" s="84" t="str">
        <x:f>TEXT(B1412,"mmm")</x:f>
        <x:v>Apr</x:v>
      </x:c>
      <x:c r="F1412" s="84" t="str">
        <x:f>'Raw Sales'!C1412</x:f>
        <x:v>CUST-0173</x:v>
      </x:c>
      <x:c r="G1412" s="84" t="str">
        <x:f>PROPER(TRIM('Raw Sales'!D1412))</x:f>
        <x:v>Theo Evans</x:v>
      </x:c>
      <x:c r="H1412" s="84" t="str">
        <x:f>IF(TRIM('Raw Sales'!E1412)="","Unknown",PROPER(TRIM('Raw Sales'!E1412)))</x:f>
        <x:v>Consumer</x:v>
      </x:c>
      <x:c r="I1412" s="84" t="str">
        <x:f>PROPER(TRIM('Raw Sales'!F1412))</x:f>
        <x:v>Northeast</x:v>
      </x:c>
      <x:c r="J1412" s="84" t="str">
        <x:f>PROPER(TRIM('Raw Sales'!G1412))</x:f>
        <x:v>Boston</x:v>
      </x:c>
      <x:c r="K1412" s="84" t="str">
        <x:f>PROPER(TRIM('Raw Sales'!H1412))</x:f>
        <x:v>Retail Store</x:v>
      </x:c>
      <x:c r="L1412" s="84" t="str">
        <x:f>'Raw Sales'!I1412</x:f>
        <x:v>OFFC-006</x:v>
      </x:c>
      <x:c r="M1412" s="84" t="str">
        <x:f>IFERROR(VLOOKUP(L1412,'Reference Data'!$A$5:$F$40,2,FALSE),"Unknown Product")</x:f>
        <x:v>Monitor Stand</x:v>
      </x:c>
      <x:c r="N1412" s="84" t="str">
        <x:f>IFERROR(VLOOKUP(L1412,'Reference Data'!$A$5:$F$40,3,FALSE),"Unknown")</x:f>
        <x:v>Office</x:v>
      </x:c>
      <x:c r="O1412" s="84" t="str">
        <x:f>IFERROR(VLOOKUP(L1412,'Reference Data'!$A$5:$F$40,4,FALSE),"Unknown")</x:f>
        <x:v>Desk Accessories</x:v>
      </x:c>
      <x:c r="P1412" s="92" t="n">
        <x:f>IFERROR(VLOOKUP(L1412,'Reference Data'!$A$5:$F$40,5,FALSE),0)</x:f>
        <x:v>49</x:v>
      </x:c>
      <x:c r="Q1412" s="92" t="n">
        <x:f>IFERROR(VLOOKUP(L1412,'Reference Data'!$A$5:$F$40,6,FALSE),0)</x:f>
        <x:v>21</x:v>
      </x:c>
      <x:c r="R1412" s="84" t="n">
        <x:f>'Raw Sales'!J1412</x:f>
        <x:v>2</x:v>
      </x:c>
      <x:c r="S1412" s="87" t="n">
        <x:f>'Raw Sales'!K1412</x:f>
        <x:v>0.05</x:v>
      </x:c>
      <x:c r="T1412" s="93" t="n">
        <x:f>P1412*R1412</x:f>
        <x:v>98</x:v>
      </x:c>
      <x:c r="U1412" s="93" t="n">
        <x:f>T1412*S1412</x:f>
        <x:v>4.9</x:v>
      </x:c>
      <x:c r="V1412" s="93" t="str">
        <x:f>PROPER(TRIM('Raw Sales'!L1412))</x:f>
        <x:v>Completed</x:v>
      </x:c>
      <x:c r="W1412" s="93" t="n">
        <x:f>IF(V1412="Returned",0,T1412-U1412)</x:f>
        <x:v>93.1</x:v>
      </x:c>
      <x:c r="X1412" s="93" t="n">
        <x:f>IF(V1412="Returned",Q1412*R1412*10%,Q1412*R1412)</x:f>
        <x:v>42</x:v>
      </x:c>
      <x:c r="Y1412" s="93" t="n">
        <x:f>W1412-X1412</x:f>
        <x:v>51.099999999999994</x:v>
      </x:c>
      <x:c r="Z1412" s="94" t="n">
        <x:f>IFERROR(Y1412/W1412,0)</x:f>
        <x:v>0.5488721804511278</x:v>
      </x:c>
      <x:c r="AA1412" s="84" t="str">
        <x:f>PROPER(TRIM('Raw Sales'!M1412))</x:f>
        <x:v>Mobile Wallet</x:v>
      </x:c>
      <x:c r="AB1412" s="84" t="str">
        <x:f>PROPER(TRIM('Raw Sales'!N1412))</x:f>
        <x:v>Ethan Cole</x:v>
      </x:c>
      <x:c r="AC1412" s="85" t="n">
        <x:f>'Raw Sales'!O1412</x:f>
        <x:v>45761</x:v>
      </x:c>
      <x:c r="AD1412" s="84" t="n">
        <x:f>AC1412-B1412</x:f>
        <x:v>0</x:v>
      </x:c>
      <x:c r="AE1412" s="84" t="str">
        <x:f>IF(COUNTIF($A$5:A1412,A1412)&gt;1,"Duplicate","Keep")</x:f>
        <x:v>Keep</x:v>
      </x:c>
      <x:c r="AF1412" s="84" t="str">
        <x:f>IF(OR(R1412&lt;=0,AC1412&lt;B1412,H1412="Unknown",M1412="Unknown Product"),"Review","Valid")</x:f>
        <x:v>Valid</x:v>
      </x:c>
      <x:c r="AG1412" s="84" t="n">
        <x:f>IF(AND(AE1412="Keep",AF1412="Valid"),1,0)</x:f>
        <x:v>1</x:v>
      </x:c>
      <x:c r="AH1412" s="84" t="n">
        <x:f>IF(AND(AG1412=1,OR('Dashboard'!$B$4="All",I1412='Dashboard'!$B$4),OR('Dashboard'!$E$4="All",N1412='Dashboard'!$E$4),OR('Dashboard'!$H$4="All",K1412='Dashboard'!$H$4),OR('Dashboard'!$K$4="All",C1412='Dashboard'!$K$4)),1,0)</x:f>
        <x:v>1</x:v>
      </x:c>
      <x:c r="AI1412" s="84" t="n">
        <x:f>IF(AND(AG1412=1,OR('Dashboard'!$B$4="All",I1412='Dashboard'!$B$4),OR('Dashboard'!$E$4="All",N1412='Dashboard'!$E$4),OR('Dashboard'!$H$4="All",K1412='Dashboard'!$H$4)),1,0)</x:f>
        <x:v>1</x:v>
      </x:c>
    </x:row>
    <x:row r="1413">
      <x:c r="A1413" s="84" t="str">
        <x:f>'Raw Sales'!A1413</x:f>
        <x:v>ORD-2025-01645</x:v>
      </x:c>
      <x:c r="B1413" s="85" t="n">
        <x:f>'Raw Sales'!B1413</x:f>
        <x:v>45761</x:v>
      </x:c>
      <x:c r="C1413" s="84" t="n">
        <x:f>YEAR(B1413)</x:f>
        <x:v>2025</x:v>
      </x:c>
      <x:c r="D1413" s="91" t="n">
        <x:f>DATE(YEAR(B1413),MONTH(B1413),1)</x:f>
        <x:v>45748</x:v>
      </x:c>
      <x:c r="E1413" s="84" t="str">
        <x:f>TEXT(B1413,"mmm")</x:f>
        <x:v>Apr</x:v>
      </x:c>
      <x:c r="F1413" s="84" t="str">
        <x:f>'Raw Sales'!C1413</x:f>
        <x:v>CUST-0490</x:v>
      </x:c>
      <x:c r="G1413" s="84" t="str">
        <x:f>PROPER(TRIM('Raw Sales'!D1413))</x:f>
        <x:v>Maya Nelson</x:v>
      </x:c>
      <x:c r="H1413" s="84" t="str">
        <x:f>IF(TRIM('Raw Sales'!E1413)="","Unknown",PROPER(TRIM('Raw Sales'!E1413)))</x:f>
        <x:v>Small Business</x:v>
      </x:c>
      <x:c r="I1413" s="84" t="str">
        <x:f>PROPER(TRIM('Raw Sales'!F1413))</x:f>
        <x:v>Northeast</x:v>
      </x:c>
      <x:c r="J1413" s="84" t="str">
        <x:f>PROPER(TRIM('Raw Sales'!G1413))</x:f>
        <x:v>Philadelphia</x:v>
      </x:c>
      <x:c r="K1413" s="84" t="str">
        <x:f>PROPER(TRIM('Raw Sales'!H1413))</x:f>
        <x:v>Retail Store</x:v>
      </x:c>
      <x:c r="L1413" s="84" t="str">
        <x:f>'Raw Sales'!I1413</x:f>
        <x:v>ELEC-004</x:v>
      </x:c>
      <x:c r="M1413" s="84" t="str">
        <x:f>IFERROR(VLOOKUP(L1413,'Reference Data'!$A$5:$F$40,2,FALSE),"Unknown Product")</x:f>
        <x:v>Power Bank</x:v>
      </x:c>
      <x:c r="N1413" s="84" t="str">
        <x:f>IFERROR(VLOOKUP(L1413,'Reference Data'!$A$5:$F$40,3,FALSE),"Unknown")</x:f>
        <x:v>Electronics</x:v>
      </x:c>
      <x:c r="O1413" s="84" t="str">
        <x:f>IFERROR(VLOOKUP(L1413,'Reference Data'!$A$5:$F$40,4,FALSE),"Unknown")</x:f>
        <x:v>Mobile Accessories</x:v>
      </x:c>
      <x:c r="P1413" s="92" t="n">
        <x:f>IFERROR(VLOOKUP(L1413,'Reference Data'!$A$5:$F$40,5,FALSE),0)</x:f>
        <x:v>39</x:v>
      </x:c>
      <x:c r="Q1413" s="92" t="n">
        <x:f>IFERROR(VLOOKUP(L1413,'Reference Data'!$A$5:$F$40,6,FALSE),0)</x:f>
        <x:v>18</x:v>
      </x:c>
      <x:c r="R1413" s="84" t="n">
        <x:f>'Raw Sales'!J1413</x:f>
        <x:v>1</x:v>
      </x:c>
      <x:c r="S1413" s="87" t="n">
        <x:f>'Raw Sales'!K1413</x:f>
        <x:v>0</x:v>
      </x:c>
      <x:c r="T1413" s="93" t="n">
        <x:f>P1413*R1413</x:f>
        <x:v>39</x:v>
      </x:c>
      <x:c r="U1413" s="93" t="n">
        <x:f>T1413*S1413</x:f>
        <x:v>0</x:v>
      </x:c>
      <x:c r="V1413" s="93" t="str">
        <x:f>PROPER(TRIM('Raw Sales'!L1413))</x:f>
        <x:v>Completed</x:v>
      </x:c>
      <x:c r="W1413" s="93" t="n">
        <x:f>IF(V1413="Returned",0,T1413-U1413)</x:f>
        <x:v>39</x:v>
      </x:c>
      <x:c r="X1413" s="93" t="n">
        <x:f>IF(V1413="Returned",Q1413*R1413*10%,Q1413*R1413)</x:f>
        <x:v>18</x:v>
      </x:c>
      <x:c r="Y1413" s="93" t="n">
        <x:f>W1413-X1413</x:f>
        <x:v>21</x:v>
      </x:c>
      <x:c r="Z1413" s="94" t="n">
        <x:f>IFERROR(Y1413/W1413,0)</x:f>
        <x:v>0.5384615384615384</x:v>
      </x:c>
      <x:c r="AA1413" s="84" t="str">
        <x:f>PROPER(TRIM('Raw Sales'!M1413))</x:f>
        <x:v>Mobile Wallet</x:v>
      </x:c>
      <x:c r="AB1413" s="84" t="str">
        <x:f>PROPER(TRIM('Raw Sales'!N1413))</x:f>
        <x:v>Sofia Bennett</x:v>
      </x:c>
      <x:c r="AC1413" s="85" t="n">
        <x:f>'Raw Sales'!O1413</x:f>
        <x:v>45762</x:v>
      </x:c>
      <x:c r="AD1413" s="84" t="n">
        <x:f>AC1413-B1413</x:f>
        <x:v>1</x:v>
      </x:c>
      <x:c r="AE1413" s="84" t="str">
        <x:f>IF(COUNTIF($A$5:A1413,A1413)&gt;1,"Duplicate","Keep")</x:f>
        <x:v>Keep</x:v>
      </x:c>
      <x:c r="AF1413" s="84" t="str">
        <x:f>IF(OR(R1413&lt;=0,AC1413&lt;B1413,H1413="Unknown",M1413="Unknown Product"),"Review","Valid")</x:f>
        <x:v>Valid</x:v>
      </x:c>
      <x:c r="AG1413" s="84" t="n">
        <x:f>IF(AND(AE1413="Keep",AF1413="Valid"),1,0)</x:f>
        <x:v>1</x:v>
      </x:c>
      <x:c r="AH1413" s="84" t="n">
        <x:f>IF(AND(AG1413=1,OR('Dashboard'!$B$4="All",I1413='Dashboard'!$B$4),OR('Dashboard'!$E$4="All",N1413='Dashboard'!$E$4),OR('Dashboard'!$H$4="All",K1413='Dashboard'!$H$4),OR('Dashboard'!$K$4="All",C1413='Dashboard'!$K$4)),1,0)</x:f>
        <x:v>1</x:v>
      </x:c>
      <x:c r="AI1413" s="84" t="n">
        <x:f>IF(AND(AG1413=1,OR('Dashboard'!$B$4="All",I1413='Dashboard'!$B$4),OR('Dashboard'!$E$4="All",N1413='Dashboard'!$E$4),OR('Dashboard'!$H$4="All",K1413='Dashboard'!$H$4)),1,0)</x:f>
        <x:v>1</x:v>
      </x:c>
    </x:row>
    <x:row r="1414">
      <x:c r="A1414" s="84" t="str">
        <x:f>'Raw Sales'!A1414</x:f>
        <x:v>ORD-2025-00903</x:v>
      </x:c>
      <x:c r="B1414" s="85" t="n">
        <x:f>'Raw Sales'!B1414</x:f>
        <x:v>45762</x:v>
      </x:c>
      <x:c r="C1414" s="84" t="n">
        <x:f>YEAR(B1414)</x:f>
        <x:v>2025</x:v>
      </x:c>
      <x:c r="D1414" s="91" t="n">
        <x:f>DATE(YEAR(B1414),MONTH(B1414),1)</x:f>
        <x:v>45748</x:v>
      </x:c>
      <x:c r="E1414" s="84" t="str">
        <x:f>TEXT(B1414,"mmm")</x:f>
        <x:v>Apr</x:v>
      </x:c>
      <x:c r="F1414" s="84" t="str">
        <x:f>'Raw Sales'!C1414</x:f>
        <x:v>CUST-0138</x:v>
      </x:c>
      <x:c r="G1414" s="84" t="str">
        <x:f>PROPER(TRIM('Raw Sales'!D1414))</x:f>
        <x:v>Chloe Khan</x:v>
      </x:c>
      <x:c r="H1414" s="84" t="str">
        <x:f>IF(TRIM('Raw Sales'!E1414)="","Unknown",PROPER(TRIM('Raw Sales'!E1414)))</x:f>
        <x:v>Corporate</x:v>
      </x:c>
      <x:c r="I1414" s="84" t="str">
        <x:f>PROPER(TRIM('Raw Sales'!F1414))</x:f>
        <x:v>West</x:v>
      </x:c>
      <x:c r="J1414" s="84" t="str">
        <x:f>PROPER(TRIM('Raw Sales'!G1414))</x:f>
        <x:v>Denver</x:v>
      </x:c>
      <x:c r="K1414" s="84" t="str">
        <x:f>PROPER(TRIM('Raw Sales'!H1414))</x:f>
        <x:v>Online</x:v>
      </x:c>
      <x:c r="L1414" s="84" t="str">
        <x:f>'Raw Sales'!I1414</x:f>
        <x:v>HOME-002</x:v>
      </x:c>
      <x:c r="M1414" s="84" t="str">
        <x:f>IFERROR(VLOOKUP(L1414,'Reference Data'!$A$5:$F$40,2,FALSE),"Unknown Product")</x:f>
        <x:v>Electric Kettle</x:v>
      </x:c>
      <x:c r="N1414" s="84" t="str">
        <x:f>IFERROR(VLOOKUP(L1414,'Reference Data'!$A$5:$F$40,3,FALSE),"Unknown")</x:f>
        <x:v>Home &amp; Kitchen</x:v>
      </x:c>
      <x:c r="O1414" s="84" t="str">
        <x:f>IFERROR(VLOOKUP(L1414,'Reference Data'!$A$5:$F$40,4,FALSE),"Unknown")</x:f>
        <x:v>Small Appliances</x:v>
      </x:c>
      <x:c r="P1414" s="92" t="n">
        <x:f>IFERROR(VLOOKUP(L1414,'Reference Data'!$A$5:$F$40,5,FALSE),0)</x:f>
        <x:v>49</x:v>
      </x:c>
      <x:c r="Q1414" s="92" t="n">
        <x:f>IFERROR(VLOOKUP(L1414,'Reference Data'!$A$5:$F$40,6,FALSE),0)</x:f>
        <x:v>23</x:v>
      </x:c>
      <x:c r="R1414" s="84" t="n">
        <x:f>'Raw Sales'!J1414</x:f>
        <x:v>2</x:v>
      </x:c>
      <x:c r="S1414" s="87" t="n">
        <x:f>'Raw Sales'!K1414</x:f>
        <x:v>0.05</x:v>
      </x:c>
      <x:c r="T1414" s="93" t="n">
        <x:f>P1414*R1414</x:f>
        <x:v>98</x:v>
      </x:c>
      <x:c r="U1414" s="93" t="n">
        <x:f>T1414*S1414</x:f>
        <x:v>4.9</x:v>
      </x:c>
      <x:c r="V1414" s="93" t="str">
        <x:f>PROPER(TRIM('Raw Sales'!L1414))</x:f>
        <x:v>Completed</x:v>
      </x:c>
      <x:c r="W1414" s="93" t="n">
        <x:f>IF(V1414="Returned",0,T1414-U1414)</x:f>
        <x:v>93.1</x:v>
      </x:c>
      <x:c r="X1414" s="93" t="n">
        <x:f>IF(V1414="Returned",Q1414*R1414*10%,Q1414*R1414)</x:f>
        <x:v>46</x:v>
      </x:c>
      <x:c r="Y1414" s="93" t="n">
        <x:f>W1414-X1414</x:f>
        <x:v>47.099999999999994</x:v>
      </x:c>
      <x:c r="Z1414" s="94" t="n">
        <x:f>IFERROR(Y1414/W1414,0)</x:f>
        <x:v>0.505907626208378</x:v>
      </x:c>
      <x:c r="AA1414" s="84" t="str">
        <x:f>PROPER(TRIM('Raw Sales'!M1414))</x:f>
        <x:v>Mobile Wallet</x:v>
      </x:c>
      <x:c r="AB1414" s="84" t="str">
        <x:f>PROPER(TRIM('Raw Sales'!N1414))</x:f>
        <x:v>Leo Martinez</x:v>
      </x:c>
      <x:c r="AC1414" s="85" t="n">
        <x:f>'Raw Sales'!O1414</x:f>
        <x:v>45765</x:v>
      </x:c>
      <x:c r="AD1414" s="84" t="n">
        <x:f>AC1414-B1414</x:f>
        <x:v>3</x:v>
      </x:c>
      <x:c r="AE1414" s="84" t="str">
        <x:f>IF(COUNTIF($A$5:A1414,A1414)&gt;1,"Duplicate","Keep")</x:f>
        <x:v>Keep</x:v>
      </x:c>
      <x:c r="AF1414" s="84" t="str">
        <x:f>IF(OR(R1414&lt;=0,AC1414&lt;B1414,H1414="Unknown",M1414="Unknown Product"),"Review","Valid")</x:f>
        <x:v>Valid</x:v>
      </x:c>
      <x:c r="AG1414" s="84" t="n">
        <x:f>IF(AND(AE1414="Keep",AF1414="Valid"),1,0)</x:f>
        <x:v>1</x:v>
      </x:c>
      <x:c r="AH1414" s="84" t="n">
        <x:f>IF(AND(AG1414=1,OR('Dashboard'!$B$4="All",I1414='Dashboard'!$B$4),OR('Dashboard'!$E$4="All",N1414='Dashboard'!$E$4),OR('Dashboard'!$H$4="All",K1414='Dashboard'!$H$4),OR('Dashboard'!$K$4="All",C1414='Dashboard'!$K$4)),1,0)</x:f>
        <x:v>1</x:v>
      </x:c>
      <x:c r="AI1414" s="84" t="n">
        <x:f>IF(AND(AG1414=1,OR('Dashboard'!$B$4="All",I1414='Dashboard'!$B$4),OR('Dashboard'!$E$4="All",N1414='Dashboard'!$E$4),OR('Dashboard'!$H$4="All",K1414='Dashboard'!$H$4)),1,0)</x:f>
        <x:v>1</x:v>
      </x:c>
    </x:row>
    <x:row r="1415">
      <x:c r="A1415" s="84" t="str">
        <x:f>'Raw Sales'!A1415</x:f>
        <x:v>ORD-2025-01215</x:v>
      </x:c>
      <x:c r="B1415" s="85" t="n">
        <x:f>'Raw Sales'!B1415</x:f>
        <x:v>45762</x:v>
      </x:c>
      <x:c r="C1415" s="84" t="n">
        <x:f>YEAR(B1415)</x:f>
        <x:v>2025</x:v>
      </x:c>
      <x:c r="D1415" s="91" t="n">
        <x:f>DATE(YEAR(B1415),MONTH(B1415),1)</x:f>
        <x:v>45748</x:v>
      </x:c>
      <x:c r="E1415" s="84" t="str">
        <x:f>TEXT(B1415,"mmm")</x:f>
        <x:v>Apr</x:v>
      </x:c>
      <x:c r="F1415" s="84" t="str">
        <x:f>'Raw Sales'!C1415</x:f>
        <x:v>CUST-0142</x:v>
      </x:c>
      <x:c r="G1415" s="84" t="str">
        <x:f>PROPER(TRIM('Raw Sales'!D1415))</x:f>
        <x:v>Elena Adams</x:v>
      </x:c>
      <x:c r="H1415" s="84" t="str">
        <x:f>IF(TRIM('Raw Sales'!E1415)="","Unknown",PROPER(TRIM('Raw Sales'!E1415)))</x:f>
        <x:v>Consumer</x:v>
      </x:c>
      <x:c r="I1415" s="84" t="str">
        <x:f>PROPER(TRIM('Raw Sales'!F1415))</x:f>
        <x:v>Midwest</x:v>
      </x:c>
      <x:c r="J1415" s="84" t="str">
        <x:f>PROPER(TRIM('Raw Sales'!G1415))</x:f>
        <x:v>Chicago</x:v>
      </x:c>
      <x:c r="K1415" s="84" t="str">
        <x:f>PROPER(TRIM('Raw Sales'!H1415))</x:f>
        <x:v>Online</x:v>
      </x:c>
      <x:c r="L1415" s="84" t="str">
        <x:f>'Raw Sales'!I1415</x:f>
        <x:v>ACCS-003</x:v>
      </x:c>
      <x:c r="M1415" s="84" t="str">
        <x:f>IFERROR(VLOOKUP(L1415,'Reference Data'!$A$5:$F$40,2,FALSE),"Unknown Product")</x:f>
        <x:v>Polarized Sunglasses</x:v>
      </x:c>
      <x:c r="N1415" s="84" t="str">
        <x:f>IFERROR(VLOOKUP(L1415,'Reference Data'!$A$5:$F$40,3,FALSE),"Unknown")</x:f>
        <x:v>Accessories</x:v>
      </x:c>
      <x:c r="O1415" s="84" t="str">
        <x:f>IFERROR(VLOOKUP(L1415,'Reference Data'!$A$5:$F$40,4,FALSE),"Unknown")</x:f>
        <x:v>Eyewear</x:v>
      </x:c>
      <x:c r="P1415" s="92" t="n">
        <x:f>IFERROR(VLOOKUP(L1415,'Reference Data'!$A$5:$F$40,5,FALSE),0)</x:f>
        <x:v>59</x:v>
      </x:c>
      <x:c r="Q1415" s="92" t="n">
        <x:f>IFERROR(VLOOKUP(L1415,'Reference Data'!$A$5:$F$40,6,FALSE),0)</x:f>
        <x:v>17</x:v>
      </x:c>
      <x:c r="R1415" s="84" t="n">
        <x:f>'Raw Sales'!J1415</x:f>
        <x:v>1</x:v>
      </x:c>
      <x:c r="S1415" s="87" t="n">
        <x:f>'Raw Sales'!K1415</x:f>
        <x:v>0.1</x:v>
      </x:c>
      <x:c r="T1415" s="93" t="n">
        <x:f>P1415*R1415</x:f>
        <x:v>59</x:v>
      </x:c>
      <x:c r="U1415" s="93" t="n">
        <x:f>T1415*S1415</x:f>
        <x:v>5.9</x:v>
      </x:c>
      <x:c r="V1415" s="93" t="str">
        <x:f>PROPER(TRIM('Raw Sales'!L1415))</x:f>
        <x:v>Completed</x:v>
      </x:c>
      <x:c r="W1415" s="93" t="n">
        <x:f>IF(V1415="Returned",0,T1415-U1415)</x:f>
        <x:v>53.1</x:v>
      </x:c>
      <x:c r="X1415" s="93" t="n">
        <x:f>IF(V1415="Returned",Q1415*R1415*10%,Q1415*R1415)</x:f>
        <x:v>17</x:v>
      </x:c>
      <x:c r="Y1415" s="93" t="n">
        <x:f>W1415-X1415</x:f>
        <x:v>36.1</x:v>
      </x:c>
      <x:c r="Z1415" s="94" t="n">
        <x:f>IFERROR(Y1415/W1415,0)</x:f>
        <x:v>0.67984934086629</x:v>
      </x:c>
      <x:c r="AA1415" s="84" t="str">
        <x:f>PROPER(TRIM('Raw Sales'!M1415))</x:f>
        <x:v>Credit Card</x:v>
      </x:c>
      <x:c r="AB1415" s="84" t="str">
        <x:f>PROPER(TRIM('Raw Sales'!N1415))</x:f>
        <x:v>Lucas Grant</x:v>
      </x:c>
      <x:c r="AC1415" s="85" t="n">
        <x:f>'Raw Sales'!O1415</x:f>
        <x:v>45764</x:v>
      </x:c>
      <x:c r="AD1415" s="84" t="n">
        <x:f>AC1415-B1415</x:f>
        <x:v>2</x:v>
      </x:c>
      <x:c r="AE1415" s="84" t="str">
        <x:f>IF(COUNTIF($A$5:A1415,A1415)&gt;1,"Duplicate","Keep")</x:f>
        <x:v>Keep</x:v>
      </x:c>
      <x:c r="AF1415" s="84" t="str">
        <x:f>IF(OR(R1415&lt;=0,AC1415&lt;B1415,H1415="Unknown",M1415="Unknown Product"),"Review","Valid")</x:f>
        <x:v>Valid</x:v>
      </x:c>
      <x:c r="AG1415" s="84" t="n">
        <x:f>IF(AND(AE1415="Keep",AF1415="Valid"),1,0)</x:f>
        <x:v>1</x:v>
      </x:c>
      <x:c r="AH1415" s="84" t="n">
        <x:f>IF(AND(AG1415=1,OR('Dashboard'!$B$4="All",I1415='Dashboard'!$B$4),OR('Dashboard'!$E$4="All",N1415='Dashboard'!$E$4),OR('Dashboard'!$H$4="All",K1415='Dashboard'!$H$4),OR('Dashboard'!$K$4="All",C1415='Dashboard'!$K$4)),1,0)</x:f>
        <x:v>1</x:v>
      </x:c>
      <x:c r="AI1415" s="84" t="n">
        <x:f>IF(AND(AG1415=1,OR('Dashboard'!$B$4="All",I1415='Dashboard'!$B$4),OR('Dashboard'!$E$4="All",N1415='Dashboard'!$E$4),OR('Dashboard'!$H$4="All",K1415='Dashboard'!$H$4)),1,0)</x:f>
        <x:v>1</x:v>
      </x:c>
    </x:row>
    <x:row r="1416">
      <x:c r="A1416" s="84" t="str">
        <x:f>'Raw Sales'!A1416</x:f>
        <x:v>ORD-2025-01846</x:v>
      </x:c>
      <x:c r="B1416" s="85" t="n">
        <x:f>'Raw Sales'!B1416</x:f>
        <x:v>45762</x:v>
      </x:c>
      <x:c r="C1416" s="84" t="n">
        <x:f>YEAR(B1416)</x:f>
        <x:v>2025</x:v>
      </x:c>
      <x:c r="D1416" s="91" t="n">
        <x:f>DATE(YEAR(B1416),MONTH(B1416),1)</x:f>
        <x:v>45748</x:v>
      </x:c>
      <x:c r="E1416" s="84" t="str">
        <x:f>TEXT(B1416,"mmm")</x:f>
        <x:v>Apr</x:v>
      </x:c>
      <x:c r="F1416" s="84" t="str">
        <x:f>'Raw Sales'!C1416</x:f>
        <x:v>CUST-0074</x:v>
      </x:c>
      <x:c r="G1416" s="84" t="str">
        <x:f>PROPER(TRIM('Raw Sales'!D1416))</x:f>
        <x:v>Grace Taylor</x:v>
      </x:c>
      <x:c r="H1416" s="84" t="str">
        <x:f>IF(TRIM('Raw Sales'!E1416)="","Unknown",PROPER(TRIM('Raw Sales'!E1416)))</x:f>
        <x:v>Consumer</x:v>
      </x:c>
      <x:c r="I1416" s="84" t="str">
        <x:f>PROPER(TRIM('Raw Sales'!F1416))</x:f>
        <x:v>West</x:v>
      </x:c>
      <x:c r="J1416" s="84" t="str">
        <x:f>PROPER(TRIM('Raw Sales'!G1416))</x:f>
        <x:v>Seattle</x:v>
      </x:c>
      <x:c r="K1416" s="84" t="str">
        <x:f>PROPER(TRIM('Raw Sales'!H1416))</x:f>
        <x:v>Online</x:v>
      </x:c>
      <x:c r="L1416" s="84" t="str">
        <x:f>'Raw Sales'!I1416</x:f>
        <x:v>HOME-004</x:v>
      </x:c>
      <x:c r="M1416" s="84" t="str">
        <x:f>IFERROR(VLOOKUP(L1416,'Reference Data'!$A$5:$F$40,2,FALSE),"Unknown Product")</x:f>
        <x:v>Coffee Maker</x:v>
      </x:c>
      <x:c r="N1416" s="84" t="str">
        <x:f>IFERROR(VLOOKUP(L1416,'Reference Data'!$A$5:$F$40,3,FALSE),"Unknown")</x:f>
        <x:v>Home &amp; Kitchen</x:v>
      </x:c>
      <x:c r="O1416" s="84" t="str">
        <x:f>IFERROR(VLOOKUP(L1416,'Reference Data'!$A$5:$F$40,4,FALSE),"Unknown")</x:f>
        <x:v>Small Appliances</x:v>
      </x:c>
      <x:c r="P1416" s="92" t="n">
        <x:f>IFERROR(VLOOKUP(L1416,'Reference Data'!$A$5:$F$40,5,FALSE),0)</x:f>
        <x:v>99</x:v>
      </x:c>
      <x:c r="Q1416" s="92" t="n">
        <x:f>IFERROR(VLOOKUP(L1416,'Reference Data'!$A$5:$F$40,6,FALSE),0)</x:f>
        <x:v>51</x:v>
      </x:c>
      <x:c r="R1416" s="84" t="n">
        <x:f>'Raw Sales'!J1416</x:f>
        <x:v>2</x:v>
      </x:c>
      <x:c r="S1416" s="87" t="n">
        <x:f>'Raw Sales'!K1416</x:f>
        <x:v>0.1</x:v>
      </x:c>
      <x:c r="T1416" s="93" t="n">
        <x:f>P1416*R1416</x:f>
        <x:v>198</x:v>
      </x:c>
      <x:c r="U1416" s="93" t="n">
        <x:f>T1416*S1416</x:f>
        <x:v>19.8</x:v>
      </x:c>
      <x:c r="V1416" s="93" t="str">
        <x:f>PROPER(TRIM('Raw Sales'!L1416))</x:f>
        <x:v>Completed</x:v>
      </x:c>
      <x:c r="W1416" s="93" t="n">
        <x:f>IF(V1416="Returned",0,T1416-U1416)</x:f>
        <x:v>178.2</x:v>
      </x:c>
      <x:c r="X1416" s="93" t="n">
        <x:f>IF(V1416="Returned",Q1416*R1416*10%,Q1416*R1416)</x:f>
        <x:v>102</x:v>
      </x:c>
      <x:c r="Y1416" s="93" t="n">
        <x:f>W1416-X1416</x:f>
        <x:v>76.19999999999999</x:v>
      </x:c>
      <x:c r="Z1416" s="94" t="n">
        <x:f>IFERROR(Y1416/W1416,0)</x:f>
        <x:v>0.42760942760942755</x:v>
      </x:c>
      <x:c r="AA1416" s="84" t="str">
        <x:f>PROPER(TRIM('Raw Sales'!M1416))</x:f>
        <x:v>Paypal</x:v>
      </x:c>
      <x:c r="AB1416" s="84" t="str">
        <x:f>PROPER(TRIM('Raw Sales'!N1416))</x:f>
        <x:v>Leo Martinez</x:v>
      </x:c>
      <x:c r="AC1416" s="85" t="n">
        <x:f>'Raw Sales'!O1416</x:f>
        <x:v>45768</x:v>
      </x:c>
      <x:c r="AD1416" s="84" t="n">
        <x:f>AC1416-B1416</x:f>
        <x:v>6</x:v>
      </x:c>
      <x:c r="AE1416" s="84" t="str">
        <x:f>IF(COUNTIF($A$5:A1416,A1416)&gt;1,"Duplicate","Keep")</x:f>
        <x:v>Keep</x:v>
      </x:c>
      <x:c r="AF1416" s="84" t="str">
        <x:f>IF(OR(R1416&lt;=0,AC1416&lt;B1416,H1416="Unknown",M1416="Unknown Product"),"Review","Valid")</x:f>
        <x:v>Valid</x:v>
      </x:c>
      <x:c r="AG1416" s="84" t="n">
        <x:f>IF(AND(AE1416="Keep",AF1416="Valid"),1,0)</x:f>
        <x:v>1</x:v>
      </x:c>
      <x:c r="AH1416" s="84" t="n">
        <x:f>IF(AND(AG1416=1,OR('Dashboard'!$B$4="All",I1416='Dashboard'!$B$4),OR('Dashboard'!$E$4="All",N1416='Dashboard'!$E$4),OR('Dashboard'!$H$4="All",K1416='Dashboard'!$H$4),OR('Dashboard'!$K$4="All",C1416='Dashboard'!$K$4)),1,0)</x:f>
        <x:v>1</x:v>
      </x:c>
      <x:c r="AI1416" s="84" t="n">
        <x:f>IF(AND(AG1416=1,OR('Dashboard'!$B$4="All",I1416='Dashboard'!$B$4),OR('Dashboard'!$E$4="All",N1416='Dashboard'!$E$4),OR('Dashboard'!$H$4="All",K1416='Dashboard'!$H$4)),1,0)</x:f>
        <x:v>1</x:v>
      </x:c>
    </x:row>
    <x:row r="1417">
      <x:c r="A1417" s="84" t="str">
        <x:f>'Raw Sales'!A1417</x:f>
        <x:v>ORD-2025-00438</x:v>
      </x:c>
      <x:c r="B1417" s="85" t="n">
        <x:f>'Raw Sales'!B1417</x:f>
        <x:v>45763</x:v>
      </x:c>
      <x:c r="C1417" s="84" t="n">
        <x:f>YEAR(B1417)</x:f>
        <x:v>2025</x:v>
      </x:c>
      <x:c r="D1417" s="91" t="n">
        <x:f>DATE(YEAR(B1417),MONTH(B1417),1)</x:f>
        <x:v>45748</x:v>
      </x:c>
      <x:c r="E1417" s="84" t="str">
        <x:f>TEXT(B1417,"mmm")</x:f>
        <x:v>Apr</x:v>
      </x:c>
      <x:c r="F1417" s="84" t="str">
        <x:f>'Raw Sales'!C1417</x:f>
        <x:v>CUST-0218</x:v>
      </x:c>
      <x:c r="G1417" s="84" t="str">
        <x:f>PROPER(TRIM('Raw Sales'!D1417))</x:f>
        <x:v>Grace Walker</x:v>
      </x:c>
      <x:c r="H1417" s="84" t="str">
        <x:f>IF(TRIM('Raw Sales'!E1417)="","Unknown",PROPER(TRIM('Raw Sales'!E1417)))</x:f>
        <x:v>Consumer</x:v>
      </x:c>
      <x:c r="I1417" s="84" t="str">
        <x:f>PROPER(TRIM('Raw Sales'!F1417))</x:f>
        <x:v>Northeast</x:v>
      </x:c>
      <x:c r="J1417" s="84" t="str">
        <x:f>PROPER(TRIM('Raw Sales'!G1417))</x:f>
        <x:v>Philadelphia</x:v>
      </x:c>
      <x:c r="K1417" s="84" t="str">
        <x:f>PROPER(TRIM('Raw Sales'!H1417))</x:f>
        <x:v>Retail Store</x:v>
      </x:c>
      <x:c r="L1417" s="84" t="str">
        <x:f>'Raw Sales'!I1417</x:f>
        <x:v>ACCS-005</x:v>
      </x:c>
      <x:c r="M1417" s="84" t="str">
        <x:f>IFERROR(VLOOKUP(L1417,'Reference Data'!$A$5:$F$40,2,FALSE),"Unknown Product")</x:f>
        <x:v>Protective Phone Case</x:v>
      </x:c>
      <x:c r="N1417" s="84" t="str">
        <x:f>IFERROR(VLOOKUP(L1417,'Reference Data'!$A$5:$F$40,3,FALSE),"Unknown")</x:f>
        <x:v>Accessories</x:v>
      </x:c>
      <x:c r="O1417" s="84" t="str">
        <x:f>IFERROR(VLOOKUP(L1417,'Reference Data'!$A$5:$F$40,4,FALSE),"Unknown")</x:f>
        <x:v>Mobile Accessories</x:v>
      </x:c>
      <x:c r="P1417" s="92" t="n">
        <x:f>IFERROR(VLOOKUP(L1417,'Reference Data'!$A$5:$F$40,5,FALSE),0)</x:f>
        <x:v>24</x:v>
      </x:c>
      <x:c r="Q1417" s="92" t="n">
        <x:f>IFERROR(VLOOKUP(L1417,'Reference Data'!$A$5:$F$40,6,FALSE),0)</x:f>
        <x:v>5</x:v>
      </x:c>
      <x:c r="R1417" s="84" t="n">
        <x:f>'Raw Sales'!J1417</x:f>
        <x:v>1</x:v>
      </x:c>
      <x:c r="S1417" s="87" t="n">
        <x:f>'Raw Sales'!K1417</x:f>
        <x:v>0</x:v>
      </x:c>
      <x:c r="T1417" s="93" t="n">
        <x:f>P1417*R1417</x:f>
        <x:v>24</x:v>
      </x:c>
      <x:c r="U1417" s="93" t="n">
        <x:f>T1417*S1417</x:f>
        <x:v>0</x:v>
      </x:c>
      <x:c r="V1417" s="93" t="str">
        <x:f>PROPER(TRIM('Raw Sales'!L1417))</x:f>
        <x:v>Completed</x:v>
      </x:c>
      <x:c r="W1417" s="93" t="n">
        <x:f>IF(V1417="Returned",0,T1417-U1417)</x:f>
        <x:v>24</x:v>
      </x:c>
      <x:c r="X1417" s="93" t="n">
        <x:f>IF(V1417="Returned",Q1417*R1417*10%,Q1417*R1417)</x:f>
        <x:v>5</x:v>
      </x:c>
      <x:c r="Y1417" s="93" t="n">
        <x:f>W1417-X1417</x:f>
        <x:v>19</x:v>
      </x:c>
      <x:c r="Z1417" s="94" t="n">
        <x:f>IFERROR(Y1417/W1417,0)</x:f>
        <x:v>0.7916666666666666</x:v>
      </x:c>
      <x:c r="AA1417" s="84" t="str">
        <x:f>PROPER(TRIM('Raw Sales'!M1417))</x:f>
        <x:v>Debit Card</x:v>
      </x:c>
      <x:c r="AB1417" s="84" t="str">
        <x:f>PROPER(TRIM('Raw Sales'!N1417))</x:f>
        <x:v>Sofia Bennett</x:v>
      </x:c>
      <x:c r="AC1417" s="85" t="n">
        <x:f>'Raw Sales'!O1417</x:f>
        <x:v>45763</x:v>
      </x:c>
      <x:c r="AD1417" s="84" t="n">
        <x:f>AC1417-B1417</x:f>
        <x:v>0</x:v>
      </x:c>
      <x:c r="AE1417" s="84" t="str">
        <x:f>IF(COUNTIF($A$5:A1417,A1417)&gt;1,"Duplicate","Keep")</x:f>
        <x:v>Keep</x:v>
      </x:c>
      <x:c r="AF1417" s="84" t="str">
        <x:f>IF(OR(R1417&lt;=0,AC1417&lt;B1417,H1417="Unknown",M1417="Unknown Product"),"Review","Valid")</x:f>
        <x:v>Valid</x:v>
      </x:c>
      <x:c r="AG1417" s="84" t="n">
        <x:f>IF(AND(AE1417="Keep",AF1417="Valid"),1,0)</x:f>
        <x:v>1</x:v>
      </x:c>
      <x:c r="AH1417" s="84" t="n">
        <x:f>IF(AND(AG1417=1,OR('Dashboard'!$B$4="All",I1417='Dashboard'!$B$4),OR('Dashboard'!$E$4="All",N1417='Dashboard'!$E$4),OR('Dashboard'!$H$4="All",K1417='Dashboard'!$H$4),OR('Dashboard'!$K$4="All",C1417='Dashboard'!$K$4)),1,0)</x:f>
        <x:v>1</x:v>
      </x:c>
      <x:c r="AI1417" s="84" t="n">
        <x:f>IF(AND(AG1417=1,OR('Dashboard'!$B$4="All",I1417='Dashboard'!$B$4),OR('Dashboard'!$E$4="All",N1417='Dashboard'!$E$4),OR('Dashboard'!$H$4="All",K1417='Dashboard'!$H$4)),1,0)</x:f>
        <x:v>1</x:v>
      </x:c>
    </x:row>
    <x:row r="1418">
      <x:c r="A1418" s="84" t="str">
        <x:f>'Raw Sales'!A1418</x:f>
        <x:v>ORD-2025-00738</x:v>
      </x:c>
      <x:c r="B1418" s="85" t="n">
        <x:f>'Raw Sales'!B1418</x:f>
        <x:v>45763</x:v>
      </x:c>
      <x:c r="C1418" s="84" t="n">
        <x:f>YEAR(B1418)</x:f>
        <x:v>2025</x:v>
      </x:c>
      <x:c r="D1418" s="91" t="n">
        <x:f>DATE(YEAR(B1418),MONTH(B1418),1)</x:f>
        <x:v>45748</x:v>
      </x:c>
      <x:c r="E1418" s="84" t="str">
        <x:f>TEXT(B1418,"mmm")</x:f>
        <x:v>Apr</x:v>
      </x:c>
      <x:c r="F1418" s="84" t="str">
        <x:f>'Raw Sales'!C1418</x:f>
        <x:v>CUST-0631</x:v>
      </x:c>
      <x:c r="G1418" s="84" t="str">
        <x:f>PROPER(TRIM('Raw Sales'!D1418))</x:f>
        <x:v>Amelia Adams</x:v>
      </x:c>
      <x:c r="H1418" s="84" t="str">
        <x:f>IF(TRIM('Raw Sales'!E1418)="","Unknown",PROPER(TRIM('Raw Sales'!E1418)))</x:f>
        <x:v>Consumer</x:v>
      </x:c>
      <x:c r="I1418" s="84" t="str">
        <x:f>PROPER(TRIM('Raw Sales'!F1418))</x:f>
        <x:v>Midwest</x:v>
      </x:c>
      <x:c r="J1418" s="84" t="str">
        <x:f>PROPER(TRIM('Raw Sales'!G1418))</x:f>
        <x:v>Minneapolis</x:v>
      </x:c>
      <x:c r="K1418" s="84" t="str">
        <x:f>PROPER(TRIM('Raw Sales'!H1418))</x:f>
        <x:v>Retail Store</x:v>
      </x:c>
      <x:c r="L1418" s="84" t="str">
        <x:f>'Raw Sales'!I1418</x:f>
        <x:v>HOME-006</x:v>
      </x:c>
      <x:c r="M1418" s="84" t="str">
        <x:f>IFERROR(VLOOKUP(L1418,'Reference Data'!$A$5:$F$40,2,FALSE),"Unknown Product")</x:f>
        <x:v>Food Storage Set</x:v>
      </x:c>
      <x:c r="N1418" s="84" t="str">
        <x:f>IFERROR(VLOOKUP(L1418,'Reference Data'!$A$5:$F$40,3,FALSE),"Unknown")</x:f>
        <x:v>Home &amp; Kitchen</x:v>
      </x:c>
      <x:c r="O1418" s="84" t="str">
        <x:f>IFERROR(VLOOKUP(L1418,'Reference Data'!$A$5:$F$40,4,FALSE),"Unknown")</x:f>
        <x:v>Kitchenware</x:v>
      </x:c>
      <x:c r="P1418" s="92" t="n">
        <x:f>IFERROR(VLOOKUP(L1418,'Reference Data'!$A$5:$F$40,5,FALSE),0)</x:f>
        <x:v>34</x:v>
      </x:c>
      <x:c r="Q1418" s="92" t="n">
        <x:f>IFERROR(VLOOKUP(L1418,'Reference Data'!$A$5:$F$40,6,FALSE),0)</x:f>
        <x:v>15</x:v>
      </x:c>
      <x:c r="R1418" s="84" t="n">
        <x:f>'Raw Sales'!J1418</x:f>
        <x:v>1</x:v>
      </x:c>
      <x:c r="S1418" s="87" t="n">
        <x:f>'Raw Sales'!K1418</x:f>
        <x:v>0</x:v>
      </x:c>
      <x:c r="T1418" s="93" t="n">
        <x:f>P1418*R1418</x:f>
        <x:v>34</x:v>
      </x:c>
      <x:c r="U1418" s="93" t="n">
        <x:f>T1418*S1418</x:f>
        <x:v>0</x:v>
      </x:c>
      <x:c r="V1418" s="93" t="str">
        <x:f>PROPER(TRIM('Raw Sales'!L1418))</x:f>
        <x:v>Completed</x:v>
      </x:c>
      <x:c r="W1418" s="93" t="n">
        <x:f>IF(V1418="Returned",0,T1418-U1418)</x:f>
        <x:v>34</x:v>
      </x:c>
      <x:c r="X1418" s="93" t="n">
        <x:f>IF(V1418="Returned",Q1418*R1418*10%,Q1418*R1418)</x:f>
        <x:v>15</x:v>
      </x:c>
      <x:c r="Y1418" s="93" t="n">
        <x:f>W1418-X1418</x:f>
        <x:v>19</x:v>
      </x:c>
      <x:c r="Z1418" s="94" t="n">
        <x:f>IFERROR(Y1418/W1418,0)</x:f>
        <x:v>0.5588235294117647</x:v>
      </x:c>
      <x:c r="AA1418" s="84" t="str">
        <x:f>PROPER(TRIM('Raw Sales'!M1418))</x:f>
        <x:v>Mobile Wallet</x:v>
      </x:c>
      <x:c r="AB1418" s="84" t="str">
        <x:f>PROPER(TRIM('Raw Sales'!N1418))</x:f>
        <x:v>Lucas Grant</x:v>
      </x:c>
      <x:c r="AC1418" s="85" t="n">
        <x:f>'Raw Sales'!O1418</x:f>
        <x:v>45763</x:v>
      </x:c>
      <x:c r="AD1418" s="84" t="n">
        <x:f>AC1418-B1418</x:f>
        <x:v>0</x:v>
      </x:c>
      <x:c r="AE1418" s="84" t="str">
        <x:f>IF(COUNTIF($A$5:A1418,A1418)&gt;1,"Duplicate","Keep")</x:f>
        <x:v>Keep</x:v>
      </x:c>
      <x:c r="AF1418" s="84" t="str">
        <x:f>IF(OR(R1418&lt;=0,AC1418&lt;B1418,H1418="Unknown",M1418="Unknown Product"),"Review","Valid")</x:f>
        <x:v>Valid</x:v>
      </x:c>
      <x:c r="AG1418" s="84" t="n">
        <x:f>IF(AND(AE1418="Keep",AF1418="Valid"),1,0)</x:f>
        <x:v>1</x:v>
      </x:c>
      <x:c r="AH1418" s="84" t="n">
        <x:f>IF(AND(AG1418=1,OR('Dashboard'!$B$4="All",I1418='Dashboard'!$B$4),OR('Dashboard'!$E$4="All",N1418='Dashboard'!$E$4),OR('Dashboard'!$H$4="All",K1418='Dashboard'!$H$4),OR('Dashboard'!$K$4="All",C1418='Dashboard'!$K$4)),1,0)</x:f>
        <x:v>1</x:v>
      </x:c>
      <x:c r="AI1418" s="84" t="n">
        <x:f>IF(AND(AG1418=1,OR('Dashboard'!$B$4="All",I1418='Dashboard'!$B$4),OR('Dashboard'!$E$4="All",N1418='Dashboard'!$E$4),OR('Dashboard'!$H$4="All",K1418='Dashboard'!$H$4)),1,0)</x:f>
        <x:v>1</x:v>
      </x:c>
    </x:row>
    <x:row r="1419">
      <x:c r="A1419" s="84" t="str">
        <x:f>'Raw Sales'!A1419</x:f>
        <x:v>ORD-2025-00353</x:v>
      </x:c>
      <x:c r="B1419" s="85" t="n">
        <x:f>'Raw Sales'!B1419</x:f>
        <x:v>45764</x:v>
      </x:c>
      <x:c r="C1419" s="84" t="n">
        <x:f>YEAR(B1419)</x:f>
        <x:v>2025</x:v>
      </x:c>
      <x:c r="D1419" s="91" t="n">
        <x:f>DATE(YEAR(B1419),MONTH(B1419),1)</x:f>
        <x:v>45748</x:v>
      </x:c>
      <x:c r="E1419" s="84" t="str">
        <x:f>TEXT(B1419,"mmm")</x:f>
        <x:v>Apr</x:v>
      </x:c>
      <x:c r="F1419" s="84" t="str">
        <x:f>'Raw Sales'!C1419</x:f>
        <x:v>CUST-0500</x:v>
      </x:c>
      <x:c r="G1419" s="84" t="str">
        <x:f>PROPER(TRIM('Raw Sales'!D1419))</x:f>
        <x:v>Sara Baker</x:v>
      </x:c>
      <x:c r="H1419" s="84" t="str">
        <x:f>IF(TRIM('Raw Sales'!E1419)="","Unknown",PROPER(TRIM('Raw Sales'!E1419)))</x:f>
        <x:v>Consumer</x:v>
      </x:c>
      <x:c r="I1419" s="84" t="str">
        <x:f>PROPER(TRIM('Raw Sales'!F1419))</x:f>
        <x:v>Midwest</x:v>
      </x:c>
      <x:c r="J1419" s="84" t="str">
        <x:f>PROPER(TRIM('Raw Sales'!G1419))</x:f>
        <x:v>Minneapolis</x:v>
      </x:c>
      <x:c r="K1419" s="84" t="str">
        <x:f>PROPER(TRIM('Raw Sales'!H1419))</x:f>
        <x:v>Marketplace</x:v>
      </x:c>
      <x:c r="L1419" s="84" t="str">
        <x:f>'Raw Sales'!I1419</x:f>
        <x:v>ELEC-004</x:v>
      </x:c>
      <x:c r="M1419" s="84" t="str">
        <x:f>IFERROR(VLOOKUP(L1419,'Reference Data'!$A$5:$F$40,2,FALSE),"Unknown Product")</x:f>
        <x:v>Power Bank</x:v>
      </x:c>
      <x:c r="N1419" s="84" t="str">
        <x:f>IFERROR(VLOOKUP(L1419,'Reference Data'!$A$5:$F$40,3,FALSE),"Unknown")</x:f>
        <x:v>Electronics</x:v>
      </x:c>
      <x:c r="O1419" s="84" t="str">
        <x:f>IFERROR(VLOOKUP(L1419,'Reference Data'!$A$5:$F$40,4,FALSE),"Unknown")</x:f>
        <x:v>Mobile Accessories</x:v>
      </x:c>
      <x:c r="P1419" s="92" t="n">
        <x:f>IFERROR(VLOOKUP(L1419,'Reference Data'!$A$5:$F$40,5,FALSE),0)</x:f>
        <x:v>39</x:v>
      </x:c>
      <x:c r="Q1419" s="92" t="n">
        <x:f>IFERROR(VLOOKUP(L1419,'Reference Data'!$A$5:$F$40,6,FALSE),0)</x:f>
        <x:v>18</x:v>
      </x:c>
      <x:c r="R1419" s="84" t="n">
        <x:f>'Raw Sales'!J1419</x:f>
        <x:v>2</x:v>
      </x:c>
      <x:c r="S1419" s="87" t="n">
        <x:f>'Raw Sales'!K1419</x:f>
        <x:v>0.1</x:v>
      </x:c>
      <x:c r="T1419" s="93" t="n">
        <x:f>P1419*R1419</x:f>
        <x:v>78</x:v>
      </x:c>
      <x:c r="U1419" s="93" t="n">
        <x:f>T1419*S1419</x:f>
        <x:v>7.800000000000001</x:v>
      </x:c>
      <x:c r="V1419" s="93" t="str">
        <x:f>PROPER(TRIM('Raw Sales'!L1419))</x:f>
        <x:v>Completed</x:v>
      </x:c>
      <x:c r="W1419" s="93" t="n">
        <x:f>IF(V1419="Returned",0,T1419-U1419)</x:f>
        <x:v>70.2</x:v>
      </x:c>
      <x:c r="X1419" s="93" t="n">
        <x:f>IF(V1419="Returned",Q1419*R1419*10%,Q1419*R1419)</x:f>
        <x:v>36</x:v>
      </x:c>
      <x:c r="Y1419" s="93" t="n">
        <x:f>W1419-X1419</x:f>
        <x:v>34.2</x:v>
      </x:c>
      <x:c r="Z1419" s="94" t="n">
        <x:f>IFERROR(Y1419/W1419,0)</x:f>
        <x:v>0.4871794871794872</x:v>
      </x:c>
      <x:c r="AA1419" s="84" t="str">
        <x:f>PROPER(TRIM('Raw Sales'!M1419))</x:f>
        <x:v>Credit Card</x:v>
      </x:c>
      <x:c r="AB1419" s="84" t="str">
        <x:f>PROPER(TRIM('Raw Sales'!N1419))</x:f>
        <x:v>Lucas Grant</x:v>
      </x:c>
      <x:c r="AC1419" s="85" t="n">
        <x:f>'Raw Sales'!O1419</x:f>
        <x:v>45770</x:v>
      </x:c>
      <x:c r="AD1419" s="84" t="n">
        <x:f>AC1419-B1419</x:f>
        <x:v>6</x:v>
      </x:c>
      <x:c r="AE1419" s="84" t="str">
        <x:f>IF(COUNTIF($A$5:A1419,A1419)&gt;1,"Duplicate","Keep")</x:f>
        <x:v>Keep</x:v>
      </x:c>
      <x:c r="AF1419" s="84" t="str">
        <x:f>IF(OR(R1419&lt;=0,AC1419&lt;B1419,H1419="Unknown",M1419="Unknown Product"),"Review","Valid")</x:f>
        <x:v>Valid</x:v>
      </x:c>
      <x:c r="AG1419" s="84" t="n">
        <x:f>IF(AND(AE1419="Keep",AF1419="Valid"),1,0)</x:f>
        <x:v>1</x:v>
      </x:c>
      <x:c r="AH1419" s="84" t="n">
        <x:f>IF(AND(AG1419=1,OR('Dashboard'!$B$4="All",I1419='Dashboard'!$B$4),OR('Dashboard'!$E$4="All",N1419='Dashboard'!$E$4),OR('Dashboard'!$H$4="All",K1419='Dashboard'!$H$4),OR('Dashboard'!$K$4="All",C1419='Dashboard'!$K$4)),1,0)</x:f>
        <x:v>1</x:v>
      </x:c>
      <x:c r="AI1419" s="84" t="n">
        <x:f>IF(AND(AG1419=1,OR('Dashboard'!$B$4="All",I1419='Dashboard'!$B$4),OR('Dashboard'!$E$4="All",N1419='Dashboard'!$E$4),OR('Dashboard'!$H$4="All",K1419='Dashboard'!$H$4)),1,0)</x:f>
        <x:v>1</x:v>
      </x:c>
    </x:row>
    <x:row r="1420">
      <x:c r="A1420" s="84" t="str">
        <x:f>'Raw Sales'!A1420</x:f>
        <x:v>ORD-2025-00640</x:v>
      </x:c>
      <x:c r="B1420" s="85" t="n">
        <x:f>'Raw Sales'!B1420</x:f>
        <x:v>45764</x:v>
      </x:c>
      <x:c r="C1420" s="84" t="n">
        <x:f>YEAR(B1420)</x:f>
        <x:v>2025</x:v>
      </x:c>
      <x:c r="D1420" s="91" t="n">
        <x:f>DATE(YEAR(B1420),MONTH(B1420),1)</x:f>
        <x:v>45748</x:v>
      </x:c>
      <x:c r="E1420" s="84" t="str">
        <x:f>TEXT(B1420,"mmm")</x:f>
        <x:v>Apr</x:v>
      </x:c>
      <x:c r="F1420" s="84" t="str">
        <x:f>'Raw Sales'!C1420</x:f>
        <x:v>CUST-0059</x:v>
      </x:c>
      <x:c r="G1420" s="84" t="str">
        <x:f>PROPER(TRIM('Raw Sales'!D1420))</x:f>
        <x:v>Samuel Lewis</x:v>
      </x:c>
      <x:c r="H1420" s="84" t="str">
        <x:f>IF(TRIM('Raw Sales'!E1420)="","Unknown",PROPER(TRIM('Raw Sales'!E1420)))</x:f>
        <x:v>Consumer</x:v>
      </x:c>
      <x:c r="I1420" s="84" t="str">
        <x:f>PROPER(TRIM('Raw Sales'!F1420))</x:f>
        <x:v>Midwest</x:v>
      </x:c>
      <x:c r="J1420" s="84" t="str">
        <x:f>PROPER(TRIM('Raw Sales'!G1420))</x:f>
        <x:v>Minneapolis</x:v>
      </x:c>
      <x:c r="K1420" s="84" t="str">
        <x:f>PROPER(TRIM('Raw Sales'!H1420))</x:f>
        <x:v>Retail Store</x:v>
      </x:c>
      <x:c r="L1420" s="84" t="str">
        <x:f>'Raw Sales'!I1420</x:f>
        <x:v>FITN-001</x:v>
      </x:c>
      <x:c r="M1420" s="84" t="str">
        <x:f>IFERROR(VLOOKUP(L1420,'Reference Data'!$A$5:$F$40,2,FALSE),"Unknown Product")</x:f>
        <x:v>Yoga Mat</x:v>
      </x:c>
      <x:c r="N1420" s="84" t="str">
        <x:f>IFERROR(VLOOKUP(L1420,'Reference Data'!$A$5:$F$40,3,FALSE),"Unknown")</x:f>
        <x:v>Fitness</x:v>
      </x:c>
      <x:c r="O1420" s="84" t="str">
        <x:f>IFERROR(VLOOKUP(L1420,'Reference Data'!$A$5:$F$40,4,FALSE),"Unknown")</x:f>
        <x:v>Yoga</x:v>
      </x:c>
      <x:c r="P1420" s="92" t="n">
        <x:f>IFERROR(VLOOKUP(L1420,'Reference Data'!$A$5:$F$40,5,FALSE),0)</x:f>
        <x:v>35</x:v>
      </x:c>
      <x:c r="Q1420" s="92" t="n">
        <x:f>IFERROR(VLOOKUP(L1420,'Reference Data'!$A$5:$F$40,6,FALSE),0)</x:f>
        <x:v>13</x:v>
      </x:c>
      <x:c r="R1420" s="84" t="n">
        <x:f>'Raw Sales'!J1420</x:f>
        <x:v>4</x:v>
      </x:c>
      <x:c r="S1420" s="87" t="n">
        <x:f>'Raw Sales'!K1420</x:f>
        <x:v>0</x:v>
      </x:c>
      <x:c r="T1420" s="93" t="n">
        <x:f>P1420*R1420</x:f>
        <x:v>140</x:v>
      </x:c>
      <x:c r="U1420" s="93" t="n">
        <x:f>T1420*S1420</x:f>
        <x:v>0</x:v>
      </x:c>
      <x:c r="V1420" s="93" t="str">
        <x:f>PROPER(TRIM('Raw Sales'!L1420))</x:f>
        <x:v>Completed</x:v>
      </x:c>
      <x:c r="W1420" s="93" t="n">
        <x:f>IF(V1420="Returned",0,T1420-U1420)</x:f>
        <x:v>140</x:v>
      </x:c>
      <x:c r="X1420" s="93" t="n">
        <x:f>IF(V1420="Returned",Q1420*R1420*10%,Q1420*R1420)</x:f>
        <x:v>52</x:v>
      </x:c>
      <x:c r="Y1420" s="93" t="n">
        <x:f>W1420-X1420</x:f>
        <x:v>88</x:v>
      </x:c>
      <x:c r="Z1420" s="94" t="n">
        <x:f>IFERROR(Y1420/W1420,0)</x:f>
        <x:v>0.6285714285714286</x:v>
      </x:c>
      <x:c r="AA1420" s="84" t="str">
        <x:f>PROPER(TRIM('Raw Sales'!M1420))</x:f>
        <x:v>Cash</x:v>
      </x:c>
      <x:c r="AB1420" s="84" t="str">
        <x:f>PROPER(TRIM('Raw Sales'!N1420))</x:f>
        <x:v>Lucas Grant</x:v>
      </x:c>
      <x:c r="AC1420" s="85" t="n">
        <x:f>'Raw Sales'!O1420</x:f>
        <x:v>45764</x:v>
      </x:c>
      <x:c r="AD1420" s="84" t="n">
        <x:f>AC1420-B1420</x:f>
        <x:v>0</x:v>
      </x:c>
      <x:c r="AE1420" s="84" t="str">
        <x:f>IF(COUNTIF($A$5:A1420,A1420)&gt;1,"Duplicate","Keep")</x:f>
        <x:v>Keep</x:v>
      </x:c>
      <x:c r="AF1420" s="84" t="str">
        <x:f>IF(OR(R1420&lt;=0,AC1420&lt;B1420,H1420="Unknown",M1420="Unknown Product"),"Review","Valid")</x:f>
        <x:v>Valid</x:v>
      </x:c>
      <x:c r="AG1420" s="84" t="n">
        <x:f>IF(AND(AE1420="Keep",AF1420="Valid"),1,0)</x:f>
        <x:v>1</x:v>
      </x:c>
      <x:c r="AH1420" s="84" t="n">
        <x:f>IF(AND(AG1420=1,OR('Dashboard'!$B$4="All",I1420='Dashboard'!$B$4),OR('Dashboard'!$E$4="All",N1420='Dashboard'!$E$4),OR('Dashboard'!$H$4="All",K1420='Dashboard'!$H$4),OR('Dashboard'!$K$4="All",C1420='Dashboard'!$K$4)),1,0)</x:f>
        <x:v>1</x:v>
      </x:c>
      <x:c r="AI1420" s="84" t="n">
        <x:f>IF(AND(AG1420=1,OR('Dashboard'!$B$4="All",I1420='Dashboard'!$B$4),OR('Dashboard'!$E$4="All",N1420='Dashboard'!$E$4),OR('Dashboard'!$H$4="All",K1420='Dashboard'!$H$4)),1,0)</x:f>
        <x:v>1</x:v>
      </x:c>
    </x:row>
    <x:row r="1421">
      <x:c r="A1421" s="84" t="str">
        <x:f>'Raw Sales'!A1421</x:f>
        <x:v>ORD-2025-01368</x:v>
      </x:c>
      <x:c r="B1421" s="85" t="n">
        <x:f>'Raw Sales'!B1421</x:f>
        <x:v>45764</x:v>
      </x:c>
      <x:c r="C1421" s="84" t="n">
        <x:f>YEAR(B1421)</x:f>
        <x:v>2025</x:v>
      </x:c>
      <x:c r="D1421" s="91" t="n">
        <x:f>DATE(YEAR(B1421),MONTH(B1421),1)</x:f>
        <x:v>45748</x:v>
      </x:c>
      <x:c r="E1421" s="84" t="str">
        <x:f>TEXT(B1421,"mmm")</x:f>
        <x:v>Apr</x:v>
      </x:c>
      <x:c r="F1421" s="84" t="str">
        <x:f>'Raw Sales'!C1421</x:f>
        <x:v>CUST-0322</x:v>
      </x:c>
      <x:c r="G1421" s="84" t="str">
        <x:f>PROPER(TRIM('Raw Sales'!D1421))</x:f>
        <x:v>Jasmine Khan</x:v>
      </x:c>
      <x:c r="H1421" s="84" t="str">
        <x:f>IF(TRIM('Raw Sales'!E1421)="","Unknown",PROPER(TRIM('Raw Sales'!E1421)))</x:f>
        <x:v>Corporate</x:v>
      </x:c>
      <x:c r="I1421" s="84" t="str">
        <x:f>PROPER(TRIM('Raw Sales'!F1421))</x:f>
        <x:v>Southeast</x:v>
      </x:c>
      <x:c r="J1421" s="84" t="str">
        <x:f>PROPER(TRIM('Raw Sales'!G1421))</x:f>
        <x:v>Atlanta</x:v>
      </x:c>
      <x:c r="K1421" s="84" t="str">
        <x:f>PROPER(TRIM('Raw Sales'!H1421))</x:f>
        <x:v>Marketplace</x:v>
      </x:c>
      <x:c r="L1421" s="84" t="str">
        <x:f>'Raw Sales'!I1421</x:f>
        <x:v>ACCS-003</x:v>
      </x:c>
      <x:c r="M1421" s="84" t="str">
        <x:f>IFERROR(VLOOKUP(L1421,'Reference Data'!$A$5:$F$40,2,FALSE),"Unknown Product")</x:f>
        <x:v>Polarized Sunglasses</x:v>
      </x:c>
      <x:c r="N1421" s="84" t="str">
        <x:f>IFERROR(VLOOKUP(L1421,'Reference Data'!$A$5:$F$40,3,FALSE),"Unknown")</x:f>
        <x:v>Accessories</x:v>
      </x:c>
      <x:c r="O1421" s="84" t="str">
        <x:f>IFERROR(VLOOKUP(L1421,'Reference Data'!$A$5:$F$40,4,FALSE),"Unknown")</x:f>
        <x:v>Eyewear</x:v>
      </x:c>
      <x:c r="P1421" s="92" t="n">
        <x:f>IFERROR(VLOOKUP(L1421,'Reference Data'!$A$5:$F$40,5,FALSE),0)</x:f>
        <x:v>59</x:v>
      </x:c>
      <x:c r="Q1421" s="92" t="n">
        <x:f>IFERROR(VLOOKUP(L1421,'Reference Data'!$A$5:$F$40,6,FALSE),0)</x:f>
        <x:v>17</x:v>
      </x:c>
      <x:c r="R1421" s="84" t="n">
        <x:f>'Raw Sales'!J1421</x:f>
        <x:v>4</x:v>
      </x:c>
      <x:c r="S1421" s="87" t="n">
        <x:f>'Raw Sales'!K1421</x:f>
        <x:v>0.2</x:v>
      </x:c>
      <x:c r="T1421" s="93" t="n">
        <x:f>P1421*R1421</x:f>
        <x:v>236</x:v>
      </x:c>
      <x:c r="U1421" s="93" t="n">
        <x:f>T1421*S1421</x:f>
        <x:v>47.2</x:v>
      </x:c>
      <x:c r="V1421" s="93" t="str">
        <x:f>PROPER(TRIM('Raw Sales'!L1421))</x:f>
        <x:v>Completed</x:v>
      </x:c>
      <x:c r="W1421" s="93" t="n">
        <x:f>IF(V1421="Returned",0,T1421-U1421)</x:f>
        <x:v>188.8</x:v>
      </x:c>
      <x:c r="X1421" s="93" t="n">
        <x:f>IF(V1421="Returned",Q1421*R1421*10%,Q1421*R1421)</x:f>
        <x:v>68</x:v>
      </x:c>
      <x:c r="Y1421" s="93" t="n">
        <x:f>W1421-X1421</x:f>
        <x:v>120.80000000000001</x:v>
      </x:c>
      <x:c r="Z1421" s="94" t="n">
        <x:f>IFERROR(Y1421/W1421,0)</x:f>
        <x:v>0.6398305084745763</x:v>
      </x:c>
      <x:c r="AA1421" s="84" t="str">
        <x:f>PROPER(TRIM('Raw Sales'!M1421))</x:f>
        <x:v>Credit Card</x:v>
      </x:c>
      <x:c r="AB1421" s="84" t="str">
        <x:f>PROPER(TRIM('Raw Sales'!N1421))</x:f>
        <x:v>Liam Parker</x:v>
      </x:c>
      <x:c r="AC1421" s="85" t="n">
        <x:f>'Raw Sales'!O1421</x:f>
        <x:v>45768</x:v>
      </x:c>
      <x:c r="AD1421" s="84" t="n">
        <x:f>AC1421-B1421</x:f>
        <x:v>4</x:v>
      </x:c>
      <x:c r="AE1421" s="84" t="str">
        <x:f>IF(COUNTIF($A$5:A1421,A1421)&gt;1,"Duplicate","Keep")</x:f>
        <x:v>Keep</x:v>
      </x:c>
      <x:c r="AF1421" s="84" t="str">
        <x:f>IF(OR(R1421&lt;=0,AC1421&lt;B1421,H1421="Unknown",M1421="Unknown Product"),"Review","Valid")</x:f>
        <x:v>Valid</x:v>
      </x:c>
      <x:c r="AG1421" s="84" t="n">
        <x:f>IF(AND(AE1421="Keep",AF1421="Valid"),1,0)</x:f>
        <x:v>1</x:v>
      </x:c>
      <x:c r="AH1421" s="84" t="n">
        <x:f>IF(AND(AG1421=1,OR('Dashboard'!$B$4="All",I1421='Dashboard'!$B$4),OR('Dashboard'!$E$4="All",N1421='Dashboard'!$E$4),OR('Dashboard'!$H$4="All",K1421='Dashboard'!$H$4),OR('Dashboard'!$K$4="All",C1421='Dashboard'!$K$4)),1,0)</x:f>
        <x:v>1</x:v>
      </x:c>
      <x:c r="AI1421" s="84" t="n">
        <x:f>IF(AND(AG1421=1,OR('Dashboard'!$B$4="All",I1421='Dashboard'!$B$4),OR('Dashboard'!$E$4="All",N1421='Dashboard'!$E$4),OR('Dashboard'!$H$4="All",K1421='Dashboard'!$H$4)),1,0)</x:f>
        <x:v>1</x:v>
      </x:c>
    </x:row>
    <x:row r="1422">
      <x:c r="A1422" s="84" t="str">
        <x:f>'Raw Sales'!A1422</x:f>
        <x:v>ORD-2025-01899</x:v>
      </x:c>
      <x:c r="B1422" s="85" t="n">
        <x:f>'Raw Sales'!B1422</x:f>
        <x:v>45764</x:v>
      </x:c>
      <x:c r="C1422" s="84" t="n">
        <x:f>YEAR(B1422)</x:f>
        <x:v>2025</x:v>
      </x:c>
      <x:c r="D1422" s="91" t="n">
        <x:f>DATE(YEAR(B1422),MONTH(B1422),1)</x:f>
        <x:v>45748</x:v>
      </x:c>
      <x:c r="E1422" s="84" t="str">
        <x:f>TEXT(B1422,"mmm")</x:f>
        <x:v>Apr</x:v>
      </x:c>
      <x:c r="F1422" s="84" t="str">
        <x:f>'Raw Sales'!C1422</x:f>
        <x:v>CUST-0493</x:v>
      </x:c>
      <x:c r="G1422" s="84" t="str">
        <x:f>PROPER(TRIM('Raw Sales'!D1422))</x:f>
        <x:v>Nina Evans</x:v>
      </x:c>
      <x:c r="H1422" s="84" t="str">
        <x:f>IF(TRIM('Raw Sales'!E1422)="","Unknown",PROPER(TRIM('Raw Sales'!E1422)))</x:f>
        <x:v>Corporate</x:v>
      </x:c>
      <x:c r="I1422" s="84" t="str">
        <x:f>PROPER(TRIM('Raw Sales'!F1422))</x:f>
        <x:v>West</x:v>
      </x:c>
      <x:c r="J1422" s="84" t="str">
        <x:f>PROPER(TRIM('Raw Sales'!G1422))</x:f>
        <x:v>Denver</x:v>
      </x:c>
      <x:c r="K1422" s="84" t="str">
        <x:f>PROPER(TRIM('Raw Sales'!H1422))</x:f>
        <x:v>Retail Store</x:v>
      </x:c>
      <x:c r="L1422" s="84" t="str">
        <x:f>'Raw Sales'!I1422</x:f>
        <x:v>ELEC-003</x:v>
      </x:c>
      <x:c r="M1422" s="84" t="str">
        <x:f>IFERROR(VLOOKUP(L1422,'Reference Data'!$A$5:$F$40,2,FALSE),"Unknown Product")</x:f>
        <x:v>Bluetooth Speaker</x:v>
      </x:c>
      <x:c r="N1422" s="84" t="str">
        <x:f>IFERROR(VLOOKUP(L1422,'Reference Data'!$A$5:$F$40,3,FALSE),"Unknown")</x:f>
        <x:v>Electronics</x:v>
      </x:c>
      <x:c r="O1422" s="84" t="str">
        <x:f>IFERROR(VLOOKUP(L1422,'Reference Data'!$A$5:$F$40,4,FALSE),"Unknown")</x:f>
        <x:v>Audio</x:v>
      </x:c>
      <x:c r="P1422" s="92" t="n">
        <x:f>IFERROR(VLOOKUP(L1422,'Reference Data'!$A$5:$F$40,5,FALSE),0)</x:f>
        <x:v>89</x:v>
      </x:c>
      <x:c r="Q1422" s="92" t="n">
        <x:f>IFERROR(VLOOKUP(L1422,'Reference Data'!$A$5:$F$40,6,FALSE),0)</x:f>
        <x:v>44</x:v>
      </x:c>
      <x:c r="R1422" s="84" t="n">
        <x:f>'Raw Sales'!J1422</x:f>
        <x:v>5</x:v>
      </x:c>
      <x:c r="S1422" s="87" t="n">
        <x:f>'Raw Sales'!K1422</x:f>
        <x:v>0</x:v>
      </x:c>
      <x:c r="T1422" s="93" t="n">
        <x:f>P1422*R1422</x:f>
        <x:v>445</x:v>
      </x:c>
      <x:c r="U1422" s="93" t="n">
        <x:f>T1422*S1422</x:f>
        <x:v>0</x:v>
      </x:c>
      <x:c r="V1422" s="93" t="str">
        <x:f>PROPER(TRIM('Raw Sales'!L1422))</x:f>
        <x:v>Completed</x:v>
      </x:c>
      <x:c r="W1422" s="93" t="n">
        <x:f>IF(V1422="Returned",0,T1422-U1422)</x:f>
        <x:v>445</x:v>
      </x:c>
      <x:c r="X1422" s="93" t="n">
        <x:f>IF(V1422="Returned",Q1422*R1422*10%,Q1422*R1422)</x:f>
        <x:v>220</x:v>
      </x:c>
      <x:c r="Y1422" s="93" t="n">
        <x:f>W1422-X1422</x:f>
        <x:v>225</x:v>
      </x:c>
      <x:c r="Z1422" s="94" t="n">
        <x:f>IFERROR(Y1422/W1422,0)</x:f>
        <x:v>0.5056179775280899</x:v>
      </x:c>
      <x:c r="AA1422" s="84" t="str">
        <x:f>PROPER(TRIM('Raw Sales'!M1422))</x:f>
        <x:v>Debit Card</x:v>
      </x:c>
      <x:c r="AB1422" s="84" t="str">
        <x:f>PROPER(TRIM('Raw Sales'!N1422))</x:f>
        <x:v>Leo Martinez</x:v>
      </x:c>
      <x:c r="AC1422" s="85" t="n">
        <x:f>'Raw Sales'!O1422</x:f>
        <x:v>45764</x:v>
      </x:c>
      <x:c r="AD1422" s="84" t="n">
        <x:f>AC1422-B1422</x:f>
        <x:v>0</x:v>
      </x:c>
      <x:c r="AE1422" s="84" t="str">
        <x:f>IF(COUNTIF($A$5:A1422,A1422)&gt;1,"Duplicate","Keep")</x:f>
        <x:v>Keep</x:v>
      </x:c>
      <x:c r="AF1422" s="84" t="str">
        <x:f>IF(OR(R1422&lt;=0,AC1422&lt;B1422,H1422="Unknown",M1422="Unknown Product"),"Review","Valid")</x:f>
        <x:v>Valid</x:v>
      </x:c>
      <x:c r="AG1422" s="84" t="n">
        <x:f>IF(AND(AE1422="Keep",AF1422="Valid"),1,0)</x:f>
        <x:v>1</x:v>
      </x:c>
      <x:c r="AH1422" s="84" t="n">
        <x:f>IF(AND(AG1422=1,OR('Dashboard'!$B$4="All",I1422='Dashboard'!$B$4),OR('Dashboard'!$E$4="All",N1422='Dashboard'!$E$4),OR('Dashboard'!$H$4="All",K1422='Dashboard'!$H$4),OR('Dashboard'!$K$4="All",C1422='Dashboard'!$K$4)),1,0)</x:f>
        <x:v>1</x:v>
      </x:c>
      <x:c r="AI1422" s="84" t="n">
        <x:f>IF(AND(AG1422=1,OR('Dashboard'!$B$4="All",I1422='Dashboard'!$B$4),OR('Dashboard'!$E$4="All",N1422='Dashboard'!$E$4),OR('Dashboard'!$H$4="All",K1422='Dashboard'!$H$4)),1,0)</x:f>
        <x:v>1</x:v>
      </x:c>
    </x:row>
    <x:row r="1423">
      <x:c r="A1423" s="84" t="str">
        <x:f>'Raw Sales'!A1423</x:f>
        <x:v>ORD-2025-00309</x:v>
      </x:c>
      <x:c r="B1423" s="85" t="n">
        <x:f>'Raw Sales'!B1423</x:f>
        <x:v>45765</x:v>
      </x:c>
      <x:c r="C1423" s="84" t="n">
        <x:f>YEAR(B1423)</x:f>
        <x:v>2025</x:v>
      </x:c>
      <x:c r="D1423" s="91" t="n">
        <x:f>DATE(YEAR(B1423),MONTH(B1423),1)</x:f>
        <x:v>45748</x:v>
      </x:c>
      <x:c r="E1423" s="84" t="str">
        <x:f>TEXT(B1423,"mmm")</x:f>
        <x:v>Apr</x:v>
      </x:c>
      <x:c r="F1423" s="84" t="str">
        <x:f>'Raw Sales'!C1423</x:f>
        <x:v>CUST-0233</x:v>
      </x:c>
      <x:c r="G1423" s="84" t="str">
        <x:f>PROPER(TRIM('Raw Sales'!D1423))</x:f>
        <x:v>Grace Taylor</x:v>
      </x:c>
      <x:c r="H1423" s="84" t="str">
        <x:f>IF(TRIM('Raw Sales'!E1423)="","Unknown",PROPER(TRIM('Raw Sales'!E1423)))</x:f>
        <x:v>Consumer</x:v>
      </x:c>
      <x:c r="I1423" s="84" t="str">
        <x:f>PROPER(TRIM('Raw Sales'!F1423))</x:f>
        <x:v>Northeast</x:v>
      </x:c>
      <x:c r="J1423" s="84" t="str">
        <x:f>PROPER(TRIM('Raw Sales'!G1423))</x:f>
        <x:v>New York</x:v>
      </x:c>
      <x:c r="K1423" s="84" t="str">
        <x:f>PROPER(TRIM('Raw Sales'!H1423))</x:f>
        <x:v>Online</x:v>
      </x:c>
      <x:c r="L1423" s="84" t="str">
        <x:f>'Raw Sales'!I1423</x:f>
        <x:v>ACCS-001</x:v>
      </x:c>
      <x:c r="M1423" s="84" t="str">
        <x:f>IFERROR(VLOOKUP(L1423,'Reference Data'!$A$5:$F$40,2,FALSE),"Unknown Product")</x:f>
        <x:v>Canvas Tote Bag</x:v>
      </x:c>
      <x:c r="N1423" s="84" t="str">
        <x:f>IFERROR(VLOOKUP(L1423,'Reference Data'!$A$5:$F$40,3,FALSE),"Unknown")</x:f>
        <x:v>Accessories</x:v>
      </x:c>
      <x:c r="O1423" s="84" t="str">
        <x:f>IFERROR(VLOOKUP(L1423,'Reference Data'!$A$5:$F$40,4,FALSE),"Unknown")</x:f>
        <x:v>Bags</x:v>
      </x:c>
      <x:c r="P1423" s="92" t="n">
        <x:f>IFERROR(VLOOKUP(L1423,'Reference Data'!$A$5:$F$40,5,FALSE),0)</x:f>
        <x:v>39</x:v>
      </x:c>
      <x:c r="Q1423" s="92" t="n">
        <x:f>IFERROR(VLOOKUP(L1423,'Reference Data'!$A$5:$F$40,6,FALSE),0)</x:f>
        <x:v>14</x:v>
      </x:c>
      <x:c r="R1423" s="84" t="n">
        <x:f>'Raw Sales'!J1423</x:f>
        <x:v>1</x:v>
      </x:c>
      <x:c r="S1423" s="87" t="n">
        <x:f>'Raw Sales'!K1423</x:f>
        <x:v>0</x:v>
      </x:c>
      <x:c r="T1423" s="93" t="n">
        <x:f>P1423*R1423</x:f>
        <x:v>39</x:v>
      </x:c>
      <x:c r="U1423" s="93" t="n">
        <x:f>T1423*S1423</x:f>
        <x:v>0</x:v>
      </x:c>
      <x:c r="V1423" s="93" t="str">
        <x:f>PROPER(TRIM('Raw Sales'!L1423))</x:f>
        <x:v>Completed</x:v>
      </x:c>
      <x:c r="W1423" s="93" t="n">
        <x:f>IF(V1423="Returned",0,T1423-U1423)</x:f>
        <x:v>39</x:v>
      </x:c>
      <x:c r="X1423" s="93" t="n">
        <x:f>IF(V1423="Returned",Q1423*R1423*10%,Q1423*R1423)</x:f>
        <x:v>14</x:v>
      </x:c>
      <x:c r="Y1423" s="93" t="n">
        <x:f>W1423-X1423</x:f>
        <x:v>25</x:v>
      </x:c>
      <x:c r="Z1423" s="94" t="n">
        <x:f>IFERROR(Y1423/W1423,0)</x:f>
        <x:v>0.6410256410256411</x:v>
      </x:c>
      <x:c r="AA1423" s="84" t="str">
        <x:f>PROPER(TRIM('Raw Sales'!M1423))</x:f>
        <x:v>Credit Card</x:v>
      </x:c>
      <x:c r="AB1423" s="84" t="str">
        <x:f>PROPER(TRIM('Raw Sales'!N1423))</x:f>
        <x:v>Sofia Bennett</x:v>
      </x:c>
      <x:c r="AC1423" s="85" t="n">
        <x:f>'Raw Sales'!O1423</x:f>
        <x:v>45767</x:v>
      </x:c>
      <x:c r="AD1423" s="84" t="n">
        <x:f>AC1423-B1423</x:f>
        <x:v>2</x:v>
      </x:c>
      <x:c r="AE1423" s="84" t="str">
        <x:f>IF(COUNTIF($A$5:A1423,A1423)&gt;1,"Duplicate","Keep")</x:f>
        <x:v>Keep</x:v>
      </x:c>
      <x:c r="AF1423" s="84" t="str">
        <x:f>IF(OR(R1423&lt;=0,AC1423&lt;B1423,H1423="Unknown",M1423="Unknown Product"),"Review","Valid")</x:f>
        <x:v>Valid</x:v>
      </x:c>
      <x:c r="AG1423" s="84" t="n">
        <x:f>IF(AND(AE1423="Keep",AF1423="Valid"),1,0)</x:f>
        <x:v>1</x:v>
      </x:c>
      <x:c r="AH1423" s="84" t="n">
        <x:f>IF(AND(AG1423=1,OR('Dashboard'!$B$4="All",I1423='Dashboard'!$B$4),OR('Dashboard'!$E$4="All",N1423='Dashboard'!$E$4),OR('Dashboard'!$H$4="All",K1423='Dashboard'!$H$4),OR('Dashboard'!$K$4="All",C1423='Dashboard'!$K$4)),1,0)</x:f>
        <x:v>1</x:v>
      </x:c>
      <x:c r="AI1423" s="84" t="n">
        <x:f>IF(AND(AG1423=1,OR('Dashboard'!$B$4="All",I1423='Dashboard'!$B$4),OR('Dashboard'!$E$4="All",N1423='Dashboard'!$E$4),OR('Dashboard'!$H$4="All",K1423='Dashboard'!$H$4)),1,0)</x:f>
        <x:v>1</x:v>
      </x:c>
    </x:row>
    <x:row r="1424">
      <x:c r="A1424" s="84" t="str">
        <x:f>'Raw Sales'!A1424</x:f>
        <x:v>ORD-2025-00572</x:v>
      </x:c>
      <x:c r="B1424" s="85" t="n">
        <x:f>'Raw Sales'!B1424</x:f>
        <x:v>45765</x:v>
      </x:c>
      <x:c r="C1424" s="84" t="n">
        <x:f>YEAR(B1424)</x:f>
        <x:v>2025</x:v>
      </x:c>
      <x:c r="D1424" s="91" t="n">
        <x:f>DATE(YEAR(B1424),MONTH(B1424),1)</x:f>
        <x:v>45748</x:v>
      </x:c>
      <x:c r="E1424" s="84" t="str">
        <x:f>TEXT(B1424,"mmm")</x:f>
        <x:v>Apr</x:v>
      </x:c>
      <x:c r="F1424" s="84" t="str">
        <x:f>'Raw Sales'!C1424</x:f>
        <x:v>CUST-0166</x:v>
      </x:c>
      <x:c r="G1424" s="84" t="str">
        <x:f>PROPER(TRIM('Raw Sales'!D1424))</x:f>
        <x:v>Marcus Young</x:v>
      </x:c>
      <x:c r="H1424" s="84" t="str">
        <x:f>IF(TRIM('Raw Sales'!E1424)="","Unknown",PROPER(TRIM('Raw Sales'!E1424)))</x:f>
        <x:v>Consumer</x:v>
      </x:c>
      <x:c r="I1424" s="84" t="str">
        <x:f>PROPER(TRIM('Raw Sales'!F1424))</x:f>
        <x:v>West</x:v>
      </x:c>
      <x:c r="J1424" s="84" t="str">
        <x:f>PROPER(TRIM('Raw Sales'!G1424))</x:f>
        <x:v>Phoenix</x:v>
      </x:c>
      <x:c r="K1424" s="84" t="str">
        <x:f>PROPER(TRIM('Raw Sales'!H1424))</x:f>
        <x:v>Retail Store</x:v>
      </x:c>
      <x:c r="L1424" s="84" t="str">
        <x:f>'Raw Sales'!I1424</x:f>
        <x:v>OFFC-002</x:v>
      </x:c>
      <x:c r="M1424" s="84" t="str">
        <x:f>IFERROR(VLOOKUP(L1424,'Reference Data'!$A$5:$F$40,2,FALSE),"Unknown Product")</x:f>
        <x:v>Standing Desk</x:v>
      </x:c>
      <x:c r="N1424" s="84" t="str">
        <x:f>IFERROR(VLOOKUP(L1424,'Reference Data'!$A$5:$F$40,3,FALSE),"Unknown")</x:f>
        <x:v>Office</x:v>
      </x:c>
      <x:c r="O1424" s="84" t="str">
        <x:f>IFERROR(VLOOKUP(L1424,'Reference Data'!$A$5:$F$40,4,FALSE),"Unknown")</x:f>
        <x:v>Furniture</x:v>
      </x:c>
      <x:c r="P1424" s="92" t="n">
        <x:f>IFERROR(VLOOKUP(L1424,'Reference Data'!$A$5:$F$40,5,FALSE),0)</x:f>
        <x:v>399</x:v>
      </x:c>
      <x:c r="Q1424" s="92" t="n">
        <x:f>IFERROR(VLOOKUP(L1424,'Reference Data'!$A$5:$F$40,6,FALSE),0)</x:f>
        <x:v>235</x:v>
      </x:c>
      <x:c r="R1424" s="84" t="n">
        <x:f>'Raw Sales'!J1424</x:f>
        <x:v>1</x:v>
      </x:c>
      <x:c r="S1424" s="87" t="n">
        <x:f>'Raw Sales'!K1424</x:f>
        <x:v>0.1</x:v>
      </x:c>
      <x:c r="T1424" s="93" t="n">
        <x:f>P1424*R1424</x:f>
        <x:v>399</x:v>
      </x:c>
      <x:c r="U1424" s="93" t="n">
        <x:f>T1424*S1424</x:f>
        <x:v>39.900000000000006</x:v>
      </x:c>
      <x:c r="V1424" s="93" t="str">
        <x:f>PROPER(TRIM('Raw Sales'!L1424))</x:f>
        <x:v>Completed</x:v>
      </x:c>
      <x:c r="W1424" s="93" t="n">
        <x:f>IF(V1424="Returned",0,T1424-U1424)</x:f>
        <x:v>359.1</x:v>
      </x:c>
      <x:c r="X1424" s="93" t="n">
        <x:f>IF(V1424="Returned",Q1424*R1424*10%,Q1424*R1424)</x:f>
        <x:v>235</x:v>
      </x:c>
      <x:c r="Y1424" s="93" t="n">
        <x:f>W1424-X1424</x:f>
        <x:v>124.10000000000002</x:v>
      </x:c>
      <x:c r="Z1424" s="94" t="n">
        <x:f>IFERROR(Y1424/W1424,0)</x:f>
        <x:v>0.3455861876914509</x:v>
      </x:c>
      <x:c r="AA1424" s="84" t="str">
        <x:f>PROPER(TRIM('Raw Sales'!M1424))</x:f>
        <x:v>Cash</x:v>
      </x:c>
      <x:c r="AB1424" s="84" t="str">
        <x:f>PROPER(TRIM('Raw Sales'!N1424))</x:f>
        <x:v>Mia Chen</x:v>
      </x:c>
      <x:c r="AC1424" s="85" t="n">
        <x:f>'Raw Sales'!O1424</x:f>
        <x:v>45765</x:v>
      </x:c>
      <x:c r="AD1424" s="84" t="n">
        <x:f>AC1424-B1424</x:f>
        <x:v>0</x:v>
      </x:c>
      <x:c r="AE1424" s="84" t="str">
        <x:f>IF(COUNTIF($A$5:A1424,A1424)&gt;1,"Duplicate","Keep")</x:f>
        <x:v>Keep</x:v>
      </x:c>
      <x:c r="AF1424" s="84" t="str">
        <x:f>IF(OR(R1424&lt;=0,AC1424&lt;B1424,H1424="Unknown",M1424="Unknown Product"),"Review","Valid")</x:f>
        <x:v>Valid</x:v>
      </x:c>
      <x:c r="AG1424" s="84" t="n">
        <x:f>IF(AND(AE1424="Keep",AF1424="Valid"),1,0)</x:f>
        <x:v>1</x:v>
      </x:c>
      <x:c r="AH1424" s="84" t="n">
        <x:f>IF(AND(AG1424=1,OR('Dashboard'!$B$4="All",I1424='Dashboard'!$B$4),OR('Dashboard'!$E$4="All",N1424='Dashboard'!$E$4),OR('Dashboard'!$H$4="All",K1424='Dashboard'!$H$4),OR('Dashboard'!$K$4="All",C1424='Dashboard'!$K$4)),1,0)</x:f>
        <x:v>1</x:v>
      </x:c>
      <x:c r="AI1424" s="84" t="n">
        <x:f>IF(AND(AG1424=1,OR('Dashboard'!$B$4="All",I1424='Dashboard'!$B$4),OR('Dashboard'!$E$4="All",N1424='Dashboard'!$E$4),OR('Dashboard'!$H$4="All",K1424='Dashboard'!$H$4)),1,0)</x:f>
        <x:v>1</x:v>
      </x:c>
    </x:row>
    <x:row r="1425">
      <x:c r="A1425" s="84" t="str">
        <x:f>'Raw Sales'!A1425</x:f>
        <x:v>ORD-2025-01012</x:v>
      </x:c>
      <x:c r="B1425" s="85" t="n">
        <x:f>'Raw Sales'!B1425</x:f>
        <x:v>45765</x:v>
      </x:c>
      <x:c r="C1425" s="84" t="n">
        <x:f>YEAR(B1425)</x:f>
        <x:v>2025</x:v>
      </x:c>
      <x:c r="D1425" s="91" t="n">
        <x:f>DATE(YEAR(B1425),MONTH(B1425),1)</x:f>
        <x:v>45748</x:v>
      </x:c>
      <x:c r="E1425" s="84" t="str">
        <x:f>TEXT(B1425,"mmm")</x:f>
        <x:v>Apr</x:v>
      </x:c>
      <x:c r="F1425" s="84" t="str">
        <x:f>'Raw Sales'!C1425</x:f>
        <x:v>CUST-0062</x:v>
      </x:c>
      <x:c r="G1425" s="84" t="str">
        <x:f>PROPER(TRIM('Raw Sales'!D1425))</x:f>
        <x:v>Caleb Davis</x:v>
      </x:c>
      <x:c r="H1425" s="84" t="str">
        <x:f>IF(TRIM('Raw Sales'!E1425)="","Unknown",PROPER(TRIM('Raw Sales'!E1425)))</x:f>
        <x:v>Consumer</x:v>
      </x:c>
      <x:c r="I1425" s="84" t="str">
        <x:f>PROPER(TRIM('Raw Sales'!F1425))</x:f>
        <x:v>Northeast</x:v>
      </x:c>
      <x:c r="J1425" s="84" t="str">
        <x:f>PROPER(TRIM('Raw Sales'!G1425))</x:f>
        <x:v>New York</x:v>
      </x:c>
      <x:c r="K1425" s="84" t="str">
        <x:f>PROPER(TRIM('Raw Sales'!H1425))</x:f>
        <x:v>Retail Store</x:v>
      </x:c>
      <x:c r="L1425" s="84" t="str">
        <x:f>'Raw Sales'!I1425</x:f>
        <x:v>ACCS-006</x:v>
      </x:c>
      <x:c r="M1425" s="84" t="str">
        <x:f>IFERROR(VLOOKUP(L1425,'Reference Data'!$A$5:$F$40,2,FALSE),"Unknown Product")</x:f>
        <x:v>Insulated Lunch Bag</x:v>
      </x:c>
      <x:c r="N1425" s="84" t="str">
        <x:f>IFERROR(VLOOKUP(L1425,'Reference Data'!$A$5:$F$40,3,FALSE),"Unknown")</x:f>
        <x:v>Accessories</x:v>
      </x:c>
      <x:c r="O1425" s="84" t="str">
        <x:f>IFERROR(VLOOKUP(L1425,'Reference Data'!$A$5:$F$40,4,FALSE),"Unknown")</x:f>
        <x:v>Bags</x:v>
      </x:c>
      <x:c r="P1425" s="92" t="n">
        <x:f>IFERROR(VLOOKUP(L1425,'Reference Data'!$A$5:$F$40,5,FALSE),0)</x:f>
        <x:v>29</x:v>
      </x:c>
      <x:c r="Q1425" s="92" t="n">
        <x:f>IFERROR(VLOOKUP(L1425,'Reference Data'!$A$5:$F$40,6,FALSE),0)</x:f>
        <x:v>10</x:v>
      </x:c>
      <x:c r="R1425" s="84" t="n">
        <x:f>'Raw Sales'!J1425</x:f>
        <x:v>2</x:v>
      </x:c>
      <x:c r="S1425" s="87" t="n">
        <x:f>'Raw Sales'!K1425</x:f>
        <x:v>0</x:v>
      </x:c>
      <x:c r="T1425" s="93" t="n">
        <x:f>P1425*R1425</x:f>
        <x:v>58</x:v>
      </x:c>
      <x:c r="U1425" s="93" t="n">
        <x:f>T1425*S1425</x:f>
        <x:v>0</x:v>
      </x:c>
      <x:c r="V1425" s="93" t="str">
        <x:f>PROPER(TRIM('Raw Sales'!L1425))</x:f>
        <x:v>Completed</x:v>
      </x:c>
      <x:c r="W1425" s="93" t="n">
        <x:f>IF(V1425="Returned",0,T1425-U1425)</x:f>
        <x:v>58</x:v>
      </x:c>
      <x:c r="X1425" s="93" t="n">
        <x:f>IF(V1425="Returned",Q1425*R1425*10%,Q1425*R1425)</x:f>
        <x:v>20</x:v>
      </x:c>
      <x:c r="Y1425" s="93" t="n">
        <x:f>W1425-X1425</x:f>
        <x:v>38</x:v>
      </x:c>
      <x:c r="Z1425" s="94" t="n">
        <x:f>IFERROR(Y1425/W1425,0)</x:f>
        <x:v>0.6551724137931034</x:v>
      </x:c>
      <x:c r="AA1425" s="84" t="str">
        <x:f>PROPER(TRIM('Raw Sales'!M1425))</x:f>
        <x:v>Debit Card</x:v>
      </x:c>
      <x:c r="AB1425" s="84" t="str">
        <x:f>PROPER(TRIM('Raw Sales'!N1425))</x:f>
        <x:v>Sofia Bennett</x:v>
      </x:c>
      <x:c r="AC1425" s="85" t="n">
        <x:f>'Raw Sales'!O1425</x:f>
        <x:v>45765</x:v>
      </x:c>
      <x:c r="AD1425" s="84" t="n">
        <x:f>AC1425-B1425</x:f>
        <x:v>0</x:v>
      </x:c>
      <x:c r="AE1425" s="84" t="str">
        <x:f>IF(COUNTIF($A$5:A1425,A1425)&gt;1,"Duplicate","Keep")</x:f>
        <x:v>Keep</x:v>
      </x:c>
      <x:c r="AF1425" s="84" t="str">
        <x:f>IF(OR(R1425&lt;=0,AC1425&lt;B1425,H1425="Unknown",M1425="Unknown Product"),"Review","Valid")</x:f>
        <x:v>Valid</x:v>
      </x:c>
      <x:c r="AG1425" s="84" t="n">
        <x:f>IF(AND(AE1425="Keep",AF1425="Valid"),1,0)</x:f>
        <x:v>1</x:v>
      </x:c>
      <x:c r="AH1425" s="84" t="n">
        <x:f>IF(AND(AG1425=1,OR('Dashboard'!$B$4="All",I1425='Dashboard'!$B$4),OR('Dashboard'!$E$4="All",N1425='Dashboard'!$E$4),OR('Dashboard'!$H$4="All",K1425='Dashboard'!$H$4),OR('Dashboard'!$K$4="All",C1425='Dashboard'!$K$4)),1,0)</x:f>
        <x:v>1</x:v>
      </x:c>
      <x:c r="AI1425" s="84" t="n">
        <x:f>IF(AND(AG1425=1,OR('Dashboard'!$B$4="All",I1425='Dashboard'!$B$4),OR('Dashboard'!$E$4="All",N1425='Dashboard'!$E$4),OR('Dashboard'!$H$4="All",K1425='Dashboard'!$H$4)),1,0)</x:f>
        <x:v>1</x:v>
      </x:c>
    </x:row>
    <x:row r="1426">
      <x:c r="A1426" s="84" t="str">
        <x:f>'Raw Sales'!A1426</x:f>
        <x:v>ORD-2025-01014</x:v>
      </x:c>
      <x:c r="B1426" s="85" t="n">
        <x:f>'Raw Sales'!B1426</x:f>
        <x:v>45766</x:v>
      </x:c>
      <x:c r="C1426" s="84" t="n">
        <x:f>YEAR(B1426)</x:f>
        <x:v>2025</x:v>
      </x:c>
      <x:c r="D1426" s="91" t="n">
        <x:f>DATE(YEAR(B1426),MONTH(B1426),1)</x:f>
        <x:v>45748</x:v>
      </x:c>
      <x:c r="E1426" s="84" t="str">
        <x:f>TEXT(B1426,"mmm")</x:f>
        <x:v>Apr</x:v>
      </x:c>
      <x:c r="F1426" s="84" t="str">
        <x:f>'Raw Sales'!C1426</x:f>
        <x:v>CUST-0438</x:v>
      </x:c>
      <x:c r="G1426" s="84" t="str">
        <x:f>PROPER(TRIM('Raw Sales'!D1426))</x:f>
        <x:v>Isaac Ortiz</x:v>
      </x:c>
      <x:c r="H1426" s="84" t="str">
        <x:f>IF(TRIM('Raw Sales'!E1426)="","Unknown",PROPER(TRIM('Raw Sales'!E1426)))</x:f>
        <x:v>Consumer</x:v>
      </x:c>
      <x:c r="I1426" s="84" t="str">
        <x:f>PROPER(TRIM('Raw Sales'!F1426))</x:f>
        <x:v>Midwest</x:v>
      </x:c>
      <x:c r="J1426" s="84" t="str">
        <x:f>PROPER(TRIM('Raw Sales'!G1426))</x:f>
        <x:v>Columbus</x:v>
      </x:c>
      <x:c r="K1426" s="84" t="str">
        <x:f>PROPER(TRIM('Raw Sales'!H1426))</x:f>
        <x:v>Marketplace</x:v>
      </x:c>
      <x:c r="L1426" s="84" t="str">
        <x:f>'Raw Sales'!I1426</x:f>
        <x:v>CARE-005</x:v>
      </x:c>
      <x:c r="M1426" s="84" t="str">
        <x:f>IFERROR(VLOOKUP(L1426,'Reference Data'!$A$5:$F$40,2,FALSE),"Unknown Product")</x:f>
        <x:v>Skin Care Starter Kit</x:v>
      </x:c>
      <x:c r="N1426" s="84" t="str">
        <x:f>IFERROR(VLOOKUP(L1426,'Reference Data'!$A$5:$F$40,3,FALSE),"Unknown")</x:f>
        <x:v>Personal Care</x:v>
      </x:c>
      <x:c r="O1426" s="84" t="str">
        <x:f>IFERROR(VLOOKUP(L1426,'Reference Data'!$A$5:$F$40,4,FALSE),"Unknown")</x:f>
        <x:v>Skin Care</x:v>
      </x:c>
      <x:c r="P1426" s="92" t="n">
        <x:f>IFERROR(VLOOKUP(L1426,'Reference Data'!$A$5:$F$40,5,FALSE),0)</x:f>
        <x:v>58</x:v>
      </x:c>
      <x:c r="Q1426" s="92" t="n">
        <x:f>IFERROR(VLOOKUP(L1426,'Reference Data'!$A$5:$F$40,6,FALSE),0)</x:f>
        <x:v>24</x:v>
      </x:c>
      <x:c r="R1426" s="84" t="n">
        <x:f>'Raw Sales'!J1426</x:f>
        <x:v>3</x:v>
      </x:c>
      <x:c r="S1426" s="87" t="n">
        <x:f>'Raw Sales'!K1426</x:f>
        <x:v>0.1</x:v>
      </x:c>
      <x:c r="T1426" s="93" t="n">
        <x:f>P1426*R1426</x:f>
        <x:v>174</x:v>
      </x:c>
      <x:c r="U1426" s="93" t="n">
        <x:f>T1426*S1426</x:f>
        <x:v>17.400000000000002</x:v>
      </x:c>
      <x:c r="V1426" s="93" t="str">
        <x:f>PROPER(TRIM('Raw Sales'!L1426))</x:f>
        <x:v>Completed</x:v>
      </x:c>
      <x:c r="W1426" s="93" t="n">
        <x:f>IF(V1426="Returned",0,T1426-U1426)</x:f>
        <x:v>156.6</x:v>
      </x:c>
      <x:c r="X1426" s="93" t="n">
        <x:f>IF(V1426="Returned",Q1426*R1426*10%,Q1426*R1426)</x:f>
        <x:v>72</x:v>
      </x:c>
      <x:c r="Y1426" s="93" t="n">
        <x:f>W1426-X1426</x:f>
        <x:v>84.6</x:v>
      </x:c>
      <x:c r="Z1426" s="94" t="n">
        <x:f>IFERROR(Y1426/W1426,0)</x:f>
        <x:v>0.5402298850574713</x:v>
      </x:c>
      <x:c r="AA1426" s="84" t="str">
        <x:f>PROPER(TRIM('Raw Sales'!M1426))</x:f>
        <x:v>Credit Card</x:v>
      </x:c>
      <x:c r="AB1426" s="84" t="str">
        <x:f>PROPER(TRIM('Raw Sales'!N1426))</x:f>
        <x:v>Lucas Grant</x:v>
      </x:c>
      <x:c r="AC1426" s="85" t="n">
        <x:f>'Raw Sales'!O1426</x:f>
        <x:v>45774</x:v>
      </x:c>
      <x:c r="AD1426" s="84" t="n">
        <x:f>AC1426-B1426</x:f>
        <x:v>8</x:v>
      </x:c>
      <x:c r="AE1426" s="84" t="str">
        <x:f>IF(COUNTIF($A$5:A1426,A1426)&gt;1,"Duplicate","Keep")</x:f>
        <x:v>Keep</x:v>
      </x:c>
      <x:c r="AF1426" s="84" t="str">
        <x:f>IF(OR(R1426&lt;=0,AC1426&lt;B1426,H1426="Unknown",M1426="Unknown Product"),"Review","Valid")</x:f>
        <x:v>Valid</x:v>
      </x:c>
      <x:c r="AG1426" s="84" t="n">
        <x:f>IF(AND(AE1426="Keep",AF1426="Valid"),1,0)</x:f>
        <x:v>1</x:v>
      </x:c>
      <x:c r="AH1426" s="84" t="n">
        <x:f>IF(AND(AG1426=1,OR('Dashboard'!$B$4="All",I1426='Dashboard'!$B$4),OR('Dashboard'!$E$4="All",N1426='Dashboard'!$E$4),OR('Dashboard'!$H$4="All",K1426='Dashboard'!$H$4),OR('Dashboard'!$K$4="All",C1426='Dashboard'!$K$4)),1,0)</x:f>
        <x:v>1</x:v>
      </x:c>
      <x:c r="AI1426" s="84" t="n">
        <x:f>IF(AND(AG1426=1,OR('Dashboard'!$B$4="All",I1426='Dashboard'!$B$4),OR('Dashboard'!$E$4="All",N1426='Dashboard'!$E$4),OR('Dashboard'!$H$4="All",K1426='Dashboard'!$H$4)),1,0)</x:f>
        <x:v>1</x:v>
      </x:c>
    </x:row>
    <x:row r="1427">
      <x:c r="A1427" s="84" t="str">
        <x:f>'Raw Sales'!A1427</x:f>
        <x:v>ORD-2025-02010</x:v>
      </x:c>
      <x:c r="B1427" s="85" t="n">
        <x:f>'Raw Sales'!B1427</x:f>
        <x:v>45766</x:v>
      </x:c>
      <x:c r="C1427" s="84" t="n">
        <x:f>YEAR(B1427)</x:f>
        <x:v>2025</x:v>
      </x:c>
      <x:c r="D1427" s="91" t="n">
        <x:f>DATE(YEAR(B1427),MONTH(B1427),1)</x:f>
        <x:v>45748</x:v>
      </x:c>
      <x:c r="E1427" s="84" t="str">
        <x:f>TEXT(B1427,"mmm")</x:f>
        <x:v>Apr</x:v>
      </x:c>
      <x:c r="F1427" s="84" t="str">
        <x:f>'Raw Sales'!C1427</x:f>
        <x:v>CUST-0335</x:v>
      </x:c>
      <x:c r="G1427" s="84" t="str">
        <x:f>PROPER(TRIM('Raw Sales'!D1427))</x:f>
        <x:v>Elias Roberts</x:v>
      </x:c>
      <x:c r="H1427" s="84" t="str">
        <x:f>IF(TRIM('Raw Sales'!E1427)="","Unknown",PROPER(TRIM('Raw Sales'!E1427)))</x:f>
        <x:v>Consumer</x:v>
      </x:c>
      <x:c r="I1427" s="84" t="str">
        <x:f>PROPER(TRIM('Raw Sales'!F1427))</x:f>
        <x:v>West</x:v>
      </x:c>
      <x:c r="J1427" s="84" t="str">
        <x:f>PROPER(TRIM('Raw Sales'!G1427))</x:f>
        <x:v>Los Angeles</x:v>
      </x:c>
      <x:c r="K1427" s="84" t="str">
        <x:f>PROPER(TRIM('Raw Sales'!H1427))</x:f>
        <x:v>Online</x:v>
      </x:c>
      <x:c r="L1427" s="84" t="str">
        <x:f>'Raw Sales'!I1427</x:f>
        <x:v>ACCS-004</x:v>
      </x:c>
      <x:c r="M1427" s="84" t="str">
        <x:f>IFERROR(VLOOKUP(L1427,'Reference Data'!$A$5:$F$40,2,FALSE),"Unknown Product")</x:f>
        <x:v>Leather Wallet</x:v>
      </x:c>
      <x:c r="N1427" s="84" t="str">
        <x:f>IFERROR(VLOOKUP(L1427,'Reference Data'!$A$5:$F$40,3,FALSE),"Unknown")</x:f>
        <x:v>Accessories</x:v>
      </x:c>
      <x:c r="O1427" s="84" t="str">
        <x:f>IFERROR(VLOOKUP(L1427,'Reference Data'!$A$5:$F$40,4,FALSE),"Unknown")</x:f>
        <x:v>Wallets</x:v>
      </x:c>
      <x:c r="P1427" s="92" t="n">
        <x:f>IFERROR(VLOOKUP(L1427,'Reference Data'!$A$5:$F$40,5,FALSE),0)</x:f>
        <x:v>49</x:v>
      </x:c>
      <x:c r="Q1427" s="92" t="n">
        <x:f>IFERROR(VLOOKUP(L1427,'Reference Data'!$A$5:$F$40,6,FALSE),0)</x:f>
        <x:v>18</x:v>
      </x:c>
      <x:c r="R1427" s="84" t="n">
        <x:f>'Raw Sales'!J1427</x:f>
        <x:v>1</x:v>
      </x:c>
      <x:c r="S1427" s="87" t="n">
        <x:f>'Raw Sales'!K1427</x:f>
        <x:v>0.15</x:v>
      </x:c>
      <x:c r="T1427" s="93" t="n">
        <x:f>P1427*R1427</x:f>
        <x:v>49</x:v>
      </x:c>
      <x:c r="U1427" s="93" t="n">
        <x:f>T1427*S1427</x:f>
        <x:v>7.35</x:v>
      </x:c>
      <x:c r="V1427" s="93" t="str">
        <x:f>PROPER(TRIM('Raw Sales'!L1427))</x:f>
        <x:v>Completed</x:v>
      </x:c>
      <x:c r="W1427" s="93" t="n">
        <x:f>IF(V1427="Returned",0,T1427-U1427)</x:f>
        <x:v>41.65</x:v>
      </x:c>
      <x:c r="X1427" s="93" t="n">
        <x:f>IF(V1427="Returned",Q1427*R1427*10%,Q1427*R1427)</x:f>
        <x:v>18</x:v>
      </x:c>
      <x:c r="Y1427" s="93" t="n">
        <x:f>W1427-X1427</x:f>
        <x:v>23.65</x:v>
      </x:c>
      <x:c r="Z1427" s="94" t="n">
        <x:f>IFERROR(Y1427/W1427,0)</x:f>
        <x:v>0.5678271308523409</x:v>
      </x:c>
      <x:c r="AA1427" s="84" t="str">
        <x:f>PROPER(TRIM('Raw Sales'!M1427))</x:f>
        <x:v>Paypal</x:v>
      </x:c>
      <x:c r="AB1427" s="84" t="str">
        <x:f>PROPER(TRIM('Raw Sales'!N1427))</x:f>
        <x:v>Leo Martinez</x:v>
      </x:c>
      <x:c r="AC1427" s="85" t="n">
        <x:f>'Raw Sales'!O1427</x:f>
        <x:v>45771</x:v>
      </x:c>
      <x:c r="AD1427" s="84" t="n">
        <x:f>AC1427-B1427</x:f>
        <x:v>5</x:v>
      </x:c>
      <x:c r="AE1427" s="84" t="str">
        <x:f>IF(COUNTIF($A$5:A1427,A1427)&gt;1,"Duplicate","Keep")</x:f>
        <x:v>Keep</x:v>
      </x:c>
      <x:c r="AF1427" s="84" t="str">
        <x:f>IF(OR(R1427&lt;=0,AC1427&lt;B1427,H1427="Unknown",M1427="Unknown Product"),"Review","Valid")</x:f>
        <x:v>Valid</x:v>
      </x:c>
      <x:c r="AG1427" s="84" t="n">
        <x:f>IF(AND(AE1427="Keep",AF1427="Valid"),1,0)</x:f>
        <x:v>1</x:v>
      </x:c>
      <x:c r="AH1427" s="84" t="n">
        <x:f>IF(AND(AG1427=1,OR('Dashboard'!$B$4="All",I1427='Dashboard'!$B$4),OR('Dashboard'!$E$4="All",N1427='Dashboard'!$E$4),OR('Dashboard'!$H$4="All",K1427='Dashboard'!$H$4),OR('Dashboard'!$K$4="All",C1427='Dashboard'!$K$4)),1,0)</x:f>
        <x:v>1</x:v>
      </x:c>
      <x:c r="AI1427" s="84" t="n">
        <x:f>IF(AND(AG1427=1,OR('Dashboard'!$B$4="All",I1427='Dashboard'!$B$4),OR('Dashboard'!$E$4="All",N1427='Dashboard'!$E$4),OR('Dashboard'!$H$4="All",K1427='Dashboard'!$H$4)),1,0)</x:f>
        <x:v>1</x:v>
      </x:c>
    </x:row>
    <x:row r="1428">
      <x:c r="A1428" s="84" t="str">
        <x:f>'Raw Sales'!A1428</x:f>
        <x:v>ORD-2025-01403</x:v>
      </x:c>
      <x:c r="B1428" s="85" t="n">
        <x:f>'Raw Sales'!B1428</x:f>
        <x:v>45767</x:v>
      </x:c>
      <x:c r="C1428" s="84" t="n">
        <x:f>YEAR(B1428)</x:f>
        <x:v>2025</x:v>
      </x:c>
      <x:c r="D1428" s="91" t="n">
        <x:f>DATE(YEAR(B1428),MONTH(B1428),1)</x:f>
        <x:v>45748</x:v>
      </x:c>
      <x:c r="E1428" s="84" t="str">
        <x:f>TEXT(B1428,"mmm")</x:f>
        <x:v>Apr</x:v>
      </x:c>
      <x:c r="F1428" s="84" t="str">
        <x:f>'Raw Sales'!C1428</x:f>
        <x:v>CUST-0042</x:v>
      </x:c>
      <x:c r="G1428" s="84" t="str">
        <x:f>PROPER(TRIM('Raw Sales'!D1428))</x:f>
        <x:v>Daniel Johnson</x:v>
      </x:c>
      <x:c r="H1428" s="84" t="str">
        <x:f>IF(TRIM('Raw Sales'!E1428)="","Unknown",PROPER(TRIM('Raw Sales'!E1428)))</x:f>
        <x:v>Unknown</x:v>
      </x:c>
      <x:c r="I1428" s="84" t="str">
        <x:f>PROPER(TRIM('Raw Sales'!F1428))</x:f>
        <x:v>Northeast</x:v>
      </x:c>
      <x:c r="J1428" s="84" t="str">
        <x:f>PROPER(TRIM('Raw Sales'!G1428))</x:f>
        <x:v>Newark</x:v>
      </x:c>
      <x:c r="K1428" s="84" t="str">
        <x:f>PROPER(TRIM('Raw Sales'!H1428))</x:f>
        <x:v>Marketplace</x:v>
      </x:c>
      <x:c r="L1428" s="84" t="str">
        <x:f>'Raw Sales'!I1428</x:f>
        <x:v>ELEC-003</x:v>
      </x:c>
      <x:c r="M1428" s="84" t="str">
        <x:f>IFERROR(VLOOKUP(L1428,'Reference Data'!$A$5:$F$40,2,FALSE),"Unknown Product")</x:f>
        <x:v>Bluetooth Speaker</x:v>
      </x:c>
      <x:c r="N1428" s="84" t="str">
        <x:f>IFERROR(VLOOKUP(L1428,'Reference Data'!$A$5:$F$40,3,FALSE),"Unknown")</x:f>
        <x:v>Electronics</x:v>
      </x:c>
      <x:c r="O1428" s="84" t="str">
        <x:f>IFERROR(VLOOKUP(L1428,'Reference Data'!$A$5:$F$40,4,FALSE),"Unknown")</x:f>
        <x:v>Audio</x:v>
      </x:c>
      <x:c r="P1428" s="92" t="n">
        <x:f>IFERROR(VLOOKUP(L1428,'Reference Data'!$A$5:$F$40,5,FALSE),0)</x:f>
        <x:v>89</x:v>
      </x:c>
      <x:c r="Q1428" s="92" t="n">
        <x:f>IFERROR(VLOOKUP(L1428,'Reference Data'!$A$5:$F$40,6,FALSE),0)</x:f>
        <x:v>44</x:v>
      </x:c>
      <x:c r="R1428" s="84" t="n">
        <x:f>'Raw Sales'!J1428</x:f>
        <x:v>3</x:v>
      </x:c>
      <x:c r="S1428" s="87" t="n">
        <x:f>'Raw Sales'!K1428</x:f>
        <x:v>0.1</x:v>
      </x:c>
      <x:c r="T1428" s="93" t="n">
        <x:f>P1428*R1428</x:f>
        <x:v>267</x:v>
      </x:c>
      <x:c r="U1428" s="93" t="n">
        <x:f>T1428*S1428</x:f>
        <x:v>26.700000000000003</x:v>
      </x:c>
      <x:c r="V1428" s="93" t="str">
        <x:f>PROPER(TRIM('Raw Sales'!L1428))</x:f>
        <x:v>Returned</x:v>
      </x:c>
      <x:c r="W1428" s="93" t="n">
        <x:f>IF(V1428="Returned",0,T1428-U1428)</x:f>
        <x:v>0</x:v>
      </x:c>
      <x:c r="X1428" s="93" t="n">
        <x:f>IF(V1428="Returned",Q1428*R1428*10%,Q1428*R1428)</x:f>
        <x:v>13.200000000000001</x:v>
      </x:c>
      <x:c r="Y1428" s="93" t="n">
        <x:f>W1428-X1428</x:f>
        <x:v>-13.200000000000001</x:v>
      </x:c>
      <x:c r="Z1428" s="94" t="n">
        <x:f>IFERROR(Y1428/W1428,0)</x:f>
        <x:v>0</x:v>
      </x:c>
      <x:c r="AA1428" s="84" t="str">
        <x:f>PROPER(TRIM('Raw Sales'!M1428))</x:f>
        <x:v>Debit Card</x:v>
      </x:c>
      <x:c r="AB1428" s="84" t="str">
        <x:f>PROPER(TRIM('Raw Sales'!N1428))</x:f>
        <x:v>Maya Brooks</x:v>
      </x:c>
      <x:c r="AC1428" s="85" t="n">
        <x:f>'Raw Sales'!O1428</x:f>
        <x:v>45774</x:v>
      </x:c>
      <x:c r="AD1428" s="84" t="n">
        <x:f>AC1428-B1428</x:f>
        <x:v>7</x:v>
      </x:c>
      <x:c r="AE1428" s="84" t="str">
        <x:f>IF(COUNTIF($A$5:A1428,A1428)&gt;1,"Duplicate","Keep")</x:f>
        <x:v>Keep</x:v>
      </x:c>
      <x:c r="AF1428" s="84" t="str">
        <x:f>IF(OR(R1428&lt;=0,AC1428&lt;B1428,H1428="Unknown",M1428="Unknown Product"),"Review","Valid")</x:f>
        <x:v>Review</x:v>
      </x:c>
      <x:c r="AG1428" s="84" t="n">
        <x:f>IF(AND(AE1428="Keep",AF1428="Valid"),1,0)</x:f>
        <x:v>0</x:v>
      </x:c>
      <x:c r="AH1428" s="84" t="n">
        <x:f>IF(AND(AG1428=1,OR('Dashboard'!$B$4="All",I1428='Dashboard'!$B$4),OR('Dashboard'!$E$4="All",N1428='Dashboard'!$E$4),OR('Dashboard'!$H$4="All",K1428='Dashboard'!$H$4),OR('Dashboard'!$K$4="All",C1428='Dashboard'!$K$4)),1,0)</x:f>
        <x:v>0</x:v>
      </x:c>
      <x:c r="AI1428" s="84" t="n">
        <x:f>IF(AND(AG1428=1,OR('Dashboard'!$B$4="All",I1428='Dashboard'!$B$4),OR('Dashboard'!$E$4="All",N1428='Dashboard'!$E$4),OR('Dashboard'!$H$4="All",K1428='Dashboard'!$H$4)),1,0)</x:f>
        <x:v>0</x:v>
      </x:c>
    </x:row>
    <x:row r="1429">
      <x:c r="A1429" s="84" t="str">
        <x:f>'Raw Sales'!A1429</x:f>
        <x:v>ORD-2025-02164</x:v>
      </x:c>
      <x:c r="B1429" s="85" t="n">
        <x:f>'Raw Sales'!B1429</x:f>
        <x:v>45767</x:v>
      </x:c>
      <x:c r="C1429" s="84" t="n">
        <x:f>YEAR(B1429)</x:f>
        <x:v>2025</x:v>
      </x:c>
      <x:c r="D1429" s="91" t="n">
        <x:f>DATE(YEAR(B1429),MONTH(B1429),1)</x:f>
        <x:v>45748</x:v>
      </x:c>
      <x:c r="E1429" s="84" t="str">
        <x:f>TEXT(B1429,"mmm")</x:f>
        <x:v>Apr</x:v>
      </x:c>
      <x:c r="F1429" s="84" t="str">
        <x:f>'Raw Sales'!C1429</x:f>
        <x:v>CUST-0106</x:v>
      </x:c>
      <x:c r="G1429" s="84" t="str">
        <x:f>PROPER(TRIM('Raw Sales'!D1429))</x:f>
        <x:v>Zara Johnson</x:v>
      </x:c>
      <x:c r="H1429" s="84" t="str">
        <x:f>IF(TRIM('Raw Sales'!E1429)="","Unknown",PROPER(TRIM('Raw Sales'!E1429)))</x:f>
        <x:v>Consumer</x:v>
      </x:c>
      <x:c r="I1429" s="84" t="str">
        <x:f>PROPER(TRIM('Raw Sales'!F1429))</x:f>
        <x:v>West</x:v>
      </x:c>
      <x:c r="J1429" s="84" t="str">
        <x:f>PROPER(TRIM('Raw Sales'!G1429))</x:f>
        <x:v>Denver</x:v>
      </x:c>
      <x:c r="K1429" s="84" t="str">
        <x:f>PROPER(TRIM('Raw Sales'!H1429))</x:f>
        <x:v>Online</x:v>
      </x:c>
      <x:c r="L1429" s="84" t="str">
        <x:f>'Raw Sales'!I1429</x:f>
        <x:v>CARE-005</x:v>
      </x:c>
      <x:c r="M1429" s="84" t="str">
        <x:f>IFERROR(VLOOKUP(L1429,'Reference Data'!$A$5:$F$40,2,FALSE),"Unknown Product")</x:f>
        <x:v>Skin Care Starter Kit</x:v>
      </x:c>
      <x:c r="N1429" s="84" t="str">
        <x:f>IFERROR(VLOOKUP(L1429,'Reference Data'!$A$5:$F$40,3,FALSE),"Unknown")</x:f>
        <x:v>Personal Care</x:v>
      </x:c>
      <x:c r="O1429" s="84" t="str">
        <x:f>IFERROR(VLOOKUP(L1429,'Reference Data'!$A$5:$F$40,4,FALSE),"Unknown")</x:f>
        <x:v>Skin Care</x:v>
      </x:c>
      <x:c r="P1429" s="92" t="n">
        <x:f>IFERROR(VLOOKUP(L1429,'Reference Data'!$A$5:$F$40,5,FALSE),0)</x:f>
        <x:v>58</x:v>
      </x:c>
      <x:c r="Q1429" s="92" t="n">
        <x:f>IFERROR(VLOOKUP(L1429,'Reference Data'!$A$5:$F$40,6,FALSE),0)</x:f>
        <x:v>24</x:v>
      </x:c>
      <x:c r="R1429" s="84" t="n">
        <x:f>'Raw Sales'!J1429</x:f>
        <x:v>1</x:v>
      </x:c>
      <x:c r="S1429" s="87" t="n">
        <x:f>'Raw Sales'!K1429</x:f>
        <x:v>0</x:v>
      </x:c>
      <x:c r="T1429" s="93" t="n">
        <x:f>P1429*R1429</x:f>
        <x:v>58</x:v>
      </x:c>
      <x:c r="U1429" s="93" t="n">
        <x:f>T1429*S1429</x:f>
        <x:v>0</x:v>
      </x:c>
      <x:c r="V1429" s="93" t="str">
        <x:f>PROPER(TRIM('Raw Sales'!L1429))</x:f>
        <x:v>Completed</x:v>
      </x:c>
      <x:c r="W1429" s="93" t="n">
        <x:f>IF(V1429="Returned",0,T1429-U1429)</x:f>
        <x:v>58</x:v>
      </x:c>
      <x:c r="X1429" s="93" t="n">
        <x:f>IF(V1429="Returned",Q1429*R1429*10%,Q1429*R1429)</x:f>
        <x:v>24</x:v>
      </x:c>
      <x:c r="Y1429" s="93" t="n">
        <x:f>W1429-X1429</x:f>
        <x:v>34</x:v>
      </x:c>
      <x:c r="Z1429" s="94" t="n">
        <x:f>IFERROR(Y1429/W1429,0)</x:f>
        <x:v>0.5862068965517241</x:v>
      </x:c>
      <x:c r="AA1429" s="84" t="str">
        <x:f>PROPER(TRIM('Raw Sales'!M1429))</x:f>
        <x:v>Mobile Wallet</x:v>
      </x:c>
      <x:c r="AB1429" s="84" t="str">
        <x:f>PROPER(TRIM('Raw Sales'!N1429))</x:f>
        <x:v>Nora Kim</x:v>
      </x:c>
      <x:c r="AC1429" s="85" t="n">
        <x:f>'Raw Sales'!O1429</x:f>
        <x:v>45770</x:v>
      </x:c>
      <x:c r="AD1429" s="84" t="n">
        <x:f>AC1429-B1429</x:f>
        <x:v>3</x:v>
      </x:c>
      <x:c r="AE1429" s="84" t="str">
        <x:f>IF(COUNTIF($A$5:A1429,A1429)&gt;1,"Duplicate","Keep")</x:f>
        <x:v>Keep</x:v>
      </x:c>
      <x:c r="AF1429" s="84" t="str">
        <x:f>IF(OR(R1429&lt;=0,AC1429&lt;B1429,H1429="Unknown",M1429="Unknown Product"),"Review","Valid")</x:f>
        <x:v>Valid</x:v>
      </x:c>
      <x:c r="AG1429" s="84" t="n">
        <x:f>IF(AND(AE1429="Keep",AF1429="Valid"),1,0)</x:f>
        <x:v>1</x:v>
      </x:c>
      <x:c r="AH1429" s="84" t="n">
        <x:f>IF(AND(AG1429=1,OR('Dashboard'!$B$4="All",I1429='Dashboard'!$B$4),OR('Dashboard'!$E$4="All",N1429='Dashboard'!$E$4),OR('Dashboard'!$H$4="All",K1429='Dashboard'!$H$4),OR('Dashboard'!$K$4="All",C1429='Dashboard'!$K$4)),1,0)</x:f>
        <x:v>1</x:v>
      </x:c>
      <x:c r="AI1429" s="84" t="n">
        <x:f>IF(AND(AG1429=1,OR('Dashboard'!$B$4="All",I1429='Dashboard'!$B$4),OR('Dashboard'!$E$4="All",N1429='Dashboard'!$E$4),OR('Dashboard'!$H$4="All",K1429='Dashboard'!$H$4)),1,0)</x:f>
        <x:v>1</x:v>
      </x:c>
    </x:row>
    <x:row r="1430">
      <x:c r="A1430" s="84" t="str">
        <x:f>'Raw Sales'!A1430</x:f>
        <x:v>ORD-2025-02216</x:v>
      </x:c>
      <x:c r="B1430" s="85" t="n">
        <x:f>'Raw Sales'!B1430</x:f>
        <x:v>45767</x:v>
      </x:c>
      <x:c r="C1430" s="84" t="n">
        <x:f>YEAR(B1430)</x:f>
        <x:v>2025</x:v>
      </x:c>
      <x:c r="D1430" s="91" t="n">
        <x:f>DATE(YEAR(B1430),MONTH(B1430),1)</x:f>
        <x:v>45748</x:v>
      </x:c>
      <x:c r="E1430" s="84" t="str">
        <x:f>TEXT(B1430,"mmm")</x:f>
        <x:v>Apr</x:v>
      </x:c>
      <x:c r="F1430" s="84" t="str">
        <x:f>'Raw Sales'!C1430</x:f>
        <x:v>CUST-0067</x:v>
      </x:c>
      <x:c r="G1430" s="84" t="str">
        <x:f>PROPER(TRIM('Raw Sales'!D1430))</x:f>
        <x:v>William Garcia</x:v>
      </x:c>
      <x:c r="H1430" s="84" t="str">
        <x:f>IF(TRIM('Raw Sales'!E1430)="","Unknown",PROPER(TRIM('Raw Sales'!E1430)))</x:f>
        <x:v>Consumer</x:v>
      </x:c>
      <x:c r="I1430" s="84" t="str">
        <x:f>PROPER(TRIM('Raw Sales'!F1430))</x:f>
        <x:v>West</x:v>
      </x:c>
      <x:c r="J1430" s="84" t="str">
        <x:f>PROPER(TRIM('Raw Sales'!G1430))</x:f>
        <x:v>Phoenix</x:v>
      </x:c>
      <x:c r="K1430" s="84" t="str">
        <x:f>PROPER(TRIM('Raw Sales'!H1430))</x:f>
        <x:v>Retail Store</x:v>
      </x:c>
      <x:c r="L1430" s="84" t="str">
        <x:f>'Raw Sales'!I1430</x:f>
        <x:v>ACCS-002</x:v>
      </x:c>
      <x:c r="M1430" s="84" t="str">
        <x:f>IFERROR(VLOOKUP(L1430,'Reference Data'!$A$5:$F$40,2,FALSE),"Unknown Product")</x:f>
        <x:v>Travel Backpack</x:v>
      </x:c>
      <x:c r="N1430" s="84" t="str">
        <x:f>IFERROR(VLOOKUP(L1430,'Reference Data'!$A$5:$F$40,3,FALSE),"Unknown")</x:f>
        <x:v>Accessories</x:v>
      </x:c>
      <x:c r="O1430" s="84" t="str">
        <x:f>IFERROR(VLOOKUP(L1430,'Reference Data'!$A$5:$F$40,4,FALSE),"Unknown")</x:f>
        <x:v>Bags</x:v>
      </x:c>
      <x:c r="P1430" s="92" t="n">
        <x:f>IFERROR(VLOOKUP(L1430,'Reference Data'!$A$5:$F$40,5,FALSE),0)</x:f>
        <x:v>89</x:v>
      </x:c>
      <x:c r="Q1430" s="92" t="n">
        <x:f>IFERROR(VLOOKUP(L1430,'Reference Data'!$A$5:$F$40,6,FALSE),0)</x:f>
        <x:v>36</x:v>
      </x:c>
      <x:c r="R1430" s="84" t="n">
        <x:f>'Raw Sales'!J1430</x:f>
        <x:v>2</x:v>
      </x:c>
      <x:c r="S1430" s="87" t="n">
        <x:f>'Raw Sales'!K1430</x:f>
        <x:v>0.05</x:v>
      </x:c>
      <x:c r="T1430" s="93" t="n">
        <x:f>P1430*R1430</x:f>
        <x:v>178</x:v>
      </x:c>
      <x:c r="U1430" s="93" t="n">
        <x:f>T1430*S1430</x:f>
        <x:v>8.9</x:v>
      </x:c>
      <x:c r="V1430" s="93" t="str">
        <x:f>PROPER(TRIM('Raw Sales'!L1430))</x:f>
        <x:v>Completed</x:v>
      </x:c>
      <x:c r="W1430" s="93" t="n">
        <x:f>IF(V1430="Returned",0,T1430-U1430)</x:f>
        <x:v>169.1</x:v>
      </x:c>
      <x:c r="X1430" s="93" t="n">
        <x:f>IF(V1430="Returned",Q1430*R1430*10%,Q1430*R1430)</x:f>
        <x:v>72</x:v>
      </x:c>
      <x:c r="Y1430" s="93" t="n">
        <x:f>W1430-X1430</x:f>
        <x:v>97.1</x:v>
      </x:c>
      <x:c r="Z1430" s="94" t="n">
        <x:f>IFERROR(Y1430/W1430,0)</x:f>
        <x:v>0.5742164399763453</x:v>
      </x:c>
      <x:c r="AA1430" s="84" t="str">
        <x:f>PROPER(TRIM('Raw Sales'!M1430))</x:f>
        <x:v>Debit Card</x:v>
      </x:c>
      <x:c r="AB1430" s="84" t="str">
        <x:f>PROPER(TRIM('Raw Sales'!N1430))</x:f>
        <x:v>Leo Martinez</x:v>
      </x:c>
      <x:c r="AC1430" s="85" t="n">
        <x:f>'Raw Sales'!O1430</x:f>
        <x:v>45767</x:v>
      </x:c>
      <x:c r="AD1430" s="84" t="n">
        <x:f>AC1430-B1430</x:f>
        <x:v>0</x:v>
      </x:c>
      <x:c r="AE1430" s="84" t="str">
        <x:f>IF(COUNTIF($A$5:A1430,A1430)&gt;1,"Duplicate","Keep")</x:f>
        <x:v>Keep</x:v>
      </x:c>
      <x:c r="AF1430" s="84" t="str">
        <x:f>IF(OR(R1430&lt;=0,AC1430&lt;B1430,H1430="Unknown",M1430="Unknown Product"),"Review","Valid")</x:f>
        <x:v>Valid</x:v>
      </x:c>
      <x:c r="AG1430" s="84" t="n">
        <x:f>IF(AND(AE1430="Keep",AF1430="Valid"),1,0)</x:f>
        <x:v>1</x:v>
      </x:c>
      <x:c r="AH1430" s="84" t="n">
        <x:f>IF(AND(AG1430=1,OR('Dashboard'!$B$4="All",I1430='Dashboard'!$B$4),OR('Dashboard'!$E$4="All",N1430='Dashboard'!$E$4),OR('Dashboard'!$H$4="All",K1430='Dashboard'!$H$4),OR('Dashboard'!$K$4="All",C1430='Dashboard'!$K$4)),1,0)</x:f>
        <x:v>1</x:v>
      </x:c>
      <x:c r="AI1430" s="84" t="n">
        <x:f>IF(AND(AG1430=1,OR('Dashboard'!$B$4="All",I1430='Dashboard'!$B$4),OR('Dashboard'!$E$4="All",N1430='Dashboard'!$E$4),OR('Dashboard'!$H$4="All",K1430='Dashboard'!$H$4)),1,0)</x:f>
        <x:v>1</x:v>
      </x:c>
    </x:row>
    <x:row r="1431">
      <x:c r="A1431" s="84" t="str">
        <x:f>'Raw Sales'!A1431</x:f>
        <x:v>ORD-2025-00022</x:v>
      </x:c>
      <x:c r="B1431" s="85" t="n">
        <x:f>'Raw Sales'!B1431</x:f>
        <x:v>45768</x:v>
      </x:c>
      <x:c r="C1431" s="84" t="n">
        <x:f>YEAR(B1431)</x:f>
        <x:v>2025</x:v>
      </x:c>
      <x:c r="D1431" s="91" t="n">
        <x:f>DATE(YEAR(B1431),MONTH(B1431),1)</x:f>
        <x:v>45748</x:v>
      </x:c>
      <x:c r="E1431" s="84" t="str">
        <x:f>TEXT(B1431,"mmm")</x:f>
        <x:v>Apr</x:v>
      </x:c>
      <x:c r="F1431" s="84" t="str">
        <x:f>'Raw Sales'!C1431</x:f>
        <x:v>CUST-0443</x:v>
      </x:c>
      <x:c r="G1431" s="84" t="str">
        <x:f>PROPER(TRIM('Raw Sales'!D1431))</x:f>
        <x:v>Samuel Foster</x:v>
      </x:c>
      <x:c r="H1431" s="84" t="str">
        <x:f>IF(TRIM('Raw Sales'!E1431)="","Unknown",PROPER(TRIM('Raw Sales'!E1431)))</x:f>
        <x:v>Consumer</x:v>
      </x:c>
      <x:c r="I1431" s="84" t="str">
        <x:f>PROPER(TRIM('Raw Sales'!F1431))</x:f>
        <x:v>West</x:v>
      </x:c>
      <x:c r="J1431" s="84" t="str">
        <x:f>PROPER(TRIM('Raw Sales'!G1431))</x:f>
        <x:v>Denver</x:v>
      </x:c>
      <x:c r="K1431" s="84" t="str">
        <x:f>PROPER(TRIM('Raw Sales'!H1431))</x:f>
        <x:v>Retail Store</x:v>
      </x:c>
      <x:c r="L1431" s="84" t="str">
        <x:f>'Raw Sales'!I1431</x:f>
        <x:v>FITN-002</x:v>
      </x:c>
      <x:c r="M1431" s="84" t="str">
        <x:f>IFERROR(VLOOKUP(L1431,'Reference Data'!$A$5:$F$40,2,FALSE),"Unknown Product")</x:f>
        <x:v>Adjustable Dumbbell Set</x:v>
      </x:c>
      <x:c r="N1431" s="84" t="str">
        <x:f>IFERROR(VLOOKUP(L1431,'Reference Data'!$A$5:$F$40,3,FALSE),"Unknown")</x:f>
        <x:v>Fitness</x:v>
      </x:c>
      <x:c r="O1431" s="84" t="str">
        <x:f>IFERROR(VLOOKUP(L1431,'Reference Data'!$A$5:$F$40,4,FALSE),"Unknown")</x:f>
        <x:v>Strength</x:v>
      </x:c>
      <x:c r="P1431" s="92" t="n">
        <x:f>IFERROR(VLOOKUP(L1431,'Reference Data'!$A$5:$F$40,5,FALSE),0)</x:f>
        <x:v>99</x:v>
      </x:c>
      <x:c r="Q1431" s="92" t="n">
        <x:f>IFERROR(VLOOKUP(L1431,'Reference Data'!$A$5:$F$40,6,FALSE),0)</x:f>
        <x:v>57</x:v>
      </x:c>
      <x:c r="R1431" s="84" t="n">
        <x:f>'Raw Sales'!J1431</x:f>
        <x:v>2</x:v>
      </x:c>
      <x:c r="S1431" s="87" t="n">
        <x:f>'Raw Sales'!K1431</x:f>
        <x:v>0.05</x:v>
      </x:c>
      <x:c r="T1431" s="93" t="n">
        <x:f>P1431*R1431</x:f>
        <x:v>198</x:v>
      </x:c>
      <x:c r="U1431" s="93" t="n">
        <x:f>T1431*S1431</x:f>
        <x:v>9.9</x:v>
      </x:c>
      <x:c r="V1431" s="93" t="str">
        <x:f>PROPER(TRIM('Raw Sales'!L1431))</x:f>
        <x:v>Completed</x:v>
      </x:c>
      <x:c r="W1431" s="93" t="n">
        <x:f>IF(V1431="Returned",0,T1431-U1431)</x:f>
        <x:v>188.1</x:v>
      </x:c>
      <x:c r="X1431" s="93" t="n">
        <x:f>IF(V1431="Returned",Q1431*R1431*10%,Q1431*R1431)</x:f>
        <x:v>114</x:v>
      </x:c>
      <x:c r="Y1431" s="93" t="n">
        <x:f>W1431-X1431</x:f>
        <x:v>74.1</x:v>
      </x:c>
      <x:c r="Z1431" s="94" t="n">
        <x:f>IFERROR(Y1431/W1431,0)</x:f>
        <x:v>0.3939393939393939</x:v>
      </x:c>
      <x:c r="AA1431" s="84" t="str">
        <x:f>PROPER(TRIM('Raw Sales'!M1431))</x:f>
        <x:v>Cash</x:v>
      </x:c>
      <x:c r="AB1431" s="84" t="str">
        <x:f>PROPER(TRIM('Raw Sales'!N1431))</x:f>
        <x:v>Nora Kim</x:v>
      </x:c>
      <x:c r="AC1431" s="85" t="n">
        <x:f>'Raw Sales'!O1431</x:f>
        <x:v>45768</x:v>
      </x:c>
      <x:c r="AD1431" s="84" t="n">
        <x:f>AC1431-B1431</x:f>
        <x:v>0</x:v>
      </x:c>
      <x:c r="AE1431" s="84" t="str">
        <x:f>IF(COUNTIF($A$5:A1431,A1431)&gt;1,"Duplicate","Keep")</x:f>
        <x:v>Keep</x:v>
      </x:c>
      <x:c r="AF1431" s="84" t="str">
        <x:f>IF(OR(R1431&lt;=0,AC1431&lt;B1431,H1431="Unknown",M1431="Unknown Product"),"Review","Valid")</x:f>
        <x:v>Valid</x:v>
      </x:c>
      <x:c r="AG1431" s="84" t="n">
        <x:f>IF(AND(AE1431="Keep",AF1431="Valid"),1,0)</x:f>
        <x:v>1</x:v>
      </x:c>
      <x:c r="AH1431" s="84" t="n">
        <x:f>IF(AND(AG1431=1,OR('Dashboard'!$B$4="All",I1431='Dashboard'!$B$4),OR('Dashboard'!$E$4="All",N1431='Dashboard'!$E$4),OR('Dashboard'!$H$4="All",K1431='Dashboard'!$H$4),OR('Dashboard'!$K$4="All",C1431='Dashboard'!$K$4)),1,0)</x:f>
        <x:v>1</x:v>
      </x:c>
      <x:c r="AI1431" s="84" t="n">
        <x:f>IF(AND(AG1431=1,OR('Dashboard'!$B$4="All",I1431='Dashboard'!$B$4),OR('Dashboard'!$E$4="All",N1431='Dashboard'!$E$4),OR('Dashboard'!$H$4="All",K1431='Dashboard'!$H$4)),1,0)</x:f>
        <x:v>1</x:v>
      </x:c>
    </x:row>
    <x:row r="1432">
      <x:c r="A1432" s="84" t="str">
        <x:f>'Raw Sales'!A1432</x:f>
        <x:v>ORD-2025-00412</x:v>
      </x:c>
      <x:c r="B1432" s="85" t="n">
        <x:f>'Raw Sales'!B1432</x:f>
        <x:v>45768</x:v>
      </x:c>
      <x:c r="C1432" s="84" t="n">
        <x:f>YEAR(B1432)</x:f>
        <x:v>2025</x:v>
      </x:c>
      <x:c r="D1432" s="91" t="n">
        <x:f>DATE(YEAR(B1432),MONTH(B1432),1)</x:f>
        <x:v>45748</x:v>
      </x:c>
      <x:c r="E1432" s="84" t="str">
        <x:f>TEXT(B1432,"mmm")</x:f>
        <x:v>Apr</x:v>
      </x:c>
      <x:c r="F1432" s="84" t="str">
        <x:f>'Raw Sales'!C1432</x:f>
        <x:v>CUST-0313</x:v>
      </x:c>
      <x:c r="G1432" s="84" t="str">
        <x:f>PROPER(TRIM('Raw Sales'!D1432))</x:f>
        <x:v>Elena Carter</x:v>
      </x:c>
      <x:c r="H1432" s="84" t="str">
        <x:f>IF(TRIM('Raw Sales'!E1432)="","Unknown",PROPER(TRIM('Raw Sales'!E1432)))</x:f>
        <x:v>Consumer</x:v>
      </x:c>
      <x:c r="I1432" s="84" t="str">
        <x:f>PROPER(TRIM('Raw Sales'!F1432))</x:f>
        <x:v>Midwest</x:v>
      </x:c>
      <x:c r="J1432" s="84" t="str">
        <x:f>PROPER(TRIM('Raw Sales'!G1432))</x:f>
        <x:v>Columbus</x:v>
      </x:c>
      <x:c r="K1432" s="84" t="str">
        <x:f>PROPER(TRIM('Raw Sales'!H1432))</x:f>
        <x:v>Online</x:v>
      </x:c>
      <x:c r="L1432" s="84" t="str">
        <x:f>'Raw Sales'!I1432</x:f>
        <x:v>HOME-002</x:v>
      </x:c>
      <x:c r="M1432" s="84" t="str">
        <x:f>IFERROR(VLOOKUP(L1432,'Reference Data'!$A$5:$F$40,2,FALSE),"Unknown Product")</x:f>
        <x:v>Electric Kettle</x:v>
      </x:c>
      <x:c r="N1432" s="84" t="str">
        <x:f>IFERROR(VLOOKUP(L1432,'Reference Data'!$A$5:$F$40,3,FALSE),"Unknown")</x:f>
        <x:v>Home &amp; Kitchen</x:v>
      </x:c>
      <x:c r="O1432" s="84" t="str">
        <x:f>IFERROR(VLOOKUP(L1432,'Reference Data'!$A$5:$F$40,4,FALSE),"Unknown")</x:f>
        <x:v>Small Appliances</x:v>
      </x:c>
      <x:c r="P1432" s="92" t="n">
        <x:f>IFERROR(VLOOKUP(L1432,'Reference Data'!$A$5:$F$40,5,FALSE),0)</x:f>
        <x:v>49</x:v>
      </x:c>
      <x:c r="Q1432" s="92" t="n">
        <x:f>IFERROR(VLOOKUP(L1432,'Reference Data'!$A$5:$F$40,6,FALSE),0)</x:f>
        <x:v>23</x:v>
      </x:c>
      <x:c r="R1432" s="84" t="n">
        <x:f>'Raw Sales'!J1432</x:f>
        <x:v>1</x:v>
      </x:c>
      <x:c r="S1432" s="87" t="n">
        <x:f>'Raw Sales'!K1432</x:f>
        <x:v>0.05</x:v>
      </x:c>
      <x:c r="T1432" s="93" t="n">
        <x:f>P1432*R1432</x:f>
        <x:v>49</x:v>
      </x:c>
      <x:c r="U1432" s="93" t="n">
        <x:f>T1432*S1432</x:f>
        <x:v>2.45</x:v>
      </x:c>
      <x:c r="V1432" s="93" t="str">
        <x:f>PROPER(TRIM('Raw Sales'!L1432))</x:f>
        <x:v>Completed</x:v>
      </x:c>
      <x:c r="W1432" s="93" t="n">
        <x:f>IF(V1432="Returned",0,T1432-U1432)</x:f>
        <x:v>46.55</x:v>
      </x:c>
      <x:c r="X1432" s="93" t="n">
        <x:f>IF(V1432="Returned",Q1432*R1432*10%,Q1432*R1432)</x:f>
        <x:v>23</x:v>
      </x:c>
      <x:c r="Y1432" s="93" t="n">
        <x:f>W1432-X1432</x:f>
        <x:v>23.549999999999997</x:v>
      </x:c>
      <x:c r="Z1432" s="94" t="n">
        <x:f>IFERROR(Y1432/W1432,0)</x:f>
        <x:v>0.505907626208378</x:v>
      </x:c>
      <x:c r="AA1432" s="84" t="str">
        <x:f>PROPER(TRIM('Raw Sales'!M1432))</x:f>
        <x:v>Credit Card</x:v>
      </x:c>
      <x:c r="AB1432" s="84" t="str">
        <x:f>PROPER(TRIM('Raw Sales'!N1432))</x:f>
        <x:v>Emma Hayes</x:v>
      </x:c>
      <x:c r="AC1432" s="85" t="n">
        <x:f>'Raw Sales'!O1432</x:f>
        <x:v>45772</x:v>
      </x:c>
      <x:c r="AD1432" s="84" t="n">
        <x:f>AC1432-B1432</x:f>
        <x:v>4</x:v>
      </x:c>
      <x:c r="AE1432" s="84" t="str">
        <x:f>IF(COUNTIF($A$5:A1432,A1432)&gt;1,"Duplicate","Keep")</x:f>
        <x:v>Keep</x:v>
      </x:c>
      <x:c r="AF1432" s="84" t="str">
        <x:f>IF(OR(R1432&lt;=0,AC1432&lt;B1432,H1432="Unknown",M1432="Unknown Product"),"Review","Valid")</x:f>
        <x:v>Valid</x:v>
      </x:c>
      <x:c r="AG1432" s="84" t="n">
        <x:f>IF(AND(AE1432="Keep",AF1432="Valid"),1,0)</x:f>
        <x:v>1</x:v>
      </x:c>
      <x:c r="AH1432" s="84" t="n">
        <x:f>IF(AND(AG1432=1,OR('Dashboard'!$B$4="All",I1432='Dashboard'!$B$4),OR('Dashboard'!$E$4="All",N1432='Dashboard'!$E$4),OR('Dashboard'!$H$4="All",K1432='Dashboard'!$H$4),OR('Dashboard'!$K$4="All",C1432='Dashboard'!$K$4)),1,0)</x:f>
        <x:v>1</x:v>
      </x:c>
      <x:c r="AI1432" s="84" t="n">
        <x:f>IF(AND(AG1432=1,OR('Dashboard'!$B$4="All",I1432='Dashboard'!$B$4),OR('Dashboard'!$E$4="All",N1432='Dashboard'!$E$4),OR('Dashboard'!$H$4="All",K1432='Dashboard'!$H$4)),1,0)</x:f>
        <x:v>1</x:v>
      </x:c>
    </x:row>
    <x:row r="1433">
      <x:c r="A1433" s="84" t="str">
        <x:f>'Raw Sales'!A1433</x:f>
        <x:v>ORD-2025-00499</x:v>
      </x:c>
      <x:c r="B1433" s="85" t="n">
        <x:f>'Raw Sales'!B1433</x:f>
        <x:v>45768</x:v>
      </x:c>
      <x:c r="C1433" s="84" t="n">
        <x:f>YEAR(B1433)</x:f>
        <x:v>2025</x:v>
      </x:c>
      <x:c r="D1433" s="91" t="n">
        <x:f>DATE(YEAR(B1433),MONTH(B1433),1)</x:f>
        <x:v>45748</x:v>
      </x:c>
      <x:c r="E1433" s="84" t="str">
        <x:f>TEXT(B1433,"mmm")</x:f>
        <x:v>Apr</x:v>
      </x:c>
      <x:c r="F1433" s="84" t="str">
        <x:f>'Raw Sales'!C1433</x:f>
        <x:v>CUST-0269</x:v>
      </x:c>
      <x:c r="G1433" s="84" t="str">
        <x:f>PROPER(TRIM('Raw Sales'!D1433))</x:f>
        <x:v>Daniel Evans</x:v>
      </x:c>
      <x:c r="H1433" s="84" t="str">
        <x:f>IF(TRIM('Raw Sales'!E1433)="","Unknown",PROPER(TRIM('Raw Sales'!E1433)))</x:f>
        <x:v>Small Business</x:v>
      </x:c>
      <x:c r="I1433" s="84" t="str">
        <x:f>PROPER(TRIM('Raw Sales'!F1433))</x:f>
        <x:v>Southeast</x:v>
      </x:c>
      <x:c r="J1433" s="84" t="str">
        <x:f>PROPER(TRIM('Raw Sales'!G1433))</x:f>
        <x:v>Charlotte</x:v>
      </x:c>
      <x:c r="K1433" s="84" t="str">
        <x:f>PROPER(TRIM('Raw Sales'!H1433))</x:f>
        <x:v>Retail Store</x:v>
      </x:c>
      <x:c r="L1433" s="84" t="str">
        <x:f>'Raw Sales'!I1433</x:f>
        <x:v>FITN-003</x:v>
      </x:c>
      <x:c r="M1433" s="84" t="str">
        <x:f>IFERROR(VLOOKUP(L1433,'Reference Data'!$A$5:$F$40,2,FALSE),"Unknown Product")</x:f>
        <x:v>Resistance Band Set</x:v>
      </x:c>
      <x:c r="N1433" s="84" t="str">
        <x:f>IFERROR(VLOOKUP(L1433,'Reference Data'!$A$5:$F$40,3,FALSE),"Unknown")</x:f>
        <x:v>Fitness</x:v>
      </x:c>
      <x:c r="O1433" s="84" t="str">
        <x:f>IFERROR(VLOOKUP(L1433,'Reference Data'!$A$5:$F$40,4,FALSE),"Unknown")</x:f>
        <x:v>Strength</x:v>
      </x:c>
      <x:c r="P1433" s="92" t="n">
        <x:f>IFERROR(VLOOKUP(L1433,'Reference Data'!$A$5:$F$40,5,FALSE),0)</x:f>
        <x:v>24</x:v>
      </x:c>
      <x:c r="Q1433" s="92" t="n">
        <x:f>IFERROR(VLOOKUP(L1433,'Reference Data'!$A$5:$F$40,6,FALSE),0)</x:f>
        <x:v>8</x:v>
      </x:c>
      <x:c r="R1433" s="84" t="n">
        <x:f>'Raw Sales'!J1433</x:f>
        <x:v>1</x:v>
      </x:c>
      <x:c r="S1433" s="87" t="n">
        <x:f>'Raw Sales'!K1433</x:f>
        <x:v>0.1</x:v>
      </x:c>
      <x:c r="T1433" s="93" t="n">
        <x:f>P1433*R1433</x:f>
        <x:v>24</x:v>
      </x:c>
      <x:c r="U1433" s="93" t="n">
        <x:f>T1433*S1433</x:f>
        <x:v>2.4000000000000004</x:v>
      </x:c>
      <x:c r="V1433" s="93" t="str">
        <x:f>PROPER(TRIM('Raw Sales'!L1433))</x:f>
        <x:v>Completed</x:v>
      </x:c>
      <x:c r="W1433" s="93" t="n">
        <x:f>IF(V1433="Returned",0,T1433-U1433)</x:f>
        <x:v>21.6</x:v>
      </x:c>
      <x:c r="X1433" s="93" t="n">
        <x:f>IF(V1433="Returned",Q1433*R1433*10%,Q1433*R1433)</x:f>
        <x:v>8</x:v>
      </x:c>
      <x:c r="Y1433" s="93" t="n">
        <x:f>W1433-X1433</x:f>
        <x:v>13.600000000000001</x:v>
      </x:c>
      <x:c r="Z1433" s="94" t="n">
        <x:f>IFERROR(Y1433/W1433,0)</x:f>
        <x:v>0.6296296296296297</x:v>
      </x:c>
      <x:c r="AA1433" s="84" t="str">
        <x:f>PROPER(TRIM('Raw Sales'!M1433))</x:f>
        <x:v>Credit Card</x:v>
      </x:c>
      <x:c r="AB1433" s="84" t="str">
        <x:f>PROPER(TRIM('Raw Sales'!N1433))</x:f>
        <x:v>Liam Parker</x:v>
      </x:c>
      <x:c r="AC1433" s="85" t="n">
        <x:f>'Raw Sales'!O1433</x:f>
        <x:v>45768</x:v>
      </x:c>
      <x:c r="AD1433" s="84" t="n">
        <x:f>AC1433-B1433</x:f>
        <x:v>0</x:v>
      </x:c>
      <x:c r="AE1433" s="84" t="str">
        <x:f>IF(COUNTIF($A$5:A1433,A1433)&gt;1,"Duplicate","Keep")</x:f>
        <x:v>Keep</x:v>
      </x:c>
      <x:c r="AF1433" s="84" t="str">
        <x:f>IF(OR(R1433&lt;=0,AC1433&lt;B1433,H1433="Unknown",M1433="Unknown Product"),"Review","Valid")</x:f>
        <x:v>Valid</x:v>
      </x:c>
      <x:c r="AG1433" s="84" t="n">
        <x:f>IF(AND(AE1433="Keep",AF1433="Valid"),1,0)</x:f>
        <x:v>1</x:v>
      </x:c>
      <x:c r="AH1433" s="84" t="n">
        <x:f>IF(AND(AG1433=1,OR('Dashboard'!$B$4="All",I1433='Dashboard'!$B$4),OR('Dashboard'!$E$4="All",N1433='Dashboard'!$E$4),OR('Dashboard'!$H$4="All",K1433='Dashboard'!$H$4),OR('Dashboard'!$K$4="All",C1433='Dashboard'!$K$4)),1,0)</x:f>
        <x:v>1</x:v>
      </x:c>
      <x:c r="AI1433" s="84" t="n">
        <x:f>IF(AND(AG1433=1,OR('Dashboard'!$B$4="All",I1433='Dashboard'!$B$4),OR('Dashboard'!$E$4="All",N1433='Dashboard'!$E$4),OR('Dashboard'!$H$4="All",K1433='Dashboard'!$H$4)),1,0)</x:f>
        <x:v>1</x:v>
      </x:c>
    </x:row>
    <x:row r="1434">
      <x:c r="A1434" s="84" t="str">
        <x:f>'Raw Sales'!A1434</x:f>
        <x:v>ORD-2025-00607</x:v>
      </x:c>
      <x:c r="B1434" s="85" t="n">
        <x:f>'Raw Sales'!B1434</x:f>
        <x:v>45768</x:v>
      </x:c>
      <x:c r="C1434" s="84" t="n">
        <x:f>YEAR(B1434)</x:f>
        <x:v>2025</x:v>
      </x:c>
      <x:c r="D1434" s="91" t="n">
        <x:f>DATE(YEAR(B1434),MONTH(B1434),1)</x:f>
        <x:v>45748</x:v>
      </x:c>
      <x:c r="E1434" s="84" t="str">
        <x:f>TEXT(B1434,"mmm")</x:f>
        <x:v>Apr</x:v>
      </x:c>
      <x:c r="F1434" s="84" t="str">
        <x:f>'Raw Sales'!C1434</x:f>
        <x:v>CUST-0470</x:v>
      </x:c>
      <x:c r="G1434" s="84" t="str">
        <x:f>PROPER(TRIM('Raw Sales'!D1434))</x:f>
        <x:v>Jasmine Lewis</x:v>
      </x:c>
      <x:c r="H1434" s="84" t="str">
        <x:f>IF(TRIM('Raw Sales'!E1434)="","Unknown",PROPER(TRIM('Raw Sales'!E1434)))</x:f>
        <x:v>Corporate</x:v>
      </x:c>
      <x:c r="I1434" s="84" t="str">
        <x:f>PROPER(TRIM('Raw Sales'!F1434))</x:f>
        <x:v>Southeast</x:v>
      </x:c>
      <x:c r="J1434" s="84" t="str">
        <x:f>PROPER(TRIM('Raw Sales'!G1434))</x:f>
        <x:v>Miami</x:v>
      </x:c>
      <x:c r="K1434" s="84" t="str">
        <x:f>PROPER(TRIM('Raw Sales'!H1434))</x:f>
        <x:v>Marketplace</x:v>
      </x:c>
      <x:c r="L1434" s="84" t="str">
        <x:f>'Raw Sales'!I1434</x:f>
        <x:v>CARE-006</x:v>
      </x:c>
      <x:c r="M1434" s="84" t="str">
        <x:f>IFERROR(VLOOKUP(L1434,'Reference Data'!$A$5:$F$40,2,FALSE),"Unknown Product")</x:f>
        <x:v>Percussion Massage Gun</x:v>
      </x:c>
      <x:c r="N1434" s="84" t="str">
        <x:f>IFERROR(VLOOKUP(L1434,'Reference Data'!$A$5:$F$40,3,FALSE),"Unknown")</x:f>
        <x:v>Personal Care</x:v>
      </x:c>
      <x:c r="O1434" s="84" t="str">
        <x:f>IFERROR(VLOOKUP(L1434,'Reference Data'!$A$5:$F$40,4,FALSE),"Unknown")</x:f>
        <x:v>Wellness</x:v>
      </x:c>
      <x:c r="P1434" s="92" t="n">
        <x:f>IFERROR(VLOOKUP(L1434,'Reference Data'!$A$5:$F$40,5,FALSE),0)</x:f>
        <x:v>129</x:v>
      </x:c>
      <x:c r="Q1434" s="92" t="n">
        <x:f>IFERROR(VLOOKUP(L1434,'Reference Data'!$A$5:$F$40,6,FALSE),0)</x:f>
        <x:v>70</x:v>
      </x:c>
      <x:c r="R1434" s="84" t="n">
        <x:f>'Raw Sales'!J1434</x:f>
        <x:v>6</x:v>
      </x:c>
      <x:c r="S1434" s="87" t="n">
        <x:f>'Raw Sales'!K1434</x:f>
        <x:v>0.05</x:v>
      </x:c>
      <x:c r="T1434" s="93" t="n">
        <x:f>P1434*R1434</x:f>
        <x:v>774</x:v>
      </x:c>
      <x:c r="U1434" s="93" t="n">
        <x:f>T1434*S1434</x:f>
        <x:v>38.7</x:v>
      </x:c>
      <x:c r="V1434" s="93" t="str">
        <x:f>PROPER(TRIM('Raw Sales'!L1434))</x:f>
        <x:v>Completed</x:v>
      </x:c>
      <x:c r="W1434" s="93" t="n">
        <x:f>IF(V1434="Returned",0,T1434-U1434)</x:f>
        <x:v>735.3</x:v>
      </x:c>
      <x:c r="X1434" s="93" t="n">
        <x:f>IF(V1434="Returned",Q1434*R1434*10%,Q1434*R1434)</x:f>
        <x:v>420</x:v>
      </x:c>
      <x:c r="Y1434" s="93" t="n">
        <x:f>W1434-X1434</x:f>
        <x:v>315.29999999999995</x:v>
      </x:c>
      <x:c r="Z1434" s="94" t="n">
        <x:f>IFERROR(Y1434/W1434,0)</x:f>
        <x:v>0.4288045695634435</x:v>
      </x:c>
      <x:c r="AA1434" s="84" t="str">
        <x:f>PROPER(TRIM('Raw Sales'!M1434))</x:f>
        <x:v>Debit Card</x:v>
      </x:c>
      <x:c r="AB1434" s="84" t="str">
        <x:f>PROPER(TRIM('Raw Sales'!N1434))</x:f>
        <x:v>Noah Reed</x:v>
      </x:c>
      <x:c r="AC1434" s="85" t="n">
        <x:f>'Raw Sales'!O1434</x:f>
        <x:v>45775</x:v>
      </x:c>
      <x:c r="AD1434" s="84" t="n">
        <x:f>AC1434-B1434</x:f>
        <x:v>7</x:v>
      </x:c>
      <x:c r="AE1434" s="84" t="str">
        <x:f>IF(COUNTIF($A$5:A1434,A1434)&gt;1,"Duplicate","Keep")</x:f>
        <x:v>Keep</x:v>
      </x:c>
      <x:c r="AF1434" s="84" t="str">
        <x:f>IF(OR(R1434&lt;=0,AC1434&lt;B1434,H1434="Unknown",M1434="Unknown Product"),"Review","Valid")</x:f>
        <x:v>Valid</x:v>
      </x:c>
      <x:c r="AG1434" s="84" t="n">
        <x:f>IF(AND(AE1434="Keep",AF1434="Valid"),1,0)</x:f>
        <x:v>1</x:v>
      </x:c>
      <x:c r="AH1434" s="84" t="n">
        <x:f>IF(AND(AG1434=1,OR('Dashboard'!$B$4="All",I1434='Dashboard'!$B$4),OR('Dashboard'!$E$4="All",N1434='Dashboard'!$E$4),OR('Dashboard'!$H$4="All",K1434='Dashboard'!$H$4),OR('Dashboard'!$K$4="All",C1434='Dashboard'!$K$4)),1,0)</x:f>
        <x:v>1</x:v>
      </x:c>
      <x:c r="AI1434" s="84" t="n">
        <x:f>IF(AND(AG1434=1,OR('Dashboard'!$B$4="All",I1434='Dashboard'!$B$4),OR('Dashboard'!$E$4="All",N1434='Dashboard'!$E$4),OR('Dashboard'!$H$4="All",K1434='Dashboard'!$H$4)),1,0)</x:f>
        <x:v>1</x:v>
      </x:c>
    </x:row>
    <x:row r="1435">
      <x:c r="A1435" s="84" t="str">
        <x:f>'Raw Sales'!A1435</x:f>
        <x:v>ORD-2025-01017</x:v>
      </x:c>
      <x:c r="B1435" s="85" t="n">
        <x:f>'Raw Sales'!B1435</x:f>
        <x:v>45768</x:v>
      </x:c>
      <x:c r="C1435" s="84" t="n">
        <x:f>YEAR(B1435)</x:f>
        <x:v>2025</x:v>
      </x:c>
      <x:c r="D1435" s="91" t="n">
        <x:f>DATE(YEAR(B1435),MONTH(B1435),1)</x:f>
        <x:v>45748</x:v>
      </x:c>
      <x:c r="E1435" s="84" t="str">
        <x:f>TEXT(B1435,"mmm")</x:f>
        <x:v>Apr</x:v>
      </x:c>
      <x:c r="F1435" s="84" t="str">
        <x:f>'Raw Sales'!C1435</x:f>
        <x:v>CUST-0466</x:v>
      </x:c>
      <x:c r="G1435" s="84" t="str">
        <x:f>PROPER(TRIM('Raw Sales'!D1435))</x:f>
        <x:v>Sara Young</x:v>
      </x:c>
      <x:c r="H1435" s="84" t="str">
        <x:f>IF(TRIM('Raw Sales'!E1435)="","Unknown",PROPER(TRIM('Raw Sales'!E1435)))</x:f>
        <x:v>Corporate</x:v>
      </x:c>
      <x:c r="I1435" s="84" t="str">
        <x:f>PROPER(TRIM('Raw Sales'!F1435))</x:f>
        <x:v>West</x:v>
      </x:c>
      <x:c r="J1435" s="84" t="str">
        <x:f>PROPER(TRIM('Raw Sales'!G1435))</x:f>
        <x:v>Los Angeles</x:v>
      </x:c>
      <x:c r="K1435" s="84" t="str">
        <x:f>PROPER(TRIM('Raw Sales'!H1435))</x:f>
        <x:v>Retail Store</x:v>
      </x:c>
      <x:c r="L1435" s="84" t="str">
        <x:f>'Raw Sales'!I1435</x:f>
        <x:v>CARE-004</x:v>
      </x:c>
      <x:c r="M1435" s="84" t="str">
        <x:f>IFERROR(VLOOKUP(L1435,'Reference Data'!$A$5:$F$40,2,FALSE),"Unknown Product")</x:f>
        <x:v>Electric Toothbrush</x:v>
      </x:c>
      <x:c r="N1435" s="84" t="str">
        <x:f>IFERROR(VLOOKUP(L1435,'Reference Data'!$A$5:$F$40,3,FALSE),"Unknown")</x:f>
        <x:v>Personal Care</x:v>
      </x:c>
      <x:c r="O1435" s="84" t="str">
        <x:f>IFERROR(VLOOKUP(L1435,'Reference Data'!$A$5:$F$40,4,FALSE),"Unknown")</x:f>
        <x:v>Oral Care</x:v>
      </x:c>
      <x:c r="P1435" s="92" t="n">
        <x:f>IFERROR(VLOOKUP(L1435,'Reference Data'!$A$5:$F$40,5,FALSE),0)</x:f>
        <x:v>69</x:v>
      </x:c>
      <x:c r="Q1435" s="92" t="n">
        <x:f>IFERROR(VLOOKUP(L1435,'Reference Data'!$A$5:$F$40,6,FALSE),0)</x:f>
        <x:v>31</x:v>
      </x:c>
      <x:c r="R1435" s="84" t="n">
        <x:f>'Raw Sales'!J1435</x:f>
        <x:v>3</x:v>
      </x:c>
      <x:c r="S1435" s="87" t="n">
        <x:f>'Raw Sales'!K1435</x:f>
        <x:v>0</x:v>
      </x:c>
      <x:c r="T1435" s="93" t="n">
        <x:f>P1435*R1435</x:f>
        <x:v>207</x:v>
      </x:c>
      <x:c r="U1435" s="93" t="n">
        <x:f>T1435*S1435</x:f>
        <x:v>0</x:v>
      </x:c>
      <x:c r="V1435" s="93" t="str">
        <x:f>PROPER(TRIM('Raw Sales'!L1435))</x:f>
        <x:v>Completed</x:v>
      </x:c>
      <x:c r="W1435" s="93" t="n">
        <x:f>IF(V1435="Returned",0,T1435-U1435)</x:f>
        <x:v>207</x:v>
      </x:c>
      <x:c r="X1435" s="93" t="n">
        <x:f>IF(V1435="Returned",Q1435*R1435*10%,Q1435*R1435)</x:f>
        <x:v>93</x:v>
      </x:c>
      <x:c r="Y1435" s="93" t="n">
        <x:f>W1435-X1435</x:f>
        <x:v>114</x:v>
      </x:c>
      <x:c r="Z1435" s="94" t="n">
        <x:f>IFERROR(Y1435/W1435,0)</x:f>
        <x:v>0.5507246376811594</x:v>
      </x:c>
      <x:c r="AA1435" s="84" t="str">
        <x:f>PROPER(TRIM('Raw Sales'!M1435))</x:f>
        <x:v>Cash</x:v>
      </x:c>
      <x:c r="AB1435" s="84" t="str">
        <x:f>PROPER(TRIM('Raw Sales'!N1435))</x:f>
        <x:v>Leo Martinez</x:v>
      </x:c>
      <x:c r="AC1435" s="85" t="n">
        <x:f>'Raw Sales'!O1435</x:f>
        <x:v>45769</x:v>
      </x:c>
      <x:c r="AD1435" s="84" t="n">
        <x:f>AC1435-B1435</x:f>
        <x:v>1</x:v>
      </x:c>
      <x:c r="AE1435" s="84" t="str">
        <x:f>IF(COUNTIF($A$5:A1435,A1435)&gt;1,"Duplicate","Keep")</x:f>
        <x:v>Keep</x:v>
      </x:c>
      <x:c r="AF1435" s="84" t="str">
        <x:f>IF(OR(R1435&lt;=0,AC1435&lt;B1435,H1435="Unknown",M1435="Unknown Product"),"Review","Valid")</x:f>
        <x:v>Valid</x:v>
      </x:c>
      <x:c r="AG1435" s="84" t="n">
        <x:f>IF(AND(AE1435="Keep",AF1435="Valid"),1,0)</x:f>
        <x:v>1</x:v>
      </x:c>
      <x:c r="AH1435" s="84" t="n">
        <x:f>IF(AND(AG1435=1,OR('Dashboard'!$B$4="All",I1435='Dashboard'!$B$4),OR('Dashboard'!$E$4="All",N1435='Dashboard'!$E$4),OR('Dashboard'!$H$4="All",K1435='Dashboard'!$H$4),OR('Dashboard'!$K$4="All",C1435='Dashboard'!$K$4)),1,0)</x:f>
        <x:v>1</x:v>
      </x:c>
      <x:c r="AI1435" s="84" t="n">
        <x:f>IF(AND(AG1435=1,OR('Dashboard'!$B$4="All",I1435='Dashboard'!$B$4),OR('Dashboard'!$E$4="All",N1435='Dashboard'!$E$4),OR('Dashboard'!$H$4="All",K1435='Dashboard'!$H$4)),1,0)</x:f>
        <x:v>1</x:v>
      </x:c>
    </x:row>
    <x:row r="1436">
      <x:c r="A1436" s="84" t="str">
        <x:f>'Raw Sales'!A1436</x:f>
        <x:v>ORD-2025-02000</x:v>
      </x:c>
      <x:c r="B1436" s="85" t="n">
        <x:f>'Raw Sales'!B1436</x:f>
        <x:v>45768</x:v>
      </x:c>
      <x:c r="C1436" s="84" t="n">
        <x:f>YEAR(B1436)</x:f>
        <x:v>2025</x:v>
      </x:c>
      <x:c r="D1436" s="91" t="n">
        <x:f>DATE(YEAR(B1436),MONTH(B1436),1)</x:f>
        <x:v>45748</x:v>
      </x:c>
      <x:c r="E1436" s="84" t="str">
        <x:f>TEXT(B1436,"mmm")</x:f>
        <x:v>Apr</x:v>
      </x:c>
      <x:c r="F1436" s="84" t="str">
        <x:f>'Raw Sales'!C1436</x:f>
        <x:v>CUST-0563</x:v>
      </x:c>
      <x:c r="G1436" s="84" t="str">
        <x:f>PROPER(TRIM('Raw Sales'!D1436))</x:f>
        <x:v>Amelia Adams</x:v>
      </x:c>
      <x:c r="H1436" s="84" t="str">
        <x:f>IF(TRIM('Raw Sales'!E1436)="","Unknown",PROPER(TRIM('Raw Sales'!E1436)))</x:f>
        <x:v>Consumer</x:v>
      </x:c>
      <x:c r="I1436" s="84" t="str">
        <x:f>PROPER(TRIM('Raw Sales'!F1436))</x:f>
        <x:v>Southeast</x:v>
      </x:c>
      <x:c r="J1436" s="84" t="str">
        <x:f>PROPER(TRIM('Raw Sales'!G1436))</x:f>
        <x:v>Charlotte</x:v>
      </x:c>
      <x:c r="K1436" s="84" t="str">
        <x:f>PROPER(TRIM('Raw Sales'!H1436))</x:f>
        <x:v>Online</x:v>
      </x:c>
      <x:c r="L1436" s="84" t="str">
        <x:f>'Raw Sales'!I1436</x:f>
        <x:v>HOME-003</x:v>
      </x:c>
      <x:c r="M1436" s="84" t="str">
        <x:f>IFERROR(VLOOKUP(L1436,'Reference Data'!$A$5:$F$40,2,FALSE),"Unknown Product")</x:f>
        <x:v>Countertop Blender</x:v>
      </x:c>
      <x:c r="N1436" s="84" t="str">
        <x:f>IFERROR(VLOOKUP(L1436,'Reference Data'!$A$5:$F$40,3,FALSE),"Unknown")</x:f>
        <x:v>Home &amp; Kitchen</x:v>
      </x:c>
      <x:c r="O1436" s="84" t="str">
        <x:f>IFERROR(VLOOKUP(L1436,'Reference Data'!$A$5:$F$40,4,FALSE),"Unknown")</x:f>
        <x:v>Small Appliances</x:v>
      </x:c>
      <x:c r="P1436" s="92" t="n">
        <x:f>IFERROR(VLOOKUP(L1436,'Reference Data'!$A$5:$F$40,5,FALSE),0)</x:f>
        <x:v>89</x:v>
      </x:c>
      <x:c r="Q1436" s="92" t="n">
        <x:f>IFERROR(VLOOKUP(L1436,'Reference Data'!$A$5:$F$40,6,FALSE),0)</x:f>
        <x:v>46</x:v>
      </x:c>
      <x:c r="R1436" s="84" t="n">
        <x:f>'Raw Sales'!J1436</x:f>
        <x:v>3</x:v>
      </x:c>
      <x:c r="S1436" s="87" t="n">
        <x:f>'Raw Sales'!K1436</x:f>
        <x:v>0.2</x:v>
      </x:c>
      <x:c r="T1436" s="93" t="n">
        <x:f>P1436*R1436</x:f>
        <x:v>267</x:v>
      </x:c>
      <x:c r="U1436" s="93" t="n">
        <x:f>T1436*S1436</x:f>
        <x:v>53.400000000000006</x:v>
      </x:c>
      <x:c r="V1436" s="93" t="str">
        <x:f>PROPER(TRIM('Raw Sales'!L1436))</x:f>
        <x:v>Completed</x:v>
      </x:c>
      <x:c r="W1436" s="93" t="n">
        <x:f>IF(V1436="Returned",0,T1436-U1436)</x:f>
        <x:v>213.6</x:v>
      </x:c>
      <x:c r="X1436" s="93" t="n">
        <x:f>IF(V1436="Returned",Q1436*R1436*10%,Q1436*R1436)</x:f>
        <x:v>138</x:v>
      </x:c>
      <x:c r="Y1436" s="93" t="n">
        <x:f>W1436-X1436</x:f>
        <x:v>75.6</x:v>
      </x:c>
      <x:c r="Z1436" s="94" t="n">
        <x:f>IFERROR(Y1436/W1436,0)</x:f>
        <x:v>0.3539325842696629</x:v>
      </x:c>
      <x:c r="AA1436" s="84" t="str">
        <x:f>PROPER(TRIM('Raw Sales'!M1436))</x:f>
        <x:v>Mobile Wallet</x:v>
      </x:c>
      <x:c r="AB1436" s="84" t="str">
        <x:f>PROPER(TRIM('Raw Sales'!N1436))</x:f>
        <x:v>Ava Mitchell</x:v>
      </x:c>
      <x:c r="AC1436" s="85" t="n">
        <x:f>'Raw Sales'!O1436</x:f>
        <x:v>45772</x:v>
      </x:c>
      <x:c r="AD1436" s="84" t="n">
        <x:f>AC1436-B1436</x:f>
        <x:v>4</x:v>
      </x:c>
      <x:c r="AE1436" s="84" t="str">
        <x:f>IF(COUNTIF($A$5:A1436,A1436)&gt;1,"Duplicate","Keep")</x:f>
        <x:v>Keep</x:v>
      </x:c>
      <x:c r="AF1436" s="84" t="str">
        <x:f>IF(OR(R1436&lt;=0,AC1436&lt;B1436,H1436="Unknown",M1436="Unknown Product"),"Review","Valid")</x:f>
        <x:v>Valid</x:v>
      </x:c>
      <x:c r="AG1436" s="84" t="n">
        <x:f>IF(AND(AE1436="Keep",AF1436="Valid"),1,0)</x:f>
        <x:v>1</x:v>
      </x:c>
      <x:c r="AH1436" s="84" t="n">
        <x:f>IF(AND(AG1436=1,OR('Dashboard'!$B$4="All",I1436='Dashboard'!$B$4),OR('Dashboard'!$E$4="All",N1436='Dashboard'!$E$4),OR('Dashboard'!$H$4="All",K1436='Dashboard'!$H$4),OR('Dashboard'!$K$4="All",C1436='Dashboard'!$K$4)),1,0)</x:f>
        <x:v>1</x:v>
      </x:c>
      <x:c r="AI1436" s="84" t="n">
        <x:f>IF(AND(AG1436=1,OR('Dashboard'!$B$4="All",I1436='Dashboard'!$B$4),OR('Dashboard'!$E$4="All",N1436='Dashboard'!$E$4),OR('Dashboard'!$H$4="All",K1436='Dashboard'!$H$4)),1,0)</x:f>
        <x:v>1</x:v>
      </x:c>
    </x:row>
    <x:row r="1437">
      <x:c r="A1437" s="84" t="str">
        <x:f>'Raw Sales'!A1437</x:f>
        <x:v>ORD-2025-02094</x:v>
      </x:c>
      <x:c r="B1437" s="85" t="n">
        <x:f>'Raw Sales'!B1437</x:f>
        <x:v>45768</x:v>
      </x:c>
      <x:c r="C1437" s="84" t="n">
        <x:f>YEAR(B1437)</x:f>
        <x:v>2025</x:v>
      </x:c>
      <x:c r="D1437" s="91" t="n">
        <x:f>DATE(YEAR(B1437),MONTH(B1437),1)</x:f>
        <x:v>45748</x:v>
      </x:c>
      <x:c r="E1437" s="84" t="str">
        <x:f>TEXT(B1437,"mmm")</x:f>
        <x:v>Apr</x:v>
      </x:c>
      <x:c r="F1437" s="84" t="str">
        <x:f>'Raw Sales'!C1437</x:f>
        <x:v>CUST-0034</x:v>
      </x:c>
      <x:c r="G1437" s="84" t="str">
        <x:f>PROPER(TRIM('Raw Sales'!D1437))</x:f>
        <x:v>Priya Roberts</x:v>
      </x:c>
      <x:c r="H1437" s="84" t="str">
        <x:f>IF(TRIM('Raw Sales'!E1437)="","Unknown",PROPER(TRIM('Raw Sales'!E1437)))</x:f>
        <x:v>Consumer</x:v>
      </x:c>
      <x:c r="I1437" s="84" t="str">
        <x:f>PROPER(TRIM('Raw Sales'!F1437))</x:f>
        <x:v>Southeast</x:v>
      </x:c>
      <x:c r="J1437" s="84" t="str">
        <x:f>PROPER(TRIM('Raw Sales'!G1437))</x:f>
        <x:v>Nashville</x:v>
      </x:c>
      <x:c r="K1437" s="84" t="str">
        <x:f>PROPER(TRIM('Raw Sales'!H1437))</x:f>
        <x:v>Retail Store</x:v>
      </x:c>
      <x:c r="L1437" s="84" t="str">
        <x:f>'Raw Sales'!I1437</x:f>
        <x:v>OFFC-001</x:v>
      </x:c>
      <x:c r="M1437" s="84" t="str">
        <x:f>IFERROR(VLOOKUP(L1437,'Reference Data'!$A$5:$F$40,2,FALSE),"Unknown Product")</x:f>
        <x:v>Ergonomic Chair</x:v>
      </x:c>
      <x:c r="N1437" s="84" t="str">
        <x:f>IFERROR(VLOOKUP(L1437,'Reference Data'!$A$5:$F$40,3,FALSE),"Unknown")</x:f>
        <x:v>Office</x:v>
      </x:c>
      <x:c r="O1437" s="84" t="str">
        <x:f>IFERROR(VLOOKUP(L1437,'Reference Data'!$A$5:$F$40,4,FALSE),"Unknown")</x:f>
        <x:v>Furniture</x:v>
      </x:c>
      <x:c r="P1437" s="92" t="n">
        <x:f>IFERROR(VLOOKUP(L1437,'Reference Data'!$A$5:$F$40,5,FALSE),0)</x:f>
        <x:v>249</x:v>
      </x:c>
      <x:c r="Q1437" s="92" t="n">
        <x:f>IFERROR(VLOOKUP(L1437,'Reference Data'!$A$5:$F$40,6,FALSE),0)</x:f>
        <x:v>145</x:v>
      </x:c>
      <x:c r="R1437" s="84" t="n">
        <x:f>'Raw Sales'!J1437</x:f>
        <x:v>2</x:v>
      </x:c>
      <x:c r="S1437" s="87" t="n">
        <x:f>'Raw Sales'!K1437</x:f>
        <x:v>0</x:v>
      </x:c>
      <x:c r="T1437" s="93" t="n">
        <x:f>P1437*R1437</x:f>
        <x:v>498</x:v>
      </x:c>
      <x:c r="U1437" s="93" t="n">
        <x:f>T1437*S1437</x:f>
        <x:v>0</x:v>
      </x:c>
      <x:c r="V1437" s="93" t="str">
        <x:f>PROPER(TRIM('Raw Sales'!L1437))</x:f>
        <x:v>Completed</x:v>
      </x:c>
      <x:c r="W1437" s="93" t="n">
        <x:f>IF(V1437="Returned",0,T1437-U1437)</x:f>
        <x:v>498</x:v>
      </x:c>
      <x:c r="X1437" s="93" t="n">
        <x:f>IF(V1437="Returned",Q1437*R1437*10%,Q1437*R1437)</x:f>
        <x:v>290</x:v>
      </x:c>
      <x:c r="Y1437" s="93" t="n">
        <x:f>W1437-X1437</x:f>
        <x:v>208</x:v>
      </x:c>
      <x:c r="Z1437" s="94" t="n">
        <x:f>IFERROR(Y1437/W1437,0)</x:f>
        <x:v>0.41767068273092367</x:v>
      </x:c>
      <x:c r="AA1437" s="84" t="str">
        <x:f>PROPER(TRIM('Raw Sales'!M1437))</x:f>
        <x:v>Debit Card</x:v>
      </x:c>
      <x:c r="AB1437" s="84" t="str">
        <x:f>PROPER(TRIM('Raw Sales'!N1437))</x:f>
        <x:v>Liam Parker</x:v>
      </x:c>
      <x:c r="AC1437" s="85" t="n">
        <x:f>'Raw Sales'!O1437</x:f>
        <x:v>45768</x:v>
      </x:c>
      <x:c r="AD1437" s="84" t="n">
        <x:f>AC1437-B1437</x:f>
        <x:v>0</x:v>
      </x:c>
      <x:c r="AE1437" s="84" t="str">
        <x:f>IF(COUNTIF($A$5:A1437,A1437)&gt;1,"Duplicate","Keep")</x:f>
        <x:v>Keep</x:v>
      </x:c>
      <x:c r="AF1437" s="84" t="str">
        <x:f>IF(OR(R1437&lt;=0,AC1437&lt;B1437,H1437="Unknown",M1437="Unknown Product"),"Review","Valid")</x:f>
        <x:v>Valid</x:v>
      </x:c>
      <x:c r="AG1437" s="84" t="n">
        <x:f>IF(AND(AE1437="Keep",AF1437="Valid"),1,0)</x:f>
        <x:v>1</x:v>
      </x:c>
      <x:c r="AH1437" s="84" t="n">
        <x:f>IF(AND(AG1437=1,OR('Dashboard'!$B$4="All",I1437='Dashboard'!$B$4),OR('Dashboard'!$E$4="All",N1437='Dashboard'!$E$4),OR('Dashboard'!$H$4="All",K1437='Dashboard'!$H$4),OR('Dashboard'!$K$4="All",C1437='Dashboard'!$K$4)),1,0)</x:f>
        <x:v>1</x:v>
      </x:c>
      <x:c r="AI1437" s="84" t="n">
        <x:f>IF(AND(AG1437=1,OR('Dashboard'!$B$4="All",I1437='Dashboard'!$B$4),OR('Dashboard'!$E$4="All",N1437='Dashboard'!$E$4),OR('Dashboard'!$H$4="All",K1437='Dashboard'!$H$4)),1,0)</x:f>
        <x:v>1</x:v>
      </x:c>
    </x:row>
    <x:row r="1438">
      <x:c r="A1438" s="84" t="str">
        <x:f>'Raw Sales'!A1438</x:f>
        <x:v>ORD-2025-00801</x:v>
      </x:c>
      <x:c r="B1438" s="85" t="n">
        <x:f>'Raw Sales'!B1438</x:f>
        <x:v>45769</x:v>
      </x:c>
      <x:c r="C1438" s="84" t="n">
        <x:f>YEAR(B1438)</x:f>
        <x:v>2025</x:v>
      </x:c>
      <x:c r="D1438" s="91" t="n">
        <x:f>DATE(YEAR(B1438),MONTH(B1438),1)</x:f>
        <x:v>45748</x:v>
      </x:c>
      <x:c r="E1438" s="84" t="str">
        <x:f>TEXT(B1438,"mmm")</x:f>
        <x:v>Apr</x:v>
      </x:c>
      <x:c r="F1438" s="84" t="str">
        <x:f>'Raw Sales'!C1438</x:f>
        <x:v>CUST-0512</x:v>
      </x:c>
      <x:c r="G1438" s="84" t="str">
        <x:f>PROPER(TRIM('Raw Sales'!D1438))</x:f>
        <x:v>Elena Carter</x:v>
      </x:c>
      <x:c r="H1438" s="84" t="str">
        <x:f>IF(TRIM('Raw Sales'!E1438)="","Unknown",PROPER(TRIM('Raw Sales'!E1438)))</x:f>
        <x:v>Consumer</x:v>
      </x:c>
      <x:c r="I1438" s="84" t="str">
        <x:f>PROPER(TRIM('Raw Sales'!F1438))</x:f>
        <x:v>West</x:v>
      </x:c>
      <x:c r="J1438" s="84" t="str">
        <x:f>PROPER(TRIM('Raw Sales'!G1438))</x:f>
        <x:v>Denver</x:v>
      </x:c>
      <x:c r="K1438" s="84" t="str">
        <x:f>PROPER(TRIM('Raw Sales'!H1438))</x:f>
        <x:v>Online</x:v>
      </x:c>
      <x:c r="L1438" s="84" t="str">
        <x:f>'Raw Sales'!I1438</x:f>
        <x:v>HOME-001</x:v>
      </x:c>
      <x:c r="M1438" s="84" t="str">
        <x:f>IFERROR(VLOOKUP(L1438,'Reference Data'!$A$5:$F$40,2,FALSE),"Unknown Product")</x:f>
        <x:v>Air Fryer</x:v>
      </x:c>
      <x:c r="N1438" s="84" t="str">
        <x:f>IFERROR(VLOOKUP(L1438,'Reference Data'!$A$5:$F$40,3,FALSE),"Unknown")</x:f>
        <x:v>Home &amp; Kitchen</x:v>
      </x:c>
      <x:c r="O1438" s="84" t="str">
        <x:f>IFERROR(VLOOKUP(L1438,'Reference Data'!$A$5:$F$40,4,FALSE),"Unknown")</x:f>
        <x:v>Small Appliances</x:v>
      </x:c>
      <x:c r="P1438" s="92" t="n">
        <x:f>IFERROR(VLOOKUP(L1438,'Reference Data'!$A$5:$F$40,5,FALSE),0)</x:f>
        <x:v>119</x:v>
      </x:c>
      <x:c r="Q1438" s="92" t="n">
        <x:f>IFERROR(VLOOKUP(L1438,'Reference Data'!$A$5:$F$40,6,FALSE),0)</x:f>
        <x:v>68</x:v>
      </x:c>
      <x:c r="R1438" s="84" t="n">
        <x:f>'Raw Sales'!J1438</x:f>
        <x:v>1</x:v>
      </x:c>
      <x:c r="S1438" s="87" t="n">
        <x:f>'Raw Sales'!K1438</x:f>
        <x:v>0.05</x:v>
      </x:c>
      <x:c r="T1438" s="93" t="n">
        <x:f>P1438*R1438</x:f>
        <x:v>119</x:v>
      </x:c>
      <x:c r="U1438" s="93" t="n">
        <x:f>T1438*S1438</x:f>
        <x:v>5.95</x:v>
      </x:c>
      <x:c r="V1438" s="93" t="str">
        <x:f>PROPER(TRIM('Raw Sales'!L1438))</x:f>
        <x:v>Completed</x:v>
      </x:c>
      <x:c r="W1438" s="93" t="n">
        <x:f>IF(V1438="Returned",0,T1438-U1438)</x:f>
        <x:v>113.05</x:v>
      </x:c>
      <x:c r="X1438" s="93" t="n">
        <x:f>IF(V1438="Returned",Q1438*R1438*10%,Q1438*R1438)</x:f>
        <x:v>68</x:v>
      </x:c>
      <x:c r="Y1438" s="93" t="n">
        <x:f>W1438-X1438</x:f>
        <x:v>45.05</x:v>
      </x:c>
      <x:c r="Z1438" s="94" t="n">
        <x:f>IFERROR(Y1438/W1438,0)</x:f>
        <x:v>0.39849624060150374</x:v>
      </x:c>
      <x:c r="AA1438" s="84" t="str">
        <x:f>PROPER(TRIM('Raw Sales'!M1438))</x:f>
        <x:v>Credit Card</x:v>
      </x:c>
      <x:c r="AB1438" s="84" t="str">
        <x:f>PROPER(TRIM('Raw Sales'!N1438))</x:f>
        <x:v>Leo Martinez</x:v>
      </x:c>
      <x:c r="AC1438" s="85" t="n">
        <x:f>'Raw Sales'!O1438</x:f>
        <x:v>45775</x:v>
      </x:c>
      <x:c r="AD1438" s="84" t="n">
        <x:f>AC1438-B1438</x:f>
        <x:v>6</x:v>
      </x:c>
      <x:c r="AE1438" s="84" t="str">
        <x:f>IF(COUNTIF($A$5:A1438,A1438)&gt;1,"Duplicate","Keep")</x:f>
        <x:v>Keep</x:v>
      </x:c>
      <x:c r="AF1438" s="84" t="str">
        <x:f>IF(OR(R1438&lt;=0,AC1438&lt;B1438,H1438="Unknown",M1438="Unknown Product"),"Review","Valid")</x:f>
        <x:v>Valid</x:v>
      </x:c>
      <x:c r="AG1438" s="84" t="n">
        <x:f>IF(AND(AE1438="Keep",AF1438="Valid"),1,0)</x:f>
        <x:v>1</x:v>
      </x:c>
      <x:c r="AH1438" s="84" t="n">
        <x:f>IF(AND(AG1438=1,OR('Dashboard'!$B$4="All",I1438='Dashboard'!$B$4),OR('Dashboard'!$E$4="All",N1438='Dashboard'!$E$4),OR('Dashboard'!$H$4="All",K1438='Dashboard'!$H$4),OR('Dashboard'!$K$4="All",C1438='Dashboard'!$K$4)),1,0)</x:f>
        <x:v>1</x:v>
      </x:c>
      <x:c r="AI1438" s="84" t="n">
        <x:f>IF(AND(AG1438=1,OR('Dashboard'!$B$4="All",I1438='Dashboard'!$B$4),OR('Dashboard'!$E$4="All",N1438='Dashboard'!$E$4),OR('Dashboard'!$H$4="All",K1438='Dashboard'!$H$4)),1,0)</x:f>
        <x:v>1</x:v>
      </x:c>
    </x:row>
    <x:row r="1439">
      <x:c r="A1439" s="84" t="str">
        <x:f>'Raw Sales'!A1439</x:f>
        <x:v>ORD-2025-00830</x:v>
      </x:c>
      <x:c r="B1439" s="85" t="n">
        <x:f>'Raw Sales'!B1439</x:f>
        <x:v>45769</x:v>
      </x:c>
      <x:c r="C1439" s="84" t="n">
        <x:f>YEAR(B1439)</x:f>
        <x:v>2025</x:v>
      </x:c>
      <x:c r="D1439" s="91" t="n">
        <x:f>DATE(YEAR(B1439),MONTH(B1439),1)</x:f>
        <x:v>45748</x:v>
      </x:c>
      <x:c r="E1439" s="84" t="str">
        <x:f>TEXT(B1439,"mmm")</x:f>
        <x:v>Apr</x:v>
      </x:c>
      <x:c r="F1439" s="84" t="str">
        <x:f>'Raw Sales'!C1439</x:f>
        <x:v>CUST-0243</x:v>
      </x:c>
      <x:c r="G1439" s="84" t="str">
        <x:f>PROPER(TRIM('Raw Sales'!D1439))</x:f>
        <x:v>Jasmine Johnson</x:v>
      </x:c>
      <x:c r="H1439" s="84" t="str">
        <x:f>IF(TRIM('Raw Sales'!E1439)="","Unknown",PROPER(TRIM('Raw Sales'!E1439)))</x:f>
        <x:v>Corporate</x:v>
      </x:c>
      <x:c r="I1439" s="84" t="str">
        <x:f>PROPER(TRIM('Raw Sales'!F1439))</x:f>
        <x:v>Northeast</x:v>
      </x:c>
      <x:c r="J1439" s="84" t="str">
        <x:f>PROPER(TRIM('Raw Sales'!G1439))</x:f>
        <x:v>Newark</x:v>
      </x:c>
      <x:c r="K1439" s="84" t="str">
        <x:f>PROPER(TRIM('Raw Sales'!H1439))</x:f>
        <x:v>Retail Store</x:v>
      </x:c>
      <x:c r="L1439" s="84" t="str">
        <x:f>'Raw Sales'!I1439</x:f>
        <x:v>CARE-004</x:v>
      </x:c>
      <x:c r="M1439" s="84" t="str">
        <x:f>IFERROR(VLOOKUP(L1439,'Reference Data'!$A$5:$F$40,2,FALSE),"Unknown Product")</x:f>
        <x:v>Electric Toothbrush</x:v>
      </x:c>
      <x:c r="N1439" s="84" t="str">
        <x:f>IFERROR(VLOOKUP(L1439,'Reference Data'!$A$5:$F$40,3,FALSE),"Unknown")</x:f>
        <x:v>Personal Care</x:v>
      </x:c>
      <x:c r="O1439" s="84" t="str">
        <x:f>IFERROR(VLOOKUP(L1439,'Reference Data'!$A$5:$F$40,4,FALSE),"Unknown")</x:f>
        <x:v>Oral Care</x:v>
      </x:c>
      <x:c r="P1439" s="92" t="n">
        <x:f>IFERROR(VLOOKUP(L1439,'Reference Data'!$A$5:$F$40,5,FALSE),0)</x:f>
        <x:v>69</x:v>
      </x:c>
      <x:c r="Q1439" s="92" t="n">
        <x:f>IFERROR(VLOOKUP(L1439,'Reference Data'!$A$5:$F$40,6,FALSE),0)</x:f>
        <x:v>31</x:v>
      </x:c>
      <x:c r="R1439" s="84" t="n">
        <x:f>'Raw Sales'!J1439</x:f>
        <x:v>2</x:v>
      </x:c>
      <x:c r="S1439" s="87" t="n">
        <x:f>'Raw Sales'!K1439</x:f>
        <x:v>0</x:v>
      </x:c>
      <x:c r="T1439" s="93" t="n">
        <x:f>P1439*R1439</x:f>
        <x:v>138</x:v>
      </x:c>
      <x:c r="U1439" s="93" t="n">
        <x:f>T1439*S1439</x:f>
        <x:v>0</x:v>
      </x:c>
      <x:c r="V1439" s="93" t="str">
        <x:f>PROPER(TRIM('Raw Sales'!L1439))</x:f>
        <x:v>Completed</x:v>
      </x:c>
      <x:c r="W1439" s="93" t="n">
        <x:f>IF(V1439="Returned",0,T1439-U1439)</x:f>
        <x:v>138</x:v>
      </x:c>
      <x:c r="X1439" s="93" t="n">
        <x:f>IF(V1439="Returned",Q1439*R1439*10%,Q1439*R1439)</x:f>
        <x:v>62</x:v>
      </x:c>
      <x:c r="Y1439" s="93" t="n">
        <x:f>W1439-X1439</x:f>
        <x:v>76</x:v>
      </x:c>
      <x:c r="Z1439" s="94" t="n">
        <x:f>IFERROR(Y1439/W1439,0)</x:f>
        <x:v>0.5507246376811594</x:v>
      </x:c>
      <x:c r="AA1439" s="84" t="str">
        <x:f>PROPER(TRIM('Raw Sales'!M1439))</x:f>
        <x:v>Cash</x:v>
      </x:c>
      <x:c r="AB1439" s="84" t="str">
        <x:f>PROPER(TRIM('Raw Sales'!N1439))</x:f>
        <x:v>Sofia Bennett</x:v>
      </x:c>
      <x:c r="AC1439" s="85" t="n">
        <x:f>'Raw Sales'!O1439</x:f>
        <x:v>45770</x:v>
      </x:c>
      <x:c r="AD1439" s="84" t="n">
        <x:f>AC1439-B1439</x:f>
        <x:v>1</x:v>
      </x:c>
      <x:c r="AE1439" s="84" t="str">
        <x:f>IF(COUNTIF($A$5:A1439,A1439)&gt;1,"Duplicate","Keep")</x:f>
        <x:v>Keep</x:v>
      </x:c>
      <x:c r="AF1439" s="84" t="str">
        <x:f>IF(OR(R1439&lt;=0,AC1439&lt;B1439,H1439="Unknown",M1439="Unknown Product"),"Review","Valid")</x:f>
        <x:v>Valid</x:v>
      </x:c>
      <x:c r="AG1439" s="84" t="n">
        <x:f>IF(AND(AE1439="Keep",AF1439="Valid"),1,0)</x:f>
        <x:v>1</x:v>
      </x:c>
      <x:c r="AH1439" s="84" t="n">
        <x:f>IF(AND(AG1439=1,OR('Dashboard'!$B$4="All",I1439='Dashboard'!$B$4),OR('Dashboard'!$E$4="All",N1439='Dashboard'!$E$4),OR('Dashboard'!$H$4="All",K1439='Dashboard'!$H$4),OR('Dashboard'!$K$4="All",C1439='Dashboard'!$K$4)),1,0)</x:f>
        <x:v>1</x:v>
      </x:c>
      <x:c r="AI1439" s="84" t="n">
        <x:f>IF(AND(AG1439=1,OR('Dashboard'!$B$4="All",I1439='Dashboard'!$B$4),OR('Dashboard'!$E$4="All",N1439='Dashboard'!$E$4),OR('Dashboard'!$H$4="All",K1439='Dashboard'!$H$4)),1,0)</x:f>
        <x:v>1</x:v>
      </x:c>
    </x:row>
    <x:row r="1440">
      <x:c r="A1440" s="84" t="str">
        <x:f>'Raw Sales'!A1440</x:f>
        <x:v>ORD-2025-00987</x:v>
      </x:c>
      <x:c r="B1440" s="85" t="n">
        <x:f>'Raw Sales'!B1440</x:f>
        <x:v>45769</x:v>
      </x:c>
      <x:c r="C1440" s="84" t="n">
        <x:f>YEAR(B1440)</x:f>
        <x:v>2025</x:v>
      </x:c>
      <x:c r="D1440" s="91" t="n">
        <x:f>DATE(YEAR(B1440),MONTH(B1440),1)</x:f>
        <x:v>45748</x:v>
      </x:c>
      <x:c r="E1440" s="84" t="str">
        <x:f>TEXT(B1440,"mmm")</x:f>
        <x:v>Apr</x:v>
      </x:c>
      <x:c r="F1440" s="84" t="str">
        <x:f>'Raw Sales'!C1440</x:f>
        <x:v>CUST-0623</x:v>
      </x:c>
      <x:c r="G1440" s="84" t="str">
        <x:f>PROPER(TRIM('Raw Sales'!D1440))</x:f>
        <x:v>Theo Roberts</x:v>
      </x:c>
      <x:c r="H1440" s="84" t="str">
        <x:f>IF(TRIM('Raw Sales'!E1440)="","Unknown",PROPER(TRIM('Raw Sales'!E1440)))</x:f>
        <x:v>Small Business</x:v>
      </x:c>
      <x:c r="I1440" s="84" t="str">
        <x:f>PROPER(TRIM('Raw Sales'!F1440))</x:f>
        <x:v>Midwest</x:v>
      </x:c>
      <x:c r="J1440" s="84" t="str">
        <x:f>PROPER(TRIM('Raw Sales'!G1440))</x:f>
        <x:v>Detroit</x:v>
      </x:c>
      <x:c r="K1440" s="84" t="str">
        <x:f>PROPER(TRIM('Raw Sales'!H1440))</x:f>
        <x:v>Retail Store</x:v>
      </x:c>
      <x:c r="L1440" s="84" t="str">
        <x:f>'Raw Sales'!I1440</x:f>
        <x:v>ELEC-004</x:v>
      </x:c>
      <x:c r="M1440" s="84" t="str">
        <x:f>IFERROR(VLOOKUP(L1440,'Reference Data'!$A$5:$F$40,2,FALSE),"Unknown Product")</x:f>
        <x:v>Power Bank</x:v>
      </x:c>
      <x:c r="N1440" s="84" t="str">
        <x:f>IFERROR(VLOOKUP(L1440,'Reference Data'!$A$5:$F$40,3,FALSE),"Unknown")</x:f>
        <x:v>Electronics</x:v>
      </x:c>
      <x:c r="O1440" s="84" t="str">
        <x:f>IFERROR(VLOOKUP(L1440,'Reference Data'!$A$5:$F$40,4,FALSE),"Unknown")</x:f>
        <x:v>Mobile Accessories</x:v>
      </x:c>
      <x:c r="P1440" s="92" t="n">
        <x:f>IFERROR(VLOOKUP(L1440,'Reference Data'!$A$5:$F$40,5,FALSE),0)</x:f>
        <x:v>39</x:v>
      </x:c>
      <x:c r="Q1440" s="92" t="n">
        <x:f>IFERROR(VLOOKUP(L1440,'Reference Data'!$A$5:$F$40,6,FALSE),0)</x:f>
        <x:v>18</x:v>
      </x:c>
      <x:c r="R1440" s="84" t="n">
        <x:f>'Raw Sales'!J1440</x:f>
        <x:v>1</x:v>
      </x:c>
      <x:c r="S1440" s="87" t="n">
        <x:f>'Raw Sales'!K1440</x:f>
        <x:v>0.1</x:v>
      </x:c>
      <x:c r="T1440" s="93" t="n">
        <x:f>P1440*R1440</x:f>
        <x:v>39</x:v>
      </x:c>
      <x:c r="U1440" s="93" t="n">
        <x:f>T1440*S1440</x:f>
        <x:v>3.9000000000000004</x:v>
      </x:c>
      <x:c r="V1440" s="93" t="str">
        <x:f>PROPER(TRIM('Raw Sales'!L1440))</x:f>
        <x:v>Completed</x:v>
      </x:c>
      <x:c r="W1440" s="93" t="n">
        <x:f>IF(V1440="Returned",0,T1440-U1440)</x:f>
        <x:v>35.1</x:v>
      </x:c>
      <x:c r="X1440" s="93" t="n">
        <x:f>IF(V1440="Returned",Q1440*R1440*10%,Q1440*R1440)</x:f>
        <x:v>18</x:v>
      </x:c>
      <x:c r="Y1440" s="93" t="n">
        <x:f>W1440-X1440</x:f>
        <x:v>17.1</x:v>
      </x:c>
      <x:c r="Z1440" s="94" t="n">
        <x:f>IFERROR(Y1440/W1440,0)</x:f>
        <x:v>0.4871794871794872</x:v>
      </x:c>
      <x:c r="AA1440" s="84" t="str">
        <x:f>PROPER(TRIM('Raw Sales'!M1440))</x:f>
        <x:v>Debit Card</x:v>
      </x:c>
      <x:c r="AB1440" s="84" t="str">
        <x:f>PROPER(TRIM('Raw Sales'!N1440))</x:f>
        <x:v>Zoe Turner</x:v>
      </x:c>
      <x:c r="AC1440" s="85" t="n">
        <x:f>'Raw Sales'!O1440</x:f>
        <x:v>45769</x:v>
      </x:c>
      <x:c r="AD1440" s="84" t="n">
        <x:f>AC1440-B1440</x:f>
        <x:v>0</x:v>
      </x:c>
      <x:c r="AE1440" s="84" t="str">
        <x:f>IF(COUNTIF($A$5:A1440,A1440)&gt;1,"Duplicate","Keep")</x:f>
        <x:v>Keep</x:v>
      </x:c>
      <x:c r="AF1440" s="84" t="str">
        <x:f>IF(OR(R1440&lt;=0,AC1440&lt;B1440,H1440="Unknown",M1440="Unknown Product"),"Review","Valid")</x:f>
        <x:v>Valid</x:v>
      </x:c>
      <x:c r="AG1440" s="84" t="n">
        <x:f>IF(AND(AE1440="Keep",AF1440="Valid"),1,0)</x:f>
        <x:v>1</x:v>
      </x:c>
      <x:c r="AH1440" s="84" t="n">
        <x:f>IF(AND(AG1440=1,OR('Dashboard'!$B$4="All",I1440='Dashboard'!$B$4),OR('Dashboard'!$E$4="All",N1440='Dashboard'!$E$4),OR('Dashboard'!$H$4="All",K1440='Dashboard'!$H$4),OR('Dashboard'!$K$4="All",C1440='Dashboard'!$K$4)),1,0)</x:f>
        <x:v>1</x:v>
      </x:c>
      <x:c r="AI1440" s="84" t="n">
        <x:f>IF(AND(AG1440=1,OR('Dashboard'!$B$4="All",I1440='Dashboard'!$B$4),OR('Dashboard'!$E$4="All",N1440='Dashboard'!$E$4),OR('Dashboard'!$H$4="All",K1440='Dashboard'!$H$4)),1,0)</x:f>
        <x:v>1</x:v>
      </x:c>
    </x:row>
    <x:row r="1441">
      <x:c r="A1441" s="84" t="str">
        <x:f>'Raw Sales'!A1441</x:f>
        <x:v>ORD-2025-01352</x:v>
      </x:c>
      <x:c r="B1441" s="85" t="n">
        <x:f>'Raw Sales'!B1441</x:f>
        <x:v>45769</x:v>
      </x:c>
      <x:c r="C1441" s="84" t="n">
        <x:f>YEAR(B1441)</x:f>
        <x:v>2025</x:v>
      </x:c>
      <x:c r="D1441" s="91" t="n">
        <x:f>DATE(YEAR(B1441),MONTH(B1441),1)</x:f>
        <x:v>45748</x:v>
      </x:c>
      <x:c r="E1441" s="84" t="str">
        <x:f>TEXT(B1441,"mmm")</x:f>
        <x:v>Apr</x:v>
      </x:c>
      <x:c r="F1441" s="84" t="str">
        <x:f>'Raw Sales'!C1441</x:f>
        <x:v>CUST-0018</x:v>
      </x:c>
      <x:c r="G1441" s="84" t="str">
        <x:f>PROPER(TRIM('Raw Sales'!D1441))</x:f>
        <x:v>Priya Nelson</x:v>
      </x:c>
      <x:c r="H1441" s="84" t="str">
        <x:f>IF(TRIM('Raw Sales'!E1441)="","Unknown",PROPER(TRIM('Raw Sales'!E1441)))</x:f>
        <x:v>Consumer</x:v>
      </x:c>
      <x:c r="I1441" s="84" t="str">
        <x:f>PROPER(TRIM('Raw Sales'!F1441))</x:f>
        <x:v>Southeast</x:v>
      </x:c>
      <x:c r="J1441" s="84" t="str">
        <x:f>PROPER(TRIM('Raw Sales'!G1441))</x:f>
        <x:v>Miami</x:v>
      </x:c>
      <x:c r="K1441" s="84" t="str">
        <x:f>PROPER(TRIM('Raw Sales'!H1441))</x:f>
        <x:v>Online</x:v>
      </x:c>
      <x:c r="L1441" s="84" t="str">
        <x:f>'Raw Sales'!I1441</x:f>
        <x:v>ACCS-005</x:v>
      </x:c>
      <x:c r="M1441" s="84" t="str">
        <x:f>IFERROR(VLOOKUP(L1441,'Reference Data'!$A$5:$F$40,2,FALSE),"Unknown Product")</x:f>
        <x:v>Protective Phone Case</x:v>
      </x:c>
      <x:c r="N1441" s="84" t="str">
        <x:f>IFERROR(VLOOKUP(L1441,'Reference Data'!$A$5:$F$40,3,FALSE),"Unknown")</x:f>
        <x:v>Accessories</x:v>
      </x:c>
      <x:c r="O1441" s="84" t="str">
        <x:f>IFERROR(VLOOKUP(L1441,'Reference Data'!$A$5:$F$40,4,FALSE),"Unknown")</x:f>
        <x:v>Mobile Accessories</x:v>
      </x:c>
      <x:c r="P1441" s="92" t="n">
        <x:f>IFERROR(VLOOKUP(L1441,'Reference Data'!$A$5:$F$40,5,FALSE),0)</x:f>
        <x:v>24</x:v>
      </x:c>
      <x:c r="Q1441" s="92" t="n">
        <x:f>IFERROR(VLOOKUP(L1441,'Reference Data'!$A$5:$F$40,6,FALSE),0)</x:f>
        <x:v>5</x:v>
      </x:c>
      <x:c r="R1441" s="84" t="n">
        <x:f>'Raw Sales'!J1441</x:f>
        <x:v>1</x:v>
      </x:c>
      <x:c r="S1441" s="87" t="n">
        <x:f>'Raw Sales'!K1441</x:f>
        <x:v>0</x:v>
      </x:c>
      <x:c r="T1441" s="93" t="n">
        <x:f>P1441*R1441</x:f>
        <x:v>24</x:v>
      </x:c>
      <x:c r="U1441" s="93" t="n">
        <x:f>T1441*S1441</x:f>
        <x:v>0</x:v>
      </x:c>
      <x:c r="V1441" s="93" t="str">
        <x:f>PROPER(TRIM('Raw Sales'!L1441))</x:f>
        <x:v>Completed</x:v>
      </x:c>
      <x:c r="W1441" s="93" t="n">
        <x:f>IF(V1441="Returned",0,T1441-U1441)</x:f>
        <x:v>24</x:v>
      </x:c>
      <x:c r="X1441" s="93" t="n">
        <x:f>IF(V1441="Returned",Q1441*R1441*10%,Q1441*R1441)</x:f>
        <x:v>5</x:v>
      </x:c>
      <x:c r="Y1441" s="93" t="n">
        <x:f>W1441-X1441</x:f>
        <x:v>19</x:v>
      </x:c>
      <x:c r="Z1441" s="94" t="n">
        <x:f>IFERROR(Y1441/W1441,0)</x:f>
        <x:v>0.7916666666666666</x:v>
      </x:c>
      <x:c r="AA1441" s="84" t="str">
        <x:f>PROPER(TRIM('Raw Sales'!M1441))</x:f>
        <x:v>Debit Card</x:v>
      </x:c>
      <x:c r="AB1441" s="84" t="str">
        <x:f>PROPER(TRIM('Raw Sales'!N1441))</x:f>
        <x:v>Liam Parker</x:v>
      </x:c>
      <x:c r="AC1441" s="85" t="n">
        <x:f>'Raw Sales'!O1441</x:f>
        <x:v>45771</x:v>
      </x:c>
      <x:c r="AD1441" s="84" t="n">
        <x:f>AC1441-B1441</x:f>
        <x:v>2</x:v>
      </x:c>
      <x:c r="AE1441" s="84" t="str">
        <x:f>IF(COUNTIF($A$5:A1441,A1441)&gt;1,"Duplicate","Keep")</x:f>
        <x:v>Keep</x:v>
      </x:c>
      <x:c r="AF1441" s="84" t="str">
        <x:f>IF(OR(R1441&lt;=0,AC1441&lt;B1441,H1441="Unknown",M1441="Unknown Product"),"Review","Valid")</x:f>
        <x:v>Valid</x:v>
      </x:c>
      <x:c r="AG1441" s="84" t="n">
        <x:f>IF(AND(AE1441="Keep",AF1441="Valid"),1,0)</x:f>
        <x:v>1</x:v>
      </x:c>
      <x:c r="AH1441" s="84" t="n">
        <x:f>IF(AND(AG1441=1,OR('Dashboard'!$B$4="All",I1441='Dashboard'!$B$4),OR('Dashboard'!$E$4="All",N1441='Dashboard'!$E$4),OR('Dashboard'!$H$4="All",K1441='Dashboard'!$H$4),OR('Dashboard'!$K$4="All",C1441='Dashboard'!$K$4)),1,0)</x:f>
        <x:v>1</x:v>
      </x:c>
      <x:c r="AI1441" s="84" t="n">
        <x:f>IF(AND(AG1441=1,OR('Dashboard'!$B$4="All",I1441='Dashboard'!$B$4),OR('Dashboard'!$E$4="All",N1441='Dashboard'!$E$4),OR('Dashboard'!$H$4="All",K1441='Dashboard'!$H$4)),1,0)</x:f>
        <x:v>1</x:v>
      </x:c>
    </x:row>
    <x:row r="1442">
      <x:c r="A1442" s="84" t="str">
        <x:f>'Raw Sales'!A1442</x:f>
        <x:v>ORD-2025-00583</x:v>
      </x:c>
      <x:c r="B1442" s="85" t="n">
        <x:f>'Raw Sales'!B1442</x:f>
        <x:v>45770</x:v>
      </x:c>
      <x:c r="C1442" s="84" t="n">
        <x:f>YEAR(B1442)</x:f>
        <x:v>2025</x:v>
      </x:c>
      <x:c r="D1442" s="91" t="n">
        <x:f>DATE(YEAR(B1442),MONTH(B1442),1)</x:f>
        <x:v>45748</x:v>
      </x:c>
      <x:c r="E1442" s="84" t="str">
        <x:f>TEXT(B1442,"mmm")</x:f>
        <x:v>Apr</x:v>
      </x:c>
      <x:c r="F1442" s="84" t="str">
        <x:f>'Raw Sales'!C1442</x:f>
        <x:v>CUST-0518</x:v>
      </x:c>
      <x:c r="G1442" s="84" t="str">
        <x:f>PROPER(TRIM('Raw Sales'!D1442))</x:f>
        <x:v>Victoria Hall</x:v>
      </x:c>
      <x:c r="H1442" s="84" t="str">
        <x:f>IF(TRIM('Raw Sales'!E1442)="","Unknown",PROPER(TRIM('Raw Sales'!E1442)))</x:f>
        <x:v>Consumer</x:v>
      </x:c>
      <x:c r="I1442" s="84" t="str">
        <x:f>PROPER(TRIM('Raw Sales'!F1442))</x:f>
        <x:v>Midwest</x:v>
      </x:c>
      <x:c r="J1442" s="84" t="str">
        <x:f>PROPER(TRIM('Raw Sales'!G1442))</x:f>
        <x:v>Chicago</x:v>
      </x:c>
      <x:c r="K1442" s="84" t="str">
        <x:f>PROPER(TRIM('Raw Sales'!H1442))</x:f>
        <x:v>Retail Store</x:v>
      </x:c>
      <x:c r="L1442" s="84" t="str">
        <x:f>'Raw Sales'!I1442</x:f>
        <x:v>ELEC-002</x:v>
      </x:c>
      <x:c r="M1442" s="84" t="str">
        <x:f>IFERROR(VLOOKUP(L1442,'Reference Data'!$A$5:$F$40,2,FALSE),"Unknown Product")</x:f>
        <x:v>Smartwatch</x:v>
      </x:c>
      <x:c r="N1442" s="84" t="str">
        <x:f>IFERROR(VLOOKUP(L1442,'Reference Data'!$A$5:$F$40,3,FALSE),"Unknown")</x:f>
        <x:v>Electronics</x:v>
      </x:c>
      <x:c r="O1442" s="84" t="str">
        <x:f>IFERROR(VLOOKUP(L1442,'Reference Data'!$A$5:$F$40,4,FALSE),"Unknown")</x:f>
        <x:v>Wearables</x:v>
      </x:c>
      <x:c r="P1442" s="92" t="n">
        <x:f>IFERROR(VLOOKUP(L1442,'Reference Data'!$A$5:$F$40,5,FALSE),0)</x:f>
        <x:v>159</x:v>
      </x:c>
      <x:c r="Q1442" s="92" t="n">
        <x:f>IFERROR(VLOOKUP(L1442,'Reference Data'!$A$5:$F$40,6,FALSE),0)</x:f>
        <x:v>92</x:v>
      </x:c>
      <x:c r="R1442" s="84" t="n">
        <x:f>'Raw Sales'!J1442</x:f>
        <x:v>1</x:v>
      </x:c>
      <x:c r="S1442" s="87" t="n">
        <x:f>'Raw Sales'!K1442</x:f>
        <x:v>0.1</x:v>
      </x:c>
      <x:c r="T1442" s="93" t="n">
        <x:f>P1442*R1442</x:f>
        <x:v>159</x:v>
      </x:c>
      <x:c r="U1442" s="93" t="n">
        <x:f>T1442*S1442</x:f>
        <x:v>15.9</x:v>
      </x:c>
      <x:c r="V1442" s="93" t="str">
        <x:f>PROPER(TRIM('Raw Sales'!L1442))</x:f>
        <x:v>Completed</x:v>
      </x:c>
      <x:c r="W1442" s="93" t="n">
        <x:f>IF(V1442="Returned",0,T1442-U1442)</x:f>
        <x:v>143.1</x:v>
      </x:c>
      <x:c r="X1442" s="93" t="n">
        <x:f>IF(V1442="Returned",Q1442*R1442*10%,Q1442*R1442)</x:f>
        <x:v>92</x:v>
      </x:c>
      <x:c r="Y1442" s="93" t="n">
        <x:f>W1442-X1442</x:f>
        <x:v>51.099999999999994</x:v>
      </x:c>
      <x:c r="Z1442" s="94" t="n">
        <x:f>IFERROR(Y1442/W1442,0)</x:f>
        <x:v>0.35709294199860236</x:v>
      </x:c>
      <x:c r="AA1442" s="84" t="str">
        <x:f>PROPER(TRIM('Raw Sales'!M1442))</x:f>
        <x:v>Debit Card</x:v>
      </x:c>
      <x:c r="AB1442" s="84" t="str">
        <x:f>PROPER(TRIM('Raw Sales'!N1442))</x:f>
        <x:v>Zoe Turner</x:v>
      </x:c>
      <x:c r="AC1442" s="85" t="n">
        <x:f>'Raw Sales'!O1442</x:f>
        <x:v>45770</x:v>
      </x:c>
      <x:c r="AD1442" s="84" t="n">
        <x:f>AC1442-B1442</x:f>
        <x:v>0</x:v>
      </x:c>
      <x:c r="AE1442" s="84" t="str">
        <x:f>IF(COUNTIF($A$5:A1442,A1442)&gt;1,"Duplicate","Keep")</x:f>
        <x:v>Keep</x:v>
      </x:c>
      <x:c r="AF1442" s="84" t="str">
        <x:f>IF(OR(R1442&lt;=0,AC1442&lt;B1442,H1442="Unknown",M1442="Unknown Product"),"Review","Valid")</x:f>
        <x:v>Valid</x:v>
      </x:c>
      <x:c r="AG1442" s="84" t="n">
        <x:f>IF(AND(AE1442="Keep",AF1442="Valid"),1,0)</x:f>
        <x:v>1</x:v>
      </x:c>
      <x:c r="AH1442" s="84" t="n">
        <x:f>IF(AND(AG1442=1,OR('Dashboard'!$B$4="All",I1442='Dashboard'!$B$4),OR('Dashboard'!$E$4="All",N1442='Dashboard'!$E$4),OR('Dashboard'!$H$4="All",K1442='Dashboard'!$H$4),OR('Dashboard'!$K$4="All",C1442='Dashboard'!$K$4)),1,0)</x:f>
        <x:v>1</x:v>
      </x:c>
      <x:c r="AI1442" s="84" t="n">
        <x:f>IF(AND(AG1442=1,OR('Dashboard'!$B$4="All",I1442='Dashboard'!$B$4),OR('Dashboard'!$E$4="All",N1442='Dashboard'!$E$4),OR('Dashboard'!$H$4="All",K1442='Dashboard'!$H$4)),1,0)</x:f>
        <x:v>1</x:v>
      </x:c>
    </x:row>
    <x:row r="1443">
      <x:c r="A1443" s="84" t="str">
        <x:f>'Raw Sales'!A1443</x:f>
        <x:v>ORD-2025-02054</x:v>
      </x:c>
      <x:c r="B1443" s="85" t="n">
        <x:f>'Raw Sales'!B1443</x:f>
        <x:v>45770</x:v>
      </x:c>
      <x:c r="C1443" s="84" t="n">
        <x:f>YEAR(B1443)</x:f>
        <x:v>2025</x:v>
      </x:c>
      <x:c r="D1443" s="91" t="n">
        <x:f>DATE(YEAR(B1443),MONTH(B1443),1)</x:f>
        <x:v>45748</x:v>
      </x:c>
      <x:c r="E1443" s="84" t="str">
        <x:f>TEXT(B1443,"mmm")</x:f>
        <x:v>Apr</x:v>
      </x:c>
      <x:c r="F1443" s="84" t="str">
        <x:f>'Raw Sales'!C1443</x:f>
        <x:v>CUST-0430</x:v>
      </x:c>
      <x:c r="G1443" s="84" t="str">
        <x:f>PROPER(TRIM('Raw Sales'!D1443))</x:f>
        <x:v>William Adams</x:v>
      </x:c>
      <x:c r="H1443" s="84" t="str">
        <x:f>IF(TRIM('Raw Sales'!E1443)="","Unknown",PROPER(TRIM('Raw Sales'!E1443)))</x:f>
        <x:v>Small Business</x:v>
      </x:c>
      <x:c r="I1443" s="84" t="str">
        <x:f>PROPER(TRIM('Raw Sales'!F1443))</x:f>
        <x:v>West</x:v>
      </x:c>
      <x:c r="J1443" s="84" t="str">
        <x:f>PROPER(TRIM('Raw Sales'!G1443))</x:f>
        <x:v>Los Angeles</x:v>
      </x:c>
      <x:c r="K1443" s="84" t="str">
        <x:f>PROPER(TRIM('Raw Sales'!H1443))</x:f>
        <x:v>Online</x:v>
      </x:c>
      <x:c r="L1443" s="84" t="str">
        <x:f>'Raw Sales'!I1443</x:f>
        <x:v>ELEC-005</x:v>
      </x:c>
      <x:c r="M1443" s="84" t="str">
        <x:f>IFERROR(VLOOKUP(L1443,'Reference Data'!$A$5:$F$40,2,FALSE),"Unknown Product")</x:f>
        <x:v>HD Webcam</x:v>
      </x:c>
      <x:c r="N1443" s="84" t="str">
        <x:f>IFERROR(VLOOKUP(L1443,'Reference Data'!$A$5:$F$40,3,FALSE),"Unknown")</x:f>
        <x:v>Electronics</x:v>
      </x:c>
      <x:c r="O1443" s="84" t="str">
        <x:f>IFERROR(VLOOKUP(L1443,'Reference Data'!$A$5:$F$40,4,FALSE),"Unknown")</x:f>
        <x:v>Computer Accessories</x:v>
      </x:c>
      <x:c r="P1443" s="92" t="n">
        <x:f>IFERROR(VLOOKUP(L1443,'Reference Data'!$A$5:$F$40,5,FALSE),0)</x:f>
        <x:v>79</x:v>
      </x:c>
      <x:c r="Q1443" s="92" t="n">
        <x:f>IFERROR(VLOOKUP(L1443,'Reference Data'!$A$5:$F$40,6,FALSE),0)</x:f>
        <x:v>37</x:v>
      </x:c>
      <x:c r="R1443" s="84" t="n">
        <x:f>'Raw Sales'!J1443</x:f>
        <x:v>1</x:v>
      </x:c>
      <x:c r="S1443" s="87" t="n">
        <x:f>'Raw Sales'!K1443</x:f>
        <x:v>0.15</x:v>
      </x:c>
      <x:c r="T1443" s="93" t="n">
        <x:f>P1443*R1443</x:f>
        <x:v>79</x:v>
      </x:c>
      <x:c r="U1443" s="93" t="n">
        <x:f>T1443*S1443</x:f>
        <x:v>11.85</x:v>
      </x:c>
      <x:c r="V1443" s="93" t="str">
        <x:f>PROPER(TRIM('Raw Sales'!L1443))</x:f>
        <x:v>Completed</x:v>
      </x:c>
      <x:c r="W1443" s="93" t="n">
        <x:f>IF(V1443="Returned",0,T1443-U1443)</x:f>
        <x:v>67.15</x:v>
      </x:c>
      <x:c r="X1443" s="93" t="n">
        <x:f>IF(V1443="Returned",Q1443*R1443*10%,Q1443*R1443)</x:f>
        <x:v>37</x:v>
      </x:c>
      <x:c r="Y1443" s="93" t="n">
        <x:f>W1443-X1443</x:f>
        <x:v>30.150000000000006</x:v>
      </x:c>
      <x:c r="Z1443" s="94" t="n">
        <x:f>IFERROR(Y1443/W1443,0)</x:f>
        <x:v>0.4489947877885332</x:v>
      </x:c>
      <x:c r="AA1443" s="84" t="str">
        <x:f>PROPER(TRIM('Raw Sales'!M1443))</x:f>
        <x:v>Credit Card</x:v>
      </x:c>
      <x:c r="AB1443" s="84" t="str">
        <x:f>PROPER(TRIM('Raw Sales'!N1443))</x:f>
        <x:v>Nora Kim</x:v>
      </x:c>
      <x:c r="AC1443" s="85" t="n">
        <x:f>'Raw Sales'!O1443</x:f>
        <x:v>45774</x:v>
      </x:c>
      <x:c r="AD1443" s="84" t="n">
        <x:f>AC1443-B1443</x:f>
        <x:v>4</x:v>
      </x:c>
      <x:c r="AE1443" s="84" t="str">
        <x:f>IF(COUNTIF($A$5:A1443,A1443)&gt;1,"Duplicate","Keep")</x:f>
        <x:v>Keep</x:v>
      </x:c>
      <x:c r="AF1443" s="84" t="str">
        <x:f>IF(OR(R1443&lt;=0,AC1443&lt;B1443,H1443="Unknown",M1443="Unknown Product"),"Review","Valid")</x:f>
        <x:v>Valid</x:v>
      </x:c>
      <x:c r="AG1443" s="84" t="n">
        <x:f>IF(AND(AE1443="Keep",AF1443="Valid"),1,0)</x:f>
        <x:v>1</x:v>
      </x:c>
      <x:c r="AH1443" s="84" t="n">
        <x:f>IF(AND(AG1443=1,OR('Dashboard'!$B$4="All",I1443='Dashboard'!$B$4),OR('Dashboard'!$E$4="All",N1443='Dashboard'!$E$4),OR('Dashboard'!$H$4="All",K1443='Dashboard'!$H$4),OR('Dashboard'!$K$4="All",C1443='Dashboard'!$K$4)),1,0)</x:f>
        <x:v>1</x:v>
      </x:c>
      <x:c r="AI1443" s="84" t="n">
        <x:f>IF(AND(AG1443=1,OR('Dashboard'!$B$4="All",I1443='Dashboard'!$B$4),OR('Dashboard'!$E$4="All",N1443='Dashboard'!$E$4),OR('Dashboard'!$H$4="All",K1443='Dashboard'!$H$4)),1,0)</x:f>
        <x:v>1</x:v>
      </x:c>
    </x:row>
    <x:row r="1444">
      <x:c r="A1444" s="84" t="str">
        <x:f>'Raw Sales'!A1444</x:f>
        <x:v>ORD-2025-00636</x:v>
      </x:c>
      <x:c r="B1444" s="85" t="n">
        <x:f>'Raw Sales'!B1444</x:f>
        <x:v>45771</x:v>
      </x:c>
      <x:c r="C1444" s="84" t="n">
        <x:f>YEAR(B1444)</x:f>
        <x:v>2025</x:v>
      </x:c>
      <x:c r="D1444" s="91" t="n">
        <x:f>DATE(YEAR(B1444),MONTH(B1444),1)</x:f>
        <x:v>45748</x:v>
      </x:c>
      <x:c r="E1444" s="84" t="str">
        <x:f>TEXT(B1444,"mmm")</x:f>
        <x:v>Apr</x:v>
      </x:c>
      <x:c r="F1444" s="84" t="str">
        <x:f>'Raw Sales'!C1444</x:f>
        <x:v>CUST-0054</x:v>
      </x:c>
      <x:c r="G1444" s="84" t="str">
        <x:f>PROPER(TRIM('Raw Sales'!D1444))</x:f>
        <x:v>Priya Roberts</x:v>
      </x:c>
      <x:c r="H1444" s="84" t="str">
        <x:f>IF(TRIM('Raw Sales'!E1444)="","Unknown",PROPER(TRIM('Raw Sales'!E1444)))</x:f>
        <x:v>Consumer</x:v>
      </x:c>
      <x:c r="I1444" s="84" t="str">
        <x:f>PROPER(TRIM('Raw Sales'!F1444))</x:f>
        <x:v>West</x:v>
      </x:c>
      <x:c r="J1444" s="84" t="str">
        <x:f>PROPER(TRIM('Raw Sales'!G1444))</x:f>
        <x:v>Phoenix</x:v>
      </x:c>
      <x:c r="K1444" s="84" t="str">
        <x:f>PROPER(TRIM('Raw Sales'!H1444))</x:f>
        <x:v>Online</x:v>
      </x:c>
      <x:c r="L1444" s="84" t="str">
        <x:f>'Raw Sales'!I1444</x:f>
        <x:v>CARE-003</x:v>
      </x:c>
      <x:c r="M1444" s="84" t="str">
        <x:f>IFERROR(VLOOKUP(L1444,'Reference Data'!$A$5:$F$40,2,FALSE),"Unknown Product")</x:f>
        <x:v>Facial Cleanser</x:v>
      </x:c>
      <x:c r="N1444" s="84" t="str">
        <x:f>IFERROR(VLOOKUP(L1444,'Reference Data'!$A$5:$F$40,3,FALSE),"Unknown")</x:f>
        <x:v>Personal Care</x:v>
      </x:c>
      <x:c r="O1444" s="84" t="str">
        <x:f>IFERROR(VLOOKUP(L1444,'Reference Data'!$A$5:$F$40,4,FALSE),"Unknown")</x:f>
        <x:v>Skin Care</x:v>
      </x:c>
      <x:c r="P1444" s="92" t="n">
        <x:f>IFERROR(VLOOKUP(L1444,'Reference Data'!$A$5:$F$40,5,FALSE),0)</x:f>
        <x:v>18</x:v>
      </x:c>
      <x:c r="Q1444" s="92" t="n">
        <x:f>IFERROR(VLOOKUP(L1444,'Reference Data'!$A$5:$F$40,6,FALSE),0)</x:f>
        <x:v>6</x:v>
      </x:c>
      <x:c r="R1444" s="84" t="n">
        <x:f>'Raw Sales'!J1444</x:f>
        <x:v>1</x:v>
      </x:c>
      <x:c r="S1444" s="87" t="n">
        <x:f>'Raw Sales'!K1444</x:f>
        <x:v>0</x:v>
      </x:c>
      <x:c r="T1444" s="93" t="n">
        <x:f>P1444*R1444</x:f>
        <x:v>18</x:v>
      </x:c>
      <x:c r="U1444" s="93" t="n">
        <x:f>T1444*S1444</x:f>
        <x:v>0</x:v>
      </x:c>
      <x:c r="V1444" s="93" t="str">
        <x:f>PROPER(TRIM('Raw Sales'!L1444))</x:f>
        <x:v>Completed</x:v>
      </x:c>
      <x:c r="W1444" s="93" t="n">
        <x:f>IF(V1444="Returned",0,T1444-U1444)</x:f>
        <x:v>18</x:v>
      </x:c>
      <x:c r="X1444" s="93" t="n">
        <x:f>IF(V1444="Returned",Q1444*R1444*10%,Q1444*R1444)</x:f>
        <x:v>6</x:v>
      </x:c>
      <x:c r="Y1444" s="93" t="n">
        <x:f>W1444-X1444</x:f>
        <x:v>12</x:v>
      </x:c>
      <x:c r="Z1444" s="94" t="n">
        <x:f>IFERROR(Y1444/W1444,0)</x:f>
        <x:v>0.6666666666666666</x:v>
      </x:c>
      <x:c r="AA1444" s="84" t="str">
        <x:f>PROPER(TRIM('Raw Sales'!M1444))</x:f>
        <x:v>Credit Card</x:v>
      </x:c>
      <x:c r="AB1444" s="84" t="str">
        <x:f>PROPER(TRIM('Raw Sales'!N1444))</x:f>
        <x:v>Mia Chen</x:v>
      </x:c>
      <x:c r="AC1444" s="85" t="n">
        <x:f>'Raw Sales'!O1444</x:f>
        <x:v>45776</x:v>
      </x:c>
      <x:c r="AD1444" s="84" t="n">
        <x:f>AC1444-B1444</x:f>
        <x:v>5</x:v>
      </x:c>
      <x:c r="AE1444" s="84" t="str">
        <x:f>IF(COUNTIF($A$5:A1444,A1444)&gt;1,"Duplicate","Keep")</x:f>
        <x:v>Keep</x:v>
      </x:c>
      <x:c r="AF1444" s="84" t="str">
        <x:f>IF(OR(R1444&lt;=0,AC1444&lt;B1444,H1444="Unknown",M1444="Unknown Product"),"Review","Valid")</x:f>
        <x:v>Valid</x:v>
      </x:c>
      <x:c r="AG1444" s="84" t="n">
        <x:f>IF(AND(AE1444="Keep",AF1444="Valid"),1,0)</x:f>
        <x:v>1</x:v>
      </x:c>
      <x:c r="AH1444" s="84" t="n">
        <x:f>IF(AND(AG1444=1,OR('Dashboard'!$B$4="All",I1444='Dashboard'!$B$4),OR('Dashboard'!$E$4="All",N1444='Dashboard'!$E$4),OR('Dashboard'!$H$4="All",K1444='Dashboard'!$H$4),OR('Dashboard'!$K$4="All",C1444='Dashboard'!$K$4)),1,0)</x:f>
        <x:v>1</x:v>
      </x:c>
      <x:c r="AI1444" s="84" t="n">
        <x:f>IF(AND(AG1444=1,OR('Dashboard'!$B$4="All",I1444='Dashboard'!$B$4),OR('Dashboard'!$E$4="All",N1444='Dashboard'!$E$4),OR('Dashboard'!$H$4="All",K1444='Dashboard'!$H$4)),1,0)</x:f>
        <x:v>1</x:v>
      </x:c>
    </x:row>
    <x:row r="1445">
      <x:c r="A1445" s="84" t="str">
        <x:f>'Raw Sales'!A1445</x:f>
        <x:v>ORD-2025-00905</x:v>
      </x:c>
      <x:c r="B1445" s="85" t="n">
        <x:f>'Raw Sales'!B1445</x:f>
        <x:v>45771</x:v>
      </x:c>
      <x:c r="C1445" s="84" t="n">
        <x:f>YEAR(B1445)</x:f>
        <x:v>2025</x:v>
      </x:c>
      <x:c r="D1445" s="91" t="n">
        <x:f>DATE(YEAR(B1445),MONTH(B1445),1)</x:f>
        <x:v>45748</x:v>
      </x:c>
      <x:c r="E1445" s="84" t="str">
        <x:f>TEXT(B1445,"mmm")</x:f>
        <x:v>Apr</x:v>
      </x:c>
      <x:c r="F1445" s="84" t="str">
        <x:f>'Raw Sales'!C1445</x:f>
        <x:v>CUST-0026</x:v>
      </x:c>
      <x:c r="G1445" s="84" t="str">
        <x:f>PROPER(TRIM('Raw Sales'!D1445))</x:f>
        <x:v>Nina Roberts</x:v>
      </x:c>
      <x:c r="H1445" s="84" t="str">
        <x:f>IF(TRIM('Raw Sales'!E1445)="","Unknown",PROPER(TRIM('Raw Sales'!E1445)))</x:f>
        <x:v>Small Business</x:v>
      </x:c>
      <x:c r="I1445" s="84" t="str">
        <x:f>PROPER(TRIM('Raw Sales'!F1445))</x:f>
        <x:v>West</x:v>
      </x:c>
      <x:c r="J1445" s="84" t="str">
        <x:f>PROPER(TRIM('Raw Sales'!G1445))</x:f>
        <x:v>Denver</x:v>
      </x:c>
      <x:c r="K1445" s="84" t="str">
        <x:f>PROPER(TRIM('Raw Sales'!H1445))</x:f>
        <x:v>Retail Store</x:v>
      </x:c>
      <x:c r="L1445" s="84" t="str">
        <x:f>'Raw Sales'!I1445</x:f>
        <x:v>CARE-002</x:v>
      </x:c>
      <x:c r="M1445" s="84" t="str">
        <x:f>IFERROR(VLOOKUP(L1445,'Reference Data'!$A$5:$F$40,2,FALSE),"Unknown Product")</x:f>
        <x:v>Rechargeable Trimmer</x:v>
      </x:c>
      <x:c r="N1445" s="84" t="str">
        <x:f>IFERROR(VLOOKUP(L1445,'Reference Data'!$A$5:$F$40,3,FALSE),"Unknown")</x:f>
        <x:v>Personal Care</x:v>
      </x:c>
      <x:c r="O1445" s="84" t="str">
        <x:f>IFERROR(VLOOKUP(L1445,'Reference Data'!$A$5:$F$40,4,FALSE),"Unknown")</x:f>
        <x:v>Grooming</x:v>
      </x:c>
      <x:c r="P1445" s="92" t="n">
        <x:f>IFERROR(VLOOKUP(L1445,'Reference Data'!$A$5:$F$40,5,FALSE),0)</x:f>
        <x:v>45</x:v>
      </x:c>
      <x:c r="Q1445" s="92" t="n">
        <x:f>IFERROR(VLOOKUP(L1445,'Reference Data'!$A$5:$F$40,6,FALSE),0)</x:f>
        <x:v>19</x:v>
      </x:c>
      <x:c r="R1445" s="84" t="n">
        <x:f>'Raw Sales'!J1445</x:f>
        <x:v>1</x:v>
      </x:c>
      <x:c r="S1445" s="87" t="n">
        <x:f>'Raw Sales'!K1445</x:f>
        <x:v>0.1</x:v>
      </x:c>
      <x:c r="T1445" s="93" t="n">
        <x:f>P1445*R1445</x:f>
        <x:v>45</x:v>
      </x:c>
      <x:c r="U1445" s="93" t="n">
        <x:f>T1445*S1445</x:f>
        <x:v>4.5</x:v>
      </x:c>
      <x:c r="V1445" s="93" t="str">
        <x:f>PROPER(TRIM('Raw Sales'!L1445))</x:f>
        <x:v>Completed</x:v>
      </x:c>
      <x:c r="W1445" s="93" t="n">
        <x:f>IF(V1445="Returned",0,T1445-U1445)</x:f>
        <x:v>40.5</x:v>
      </x:c>
      <x:c r="X1445" s="93" t="n">
        <x:f>IF(V1445="Returned",Q1445*R1445*10%,Q1445*R1445)</x:f>
        <x:v>19</x:v>
      </x:c>
      <x:c r="Y1445" s="93" t="n">
        <x:f>W1445-X1445</x:f>
        <x:v>21.5</x:v>
      </x:c>
      <x:c r="Z1445" s="94" t="n">
        <x:f>IFERROR(Y1445/W1445,0)</x:f>
        <x:v>0.5308641975308642</x:v>
      </x:c>
      <x:c r="AA1445" s="84" t="str">
        <x:f>PROPER(TRIM('Raw Sales'!M1445))</x:f>
        <x:v>Credit Card</x:v>
      </x:c>
      <x:c r="AB1445" s="84" t="str">
        <x:f>PROPER(TRIM('Raw Sales'!N1445))</x:f>
        <x:v>Mia Chen</x:v>
      </x:c>
      <x:c r="AC1445" s="85" t="n">
        <x:f>'Raw Sales'!O1445</x:f>
        <x:v>45771</x:v>
      </x:c>
      <x:c r="AD1445" s="84" t="n">
        <x:f>AC1445-B1445</x:f>
        <x:v>0</x:v>
      </x:c>
      <x:c r="AE1445" s="84" t="str">
        <x:f>IF(COUNTIF($A$5:A1445,A1445)&gt;1,"Duplicate","Keep")</x:f>
        <x:v>Keep</x:v>
      </x:c>
      <x:c r="AF1445" s="84" t="str">
        <x:f>IF(OR(R1445&lt;=0,AC1445&lt;B1445,H1445="Unknown",M1445="Unknown Product"),"Review","Valid")</x:f>
        <x:v>Valid</x:v>
      </x:c>
      <x:c r="AG1445" s="84" t="n">
        <x:f>IF(AND(AE1445="Keep",AF1445="Valid"),1,0)</x:f>
        <x:v>1</x:v>
      </x:c>
      <x:c r="AH1445" s="84" t="n">
        <x:f>IF(AND(AG1445=1,OR('Dashboard'!$B$4="All",I1445='Dashboard'!$B$4),OR('Dashboard'!$E$4="All",N1445='Dashboard'!$E$4),OR('Dashboard'!$H$4="All",K1445='Dashboard'!$H$4),OR('Dashboard'!$K$4="All",C1445='Dashboard'!$K$4)),1,0)</x:f>
        <x:v>1</x:v>
      </x:c>
      <x:c r="AI1445" s="84" t="n">
        <x:f>IF(AND(AG1445=1,OR('Dashboard'!$B$4="All",I1445='Dashboard'!$B$4),OR('Dashboard'!$E$4="All",N1445='Dashboard'!$E$4),OR('Dashboard'!$H$4="All",K1445='Dashboard'!$H$4)),1,0)</x:f>
        <x:v>1</x:v>
      </x:c>
    </x:row>
    <x:row r="1446">
      <x:c r="A1446" s="84" t="str">
        <x:f>'Raw Sales'!A1446</x:f>
        <x:v>ORD-2025-02304</x:v>
      </x:c>
      <x:c r="B1446" s="85" t="n">
        <x:f>'Raw Sales'!B1446</x:f>
        <x:v>45771</x:v>
      </x:c>
      <x:c r="C1446" s="84" t="n">
        <x:f>YEAR(B1446)</x:f>
        <x:v>2025</x:v>
      </x:c>
      <x:c r="D1446" s="91" t="n">
        <x:f>DATE(YEAR(B1446),MONTH(B1446),1)</x:f>
        <x:v>45748</x:v>
      </x:c>
      <x:c r="E1446" s="84" t="str">
        <x:f>TEXT(B1446,"mmm")</x:f>
        <x:v>Apr</x:v>
      </x:c>
      <x:c r="F1446" s="84" t="str">
        <x:f>'Raw Sales'!C1446</x:f>
        <x:v>CUST-0059</x:v>
      </x:c>
      <x:c r="G1446" s="84" t="str">
        <x:f>PROPER(TRIM('Raw Sales'!D1446))</x:f>
        <x:v>Samuel Lewis</x:v>
      </x:c>
      <x:c r="H1446" s="84" t="str">
        <x:f>IF(TRIM('Raw Sales'!E1446)="","Unknown",PROPER(TRIM('Raw Sales'!E1446)))</x:f>
        <x:v>Consumer</x:v>
      </x:c>
      <x:c r="I1446" s="84" t="str">
        <x:f>PROPER(TRIM('Raw Sales'!F1446))</x:f>
        <x:v>Midwest</x:v>
      </x:c>
      <x:c r="J1446" s="84" t="str">
        <x:f>PROPER(TRIM('Raw Sales'!G1446))</x:f>
        <x:v>Minneapolis</x:v>
      </x:c>
      <x:c r="K1446" s="84" t="str">
        <x:f>PROPER(TRIM('Raw Sales'!H1446))</x:f>
        <x:v>Online</x:v>
      </x:c>
      <x:c r="L1446" s="84" t="str">
        <x:f>'Raw Sales'!I1446</x:f>
        <x:v>HOME-006</x:v>
      </x:c>
      <x:c r="M1446" s="84" t="str">
        <x:f>IFERROR(VLOOKUP(L1446,'Reference Data'!$A$5:$F$40,2,FALSE),"Unknown Product")</x:f>
        <x:v>Food Storage Set</x:v>
      </x:c>
      <x:c r="N1446" s="84" t="str">
        <x:f>IFERROR(VLOOKUP(L1446,'Reference Data'!$A$5:$F$40,3,FALSE),"Unknown")</x:f>
        <x:v>Home &amp; Kitchen</x:v>
      </x:c>
      <x:c r="O1446" s="84" t="str">
        <x:f>IFERROR(VLOOKUP(L1446,'Reference Data'!$A$5:$F$40,4,FALSE),"Unknown")</x:f>
        <x:v>Kitchenware</x:v>
      </x:c>
      <x:c r="P1446" s="92" t="n">
        <x:f>IFERROR(VLOOKUP(L1446,'Reference Data'!$A$5:$F$40,5,FALSE),0)</x:f>
        <x:v>34</x:v>
      </x:c>
      <x:c r="Q1446" s="92" t="n">
        <x:f>IFERROR(VLOOKUP(L1446,'Reference Data'!$A$5:$F$40,6,FALSE),0)</x:f>
        <x:v>15</x:v>
      </x:c>
      <x:c r="R1446" s="84" t="n">
        <x:f>'Raw Sales'!J1446</x:f>
        <x:v>1</x:v>
      </x:c>
      <x:c r="S1446" s="87" t="n">
        <x:f>'Raw Sales'!K1446</x:f>
        <x:v>0.05</x:v>
      </x:c>
      <x:c r="T1446" s="93" t="n">
        <x:f>P1446*R1446</x:f>
        <x:v>34</x:v>
      </x:c>
      <x:c r="U1446" s="93" t="n">
        <x:f>T1446*S1446</x:f>
        <x:v>1.7000000000000002</x:v>
      </x:c>
      <x:c r="V1446" s="93" t="str">
        <x:f>PROPER(TRIM('Raw Sales'!L1446))</x:f>
        <x:v>Completed</x:v>
      </x:c>
      <x:c r="W1446" s="93" t="n">
        <x:f>IF(V1446="Returned",0,T1446-U1446)</x:f>
        <x:v>32.3</x:v>
      </x:c>
      <x:c r="X1446" s="93" t="n">
        <x:f>IF(V1446="Returned",Q1446*R1446*10%,Q1446*R1446)</x:f>
        <x:v>15</x:v>
      </x:c>
      <x:c r="Y1446" s="93" t="n">
        <x:f>W1446-X1446</x:f>
        <x:v>17.299999999999997</x:v>
      </x:c>
      <x:c r="Z1446" s="94" t="n">
        <x:f>IFERROR(Y1446/W1446,0)</x:f>
        <x:v>0.5356037151702786</x:v>
      </x:c>
      <x:c r="AA1446" s="84" t="str">
        <x:f>PROPER(TRIM('Raw Sales'!M1446))</x:f>
        <x:v>Mobile Wallet</x:v>
      </x:c>
      <x:c r="AB1446" s="84" t="str">
        <x:f>PROPER(TRIM('Raw Sales'!N1446))</x:f>
        <x:v>Zoe Turner</x:v>
      </x:c>
      <x:c r="AC1446" s="85" t="n">
        <x:f>'Raw Sales'!O1446</x:f>
        <x:v>45774</x:v>
      </x:c>
      <x:c r="AD1446" s="84" t="n">
        <x:f>AC1446-B1446</x:f>
        <x:v>3</x:v>
      </x:c>
      <x:c r="AE1446" s="84" t="str">
        <x:f>IF(COUNTIF($A$5:A1446,A1446)&gt;1,"Duplicate","Keep")</x:f>
        <x:v>Keep</x:v>
      </x:c>
      <x:c r="AF1446" s="84" t="str">
        <x:f>IF(OR(R1446&lt;=0,AC1446&lt;B1446,H1446="Unknown",M1446="Unknown Product"),"Review","Valid")</x:f>
        <x:v>Valid</x:v>
      </x:c>
      <x:c r="AG1446" s="84" t="n">
        <x:f>IF(AND(AE1446="Keep",AF1446="Valid"),1,0)</x:f>
        <x:v>1</x:v>
      </x:c>
      <x:c r="AH1446" s="84" t="n">
        <x:f>IF(AND(AG1446=1,OR('Dashboard'!$B$4="All",I1446='Dashboard'!$B$4),OR('Dashboard'!$E$4="All",N1446='Dashboard'!$E$4),OR('Dashboard'!$H$4="All",K1446='Dashboard'!$H$4),OR('Dashboard'!$K$4="All",C1446='Dashboard'!$K$4)),1,0)</x:f>
        <x:v>1</x:v>
      </x:c>
      <x:c r="AI1446" s="84" t="n">
        <x:f>IF(AND(AG1446=1,OR('Dashboard'!$B$4="All",I1446='Dashboard'!$B$4),OR('Dashboard'!$E$4="All",N1446='Dashboard'!$E$4),OR('Dashboard'!$H$4="All",K1446='Dashboard'!$H$4)),1,0)</x:f>
        <x:v>1</x:v>
      </x:c>
    </x:row>
    <x:row r="1447">
      <x:c r="A1447" s="84" t="str">
        <x:f>'Raw Sales'!A1447</x:f>
        <x:v>ORD-2025-00772</x:v>
      </x:c>
      <x:c r="B1447" s="85" t="n">
        <x:f>'Raw Sales'!B1447</x:f>
        <x:v>45772</x:v>
      </x:c>
      <x:c r="C1447" s="84" t="n">
        <x:f>YEAR(B1447)</x:f>
        <x:v>2025</x:v>
      </x:c>
      <x:c r="D1447" s="91" t="n">
        <x:f>DATE(YEAR(B1447),MONTH(B1447),1)</x:f>
        <x:v>45748</x:v>
      </x:c>
      <x:c r="E1447" s="84" t="str">
        <x:f>TEXT(B1447,"mmm")</x:f>
        <x:v>Apr</x:v>
      </x:c>
      <x:c r="F1447" s="84" t="str">
        <x:f>'Raw Sales'!C1447</x:f>
        <x:v>CUST-0144</x:v>
      </x:c>
      <x:c r="G1447" s="84" t="str">
        <x:f>PROPER(TRIM('Raw Sales'!D1447))</x:f>
        <x:v>Grace Patel</x:v>
      </x:c>
      <x:c r="H1447" s="84" t="str">
        <x:f>IF(TRIM('Raw Sales'!E1447)="","Unknown",PROPER(TRIM('Raw Sales'!E1447)))</x:f>
        <x:v>Corporate</x:v>
      </x:c>
      <x:c r="I1447" s="84" t="str">
        <x:f>PROPER(TRIM('Raw Sales'!F1447))</x:f>
        <x:v>West</x:v>
      </x:c>
      <x:c r="J1447" s="84" t="str">
        <x:f>PROPER(TRIM('Raw Sales'!G1447))</x:f>
        <x:v>Phoenix</x:v>
      </x:c>
      <x:c r="K1447" s="84" t="str">
        <x:f>PROPER(TRIM('Raw Sales'!H1447))</x:f>
        <x:v>Online</x:v>
      </x:c>
      <x:c r="L1447" s="84" t="str">
        <x:f>'Raw Sales'!I1447</x:f>
        <x:v>ACCS-001</x:v>
      </x:c>
      <x:c r="M1447" s="84" t="str">
        <x:f>IFERROR(VLOOKUP(L1447,'Reference Data'!$A$5:$F$40,2,FALSE),"Unknown Product")</x:f>
        <x:v>Canvas Tote Bag</x:v>
      </x:c>
      <x:c r="N1447" s="84" t="str">
        <x:f>IFERROR(VLOOKUP(L1447,'Reference Data'!$A$5:$F$40,3,FALSE),"Unknown")</x:f>
        <x:v>Accessories</x:v>
      </x:c>
      <x:c r="O1447" s="84" t="str">
        <x:f>IFERROR(VLOOKUP(L1447,'Reference Data'!$A$5:$F$40,4,FALSE),"Unknown")</x:f>
        <x:v>Bags</x:v>
      </x:c>
      <x:c r="P1447" s="92" t="n">
        <x:f>IFERROR(VLOOKUP(L1447,'Reference Data'!$A$5:$F$40,5,FALSE),0)</x:f>
        <x:v>39</x:v>
      </x:c>
      <x:c r="Q1447" s="92" t="n">
        <x:f>IFERROR(VLOOKUP(L1447,'Reference Data'!$A$5:$F$40,6,FALSE),0)</x:f>
        <x:v>14</x:v>
      </x:c>
      <x:c r="R1447" s="84" t="n">
        <x:f>'Raw Sales'!J1447</x:f>
        <x:v>2</x:v>
      </x:c>
      <x:c r="S1447" s="87" t="n">
        <x:f>'Raw Sales'!K1447</x:f>
        <x:v>0.05</x:v>
      </x:c>
      <x:c r="T1447" s="93" t="n">
        <x:f>P1447*R1447</x:f>
        <x:v>78</x:v>
      </x:c>
      <x:c r="U1447" s="93" t="n">
        <x:f>T1447*S1447</x:f>
        <x:v>3.9000000000000004</x:v>
      </x:c>
      <x:c r="V1447" s="93" t="str">
        <x:f>PROPER(TRIM('Raw Sales'!L1447))</x:f>
        <x:v>Completed</x:v>
      </x:c>
      <x:c r="W1447" s="93" t="n">
        <x:f>IF(V1447="Returned",0,T1447-U1447)</x:f>
        <x:v>74.1</x:v>
      </x:c>
      <x:c r="X1447" s="93" t="n">
        <x:f>IF(V1447="Returned",Q1447*R1447*10%,Q1447*R1447)</x:f>
        <x:v>28</x:v>
      </x:c>
      <x:c r="Y1447" s="93" t="n">
        <x:f>W1447-X1447</x:f>
        <x:v>46.099999999999994</x:v>
      </x:c>
      <x:c r="Z1447" s="94" t="n">
        <x:f>IFERROR(Y1447/W1447,0)</x:f>
        <x:v>0.6221322537112011</x:v>
      </x:c>
      <x:c r="AA1447" s="84" t="str">
        <x:f>PROPER(TRIM('Raw Sales'!M1447))</x:f>
        <x:v>Paypal</x:v>
      </x:c>
      <x:c r="AB1447" s="84" t="str">
        <x:f>PROPER(TRIM('Raw Sales'!N1447))</x:f>
        <x:v>Nora Kim</x:v>
      </x:c>
      <x:c r="AC1447" s="85" t="n">
        <x:f>'Raw Sales'!O1447</x:f>
        <x:v>45775</x:v>
      </x:c>
      <x:c r="AD1447" s="84" t="n">
        <x:f>AC1447-B1447</x:f>
        <x:v>3</x:v>
      </x:c>
      <x:c r="AE1447" s="84" t="str">
        <x:f>IF(COUNTIF($A$5:A1447,A1447)&gt;1,"Duplicate","Keep")</x:f>
        <x:v>Keep</x:v>
      </x:c>
      <x:c r="AF1447" s="84" t="str">
        <x:f>IF(OR(R1447&lt;=0,AC1447&lt;B1447,H1447="Unknown",M1447="Unknown Product"),"Review","Valid")</x:f>
        <x:v>Valid</x:v>
      </x:c>
      <x:c r="AG1447" s="84" t="n">
        <x:f>IF(AND(AE1447="Keep",AF1447="Valid"),1,0)</x:f>
        <x:v>1</x:v>
      </x:c>
      <x:c r="AH1447" s="84" t="n">
        <x:f>IF(AND(AG1447=1,OR('Dashboard'!$B$4="All",I1447='Dashboard'!$B$4),OR('Dashboard'!$E$4="All",N1447='Dashboard'!$E$4),OR('Dashboard'!$H$4="All",K1447='Dashboard'!$H$4),OR('Dashboard'!$K$4="All",C1447='Dashboard'!$K$4)),1,0)</x:f>
        <x:v>1</x:v>
      </x:c>
      <x:c r="AI1447" s="84" t="n">
        <x:f>IF(AND(AG1447=1,OR('Dashboard'!$B$4="All",I1447='Dashboard'!$B$4),OR('Dashboard'!$E$4="All",N1447='Dashboard'!$E$4),OR('Dashboard'!$H$4="All",K1447='Dashboard'!$H$4)),1,0)</x:f>
        <x:v>1</x:v>
      </x:c>
    </x:row>
    <x:row r="1448">
      <x:c r="A1448" s="84" t="str">
        <x:f>'Raw Sales'!A1448</x:f>
        <x:v>ORD-2025-01137</x:v>
      </x:c>
      <x:c r="B1448" s="85" t="n">
        <x:f>'Raw Sales'!B1448</x:f>
        <x:v>45772</x:v>
      </x:c>
      <x:c r="C1448" s="84" t="n">
        <x:f>YEAR(B1448)</x:f>
        <x:v>2025</x:v>
      </x:c>
      <x:c r="D1448" s="91" t="n">
        <x:f>DATE(YEAR(B1448),MONTH(B1448),1)</x:f>
        <x:v>45748</x:v>
      </x:c>
      <x:c r="E1448" s="84" t="str">
        <x:f>TEXT(B1448,"mmm")</x:f>
        <x:v>Apr</x:v>
      </x:c>
      <x:c r="F1448" s="84" t="str">
        <x:f>'Raw Sales'!C1448</x:f>
        <x:v>CUST-0245</x:v>
      </x:c>
      <x:c r="G1448" s="84" t="str">
        <x:f>PROPER(TRIM('Raw Sales'!D1448))</x:f>
        <x:v>Victoria Carter</x:v>
      </x:c>
      <x:c r="H1448" s="84" t="str">
        <x:f>IF(TRIM('Raw Sales'!E1448)="","Unknown",PROPER(TRIM('Raw Sales'!E1448)))</x:f>
        <x:v>Consumer</x:v>
      </x:c>
      <x:c r="I1448" s="84" t="str">
        <x:f>PROPER(TRIM('Raw Sales'!F1448))</x:f>
        <x:v>West</x:v>
      </x:c>
      <x:c r="J1448" s="84" t="str">
        <x:f>PROPER(TRIM('Raw Sales'!G1448))</x:f>
        <x:v>Los Angeles</x:v>
      </x:c>
      <x:c r="K1448" s="84" t="str">
        <x:f>PROPER(TRIM('Raw Sales'!H1448))</x:f>
        <x:v>Marketplace</x:v>
      </x:c>
      <x:c r="L1448" s="84" t="str">
        <x:f>'Raw Sales'!I1448</x:f>
        <x:v>HOME-004</x:v>
      </x:c>
      <x:c r="M1448" s="84" t="str">
        <x:f>IFERROR(VLOOKUP(L1448,'Reference Data'!$A$5:$F$40,2,FALSE),"Unknown Product")</x:f>
        <x:v>Coffee Maker</x:v>
      </x:c>
      <x:c r="N1448" s="84" t="str">
        <x:f>IFERROR(VLOOKUP(L1448,'Reference Data'!$A$5:$F$40,3,FALSE),"Unknown")</x:f>
        <x:v>Home &amp; Kitchen</x:v>
      </x:c>
      <x:c r="O1448" s="84" t="str">
        <x:f>IFERROR(VLOOKUP(L1448,'Reference Data'!$A$5:$F$40,4,FALSE),"Unknown")</x:f>
        <x:v>Small Appliances</x:v>
      </x:c>
      <x:c r="P1448" s="92" t="n">
        <x:f>IFERROR(VLOOKUP(L1448,'Reference Data'!$A$5:$F$40,5,FALSE),0)</x:f>
        <x:v>99</x:v>
      </x:c>
      <x:c r="Q1448" s="92" t="n">
        <x:f>IFERROR(VLOOKUP(L1448,'Reference Data'!$A$5:$F$40,6,FALSE),0)</x:f>
        <x:v>51</x:v>
      </x:c>
      <x:c r="R1448" s="84" t="n">
        <x:f>'Raw Sales'!J1448</x:f>
        <x:v>1</x:v>
      </x:c>
      <x:c r="S1448" s="87" t="n">
        <x:f>'Raw Sales'!K1448</x:f>
        <x:v>0.1</x:v>
      </x:c>
      <x:c r="T1448" s="93" t="n">
        <x:f>P1448*R1448</x:f>
        <x:v>99</x:v>
      </x:c>
      <x:c r="U1448" s="93" t="n">
        <x:f>T1448*S1448</x:f>
        <x:v>9.9</x:v>
      </x:c>
      <x:c r="V1448" s="93" t="str">
        <x:f>PROPER(TRIM('Raw Sales'!L1448))</x:f>
        <x:v>Completed</x:v>
      </x:c>
      <x:c r="W1448" s="93" t="n">
        <x:f>IF(V1448="Returned",0,T1448-U1448)</x:f>
        <x:v>89.1</x:v>
      </x:c>
      <x:c r="X1448" s="93" t="n">
        <x:f>IF(V1448="Returned",Q1448*R1448*10%,Q1448*R1448)</x:f>
        <x:v>51</x:v>
      </x:c>
      <x:c r="Y1448" s="93" t="n">
        <x:f>W1448-X1448</x:f>
        <x:v>38.099999999999994</x:v>
      </x:c>
      <x:c r="Z1448" s="94" t="n">
        <x:f>IFERROR(Y1448/W1448,0)</x:f>
        <x:v>0.42760942760942755</x:v>
      </x:c>
      <x:c r="AA1448" s="84" t="str">
        <x:f>PROPER(TRIM('Raw Sales'!M1448))</x:f>
        <x:v>Credit Card</x:v>
      </x:c>
      <x:c r="AB1448" s="84" t="str">
        <x:f>PROPER(TRIM('Raw Sales'!N1448))</x:f>
        <x:v>Leo Martinez</x:v>
      </x:c>
      <x:c r="AC1448" s="85" t="n">
        <x:f>'Raw Sales'!O1448</x:f>
        <x:v>45776</x:v>
      </x:c>
      <x:c r="AD1448" s="84" t="n">
        <x:f>AC1448-B1448</x:f>
        <x:v>4</x:v>
      </x:c>
      <x:c r="AE1448" s="84" t="str">
        <x:f>IF(COUNTIF($A$5:A1448,A1448)&gt;1,"Duplicate","Keep")</x:f>
        <x:v>Keep</x:v>
      </x:c>
      <x:c r="AF1448" s="84" t="str">
        <x:f>IF(OR(R1448&lt;=0,AC1448&lt;B1448,H1448="Unknown",M1448="Unknown Product"),"Review","Valid")</x:f>
        <x:v>Valid</x:v>
      </x:c>
      <x:c r="AG1448" s="84" t="n">
        <x:f>IF(AND(AE1448="Keep",AF1448="Valid"),1,0)</x:f>
        <x:v>1</x:v>
      </x:c>
      <x:c r="AH1448" s="84" t="n">
        <x:f>IF(AND(AG1448=1,OR('Dashboard'!$B$4="All",I1448='Dashboard'!$B$4),OR('Dashboard'!$E$4="All",N1448='Dashboard'!$E$4),OR('Dashboard'!$H$4="All",K1448='Dashboard'!$H$4),OR('Dashboard'!$K$4="All",C1448='Dashboard'!$K$4)),1,0)</x:f>
        <x:v>1</x:v>
      </x:c>
      <x:c r="AI1448" s="84" t="n">
        <x:f>IF(AND(AG1448=1,OR('Dashboard'!$B$4="All",I1448='Dashboard'!$B$4),OR('Dashboard'!$E$4="All",N1448='Dashboard'!$E$4),OR('Dashboard'!$H$4="All",K1448='Dashboard'!$H$4)),1,0)</x:f>
        <x:v>1</x:v>
      </x:c>
    </x:row>
    <x:row r="1449">
      <x:c r="A1449" s="84" t="str">
        <x:f>'Raw Sales'!A1449</x:f>
        <x:v>ORD-2025-01269</x:v>
      </x:c>
      <x:c r="B1449" s="85" t="n">
        <x:f>'Raw Sales'!B1449</x:f>
        <x:v>45772</x:v>
      </x:c>
      <x:c r="C1449" s="84" t="n">
        <x:f>YEAR(B1449)</x:f>
        <x:v>2025</x:v>
      </x:c>
      <x:c r="D1449" s="91" t="n">
        <x:f>DATE(YEAR(B1449),MONTH(B1449),1)</x:f>
        <x:v>45748</x:v>
      </x:c>
      <x:c r="E1449" s="84" t="str">
        <x:f>TEXT(B1449,"mmm")</x:f>
        <x:v>Apr</x:v>
      </x:c>
      <x:c r="F1449" s="84" t="str">
        <x:f>'Raw Sales'!C1449</x:f>
        <x:v>CUST-0575</x:v>
      </x:c>
      <x:c r="G1449" s="84" t="str">
        <x:f>PROPER(TRIM('Raw Sales'!D1449))</x:f>
        <x:v>Elena Walker</x:v>
      </x:c>
      <x:c r="H1449" s="84" t="str">
        <x:f>IF(TRIM('Raw Sales'!E1449)="","Unknown",PROPER(TRIM('Raw Sales'!E1449)))</x:f>
        <x:v>Consumer</x:v>
      </x:c>
      <x:c r="I1449" s="84" t="str">
        <x:f>PROPER(TRIM('Raw Sales'!F1449))</x:f>
        <x:v>Northeast</x:v>
      </x:c>
      <x:c r="J1449" s="84" t="str">
        <x:f>PROPER(TRIM('Raw Sales'!G1449))</x:f>
        <x:v>Philadelphia</x:v>
      </x:c>
      <x:c r="K1449" s="84" t="str">
        <x:f>PROPER(TRIM('Raw Sales'!H1449))</x:f>
        <x:v>Marketplace</x:v>
      </x:c>
      <x:c r="L1449" s="84" t="str">
        <x:f>'Raw Sales'!I1449</x:f>
        <x:v>CARE-004</x:v>
      </x:c>
      <x:c r="M1449" s="84" t="str">
        <x:f>IFERROR(VLOOKUP(L1449,'Reference Data'!$A$5:$F$40,2,FALSE),"Unknown Product")</x:f>
        <x:v>Electric Toothbrush</x:v>
      </x:c>
      <x:c r="N1449" s="84" t="str">
        <x:f>IFERROR(VLOOKUP(L1449,'Reference Data'!$A$5:$F$40,3,FALSE),"Unknown")</x:f>
        <x:v>Personal Care</x:v>
      </x:c>
      <x:c r="O1449" s="84" t="str">
        <x:f>IFERROR(VLOOKUP(L1449,'Reference Data'!$A$5:$F$40,4,FALSE),"Unknown")</x:f>
        <x:v>Oral Care</x:v>
      </x:c>
      <x:c r="P1449" s="92" t="n">
        <x:f>IFERROR(VLOOKUP(L1449,'Reference Data'!$A$5:$F$40,5,FALSE),0)</x:f>
        <x:v>69</x:v>
      </x:c>
      <x:c r="Q1449" s="92" t="n">
        <x:f>IFERROR(VLOOKUP(L1449,'Reference Data'!$A$5:$F$40,6,FALSE),0)</x:f>
        <x:v>31</x:v>
      </x:c>
      <x:c r="R1449" s="84" t="n">
        <x:f>'Raw Sales'!J1449</x:f>
        <x:v>1</x:v>
      </x:c>
      <x:c r="S1449" s="87" t="n">
        <x:f>'Raw Sales'!K1449</x:f>
        <x:v>0.15</x:v>
      </x:c>
      <x:c r="T1449" s="93" t="n">
        <x:f>P1449*R1449</x:f>
        <x:v>69</x:v>
      </x:c>
      <x:c r="U1449" s="93" t="n">
        <x:f>T1449*S1449</x:f>
        <x:v>10.35</x:v>
      </x:c>
      <x:c r="V1449" s="93" t="str">
        <x:f>PROPER(TRIM('Raw Sales'!L1449))</x:f>
        <x:v>Completed</x:v>
      </x:c>
      <x:c r="W1449" s="93" t="n">
        <x:f>IF(V1449="Returned",0,T1449-U1449)</x:f>
        <x:v>58.65</x:v>
      </x:c>
      <x:c r="X1449" s="93" t="n">
        <x:f>IF(V1449="Returned",Q1449*R1449*10%,Q1449*R1449)</x:f>
        <x:v>31</x:v>
      </x:c>
      <x:c r="Y1449" s="93" t="n">
        <x:f>W1449-X1449</x:f>
        <x:v>27.65</x:v>
      </x:c>
      <x:c r="Z1449" s="94" t="n">
        <x:f>IFERROR(Y1449/W1449,0)</x:f>
        <x:v>0.4714407502131287</x:v>
      </x:c>
      <x:c r="AA1449" s="84" t="str">
        <x:f>PROPER(TRIM('Raw Sales'!M1449))</x:f>
        <x:v>Credit Card</x:v>
      </x:c>
      <x:c r="AB1449" s="84" t="str">
        <x:f>PROPER(TRIM('Raw Sales'!N1449))</x:f>
        <x:v>Sofia Bennett</x:v>
      </x:c>
      <x:c r="AC1449" s="85" t="n">
        <x:f>'Raw Sales'!O1449</x:f>
        <x:v>45776</x:v>
      </x:c>
      <x:c r="AD1449" s="84" t="n">
        <x:f>AC1449-B1449</x:f>
        <x:v>4</x:v>
      </x:c>
      <x:c r="AE1449" s="84" t="str">
        <x:f>IF(COUNTIF($A$5:A1449,A1449)&gt;1,"Duplicate","Keep")</x:f>
        <x:v>Keep</x:v>
      </x:c>
      <x:c r="AF1449" s="84" t="str">
        <x:f>IF(OR(R1449&lt;=0,AC1449&lt;B1449,H1449="Unknown",M1449="Unknown Product"),"Review","Valid")</x:f>
        <x:v>Valid</x:v>
      </x:c>
      <x:c r="AG1449" s="84" t="n">
        <x:f>IF(AND(AE1449="Keep",AF1449="Valid"),1,0)</x:f>
        <x:v>1</x:v>
      </x:c>
      <x:c r="AH1449" s="84" t="n">
        <x:f>IF(AND(AG1449=1,OR('Dashboard'!$B$4="All",I1449='Dashboard'!$B$4),OR('Dashboard'!$E$4="All",N1449='Dashboard'!$E$4),OR('Dashboard'!$H$4="All",K1449='Dashboard'!$H$4),OR('Dashboard'!$K$4="All",C1449='Dashboard'!$K$4)),1,0)</x:f>
        <x:v>1</x:v>
      </x:c>
      <x:c r="AI1449" s="84" t="n">
        <x:f>IF(AND(AG1449=1,OR('Dashboard'!$B$4="All",I1449='Dashboard'!$B$4),OR('Dashboard'!$E$4="All",N1449='Dashboard'!$E$4),OR('Dashboard'!$H$4="All",K1449='Dashboard'!$H$4)),1,0)</x:f>
        <x:v>1</x:v>
      </x:c>
    </x:row>
    <x:row r="1450">
      <x:c r="A1450" s="84" t="str">
        <x:f>'Raw Sales'!A1450</x:f>
        <x:v>ORD-2025-01499</x:v>
      </x:c>
      <x:c r="B1450" s="85" t="n">
        <x:f>'Raw Sales'!B1450</x:f>
        <x:v>45772</x:v>
      </x:c>
      <x:c r="C1450" s="84" t="n">
        <x:f>YEAR(B1450)</x:f>
        <x:v>2025</x:v>
      </x:c>
      <x:c r="D1450" s="91" t="n">
        <x:f>DATE(YEAR(B1450),MONTH(B1450),1)</x:f>
        <x:v>45748</x:v>
      </x:c>
      <x:c r="E1450" s="84" t="str">
        <x:f>TEXT(B1450,"mmm")</x:f>
        <x:v>Apr</x:v>
      </x:c>
      <x:c r="F1450" s="84" t="str">
        <x:f>'Raw Sales'!C1450</x:f>
        <x:v>CUST-0059</x:v>
      </x:c>
      <x:c r="G1450" s="84" t="str">
        <x:f>PROPER(TRIM('Raw Sales'!D1450))</x:f>
        <x:v>Samuel Lewis</x:v>
      </x:c>
      <x:c r="H1450" s="84" t="str">
        <x:f>IF(TRIM('Raw Sales'!E1450)="","Unknown",PROPER(TRIM('Raw Sales'!E1450)))</x:f>
        <x:v>Consumer</x:v>
      </x:c>
      <x:c r="I1450" s="84" t="str">
        <x:f>PROPER(TRIM('Raw Sales'!F1450))</x:f>
        <x:v>Midwest</x:v>
      </x:c>
      <x:c r="J1450" s="84" t="str">
        <x:f>PROPER(TRIM('Raw Sales'!G1450))</x:f>
        <x:v>Minneapolis</x:v>
      </x:c>
      <x:c r="K1450" s="84" t="str">
        <x:f>PROPER(TRIM('Raw Sales'!H1450))</x:f>
        <x:v>Online</x:v>
      </x:c>
      <x:c r="L1450" s="84" t="str">
        <x:f>'Raw Sales'!I1450</x:f>
        <x:v>FITN-002</x:v>
      </x:c>
      <x:c r="M1450" s="84" t="str">
        <x:f>IFERROR(VLOOKUP(L1450,'Reference Data'!$A$5:$F$40,2,FALSE),"Unknown Product")</x:f>
        <x:v>Adjustable Dumbbell Set</x:v>
      </x:c>
      <x:c r="N1450" s="84" t="str">
        <x:f>IFERROR(VLOOKUP(L1450,'Reference Data'!$A$5:$F$40,3,FALSE),"Unknown")</x:f>
        <x:v>Fitness</x:v>
      </x:c>
      <x:c r="O1450" s="84" t="str">
        <x:f>IFERROR(VLOOKUP(L1450,'Reference Data'!$A$5:$F$40,4,FALSE),"Unknown")</x:f>
        <x:v>Strength</x:v>
      </x:c>
      <x:c r="P1450" s="92" t="n">
        <x:f>IFERROR(VLOOKUP(L1450,'Reference Data'!$A$5:$F$40,5,FALSE),0)</x:f>
        <x:v>99</x:v>
      </x:c>
      <x:c r="Q1450" s="92" t="n">
        <x:f>IFERROR(VLOOKUP(L1450,'Reference Data'!$A$5:$F$40,6,FALSE),0)</x:f>
        <x:v>57</x:v>
      </x:c>
      <x:c r="R1450" s="84" t="n">
        <x:f>'Raw Sales'!J1450</x:f>
        <x:v>4</x:v>
      </x:c>
      <x:c r="S1450" s="87" t="n">
        <x:f>'Raw Sales'!K1450</x:f>
        <x:v>0.1</x:v>
      </x:c>
      <x:c r="T1450" s="93" t="n">
        <x:f>P1450*R1450</x:f>
        <x:v>396</x:v>
      </x:c>
      <x:c r="U1450" s="93" t="n">
        <x:f>T1450*S1450</x:f>
        <x:v>39.6</x:v>
      </x:c>
      <x:c r="V1450" s="93" t="str">
        <x:f>PROPER(TRIM('Raw Sales'!L1450))</x:f>
        <x:v>Completed</x:v>
      </x:c>
      <x:c r="W1450" s="93" t="n">
        <x:f>IF(V1450="Returned",0,T1450-U1450)</x:f>
        <x:v>356.4</x:v>
      </x:c>
      <x:c r="X1450" s="93" t="n">
        <x:f>IF(V1450="Returned",Q1450*R1450*10%,Q1450*R1450)</x:f>
        <x:v>228</x:v>
      </x:c>
      <x:c r="Y1450" s="93" t="n">
        <x:f>W1450-X1450</x:f>
        <x:v>128.39999999999998</x:v>
      </x:c>
      <x:c r="Z1450" s="94" t="n">
        <x:f>IFERROR(Y1450/W1450,0)</x:f>
        <x:v>0.36026936026936024</x:v>
      </x:c>
      <x:c r="AA1450" s="84" t="str">
        <x:f>PROPER(TRIM('Raw Sales'!M1450))</x:f>
        <x:v>Credit Card</x:v>
      </x:c>
      <x:c r="AB1450" s="84" t="str">
        <x:f>PROPER(TRIM('Raw Sales'!N1450))</x:f>
        <x:v>Zoe Turner</x:v>
      </x:c>
      <x:c r="AC1450" s="85" t="n">
        <x:f>'Raw Sales'!O1450</x:f>
        <x:v>45775</x:v>
      </x:c>
      <x:c r="AD1450" s="84" t="n">
        <x:f>AC1450-B1450</x:f>
        <x:v>3</x:v>
      </x:c>
      <x:c r="AE1450" s="84" t="str">
        <x:f>IF(COUNTIF($A$5:A1450,A1450)&gt;1,"Duplicate","Keep")</x:f>
        <x:v>Keep</x:v>
      </x:c>
      <x:c r="AF1450" s="84" t="str">
        <x:f>IF(OR(R1450&lt;=0,AC1450&lt;B1450,H1450="Unknown",M1450="Unknown Product"),"Review","Valid")</x:f>
        <x:v>Valid</x:v>
      </x:c>
      <x:c r="AG1450" s="84" t="n">
        <x:f>IF(AND(AE1450="Keep",AF1450="Valid"),1,0)</x:f>
        <x:v>1</x:v>
      </x:c>
      <x:c r="AH1450" s="84" t="n">
        <x:f>IF(AND(AG1450=1,OR('Dashboard'!$B$4="All",I1450='Dashboard'!$B$4),OR('Dashboard'!$E$4="All",N1450='Dashboard'!$E$4),OR('Dashboard'!$H$4="All",K1450='Dashboard'!$H$4),OR('Dashboard'!$K$4="All",C1450='Dashboard'!$K$4)),1,0)</x:f>
        <x:v>1</x:v>
      </x:c>
      <x:c r="AI1450" s="84" t="n">
        <x:f>IF(AND(AG1450=1,OR('Dashboard'!$B$4="All",I1450='Dashboard'!$B$4),OR('Dashboard'!$E$4="All",N1450='Dashboard'!$E$4),OR('Dashboard'!$H$4="All",K1450='Dashboard'!$H$4)),1,0)</x:f>
        <x:v>1</x:v>
      </x:c>
    </x:row>
    <x:row r="1451">
      <x:c r="A1451" s="84" t="str">
        <x:f>'Raw Sales'!A1451</x:f>
        <x:v>ORD-2025-01666</x:v>
      </x:c>
      <x:c r="B1451" s="85" t="n">
        <x:f>'Raw Sales'!B1451</x:f>
        <x:v>45772</x:v>
      </x:c>
      <x:c r="C1451" s="84" t="n">
        <x:f>YEAR(B1451)</x:f>
        <x:v>2025</x:v>
      </x:c>
      <x:c r="D1451" s="91" t="n">
        <x:f>DATE(YEAR(B1451),MONTH(B1451),1)</x:f>
        <x:v>45748</x:v>
      </x:c>
      <x:c r="E1451" s="84" t="str">
        <x:f>TEXT(B1451,"mmm")</x:f>
        <x:v>Apr</x:v>
      </x:c>
      <x:c r="F1451" s="84" t="str">
        <x:f>'Raw Sales'!C1451</x:f>
        <x:v>CUST-0411</x:v>
      </x:c>
      <x:c r="G1451" s="84" t="str">
        <x:f>PROPER(TRIM('Raw Sales'!D1451))</x:f>
        <x:v>Daniel Young</x:v>
      </x:c>
      <x:c r="H1451" s="84" t="str">
        <x:f>IF(TRIM('Raw Sales'!E1451)="","Unknown",PROPER(TRIM('Raw Sales'!E1451)))</x:f>
        <x:v>Corporate</x:v>
      </x:c>
      <x:c r="I1451" s="84" t="str">
        <x:f>PROPER(TRIM('Raw Sales'!F1451))</x:f>
        <x:v>West</x:v>
      </x:c>
      <x:c r="J1451" s="84" t="str">
        <x:f>PROPER(TRIM('Raw Sales'!G1451))</x:f>
        <x:v>Denver</x:v>
      </x:c>
      <x:c r="K1451" s="84" t="str">
        <x:f>PROPER(TRIM('Raw Sales'!H1451))</x:f>
        <x:v>Retail Store</x:v>
      </x:c>
      <x:c r="L1451" s="84" t="str">
        <x:f>'Raw Sales'!I1451</x:f>
        <x:v>ACCS-005</x:v>
      </x:c>
      <x:c r="M1451" s="84" t="str">
        <x:f>IFERROR(VLOOKUP(L1451,'Reference Data'!$A$5:$F$40,2,FALSE),"Unknown Product")</x:f>
        <x:v>Protective Phone Case</x:v>
      </x:c>
      <x:c r="N1451" s="84" t="str">
        <x:f>IFERROR(VLOOKUP(L1451,'Reference Data'!$A$5:$F$40,3,FALSE),"Unknown")</x:f>
        <x:v>Accessories</x:v>
      </x:c>
      <x:c r="O1451" s="84" t="str">
        <x:f>IFERROR(VLOOKUP(L1451,'Reference Data'!$A$5:$F$40,4,FALSE),"Unknown")</x:f>
        <x:v>Mobile Accessories</x:v>
      </x:c>
      <x:c r="P1451" s="92" t="n">
        <x:f>IFERROR(VLOOKUP(L1451,'Reference Data'!$A$5:$F$40,5,FALSE),0)</x:f>
        <x:v>24</x:v>
      </x:c>
      <x:c r="Q1451" s="92" t="n">
        <x:f>IFERROR(VLOOKUP(L1451,'Reference Data'!$A$5:$F$40,6,FALSE),0)</x:f>
        <x:v>5</x:v>
      </x:c>
      <x:c r="R1451" s="84" t="n">
        <x:f>'Raw Sales'!J1451</x:f>
        <x:v>3</x:v>
      </x:c>
      <x:c r="S1451" s="87" t="n">
        <x:f>'Raw Sales'!K1451</x:f>
        <x:v>0.1</x:v>
      </x:c>
      <x:c r="T1451" s="93" t="n">
        <x:f>P1451*R1451</x:f>
        <x:v>72</x:v>
      </x:c>
      <x:c r="U1451" s="93" t="n">
        <x:f>T1451*S1451</x:f>
        <x:v>7.2</x:v>
      </x:c>
      <x:c r="V1451" s="93" t="str">
        <x:f>PROPER(TRIM('Raw Sales'!L1451))</x:f>
        <x:v>Completed</x:v>
      </x:c>
      <x:c r="W1451" s="93" t="n">
        <x:f>IF(V1451="Returned",0,T1451-U1451)</x:f>
        <x:v>64.8</x:v>
      </x:c>
      <x:c r="X1451" s="93" t="n">
        <x:f>IF(V1451="Returned",Q1451*R1451*10%,Q1451*R1451)</x:f>
        <x:v>15</x:v>
      </x:c>
      <x:c r="Y1451" s="93" t="n">
        <x:f>W1451-X1451</x:f>
        <x:v>49.8</x:v>
      </x:c>
      <x:c r="Z1451" s="94" t="n">
        <x:f>IFERROR(Y1451/W1451,0)</x:f>
        <x:v>0.7685185185185185</x:v>
      </x:c>
      <x:c r="AA1451" s="84" t="str">
        <x:f>PROPER(TRIM('Raw Sales'!M1451))</x:f>
        <x:v>Mobile Wallet</x:v>
      </x:c>
      <x:c r="AB1451" s="84" t="str">
        <x:f>PROPER(TRIM('Raw Sales'!N1451))</x:f>
        <x:v>Leo Martinez</x:v>
      </x:c>
      <x:c r="AC1451" s="85" t="n">
        <x:f>'Raw Sales'!O1451</x:f>
        <x:v>45772</x:v>
      </x:c>
      <x:c r="AD1451" s="84" t="n">
        <x:f>AC1451-B1451</x:f>
        <x:v>0</x:v>
      </x:c>
      <x:c r="AE1451" s="84" t="str">
        <x:f>IF(COUNTIF($A$5:A1451,A1451)&gt;1,"Duplicate","Keep")</x:f>
        <x:v>Keep</x:v>
      </x:c>
      <x:c r="AF1451" s="84" t="str">
        <x:f>IF(OR(R1451&lt;=0,AC1451&lt;B1451,H1451="Unknown",M1451="Unknown Product"),"Review","Valid")</x:f>
        <x:v>Valid</x:v>
      </x:c>
      <x:c r="AG1451" s="84" t="n">
        <x:f>IF(AND(AE1451="Keep",AF1451="Valid"),1,0)</x:f>
        <x:v>1</x:v>
      </x:c>
      <x:c r="AH1451" s="84" t="n">
        <x:f>IF(AND(AG1451=1,OR('Dashboard'!$B$4="All",I1451='Dashboard'!$B$4),OR('Dashboard'!$E$4="All",N1451='Dashboard'!$E$4),OR('Dashboard'!$H$4="All",K1451='Dashboard'!$H$4),OR('Dashboard'!$K$4="All",C1451='Dashboard'!$K$4)),1,0)</x:f>
        <x:v>1</x:v>
      </x:c>
      <x:c r="AI1451" s="84" t="n">
        <x:f>IF(AND(AG1451=1,OR('Dashboard'!$B$4="All",I1451='Dashboard'!$B$4),OR('Dashboard'!$E$4="All",N1451='Dashboard'!$E$4),OR('Dashboard'!$H$4="All",K1451='Dashboard'!$H$4)),1,0)</x:f>
        <x:v>1</x:v>
      </x:c>
    </x:row>
    <x:row r="1452">
      <x:c r="A1452" s="84" t="str">
        <x:f>'Raw Sales'!A1452</x:f>
        <x:v>ORD-2025-00081</x:v>
      </x:c>
      <x:c r="B1452" s="85" t="n">
        <x:f>'Raw Sales'!B1452</x:f>
        <x:v>45773</x:v>
      </x:c>
      <x:c r="C1452" s="84" t="n">
        <x:f>YEAR(B1452)</x:f>
        <x:v>2025</x:v>
      </x:c>
      <x:c r="D1452" s="91" t="n">
        <x:f>DATE(YEAR(B1452),MONTH(B1452),1)</x:f>
        <x:v>45748</x:v>
      </x:c>
      <x:c r="E1452" s="84" t="str">
        <x:f>TEXT(B1452,"mmm")</x:f>
        <x:v>Apr</x:v>
      </x:c>
      <x:c r="F1452" s="84" t="str">
        <x:f>'Raw Sales'!C1452</x:f>
        <x:v>CUST-0590</x:v>
      </x:c>
      <x:c r="G1452" s="84" t="str">
        <x:f>PROPER(TRIM('Raw Sales'!D1452))</x:f>
        <x:v>Theo Young</x:v>
      </x:c>
      <x:c r="H1452" s="84" t="str">
        <x:f>IF(TRIM('Raw Sales'!E1452)="","Unknown",PROPER(TRIM('Raw Sales'!E1452)))</x:f>
        <x:v>Consumer</x:v>
      </x:c>
      <x:c r="I1452" s="84" t="str">
        <x:f>PROPER(TRIM('Raw Sales'!F1452))</x:f>
        <x:v>Southeast</x:v>
      </x:c>
      <x:c r="J1452" s="84" t="str">
        <x:f>PROPER(TRIM('Raw Sales'!G1452))</x:f>
        <x:v>Atlanta</x:v>
      </x:c>
      <x:c r="K1452" s="84" t="str">
        <x:f>PROPER(TRIM('Raw Sales'!H1452))</x:f>
        <x:v>Retail Store</x:v>
      </x:c>
      <x:c r="L1452" s="84" t="str">
        <x:f>'Raw Sales'!I1452</x:f>
        <x:v>OFFC-001</x:v>
      </x:c>
      <x:c r="M1452" s="84" t="str">
        <x:f>IFERROR(VLOOKUP(L1452,'Reference Data'!$A$5:$F$40,2,FALSE),"Unknown Product")</x:f>
        <x:v>Ergonomic Chair</x:v>
      </x:c>
      <x:c r="N1452" s="84" t="str">
        <x:f>IFERROR(VLOOKUP(L1452,'Reference Data'!$A$5:$F$40,3,FALSE),"Unknown")</x:f>
        <x:v>Office</x:v>
      </x:c>
      <x:c r="O1452" s="84" t="str">
        <x:f>IFERROR(VLOOKUP(L1452,'Reference Data'!$A$5:$F$40,4,FALSE),"Unknown")</x:f>
        <x:v>Furniture</x:v>
      </x:c>
      <x:c r="P1452" s="92" t="n">
        <x:f>IFERROR(VLOOKUP(L1452,'Reference Data'!$A$5:$F$40,5,FALSE),0)</x:f>
        <x:v>249</x:v>
      </x:c>
      <x:c r="Q1452" s="92" t="n">
        <x:f>IFERROR(VLOOKUP(L1452,'Reference Data'!$A$5:$F$40,6,FALSE),0)</x:f>
        <x:v>145</x:v>
      </x:c>
      <x:c r="R1452" s="84" t="n">
        <x:f>'Raw Sales'!J1452</x:f>
        <x:v>1</x:v>
      </x:c>
      <x:c r="S1452" s="87" t="n">
        <x:f>'Raw Sales'!K1452</x:f>
        <x:v>0</x:v>
      </x:c>
      <x:c r="T1452" s="93" t="n">
        <x:f>P1452*R1452</x:f>
        <x:v>249</x:v>
      </x:c>
      <x:c r="U1452" s="93" t="n">
        <x:f>T1452*S1452</x:f>
        <x:v>0</x:v>
      </x:c>
      <x:c r="V1452" s="93" t="str">
        <x:f>PROPER(TRIM('Raw Sales'!L1452))</x:f>
        <x:v>Completed</x:v>
      </x:c>
      <x:c r="W1452" s="93" t="n">
        <x:f>IF(V1452="Returned",0,T1452-U1452)</x:f>
        <x:v>249</x:v>
      </x:c>
      <x:c r="X1452" s="93" t="n">
        <x:f>IF(V1452="Returned",Q1452*R1452*10%,Q1452*R1452)</x:f>
        <x:v>145</x:v>
      </x:c>
      <x:c r="Y1452" s="93" t="n">
        <x:f>W1452-X1452</x:f>
        <x:v>104</x:v>
      </x:c>
      <x:c r="Z1452" s="94" t="n">
        <x:f>IFERROR(Y1452/W1452,0)</x:f>
        <x:v>0.41767068273092367</x:v>
      </x:c>
      <x:c r="AA1452" s="84" t="str">
        <x:f>PROPER(TRIM('Raw Sales'!M1452))</x:f>
        <x:v>Cash</x:v>
      </x:c>
      <x:c r="AB1452" s="84" t="str">
        <x:f>PROPER(TRIM('Raw Sales'!N1452))</x:f>
        <x:v>Noah Reed</x:v>
      </x:c>
      <x:c r="AC1452" s="85" t="n">
        <x:f>'Raw Sales'!O1452</x:f>
        <x:v>45773</x:v>
      </x:c>
      <x:c r="AD1452" s="84" t="n">
        <x:f>AC1452-B1452</x:f>
        <x:v>0</x:v>
      </x:c>
      <x:c r="AE1452" s="84" t="str">
        <x:f>IF(COUNTIF($A$5:A1452,A1452)&gt;1,"Duplicate","Keep")</x:f>
        <x:v>Keep</x:v>
      </x:c>
      <x:c r="AF1452" s="84" t="str">
        <x:f>IF(OR(R1452&lt;=0,AC1452&lt;B1452,H1452="Unknown",M1452="Unknown Product"),"Review","Valid")</x:f>
        <x:v>Valid</x:v>
      </x:c>
      <x:c r="AG1452" s="84" t="n">
        <x:f>IF(AND(AE1452="Keep",AF1452="Valid"),1,0)</x:f>
        <x:v>1</x:v>
      </x:c>
      <x:c r="AH1452" s="84" t="n">
        <x:f>IF(AND(AG1452=1,OR('Dashboard'!$B$4="All",I1452='Dashboard'!$B$4),OR('Dashboard'!$E$4="All",N1452='Dashboard'!$E$4),OR('Dashboard'!$H$4="All",K1452='Dashboard'!$H$4),OR('Dashboard'!$K$4="All",C1452='Dashboard'!$K$4)),1,0)</x:f>
        <x:v>1</x:v>
      </x:c>
      <x:c r="AI1452" s="84" t="n">
        <x:f>IF(AND(AG1452=1,OR('Dashboard'!$B$4="All",I1452='Dashboard'!$B$4),OR('Dashboard'!$E$4="All",N1452='Dashboard'!$E$4),OR('Dashboard'!$H$4="All",K1452='Dashboard'!$H$4)),1,0)</x:f>
        <x:v>1</x:v>
      </x:c>
    </x:row>
    <x:row r="1453">
      <x:c r="A1453" s="84" t="str">
        <x:f>'Raw Sales'!A1453</x:f>
        <x:v>ORD-2025-00361</x:v>
      </x:c>
      <x:c r="B1453" s="85" t="n">
        <x:f>'Raw Sales'!B1453</x:f>
        <x:v>45773</x:v>
      </x:c>
      <x:c r="C1453" s="84" t="n">
        <x:f>YEAR(B1453)</x:f>
        <x:v>2025</x:v>
      </x:c>
      <x:c r="D1453" s="91" t="n">
        <x:f>DATE(YEAR(B1453),MONTH(B1453),1)</x:f>
        <x:v>45748</x:v>
      </x:c>
      <x:c r="E1453" s="84" t="str">
        <x:f>TEXT(B1453,"mmm")</x:f>
        <x:v>Apr</x:v>
      </x:c>
      <x:c r="F1453" s="84" t="str">
        <x:f>'Raw Sales'!C1453</x:f>
        <x:v>CUST-0018</x:v>
      </x:c>
      <x:c r="G1453" s="84" t="str">
        <x:f>PROPER(TRIM('Raw Sales'!D1453))</x:f>
        <x:v>Priya Nelson</x:v>
      </x:c>
      <x:c r="H1453" s="84" t="str">
        <x:f>IF(TRIM('Raw Sales'!E1453)="","Unknown",PROPER(TRIM('Raw Sales'!E1453)))</x:f>
        <x:v>Consumer</x:v>
      </x:c>
      <x:c r="I1453" s="84" t="str">
        <x:f>PROPER(TRIM('Raw Sales'!F1453))</x:f>
        <x:v>Southeast</x:v>
      </x:c>
      <x:c r="J1453" s="84" t="str">
        <x:f>PROPER(TRIM('Raw Sales'!G1453))</x:f>
        <x:v>Miami</x:v>
      </x:c>
      <x:c r="K1453" s="84" t="str">
        <x:f>PROPER(TRIM('Raw Sales'!H1453))</x:f>
        <x:v>Retail Store</x:v>
      </x:c>
      <x:c r="L1453" s="84" t="str">
        <x:f>'Raw Sales'!I1453</x:f>
        <x:v>OFFC-003</x:v>
      </x:c>
      <x:c r="M1453" s="84" t="str">
        <x:f>IFERROR(VLOOKUP(L1453,'Reference Data'!$A$5:$F$40,2,FALSE),"Unknown Product")</x:f>
        <x:v>LED Desk Lamp</x:v>
      </x:c>
      <x:c r="N1453" s="84" t="str">
        <x:f>IFERROR(VLOOKUP(L1453,'Reference Data'!$A$5:$F$40,3,FALSE),"Unknown")</x:f>
        <x:v>Office</x:v>
      </x:c>
      <x:c r="O1453" s="84" t="str">
        <x:f>IFERROR(VLOOKUP(L1453,'Reference Data'!$A$5:$F$40,4,FALSE),"Unknown")</x:f>
        <x:v>Desk Accessories</x:v>
      </x:c>
      <x:c r="P1453" s="92" t="n">
        <x:f>IFERROR(VLOOKUP(L1453,'Reference Data'!$A$5:$F$40,5,FALSE),0)</x:f>
        <x:v>45</x:v>
      </x:c>
      <x:c r="Q1453" s="92" t="n">
        <x:f>IFERROR(VLOOKUP(L1453,'Reference Data'!$A$5:$F$40,6,FALSE),0)</x:f>
        <x:v>20</x:v>
      </x:c>
      <x:c r="R1453" s="84" t="n">
        <x:f>'Raw Sales'!J1453</x:f>
        <x:v>2</x:v>
      </x:c>
      <x:c r="S1453" s="87" t="n">
        <x:f>'Raw Sales'!K1453</x:f>
        <x:v>0.05</x:v>
      </x:c>
      <x:c r="T1453" s="93" t="n">
        <x:f>P1453*R1453</x:f>
        <x:v>90</x:v>
      </x:c>
      <x:c r="U1453" s="93" t="n">
        <x:f>T1453*S1453</x:f>
        <x:v>4.5</x:v>
      </x:c>
      <x:c r="V1453" s="93" t="str">
        <x:f>PROPER(TRIM('Raw Sales'!L1453))</x:f>
        <x:v>Completed</x:v>
      </x:c>
      <x:c r="W1453" s="93" t="n">
        <x:f>IF(V1453="Returned",0,T1453-U1453)</x:f>
        <x:v>85.5</x:v>
      </x:c>
      <x:c r="X1453" s="93" t="n">
        <x:f>IF(V1453="Returned",Q1453*R1453*10%,Q1453*R1453)</x:f>
        <x:v>40</x:v>
      </x:c>
      <x:c r="Y1453" s="93" t="n">
        <x:f>W1453-X1453</x:f>
        <x:v>45.5</x:v>
      </x:c>
      <x:c r="Z1453" s="94" t="n">
        <x:f>IFERROR(Y1453/W1453,0)</x:f>
        <x:v>0.5321637426900585</x:v>
      </x:c>
      <x:c r="AA1453" s="84" t="str">
        <x:f>PROPER(TRIM('Raw Sales'!M1453))</x:f>
        <x:v>Debit Card</x:v>
      </x:c>
      <x:c r="AB1453" s="84" t="str">
        <x:f>PROPER(TRIM('Raw Sales'!N1453))</x:f>
        <x:v>Ava Mitchell</x:v>
      </x:c>
      <x:c r="AC1453" s="85" t="n">
        <x:f>'Raw Sales'!O1453</x:f>
        <x:v>45773</x:v>
      </x:c>
      <x:c r="AD1453" s="84" t="n">
        <x:f>AC1453-B1453</x:f>
        <x:v>0</x:v>
      </x:c>
      <x:c r="AE1453" s="84" t="str">
        <x:f>IF(COUNTIF($A$5:A1453,A1453)&gt;1,"Duplicate","Keep")</x:f>
        <x:v>Keep</x:v>
      </x:c>
      <x:c r="AF1453" s="84" t="str">
        <x:f>IF(OR(R1453&lt;=0,AC1453&lt;B1453,H1453="Unknown",M1453="Unknown Product"),"Review","Valid")</x:f>
        <x:v>Valid</x:v>
      </x:c>
      <x:c r="AG1453" s="84" t="n">
        <x:f>IF(AND(AE1453="Keep",AF1453="Valid"),1,0)</x:f>
        <x:v>1</x:v>
      </x:c>
      <x:c r="AH1453" s="84" t="n">
        <x:f>IF(AND(AG1453=1,OR('Dashboard'!$B$4="All",I1453='Dashboard'!$B$4),OR('Dashboard'!$E$4="All",N1453='Dashboard'!$E$4),OR('Dashboard'!$H$4="All",K1453='Dashboard'!$H$4),OR('Dashboard'!$K$4="All",C1453='Dashboard'!$K$4)),1,0)</x:f>
        <x:v>1</x:v>
      </x:c>
      <x:c r="AI1453" s="84" t="n">
        <x:f>IF(AND(AG1453=1,OR('Dashboard'!$B$4="All",I1453='Dashboard'!$B$4),OR('Dashboard'!$E$4="All",N1453='Dashboard'!$E$4),OR('Dashboard'!$H$4="All",K1453='Dashboard'!$H$4)),1,0)</x:f>
        <x:v>1</x:v>
      </x:c>
    </x:row>
    <x:row r="1454">
      <x:c r="A1454" s="84" t="str">
        <x:f>'Raw Sales'!A1454</x:f>
        <x:v>ORD-2025-01337</x:v>
      </x:c>
      <x:c r="B1454" s="85" t="n">
        <x:f>'Raw Sales'!B1454</x:f>
        <x:v>45773</x:v>
      </x:c>
      <x:c r="C1454" s="84" t="n">
        <x:f>YEAR(B1454)</x:f>
        <x:v>2025</x:v>
      </x:c>
      <x:c r="D1454" s="91" t="n">
        <x:f>DATE(YEAR(B1454),MONTH(B1454),1)</x:f>
        <x:v>45748</x:v>
      </x:c>
      <x:c r="E1454" s="84" t="str">
        <x:f>TEXT(B1454,"mmm")</x:f>
        <x:v>Apr</x:v>
      </x:c>
      <x:c r="F1454" s="84" t="str">
        <x:f>'Raw Sales'!C1454</x:f>
        <x:v>CUST-0558</x:v>
      </x:c>
      <x:c r="G1454" s="84" t="str">
        <x:f>PROPER(TRIM('Raw Sales'!D1454))</x:f>
        <x:v>Elias Irwin</x:v>
      </x:c>
      <x:c r="H1454" s="84" t="str">
        <x:f>IF(TRIM('Raw Sales'!E1454)="","Unknown",PROPER(TRIM('Raw Sales'!E1454)))</x:f>
        <x:v>Corporate</x:v>
      </x:c>
      <x:c r="I1454" s="84" t="str">
        <x:f>PROPER(TRIM('Raw Sales'!F1454))</x:f>
        <x:v>Northeast</x:v>
      </x:c>
      <x:c r="J1454" s="84" t="str">
        <x:f>PROPER(TRIM('Raw Sales'!G1454))</x:f>
        <x:v>Philadelphia</x:v>
      </x:c>
      <x:c r="K1454" s="84" t="str">
        <x:f>PROPER(TRIM('Raw Sales'!H1454))</x:f>
        <x:v>Retail Store</x:v>
      </x:c>
      <x:c r="L1454" s="84" t="str">
        <x:f>'Raw Sales'!I1454</x:f>
        <x:v>CARE-002</x:v>
      </x:c>
      <x:c r="M1454" s="84" t="str">
        <x:f>IFERROR(VLOOKUP(L1454,'Reference Data'!$A$5:$F$40,2,FALSE),"Unknown Product")</x:f>
        <x:v>Rechargeable Trimmer</x:v>
      </x:c>
      <x:c r="N1454" s="84" t="str">
        <x:f>IFERROR(VLOOKUP(L1454,'Reference Data'!$A$5:$F$40,3,FALSE),"Unknown")</x:f>
        <x:v>Personal Care</x:v>
      </x:c>
      <x:c r="O1454" s="84" t="str">
        <x:f>IFERROR(VLOOKUP(L1454,'Reference Data'!$A$5:$F$40,4,FALSE),"Unknown")</x:f>
        <x:v>Grooming</x:v>
      </x:c>
      <x:c r="P1454" s="92" t="n">
        <x:f>IFERROR(VLOOKUP(L1454,'Reference Data'!$A$5:$F$40,5,FALSE),0)</x:f>
        <x:v>45</x:v>
      </x:c>
      <x:c r="Q1454" s="92" t="n">
        <x:f>IFERROR(VLOOKUP(L1454,'Reference Data'!$A$5:$F$40,6,FALSE),0)</x:f>
        <x:v>19</x:v>
      </x:c>
      <x:c r="R1454" s="84" t="n">
        <x:f>'Raw Sales'!J1454</x:f>
        <x:v>3</x:v>
      </x:c>
      <x:c r="S1454" s="87" t="n">
        <x:f>'Raw Sales'!K1454</x:f>
        <x:v>0.05</x:v>
      </x:c>
      <x:c r="T1454" s="93" t="n">
        <x:f>P1454*R1454</x:f>
        <x:v>135</x:v>
      </x:c>
      <x:c r="U1454" s="93" t="n">
        <x:f>T1454*S1454</x:f>
        <x:v>6.75</x:v>
      </x:c>
      <x:c r="V1454" s="93" t="str">
        <x:f>PROPER(TRIM('Raw Sales'!L1454))</x:f>
        <x:v>Completed</x:v>
      </x:c>
      <x:c r="W1454" s="93" t="n">
        <x:f>IF(V1454="Returned",0,T1454-U1454)</x:f>
        <x:v>128.25</x:v>
      </x:c>
      <x:c r="X1454" s="93" t="n">
        <x:f>IF(V1454="Returned",Q1454*R1454*10%,Q1454*R1454)</x:f>
        <x:v>57</x:v>
      </x:c>
      <x:c r="Y1454" s="93" t="n">
        <x:f>W1454-X1454</x:f>
        <x:v>71.25</x:v>
      </x:c>
      <x:c r="Z1454" s="94" t="n">
        <x:f>IFERROR(Y1454/W1454,0)</x:f>
        <x:v>0.5555555555555556</x:v>
      </x:c>
      <x:c r="AA1454" s="84" t="str">
        <x:f>PROPER(TRIM('Raw Sales'!M1454))</x:f>
        <x:v>Credit Card</x:v>
      </x:c>
      <x:c r="AB1454" s="84" t="str">
        <x:f>PROPER(TRIM('Raw Sales'!N1454))</x:f>
        <x:v>Sofia Bennett</x:v>
      </x:c>
      <x:c r="AC1454" s="85" t="n">
        <x:f>'Raw Sales'!O1454</x:f>
        <x:v>45774</x:v>
      </x:c>
      <x:c r="AD1454" s="84" t="n">
        <x:f>AC1454-B1454</x:f>
        <x:v>1</x:v>
      </x:c>
      <x:c r="AE1454" s="84" t="str">
        <x:f>IF(COUNTIF($A$5:A1454,A1454)&gt;1,"Duplicate","Keep")</x:f>
        <x:v>Keep</x:v>
      </x:c>
      <x:c r="AF1454" s="84" t="str">
        <x:f>IF(OR(R1454&lt;=0,AC1454&lt;B1454,H1454="Unknown",M1454="Unknown Product"),"Review","Valid")</x:f>
        <x:v>Valid</x:v>
      </x:c>
      <x:c r="AG1454" s="84" t="n">
        <x:f>IF(AND(AE1454="Keep",AF1454="Valid"),1,0)</x:f>
        <x:v>1</x:v>
      </x:c>
      <x:c r="AH1454" s="84" t="n">
        <x:f>IF(AND(AG1454=1,OR('Dashboard'!$B$4="All",I1454='Dashboard'!$B$4),OR('Dashboard'!$E$4="All",N1454='Dashboard'!$E$4),OR('Dashboard'!$H$4="All",K1454='Dashboard'!$H$4),OR('Dashboard'!$K$4="All",C1454='Dashboard'!$K$4)),1,0)</x:f>
        <x:v>1</x:v>
      </x:c>
      <x:c r="AI1454" s="84" t="n">
        <x:f>IF(AND(AG1454=1,OR('Dashboard'!$B$4="All",I1454='Dashboard'!$B$4),OR('Dashboard'!$E$4="All",N1454='Dashboard'!$E$4),OR('Dashboard'!$H$4="All",K1454='Dashboard'!$H$4)),1,0)</x:f>
        <x:v>1</x:v>
      </x:c>
    </x:row>
    <x:row r="1455">
      <x:c r="A1455" s="84" t="str">
        <x:f>'Raw Sales'!A1455</x:f>
        <x:v>ORD-2025-02021</x:v>
      </x:c>
      <x:c r="B1455" s="85" t="n">
        <x:f>'Raw Sales'!B1455</x:f>
        <x:v>45773</x:v>
      </x:c>
      <x:c r="C1455" s="84" t="n">
        <x:f>YEAR(B1455)</x:f>
        <x:v>2025</x:v>
      </x:c>
      <x:c r="D1455" s="91" t="n">
        <x:f>DATE(YEAR(B1455),MONTH(B1455),1)</x:f>
        <x:v>45748</x:v>
      </x:c>
      <x:c r="E1455" s="84" t="str">
        <x:f>TEXT(B1455,"mmm")</x:f>
        <x:v>Apr</x:v>
      </x:c>
      <x:c r="F1455" s="84" t="str">
        <x:f>'Raw Sales'!C1455</x:f>
        <x:v>CUST-0209</x:v>
      </x:c>
      <x:c r="G1455" s="84" t="str">
        <x:f>PROPER(TRIM('Raw Sales'!D1455))</x:f>
        <x:v>Sara Walker</x:v>
      </x:c>
      <x:c r="H1455" s="84" t="str">
        <x:f>IF(TRIM('Raw Sales'!E1455)="","Unknown",PROPER(TRIM('Raw Sales'!E1455)))</x:f>
        <x:v>Consumer</x:v>
      </x:c>
      <x:c r="I1455" s="84" t="str">
        <x:f>PROPER(TRIM('Raw Sales'!F1455))</x:f>
        <x:v>Midwest</x:v>
      </x:c>
      <x:c r="J1455" s="84" t="str">
        <x:f>PROPER(TRIM('Raw Sales'!G1455))</x:f>
        <x:v>Chicago</x:v>
      </x:c>
      <x:c r="K1455" s="84" t="str">
        <x:f>PROPER(TRIM('Raw Sales'!H1455))</x:f>
        <x:v>Retail Store</x:v>
      </x:c>
      <x:c r="L1455" s="84" t="str">
        <x:f>'Raw Sales'!I1455</x:f>
        <x:v>HOME-003</x:v>
      </x:c>
      <x:c r="M1455" s="84" t="str">
        <x:f>IFERROR(VLOOKUP(L1455,'Reference Data'!$A$5:$F$40,2,FALSE),"Unknown Product")</x:f>
        <x:v>Countertop Blender</x:v>
      </x:c>
      <x:c r="N1455" s="84" t="str">
        <x:f>IFERROR(VLOOKUP(L1455,'Reference Data'!$A$5:$F$40,3,FALSE),"Unknown")</x:f>
        <x:v>Home &amp; Kitchen</x:v>
      </x:c>
      <x:c r="O1455" s="84" t="str">
        <x:f>IFERROR(VLOOKUP(L1455,'Reference Data'!$A$5:$F$40,4,FALSE),"Unknown")</x:f>
        <x:v>Small Appliances</x:v>
      </x:c>
      <x:c r="P1455" s="92" t="n">
        <x:f>IFERROR(VLOOKUP(L1455,'Reference Data'!$A$5:$F$40,5,FALSE),0)</x:f>
        <x:v>89</x:v>
      </x:c>
      <x:c r="Q1455" s="92" t="n">
        <x:f>IFERROR(VLOOKUP(L1455,'Reference Data'!$A$5:$F$40,6,FALSE),0)</x:f>
        <x:v>46</x:v>
      </x:c>
      <x:c r="R1455" s="84" t="n">
        <x:f>'Raw Sales'!J1455</x:f>
        <x:v>1</x:v>
      </x:c>
      <x:c r="S1455" s="87" t="n">
        <x:f>'Raw Sales'!K1455</x:f>
        <x:v>0.05</x:v>
      </x:c>
      <x:c r="T1455" s="93" t="n">
        <x:f>P1455*R1455</x:f>
        <x:v>89</x:v>
      </x:c>
      <x:c r="U1455" s="93" t="n">
        <x:f>T1455*S1455</x:f>
        <x:v>4.45</x:v>
      </x:c>
      <x:c r="V1455" s="93" t="str">
        <x:f>PROPER(TRIM('Raw Sales'!L1455))</x:f>
        <x:v>Completed</x:v>
      </x:c>
      <x:c r="W1455" s="93" t="n">
        <x:f>IF(V1455="Returned",0,T1455-U1455)</x:f>
        <x:v>84.55</x:v>
      </x:c>
      <x:c r="X1455" s="93" t="n">
        <x:f>IF(V1455="Returned",Q1455*R1455*10%,Q1455*R1455)</x:f>
        <x:v>46</x:v>
      </x:c>
      <x:c r="Y1455" s="93" t="n">
        <x:f>W1455-X1455</x:f>
        <x:v>38.55</x:v>
      </x:c>
      <x:c r="Z1455" s="94" t="n">
        <x:f>IFERROR(Y1455/W1455,0)</x:f>
        <x:v>0.4559432288586635</x:v>
      </x:c>
      <x:c r="AA1455" s="84" t="str">
        <x:f>PROPER(TRIM('Raw Sales'!M1455))</x:f>
        <x:v>Credit Card</x:v>
      </x:c>
      <x:c r="AB1455" s="84" t="str">
        <x:f>PROPER(TRIM('Raw Sales'!N1455))</x:f>
        <x:v>Lucas Grant</x:v>
      </x:c>
      <x:c r="AC1455" s="85" t="n">
        <x:f>'Raw Sales'!O1455</x:f>
        <x:v>45773</x:v>
      </x:c>
      <x:c r="AD1455" s="84" t="n">
        <x:f>AC1455-B1455</x:f>
        <x:v>0</x:v>
      </x:c>
      <x:c r="AE1455" s="84" t="str">
        <x:f>IF(COUNTIF($A$5:A1455,A1455)&gt;1,"Duplicate","Keep")</x:f>
        <x:v>Keep</x:v>
      </x:c>
      <x:c r="AF1455" s="84" t="str">
        <x:f>IF(OR(R1455&lt;=0,AC1455&lt;B1455,H1455="Unknown",M1455="Unknown Product"),"Review","Valid")</x:f>
        <x:v>Valid</x:v>
      </x:c>
      <x:c r="AG1455" s="84" t="n">
        <x:f>IF(AND(AE1455="Keep",AF1455="Valid"),1,0)</x:f>
        <x:v>1</x:v>
      </x:c>
      <x:c r="AH1455" s="84" t="n">
        <x:f>IF(AND(AG1455=1,OR('Dashboard'!$B$4="All",I1455='Dashboard'!$B$4),OR('Dashboard'!$E$4="All",N1455='Dashboard'!$E$4),OR('Dashboard'!$H$4="All",K1455='Dashboard'!$H$4),OR('Dashboard'!$K$4="All",C1455='Dashboard'!$K$4)),1,0)</x:f>
        <x:v>1</x:v>
      </x:c>
      <x:c r="AI1455" s="84" t="n">
        <x:f>IF(AND(AG1455=1,OR('Dashboard'!$B$4="All",I1455='Dashboard'!$B$4),OR('Dashboard'!$E$4="All",N1455='Dashboard'!$E$4),OR('Dashboard'!$H$4="All",K1455='Dashboard'!$H$4)),1,0)</x:f>
        <x:v>1</x:v>
      </x:c>
    </x:row>
    <x:row r="1456">
      <x:c r="A1456" s="84" t="str">
        <x:f>'Raw Sales'!A1456</x:f>
        <x:v>ORD-2025-01559</x:v>
      </x:c>
      <x:c r="B1456" s="85" t="n">
        <x:f>'Raw Sales'!B1456</x:f>
        <x:v>45775</x:v>
      </x:c>
      <x:c r="C1456" s="84" t="n">
        <x:f>YEAR(B1456)</x:f>
        <x:v>2025</x:v>
      </x:c>
      <x:c r="D1456" s="91" t="n">
        <x:f>DATE(YEAR(B1456),MONTH(B1456),1)</x:f>
        <x:v>45748</x:v>
      </x:c>
      <x:c r="E1456" s="84" t="str">
        <x:f>TEXT(B1456,"mmm")</x:f>
        <x:v>Apr</x:v>
      </x:c>
      <x:c r="F1456" s="84" t="str">
        <x:f>'Raw Sales'!C1456</x:f>
        <x:v>CUST-0313</x:v>
      </x:c>
      <x:c r="G1456" s="84" t="str">
        <x:f>PROPER(TRIM('Raw Sales'!D1456))</x:f>
        <x:v>Elena Carter</x:v>
      </x:c>
      <x:c r="H1456" s="84" t="str">
        <x:f>IF(TRIM('Raw Sales'!E1456)="","Unknown",PROPER(TRIM('Raw Sales'!E1456)))</x:f>
        <x:v>Consumer</x:v>
      </x:c>
      <x:c r="I1456" s="84" t="str">
        <x:f>PROPER(TRIM('Raw Sales'!F1456))</x:f>
        <x:v>Midwest</x:v>
      </x:c>
      <x:c r="J1456" s="84" t="str">
        <x:f>PROPER(TRIM('Raw Sales'!G1456))</x:f>
        <x:v>Columbus</x:v>
      </x:c>
      <x:c r="K1456" s="84" t="str">
        <x:f>PROPER(TRIM('Raw Sales'!H1456))</x:f>
        <x:v>Online</x:v>
      </x:c>
      <x:c r="L1456" s="84" t="str">
        <x:f>'Raw Sales'!I1456</x:f>
        <x:v>OFFC-006</x:v>
      </x:c>
      <x:c r="M1456" s="84" t="str">
        <x:f>IFERROR(VLOOKUP(L1456,'Reference Data'!$A$5:$F$40,2,FALSE),"Unknown Product")</x:f>
        <x:v>Monitor Stand</x:v>
      </x:c>
      <x:c r="N1456" s="84" t="str">
        <x:f>IFERROR(VLOOKUP(L1456,'Reference Data'!$A$5:$F$40,3,FALSE),"Unknown")</x:f>
        <x:v>Office</x:v>
      </x:c>
      <x:c r="O1456" s="84" t="str">
        <x:f>IFERROR(VLOOKUP(L1456,'Reference Data'!$A$5:$F$40,4,FALSE),"Unknown")</x:f>
        <x:v>Desk Accessories</x:v>
      </x:c>
      <x:c r="P1456" s="92" t="n">
        <x:f>IFERROR(VLOOKUP(L1456,'Reference Data'!$A$5:$F$40,5,FALSE),0)</x:f>
        <x:v>49</x:v>
      </x:c>
      <x:c r="Q1456" s="92" t="n">
        <x:f>IFERROR(VLOOKUP(L1456,'Reference Data'!$A$5:$F$40,6,FALSE),0)</x:f>
        <x:v>21</x:v>
      </x:c>
      <x:c r="R1456" s="84" t="n">
        <x:f>'Raw Sales'!J1456</x:f>
        <x:v>1</x:v>
      </x:c>
      <x:c r="S1456" s="87" t="n">
        <x:f>'Raw Sales'!K1456</x:f>
        <x:v>0.2</x:v>
      </x:c>
      <x:c r="T1456" s="93" t="n">
        <x:f>P1456*R1456</x:f>
        <x:v>49</x:v>
      </x:c>
      <x:c r="U1456" s="93" t="n">
        <x:f>T1456*S1456</x:f>
        <x:v>9.8</x:v>
      </x:c>
      <x:c r="V1456" s="93" t="str">
        <x:f>PROPER(TRIM('Raw Sales'!L1456))</x:f>
        <x:v>Completed</x:v>
      </x:c>
      <x:c r="W1456" s="93" t="n">
        <x:f>IF(V1456="Returned",0,T1456-U1456)</x:f>
        <x:v>39.2</x:v>
      </x:c>
      <x:c r="X1456" s="93" t="n">
        <x:f>IF(V1456="Returned",Q1456*R1456*10%,Q1456*R1456)</x:f>
        <x:v>21</x:v>
      </x:c>
      <x:c r="Y1456" s="93" t="n">
        <x:f>W1456-X1456</x:f>
        <x:v>18.200000000000003</x:v>
      </x:c>
      <x:c r="Z1456" s="94" t="n">
        <x:f>IFERROR(Y1456/W1456,0)</x:f>
        <x:v>0.4642857142857143</x:v>
      </x:c>
      <x:c r="AA1456" s="84" t="str">
        <x:f>PROPER(TRIM('Raw Sales'!M1456))</x:f>
        <x:v>Mobile Wallet</x:v>
      </x:c>
      <x:c r="AB1456" s="84" t="str">
        <x:f>PROPER(TRIM('Raw Sales'!N1456))</x:f>
        <x:v>Zoe Turner</x:v>
      </x:c>
      <x:c r="AC1456" s="85" t="n">
        <x:f>'Raw Sales'!O1456</x:f>
        <x:v>45778</x:v>
      </x:c>
      <x:c r="AD1456" s="84" t="n">
        <x:f>AC1456-B1456</x:f>
        <x:v>3</x:v>
      </x:c>
      <x:c r="AE1456" s="84" t="str">
        <x:f>IF(COUNTIF($A$5:A1456,A1456)&gt;1,"Duplicate","Keep")</x:f>
        <x:v>Keep</x:v>
      </x:c>
      <x:c r="AF1456" s="84" t="str">
        <x:f>IF(OR(R1456&lt;=0,AC1456&lt;B1456,H1456="Unknown",M1456="Unknown Product"),"Review","Valid")</x:f>
        <x:v>Valid</x:v>
      </x:c>
      <x:c r="AG1456" s="84" t="n">
        <x:f>IF(AND(AE1456="Keep",AF1456="Valid"),1,0)</x:f>
        <x:v>1</x:v>
      </x:c>
      <x:c r="AH1456" s="84" t="n">
        <x:f>IF(AND(AG1456=1,OR('Dashboard'!$B$4="All",I1456='Dashboard'!$B$4),OR('Dashboard'!$E$4="All",N1456='Dashboard'!$E$4),OR('Dashboard'!$H$4="All",K1456='Dashboard'!$H$4),OR('Dashboard'!$K$4="All",C1456='Dashboard'!$K$4)),1,0)</x:f>
        <x:v>1</x:v>
      </x:c>
      <x:c r="AI1456" s="84" t="n">
        <x:f>IF(AND(AG1456=1,OR('Dashboard'!$B$4="All",I1456='Dashboard'!$B$4),OR('Dashboard'!$E$4="All",N1456='Dashboard'!$E$4),OR('Dashboard'!$H$4="All",K1456='Dashboard'!$H$4)),1,0)</x:f>
        <x:v>1</x:v>
      </x:c>
    </x:row>
    <x:row r="1457">
      <x:c r="A1457" s="84" t="str">
        <x:f>'Raw Sales'!A1457</x:f>
        <x:v>ORD-2025-00238</x:v>
      </x:c>
      <x:c r="B1457" s="85" t="n">
        <x:f>'Raw Sales'!B1457</x:f>
        <x:v>45776</x:v>
      </x:c>
      <x:c r="C1457" s="84" t="n">
        <x:f>YEAR(B1457)</x:f>
        <x:v>2025</x:v>
      </x:c>
      <x:c r="D1457" s="91" t="n">
        <x:f>DATE(YEAR(B1457),MONTH(B1457),1)</x:f>
        <x:v>45748</x:v>
      </x:c>
      <x:c r="E1457" s="84" t="str">
        <x:f>TEXT(B1457,"mmm")</x:f>
        <x:v>Apr</x:v>
      </x:c>
      <x:c r="F1457" s="84" t="str">
        <x:f>'Raw Sales'!C1457</x:f>
        <x:v>CUST-0054</x:v>
      </x:c>
      <x:c r="G1457" s="84" t="str">
        <x:f>PROPER(TRIM('Raw Sales'!D1457))</x:f>
        <x:v>Priya Roberts</x:v>
      </x:c>
      <x:c r="H1457" s="84" t="str">
        <x:f>IF(TRIM('Raw Sales'!E1457)="","Unknown",PROPER(TRIM('Raw Sales'!E1457)))</x:f>
        <x:v>Consumer</x:v>
      </x:c>
      <x:c r="I1457" s="84" t="str">
        <x:f>PROPER(TRIM('Raw Sales'!F1457))</x:f>
        <x:v>West</x:v>
      </x:c>
      <x:c r="J1457" s="84" t="str">
        <x:f>PROPER(TRIM('Raw Sales'!G1457))</x:f>
        <x:v>Phoenix</x:v>
      </x:c>
      <x:c r="K1457" s="84" t="str">
        <x:f>PROPER(TRIM('Raw Sales'!H1457))</x:f>
        <x:v>Retail Store</x:v>
      </x:c>
      <x:c r="L1457" s="84" t="str">
        <x:f>'Raw Sales'!I1457</x:f>
        <x:v>ACCS-001</x:v>
      </x:c>
      <x:c r="M1457" s="84" t="str">
        <x:f>IFERROR(VLOOKUP(L1457,'Reference Data'!$A$5:$F$40,2,FALSE),"Unknown Product")</x:f>
        <x:v>Canvas Tote Bag</x:v>
      </x:c>
      <x:c r="N1457" s="84" t="str">
        <x:f>IFERROR(VLOOKUP(L1457,'Reference Data'!$A$5:$F$40,3,FALSE),"Unknown")</x:f>
        <x:v>Accessories</x:v>
      </x:c>
      <x:c r="O1457" s="84" t="str">
        <x:f>IFERROR(VLOOKUP(L1457,'Reference Data'!$A$5:$F$40,4,FALSE),"Unknown")</x:f>
        <x:v>Bags</x:v>
      </x:c>
      <x:c r="P1457" s="92" t="n">
        <x:f>IFERROR(VLOOKUP(L1457,'Reference Data'!$A$5:$F$40,5,FALSE),0)</x:f>
        <x:v>39</x:v>
      </x:c>
      <x:c r="Q1457" s="92" t="n">
        <x:f>IFERROR(VLOOKUP(L1457,'Reference Data'!$A$5:$F$40,6,FALSE),0)</x:f>
        <x:v>14</x:v>
      </x:c>
      <x:c r="R1457" s="84" t="n">
        <x:f>'Raw Sales'!J1457</x:f>
        <x:v>3</x:v>
      </x:c>
      <x:c r="S1457" s="87" t="n">
        <x:f>'Raw Sales'!K1457</x:f>
        <x:v>0.05</x:v>
      </x:c>
      <x:c r="T1457" s="93" t="n">
        <x:f>P1457*R1457</x:f>
        <x:v>117</x:v>
      </x:c>
      <x:c r="U1457" s="93" t="n">
        <x:f>T1457*S1457</x:f>
        <x:v>5.8500000000000005</x:v>
      </x:c>
      <x:c r="V1457" s="93" t="str">
        <x:f>PROPER(TRIM('Raw Sales'!L1457))</x:f>
        <x:v>Completed</x:v>
      </x:c>
      <x:c r="W1457" s="93" t="n">
        <x:f>IF(V1457="Returned",0,T1457-U1457)</x:f>
        <x:v>111.15</x:v>
      </x:c>
      <x:c r="X1457" s="93" t="n">
        <x:f>IF(V1457="Returned",Q1457*R1457*10%,Q1457*R1457)</x:f>
        <x:v>42</x:v>
      </x:c>
      <x:c r="Y1457" s="93" t="n">
        <x:f>W1457-X1457</x:f>
        <x:v>69.15</x:v>
      </x:c>
      <x:c r="Z1457" s="94" t="n">
        <x:f>IFERROR(Y1457/W1457,0)</x:f>
        <x:v>0.6221322537112011</x:v>
      </x:c>
      <x:c r="AA1457" s="84" t="str">
        <x:f>PROPER(TRIM('Raw Sales'!M1457))</x:f>
        <x:v>Credit Card</x:v>
      </x:c>
      <x:c r="AB1457" s="84" t="str">
        <x:f>PROPER(TRIM('Raw Sales'!N1457))</x:f>
        <x:v>Mia Chen</x:v>
      </x:c>
      <x:c r="AC1457" s="85" t="n">
        <x:f>'Raw Sales'!O1457</x:f>
        <x:v>45776</x:v>
      </x:c>
      <x:c r="AD1457" s="84" t="n">
        <x:f>AC1457-B1457</x:f>
        <x:v>0</x:v>
      </x:c>
      <x:c r="AE1457" s="84" t="str">
        <x:f>IF(COUNTIF($A$5:A1457,A1457)&gt;1,"Duplicate","Keep")</x:f>
        <x:v>Keep</x:v>
      </x:c>
      <x:c r="AF1457" s="84" t="str">
        <x:f>IF(OR(R1457&lt;=0,AC1457&lt;B1457,H1457="Unknown",M1457="Unknown Product"),"Review","Valid")</x:f>
        <x:v>Valid</x:v>
      </x:c>
      <x:c r="AG1457" s="84" t="n">
        <x:f>IF(AND(AE1457="Keep",AF1457="Valid"),1,0)</x:f>
        <x:v>1</x:v>
      </x:c>
      <x:c r="AH1457" s="84" t="n">
        <x:f>IF(AND(AG1457=1,OR('Dashboard'!$B$4="All",I1457='Dashboard'!$B$4),OR('Dashboard'!$E$4="All",N1457='Dashboard'!$E$4),OR('Dashboard'!$H$4="All",K1457='Dashboard'!$H$4),OR('Dashboard'!$K$4="All",C1457='Dashboard'!$K$4)),1,0)</x:f>
        <x:v>1</x:v>
      </x:c>
      <x:c r="AI1457" s="84" t="n">
        <x:f>IF(AND(AG1457=1,OR('Dashboard'!$B$4="All",I1457='Dashboard'!$B$4),OR('Dashboard'!$E$4="All",N1457='Dashboard'!$E$4),OR('Dashboard'!$H$4="All",K1457='Dashboard'!$H$4)),1,0)</x:f>
        <x:v>1</x:v>
      </x:c>
    </x:row>
    <x:row r="1458">
      <x:c r="A1458" s="84" t="str">
        <x:f>'Raw Sales'!A1458</x:f>
        <x:v>ORD-2025-00538</x:v>
      </x:c>
      <x:c r="B1458" s="85" t="n">
        <x:f>'Raw Sales'!B1458</x:f>
        <x:v>45776</x:v>
      </x:c>
      <x:c r="C1458" s="84" t="n">
        <x:f>YEAR(B1458)</x:f>
        <x:v>2025</x:v>
      </x:c>
      <x:c r="D1458" s="91" t="n">
        <x:f>DATE(YEAR(B1458),MONTH(B1458),1)</x:f>
        <x:v>45748</x:v>
      </x:c>
      <x:c r="E1458" s="84" t="str">
        <x:f>TEXT(B1458,"mmm")</x:f>
        <x:v>Apr</x:v>
      </x:c>
      <x:c r="F1458" s="84" t="str">
        <x:f>'Raw Sales'!C1458</x:f>
        <x:v>CUST-0285</x:v>
      </x:c>
      <x:c r="G1458" s="84" t="str">
        <x:f>PROPER(TRIM('Raw Sales'!D1458))</x:f>
        <x:v>Caleb Evans</x:v>
      </x:c>
      <x:c r="H1458" s="84" t="str">
        <x:f>IF(TRIM('Raw Sales'!E1458)="","Unknown",PROPER(TRIM('Raw Sales'!E1458)))</x:f>
        <x:v>Consumer</x:v>
      </x:c>
      <x:c r="I1458" s="84" t="str">
        <x:f>PROPER(TRIM('Raw Sales'!F1458))</x:f>
        <x:v>Southeast</x:v>
      </x:c>
      <x:c r="J1458" s="84" t="str">
        <x:f>PROPER(TRIM('Raw Sales'!G1458))</x:f>
        <x:v>Charlotte</x:v>
      </x:c>
      <x:c r="K1458" s="84" t="str">
        <x:f>PROPER(TRIM('Raw Sales'!H1458))</x:f>
        <x:v>Retail Store</x:v>
      </x:c>
      <x:c r="L1458" s="84" t="str">
        <x:f>'Raw Sales'!I1458</x:f>
        <x:v>ACCS-005</x:v>
      </x:c>
      <x:c r="M1458" s="84" t="str">
        <x:f>IFERROR(VLOOKUP(L1458,'Reference Data'!$A$5:$F$40,2,FALSE),"Unknown Product")</x:f>
        <x:v>Protective Phone Case</x:v>
      </x:c>
      <x:c r="N1458" s="84" t="str">
        <x:f>IFERROR(VLOOKUP(L1458,'Reference Data'!$A$5:$F$40,3,FALSE),"Unknown")</x:f>
        <x:v>Accessories</x:v>
      </x:c>
      <x:c r="O1458" s="84" t="str">
        <x:f>IFERROR(VLOOKUP(L1458,'Reference Data'!$A$5:$F$40,4,FALSE),"Unknown")</x:f>
        <x:v>Mobile Accessories</x:v>
      </x:c>
      <x:c r="P1458" s="92" t="n">
        <x:f>IFERROR(VLOOKUP(L1458,'Reference Data'!$A$5:$F$40,5,FALSE),0)</x:f>
        <x:v>24</x:v>
      </x:c>
      <x:c r="Q1458" s="92" t="n">
        <x:f>IFERROR(VLOOKUP(L1458,'Reference Data'!$A$5:$F$40,6,FALSE),0)</x:f>
        <x:v>5</x:v>
      </x:c>
      <x:c r="R1458" s="84" t="n">
        <x:f>'Raw Sales'!J1458</x:f>
        <x:v>1</x:v>
      </x:c>
      <x:c r="S1458" s="87" t="n">
        <x:f>'Raw Sales'!K1458</x:f>
        <x:v>0</x:v>
      </x:c>
      <x:c r="T1458" s="93" t="n">
        <x:f>P1458*R1458</x:f>
        <x:v>24</x:v>
      </x:c>
      <x:c r="U1458" s="93" t="n">
        <x:f>T1458*S1458</x:f>
        <x:v>0</x:v>
      </x:c>
      <x:c r="V1458" s="93" t="str">
        <x:f>PROPER(TRIM('Raw Sales'!L1458))</x:f>
        <x:v>Completed</x:v>
      </x:c>
      <x:c r="W1458" s="93" t="n">
        <x:f>IF(V1458="Returned",0,T1458-U1458)</x:f>
        <x:v>24</x:v>
      </x:c>
      <x:c r="X1458" s="93" t="n">
        <x:f>IF(V1458="Returned",Q1458*R1458*10%,Q1458*R1458)</x:f>
        <x:v>5</x:v>
      </x:c>
      <x:c r="Y1458" s="93" t="n">
        <x:f>W1458-X1458</x:f>
        <x:v>19</x:v>
      </x:c>
      <x:c r="Z1458" s="94" t="n">
        <x:f>IFERROR(Y1458/W1458,0)</x:f>
        <x:v>0.7916666666666666</x:v>
      </x:c>
      <x:c r="AA1458" s="84" t="str">
        <x:f>PROPER(TRIM('Raw Sales'!M1458))</x:f>
        <x:v>Debit Card</x:v>
      </x:c>
      <x:c r="AB1458" s="84" t="str">
        <x:f>PROPER(TRIM('Raw Sales'!N1458))</x:f>
        <x:v>Ava Mitchell</x:v>
      </x:c>
      <x:c r="AC1458" s="85" t="n">
        <x:f>'Raw Sales'!O1458</x:f>
        <x:v>45776</x:v>
      </x:c>
      <x:c r="AD1458" s="84" t="n">
        <x:f>AC1458-B1458</x:f>
        <x:v>0</x:v>
      </x:c>
      <x:c r="AE1458" s="84" t="str">
        <x:f>IF(COUNTIF($A$5:A1458,A1458)&gt;1,"Duplicate","Keep")</x:f>
        <x:v>Keep</x:v>
      </x:c>
      <x:c r="AF1458" s="84" t="str">
        <x:f>IF(OR(R1458&lt;=0,AC1458&lt;B1458,H1458="Unknown",M1458="Unknown Product"),"Review","Valid")</x:f>
        <x:v>Valid</x:v>
      </x:c>
      <x:c r="AG1458" s="84" t="n">
        <x:f>IF(AND(AE1458="Keep",AF1458="Valid"),1,0)</x:f>
        <x:v>1</x:v>
      </x:c>
      <x:c r="AH1458" s="84" t="n">
        <x:f>IF(AND(AG1458=1,OR('Dashboard'!$B$4="All",I1458='Dashboard'!$B$4),OR('Dashboard'!$E$4="All",N1458='Dashboard'!$E$4),OR('Dashboard'!$H$4="All",K1458='Dashboard'!$H$4),OR('Dashboard'!$K$4="All",C1458='Dashboard'!$K$4)),1,0)</x:f>
        <x:v>1</x:v>
      </x:c>
      <x:c r="AI1458" s="84" t="n">
        <x:f>IF(AND(AG1458=1,OR('Dashboard'!$B$4="All",I1458='Dashboard'!$B$4),OR('Dashboard'!$E$4="All",N1458='Dashboard'!$E$4),OR('Dashboard'!$H$4="All",K1458='Dashboard'!$H$4)),1,0)</x:f>
        <x:v>1</x:v>
      </x:c>
    </x:row>
    <x:row r="1459">
      <x:c r="A1459" s="84" t="str">
        <x:f>'Raw Sales'!A1459</x:f>
        <x:v>ORD-2025-01020</x:v>
      </x:c>
      <x:c r="B1459" s="85" t="n">
        <x:f>'Raw Sales'!B1459</x:f>
        <x:v>45776</x:v>
      </x:c>
      <x:c r="C1459" s="84" t="n">
        <x:f>YEAR(B1459)</x:f>
        <x:v>2025</x:v>
      </x:c>
      <x:c r="D1459" s="91" t="n">
        <x:f>DATE(YEAR(B1459),MONTH(B1459),1)</x:f>
        <x:v>45748</x:v>
      </x:c>
      <x:c r="E1459" s="84" t="str">
        <x:f>TEXT(B1459,"mmm")</x:f>
        <x:v>Apr</x:v>
      </x:c>
      <x:c r="F1459" s="84" t="str">
        <x:f>'Raw Sales'!C1459</x:f>
        <x:v>CUST-0625</x:v>
      </x:c>
      <x:c r="G1459" s="84" t="str">
        <x:f>PROPER(TRIM('Raw Sales'!D1459))</x:f>
        <x:v>Daniel Patel</x:v>
      </x:c>
      <x:c r="H1459" s="84" t="str">
        <x:f>IF(TRIM('Raw Sales'!E1459)="","Unknown",PROPER(TRIM('Raw Sales'!E1459)))</x:f>
        <x:v>Small Business</x:v>
      </x:c>
      <x:c r="I1459" s="84" t="str">
        <x:f>PROPER(TRIM('Raw Sales'!F1459))</x:f>
        <x:v>West</x:v>
      </x:c>
      <x:c r="J1459" s="84" t="str">
        <x:f>PROPER(TRIM('Raw Sales'!G1459))</x:f>
        <x:v>Phoenix</x:v>
      </x:c>
      <x:c r="K1459" s="84" t="str">
        <x:f>PROPER(TRIM('Raw Sales'!H1459))</x:f>
        <x:v>Online</x:v>
      </x:c>
      <x:c r="L1459" s="84" t="str">
        <x:f>'Raw Sales'!I1459</x:f>
        <x:v>ACCS-001</x:v>
      </x:c>
      <x:c r="M1459" s="84" t="str">
        <x:f>IFERROR(VLOOKUP(L1459,'Reference Data'!$A$5:$F$40,2,FALSE),"Unknown Product")</x:f>
        <x:v>Canvas Tote Bag</x:v>
      </x:c>
      <x:c r="N1459" s="84" t="str">
        <x:f>IFERROR(VLOOKUP(L1459,'Reference Data'!$A$5:$F$40,3,FALSE),"Unknown")</x:f>
        <x:v>Accessories</x:v>
      </x:c>
      <x:c r="O1459" s="84" t="str">
        <x:f>IFERROR(VLOOKUP(L1459,'Reference Data'!$A$5:$F$40,4,FALSE),"Unknown")</x:f>
        <x:v>Bags</x:v>
      </x:c>
      <x:c r="P1459" s="92" t="n">
        <x:f>IFERROR(VLOOKUP(L1459,'Reference Data'!$A$5:$F$40,5,FALSE),0)</x:f>
        <x:v>39</x:v>
      </x:c>
      <x:c r="Q1459" s="92" t="n">
        <x:f>IFERROR(VLOOKUP(L1459,'Reference Data'!$A$5:$F$40,6,FALSE),0)</x:f>
        <x:v>14</x:v>
      </x:c>
      <x:c r="R1459" s="84" t="n">
        <x:f>'Raw Sales'!J1459</x:f>
        <x:v>1</x:v>
      </x:c>
      <x:c r="S1459" s="87" t="n">
        <x:f>'Raw Sales'!K1459</x:f>
        <x:v>0</x:v>
      </x:c>
      <x:c r="T1459" s="93" t="n">
        <x:f>P1459*R1459</x:f>
        <x:v>39</x:v>
      </x:c>
      <x:c r="U1459" s="93" t="n">
        <x:f>T1459*S1459</x:f>
        <x:v>0</x:v>
      </x:c>
      <x:c r="V1459" s="93" t="str">
        <x:f>PROPER(TRIM('Raw Sales'!L1459))</x:f>
        <x:v>Completed</x:v>
      </x:c>
      <x:c r="W1459" s="93" t="n">
        <x:f>IF(V1459="Returned",0,T1459-U1459)</x:f>
        <x:v>39</x:v>
      </x:c>
      <x:c r="X1459" s="93" t="n">
        <x:f>IF(V1459="Returned",Q1459*R1459*10%,Q1459*R1459)</x:f>
        <x:v>14</x:v>
      </x:c>
      <x:c r="Y1459" s="93" t="n">
        <x:f>W1459-X1459</x:f>
        <x:v>25</x:v>
      </x:c>
      <x:c r="Z1459" s="94" t="n">
        <x:f>IFERROR(Y1459/W1459,0)</x:f>
        <x:v>0.6410256410256411</x:v>
      </x:c>
      <x:c r="AA1459" s="84" t="str">
        <x:f>PROPER(TRIM('Raw Sales'!M1459))</x:f>
        <x:v>Mobile Wallet</x:v>
      </x:c>
      <x:c r="AB1459" s="84" t="str">
        <x:f>PROPER(TRIM('Raw Sales'!N1459))</x:f>
        <x:v>Nora Kim</x:v>
      </x:c>
      <x:c r="AC1459" s="85" t="n">
        <x:f>'Raw Sales'!O1459</x:f>
        <x:v>45779</x:v>
      </x:c>
      <x:c r="AD1459" s="84" t="n">
        <x:f>AC1459-B1459</x:f>
        <x:v>3</x:v>
      </x:c>
      <x:c r="AE1459" s="84" t="str">
        <x:f>IF(COUNTIF($A$5:A1459,A1459)&gt;1,"Duplicate","Keep")</x:f>
        <x:v>Keep</x:v>
      </x:c>
      <x:c r="AF1459" s="84" t="str">
        <x:f>IF(OR(R1459&lt;=0,AC1459&lt;B1459,H1459="Unknown",M1459="Unknown Product"),"Review","Valid")</x:f>
        <x:v>Valid</x:v>
      </x:c>
      <x:c r="AG1459" s="84" t="n">
        <x:f>IF(AND(AE1459="Keep",AF1459="Valid"),1,0)</x:f>
        <x:v>1</x:v>
      </x:c>
      <x:c r="AH1459" s="84" t="n">
        <x:f>IF(AND(AG1459=1,OR('Dashboard'!$B$4="All",I1459='Dashboard'!$B$4),OR('Dashboard'!$E$4="All",N1459='Dashboard'!$E$4),OR('Dashboard'!$H$4="All",K1459='Dashboard'!$H$4),OR('Dashboard'!$K$4="All",C1459='Dashboard'!$K$4)),1,0)</x:f>
        <x:v>1</x:v>
      </x:c>
      <x:c r="AI1459" s="84" t="n">
        <x:f>IF(AND(AG1459=1,OR('Dashboard'!$B$4="All",I1459='Dashboard'!$B$4),OR('Dashboard'!$E$4="All",N1459='Dashboard'!$E$4),OR('Dashboard'!$H$4="All",K1459='Dashboard'!$H$4)),1,0)</x:f>
        <x:v>1</x:v>
      </x:c>
    </x:row>
    <x:row r="1460">
      <x:c r="A1460" s="84" t="str">
        <x:f>'Raw Sales'!A1460</x:f>
        <x:v>ORD-2025-00539</x:v>
      </x:c>
      <x:c r="B1460" s="85" t="n">
        <x:f>'Raw Sales'!B1460</x:f>
        <x:v>45777</x:v>
      </x:c>
      <x:c r="C1460" s="84" t="n">
        <x:f>YEAR(B1460)</x:f>
        <x:v>2025</x:v>
      </x:c>
      <x:c r="D1460" s="91" t="n">
        <x:f>DATE(YEAR(B1460),MONTH(B1460),1)</x:f>
        <x:v>45748</x:v>
      </x:c>
      <x:c r="E1460" s="84" t="str">
        <x:f>TEXT(B1460,"mmm")</x:f>
        <x:v>Apr</x:v>
      </x:c>
      <x:c r="F1460" s="84" t="str">
        <x:f>'Raw Sales'!C1460</x:f>
        <x:v>CUST-0318</x:v>
      </x:c>
      <x:c r="G1460" s="84" t="str">
        <x:f>PROPER(TRIM('Raw Sales'!D1460))</x:f>
        <x:v>Theo Baker</x:v>
      </x:c>
      <x:c r="H1460" s="84" t="str">
        <x:f>IF(TRIM('Raw Sales'!E1460)="","Unknown",PROPER(TRIM('Raw Sales'!E1460)))</x:f>
        <x:v>Consumer</x:v>
      </x:c>
      <x:c r="I1460" s="84" t="str">
        <x:f>PROPER(TRIM('Raw Sales'!F1460))</x:f>
        <x:v>Midwest</x:v>
      </x:c>
      <x:c r="J1460" s="84" t="str">
        <x:f>PROPER(TRIM('Raw Sales'!G1460))</x:f>
        <x:v>Detroit</x:v>
      </x:c>
      <x:c r="K1460" s="84" t="str">
        <x:f>PROPER(TRIM('Raw Sales'!H1460))</x:f>
        <x:v>Online</x:v>
      </x:c>
      <x:c r="L1460" s="84" t="str">
        <x:f>'Raw Sales'!I1460</x:f>
        <x:v>ELEC-005</x:v>
      </x:c>
      <x:c r="M1460" s="84" t="str">
        <x:f>IFERROR(VLOOKUP(L1460,'Reference Data'!$A$5:$F$40,2,FALSE),"Unknown Product")</x:f>
        <x:v>HD Webcam</x:v>
      </x:c>
      <x:c r="N1460" s="84" t="str">
        <x:f>IFERROR(VLOOKUP(L1460,'Reference Data'!$A$5:$F$40,3,FALSE),"Unknown")</x:f>
        <x:v>Electronics</x:v>
      </x:c>
      <x:c r="O1460" s="84" t="str">
        <x:f>IFERROR(VLOOKUP(L1460,'Reference Data'!$A$5:$F$40,4,FALSE),"Unknown")</x:f>
        <x:v>Computer Accessories</x:v>
      </x:c>
      <x:c r="P1460" s="92" t="n">
        <x:f>IFERROR(VLOOKUP(L1460,'Reference Data'!$A$5:$F$40,5,FALSE),0)</x:f>
        <x:v>79</x:v>
      </x:c>
      <x:c r="Q1460" s="92" t="n">
        <x:f>IFERROR(VLOOKUP(L1460,'Reference Data'!$A$5:$F$40,6,FALSE),0)</x:f>
        <x:v>37</x:v>
      </x:c>
      <x:c r="R1460" s="84" t="n">
        <x:f>'Raw Sales'!J1460</x:f>
        <x:v>1</x:v>
      </x:c>
      <x:c r="S1460" s="87" t="n">
        <x:f>'Raw Sales'!K1460</x:f>
        <x:v>0.05</x:v>
      </x:c>
      <x:c r="T1460" s="93" t="n">
        <x:f>P1460*R1460</x:f>
        <x:v>79</x:v>
      </x:c>
      <x:c r="U1460" s="93" t="n">
        <x:f>T1460*S1460</x:f>
        <x:v>3.95</x:v>
      </x:c>
      <x:c r="V1460" s="93" t="str">
        <x:f>PROPER(TRIM('Raw Sales'!L1460))</x:f>
        <x:v>Completed</x:v>
      </x:c>
      <x:c r="W1460" s="93" t="n">
        <x:f>IF(V1460="Returned",0,T1460-U1460)</x:f>
        <x:v>75.05</x:v>
      </x:c>
      <x:c r="X1460" s="93" t="n">
        <x:f>IF(V1460="Returned",Q1460*R1460*10%,Q1460*R1460)</x:f>
        <x:v>37</x:v>
      </x:c>
      <x:c r="Y1460" s="93" t="n">
        <x:f>W1460-X1460</x:f>
        <x:v>38.05</x:v>
      </x:c>
      <x:c r="Z1460" s="94" t="n">
        <x:f>IFERROR(Y1460/W1460,0)</x:f>
        <x:v>0.5069953364423717</x:v>
      </x:c>
      <x:c r="AA1460" s="84" t="str">
        <x:f>PROPER(TRIM('Raw Sales'!M1460))</x:f>
        <x:v>Mobile Wallet</x:v>
      </x:c>
      <x:c r="AB1460" s="84" t="str">
        <x:f>PROPER(TRIM('Raw Sales'!N1460))</x:f>
        <x:v>Lucas Grant</x:v>
      </x:c>
      <x:c r="AC1460" s="85" t="n">
        <x:f>'Raw Sales'!O1460</x:f>
        <x:v>45780</x:v>
      </x:c>
      <x:c r="AD1460" s="84" t="n">
        <x:f>AC1460-B1460</x:f>
        <x:v>3</x:v>
      </x:c>
      <x:c r="AE1460" s="84" t="str">
        <x:f>IF(COUNTIF($A$5:A1460,A1460)&gt;1,"Duplicate","Keep")</x:f>
        <x:v>Keep</x:v>
      </x:c>
      <x:c r="AF1460" s="84" t="str">
        <x:f>IF(OR(R1460&lt;=0,AC1460&lt;B1460,H1460="Unknown",M1460="Unknown Product"),"Review","Valid")</x:f>
        <x:v>Valid</x:v>
      </x:c>
      <x:c r="AG1460" s="84" t="n">
        <x:f>IF(AND(AE1460="Keep",AF1460="Valid"),1,0)</x:f>
        <x:v>1</x:v>
      </x:c>
      <x:c r="AH1460" s="84" t="n">
        <x:f>IF(AND(AG1460=1,OR('Dashboard'!$B$4="All",I1460='Dashboard'!$B$4),OR('Dashboard'!$E$4="All",N1460='Dashboard'!$E$4),OR('Dashboard'!$H$4="All",K1460='Dashboard'!$H$4),OR('Dashboard'!$K$4="All",C1460='Dashboard'!$K$4)),1,0)</x:f>
        <x:v>1</x:v>
      </x:c>
      <x:c r="AI1460" s="84" t="n">
        <x:f>IF(AND(AG1460=1,OR('Dashboard'!$B$4="All",I1460='Dashboard'!$B$4),OR('Dashboard'!$E$4="All",N1460='Dashboard'!$E$4),OR('Dashboard'!$H$4="All",K1460='Dashboard'!$H$4)),1,0)</x:f>
        <x:v>1</x:v>
      </x:c>
    </x:row>
    <x:row r="1461">
      <x:c r="A1461" s="84" t="str">
        <x:f>'Raw Sales'!A1461</x:f>
        <x:v>ORD-2025-00108</x:v>
      </x:c>
      <x:c r="B1461" s="85" t="n">
        <x:f>'Raw Sales'!B1461</x:f>
        <x:v>45778</x:v>
      </x:c>
      <x:c r="C1461" s="84" t="n">
        <x:f>YEAR(B1461)</x:f>
        <x:v>2025</x:v>
      </x:c>
      <x:c r="D1461" s="91" t="n">
        <x:f>DATE(YEAR(B1461),MONTH(B1461),1)</x:f>
        <x:v>45778</x:v>
      </x:c>
      <x:c r="E1461" s="84" t="str">
        <x:f>TEXT(B1461,"mmm")</x:f>
        <x:v>May</x:v>
      </x:c>
      <x:c r="F1461" s="84" t="str">
        <x:f>'Raw Sales'!C1461</x:f>
        <x:v>CUST-0271</x:v>
      </x:c>
      <x:c r="G1461" s="84" t="str">
        <x:f>PROPER(TRIM('Raw Sales'!D1461))</x:f>
        <x:v>Jonah Nelson</x:v>
      </x:c>
      <x:c r="H1461" s="84" t="str">
        <x:f>IF(TRIM('Raw Sales'!E1461)="","Unknown",PROPER(TRIM('Raw Sales'!E1461)))</x:f>
        <x:v>Consumer</x:v>
      </x:c>
      <x:c r="I1461" s="84" t="str">
        <x:f>PROPER(TRIM('Raw Sales'!F1461))</x:f>
        <x:v>Midwest</x:v>
      </x:c>
      <x:c r="J1461" s="84" t="str">
        <x:f>PROPER(TRIM('Raw Sales'!G1461))</x:f>
        <x:v>Detroit</x:v>
      </x:c>
      <x:c r="K1461" s="84" t="str">
        <x:f>PROPER(TRIM('Raw Sales'!H1461))</x:f>
        <x:v>Online</x:v>
      </x:c>
      <x:c r="L1461" s="84" t="str">
        <x:f>'Raw Sales'!I1461</x:f>
        <x:v>ACCS-003</x:v>
      </x:c>
      <x:c r="M1461" s="84" t="str">
        <x:f>IFERROR(VLOOKUP(L1461,'Reference Data'!$A$5:$F$40,2,FALSE),"Unknown Product")</x:f>
        <x:v>Polarized Sunglasses</x:v>
      </x:c>
      <x:c r="N1461" s="84" t="str">
        <x:f>IFERROR(VLOOKUP(L1461,'Reference Data'!$A$5:$F$40,3,FALSE),"Unknown")</x:f>
        <x:v>Accessories</x:v>
      </x:c>
      <x:c r="O1461" s="84" t="str">
        <x:f>IFERROR(VLOOKUP(L1461,'Reference Data'!$A$5:$F$40,4,FALSE),"Unknown")</x:f>
        <x:v>Eyewear</x:v>
      </x:c>
      <x:c r="P1461" s="92" t="n">
        <x:f>IFERROR(VLOOKUP(L1461,'Reference Data'!$A$5:$F$40,5,FALSE),0)</x:f>
        <x:v>59</x:v>
      </x:c>
      <x:c r="Q1461" s="92" t="n">
        <x:f>IFERROR(VLOOKUP(L1461,'Reference Data'!$A$5:$F$40,6,FALSE),0)</x:f>
        <x:v>17</x:v>
      </x:c>
      <x:c r="R1461" s="84" t="n">
        <x:f>'Raw Sales'!J1461</x:f>
        <x:v>1</x:v>
      </x:c>
      <x:c r="S1461" s="87" t="n">
        <x:f>'Raw Sales'!K1461</x:f>
        <x:v>0</x:v>
      </x:c>
      <x:c r="T1461" s="93" t="n">
        <x:f>P1461*R1461</x:f>
        <x:v>59</x:v>
      </x:c>
      <x:c r="U1461" s="93" t="n">
        <x:f>T1461*S1461</x:f>
        <x:v>0</x:v>
      </x:c>
      <x:c r="V1461" s="93" t="str">
        <x:f>PROPER(TRIM('Raw Sales'!L1461))</x:f>
        <x:v>Completed</x:v>
      </x:c>
      <x:c r="W1461" s="93" t="n">
        <x:f>IF(V1461="Returned",0,T1461-U1461)</x:f>
        <x:v>59</x:v>
      </x:c>
      <x:c r="X1461" s="93" t="n">
        <x:f>IF(V1461="Returned",Q1461*R1461*10%,Q1461*R1461)</x:f>
        <x:v>17</x:v>
      </x:c>
      <x:c r="Y1461" s="93" t="n">
        <x:f>W1461-X1461</x:f>
        <x:v>42</x:v>
      </x:c>
      <x:c r="Z1461" s="94" t="n">
        <x:f>IFERROR(Y1461/W1461,0)</x:f>
        <x:v>0.711864406779661</x:v>
      </x:c>
      <x:c r="AA1461" s="84" t="str">
        <x:f>PROPER(TRIM('Raw Sales'!M1461))</x:f>
        <x:v>Debit Card</x:v>
      </x:c>
      <x:c r="AB1461" s="84" t="str">
        <x:f>PROPER(TRIM('Raw Sales'!N1461))</x:f>
        <x:v>Emma Hayes</x:v>
      </x:c>
      <x:c r="AC1461" s="85" t="n">
        <x:f>'Raw Sales'!O1461</x:f>
        <x:v>45784</x:v>
      </x:c>
      <x:c r="AD1461" s="84" t="n">
        <x:f>AC1461-B1461</x:f>
        <x:v>6</x:v>
      </x:c>
      <x:c r="AE1461" s="84" t="str">
        <x:f>IF(COUNTIF($A$5:A1461,A1461)&gt;1,"Duplicate","Keep")</x:f>
        <x:v>Keep</x:v>
      </x:c>
      <x:c r="AF1461" s="84" t="str">
        <x:f>IF(OR(R1461&lt;=0,AC1461&lt;B1461,H1461="Unknown",M1461="Unknown Product"),"Review","Valid")</x:f>
        <x:v>Valid</x:v>
      </x:c>
      <x:c r="AG1461" s="84" t="n">
        <x:f>IF(AND(AE1461="Keep",AF1461="Valid"),1,0)</x:f>
        <x:v>1</x:v>
      </x:c>
      <x:c r="AH1461" s="84" t="n">
        <x:f>IF(AND(AG1461=1,OR('Dashboard'!$B$4="All",I1461='Dashboard'!$B$4),OR('Dashboard'!$E$4="All",N1461='Dashboard'!$E$4),OR('Dashboard'!$H$4="All",K1461='Dashboard'!$H$4),OR('Dashboard'!$K$4="All",C1461='Dashboard'!$K$4)),1,0)</x:f>
        <x:v>1</x:v>
      </x:c>
      <x:c r="AI1461" s="84" t="n">
        <x:f>IF(AND(AG1461=1,OR('Dashboard'!$B$4="All",I1461='Dashboard'!$B$4),OR('Dashboard'!$E$4="All",N1461='Dashboard'!$E$4),OR('Dashboard'!$H$4="All",K1461='Dashboard'!$H$4)),1,0)</x:f>
        <x:v>1</x:v>
      </x:c>
    </x:row>
    <x:row r="1462">
      <x:c r="A1462" s="84" t="str">
        <x:f>'Raw Sales'!A1462</x:f>
        <x:v>ORD-2025-01106</x:v>
      </x:c>
      <x:c r="B1462" s="85" t="n">
        <x:f>'Raw Sales'!B1462</x:f>
        <x:v>45778</x:v>
      </x:c>
      <x:c r="C1462" s="84" t="n">
        <x:f>YEAR(B1462)</x:f>
        <x:v>2025</x:v>
      </x:c>
      <x:c r="D1462" s="91" t="n">
        <x:f>DATE(YEAR(B1462),MONTH(B1462),1)</x:f>
        <x:v>45778</x:v>
      </x:c>
      <x:c r="E1462" s="84" t="str">
        <x:f>TEXT(B1462,"mmm")</x:f>
        <x:v>May</x:v>
      </x:c>
      <x:c r="F1462" s="84" t="str">
        <x:f>'Raw Sales'!C1462</x:f>
        <x:v>CUST-0206</x:v>
      </x:c>
      <x:c r="G1462" s="84" t="str">
        <x:f>PROPER(TRIM('Raw Sales'!D1462))</x:f>
        <x:v>Sara Hall</x:v>
      </x:c>
      <x:c r="H1462" s="84" t="str">
        <x:f>IF(TRIM('Raw Sales'!E1462)="","Unknown",PROPER(TRIM('Raw Sales'!E1462)))</x:f>
        <x:v>Consumer</x:v>
      </x:c>
      <x:c r="I1462" s="84" t="str">
        <x:f>PROPER(TRIM('Raw Sales'!F1462))</x:f>
        <x:v>West</x:v>
      </x:c>
      <x:c r="J1462" s="84" t="str">
        <x:f>PROPER(TRIM('Raw Sales'!G1462))</x:f>
        <x:v>Phoenix</x:v>
      </x:c>
      <x:c r="K1462" s="84" t="str">
        <x:f>PROPER(TRIM('Raw Sales'!H1462))</x:f>
        <x:v>Retail Store</x:v>
      </x:c>
      <x:c r="L1462" s="84" t="str">
        <x:f>'Raw Sales'!I1462</x:f>
        <x:v>HOME-004</x:v>
      </x:c>
      <x:c r="M1462" s="84" t="str">
        <x:f>IFERROR(VLOOKUP(L1462,'Reference Data'!$A$5:$F$40,2,FALSE),"Unknown Product")</x:f>
        <x:v>Coffee Maker</x:v>
      </x:c>
      <x:c r="N1462" s="84" t="str">
        <x:f>IFERROR(VLOOKUP(L1462,'Reference Data'!$A$5:$F$40,3,FALSE),"Unknown")</x:f>
        <x:v>Home &amp; Kitchen</x:v>
      </x:c>
      <x:c r="O1462" s="84" t="str">
        <x:f>IFERROR(VLOOKUP(L1462,'Reference Data'!$A$5:$F$40,4,FALSE),"Unknown")</x:f>
        <x:v>Small Appliances</x:v>
      </x:c>
      <x:c r="P1462" s="92" t="n">
        <x:f>IFERROR(VLOOKUP(L1462,'Reference Data'!$A$5:$F$40,5,FALSE),0)</x:f>
        <x:v>99</x:v>
      </x:c>
      <x:c r="Q1462" s="92" t="n">
        <x:f>IFERROR(VLOOKUP(L1462,'Reference Data'!$A$5:$F$40,6,FALSE),0)</x:f>
        <x:v>51</x:v>
      </x:c>
      <x:c r="R1462" s="84" t="n">
        <x:f>'Raw Sales'!J1462</x:f>
        <x:v>1</x:v>
      </x:c>
      <x:c r="S1462" s="87" t="n">
        <x:f>'Raw Sales'!K1462</x:f>
        <x:v>0</x:v>
      </x:c>
      <x:c r="T1462" s="93" t="n">
        <x:f>P1462*R1462</x:f>
        <x:v>99</x:v>
      </x:c>
      <x:c r="U1462" s="93" t="n">
        <x:f>T1462*S1462</x:f>
        <x:v>0</x:v>
      </x:c>
      <x:c r="V1462" s="93" t="str">
        <x:f>PROPER(TRIM('Raw Sales'!L1462))</x:f>
        <x:v>Completed</x:v>
      </x:c>
      <x:c r="W1462" s="93" t="n">
        <x:f>IF(V1462="Returned",0,T1462-U1462)</x:f>
        <x:v>99</x:v>
      </x:c>
      <x:c r="X1462" s="93" t="n">
        <x:f>IF(V1462="Returned",Q1462*R1462*10%,Q1462*R1462)</x:f>
        <x:v>51</x:v>
      </x:c>
      <x:c r="Y1462" s="93" t="n">
        <x:f>W1462-X1462</x:f>
        <x:v>48</x:v>
      </x:c>
      <x:c r="Z1462" s="94" t="n">
        <x:f>IFERROR(Y1462/W1462,0)</x:f>
        <x:v>0.48484848484848486</x:v>
      </x:c>
      <x:c r="AA1462" s="84" t="str">
        <x:f>PROPER(TRIM('Raw Sales'!M1462))</x:f>
        <x:v>Credit Card</x:v>
      </x:c>
      <x:c r="AB1462" s="84" t="str">
        <x:f>PROPER(TRIM('Raw Sales'!N1462))</x:f>
        <x:v>Mia Chen</x:v>
      </x:c>
      <x:c r="AC1462" s="85" t="n">
        <x:f>'Raw Sales'!O1462</x:f>
        <x:v>45778</x:v>
      </x:c>
      <x:c r="AD1462" s="84" t="n">
        <x:f>AC1462-B1462</x:f>
        <x:v>0</x:v>
      </x:c>
      <x:c r="AE1462" s="84" t="str">
        <x:f>IF(COUNTIF($A$5:A1462,A1462)&gt;1,"Duplicate","Keep")</x:f>
        <x:v>Keep</x:v>
      </x:c>
      <x:c r="AF1462" s="84" t="str">
        <x:f>IF(OR(R1462&lt;=0,AC1462&lt;B1462,H1462="Unknown",M1462="Unknown Product"),"Review","Valid")</x:f>
        <x:v>Valid</x:v>
      </x:c>
      <x:c r="AG1462" s="84" t="n">
        <x:f>IF(AND(AE1462="Keep",AF1462="Valid"),1,0)</x:f>
        <x:v>1</x:v>
      </x:c>
      <x:c r="AH1462" s="84" t="n">
        <x:f>IF(AND(AG1462=1,OR('Dashboard'!$B$4="All",I1462='Dashboard'!$B$4),OR('Dashboard'!$E$4="All",N1462='Dashboard'!$E$4),OR('Dashboard'!$H$4="All",K1462='Dashboard'!$H$4),OR('Dashboard'!$K$4="All",C1462='Dashboard'!$K$4)),1,0)</x:f>
        <x:v>1</x:v>
      </x:c>
      <x:c r="AI1462" s="84" t="n">
        <x:f>IF(AND(AG1462=1,OR('Dashboard'!$B$4="All",I1462='Dashboard'!$B$4),OR('Dashboard'!$E$4="All",N1462='Dashboard'!$E$4),OR('Dashboard'!$H$4="All",K1462='Dashboard'!$H$4)),1,0)</x:f>
        <x:v>1</x:v>
      </x:c>
    </x:row>
    <x:row r="1463">
      <x:c r="A1463" s="84" t="str">
        <x:f>'Raw Sales'!A1463</x:f>
        <x:v>ORD-2025-01429</x:v>
      </x:c>
      <x:c r="B1463" s="85" t="n">
        <x:f>'Raw Sales'!B1463</x:f>
        <x:v>45778</x:v>
      </x:c>
      <x:c r="C1463" s="84" t="n">
        <x:f>YEAR(B1463)</x:f>
        <x:v>2025</x:v>
      </x:c>
      <x:c r="D1463" s="91" t="n">
        <x:f>DATE(YEAR(B1463),MONTH(B1463),1)</x:f>
        <x:v>45778</x:v>
      </x:c>
      <x:c r="E1463" s="84" t="str">
        <x:f>TEXT(B1463,"mmm")</x:f>
        <x:v>May</x:v>
      </x:c>
      <x:c r="F1463" s="84" t="str">
        <x:f>'Raw Sales'!C1463</x:f>
        <x:v>CUST-0205</x:v>
      </x:c>
      <x:c r="G1463" s="84" t="str">
        <x:f>PROPER(TRIM('Raw Sales'!D1463))</x:f>
        <x:v>Elena Young</x:v>
      </x:c>
      <x:c r="H1463" s="84" t="str">
        <x:f>IF(TRIM('Raw Sales'!E1463)="","Unknown",PROPER(TRIM('Raw Sales'!E1463)))</x:f>
        <x:v>Corporate</x:v>
      </x:c>
      <x:c r="I1463" s="84" t="str">
        <x:f>PROPER(TRIM('Raw Sales'!F1463))</x:f>
        <x:v>West</x:v>
      </x:c>
      <x:c r="J1463" s="84" t="str">
        <x:f>PROPER(TRIM('Raw Sales'!G1463))</x:f>
        <x:v>Denver</x:v>
      </x:c>
      <x:c r="K1463" s="84" t="str">
        <x:f>PROPER(TRIM('Raw Sales'!H1463))</x:f>
        <x:v>Online</x:v>
      </x:c>
      <x:c r="L1463" s="84" t="str">
        <x:f>'Raw Sales'!I1463</x:f>
        <x:v>HOME-006</x:v>
      </x:c>
      <x:c r="M1463" s="84" t="str">
        <x:f>IFERROR(VLOOKUP(L1463,'Reference Data'!$A$5:$F$40,2,FALSE),"Unknown Product")</x:f>
        <x:v>Food Storage Set</x:v>
      </x:c>
      <x:c r="N1463" s="84" t="str">
        <x:f>IFERROR(VLOOKUP(L1463,'Reference Data'!$A$5:$F$40,3,FALSE),"Unknown")</x:f>
        <x:v>Home &amp; Kitchen</x:v>
      </x:c>
      <x:c r="O1463" s="84" t="str">
        <x:f>IFERROR(VLOOKUP(L1463,'Reference Data'!$A$5:$F$40,4,FALSE),"Unknown")</x:f>
        <x:v>Kitchenware</x:v>
      </x:c>
      <x:c r="P1463" s="92" t="n">
        <x:f>IFERROR(VLOOKUP(L1463,'Reference Data'!$A$5:$F$40,5,FALSE),0)</x:f>
        <x:v>34</x:v>
      </x:c>
      <x:c r="Q1463" s="92" t="n">
        <x:f>IFERROR(VLOOKUP(L1463,'Reference Data'!$A$5:$F$40,6,FALSE),0)</x:f>
        <x:v>15</x:v>
      </x:c>
      <x:c r="R1463" s="84" t="n">
        <x:f>'Raw Sales'!J1463</x:f>
        <x:v>5</x:v>
      </x:c>
      <x:c r="S1463" s="87" t="n">
        <x:f>'Raw Sales'!K1463</x:f>
        <x:v>0</x:v>
      </x:c>
      <x:c r="T1463" s="93" t="n">
        <x:f>P1463*R1463</x:f>
        <x:v>170</x:v>
      </x:c>
      <x:c r="U1463" s="93" t="n">
        <x:f>T1463*S1463</x:f>
        <x:v>0</x:v>
      </x:c>
      <x:c r="V1463" s="93" t="str">
        <x:f>PROPER(TRIM('Raw Sales'!L1463))</x:f>
        <x:v>Completed</x:v>
      </x:c>
      <x:c r="W1463" s="93" t="n">
        <x:f>IF(V1463="Returned",0,T1463-U1463)</x:f>
        <x:v>170</x:v>
      </x:c>
      <x:c r="X1463" s="93" t="n">
        <x:f>IF(V1463="Returned",Q1463*R1463*10%,Q1463*R1463)</x:f>
        <x:v>75</x:v>
      </x:c>
      <x:c r="Y1463" s="93" t="n">
        <x:f>W1463-X1463</x:f>
        <x:v>95</x:v>
      </x:c>
      <x:c r="Z1463" s="94" t="n">
        <x:f>IFERROR(Y1463/W1463,0)</x:f>
        <x:v>0.5588235294117647</x:v>
      </x:c>
      <x:c r="AA1463" s="84" t="str">
        <x:f>PROPER(TRIM('Raw Sales'!M1463))</x:f>
        <x:v>Paypal</x:v>
      </x:c>
      <x:c r="AB1463" s="84" t="str">
        <x:f>PROPER(TRIM('Raw Sales'!N1463))</x:f>
        <x:v>Mia Chen</x:v>
      </x:c>
      <x:c r="AC1463" s="85" t="n">
        <x:f>'Raw Sales'!O1463</x:f>
        <x:v>45783</x:v>
      </x:c>
      <x:c r="AD1463" s="84" t="n">
        <x:f>AC1463-B1463</x:f>
        <x:v>5</x:v>
      </x:c>
      <x:c r="AE1463" s="84" t="str">
        <x:f>IF(COUNTIF($A$5:A1463,A1463)&gt;1,"Duplicate","Keep")</x:f>
        <x:v>Keep</x:v>
      </x:c>
      <x:c r="AF1463" s="84" t="str">
        <x:f>IF(OR(R1463&lt;=0,AC1463&lt;B1463,H1463="Unknown",M1463="Unknown Product"),"Review","Valid")</x:f>
        <x:v>Valid</x:v>
      </x:c>
      <x:c r="AG1463" s="84" t="n">
        <x:f>IF(AND(AE1463="Keep",AF1463="Valid"),1,0)</x:f>
        <x:v>1</x:v>
      </x:c>
      <x:c r="AH1463" s="84" t="n">
        <x:f>IF(AND(AG1463=1,OR('Dashboard'!$B$4="All",I1463='Dashboard'!$B$4),OR('Dashboard'!$E$4="All",N1463='Dashboard'!$E$4),OR('Dashboard'!$H$4="All",K1463='Dashboard'!$H$4),OR('Dashboard'!$K$4="All",C1463='Dashboard'!$K$4)),1,0)</x:f>
        <x:v>1</x:v>
      </x:c>
      <x:c r="AI1463" s="84" t="n">
        <x:f>IF(AND(AG1463=1,OR('Dashboard'!$B$4="All",I1463='Dashboard'!$B$4),OR('Dashboard'!$E$4="All",N1463='Dashboard'!$E$4),OR('Dashboard'!$H$4="All",K1463='Dashboard'!$H$4)),1,0)</x:f>
        <x:v>1</x:v>
      </x:c>
    </x:row>
    <x:row r="1464">
      <x:c r="A1464" s="84" t="str">
        <x:f>'Raw Sales'!A1464</x:f>
        <x:v>ORD-2025-01768</x:v>
      </x:c>
      <x:c r="B1464" s="85" t="n">
        <x:f>'Raw Sales'!B1464</x:f>
        <x:v>45778</x:v>
      </x:c>
      <x:c r="C1464" s="84" t="n">
        <x:f>YEAR(B1464)</x:f>
        <x:v>2025</x:v>
      </x:c>
      <x:c r="D1464" s="91" t="n">
        <x:f>DATE(YEAR(B1464),MONTH(B1464),1)</x:f>
        <x:v>45778</x:v>
      </x:c>
      <x:c r="E1464" s="84" t="str">
        <x:f>TEXT(B1464,"mmm")</x:f>
        <x:v>May</x:v>
      </x:c>
      <x:c r="F1464" s="84" t="str">
        <x:f>'Raw Sales'!C1464</x:f>
        <x:v>CUST-0348</x:v>
      </x:c>
      <x:c r="G1464" s="84" t="str">
        <x:f>PROPER(TRIM('Raw Sales'!D1464))</x:f>
        <x:v>Jonah Taylor</x:v>
      </x:c>
      <x:c r="H1464" s="84" t="str">
        <x:f>IF(TRIM('Raw Sales'!E1464)="","Unknown",PROPER(TRIM('Raw Sales'!E1464)))</x:f>
        <x:v>Consumer</x:v>
      </x:c>
      <x:c r="I1464" s="84" t="str">
        <x:f>PROPER(TRIM('Raw Sales'!F1464))</x:f>
        <x:v>Northeast</x:v>
      </x:c>
      <x:c r="J1464" s="84" t="str">
        <x:f>PROPER(TRIM('Raw Sales'!G1464))</x:f>
        <x:v>Boston</x:v>
      </x:c>
      <x:c r="K1464" s="84" t="str">
        <x:f>PROPER(TRIM('Raw Sales'!H1464))</x:f>
        <x:v>Online</x:v>
      </x:c>
      <x:c r="L1464" s="84" t="str">
        <x:f>'Raw Sales'!I1464</x:f>
        <x:v>OFFC-001</x:v>
      </x:c>
      <x:c r="M1464" s="84" t="str">
        <x:f>IFERROR(VLOOKUP(L1464,'Reference Data'!$A$5:$F$40,2,FALSE),"Unknown Product")</x:f>
        <x:v>Ergonomic Chair</x:v>
      </x:c>
      <x:c r="N1464" s="84" t="str">
        <x:f>IFERROR(VLOOKUP(L1464,'Reference Data'!$A$5:$F$40,3,FALSE),"Unknown")</x:f>
        <x:v>Office</x:v>
      </x:c>
      <x:c r="O1464" s="84" t="str">
        <x:f>IFERROR(VLOOKUP(L1464,'Reference Data'!$A$5:$F$40,4,FALSE),"Unknown")</x:f>
        <x:v>Furniture</x:v>
      </x:c>
      <x:c r="P1464" s="92" t="n">
        <x:f>IFERROR(VLOOKUP(L1464,'Reference Data'!$A$5:$F$40,5,FALSE),0)</x:f>
        <x:v>249</x:v>
      </x:c>
      <x:c r="Q1464" s="92" t="n">
        <x:f>IFERROR(VLOOKUP(L1464,'Reference Data'!$A$5:$F$40,6,FALSE),0)</x:f>
        <x:v>145</x:v>
      </x:c>
      <x:c r="R1464" s="84" t="n">
        <x:f>'Raw Sales'!J1464</x:f>
        <x:v>1</x:v>
      </x:c>
      <x:c r="S1464" s="87" t="n">
        <x:f>'Raw Sales'!K1464</x:f>
        <x:v>0.05</x:v>
      </x:c>
      <x:c r="T1464" s="93" t="n">
        <x:f>P1464*R1464</x:f>
        <x:v>249</x:v>
      </x:c>
      <x:c r="U1464" s="93" t="n">
        <x:f>T1464*S1464</x:f>
        <x:v>12.450000000000001</x:v>
      </x:c>
      <x:c r="V1464" s="93" t="str">
        <x:f>PROPER(TRIM('Raw Sales'!L1464))</x:f>
        <x:v>Completed</x:v>
      </x:c>
      <x:c r="W1464" s="93" t="n">
        <x:f>IF(V1464="Returned",0,T1464-U1464)</x:f>
        <x:v>236.55</x:v>
      </x:c>
      <x:c r="X1464" s="93" t="n">
        <x:f>IF(V1464="Returned",Q1464*R1464*10%,Q1464*R1464)</x:f>
        <x:v>145</x:v>
      </x:c>
      <x:c r="Y1464" s="93" t="n">
        <x:f>W1464-X1464</x:f>
        <x:v>91.55000000000001</x:v>
      </x:c>
      <x:c r="Z1464" s="94" t="n">
        <x:f>IFERROR(Y1464/W1464,0)</x:f>
        <x:v>0.3870217712957092</x:v>
      </x:c>
      <x:c r="AA1464" s="84" t="str">
        <x:f>PROPER(TRIM('Raw Sales'!M1464))</x:f>
        <x:v>Paypal</x:v>
      </x:c>
      <x:c r="AB1464" s="84" t="str">
        <x:f>PROPER(TRIM('Raw Sales'!N1464))</x:f>
        <x:v>Maya Brooks</x:v>
      </x:c>
      <x:c r="AC1464" s="85" t="n">
        <x:f>'Raw Sales'!O1464</x:f>
        <x:v>45782</x:v>
      </x:c>
      <x:c r="AD1464" s="84" t="n">
        <x:f>AC1464-B1464</x:f>
        <x:v>4</x:v>
      </x:c>
      <x:c r="AE1464" s="84" t="str">
        <x:f>IF(COUNTIF($A$5:A1464,A1464)&gt;1,"Duplicate","Keep")</x:f>
        <x:v>Keep</x:v>
      </x:c>
      <x:c r="AF1464" s="84" t="str">
        <x:f>IF(OR(R1464&lt;=0,AC1464&lt;B1464,H1464="Unknown",M1464="Unknown Product"),"Review","Valid")</x:f>
        <x:v>Valid</x:v>
      </x:c>
      <x:c r="AG1464" s="84" t="n">
        <x:f>IF(AND(AE1464="Keep",AF1464="Valid"),1,0)</x:f>
        <x:v>1</x:v>
      </x:c>
      <x:c r="AH1464" s="84" t="n">
        <x:f>IF(AND(AG1464=1,OR('Dashboard'!$B$4="All",I1464='Dashboard'!$B$4),OR('Dashboard'!$E$4="All",N1464='Dashboard'!$E$4),OR('Dashboard'!$H$4="All",K1464='Dashboard'!$H$4),OR('Dashboard'!$K$4="All",C1464='Dashboard'!$K$4)),1,0)</x:f>
        <x:v>1</x:v>
      </x:c>
      <x:c r="AI1464" s="84" t="n">
        <x:f>IF(AND(AG1464=1,OR('Dashboard'!$B$4="All",I1464='Dashboard'!$B$4),OR('Dashboard'!$E$4="All",N1464='Dashboard'!$E$4),OR('Dashboard'!$H$4="All",K1464='Dashboard'!$H$4)),1,0)</x:f>
        <x:v>1</x:v>
      </x:c>
    </x:row>
    <x:row r="1465">
      <x:c r="A1465" s="84" t="str">
        <x:f>'Raw Sales'!A1465</x:f>
        <x:v>ORD-2025-01568</x:v>
      </x:c>
      <x:c r="B1465" s="85" t="n">
        <x:f>'Raw Sales'!B1465</x:f>
        <x:v>45779</x:v>
      </x:c>
      <x:c r="C1465" s="84" t="n">
        <x:f>YEAR(B1465)</x:f>
        <x:v>2025</x:v>
      </x:c>
      <x:c r="D1465" s="91" t="n">
        <x:f>DATE(YEAR(B1465),MONTH(B1465),1)</x:f>
        <x:v>45778</x:v>
      </x:c>
      <x:c r="E1465" s="84" t="str">
        <x:f>TEXT(B1465,"mmm")</x:f>
        <x:v>May</x:v>
      </x:c>
      <x:c r="F1465" s="84" t="str">
        <x:f>'Raw Sales'!C1465</x:f>
        <x:v>CUST-0216</x:v>
      </x:c>
      <x:c r="G1465" s="84" t="str">
        <x:f>PROPER(TRIM('Raw Sales'!D1465))</x:f>
        <x:v>Aiden Hall</x:v>
      </x:c>
      <x:c r="H1465" s="84" t="str">
        <x:f>IF(TRIM('Raw Sales'!E1465)="","Unknown",PROPER(TRIM('Raw Sales'!E1465)))</x:f>
        <x:v>Consumer</x:v>
      </x:c>
      <x:c r="I1465" s="84" t="str">
        <x:f>PROPER(TRIM('Raw Sales'!F1465))</x:f>
        <x:v>Midwest</x:v>
      </x:c>
      <x:c r="J1465" s="84" t="str">
        <x:f>PROPER(TRIM('Raw Sales'!G1465))</x:f>
        <x:v>Columbus</x:v>
      </x:c>
      <x:c r="K1465" s="84" t="str">
        <x:f>PROPER(TRIM('Raw Sales'!H1465))</x:f>
        <x:v>Online</x:v>
      </x:c>
      <x:c r="L1465" s="84" t="str">
        <x:f>'Raw Sales'!I1465</x:f>
        <x:v>FITN-005</x:v>
      </x:c>
      <x:c r="M1465" s="84" t="str">
        <x:f>IFERROR(VLOOKUP(L1465,'Reference Data'!$A$5:$F$40,2,FALSE),"Unknown Product")</x:f>
        <x:v>Sports Water Bottle</x:v>
      </x:c>
      <x:c r="N1465" s="84" t="str">
        <x:f>IFERROR(VLOOKUP(L1465,'Reference Data'!$A$5:$F$40,3,FALSE),"Unknown")</x:f>
        <x:v>Fitness</x:v>
      </x:c>
      <x:c r="O1465" s="84" t="str">
        <x:f>IFERROR(VLOOKUP(L1465,'Reference Data'!$A$5:$F$40,4,FALSE),"Unknown")</x:f>
        <x:v>Accessories</x:v>
      </x:c>
      <x:c r="P1465" s="92" t="n">
        <x:f>IFERROR(VLOOKUP(L1465,'Reference Data'!$A$5:$F$40,5,FALSE),0)</x:f>
        <x:v>22</x:v>
      </x:c>
      <x:c r="Q1465" s="92" t="n">
        <x:f>IFERROR(VLOOKUP(L1465,'Reference Data'!$A$5:$F$40,6,FALSE),0)</x:f>
        <x:v>7</x:v>
      </x:c>
      <x:c r="R1465" s="84" t="n">
        <x:f>'Raw Sales'!J1465</x:f>
        <x:v>3</x:v>
      </x:c>
      <x:c r="S1465" s="87" t="n">
        <x:f>'Raw Sales'!K1465</x:f>
        <x:v>0</x:v>
      </x:c>
      <x:c r="T1465" s="93" t="n">
        <x:f>P1465*R1465</x:f>
        <x:v>66</x:v>
      </x:c>
      <x:c r="U1465" s="93" t="n">
        <x:f>T1465*S1465</x:f>
        <x:v>0</x:v>
      </x:c>
      <x:c r="V1465" s="93" t="str">
        <x:f>PROPER(TRIM('Raw Sales'!L1465))</x:f>
        <x:v>Completed</x:v>
      </x:c>
      <x:c r="W1465" s="93" t="n">
        <x:f>IF(V1465="Returned",0,T1465-U1465)</x:f>
        <x:v>66</x:v>
      </x:c>
      <x:c r="X1465" s="93" t="n">
        <x:f>IF(V1465="Returned",Q1465*R1465*10%,Q1465*R1465)</x:f>
        <x:v>21</x:v>
      </x:c>
      <x:c r="Y1465" s="93" t="n">
        <x:f>W1465-X1465</x:f>
        <x:v>45</x:v>
      </x:c>
      <x:c r="Z1465" s="94" t="n">
        <x:f>IFERROR(Y1465/W1465,0)</x:f>
        <x:v>0.6818181818181818</x:v>
      </x:c>
      <x:c r="AA1465" s="84" t="str">
        <x:f>PROPER(TRIM('Raw Sales'!M1465))</x:f>
        <x:v>Debit Card</x:v>
      </x:c>
      <x:c r="AB1465" s="84" t="str">
        <x:f>PROPER(TRIM('Raw Sales'!N1465))</x:f>
        <x:v>Zoe Turner</x:v>
      </x:c>
      <x:c r="AC1465" s="85" t="n">
        <x:f>'Raw Sales'!O1465</x:f>
        <x:v>45783</x:v>
      </x:c>
      <x:c r="AD1465" s="84" t="n">
        <x:f>AC1465-B1465</x:f>
        <x:v>4</x:v>
      </x:c>
      <x:c r="AE1465" s="84" t="str">
        <x:f>IF(COUNTIF($A$5:A1465,A1465)&gt;1,"Duplicate","Keep")</x:f>
        <x:v>Keep</x:v>
      </x:c>
      <x:c r="AF1465" s="84" t="str">
        <x:f>IF(OR(R1465&lt;=0,AC1465&lt;B1465,H1465="Unknown",M1465="Unknown Product"),"Review","Valid")</x:f>
        <x:v>Valid</x:v>
      </x:c>
      <x:c r="AG1465" s="84" t="n">
        <x:f>IF(AND(AE1465="Keep",AF1465="Valid"),1,0)</x:f>
        <x:v>1</x:v>
      </x:c>
      <x:c r="AH1465" s="84" t="n">
        <x:f>IF(AND(AG1465=1,OR('Dashboard'!$B$4="All",I1465='Dashboard'!$B$4),OR('Dashboard'!$E$4="All",N1465='Dashboard'!$E$4),OR('Dashboard'!$H$4="All",K1465='Dashboard'!$H$4),OR('Dashboard'!$K$4="All",C1465='Dashboard'!$K$4)),1,0)</x:f>
        <x:v>1</x:v>
      </x:c>
      <x:c r="AI1465" s="84" t="n">
        <x:f>IF(AND(AG1465=1,OR('Dashboard'!$B$4="All",I1465='Dashboard'!$B$4),OR('Dashboard'!$E$4="All",N1465='Dashboard'!$E$4),OR('Dashboard'!$H$4="All",K1465='Dashboard'!$H$4)),1,0)</x:f>
        <x:v>1</x:v>
      </x:c>
    </x:row>
    <x:row r="1466">
      <x:c r="A1466" s="84" t="str">
        <x:f>'Raw Sales'!A1466</x:f>
        <x:v>ORD-2025-01620</x:v>
      </x:c>
      <x:c r="B1466" s="85" t="n">
        <x:f>'Raw Sales'!B1466</x:f>
        <x:v>45779</x:v>
      </x:c>
      <x:c r="C1466" s="84" t="n">
        <x:f>YEAR(B1466)</x:f>
        <x:v>2025</x:v>
      </x:c>
      <x:c r="D1466" s="91" t="n">
        <x:f>DATE(YEAR(B1466),MONTH(B1466),1)</x:f>
        <x:v>45778</x:v>
      </x:c>
      <x:c r="E1466" s="84" t="str">
        <x:f>TEXT(B1466,"mmm")</x:f>
        <x:v>May</x:v>
      </x:c>
      <x:c r="F1466" s="84" t="str">
        <x:f>'Raw Sales'!C1466</x:f>
        <x:v>CUST-0410</x:v>
      </x:c>
      <x:c r="G1466" s="84" t="str">
        <x:f>PROPER(TRIM('Raw Sales'!D1466))</x:f>
        <x:v>Jasmine Quinn</x:v>
      </x:c>
      <x:c r="H1466" s="84" t="str">
        <x:f>IF(TRIM('Raw Sales'!E1466)="","Unknown",PROPER(TRIM('Raw Sales'!E1466)))</x:f>
        <x:v>Consumer</x:v>
      </x:c>
      <x:c r="I1466" s="84" t="str">
        <x:f>PROPER(TRIM('Raw Sales'!F1466))</x:f>
        <x:v>Midwest</x:v>
      </x:c>
      <x:c r="J1466" s="84" t="str">
        <x:f>PROPER(TRIM('Raw Sales'!G1466))</x:f>
        <x:v>Chicago</x:v>
      </x:c>
      <x:c r="K1466" s="84" t="str">
        <x:f>PROPER(TRIM('Raw Sales'!H1466))</x:f>
        <x:v>Online</x:v>
      </x:c>
      <x:c r="L1466" s="84" t="str">
        <x:f>'Raw Sales'!I1466</x:f>
        <x:v>CARE-001</x:v>
      </x:c>
      <x:c r="M1466" s="84" t="str">
        <x:f>IFERROR(VLOOKUP(L1466,'Reference Data'!$A$5:$F$40,2,FALSE),"Unknown Product")</x:f>
        <x:v>Ionic Hair Dryer</x:v>
      </x:c>
      <x:c r="N1466" s="84" t="str">
        <x:f>IFERROR(VLOOKUP(L1466,'Reference Data'!$A$5:$F$40,3,FALSE),"Unknown")</x:f>
        <x:v>Personal Care</x:v>
      </x:c>
      <x:c r="O1466" s="84" t="str">
        <x:f>IFERROR(VLOOKUP(L1466,'Reference Data'!$A$5:$F$40,4,FALSE),"Unknown")</x:f>
        <x:v>Hair Care</x:v>
      </x:c>
      <x:c r="P1466" s="92" t="n">
        <x:f>IFERROR(VLOOKUP(L1466,'Reference Data'!$A$5:$F$40,5,FALSE),0)</x:f>
        <x:v>54</x:v>
      </x:c>
      <x:c r="Q1466" s="92" t="n">
        <x:f>IFERROR(VLOOKUP(L1466,'Reference Data'!$A$5:$F$40,6,FALSE),0)</x:f>
        <x:v>25</x:v>
      </x:c>
      <x:c r="R1466" s="84" t="n">
        <x:f>'Raw Sales'!J1466</x:f>
        <x:v>2</x:v>
      </x:c>
      <x:c r="S1466" s="87" t="n">
        <x:f>'Raw Sales'!K1466</x:f>
        <x:v>0</x:v>
      </x:c>
      <x:c r="T1466" s="93" t="n">
        <x:f>P1466*R1466</x:f>
        <x:v>108</x:v>
      </x:c>
      <x:c r="U1466" s="93" t="n">
        <x:f>T1466*S1466</x:f>
        <x:v>0</x:v>
      </x:c>
      <x:c r="V1466" s="93" t="str">
        <x:f>PROPER(TRIM('Raw Sales'!L1466))</x:f>
        <x:v>Completed</x:v>
      </x:c>
      <x:c r="W1466" s="93" t="n">
        <x:f>IF(V1466="Returned",0,T1466-U1466)</x:f>
        <x:v>108</x:v>
      </x:c>
      <x:c r="X1466" s="93" t="n">
        <x:f>IF(V1466="Returned",Q1466*R1466*10%,Q1466*R1466)</x:f>
        <x:v>50</x:v>
      </x:c>
      <x:c r="Y1466" s="93" t="n">
        <x:f>W1466-X1466</x:f>
        <x:v>58</x:v>
      </x:c>
      <x:c r="Z1466" s="94" t="n">
        <x:f>IFERROR(Y1466/W1466,0)</x:f>
        <x:v>0.5370370370370371</x:v>
      </x:c>
      <x:c r="AA1466" s="84" t="str">
        <x:f>PROPER(TRIM('Raw Sales'!M1466))</x:f>
        <x:v>Paypal</x:v>
      </x:c>
      <x:c r="AB1466" s="84" t="str">
        <x:f>PROPER(TRIM('Raw Sales'!N1466))</x:f>
        <x:v>Lucas Grant</x:v>
      </x:c>
      <x:c r="AC1466" s="85" t="n">
        <x:f>'Raw Sales'!O1466</x:f>
        <x:v>45781</x:v>
      </x:c>
      <x:c r="AD1466" s="84" t="n">
        <x:f>AC1466-B1466</x:f>
        <x:v>2</x:v>
      </x:c>
      <x:c r="AE1466" s="84" t="str">
        <x:f>IF(COUNTIF($A$5:A1466,A1466)&gt;1,"Duplicate","Keep")</x:f>
        <x:v>Keep</x:v>
      </x:c>
      <x:c r="AF1466" s="84" t="str">
        <x:f>IF(OR(R1466&lt;=0,AC1466&lt;B1466,H1466="Unknown",M1466="Unknown Product"),"Review","Valid")</x:f>
        <x:v>Valid</x:v>
      </x:c>
      <x:c r="AG1466" s="84" t="n">
        <x:f>IF(AND(AE1466="Keep",AF1466="Valid"),1,0)</x:f>
        <x:v>1</x:v>
      </x:c>
      <x:c r="AH1466" s="84" t="n">
        <x:f>IF(AND(AG1466=1,OR('Dashboard'!$B$4="All",I1466='Dashboard'!$B$4),OR('Dashboard'!$E$4="All",N1466='Dashboard'!$E$4),OR('Dashboard'!$H$4="All",K1466='Dashboard'!$H$4),OR('Dashboard'!$K$4="All",C1466='Dashboard'!$K$4)),1,0)</x:f>
        <x:v>1</x:v>
      </x:c>
      <x:c r="AI1466" s="84" t="n">
        <x:f>IF(AND(AG1466=1,OR('Dashboard'!$B$4="All",I1466='Dashboard'!$B$4),OR('Dashboard'!$E$4="All",N1466='Dashboard'!$E$4),OR('Dashboard'!$H$4="All",K1466='Dashboard'!$H$4)),1,0)</x:f>
        <x:v>1</x:v>
      </x:c>
    </x:row>
    <x:row r="1467">
      <x:c r="A1467" s="84" t="str">
        <x:f>'Raw Sales'!A1467</x:f>
        <x:v>ORD-2025-02222</x:v>
      </x:c>
      <x:c r="B1467" s="85" t="n">
        <x:f>'Raw Sales'!B1467</x:f>
        <x:v>45779</x:v>
      </x:c>
      <x:c r="C1467" s="84" t="n">
        <x:f>YEAR(B1467)</x:f>
        <x:v>2025</x:v>
      </x:c>
      <x:c r="D1467" s="91" t="n">
        <x:f>DATE(YEAR(B1467),MONTH(B1467),1)</x:f>
        <x:v>45778</x:v>
      </x:c>
      <x:c r="E1467" s="84" t="str">
        <x:f>TEXT(B1467,"mmm")</x:f>
        <x:v>May</x:v>
      </x:c>
      <x:c r="F1467" s="84" t="str">
        <x:f>'Raw Sales'!C1467</x:f>
        <x:v>CUST-0414</x:v>
      </x:c>
      <x:c r="G1467" s="84" t="str">
        <x:f>PROPER(TRIM('Raw Sales'!D1467))</x:f>
        <x:v>Aiden Garcia</x:v>
      </x:c>
      <x:c r="H1467" s="84" t="str">
        <x:f>IF(TRIM('Raw Sales'!E1467)="","Unknown",PROPER(TRIM('Raw Sales'!E1467)))</x:f>
        <x:v>Corporate</x:v>
      </x:c>
      <x:c r="I1467" s="84" t="str">
        <x:f>PROPER(TRIM('Raw Sales'!F1467))</x:f>
        <x:v>Midwest</x:v>
      </x:c>
      <x:c r="J1467" s="84" t="str">
        <x:f>PROPER(TRIM('Raw Sales'!G1467))</x:f>
        <x:v>Minneapolis</x:v>
      </x:c>
      <x:c r="K1467" s="84" t="str">
        <x:f>PROPER(TRIM('Raw Sales'!H1467))</x:f>
        <x:v>Retail Store</x:v>
      </x:c>
      <x:c r="L1467" s="84" t="str">
        <x:f>'Raw Sales'!I1467</x:f>
        <x:v>CARE-002</x:v>
      </x:c>
      <x:c r="M1467" s="84" t="str">
        <x:f>IFERROR(VLOOKUP(L1467,'Reference Data'!$A$5:$F$40,2,FALSE),"Unknown Product")</x:f>
        <x:v>Rechargeable Trimmer</x:v>
      </x:c>
      <x:c r="N1467" s="84" t="str">
        <x:f>IFERROR(VLOOKUP(L1467,'Reference Data'!$A$5:$F$40,3,FALSE),"Unknown")</x:f>
        <x:v>Personal Care</x:v>
      </x:c>
      <x:c r="O1467" s="84" t="str">
        <x:f>IFERROR(VLOOKUP(L1467,'Reference Data'!$A$5:$F$40,4,FALSE),"Unknown")</x:f>
        <x:v>Grooming</x:v>
      </x:c>
      <x:c r="P1467" s="92" t="n">
        <x:f>IFERROR(VLOOKUP(L1467,'Reference Data'!$A$5:$F$40,5,FALSE),0)</x:f>
        <x:v>45</x:v>
      </x:c>
      <x:c r="Q1467" s="92" t="n">
        <x:f>IFERROR(VLOOKUP(L1467,'Reference Data'!$A$5:$F$40,6,FALSE),0)</x:f>
        <x:v>19</x:v>
      </x:c>
      <x:c r="R1467" s="84" t="n">
        <x:f>'Raw Sales'!J1467</x:f>
        <x:v>1</x:v>
      </x:c>
      <x:c r="S1467" s="87" t="n">
        <x:f>'Raw Sales'!K1467</x:f>
        <x:v>0</x:v>
      </x:c>
      <x:c r="T1467" s="93" t="n">
        <x:f>P1467*R1467</x:f>
        <x:v>45</x:v>
      </x:c>
      <x:c r="U1467" s="93" t="n">
        <x:f>T1467*S1467</x:f>
        <x:v>0</x:v>
      </x:c>
      <x:c r="V1467" s="93" t="str">
        <x:f>PROPER(TRIM('Raw Sales'!L1467))</x:f>
        <x:v>Completed</x:v>
      </x:c>
      <x:c r="W1467" s="93" t="n">
        <x:f>IF(V1467="Returned",0,T1467-U1467)</x:f>
        <x:v>45</x:v>
      </x:c>
      <x:c r="X1467" s="93" t="n">
        <x:f>IF(V1467="Returned",Q1467*R1467*10%,Q1467*R1467)</x:f>
        <x:v>19</x:v>
      </x:c>
      <x:c r="Y1467" s="93" t="n">
        <x:f>W1467-X1467</x:f>
        <x:v>26</x:v>
      </x:c>
      <x:c r="Z1467" s="94" t="n">
        <x:f>IFERROR(Y1467/W1467,0)</x:f>
        <x:v>0.5777777777777777</x:v>
      </x:c>
      <x:c r="AA1467" s="84" t="str">
        <x:f>PROPER(TRIM('Raw Sales'!M1467))</x:f>
        <x:v>Credit Card</x:v>
      </x:c>
      <x:c r="AB1467" s="84" t="str">
        <x:f>PROPER(TRIM('Raw Sales'!N1467))</x:f>
        <x:v>Zoe Turner</x:v>
      </x:c>
      <x:c r="AC1467" s="85" t="n">
        <x:f>'Raw Sales'!O1467</x:f>
        <x:v>45780</x:v>
      </x:c>
      <x:c r="AD1467" s="84" t="n">
        <x:f>AC1467-B1467</x:f>
        <x:v>1</x:v>
      </x:c>
      <x:c r="AE1467" s="84" t="str">
        <x:f>IF(COUNTIF($A$5:A1467,A1467)&gt;1,"Duplicate","Keep")</x:f>
        <x:v>Keep</x:v>
      </x:c>
      <x:c r="AF1467" s="84" t="str">
        <x:f>IF(OR(R1467&lt;=0,AC1467&lt;B1467,H1467="Unknown",M1467="Unknown Product"),"Review","Valid")</x:f>
        <x:v>Valid</x:v>
      </x:c>
      <x:c r="AG1467" s="84" t="n">
        <x:f>IF(AND(AE1467="Keep",AF1467="Valid"),1,0)</x:f>
        <x:v>1</x:v>
      </x:c>
      <x:c r="AH1467" s="84" t="n">
        <x:f>IF(AND(AG1467=1,OR('Dashboard'!$B$4="All",I1467='Dashboard'!$B$4),OR('Dashboard'!$E$4="All",N1467='Dashboard'!$E$4),OR('Dashboard'!$H$4="All",K1467='Dashboard'!$H$4),OR('Dashboard'!$K$4="All",C1467='Dashboard'!$K$4)),1,0)</x:f>
        <x:v>1</x:v>
      </x:c>
      <x:c r="AI1467" s="84" t="n">
        <x:f>IF(AND(AG1467=1,OR('Dashboard'!$B$4="All",I1467='Dashboard'!$B$4),OR('Dashboard'!$E$4="All",N1467='Dashboard'!$E$4),OR('Dashboard'!$H$4="All",K1467='Dashboard'!$H$4)),1,0)</x:f>
        <x:v>1</x:v>
      </x:c>
    </x:row>
    <x:row r="1468">
      <x:c r="A1468" s="84" t="str">
        <x:f>'Raw Sales'!A1468</x:f>
        <x:v>ORD-2025-02397</x:v>
      </x:c>
      <x:c r="B1468" s="85" t="n">
        <x:f>'Raw Sales'!B1468</x:f>
        <x:v>45779</x:v>
      </x:c>
      <x:c r="C1468" s="84" t="n">
        <x:f>YEAR(B1468)</x:f>
        <x:v>2025</x:v>
      </x:c>
      <x:c r="D1468" s="91" t="n">
        <x:f>DATE(YEAR(B1468),MONTH(B1468),1)</x:f>
        <x:v>45778</x:v>
      </x:c>
      <x:c r="E1468" s="84" t="str">
        <x:f>TEXT(B1468,"mmm")</x:f>
        <x:v>May</x:v>
      </x:c>
      <x:c r="F1468" s="84" t="str">
        <x:f>'Raw Sales'!C1468</x:f>
        <x:v>CUST-0637</x:v>
      </x:c>
      <x:c r="G1468" s="84" t="str">
        <x:f>PROPER(TRIM('Raw Sales'!D1468))</x:f>
        <x:v>Amelia Adams</x:v>
      </x:c>
      <x:c r="H1468" s="84" t="str">
        <x:f>IF(TRIM('Raw Sales'!E1468)="","Unknown",PROPER(TRIM('Raw Sales'!E1468)))</x:f>
        <x:v>Consumer</x:v>
      </x:c>
      <x:c r="I1468" s="84" t="str">
        <x:f>PROPER(TRIM('Raw Sales'!F1468))</x:f>
        <x:v>Northeast</x:v>
      </x:c>
      <x:c r="J1468" s="84" t="str">
        <x:f>PROPER(TRIM('Raw Sales'!G1468))</x:f>
        <x:v>New York</x:v>
      </x:c>
      <x:c r="K1468" s="84" t="str">
        <x:f>PROPER(TRIM('Raw Sales'!H1468))</x:f>
        <x:v>Marketplace</x:v>
      </x:c>
      <x:c r="L1468" s="84" t="str">
        <x:f>'Raw Sales'!I1468</x:f>
        <x:v>FITN-001</x:v>
      </x:c>
      <x:c r="M1468" s="84" t="str">
        <x:f>IFERROR(VLOOKUP(L1468,'Reference Data'!$A$5:$F$40,2,FALSE),"Unknown Product")</x:f>
        <x:v>Yoga Mat</x:v>
      </x:c>
      <x:c r="N1468" s="84" t="str">
        <x:f>IFERROR(VLOOKUP(L1468,'Reference Data'!$A$5:$F$40,3,FALSE),"Unknown")</x:f>
        <x:v>Fitness</x:v>
      </x:c>
      <x:c r="O1468" s="84" t="str">
        <x:f>IFERROR(VLOOKUP(L1468,'Reference Data'!$A$5:$F$40,4,FALSE),"Unknown")</x:f>
        <x:v>Yoga</x:v>
      </x:c>
      <x:c r="P1468" s="92" t="n">
        <x:f>IFERROR(VLOOKUP(L1468,'Reference Data'!$A$5:$F$40,5,FALSE),0)</x:f>
        <x:v>35</x:v>
      </x:c>
      <x:c r="Q1468" s="92" t="n">
        <x:f>IFERROR(VLOOKUP(L1468,'Reference Data'!$A$5:$F$40,6,FALSE),0)</x:f>
        <x:v>13</x:v>
      </x:c>
      <x:c r="R1468" s="84" t="n">
        <x:f>'Raw Sales'!J1468</x:f>
        <x:v>1</x:v>
      </x:c>
      <x:c r="S1468" s="87" t="n">
        <x:f>'Raw Sales'!K1468</x:f>
        <x:v>0.05</x:v>
      </x:c>
      <x:c r="T1468" s="93" t="n">
        <x:f>P1468*R1468</x:f>
        <x:v>35</x:v>
      </x:c>
      <x:c r="U1468" s="93" t="n">
        <x:f>T1468*S1468</x:f>
        <x:v>1.75</x:v>
      </x:c>
      <x:c r="V1468" s="93" t="str">
        <x:f>PROPER(TRIM('Raw Sales'!L1468))</x:f>
        <x:v>Completed</x:v>
      </x:c>
      <x:c r="W1468" s="93" t="n">
        <x:f>IF(V1468="Returned",0,T1468-U1468)</x:f>
        <x:v>33.25</x:v>
      </x:c>
      <x:c r="X1468" s="93" t="n">
        <x:f>IF(V1468="Returned",Q1468*R1468*10%,Q1468*R1468)</x:f>
        <x:v>13</x:v>
      </x:c>
      <x:c r="Y1468" s="93" t="n">
        <x:f>W1468-X1468</x:f>
        <x:v>20.25</x:v>
      </x:c>
      <x:c r="Z1468" s="94" t="n">
        <x:f>IFERROR(Y1468/W1468,0)</x:f>
        <x:v>0.6090225563909775</x:v>
      </x:c>
      <x:c r="AA1468" s="84" t="str">
        <x:f>PROPER(TRIM('Raw Sales'!M1468))</x:f>
        <x:v>Credit Card</x:v>
      </x:c>
      <x:c r="AB1468" s="84" t="str">
        <x:f>PROPER(TRIM('Raw Sales'!N1468))</x:f>
        <x:v>Sofia Bennett</x:v>
      </x:c>
      <x:c r="AC1468" s="85" t="n">
        <x:f>'Raw Sales'!O1468</x:f>
        <x:v>45785</x:v>
      </x:c>
      <x:c r="AD1468" s="84" t="n">
        <x:f>AC1468-B1468</x:f>
        <x:v>6</x:v>
      </x:c>
      <x:c r="AE1468" s="84" t="str">
        <x:f>IF(COUNTIF($A$5:A1468,A1468)&gt;1,"Duplicate","Keep")</x:f>
        <x:v>Keep</x:v>
      </x:c>
      <x:c r="AF1468" s="84" t="str">
        <x:f>IF(OR(R1468&lt;=0,AC1468&lt;B1468,H1468="Unknown",M1468="Unknown Product"),"Review","Valid")</x:f>
        <x:v>Valid</x:v>
      </x:c>
      <x:c r="AG1468" s="84" t="n">
        <x:f>IF(AND(AE1468="Keep",AF1468="Valid"),1,0)</x:f>
        <x:v>1</x:v>
      </x:c>
      <x:c r="AH1468" s="84" t="n">
        <x:f>IF(AND(AG1468=1,OR('Dashboard'!$B$4="All",I1468='Dashboard'!$B$4),OR('Dashboard'!$E$4="All",N1468='Dashboard'!$E$4),OR('Dashboard'!$H$4="All",K1468='Dashboard'!$H$4),OR('Dashboard'!$K$4="All",C1468='Dashboard'!$K$4)),1,0)</x:f>
        <x:v>1</x:v>
      </x:c>
      <x:c r="AI1468" s="84" t="n">
        <x:f>IF(AND(AG1468=1,OR('Dashboard'!$B$4="All",I1468='Dashboard'!$B$4),OR('Dashboard'!$E$4="All",N1468='Dashboard'!$E$4),OR('Dashboard'!$H$4="All",K1468='Dashboard'!$H$4)),1,0)</x:f>
        <x:v>1</x:v>
      </x:c>
    </x:row>
    <x:row r="1469">
      <x:c r="A1469" s="84" t="str">
        <x:f>'Raw Sales'!A1469</x:f>
        <x:v>ORD-2025-00446</x:v>
      </x:c>
      <x:c r="B1469" s="85" t="n">
        <x:f>'Raw Sales'!B1469</x:f>
        <x:v>45780</x:v>
      </x:c>
      <x:c r="C1469" s="84" t="n">
        <x:f>YEAR(B1469)</x:f>
        <x:v>2025</x:v>
      </x:c>
      <x:c r="D1469" s="91" t="n">
        <x:f>DATE(YEAR(B1469),MONTH(B1469),1)</x:f>
        <x:v>45778</x:v>
      </x:c>
      <x:c r="E1469" s="84" t="str">
        <x:f>TEXT(B1469,"mmm")</x:f>
        <x:v>May</x:v>
      </x:c>
      <x:c r="F1469" s="84" t="str">
        <x:f>'Raw Sales'!C1469</x:f>
        <x:v>CUST-0248</x:v>
      </x:c>
      <x:c r="G1469" s="84" t="str">
        <x:f>PROPER(TRIM('Raw Sales'!D1469))</x:f>
        <x:v>Chloe Khan</x:v>
      </x:c>
      <x:c r="H1469" s="84" t="str">
        <x:f>IF(TRIM('Raw Sales'!E1469)="","Unknown",PROPER(TRIM('Raw Sales'!E1469)))</x:f>
        <x:v>Corporate</x:v>
      </x:c>
      <x:c r="I1469" s="84" t="str">
        <x:f>PROPER(TRIM('Raw Sales'!F1469))</x:f>
        <x:v>Midwest</x:v>
      </x:c>
      <x:c r="J1469" s="84" t="str">
        <x:f>PROPER(TRIM('Raw Sales'!G1469))</x:f>
        <x:v>Chicago</x:v>
      </x:c>
      <x:c r="K1469" s="84" t="str">
        <x:f>PROPER(TRIM('Raw Sales'!H1469))</x:f>
        <x:v>Retail Store</x:v>
      </x:c>
      <x:c r="L1469" s="84" t="str">
        <x:f>'Raw Sales'!I1469</x:f>
        <x:v>OFFC-002</x:v>
      </x:c>
      <x:c r="M1469" s="84" t="str">
        <x:f>IFERROR(VLOOKUP(L1469,'Reference Data'!$A$5:$F$40,2,FALSE),"Unknown Product")</x:f>
        <x:v>Standing Desk</x:v>
      </x:c>
      <x:c r="N1469" s="84" t="str">
        <x:f>IFERROR(VLOOKUP(L1469,'Reference Data'!$A$5:$F$40,3,FALSE),"Unknown")</x:f>
        <x:v>Office</x:v>
      </x:c>
      <x:c r="O1469" s="84" t="str">
        <x:f>IFERROR(VLOOKUP(L1469,'Reference Data'!$A$5:$F$40,4,FALSE),"Unknown")</x:f>
        <x:v>Furniture</x:v>
      </x:c>
      <x:c r="P1469" s="92" t="n">
        <x:f>IFERROR(VLOOKUP(L1469,'Reference Data'!$A$5:$F$40,5,FALSE),0)</x:f>
        <x:v>399</x:v>
      </x:c>
      <x:c r="Q1469" s="92" t="n">
        <x:f>IFERROR(VLOOKUP(L1469,'Reference Data'!$A$5:$F$40,6,FALSE),0)</x:f>
        <x:v>235</x:v>
      </x:c>
      <x:c r="R1469" s="84" t="n">
        <x:f>'Raw Sales'!J1469</x:f>
        <x:v>4</x:v>
      </x:c>
      <x:c r="S1469" s="87" t="n">
        <x:f>'Raw Sales'!K1469</x:f>
        <x:v>0</x:v>
      </x:c>
      <x:c r="T1469" s="93" t="n">
        <x:f>P1469*R1469</x:f>
        <x:v>1596</x:v>
      </x:c>
      <x:c r="U1469" s="93" t="n">
        <x:f>T1469*S1469</x:f>
        <x:v>0</x:v>
      </x:c>
      <x:c r="V1469" s="93" t="str">
        <x:f>PROPER(TRIM('Raw Sales'!L1469))</x:f>
        <x:v>Completed</x:v>
      </x:c>
      <x:c r="W1469" s="93" t="n">
        <x:f>IF(V1469="Returned",0,T1469-U1469)</x:f>
        <x:v>1596</x:v>
      </x:c>
      <x:c r="X1469" s="93" t="n">
        <x:f>IF(V1469="Returned",Q1469*R1469*10%,Q1469*R1469)</x:f>
        <x:v>940</x:v>
      </x:c>
      <x:c r="Y1469" s="93" t="n">
        <x:f>W1469-X1469</x:f>
        <x:v>656</x:v>
      </x:c>
      <x:c r="Z1469" s="94" t="n">
        <x:f>IFERROR(Y1469/W1469,0)</x:f>
        <x:v>0.41102756892230574</x:v>
      </x:c>
      <x:c r="AA1469" s="84" t="str">
        <x:f>PROPER(TRIM('Raw Sales'!M1469))</x:f>
        <x:v>Credit Card</x:v>
      </x:c>
      <x:c r="AB1469" s="84" t="str">
        <x:f>PROPER(TRIM('Raw Sales'!N1469))</x:f>
        <x:v>Lucas Grant</x:v>
      </x:c>
      <x:c r="AC1469" s="85" t="n">
        <x:f>'Raw Sales'!O1469</x:f>
        <x:v>45780</x:v>
      </x:c>
      <x:c r="AD1469" s="84" t="n">
        <x:f>AC1469-B1469</x:f>
        <x:v>0</x:v>
      </x:c>
      <x:c r="AE1469" s="84" t="str">
        <x:f>IF(COUNTIF($A$5:A1469,A1469)&gt;1,"Duplicate","Keep")</x:f>
        <x:v>Keep</x:v>
      </x:c>
      <x:c r="AF1469" s="84" t="str">
        <x:f>IF(OR(R1469&lt;=0,AC1469&lt;B1469,H1469="Unknown",M1469="Unknown Product"),"Review","Valid")</x:f>
        <x:v>Valid</x:v>
      </x:c>
      <x:c r="AG1469" s="84" t="n">
        <x:f>IF(AND(AE1469="Keep",AF1469="Valid"),1,0)</x:f>
        <x:v>1</x:v>
      </x:c>
      <x:c r="AH1469" s="84" t="n">
        <x:f>IF(AND(AG1469=1,OR('Dashboard'!$B$4="All",I1469='Dashboard'!$B$4),OR('Dashboard'!$E$4="All",N1469='Dashboard'!$E$4),OR('Dashboard'!$H$4="All",K1469='Dashboard'!$H$4),OR('Dashboard'!$K$4="All",C1469='Dashboard'!$K$4)),1,0)</x:f>
        <x:v>1</x:v>
      </x:c>
      <x:c r="AI1469" s="84" t="n">
        <x:f>IF(AND(AG1469=1,OR('Dashboard'!$B$4="All",I1469='Dashboard'!$B$4),OR('Dashboard'!$E$4="All",N1469='Dashboard'!$E$4),OR('Dashboard'!$H$4="All",K1469='Dashboard'!$H$4)),1,0)</x:f>
        <x:v>1</x:v>
      </x:c>
    </x:row>
    <x:row r="1470">
      <x:c r="A1470" s="84" t="str">
        <x:f>'Raw Sales'!A1470</x:f>
        <x:v>ORD-2025-00997</x:v>
      </x:c>
      <x:c r="B1470" s="85" t="n">
        <x:f>'Raw Sales'!B1470</x:f>
        <x:v>45780</x:v>
      </x:c>
      <x:c r="C1470" s="84" t="n">
        <x:f>YEAR(B1470)</x:f>
        <x:v>2025</x:v>
      </x:c>
      <x:c r="D1470" s="91" t="n">
        <x:f>DATE(YEAR(B1470),MONTH(B1470),1)</x:f>
        <x:v>45778</x:v>
      </x:c>
      <x:c r="E1470" s="84" t="str">
        <x:f>TEXT(B1470,"mmm")</x:f>
        <x:v>May</x:v>
      </x:c>
      <x:c r="F1470" s="84" t="str">
        <x:f>'Raw Sales'!C1470</x:f>
        <x:v>CUST-0325</x:v>
      </x:c>
      <x:c r="G1470" s="84" t="str">
        <x:f>PROPER(TRIM('Raw Sales'!D1470))</x:f>
        <x:v>Caleb Baker</x:v>
      </x:c>
      <x:c r="H1470" s="84" t="str">
        <x:f>IF(TRIM('Raw Sales'!E1470)="","Unknown",PROPER(TRIM('Raw Sales'!E1470)))</x:f>
        <x:v>Small Business</x:v>
      </x:c>
      <x:c r="I1470" s="84" t="str">
        <x:f>PROPER(TRIM('Raw Sales'!F1470))</x:f>
        <x:v>West</x:v>
      </x:c>
      <x:c r="J1470" s="84" t="str">
        <x:f>PROPER(TRIM('Raw Sales'!G1470))</x:f>
        <x:v>Phoenix</x:v>
      </x:c>
      <x:c r="K1470" s="84" t="str">
        <x:f>PROPER(TRIM('Raw Sales'!H1470))</x:f>
        <x:v>Marketplace</x:v>
      </x:c>
      <x:c r="L1470" s="84" t="str">
        <x:f>'Raw Sales'!I1470</x:f>
        <x:v>ELEC-001</x:v>
      </x:c>
      <x:c r="M1470" s="84" t="str">
        <x:f>IFERROR(VLOOKUP(L1470,'Reference Data'!$A$5:$F$40,2,FALSE),"Unknown Product")</x:f>
        <x:v>Wireless Earbuds</x:v>
      </x:c>
      <x:c r="N1470" s="84" t="str">
        <x:f>IFERROR(VLOOKUP(L1470,'Reference Data'!$A$5:$F$40,3,FALSE),"Unknown")</x:f>
        <x:v>Electronics</x:v>
      </x:c>
      <x:c r="O1470" s="84" t="str">
        <x:f>IFERROR(VLOOKUP(L1470,'Reference Data'!$A$5:$F$40,4,FALSE),"Unknown")</x:f>
        <x:v>Audio</x:v>
      </x:c>
      <x:c r="P1470" s="92" t="n">
        <x:f>IFERROR(VLOOKUP(L1470,'Reference Data'!$A$5:$F$40,5,FALSE),0)</x:f>
        <x:v>69</x:v>
      </x:c>
      <x:c r="Q1470" s="92" t="n">
        <x:f>IFERROR(VLOOKUP(L1470,'Reference Data'!$A$5:$F$40,6,FALSE),0)</x:f>
        <x:v>36</x:v>
      </x:c>
      <x:c r="R1470" s="84" t="n">
        <x:f>'Raw Sales'!J1470</x:f>
        <x:v>1</x:v>
      </x:c>
      <x:c r="S1470" s="87" t="n">
        <x:f>'Raw Sales'!K1470</x:f>
        <x:v>0.15</x:v>
      </x:c>
      <x:c r="T1470" s="93" t="n">
        <x:f>P1470*R1470</x:f>
        <x:v>69</x:v>
      </x:c>
      <x:c r="U1470" s="93" t="n">
        <x:f>T1470*S1470</x:f>
        <x:v>10.35</x:v>
      </x:c>
      <x:c r="V1470" s="93" t="str">
        <x:f>PROPER(TRIM('Raw Sales'!L1470))</x:f>
        <x:v>Completed</x:v>
      </x:c>
      <x:c r="W1470" s="93" t="n">
        <x:f>IF(V1470="Returned",0,T1470-U1470)</x:f>
        <x:v>58.65</x:v>
      </x:c>
      <x:c r="X1470" s="93" t="n">
        <x:f>IF(V1470="Returned",Q1470*R1470*10%,Q1470*R1470)</x:f>
        <x:v>36</x:v>
      </x:c>
      <x:c r="Y1470" s="93" t="n">
        <x:f>W1470-X1470</x:f>
        <x:v>22.65</x:v>
      </x:c>
      <x:c r="Z1470" s="94" t="n">
        <x:f>IFERROR(Y1470/W1470,0)</x:f>
        <x:v>0.38618925831202044</x:v>
      </x:c>
      <x:c r="AA1470" s="84" t="str">
        <x:f>PROPER(TRIM('Raw Sales'!M1470))</x:f>
        <x:v>Credit Card</x:v>
      </x:c>
      <x:c r="AB1470" s="84" t="str">
        <x:f>PROPER(TRIM('Raw Sales'!N1470))</x:f>
        <x:v>Leo Martinez</x:v>
      </x:c>
      <x:c r="AC1470" s="85" t="n">
        <x:f>'Raw Sales'!O1470</x:f>
        <x:v>45783</x:v>
      </x:c>
      <x:c r="AD1470" s="84" t="n">
        <x:f>AC1470-B1470</x:f>
        <x:v>3</x:v>
      </x:c>
      <x:c r="AE1470" s="84" t="str">
        <x:f>IF(COUNTIF($A$5:A1470,A1470)&gt;1,"Duplicate","Keep")</x:f>
        <x:v>Keep</x:v>
      </x:c>
      <x:c r="AF1470" s="84" t="str">
        <x:f>IF(OR(R1470&lt;=0,AC1470&lt;B1470,H1470="Unknown",M1470="Unknown Product"),"Review","Valid")</x:f>
        <x:v>Valid</x:v>
      </x:c>
      <x:c r="AG1470" s="84" t="n">
        <x:f>IF(AND(AE1470="Keep",AF1470="Valid"),1,0)</x:f>
        <x:v>1</x:v>
      </x:c>
      <x:c r="AH1470" s="84" t="n">
        <x:f>IF(AND(AG1470=1,OR('Dashboard'!$B$4="All",I1470='Dashboard'!$B$4),OR('Dashboard'!$E$4="All",N1470='Dashboard'!$E$4),OR('Dashboard'!$H$4="All",K1470='Dashboard'!$H$4),OR('Dashboard'!$K$4="All",C1470='Dashboard'!$K$4)),1,0)</x:f>
        <x:v>1</x:v>
      </x:c>
      <x:c r="AI1470" s="84" t="n">
        <x:f>IF(AND(AG1470=1,OR('Dashboard'!$B$4="All",I1470='Dashboard'!$B$4),OR('Dashboard'!$E$4="All",N1470='Dashboard'!$E$4),OR('Dashboard'!$H$4="All",K1470='Dashboard'!$H$4)),1,0)</x:f>
        <x:v>1</x:v>
      </x:c>
    </x:row>
    <x:row r="1471">
      <x:c r="A1471" s="84" t="str">
        <x:f>'Raw Sales'!A1471</x:f>
        <x:v>ORD-2025-01133</x:v>
      </x:c>
      <x:c r="B1471" s="85" t="n">
        <x:f>'Raw Sales'!B1471</x:f>
        <x:v>45780</x:v>
      </x:c>
      <x:c r="C1471" s="84" t="n">
        <x:f>YEAR(B1471)</x:f>
        <x:v>2025</x:v>
      </x:c>
      <x:c r="D1471" s="91" t="n">
        <x:f>DATE(YEAR(B1471),MONTH(B1471),1)</x:f>
        <x:v>45778</x:v>
      </x:c>
      <x:c r="E1471" s="84" t="str">
        <x:f>TEXT(B1471,"mmm")</x:f>
        <x:v>May</x:v>
      </x:c>
      <x:c r="F1471" s="84" t="str">
        <x:f>'Raw Sales'!C1471</x:f>
        <x:v>CUST-0014</x:v>
      </x:c>
      <x:c r="G1471" s="84" t="str">
        <x:f>PROPER(TRIM('Raw Sales'!D1471))</x:f>
        <x:v>Jonah Irwin</x:v>
      </x:c>
      <x:c r="H1471" s="84" t="str">
        <x:f>IF(TRIM('Raw Sales'!E1471)="","Unknown",PROPER(TRIM('Raw Sales'!E1471)))</x:f>
        <x:v>Consumer</x:v>
      </x:c>
      <x:c r="I1471" s="84" t="str">
        <x:f>PROPER(TRIM('Raw Sales'!F1471))</x:f>
        <x:v>Southeast</x:v>
      </x:c>
      <x:c r="J1471" s="84" t="str">
        <x:f>PROPER(TRIM('Raw Sales'!G1471))</x:f>
        <x:v>Miami</x:v>
      </x:c>
      <x:c r="K1471" s="84" t="str">
        <x:f>PROPER(TRIM('Raw Sales'!H1471))</x:f>
        <x:v>Marketplace</x:v>
      </x:c>
      <x:c r="L1471" s="84" t="str">
        <x:f>'Raw Sales'!I1471</x:f>
        <x:v>FITN-002</x:v>
      </x:c>
      <x:c r="M1471" s="84" t="str">
        <x:f>IFERROR(VLOOKUP(L1471,'Reference Data'!$A$5:$F$40,2,FALSE),"Unknown Product")</x:f>
        <x:v>Adjustable Dumbbell Set</x:v>
      </x:c>
      <x:c r="N1471" s="84" t="str">
        <x:f>IFERROR(VLOOKUP(L1471,'Reference Data'!$A$5:$F$40,3,FALSE),"Unknown")</x:f>
        <x:v>Fitness</x:v>
      </x:c>
      <x:c r="O1471" s="84" t="str">
        <x:f>IFERROR(VLOOKUP(L1471,'Reference Data'!$A$5:$F$40,4,FALSE),"Unknown")</x:f>
        <x:v>Strength</x:v>
      </x:c>
      <x:c r="P1471" s="92" t="n">
        <x:f>IFERROR(VLOOKUP(L1471,'Reference Data'!$A$5:$F$40,5,FALSE),0)</x:f>
        <x:v>99</x:v>
      </x:c>
      <x:c r="Q1471" s="92" t="n">
        <x:f>IFERROR(VLOOKUP(L1471,'Reference Data'!$A$5:$F$40,6,FALSE),0)</x:f>
        <x:v>57</x:v>
      </x:c>
      <x:c r="R1471" s="84" t="n">
        <x:f>'Raw Sales'!J1471</x:f>
        <x:v>2</x:v>
      </x:c>
      <x:c r="S1471" s="87" t="n">
        <x:f>'Raw Sales'!K1471</x:f>
        <x:v>0.05</x:v>
      </x:c>
      <x:c r="T1471" s="93" t="n">
        <x:f>P1471*R1471</x:f>
        <x:v>198</x:v>
      </x:c>
      <x:c r="U1471" s="93" t="n">
        <x:f>T1471*S1471</x:f>
        <x:v>9.9</x:v>
      </x:c>
      <x:c r="V1471" s="93" t="str">
        <x:f>PROPER(TRIM('Raw Sales'!L1471))</x:f>
        <x:v>Completed</x:v>
      </x:c>
      <x:c r="W1471" s="93" t="n">
        <x:f>IF(V1471="Returned",0,T1471-U1471)</x:f>
        <x:v>188.1</x:v>
      </x:c>
      <x:c r="X1471" s="93" t="n">
        <x:f>IF(V1471="Returned",Q1471*R1471*10%,Q1471*R1471)</x:f>
        <x:v>114</x:v>
      </x:c>
      <x:c r="Y1471" s="93" t="n">
        <x:f>W1471-X1471</x:f>
        <x:v>74.1</x:v>
      </x:c>
      <x:c r="Z1471" s="94" t="n">
        <x:f>IFERROR(Y1471/W1471,0)</x:f>
        <x:v>0.3939393939393939</x:v>
      </x:c>
      <x:c r="AA1471" s="84" t="str">
        <x:f>PROPER(TRIM('Raw Sales'!M1471))</x:f>
        <x:v>Paypal</x:v>
      </x:c>
      <x:c r="AB1471" s="84" t="str">
        <x:f>PROPER(TRIM('Raw Sales'!N1471))</x:f>
        <x:v>Noah Reed</x:v>
      </x:c>
      <x:c r="AC1471" s="85" t="n">
        <x:f>'Raw Sales'!O1471</x:f>
        <x:v>45786</x:v>
      </x:c>
      <x:c r="AD1471" s="84" t="n">
        <x:f>AC1471-B1471</x:f>
        <x:v>6</x:v>
      </x:c>
      <x:c r="AE1471" s="84" t="str">
        <x:f>IF(COUNTIF($A$5:A1471,A1471)&gt;1,"Duplicate","Keep")</x:f>
        <x:v>Keep</x:v>
      </x:c>
      <x:c r="AF1471" s="84" t="str">
        <x:f>IF(OR(R1471&lt;=0,AC1471&lt;B1471,H1471="Unknown",M1471="Unknown Product"),"Review","Valid")</x:f>
        <x:v>Valid</x:v>
      </x:c>
      <x:c r="AG1471" s="84" t="n">
        <x:f>IF(AND(AE1471="Keep",AF1471="Valid"),1,0)</x:f>
        <x:v>1</x:v>
      </x:c>
      <x:c r="AH1471" s="84" t="n">
        <x:f>IF(AND(AG1471=1,OR('Dashboard'!$B$4="All",I1471='Dashboard'!$B$4),OR('Dashboard'!$E$4="All",N1471='Dashboard'!$E$4),OR('Dashboard'!$H$4="All",K1471='Dashboard'!$H$4),OR('Dashboard'!$K$4="All",C1471='Dashboard'!$K$4)),1,0)</x:f>
        <x:v>1</x:v>
      </x:c>
      <x:c r="AI1471" s="84" t="n">
        <x:f>IF(AND(AG1471=1,OR('Dashboard'!$B$4="All",I1471='Dashboard'!$B$4),OR('Dashboard'!$E$4="All",N1471='Dashboard'!$E$4),OR('Dashboard'!$H$4="All",K1471='Dashboard'!$H$4)),1,0)</x:f>
        <x:v>1</x:v>
      </x:c>
    </x:row>
    <x:row r="1472">
      <x:c r="A1472" s="84" t="str">
        <x:f>'Raw Sales'!A1472</x:f>
        <x:v>ORD-2025-01470</x:v>
      </x:c>
      <x:c r="B1472" s="85" t="n">
        <x:f>'Raw Sales'!B1472</x:f>
        <x:v>45780</x:v>
      </x:c>
      <x:c r="C1472" s="84" t="n">
        <x:f>YEAR(B1472)</x:f>
        <x:v>2025</x:v>
      </x:c>
      <x:c r="D1472" s="91" t="n">
        <x:f>DATE(YEAR(B1472),MONTH(B1472),1)</x:f>
        <x:v>45778</x:v>
      </x:c>
      <x:c r="E1472" s="84" t="str">
        <x:f>TEXT(B1472,"mmm")</x:f>
        <x:v>May</x:v>
      </x:c>
      <x:c r="F1472" s="84" t="str">
        <x:f>'Raw Sales'!C1472</x:f>
        <x:v>CUST-0558</x:v>
      </x:c>
      <x:c r="G1472" s="84" t="str">
        <x:f>PROPER(TRIM('Raw Sales'!D1472))</x:f>
        <x:v>Elias Irwin</x:v>
      </x:c>
      <x:c r="H1472" s="84" t="str">
        <x:f>IF(TRIM('Raw Sales'!E1472)="","Unknown",PROPER(TRIM('Raw Sales'!E1472)))</x:f>
        <x:v>Corporate</x:v>
      </x:c>
      <x:c r="I1472" s="84" t="str">
        <x:f>PROPER(TRIM('Raw Sales'!F1472))</x:f>
        <x:v>Northeast</x:v>
      </x:c>
      <x:c r="J1472" s="84" t="str">
        <x:f>PROPER(TRIM('Raw Sales'!G1472))</x:f>
        <x:v>Philadelphia</x:v>
      </x:c>
      <x:c r="K1472" s="84" t="str">
        <x:f>PROPER(TRIM('Raw Sales'!H1472))</x:f>
        <x:v>Online</x:v>
      </x:c>
      <x:c r="L1472" s="84" t="str">
        <x:f>'Raw Sales'!I1472</x:f>
        <x:v>CARE-003</x:v>
      </x:c>
      <x:c r="M1472" s="84" t="str">
        <x:f>IFERROR(VLOOKUP(L1472,'Reference Data'!$A$5:$F$40,2,FALSE),"Unknown Product")</x:f>
        <x:v>Facial Cleanser</x:v>
      </x:c>
      <x:c r="N1472" s="84" t="str">
        <x:f>IFERROR(VLOOKUP(L1472,'Reference Data'!$A$5:$F$40,3,FALSE),"Unknown")</x:f>
        <x:v>Personal Care</x:v>
      </x:c>
      <x:c r="O1472" s="84" t="str">
        <x:f>IFERROR(VLOOKUP(L1472,'Reference Data'!$A$5:$F$40,4,FALSE),"Unknown")</x:f>
        <x:v>Skin Care</x:v>
      </x:c>
      <x:c r="P1472" s="92" t="n">
        <x:f>IFERROR(VLOOKUP(L1472,'Reference Data'!$A$5:$F$40,5,FALSE),0)</x:f>
        <x:v>18</x:v>
      </x:c>
      <x:c r="Q1472" s="92" t="n">
        <x:f>IFERROR(VLOOKUP(L1472,'Reference Data'!$A$5:$F$40,6,FALSE),0)</x:f>
        <x:v>6</x:v>
      </x:c>
      <x:c r="R1472" s="84" t="n">
        <x:f>'Raw Sales'!J1472</x:f>
        <x:v>1</x:v>
      </x:c>
      <x:c r="S1472" s="87" t="n">
        <x:f>'Raw Sales'!K1472</x:f>
        <x:v>0</x:v>
      </x:c>
      <x:c r="T1472" s="93" t="n">
        <x:f>P1472*R1472</x:f>
        <x:v>18</x:v>
      </x:c>
      <x:c r="U1472" s="93" t="n">
        <x:f>T1472*S1472</x:f>
        <x:v>0</x:v>
      </x:c>
      <x:c r="V1472" s="93" t="str">
        <x:f>PROPER(TRIM('Raw Sales'!L1472))</x:f>
        <x:v>Completed</x:v>
      </x:c>
      <x:c r="W1472" s="93" t="n">
        <x:f>IF(V1472="Returned",0,T1472-U1472)</x:f>
        <x:v>18</x:v>
      </x:c>
      <x:c r="X1472" s="93" t="n">
        <x:f>IF(V1472="Returned",Q1472*R1472*10%,Q1472*R1472)</x:f>
        <x:v>6</x:v>
      </x:c>
      <x:c r="Y1472" s="93" t="n">
        <x:f>W1472-X1472</x:f>
        <x:v>12</x:v>
      </x:c>
      <x:c r="Z1472" s="94" t="n">
        <x:f>IFERROR(Y1472/W1472,0)</x:f>
        <x:v>0.6666666666666666</x:v>
      </x:c>
      <x:c r="AA1472" s="84" t="str">
        <x:f>PROPER(TRIM('Raw Sales'!M1472))</x:f>
        <x:v>Paypal</x:v>
      </x:c>
      <x:c r="AB1472" s="84" t="str">
        <x:f>PROPER(TRIM('Raw Sales'!N1472))</x:f>
        <x:v>Sofia Bennett</x:v>
      </x:c>
      <x:c r="AC1472" s="85" t="n">
        <x:f>'Raw Sales'!O1472</x:f>
        <x:v>45782</x:v>
      </x:c>
      <x:c r="AD1472" s="84" t="n">
        <x:f>AC1472-B1472</x:f>
        <x:v>2</x:v>
      </x:c>
      <x:c r="AE1472" s="84" t="str">
        <x:f>IF(COUNTIF($A$5:A1472,A1472)&gt;1,"Duplicate","Keep")</x:f>
        <x:v>Keep</x:v>
      </x:c>
      <x:c r="AF1472" s="84" t="str">
        <x:f>IF(OR(R1472&lt;=0,AC1472&lt;B1472,H1472="Unknown",M1472="Unknown Product"),"Review","Valid")</x:f>
        <x:v>Valid</x:v>
      </x:c>
      <x:c r="AG1472" s="84" t="n">
        <x:f>IF(AND(AE1472="Keep",AF1472="Valid"),1,0)</x:f>
        <x:v>1</x:v>
      </x:c>
      <x:c r="AH1472" s="84" t="n">
        <x:f>IF(AND(AG1472=1,OR('Dashboard'!$B$4="All",I1472='Dashboard'!$B$4),OR('Dashboard'!$E$4="All",N1472='Dashboard'!$E$4),OR('Dashboard'!$H$4="All",K1472='Dashboard'!$H$4),OR('Dashboard'!$K$4="All",C1472='Dashboard'!$K$4)),1,0)</x:f>
        <x:v>1</x:v>
      </x:c>
      <x:c r="AI1472" s="84" t="n">
        <x:f>IF(AND(AG1472=1,OR('Dashboard'!$B$4="All",I1472='Dashboard'!$B$4),OR('Dashboard'!$E$4="All",N1472='Dashboard'!$E$4),OR('Dashboard'!$H$4="All",K1472='Dashboard'!$H$4)),1,0)</x:f>
        <x:v>1</x:v>
      </x:c>
    </x:row>
    <x:row r="1473">
      <x:c r="A1473" s="84" t="str">
        <x:f>'Raw Sales'!A1473</x:f>
        <x:v>ORD-2025-01875</x:v>
      </x:c>
      <x:c r="B1473" s="85" t="n">
        <x:f>'Raw Sales'!B1473</x:f>
        <x:v>45780</x:v>
      </x:c>
      <x:c r="C1473" s="84" t="n">
        <x:f>YEAR(B1473)</x:f>
        <x:v>2025</x:v>
      </x:c>
      <x:c r="D1473" s="91" t="n">
        <x:f>DATE(YEAR(B1473),MONTH(B1473),1)</x:f>
        <x:v>45778</x:v>
      </x:c>
      <x:c r="E1473" s="84" t="str">
        <x:f>TEXT(B1473,"mmm")</x:f>
        <x:v>May</x:v>
      </x:c>
      <x:c r="F1473" s="84" t="str">
        <x:f>'Raw Sales'!C1473</x:f>
        <x:v>CUST-0078</x:v>
      </x:c>
      <x:c r="G1473" s="84" t="str">
        <x:f>PROPER(TRIM('Raw Sales'!D1473))</x:f>
        <x:v>Grace Carter</x:v>
      </x:c>
      <x:c r="H1473" s="84" t="str">
        <x:f>IF(TRIM('Raw Sales'!E1473)="","Unknown",PROPER(TRIM('Raw Sales'!E1473)))</x:f>
        <x:v>Small Business</x:v>
      </x:c>
      <x:c r="I1473" s="84" t="str">
        <x:f>PROPER(TRIM('Raw Sales'!F1473))</x:f>
        <x:v>Southeast</x:v>
      </x:c>
      <x:c r="J1473" s="84" t="str">
        <x:f>PROPER(TRIM('Raw Sales'!G1473))</x:f>
        <x:v>Atlanta</x:v>
      </x:c>
      <x:c r="K1473" s="84" t="str">
        <x:f>PROPER(TRIM('Raw Sales'!H1473))</x:f>
        <x:v>Online</x:v>
      </x:c>
      <x:c r="L1473" s="84" t="str">
        <x:f>'Raw Sales'!I1473</x:f>
        <x:v>ACCS-003</x:v>
      </x:c>
      <x:c r="M1473" s="84" t="str">
        <x:f>IFERROR(VLOOKUP(L1473,'Reference Data'!$A$5:$F$40,2,FALSE),"Unknown Product")</x:f>
        <x:v>Polarized Sunglasses</x:v>
      </x:c>
      <x:c r="N1473" s="84" t="str">
        <x:f>IFERROR(VLOOKUP(L1473,'Reference Data'!$A$5:$F$40,3,FALSE),"Unknown")</x:f>
        <x:v>Accessories</x:v>
      </x:c>
      <x:c r="O1473" s="84" t="str">
        <x:f>IFERROR(VLOOKUP(L1473,'Reference Data'!$A$5:$F$40,4,FALSE),"Unknown")</x:f>
        <x:v>Eyewear</x:v>
      </x:c>
      <x:c r="P1473" s="92" t="n">
        <x:f>IFERROR(VLOOKUP(L1473,'Reference Data'!$A$5:$F$40,5,FALSE),0)</x:f>
        <x:v>59</x:v>
      </x:c>
      <x:c r="Q1473" s="92" t="n">
        <x:f>IFERROR(VLOOKUP(L1473,'Reference Data'!$A$5:$F$40,6,FALSE),0)</x:f>
        <x:v>17</x:v>
      </x:c>
      <x:c r="R1473" s="84" t="n">
        <x:f>'Raw Sales'!J1473</x:f>
        <x:v>1</x:v>
      </x:c>
      <x:c r="S1473" s="87" t="n">
        <x:f>'Raw Sales'!K1473</x:f>
        <x:v>0.05</x:v>
      </x:c>
      <x:c r="T1473" s="93" t="n">
        <x:f>P1473*R1473</x:f>
        <x:v>59</x:v>
      </x:c>
      <x:c r="U1473" s="93" t="n">
        <x:f>T1473*S1473</x:f>
        <x:v>2.95</x:v>
      </x:c>
      <x:c r="V1473" s="93" t="str">
        <x:f>PROPER(TRIM('Raw Sales'!L1473))</x:f>
        <x:v>Completed</x:v>
      </x:c>
      <x:c r="W1473" s="93" t="n">
        <x:f>IF(V1473="Returned",0,T1473-U1473)</x:f>
        <x:v>56.05</x:v>
      </x:c>
      <x:c r="X1473" s="93" t="n">
        <x:f>IF(V1473="Returned",Q1473*R1473*10%,Q1473*R1473)</x:f>
        <x:v>17</x:v>
      </x:c>
      <x:c r="Y1473" s="93" t="n">
        <x:f>W1473-X1473</x:f>
        <x:v>39.05</x:v>
      </x:c>
      <x:c r="Z1473" s="94" t="n">
        <x:f>IFERROR(Y1473/W1473,0)</x:f>
        <x:v>0.6966993755575379</x:v>
      </x:c>
      <x:c r="AA1473" s="84" t="str">
        <x:f>PROPER(TRIM('Raw Sales'!M1473))</x:f>
        <x:v>Debit Card</x:v>
      </x:c>
      <x:c r="AB1473" s="84" t="str">
        <x:f>PROPER(TRIM('Raw Sales'!N1473))</x:f>
        <x:v>Liam Parker</x:v>
      </x:c>
      <x:c r="AC1473" s="85" t="n">
        <x:f>'Raw Sales'!O1473</x:f>
        <x:v>45784</x:v>
      </x:c>
      <x:c r="AD1473" s="84" t="n">
        <x:f>AC1473-B1473</x:f>
        <x:v>4</x:v>
      </x:c>
      <x:c r="AE1473" s="84" t="str">
        <x:f>IF(COUNTIF($A$5:A1473,A1473)&gt;1,"Duplicate","Keep")</x:f>
        <x:v>Keep</x:v>
      </x:c>
      <x:c r="AF1473" s="84" t="str">
        <x:f>IF(OR(R1473&lt;=0,AC1473&lt;B1473,H1473="Unknown",M1473="Unknown Product"),"Review","Valid")</x:f>
        <x:v>Valid</x:v>
      </x:c>
      <x:c r="AG1473" s="84" t="n">
        <x:f>IF(AND(AE1473="Keep",AF1473="Valid"),1,0)</x:f>
        <x:v>1</x:v>
      </x:c>
      <x:c r="AH1473" s="84" t="n">
        <x:f>IF(AND(AG1473=1,OR('Dashboard'!$B$4="All",I1473='Dashboard'!$B$4),OR('Dashboard'!$E$4="All",N1473='Dashboard'!$E$4),OR('Dashboard'!$H$4="All",K1473='Dashboard'!$H$4),OR('Dashboard'!$K$4="All",C1473='Dashboard'!$K$4)),1,0)</x:f>
        <x:v>1</x:v>
      </x:c>
      <x:c r="AI1473" s="84" t="n">
        <x:f>IF(AND(AG1473=1,OR('Dashboard'!$B$4="All",I1473='Dashboard'!$B$4),OR('Dashboard'!$E$4="All",N1473='Dashboard'!$E$4),OR('Dashboard'!$H$4="All",K1473='Dashboard'!$H$4)),1,0)</x:f>
        <x:v>1</x:v>
      </x:c>
    </x:row>
    <x:row r="1474">
      <x:c r="A1474" s="84" t="str">
        <x:f>'Raw Sales'!A1474</x:f>
        <x:v>ORD-2025-00210</x:v>
      </x:c>
      <x:c r="B1474" s="85" t="n">
        <x:f>'Raw Sales'!B1474</x:f>
        <x:v>45781</x:v>
      </x:c>
      <x:c r="C1474" s="84" t="n">
        <x:f>YEAR(B1474)</x:f>
        <x:v>2025</x:v>
      </x:c>
      <x:c r="D1474" s="91" t="n">
        <x:f>DATE(YEAR(B1474),MONTH(B1474),1)</x:f>
        <x:v>45778</x:v>
      </x:c>
      <x:c r="E1474" s="84" t="str">
        <x:f>TEXT(B1474,"mmm")</x:f>
        <x:v>May</x:v>
      </x:c>
      <x:c r="F1474" s="84" t="str">
        <x:f>'Raw Sales'!C1474</x:f>
        <x:v>CUST-0428</x:v>
      </x:c>
      <x:c r="G1474" s="84" t="str">
        <x:f>PROPER(TRIM('Raw Sales'!D1474))</x:f>
        <x:v>Theo Taylor</x:v>
      </x:c>
      <x:c r="H1474" s="84" t="str">
        <x:f>IF(TRIM('Raw Sales'!E1474)="","Unknown",PROPER(TRIM('Raw Sales'!E1474)))</x:f>
        <x:v>Consumer</x:v>
      </x:c>
      <x:c r="I1474" s="84" t="str">
        <x:f>PROPER(TRIM('Raw Sales'!F1474))</x:f>
        <x:v>Midwest</x:v>
      </x:c>
      <x:c r="J1474" s="84" t="str">
        <x:f>PROPER(TRIM('Raw Sales'!G1474))</x:f>
        <x:v>Chicago</x:v>
      </x:c>
      <x:c r="K1474" s="84" t="str">
        <x:f>PROPER(TRIM('Raw Sales'!H1474))</x:f>
        <x:v>Retail Store</x:v>
      </x:c>
      <x:c r="L1474" s="84" t="str">
        <x:f>'Raw Sales'!I1474</x:f>
        <x:v>ACCS-006</x:v>
      </x:c>
      <x:c r="M1474" s="84" t="str">
        <x:f>IFERROR(VLOOKUP(L1474,'Reference Data'!$A$5:$F$40,2,FALSE),"Unknown Product")</x:f>
        <x:v>Insulated Lunch Bag</x:v>
      </x:c>
      <x:c r="N1474" s="84" t="str">
        <x:f>IFERROR(VLOOKUP(L1474,'Reference Data'!$A$5:$F$40,3,FALSE),"Unknown")</x:f>
        <x:v>Accessories</x:v>
      </x:c>
      <x:c r="O1474" s="84" t="str">
        <x:f>IFERROR(VLOOKUP(L1474,'Reference Data'!$A$5:$F$40,4,FALSE),"Unknown")</x:f>
        <x:v>Bags</x:v>
      </x:c>
      <x:c r="P1474" s="92" t="n">
        <x:f>IFERROR(VLOOKUP(L1474,'Reference Data'!$A$5:$F$40,5,FALSE),0)</x:f>
        <x:v>29</x:v>
      </x:c>
      <x:c r="Q1474" s="92" t="n">
        <x:f>IFERROR(VLOOKUP(L1474,'Reference Data'!$A$5:$F$40,6,FALSE),0)</x:f>
        <x:v>10</x:v>
      </x:c>
      <x:c r="R1474" s="84" t="n">
        <x:f>'Raw Sales'!J1474</x:f>
        <x:v>1</x:v>
      </x:c>
      <x:c r="S1474" s="87" t="n">
        <x:f>'Raw Sales'!K1474</x:f>
        <x:v>0.1</x:v>
      </x:c>
      <x:c r="T1474" s="93" t="n">
        <x:f>P1474*R1474</x:f>
        <x:v>29</x:v>
      </x:c>
      <x:c r="U1474" s="93" t="n">
        <x:f>T1474*S1474</x:f>
        <x:v>2.9000000000000004</x:v>
      </x:c>
      <x:c r="V1474" s="93" t="str">
        <x:f>PROPER(TRIM('Raw Sales'!L1474))</x:f>
        <x:v>Completed</x:v>
      </x:c>
      <x:c r="W1474" s="93" t="n">
        <x:f>IF(V1474="Returned",0,T1474-U1474)</x:f>
        <x:v>26.1</x:v>
      </x:c>
      <x:c r="X1474" s="93" t="n">
        <x:f>IF(V1474="Returned",Q1474*R1474*10%,Q1474*R1474)</x:f>
        <x:v>10</x:v>
      </x:c>
      <x:c r="Y1474" s="93" t="n">
        <x:f>W1474-X1474</x:f>
        <x:v>16.1</x:v>
      </x:c>
      <x:c r="Z1474" s="94" t="n">
        <x:f>IFERROR(Y1474/W1474,0)</x:f>
        <x:v>0.6168582375478927</x:v>
      </x:c>
      <x:c r="AA1474" s="84" t="str">
        <x:f>PROPER(TRIM('Raw Sales'!M1474))</x:f>
        <x:v>Debit Card</x:v>
      </x:c>
      <x:c r="AB1474" s="84" t="str">
        <x:f>PROPER(TRIM('Raw Sales'!N1474))</x:f>
        <x:v>Emma Hayes</x:v>
      </x:c>
      <x:c r="AC1474" s="85" t="n">
        <x:f>'Raw Sales'!O1474</x:f>
        <x:v>45782</x:v>
      </x:c>
      <x:c r="AD1474" s="84" t="n">
        <x:f>AC1474-B1474</x:f>
        <x:v>1</x:v>
      </x:c>
      <x:c r="AE1474" s="84" t="str">
        <x:f>IF(COUNTIF($A$5:A1474,A1474)&gt;1,"Duplicate","Keep")</x:f>
        <x:v>Keep</x:v>
      </x:c>
      <x:c r="AF1474" s="84" t="str">
        <x:f>IF(OR(R1474&lt;=0,AC1474&lt;B1474,H1474="Unknown",M1474="Unknown Product"),"Review","Valid")</x:f>
        <x:v>Valid</x:v>
      </x:c>
      <x:c r="AG1474" s="84" t="n">
        <x:f>IF(AND(AE1474="Keep",AF1474="Valid"),1,0)</x:f>
        <x:v>1</x:v>
      </x:c>
      <x:c r="AH1474" s="84" t="n">
        <x:f>IF(AND(AG1474=1,OR('Dashboard'!$B$4="All",I1474='Dashboard'!$B$4),OR('Dashboard'!$E$4="All",N1474='Dashboard'!$E$4),OR('Dashboard'!$H$4="All",K1474='Dashboard'!$H$4),OR('Dashboard'!$K$4="All",C1474='Dashboard'!$K$4)),1,0)</x:f>
        <x:v>1</x:v>
      </x:c>
      <x:c r="AI1474" s="84" t="n">
        <x:f>IF(AND(AG1474=1,OR('Dashboard'!$B$4="All",I1474='Dashboard'!$B$4),OR('Dashboard'!$E$4="All",N1474='Dashboard'!$E$4),OR('Dashboard'!$H$4="All",K1474='Dashboard'!$H$4)),1,0)</x:f>
        <x:v>1</x:v>
      </x:c>
    </x:row>
    <x:row r="1475">
      <x:c r="A1475" s="84" t="str">
        <x:f>'Raw Sales'!A1475</x:f>
        <x:v>ORD-2025-00978</x:v>
      </x:c>
      <x:c r="B1475" s="85" t="n">
        <x:f>'Raw Sales'!B1475</x:f>
        <x:v>45781</x:v>
      </x:c>
      <x:c r="C1475" s="84" t="n">
        <x:f>YEAR(B1475)</x:f>
        <x:v>2025</x:v>
      </x:c>
      <x:c r="D1475" s="91" t="n">
        <x:f>DATE(YEAR(B1475),MONTH(B1475),1)</x:f>
        <x:v>45778</x:v>
      </x:c>
      <x:c r="E1475" s="84" t="str">
        <x:f>TEXT(B1475,"mmm")</x:f>
        <x:v>May</x:v>
      </x:c>
      <x:c r="F1475" s="84" t="str">
        <x:f>'Raw Sales'!C1475</x:f>
        <x:v>CUST-0488</x:v>
      </x:c>
      <x:c r="G1475" s="84" t="str">
        <x:f>PROPER(TRIM('Raw Sales'!D1475))</x:f>
        <x:v>Nathan Moore</x:v>
      </x:c>
      <x:c r="H1475" s="84" t="str">
        <x:f>IF(TRIM('Raw Sales'!E1475)="","Unknown",PROPER(TRIM('Raw Sales'!E1475)))</x:f>
        <x:v>Consumer</x:v>
      </x:c>
      <x:c r="I1475" s="84" t="str">
        <x:f>PROPER(TRIM('Raw Sales'!F1475))</x:f>
        <x:v>Northeast</x:v>
      </x:c>
      <x:c r="J1475" s="84" t="str">
        <x:f>PROPER(TRIM('Raw Sales'!G1475))</x:f>
        <x:v>New York</x:v>
      </x:c>
      <x:c r="K1475" s="84" t="str">
        <x:f>PROPER(TRIM('Raw Sales'!H1475))</x:f>
        <x:v>Retail Store</x:v>
      </x:c>
      <x:c r="L1475" s="84" t="str">
        <x:f>'Raw Sales'!I1475</x:f>
        <x:v>OFFC-001</x:v>
      </x:c>
      <x:c r="M1475" s="84" t="str">
        <x:f>IFERROR(VLOOKUP(L1475,'Reference Data'!$A$5:$F$40,2,FALSE),"Unknown Product")</x:f>
        <x:v>Ergonomic Chair</x:v>
      </x:c>
      <x:c r="N1475" s="84" t="str">
        <x:f>IFERROR(VLOOKUP(L1475,'Reference Data'!$A$5:$F$40,3,FALSE),"Unknown")</x:f>
        <x:v>Office</x:v>
      </x:c>
      <x:c r="O1475" s="84" t="str">
        <x:f>IFERROR(VLOOKUP(L1475,'Reference Data'!$A$5:$F$40,4,FALSE),"Unknown")</x:f>
        <x:v>Furniture</x:v>
      </x:c>
      <x:c r="P1475" s="92" t="n">
        <x:f>IFERROR(VLOOKUP(L1475,'Reference Data'!$A$5:$F$40,5,FALSE),0)</x:f>
        <x:v>249</x:v>
      </x:c>
      <x:c r="Q1475" s="92" t="n">
        <x:f>IFERROR(VLOOKUP(L1475,'Reference Data'!$A$5:$F$40,6,FALSE),0)</x:f>
        <x:v>145</x:v>
      </x:c>
      <x:c r="R1475" s="84" t="n">
        <x:f>'Raw Sales'!J1475</x:f>
        <x:v>2</x:v>
      </x:c>
      <x:c r="S1475" s="87" t="n">
        <x:f>'Raw Sales'!K1475</x:f>
        <x:v>0.1</x:v>
      </x:c>
      <x:c r="T1475" s="93" t="n">
        <x:f>P1475*R1475</x:f>
        <x:v>498</x:v>
      </x:c>
      <x:c r="U1475" s="93" t="n">
        <x:f>T1475*S1475</x:f>
        <x:v>49.800000000000004</x:v>
      </x:c>
      <x:c r="V1475" s="93" t="str">
        <x:f>PROPER(TRIM('Raw Sales'!L1475))</x:f>
        <x:v>Completed</x:v>
      </x:c>
      <x:c r="W1475" s="93" t="n">
        <x:f>IF(V1475="Returned",0,T1475-U1475)</x:f>
        <x:v>448.2</x:v>
      </x:c>
      <x:c r="X1475" s="93" t="n">
        <x:f>IF(V1475="Returned",Q1475*R1475*10%,Q1475*R1475)</x:f>
        <x:v>290</x:v>
      </x:c>
      <x:c r="Y1475" s="93" t="n">
        <x:f>W1475-X1475</x:f>
        <x:v>158.2</x:v>
      </x:c>
      <x:c r="Z1475" s="94" t="n">
        <x:f>IFERROR(Y1475/W1475,0)</x:f>
        <x:v>0.35296742525658187</x:v>
      </x:c>
      <x:c r="AA1475" s="84" t="str">
        <x:f>PROPER(TRIM('Raw Sales'!M1475))</x:f>
        <x:v>Debit Card</x:v>
      </x:c>
      <x:c r="AB1475" s="84" t="str">
        <x:f>PROPER(TRIM('Raw Sales'!N1475))</x:f>
        <x:v>Sofia Bennett</x:v>
      </x:c>
      <x:c r="AC1475" s="85" t="n">
        <x:f>'Raw Sales'!O1475</x:f>
        <x:v>45781</x:v>
      </x:c>
      <x:c r="AD1475" s="84" t="n">
        <x:f>AC1475-B1475</x:f>
        <x:v>0</x:v>
      </x:c>
      <x:c r="AE1475" s="84" t="str">
        <x:f>IF(COUNTIF($A$5:A1475,A1475)&gt;1,"Duplicate","Keep")</x:f>
        <x:v>Keep</x:v>
      </x:c>
      <x:c r="AF1475" s="84" t="str">
        <x:f>IF(OR(R1475&lt;=0,AC1475&lt;B1475,H1475="Unknown",M1475="Unknown Product"),"Review","Valid")</x:f>
        <x:v>Valid</x:v>
      </x:c>
      <x:c r="AG1475" s="84" t="n">
        <x:f>IF(AND(AE1475="Keep",AF1475="Valid"),1,0)</x:f>
        <x:v>1</x:v>
      </x:c>
      <x:c r="AH1475" s="84" t="n">
        <x:f>IF(AND(AG1475=1,OR('Dashboard'!$B$4="All",I1475='Dashboard'!$B$4),OR('Dashboard'!$E$4="All",N1475='Dashboard'!$E$4),OR('Dashboard'!$H$4="All",K1475='Dashboard'!$H$4),OR('Dashboard'!$K$4="All",C1475='Dashboard'!$K$4)),1,0)</x:f>
        <x:v>1</x:v>
      </x:c>
      <x:c r="AI1475" s="84" t="n">
        <x:f>IF(AND(AG1475=1,OR('Dashboard'!$B$4="All",I1475='Dashboard'!$B$4),OR('Dashboard'!$E$4="All",N1475='Dashboard'!$E$4),OR('Dashboard'!$H$4="All",K1475='Dashboard'!$H$4)),1,0)</x:f>
        <x:v>1</x:v>
      </x:c>
    </x:row>
    <x:row r="1476">
      <x:c r="A1476" s="84" t="str">
        <x:f>'Raw Sales'!A1476</x:f>
        <x:v>ORD-2025-01242</x:v>
      </x:c>
      <x:c r="B1476" s="85" t="n">
        <x:f>'Raw Sales'!B1476</x:f>
        <x:v>45781</x:v>
      </x:c>
      <x:c r="C1476" s="84" t="n">
        <x:f>YEAR(B1476)</x:f>
        <x:v>2025</x:v>
      </x:c>
      <x:c r="D1476" s="91" t="n">
        <x:f>DATE(YEAR(B1476),MONTH(B1476),1)</x:f>
        <x:v>45778</x:v>
      </x:c>
      <x:c r="E1476" s="84" t="str">
        <x:f>TEXT(B1476,"mmm")</x:f>
        <x:v>May</x:v>
      </x:c>
      <x:c r="F1476" s="84" t="str">
        <x:f>'Raw Sales'!C1476</x:f>
        <x:v>CUST-0113</x:v>
      </x:c>
      <x:c r="G1476" s="84" t="str">
        <x:f>PROPER(TRIM('Raw Sales'!D1476))</x:f>
        <x:v>Amelia Patel</x:v>
      </x:c>
      <x:c r="H1476" s="84" t="str">
        <x:f>IF(TRIM('Raw Sales'!E1476)="","Unknown",PROPER(TRIM('Raw Sales'!E1476)))</x:f>
        <x:v>Consumer</x:v>
      </x:c>
      <x:c r="I1476" s="84" t="str">
        <x:f>PROPER(TRIM('Raw Sales'!F1476))</x:f>
        <x:v>Southeast</x:v>
      </x:c>
      <x:c r="J1476" s="84" t="str">
        <x:f>PROPER(TRIM('Raw Sales'!G1476))</x:f>
        <x:v>Atlanta</x:v>
      </x:c>
      <x:c r="K1476" s="84" t="str">
        <x:f>PROPER(TRIM('Raw Sales'!H1476))</x:f>
        <x:v>Retail Store</x:v>
      </x:c>
      <x:c r="L1476" s="84" t="str">
        <x:f>'Raw Sales'!I1476</x:f>
        <x:v>OFFC-006</x:v>
      </x:c>
      <x:c r="M1476" s="84" t="str">
        <x:f>IFERROR(VLOOKUP(L1476,'Reference Data'!$A$5:$F$40,2,FALSE),"Unknown Product")</x:f>
        <x:v>Monitor Stand</x:v>
      </x:c>
      <x:c r="N1476" s="84" t="str">
        <x:f>IFERROR(VLOOKUP(L1476,'Reference Data'!$A$5:$F$40,3,FALSE),"Unknown")</x:f>
        <x:v>Office</x:v>
      </x:c>
      <x:c r="O1476" s="84" t="str">
        <x:f>IFERROR(VLOOKUP(L1476,'Reference Data'!$A$5:$F$40,4,FALSE),"Unknown")</x:f>
        <x:v>Desk Accessories</x:v>
      </x:c>
      <x:c r="P1476" s="92" t="n">
        <x:f>IFERROR(VLOOKUP(L1476,'Reference Data'!$A$5:$F$40,5,FALSE),0)</x:f>
        <x:v>49</x:v>
      </x:c>
      <x:c r="Q1476" s="92" t="n">
        <x:f>IFERROR(VLOOKUP(L1476,'Reference Data'!$A$5:$F$40,6,FALSE),0)</x:f>
        <x:v>21</x:v>
      </x:c>
      <x:c r="R1476" s="84" t="n">
        <x:f>'Raw Sales'!J1476</x:f>
        <x:v>1</x:v>
      </x:c>
      <x:c r="S1476" s="87" t="n">
        <x:f>'Raw Sales'!K1476</x:f>
        <x:v>0.1</x:v>
      </x:c>
      <x:c r="T1476" s="93" t="n">
        <x:f>P1476*R1476</x:f>
        <x:v>49</x:v>
      </x:c>
      <x:c r="U1476" s="93" t="n">
        <x:f>T1476*S1476</x:f>
        <x:v>4.9</x:v>
      </x:c>
      <x:c r="V1476" s="93" t="str">
        <x:f>PROPER(TRIM('Raw Sales'!L1476))</x:f>
        <x:v>Completed</x:v>
      </x:c>
      <x:c r="W1476" s="93" t="n">
        <x:f>IF(V1476="Returned",0,T1476-U1476)</x:f>
        <x:v>44.1</x:v>
      </x:c>
      <x:c r="X1476" s="93" t="n">
        <x:f>IF(V1476="Returned",Q1476*R1476*10%,Q1476*R1476)</x:f>
        <x:v>21</x:v>
      </x:c>
      <x:c r="Y1476" s="93" t="n">
        <x:f>W1476-X1476</x:f>
        <x:v>23.1</x:v>
      </x:c>
      <x:c r="Z1476" s="94" t="n">
        <x:f>IFERROR(Y1476/W1476,0)</x:f>
        <x:v>0.5238095238095238</x:v>
      </x:c>
      <x:c r="AA1476" s="84" t="str">
        <x:f>PROPER(TRIM('Raw Sales'!M1476))</x:f>
        <x:v>Credit Card</x:v>
      </x:c>
      <x:c r="AB1476" s="84" t="str">
        <x:f>PROPER(TRIM('Raw Sales'!N1476))</x:f>
        <x:v>Noah Reed</x:v>
      </x:c>
      <x:c r="AC1476" s="85" t="n">
        <x:f>'Raw Sales'!O1476</x:f>
        <x:v>45781</x:v>
      </x:c>
      <x:c r="AD1476" s="84" t="n">
        <x:f>AC1476-B1476</x:f>
        <x:v>0</x:v>
      </x:c>
      <x:c r="AE1476" s="84" t="str">
        <x:f>IF(COUNTIF($A$5:A1476,A1476)&gt;1,"Duplicate","Keep")</x:f>
        <x:v>Keep</x:v>
      </x:c>
      <x:c r="AF1476" s="84" t="str">
        <x:f>IF(OR(R1476&lt;=0,AC1476&lt;B1476,H1476="Unknown",M1476="Unknown Product"),"Review","Valid")</x:f>
        <x:v>Valid</x:v>
      </x:c>
      <x:c r="AG1476" s="84" t="n">
        <x:f>IF(AND(AE1476="Keep",AF1476="Valid"),1,0)</x:f>
        <x:v>1</x:v>
      </x:c>
      <x:c r="AH1476" s="84" t="n">
        <x:f>IF(AND(AG1476=1,OR('Dashboard'!$B$4="All",I1476='Dashboard'!$B$4),OR('Dashboard'!$E$4="All",N1476='Dashboard'!$E$4),OR('Dashboard'!$H$4="All",K1476='Dashboard'!$H$4),OR('Dashboard'!$K$4="All",C1476='Dashboard'!$K$4)),1,0)</x:f>
        <x:v>1</x:v>
      </x:c>
      <x:c r="AI1476" s="84" t="n">
        <x:f>IF(AND(AG1476=1,OR('Dashboard'!$B$4="All",I1476='Dashboard'!$B$4),OR('Dashboard'!$E$4="All",N1476='Dashboard'!$E$4),OR('Dashboard'!$H$4="All",K1476='Dashboard'!$H$4)),1,0)</x:f>
        <x:v>1</x:v>
      </x:c>
    </x:row>
    <x:row r="1477">
      <x:c r="A1477" s="84" t="str">
        <x:f>'Raw Sales'!A1477</x:f>
        <x:v>ORD-2025-00226</x:v>
      </x:c>
      <x:c r="B1477" s="85" t="n">
        <x:f>'Raw Sales'!B1477</x:f>
        <x:v>45782</x:v>
      </x:c>
      <x:c r="C1477" s="84" t="n">
        <x:f>YEAR(B1477)</x:f>
        <x:v>2025</x:v>
      </x:c>
      <x:c r="D1477" s="91" t="n">
        <x:f>DATE(YEAR(B1477),MONTH(B1477),1)</x:f>
        <x:v>45778</x:v>
      </x:c>
      <x:c r="E1477" s="84" t="str">
        <x:f>TEXT(B1477,"mmm")</x:f>
        <x:v>May</x:v>
      </x:c>
      <x:c r="F1477" s="84" t="str">
        <x:f>'Raw Sales'!C1477</x:f>
        <x:v>CUST-0480</x:v>
      </x:c>
      <x:c r="G1477" s="84" t="str">
        <x:f>PROPER(TRIM('Raw Sales'!D1477))</x:f>
        <x:v>Samuel Baker</x:v>
      </x:c>
      <x:c r="H1477" s="84" t="str">
        <x:f>IF(TRIM('Raw Sales'!E1477)="","Unknown",PROPER(TRIM('Raw Sales'!E1477)))</x:f>
        <x:v>Consumer</x:v>
      </x:c>
      <x:c r="I1477" s="84" t="str">
        <x:f>PROPER(TRIM('Raw Sales'!F1477))</x:f>
        <x:v>West</x:v>
      </x:c>
      <x:c r="J1477" s="84" t="str">
        <x:f>PROPER(TRIM('Raw Sales'!G1477))</x:f>
        <x:v>Denver</x:v>
      </x:c>
      <x:c r="K1477" s="84" t="str">
        <x:f>PROPER(TRIM('Raw Sales'!H1477))</x:f>
        <x:v>Retail Store</x:v>
      </x:c>
      <x:c r="L1477" s="84" t="str">
        <x:f>'Raw Sales'!I1477</x:f>
        <x:v>OFFC-002</x:v>
      </x:c>
      <x:c r="M1477" s="84" t="str">
        <x:f>IFERROR(VLOOKUP(L1477,'Reference Data'!$A$5:$F$40,2,FALSE),"Unknown Product")</x:f>
        <x:v>Standing Desk</x:v>
      </x:c>
      <x:c r="N1477" s="84" t="str">
        <x:f>IFERROR(VLOOKUP(L1477,'Reference Data'!$A$5:$F$40,3,FALSE),"Unknown")</x:f>
        <x:v>Office</x:v>
      </x:c>
      <x:c r="O1477" s="84" t="str">
        <x:f>IFERROR(VLOOKUP(L1477,'Reference Data'!$A$5:$F$40,4,FALSE),"Unknown")</x:f>
        <x:v>Furniture</x:v>
      </x:c>
      <x:c r="P1477" s="92" t="n">
        <x:f>IFERROR(VLOOKUP(L1477,'Reference Data'!$A$5:$F$40,5,FALSE),0)</x:f>
        <x:v>399</x:v>
      </x:c>
      <x:c r="Q1477" s="92" t="n">
        <x:f>IFERROR(VLOOKUP(L1477,'Reference Data'!$A$5:$F$40,6,FALSE),0)</x:f>
        <x:v>235</x:v>
      </x:c>
      <x:c r="R1477" s="84" t="n">
        <x:f>'Raw Sales'!J1477</x:f>
        <x:v>1</x:v>
      </x:c>
      <x:c r="S1477" s="87" t="n">
        <x:f>'Raw Sales'!K1477</x:f>
        <x:v>0.1</x:v>
      </x:c>
      <x:c r="T1477" s="93" t="n">
        <x:f>P1477*R1477</x:f>
        <x:v>399</x:v>
      </x:c>
      <x:c r="U1477" s="93" t="n">
        <x:f>T1477*S1477</x:f>
        <x:v>39.900000000000006</x:v>
      </x:c>
      <x:c r="V1477" s="93" t="str">
        <x:f>PROPER(TRIM('Raw Sales'!L1477))</x:f>
        <x:v>Completed</x:v>
      </x:c>
      <x:c r="W1477" s="93" t="n">
        <x:f>IF(V1477="Returned",0,T1477-U1477)</x:f>
        <x:v>359.1</x:v>
      </x:c>
      <x:c r="X1477" s="93" t="n">
        <x:f>IF(V1477="Returned",Q1477*R1477*10%,Q1477*R1477)</x:f>
        <x:v>235</x:v>
      </x:c>
      <x:c r="Y1477" s="93" t="n">
        <x:f>W1477-X1477</x:f>
        <x:v>124.10000000000002</x:v>
      </x:c>
      <x:c r="Z1477" s="94" t="n">
        <x:f>IFERROR(Y1477/W1477,0)</x:f>
        <x:v>0.3455861876914509</x:v>
      </x:c>
      <x:c r="AA1477" s="84" t="str">
        <x:f>PROPER(TRIM('Raw Sales'!M1477))</x:f>
        <x:v>Credit Card</x:v>
      </x:c>
      <x:c r="AB1477" s="84" t="str">
        <x:f>PROPER(TRIM('Raw Sales'!N1477))</x:f>
        <x:v>Nora Kim</x:v>
      </x:c>
      <x:c r="AC1477" s="85" t="n">
        <x:f>'Raw Sales'!O1477</x:f>
        <x:v>45782</x:v>
      </x:c>
      <x:c r="AD1477" s="84" t="n">
        <x:f>AC1477-B1477</x:f>
        <x:v>0</x:v>
      </x:c>
      <x:c r="AE1477" s="84" t="str">
        <x:f>IF(COUNTIF($A$5:A1477,A1477)&gt;1,"Duplicate","Keep")</x:f>
        <x:v>Keep</x:v>
      </x:c>
      <x:c r="AF1477" s="84" t="str">
        <x:f>IF(OR(R1477&lt;=0,AC1477&lt;B1477,H1477="Unknown",M1477="Unknown Product"),"Review","Valid")</x:f>
        <x:v>Valid</x:v>
      </x:c>
      <x:c r="AG1477" s="84" t="n">
        <x:f>IF(AND(AE1477="Keep",AF1477="Valid"),1,0)</x:f>
        <x:v>1</x:v>
      </x:c>
      <x:c r="AH1477" s="84" t="n">
        <x:f>IF(AND(AG1477=1,OR('Dashboard'!$B$4="All",I1477='Dashboard'!$B$4),OR('Dashboard'!$E$4="All",N1477='Dashboard'!$E$4),OR('Dashboard'!$H$4="All",K1477='Dashboard'!$H$4),OR('Dashboard'!$K$4="All",C1477='Dashboard'!$K$4)),1,0)</x:f>
        <x:v>1</x:v>
      </x:c>
      <x:c r="AI1477" s="84" t="n">
        <x:f>IF(AND(AG1477=1,OR('Dashboard'!$B$4="All",I1477='Dashboard'!$B$4),OR('Dashboard'!$E$4="All",N1477='Dashboard'!$E$4),OR('Dashboard'!$H$4="All",K1477='Dashboard'!$H$4)),1,0)</x:f>
        <x:v>1</x:v>
      </x:c>
    </x:row>
    <x:row r="1478">
      <x:c r="A1478" s="84" t="str">
        <x:f>'Raw Sales'!A1478</x:f>
        <x:v>ORD-2025-00457</x:v>
      </x:c>
      <x:c r="B1478" s="85" t="n">
        <x:f>'Raw Sales'!B1478</x:f>
        <x:v>45782</x:v>
      </x:c>
      <x:c r="C1478" s="84" t="n">
        <x:f>YEAR(B1478)</x:f>
        <x:v>2025</x:v>
      </x:c>
      <x:c r="D1478" s="91" t="n">
        <x:f>DATE(YEAR(B1478),MONTH(B1478),1)</x:f>
        <x:v>45778</x:v>
      </x:c>
      <x:c r="E1478" s="84" t="str">
        <x:f>TEXT(B1478,"mmm")</x:f>
        <x:v>May</x:v>
      </x:c>
      <x:c r="F1478" s="84" t="str">
        <x:f>'Raw Sales'!C1478</x:f>
        <x:v>CUST-0344</x:v>
      </x:c>
      <x:c r="G1478" s="84" t="str">
        <x:f>PROPER(TRIM('Raw Sales'!D1478))</x:f>
        <x:v>Elena Quinn</x:v>
      </x:c>
      <x:c r="H1478" s="84" t="str">
        <x:f>IF(TRIM('Raw Sales'!E1478)="","Unknown",PROPER(TRIM('Raw Sales'!E1478)))</x:f>
        <x:v>Small Business</x:v>
      </x:c>
      <x:c r="I1478" s="84" t="str">
        <x:f>PROPER(TRIM('Raw Sales'!F1478))</x:f>
        <x:v>Northeast</x:v>
      </x:c>
      <x:c r="J1478" s="84" t="str">
        <x:f>PROPER(TRIM('Raw Sales'!G1478))</x:f>
        <x:v>Newark</x:v>
      </x:c>
      <x:c r="K1478" s="84" t="str">
        <x:f>PROPER(TRIM('Raw Sales'!H1478))</x:f>
        <x:v>Online</x:v>
      </x:c>
      <x:c r="L1478" s="84" t="str">
        <x:f>'Raw Sales'!I1478</x:f>
        <x:v>FITN-005</x:v>
      </x:c>
      <x:c r="M1478" s="84" t="str">
        <x:f>IFERROR(VLOOKUP(L1478,'Reference Data'!$A$5:$F$40,2,FALSE),"Unknown Product")</x:f>
        <x:v>Sports Water Bottle</x:v>
      </x:c>
      <x:c r="N1478" s="84" t="str">
        <x:f>IFERROR(VLOOKUP(L1478,'Reference Data'!$A$5:$F$40,3,FALSE),"Unknown")</x:f>
        <x:v>Fitness</x:v>
      </x:c>
      <x:c r="O1478" s="84" t="str">
        <x:f>IFERROR(VLOOKUP(L1478,'Reference Data'!$A$5:$F$40,4,FALSE),"Unknown")</x:f>
        <x:v>Accessories</x:v>
      </x:c>
      <x:c r="P1478" s="92" t="n">
        <x:f>IFERROR(VLOOKUP(L1478,'Reference Data'!$A$5:$F$40,5,FALSE),0)</x:f>
        <x:v>22</x:v>
      </x:c>
      <x:c r="Q1478" s="92" t="n">
        <x:f>IFERROR(VLOOKUP(L1478,'Reference Data'!$A$5:$F$40,6,FALSE),0)</x:f>
        <x:v>7</x:v>
      </x:c>
      <x:c r="R1478" s="84" t="n">
        <x:f>'Raw Sales'!J1478</x:f>
        <x:v>2</x:v>
      </x:c>
      <x:c r="S1478" s="87" t="n">
        <x:f>'Raw Sales'!K1478</x:f>
        <x:v>0.05</x:v>
      </x:c>
      <x:c r="T1478" s="93" t="n">
        <x:f>P1478*R1478</x:f>
        <x:v>44</x:v>
      </x:c>
      <x:c r="U1478" s="93" t="n">
        <x:f>T1478*S1478</x:f>
        <x:v>2.2</x:v>
      </x:c>
      <x:c r="V1478" s="93" t="str">
        <x:f>PROPER(TRIM('Raw Sales'!L1478))</x:f>
        <x:v>Completed</x:v>
      </x:c>
      <x:c r="W1478" s="93" t="n">
        <x:f>IF(V1478="Returned",0,T1478-U1478)</x:f>
        <x:v>41.8</x:v>
      </x:c>
      <x:c r="X1478" s="93" t="n">
        <x:f>IF(V1478="Returned",Q1478*R1478*10%,Q1478*R1478)</x:f>
        <x:v>14</x:v>
      </x:c>
      <x:c r="Y1478" s="93" t="n">
        <x:f>W1478-X1478</x:f>
        <x:v>27.799999999999997</x:v>
      </x:c>
      <x:c r="Z1478" s="94" t="n">
        <x:f>IFERROR(Y1478/W1478,0)</x:f>
        <x:v>0.6650717703349283</x:v>
      </x:c>
      <x:c r="AA1478" s="84" t="str">
        <x:f>PROPER(TRIM('Raw Sales'!M1478))</x:f>
        <x:v>Credit Card</x:v>
      </x:c>
      <x:c r="AB1478" s="84" t="str">
        <x:f>PROPER(TRIM('Raw Sales'!N1478))</x:f>
        <x:v>Sofia Bennett</x:v>
      </x:c>
      <x:c r="AC1478" s="85" t="n">
        <x:f>'Raw Sales'!O1478</x:f>
        <x:v>45785</x:v>
      </x:c>
      <x:c r="AD1478" s="84" t="n">
        <x:f>AC1478-B1478</x:f>
        <x:v>3</x:v>
      </x:c>
      <x:c r="AE1478" s="84" t="str">
        <x:f>IF(COUNTIF($A$5:A1478,A1478)&gt;1,"Duplicate","Keep")</x:f>
        <x:v>Keep</x:v>
      </x:c>
      <x:c r="AF1478" s="84" t="str">
        <x:f>IF(OR(R1478&lt;=0,AC1478&lt;B1478,H1478="Unknown",M1478="Unknown Product"),"Review","Valid")</x:f>
        <x:v>Valid</x:v>
      </x:c>
      <x:c r="AG1478" s="84" t="n">
        <x:f>IF(AND(AE1478="Keep",AF1478="Valid"),1,0)</x:f>
        <x:v>1</x:v>
      </x:c>
      <x:c r="AH1478" s="84" t="n">
        <x:f>IF(AND(AG1478=1,OR('Dashboard'!$B$4="All",I1478='Dashboard'!$B$4),OR('Dashboard'!$E$4="All",N1478='Dashboard'!$E$4),OR('Dashboard'!$H$4="All",K1478='Dashboard'!$H$4),OR('Dashboard'!$K$4="All",C1478='Dashboard'!$K$4)),1,0)</x:f>
        <x:v>1</x:v>
      </x:c>
      <x:c r="AI1478" s="84" t="n">
        <x:f>IF(AND(AG1478=1,OR('Dashboard'!$B$4="All",I1478='Dashboard'!$B$4),OR('Dashboard'!$E$4="All",N1478='Dashboard'!$E$4),OR('Dashboard'!$H$4="All",K1478='Dashboard'!$H$4)),1,0)</x:f>
        <x:v>1</x:v>
      </x:c>
    </x:row>
    <x:row r="1479">
      <x:c r="A1479" s="84" t="str">
        <x:f>'Raw Sales'!A1479</x:f>
        <x:v>ORD-2025-01814</x:v>
      </x:c>
      <x:c r="B1479" s="85" t="n">
        <x:f>'Raw Sales'!B1479</x:f>
        <x:v>45782</x:v>
      </x:c>
      <x:c r="C1479" s="84" t="n">
        <x:f>YEAR(B1479)</x:f>
        <x:v>2025</x:v>
      </x:c>
      <x:c r="D1479" s="91" t="n">
        <x:f>DATE(YEAR(B1479),MONTH(B1479),1)</x:f>
        <x:v>45778</x:v>
      </x:c>
      <x:c r="E1479" s="84" t="str">
        <x:f>TEXT(B1479,"mmm")</x:f>
        <x:v>May</x:v>
      </x:c>
      <x:c r="F1479" s="84" t="str">
        <x:f>'Raw Sales'!C1479</x:f>
        <x:v>CUST-0364</x:v>
      </x:c>
      <x:c r="G1479" s="84" t="str">
        <x:f>PROPER(TRIM('Raw Sales'!D1479))</x:f>
        <x:v>Sara Smith</x:v>
      </x:c>
      <x:c r="H1479" s="84" t="str">
        <x:f>IF(TRIM('Raw Sales'!E1479)="","Unknown",PROPER(TRIM('Raw Sales'!E1479)))</x:f>
        <x:v>Corporate</x:v>
      </x:c>
      <x:c r="I1479" s="84" t="str">
        <x:f>PROPER(TRIM('Raw Sales'!F1479))</x:f>
        <x:v>West</x:v>
      </x:c>
      <x:c r="J1479" s="84" t="str">
        <x:f>PROPER(TRIM('Raw Sales'!G1479))</x:f>
        <x:v>Phoenix</x:v>
      </x:c>
      <x:c r="K1479" s="84" t="str">
        <x:f>PROPER(TRIM('Raw Sales'!H1479))</x:f>
        <x:v>Retail Store</x:v>
      </x:c>
      <x:c r="L1479" s="84" t="str">
        <x:f>'Raw Sales'!I1479</x:f>
        <x:v>ELEC-002</x:v>
      </x:c>
      <x:c r="M1479" s="84" t="str">
        <x:f>IFERROR(VLOOKUP(L1479,'Reference Data'!$A$5:$F$40,2,FALSE),"Unknown Product")</x:f>
        <x:v>Smartwatch</x:v>
      </x:c>
      <x:c r="N1479" s="84" t="str">
        <x:f>IFERROR(VLOOKUP(L1479,'Reference Data'!$A$5:$F$40,3,FALSE),"Unknown")</x:f>
        <x:v>Electronics</x:v>
      </x:c>
      <x:c r="O1479" s="84" t="str">
        <x:f>IFERROR(VLOOKUP(L1479,'Reference Data'!$A$5:$F$40,4,FALSE),"Unknown")</x:f>
        <x:v>Wearables</x:v>
      </x:c>
      <x:c r="P1479" s="92" t="n">
        <x:f>IFERROR(VLOOKUP(L1479,'Reference Data'!$A$5:$F$40,5,FALSE),0)</x:f>
        <x:v>159</x:v>
      </x:c>
      <x:c r="Q1479" s="92" t="n">
        <x:f>IFERROR(VLOOKUP(L1479,'Reference Data'!$A$5:$F$40,6,FALSE),0)</x:f>
        <x:v>92</x:v>
      </x:c>
      <x:c r="R1479" s="84" t="n">
        <x:f>'Raw Sales'!J1479</x:f>
        <x:v>8</x:v>
      </x:c>
      <x:c r="S1479" s="87" t="n">
        <x:f>'Raw Sales'!K1479</x:f>
        <x:v>0.05</x:v>
      </x:c>
      <x:c r="T1479" s="93" t="n">
        <x:f>P1479*R1479</x:f>
        <x:v>1272</x:v>
      </x:c>
      <x:c r="U1479" s="93" t="n">
        <x:f>T1479*S1479</x:f>
        <x:v>63.6</x:v>
      </x:c>
      <x:c r="V1479" s="93" t="str">
        <x:f>PROPER(TRIM('Raw Sales'!L1479))</x:f>
        <x:v>Completed</x:v>
      </x:c>
      <x:c r="W1479" s="93" t="n">
        <x:f>IF(V1479="Returned",0,T1479-U1479)</x:f>
        <x:v>1208.4</x:v>
      </x:c>
      <x:c r="X1479" s="93" t="n">
        <x:f>IF(V1479="Returned",Q1479*R1479*10%,Q1479*R1479)</x:f>
        <x:v>736</x:v>
      </x:c>
      <x:c r="Y1479" s="93" t="n">
        <x:f>W1479-X1479</x:f>
        <x:v>472.4000000000001</x:v>
      </x:c>
      <x:c r="Z1479" s="94" t="n">
        <x:f>IFERROR(Y1479/W1479,0)</x:f>
        <x:v>0.39093015557762334</x:v>
      </x:c>
      <x:c r="AA1479" s="84" t="str">
        <x:f>PROPER(TRIM('Raw Sales'!M1479))</x:f>
        <x:v>Cash</x:v>
      </x:c>
      <x:c r="AB1479" s="84" t="str">
        <x:f>PROPER(TRIM('Raw Sales'!N1479))</x:f>
        <x:v>Leo Martinez</x:v>
      </x:c>
      <x:c r="AC1479" s="85" t="n">
        <x:f>'Raw Sales'!O1479</x:f>
        <x:v>45782</x:v>
      </x:c>
      <x:c r="AD1479" s="84" t="n">
        <x:f>AC1479-B1479</x:f>
        <x:v>0</x:v>
      </x:c>
      <x:c r="AE1479" s="84" t="str">
        <x:f>IF(COUNTIF($A$5:A1479,A1479)&gt;1,"Duplicate","Keep")</x:f>
        <x:v>Keep</x:v>
      </x:c>
      <x:c r="AF1479" s="84" t="str">
        <x:f>IF(OR(R1479&lt;=0,AC1479&lt;B1479,H1479="Unknown",M1479="Unknown Product"),"Review","Valid")</x:f>
        <x:v>Valid</x:v>
      </x:c>
      <x:c r="AG1479" s="84" t="n">
        <x:f>IF(AND(AE1479="Keep",AF1479="Valid"),1,0)</x:f>
        <x:v>1</x:v>
      </x:c>
      <x:c r="AH1479" s="84" t="n">
        <x:f>IF(AND(AG1479=1,OR('Dashboard'!$B$4="All",I1479='Dashboard'!$B$4),OR('Dashboard'!$E$4="All",N1479='Dashboard'!$E$4),OR('Dashboard'!$H$4="All",K1479='Dashboard'!$H$4),OR('Dashboard'!$K$4="All",C1479='Dashboard'!$K$4)),1,0)</x:f>
        <x:v>1</x:v>
      </x:c>
      <x:c r="AI1479" s="84" t="n">
        <x:f>IF(AND(AG1479=1,OR('Dashboard'!$B$4="All",I1479='Dashboard'!$B$4),OR('Dashboard'!$E$4="All",N1479='Dashboard'!$E$4),OR('Dashboard'!$H$4="All",K1479='Dashboard'!$H$4)),1,0)</x:f>
        <x:v>1</x:v>
      </x:c>
    </x:row>
    <x:row r="1480">
      <x:c r="A1480" s="84" t="str">
        <x:f>'Raw Sales'!A1480</x:f>
        <x:v>ORD-2025-01910</x:v>
      </x:c>
      <x:c r="B1480" s="85" t="n">
        <x:f>'Raw Sales'!B1480</x:f>
        <x:v>45782</x:v>
      </x:c>
      <x:c r="C1480" s="84" t="n">
        <x:f>YEAR(B1480)</x:f>
        <x:v>2025</x:v>
      </x:c>
      <x:c r="D1480" s="91" t="n">
        <x:f>DATE(YEAR(B1480),MONTH(B1480),1)</x:f>
        <x:v>45778</x:v>
      </x:c>
      <x:c r="E1480" s="84" t="str">
        <x:f>TEXT(B1480,"mmm")</x:f>
        <x:v>May</x:v>
      </x:c>
      <x:c r="F1480" s="84" t="str">
        <x:f>'Raw Sales'!C1480</x:f>
        <x:v>CUST-0484</x:v>
      </x:c>
      <x:c r="G1480" s="84" t="str">
        <x:f>PROPER(TRIM('Raw Sales'!D1480))</x:f>
        <x:v>Priya Adams</x:v>
      </x:c>
      <x:c r="H1480" s="84" t="str">
        <x:f>IF(TRIM('Raw Sales'!E1480)="","Unknown",PROPER(TRIM('Raw Sales'!E1480)))</x:f>
        <x:v>Consumer</x:v>
      </x:c>
      <x:c r="I1480" s="84" t="str">
        <x:f>PROPER(TRIM('Raw Sales'!F1480))</x:f>
        <x:v>Midwest</x:v>
      </x:c>
      <x:c r="J1480" s="84" t="str">
        <x:f>PROPER(TRIM('Raw Sales'!G1480))</x:f>
        <x:v>Detroit</x:v>
      </x:c>
      <x:c r="K1480" s="84" t="str">
        <x:f>PROPER(TRIM('Raw Sales'!H1480))</x:f>
        <x:v>Retail Store</x:v>
      </x:c>
      <x:c r="L1480" s="84" t="str">
        <x:f>'Raw Sales'!I1480</x:f>
        <x:v>HOME-005</x:v>
      </x:c>
      <x:c r="M1480" s="84" t="str">
        <x:f>IFERROR(VLOOKUP(L1480,'Reference Data'!$A$5:$F$40,2,FALSE),"Unknown Product")</x:f>
        <x:v>Cordless Vacuum</x:v>
      </x:c>
      <x:c r="N1480" s="84" t="str">
        <x:f>IFERROR(VLOOKUP(L1480,'Reference Data'!$A$5:$F$40,3,FALSE),"Unknown")</x:f>
        <x:v>Home &amp; Kitchen</x:v>
      </x:c>
      <x:c r="O1480" s="84" t="str">
        <x:f>IFERROR(VLOOKUP(L1480,'Reference Data'!$A$5:$F$40,4,FALSE),"Unknown")</x:f>
        <x:v>Cleaning</x:v>
      </x:c>
      <x:c r="P1480" s="92" t="n">
        <x:f>IFERROR(VLOOKUP(L1480,'Reference Data'!$A$5:$F$40,5,FALSE),0)</x:f>
        <x:v>179</x:v>
      </x:c>
      <x:c r="Q1480" s="92" t="n">
        <x:f>IFERROR(VLOOKUP(L1480,'Reference Data'!$A$5:$F$40,6,FALSE),0)</x:f>
        <x:v>102</x:v>
      </x:c>
      <x:c r="R1480" s="84" t="n">
        <x:f>'Raw Sales'!J1480</x:f>
        <x:v>1</x:v>
      </x:c>
      <x:c r="S1480" s="87" t="n">
        <x:f>'Raw Sales'!K1480</x:f>
        <x:v>0.05</x:v>
      </x:c>
      <x:c r="T1480" s="93" t="n">
        <x:f>P1480*R1480</x:f>
        <x:v>179</x:v>
      </x:c>
      <x:c r="U1480" s="93" t="n">
        <x:f>T1480*S1480</x:f>
        <x:v>8.950000000000001</x:v>
      </x:c>
      <x:c r="V1480" s="93" t="str">
        <x:f>PROPER(TRIM('Raw Sales'!L1480))</x:f>
        <x:v>Completed</x:v>
      </x:c>
      <x:c r="W1480" s="93" t="n">
        <x:f>IF(V1480="Returned",0,T1480-U1480)</x:f>
        <x:v>170.05</x:v>
      </x:c>
      <x:c r="X1480" s="93" t="n">
        <x:f>IF(V1480="Returned",Q1480*R1480*10%,Q1480*R1480)</x:f>
        <x:v>102</x:v>
      </x:c>
      <x:c r="Y1480" s="93" t="n">
        <x:f>W1480-X1480</x:f>
        <x:v>68.05000000000001</x:v>
      </x:c>
      <x:c r="Z1480" s="94" t="n">
        <x:f>IFERROR(Y1480/W1480,0)</x:f>
        <x:v>0.4001764187003823</x:v>
      </x:c>
      <x:c r="AA1480" s="84" t="str">
        <x:f>PROPER(TRIM('Raw Sales'!M1480))</x:f>
        <x:v>Mobile Wallet</x:v>
      </x:c>
      <x:c r="AB1480" s="84" t="str">
        <x:f>PROPER(TRIM('Raw Sales'!N1480))</x:f>
        <x:v>Zoe Turner</x:v>
      </x:c>
      <x:c r="AC1480" s="85" t="n">
        <x:f>'Raw Sales'!O1480</x:f>
        <x:v>45782</x:v>
      </x:c>
      <x:c r="AD1480" s="84" t="n">
        <x:f>AC1480-B1480</x:f>
        <x:v>0</x:v>
      </x:c>
      <x:c r="AE1480" s="84" t="str">
        <x:f>IF(COUNTIF($A$5:A1480,A1480)&gt;1,"Duplicate","Keep")</x:f>
        <x:v>Keep</x:v>
      </x:c>
      <x:c r="AF1480" s="84" t="str">
        <x:f>IF(OR(R1480&lt;=0,AC1480&lt;B1480,H1480="Unknown",M1480="Unknown Product"),"Review","Valid")</x:f>
        <x:v>Valid</x:v>
      </x:c>
      <x:c r="AG1480" s="84" t="n">
        <x:f>IF(AND(AE1480="Keep",AF1480="Valid"),1,0)</x:f>
        <x:v>1</x:v>
      </x:c>
      <x:c r="AH1480" s="84" t="n">
        <x:f>IF(AND(AG1480=1,OR('Dashboard'!$B$4="All",I1480='Dashboard'!$B$4),OR('Dashboard'!$E$4="All",N1480='Dashboard'!$E$4),OR('Dashboard'!$H$4="All",K1480='Dashboard'!$H$4),OR('Dashboard'!$K$4="All",C1480='Dashboard'!$K$4)),1,0)</x:f>
        <x:v>1</x:v>
      </x:c>
      <x:c r="AI1480" s="84" t="n">
        <x:f>IF(AND(AG1480=1,OR('Dashboard'!$B$4="All",I1480='Dashboard'!$B$4),OR('Dashboard'!$E$4="All",N1480='Dashboard'!$E$4),OR('Dashboard'!$H$4="All",K1480='Dashboard'!$H$4)),1,0)</x:f>
        <x:v>1</x:v>
      </x:c>
    </x:row>
    <x:row r="1481">
      <x:c r="A1481" s="84" t="str">
        <x:f>'Raw Sales'!A1481</x:f>
        <x:v>ORD-2025-00061</x:v>
      </x:c>
      <x:c r="B1481" s="85" t="n">
        <x:f>'Raw Sales'!B1481</x:f>
        <x:v>45783</x:v>
      </x:c>
      <x:c r="C1481" s="84" t="n">
        <x:f>YEAR(B1481)</x:f>
        <x:v>2025</x:v>
      </x:c>
      <x:c r="D1481" s="91" t="n">
        <x:f>DATE(YEAR(B1481),MONTH(B1481),1)</x:f>
        <x:v>45778</x:v>
      </x:c>
      <x:c r="E1481" s="84" t="str">
        <x:f>TEXT(B1481,"mmm")</x:f>
        <x:v>May</x:v>
      </x:c>
      <x:c r="F1481" s="84" t="str">
        <x:f>'Raw Sales'!C1481</x:f>
        <x:v>CUST-0496</x:v>
      </x:c>
      <x:c r="G1481" s="84" t="str">
        <x:f>PROPER(TRIM('Raw Sales'!D1481))</x:f>
        <x:v>Elias Khan</x:v>
      </x:c>
      <x:c r="H1481" s="84" t="str">
        <x:f>IF(TRIM('Raw Sales'!E1481)="","Unknown",PROPER(TRIM('Raw Sales'!E1481)))</x:f>
        <x:v>Unknown</x:v>
      </x:c>
      <x:c r="I1481" s="84" t="str">
        <x:f>PROPER(TRIM('Raw Sales'!F1481))</x:f>
        <x:v>West</x:v>
      </x:c>
      <x:c r="J1481" s="84" t="str">
        <x:f>PROPER(TRIM('Raw Sales'!G1481))</x:f>
        <x:v>Phoenix</x:v>
      </x:c>
      <x:c r="K1481" s="84" t="str">
        <x:f>PROPER(TRIM('Raw Sales'!H1481))</x:f>
        <x:v>Marketplace</x:v>
      </x:c>
      <x:c r="L1481" s="84" t="str">
        <x:f>'Raw Sales'!I1481</x:f>
        <x:v>ELEC-001</x:v>
      </x:c>
      <x:c r="M1481" s="84" t="str">
        <x:f>IFERROR(VLOOKUP(L1481,'Reference Data'!$A$5:$F$40,2,FALSE),"Unknown Product")</x:f>
        <x:v>Wireless Earbuds</x:v>
      </x:c>
      <x:c r="N1481" s="84" t="str">
        <x:f>IFERROR(VLOOKUP(L1481,'Reference Data'!$A$5:$F$40,3,FALSE),"Unknown")</x:f>
        <x:v>Electronics</x:v>
      </x:c>
      <x:c r="O1481" s="84" t="str">
        <x:f>IFERROR(VLOOKUP(L1481,'Reference Data'!$A$5:$F$40,4,FALSE),"Unknown")</x:f>
        <x:v>Audio</x:v>
      </x:c>
      <x:c r="P1481" s="92" t="n">
        <x:f>IFERROR(VLOOKUP(L1481,'Reference Data'!$A$5:$F$40,5,FALSE),0)</x:f>
        <x:v>69</x:v>
      </x:c>
      <x:c r="Q1481" s="92" t="n">
        <x:f>IFERROR(VLOOKUP(L1481,'Reference Data'!$A$5:$F$40,6,FALSE),0)</x:f>
        <x:v>36</x:v>
      </x:c>
      <x:c r="R1481" s="84" t="n">
        <x:f>'Raw Sales'!J1481</x:f>
        <x:v>1</x:v>
      </x:c>
      <x:c r="S1481" s="87" t="n">
        <x:f>'Raw Sales'!K1481</x:f>
        <x:v>0.15</x:v>
      </x:c>
      <x:c r="T1481" s="93" t="n">
        <x:f>P1481*R1481</x:f>
        <x:v>69</x:v>
      </x:c>
      <x:c r="U1481" s="93" t="n">
        <x:f>T1481*S1481</x:f>
        <x:v>10.35</x:v>
      </x:c>
      <x:c r="V1481" s="93" t="str">
        <x:f>PROPER(TRIM('Raw Sales'!L1481))</x:f>
        <x:v>Completed</x:v>
      </x:c>
      <x:c r="W1481" s="93" t="n">
        <x:f>IF(V1481="Returned",0,T1481-U1481)</x:f>
        <x:v>58.65</x:v>
      </x:c>
      <x:c r="X1481" s="93" t="n">
        <x:f>IF(V1481="Returned",Q1481*R1481*10%,Q1481*R1481)</x:f>
        <x:v>36</x:v>
      </x:c>
      <x:c r="Y1481" s="93" t="n">
        <x:f>W1481-X1481</x:f>
        <x:v>22.65</x:v>
      </x:c>
      <x:c r="Z1481" s="94" t="n">
        <x:f>IFERROR(Y1481/W1481,0)</x:f>
        <x:v>0.38618925831202044</x:v>
      </x:c>
      <x:c r="AA1481" s="84" t="str">
        <x:f>PROPER(TRIM('Raw Sales'!M1481))</x:f>
        <x:v>Debit Card</x:v>
      </x:c>
      <x:c r="AB1481" s="84" t="str">
        <x:f>PROPER(TRIM('Raw Sales'!N1481))</x:f>
        <x:v>Nora Kim</x:v>
      </x:c>
      <x:c r="AC1481" s="85" t="n">
        <x:f>'Raw Sales'!O1481</x:f>
        <x:v>45791</x:v>
      </x:c>
      <x:c r="AD1481" s="84" t="n">
        <x:f>AC1481-B1481</x:f>
        <x:v>8</x:v>
      </x:c>
      <x:c r="AE1481" s="84" t="str">
        <x:f>IF(COUNTIF($A$5:A1481,A1481)&gt;1,"Duplicate","Keep")</x:f>
        <x:v>Keep</x:v>
      </x:c>
      <x:c r="AF1481" s="84" t="str">
        <x:f>IF(OR(R1481&lt;=0,AC1481&lt;B1481,H1481="Unknown",M1481="Unknown Product"),"Review","Valid")</x:f>
        <x:v>Review</x:v>
      </x:c>
      <x:c r="AG1481" s="84" t="n">
        <x:f>IF(AND(AE1481="Keep",AF1481="Valid"),1,0)</x:f>
        <x:v>0</x:v>
      </x:c>
      <x:c r="AH1481" s="84" t="n">
        <x:f>IF(AND(AG1481=1,OR('Dashboard'!$B$4="All",I1481='Dashboard'!$B$4),OR('Dashboard'!$E$4="All",N1481='Dashboard'!$E$4),OR('Dashboard'!$H$4="All",K1481='Dashboard'!$H$4),OR('Dashboard'!$K$4="All",C1481='Dashboard'!$K$4)),1,0)</x:f>
        <x:v>0</x:v>
      </x:c>
      <x:c r="AI1481" s="84" t="n">
        <x:f>IF(AND(AG1481=1,OR('Dashboard'!$B$4="All",I1481='Dashboard'!$B$4),OR('Dashboard'!$E$4="All",N1481='Dashboard'!$E$4),OR('Dashboard'!$H$4="All",K1481='Dashboard'!$H$4)),1,0)</x:f>
        <x:v>0</x:v>
      </x:c>
    </x:row>
    <x:row r="1482">
      <x:c r="A1482" s="84" t="str">
        <x:f>'Raw Sales'!A1482</x:f>
        <x:v>ORD-2025-00568</x:v>
      </x:c>
      <x:c r="B1482" s="85" t="n">
        <x:f>'Raw Sales'!B1482</x:f>
        <x:v>45783</x:v>
      </x:c>
      <x:c r="C1482" s="84" t="n">
        <x:f>YEAR(B1482)</x:f>
        <x:v>2025</x:v>
      </x:c>
      <x:c r="D1482" s="91" t="n">
        <x:f>DATE(YEAR(B1482),MONTH(B1482),1)</x:f>
        <x:v>45778</x:v>
      </x:c>
      <x:c r="E1482" s="84" t="str">
        <x:f>TEXT(B1482,"mmm")</x:f>
        <x:v>May</x:v>
      </x:c>
      <x:c r="F1482" s="84" t="str">
        <x:f>'Raw Sales'!C1482</x:f>
        <x:v>CUST-0419</x:v>
      </x:c>
      <x:c r="G1482" s="84" t="str">
        <x:f>PROPER(TRIM('Raw Sales'!D1482))</x:f>
        <x:v>Isaac Nelson</x:v>
      </x:c>
      <x:c r="H1482" s="84" t="str">
        <x:f>IF(TRIM('Raw Sales'!E1482)="","Unknown",PROPER(TRIM('Raw Sales'!E1482)))</x:f>
        <x:v>Consumer</x:v>
      </x:c>
      <x:c r="I1482" s="84" t="str">
        <x:f>PROPER(TRIM('Raw Sales'!F1482))</x:f>
        <x:v>Northeast</x:v>
      </x:c>
      <x:c r="J1482" s="84" t="str">
        <x:f>PROPER(TRIM('Raw Sales'!G1482))</x:f>
        <x:v>New York</x:v>
      </x:c>
      <x:c r="K1482" s="84" t="str">
        <x:f>PROPER(TRIM('Raw Sales'!H1482))</x:f>
        <x:v>Marketplace</x:v>
      </x:c>
      <x:c r="L1482" s="84" t="str">
        <x:f>'Raw Sales'!I1482</x:f>
        <x:v>FITN-001</x:v>
      </x:c>
      <x:c r="M1482" s="84" t="str">
        <x:f>IFERROR(VLOOKUP(L1482,'Reference Data'!$A$5:$F$40,2,FALSE),"Unknown Product")</x:f>
        <x:v>Yoga Mat</x:v>
      </x:c>
      <x:c r="N1482" s="84" t="str">
        <x:f>IFERROR(VLOOKUP(L1482,'Reference Data'!$A$5:$F$40,3,FALSE),"Unknown")</x:f>
        <x:v>Fitness</x:v>
      </x:c>
      <x:c r="O1482" s="84" t="str">
        <x:f>IFERROR(VLOOKUP(L1482,'Reference Data'!$A$5:$F$40,4,FALSE),"Unknown")</x:f>
        <x:v>Yoga</x:v>
      </x:c>
      <x:c r="P1482" s="92" t="n">
        <x:f>IFERROR(VLOOKUP(L1482,'Reference Data'!$A$5:$F$40,5,FALSE),0)</x:f>
        <x:v>35</x:v>
      </x:c>
      <x:c r="Q1482" s="92" t="n">
        <x:f>IFERROR(VLOOKUP(L1482,'Reference Data'!$A$5:$F$40,6,FALSE),0)</x:f>
        <x:v>13</x:v>
      </x:c>
      <x:c r="R1482" s="84" t="n">
        <x:f>'Raw Sales'!J1482</x:f>
        <x:v>1</x:v>
      </x:c>
      <x:c r="S1482" s="87" t="n">
        <x:f>'Raw Sales'!K1482</x:f>
        <x:v>0.1</x:v>
      </x:c>
      <x:c r="T1482" s="93" t="n">
        <x:f>P1482*R1482</x:f>
        <x:v>35</x:v>
      </x:c>
      <x:c r="U1482" s="93" t="n">
        <x:f>T1482*S1482</x:f>
        <x:v>3.5</x:v>
      </x:c>
      <x:c r="V1482" s="93" t="str">
        <x:f>PROPER(TRIM('Raw Sales'!L1482))</x:f>
        <x:v>Completed</x:v>
      </x:c>
      <x:c r="W1482" s="93" t="n">
        <x:f>IF(V1482="Returned",0,T1482-U1482)</x:f>
        <x:v>31.5</x:v>
      </x:c>
      <x:c r="X1482" s="93" t="n">
        <x:f>IF(V1482="Returned",Q1482*R1482*10%,Q1482*R1482)</x:f>
        <x:v>13</x:v>
      </x:c>
      <x:c r="Y1482" s="93" t="n">
        <x:f>W1482-X1482</x:f>
        <x:v>18.5</x:v>
      </x:c>
      <x:c r="Z1482" s="94" t="n">
        <x:f>IFERROR(Y1482/W1482,0)</x:f>
        <x:v>0.5873015873015873</x:v>
      </x:c>
      <x:c r="AA1482" s="84" t="str">
        <x:f>PROPER(TRIM('Raw Sales'!M1482))</x:f>
        <x:v>Mobile Wallet</x:v>
      </x:c>
      <x:c r="AB1482" s="84" t="str">
        <x:f>PROPER(TRIM('Raw Sales'!N1482))</x:f>
        <x:v>Sofia Bennett</x:v>
      </x:c>
      <x:c r="AC1482" s="85" t="n">
        <x:f>'Raw Sales'!O1482</x:f>
        <x:v>45788</x:v>
      </x:c>
      <x:c r="AD1482" s="84" t="n">
        <x:f>AC1482-B1482</x:f>
        <x:v>5</x:v>
      </x:c>
      <x:c r="AE1482" s="84" t="str">
        <x:f>IF(COUNTIF($A$5:A1482,A1482)&gt;1,"Duplicate","Keep")</x:f>
        <x:v>Keep</x:v>
      </x:c>
      <x:c r="AF1482" s="84" t="str">
        <x:f>IF(OR(R1482&lt;=0,AC1482&lt;B1482,H1482="Unknown",M1482="Unknown Product"),"Review","Valid")</x:f>
        <x:v>Valid</x:v>
      </x:c>
      <x:c r="AG1482" s="84" t="n">
        <x:f>IF(AND(AE1482="Keep",AF1482="Valid"),1,0)</x:f>
        <x:v>1</x:v>
      </x:c>
      <x:c r="AH1482" s="84" t="n">
        <x:f>IF(AND(AG1482=1,OR('Dashboard'!$B$4="All",I1482='Dashboard'!$B$4),OR('Dashboard'!$E$4="All",N1482='Dashboard'!$E$4),OR('Dashboard'!$H$4="All",K1482='Dashboard'!$H$4),OR('Dashboard'!$K$4="All",C1482='Dashboard'!$K$4)),1,0)</x:f>
        <x:v>1</x:v>
      </x:c>
      <x:c r="AI1482" s="84" t="n">
        <x:f>IF(AND(AG1482=1,OR('Dashboard'!$B$4="All",I1482='Dashboard'!$B$4),OR('Dashboard'!$E$4="All",N1482='Dashboard'!$E$4),OR('Dashboard'!$H$4="All",K1482='Dashboard'!$H$4)),1,0)</x:f>
        <x:v>1</x:v>
      </x:c>
    </x:row>
    <x:row r="1483">
      <x:c r="A1483" s="84" t="str">
        <x:f>'Raw Sales'!A1483</x:f>
        <x:v>ORD-2025-00580</x:v>
      </x:c>
      <x:c r="B1483" s="85" t="n">
        <x:f>'Raw Sales'!B1483</x:f>
        <x:v>45783</x:v>
      </x:c>
      <x:c r="C1483" s="84" t="n">
        <x:f>YEAR(B1483)</x:f>
        <x:v>2025</x:v>
      </x:c>
      <x:c r="D1483" s="91" t="n">
        <x:f>DATE(YEAR(B1483),MONTH(B1483),1)</x:f>
        <x:v>45778</x:v>
      </x:c>
      <x:c r="E1483" s="84" t="str">
        <x:f>TEXT(B1483,"mmm")</x:f>
        <x:v>May</x:v>
      </x:c>
      <x:c r="F1483" s="84" t="str">
        <x:f>'Raw Sales'!C1483</x:f>
        <x:v>CUST-0337</x:v>
      </x:c>
      <x:c r="G1483" s="84" t="str">
        <x:f>PROPER(TRIM('Raw Sales'!D1483))</x:f>
        <x:v>Owen Garcia</x:v>
      </x:c>
      <x:c r="H1483" s="84" t="str">
        <x:f>IF(TRIM('Raw Sales'!E1483)="","Unknown",PROPER(TRIM('Raw Sales'!E1483)))</x:f>
        <x:v>Consumer</x:v>
      </x:c>
      <x:c r="I1483" s="84" t="str">
        <x:f>PROPER(TRIM('Raw Sales'!F1483))</x:f>
        <x:v>West</x:v>
      </x:c>
      <x:c r="J1483" s="84" t="str">
        <x:f>PROPER(TRIM('Raw Sales'!G1483))</x:f>
        <x:v>Los Angeles</x:v>
      </x:c>
      <x:c r="K1483" s="84" t="str">
        <x:f>PROPER(TRIM('Raw Sales'!H1483))</x:f>
        <x:v>Online</x:v>
      </x:c>
      <x:c r="L1483" s="84" t="str">
        <x:f>'Raw Sales'!I1483</x:f>
        <x:v>ELEC-002</x:v>
      </x:c>
      <x:c r="M1483" s="84" t="str">
        <x:f>IFERROR(VLOOKUP(L1483,'Reference Data'!$A$5:$F$40,2,FALSE),"Unknown Product")</x:f>
        <x:v>Smartwatch</x:v>
      </x:c>
      <x:c r="N1483" s="84" t="str">
        <x:f>IFERROR(VLOOKUP(L1483,'Reference Data'!$A$5:$F$40,3,FALSE),"Unknown")</x:f>
        <x:v>Electronics</x:v>
      </x:c>
      <x:c r="O1483" s="84" t="str">
        <x:f>IFERROR(VLOOKUP(L1483,'Reference Data'!$A$5:$F$40,4,FALSE),"Unknown")</x:f>
        <x:v>Wearables</x:v>
      </x:c>
      <x:c r="P1483" s="92" t="n">
        <x:f>IFERROR(VLOOKUP(L1483,'Reference Data'!$A$5:$F$40,5,FALSE),0)</x:f>
        <x:v>159</x:v>
      </x:c>
      <x:c r="Q1483" s="92" t="n">
        <x:f>IFERROR(VLOOKUP(L1483,'Reference Data'!$A$5:$F$40,6,FALSE),0)</x:f>
        <x:v>92</x:v>
      </x:c>
      <x:c r="R1483" s="84" t="n">
        <x:f>'Raw Sales'!J1483</x:f>
        <x:v>1</x:v>
      </x:c>
      <x:c r="S1483" s="87" t="n">
        <x:f>'Raw Sales'!K1483</x:f>
        <x:v>0</x:v>
      </x:c>
      <x:c r="T1483" s="93" t="n">
        <x:f>P1483*R1483</x:f>
        <x:v>159</x:v>
      </x:c>
      <x:c r="U1483" s="93" t="n">
        <x:f>T1483*S1483</x:f>
        <x:v>0</x:v>
      </x:c>
      <x:c r="V1483" s="93" t="str">
        <x:f>PROPER(TRIM('Raw Sales'!L1483))</x:f>
        <x:v>Completed</x:v>
      </x:c>
      <x:c r="W1483" s="93" t="n">
        <x:f>IF(V1483="Returned",0,T1483-U1483)</x:f>
        <x:v>159</x:v>
      </x:c>
      <x:c r="X1483" s="93" t="n">
        <x:f>IF(V1483="Returned",Q1483*R1483*10%,Q1483*R1483)</x:f>
        <x:v>92</x:v>
      </x:c>
      <x:c r="Y1483" s="93" t="n">
        <x:f>W1483-X1483</x:f>
        <x:v>67</x:v>
      </x:c>
      <x:c r="Z1483" s="94" t="n">
        <x:f>IFERROR(Y1483/W1483,0)</x:f>
        <x:v>0.42138364779874216</x:v>
      </x:c>
      <x:c r="AA1483" s="84" t="str">
        <x:f>PROPER(TRIM('Raw Sales'!M1483))</x:f>
        <x:v>Credit Card</x:v>
      </x:c>
      <x:c r="AB1483" s="84" t="str">
        <x:f>PROPER(TRIM('Raw Sales'!N1483))</x:f>
        <x:v>Leo Martinez</x:v>
      </x:c>
      <x:c r="AC1483" s="85" t="n">
        <x:f>'Raw Sales'!O1483</x:f>
        <x:v>45786</x:v>
      </x:c>
      <x:c r="AD1483" s="84" t="n">
        <x:f>AC1483-B1483</x:f>
        <x:v>3</x:v>
      </x:c>
      <x:c r="AE1483" s="84" t="str">
        <x:f>IF(COUNTIF($A$5:A1483,A1483)&gt;1,"Duplicate","Keep")</x:f>
        <x:v>Keep</x:v>
      </x:c>
      <x:c r="AF1483" s="84" t="str">
        <x:f>IF(OR(R1483&lt;=0,AC1483&lt;B1483,H1483="Unknown",M1483="Unknown Product"),"Review","Valid")</x:f>
        <x:v>Valid</x:v>
      </x:c>
      <x:c r="AG1483" s="84" t="n">
        <x:f>IF(AND(AE1483="Keep",AF1483="Valid"),1,0)</x:f>
        <x:v>1</x:v>
      </x:c>
      <x:c r="AH1483" s="84" t="n">
        <x:f>IF(AND(AG1483=1,OR('Dashboard'!$B$4="All",I1483='Dashboard'!$B$4),OR('Dashboard'!$E$4="All",N1483='Dashboard'!$E$4),OR('Dashboard'!$H$4="All",K1483='Dashboard'!$H$4),OR('Dashboard'!$K$4="All",C1483='Dashboard'!$K$4)),1,0)</x:f>
        <x:v>1</x:v>
      </x:c>
      <x:c r="AI1483" s="84" t="n">
        <x:f>IF(AND(AG1483=1,OR('Dashboard'!$B$4="All",I1483='Dashboard'!$B$4),OR('Dashboard'!$E$4="All",N1483='Dashboard'!$E$4),OR('Dashboard'!$H$4="All",K1483='Dashboard'!$H$4)),1,0)</x:f>
        <x:v>1</x:v>
      </x:c>
    </x:row>
    <x:row r="1484">
      <x:c r="A1484" s="84" t="str">
        <x:f>'Raw Sales'!A1484</x:f>
        <x:v>ORD-2025-00134</x:v>
      </x:c>
      <x:c r="B1484" s="85" t="n">
        <x:f>'Raw Sales'!B1484</x:f>
        <x:v>45784</x:v>
      </x:c>
      <x:c r="C1484" s="84" t="n">
        <x:f>YEAR(B1484)</x:f>
        <x:v>2025</x:v>
      </x:c>
      <x:c r="D1484" s="91" t="n">
        <x:f>DATE(YEAR(B1484),MONTH(B1484),1)</x:f>
        <x:v>45778</x:v>
      </x:c>
      <x:c r="E1484" s="84" t="str">
        <x:f>TEXT(B1484,"mmm")</x:f>
        <x:v>May</x:v>
      </x:c>
      <x:c r="F1484" s="84" t="str">
        <x:f>'Raw Sales'!C1484</x:f>
        <x:v>CUST-0255</x:v>
      </x:c>
      <x:c r="G1484" s="84" t="str">
        <x:f>PROPER(TRIM('Raw Sales'!D1484))</x:f>
        <x:v>Layla Smith</x:v>
      </x:c>
      <x:c r="H1484" s="84" t="str">
        <x:f>IF(TRIM('Raw Sales'!E1484)="","Unknown",PROPER(TRIM('Raw Sales'!E1484)))</x:f>
        <x:v>Consumer</x:v>
      </x:c>
      <x:c r="I1484" s="84" t="str">
        <x:f>PROPER(TRIM('Raw Sales'!F1484))</x:f>
        <x:v>West</x:v>
      </x:c>
      <x:c r="J1484" s="84" t="str">
        <x:f>PROPER(TRIM('Raw Sales'!G1484))</x:f>
        <x:v>Seattle</x:v>
      </x:c>
      <x:c r="K1484" s="84" t="str">
        <x:f>PROPER(TRIM('Raw Sales'!H1484))</x:f>
        <x:v>Marketplace</x:v>
      </x:c>
      <x:c r="L1484" s="84" t="str">
        <x:f>'Raw Sales'!I1484</x:f>
        <x:v>CARE-005</x:v>
      </x:c>
      <x:c r="M1484" s="84" t="str">
        <x:f>IFERROR(VLOOKUP(L1484,'Reference Data'!$A$5:$F$40,2,FALSE),"Unknown Product")</x:f>
        <x:v>Skin Care Starter Kit</x:v>
      </x:c>
      <x:c r="N1484" s="84" t="str">
        <x:f>IFERROR(VLOOKUP(L1484,'Reference Data'!$A$5:$F$40,3,FALSE),"Unknown")</x:f>
        <x:v>Personal Care</x:v>
      </x:c>
      <x:c r="O1484" s="84" t="str">
        <x:f>IFERROR(VLOOKUP(L1484,'Reference Data'!$A$5:$F$40,4,FALSE),"Unknown")</x:f>
        <x:v>Skin Care</x:v>
      </x:c>
      <x:c r="P1484" s="92" t="n">
        <x:f>IFERROR(VLOOKUP(L1484,'Reference Data'!$A$5:$F$40,5,FALSE),0)</x:f>
        <x:v>58</x:v>
      </x:c>
      <x:c r="Q1484" s="92" t="n">
        <x:f>IFERROR(VLOOKUP(L1484,'Reference Data'!$A$5:$F$40,6,FALSE),0)</x:f>
        <x:v>24</x:v>
      </x:c>
      <x:c r="R1484" s="84" t="n">
        <x:f>'Raw Sales'!J1484</x:f>
        <x:v>2</x:v>
      </x:c>
      <x:c r="S1484" s="87" t="n">
        <x:f>'Raw Sales'!K1484</x:f>
        <x:v>0.05</x:v>
      </x:c>
      <x:c r="T1484" s="93" t="n">
        <x:f>P1484*R1484</x:f>
        <x:v>116</x:v>
      </x:c>
      <x:c r="U1484" s="93" t="n">
        <x:f>T1484*S1484</x:f>
        <x:v>5.800000000000001</x:v>
      </x:c>
      <x:c r="V1484" s="93" t="str">
        <x:f>PROPER(TRIM('Raw Sales'!L1484))</x:f>
        <x:v>Completed</x:v>
      </x:c>
      <x:c r="W1484" s="93" t="n">
        <x:f>IF(V1484="Returned",0,T1484-U1484)</x:f>
        <x:v>110.2</x:v>
      </x:c>
      <x:c r="X1484" s="93" t="n">
        <x:f>IF(V1484="Returned",Q1484*R1484*10%,Q1484*R1484)</x:f>
        <x:v>48</x:v>
      </x:c>
      <x:c r="Y1484" s="93" t="n">
        <x:f>W1484-X1484</x:f>
        <x:v>62.2</x:v>
      </x:c>
      <x:c r="Z1484" s="94" t="n">
        <x:f>IFERROR(Y1484/W1484,0)</x:f>
        <x:v>0.5644283121597097</x:v>
      </x:c>
      <x:c r="AA1484" s="84" t="str">
        <x:f>PROPER(TRIM('Raw Sales'!M1484))</x:f>
        <x:v>Mobile Wallet</x:v>
      </x:c>
      <x:c r="AB1484" s="84" t="str">
        <x:f>PROPER(TRIM('Raw Sales'!N1484))</x:f>
        <x:v>Mia Chen</x:v>
      </x:c>
      <x:c r="AC1484" s="85" t="n">
        <x:f>'Raw Sales'!O1484</x:f>
        <x:v>45791</x:v>
      </x:c>
      <x:c r="AD1484" s="84" t="n">
        <x:f>AC1484-B1484</x:f>
        <x:v>7</x:v>
      </x:c>
      <x:c r="AE1484" s="84" t="str">
        <x:f>IF(COUNTIF($A$5:A1484,A1484)&gt;1,"Duplicate","Keep")</x:f>
        <x:v>Keep</x:v>
      </x:c>
      <x:c r="AF1484" s="84" t="str">
        <x:f>IF(OR(R1484&lt;=0,AC1484&lt;B1484,H1484="Unknown",M1484="Unknown Product"),"Review","Valid")</x:f>
        <x:v>Valid</x:v>
      </x:c>
      <x:c r="AG1484" s="84" t="n">
        <x:f>IF(AND(AE1484="Keep",AF1484="Valid"),1,0)</x:f>
        <x:v>1</x:v>
      </x:c>
      <x:c r="AH1484" s="84" t="n">
        <x:f>IF(AND(AG1484=1,OR('Dashboard'!$B$4="All",I1484='Dashboard'!$B$4),OR('Dashboard'!$E$4="All",N1484='Dashboard'!$E$4),OR('Dashboard'!$H$4="All",K1484='Dashboard'!$H$4),OR('Dashboard'!$K$4="All",C1484='Dashboard'!$K$4)),1,0)</x:f>
        <x:v>1</x:v>
      </x:c>
      <x:c r="AI1484" s="84" t="n">
        <x:f>IF(AND(AG1484=1,OR('Dashboard'!$B$4="All",I1484='Dashboard'!$B$4),OR('Dashboard'!$E$4="All",N1484='Dashboard'!$E$4),OR('Dashboard'!$H$4="All",K1484='Dashboard'!$H$4)),1,0)</x:f>
        <x:v>1</x:v>
      </x:c>
    </x:row>
    <x:row r="1485">
      <x:c r="A1485" s="84" t="str">
        <x:f>'Raw Sales'!A1485</x:f>
        <x:v>ORD-2025-00394</x:v>
      </x:c>
      <x:c r="B1485" s="85" t="n">
        <x:f>'Raw Sales'!B1485</x:f>
        <x:v>45784</x:v>
      </x:c>
      <x:c r="C1485" s="84" t="n">
        <x:f>YEAR(B1485)</x:f>
        <x:v>2025</x:v>
      </x:c>
      <x:c r="D1485" s="91" t="n">
        <x:f>DATE(YEAR(B1485),MONTH(B1485),1)</x:f>
        <x:v>45778</x:v>
      </x:c>
      <x:c r="E1485" s="84" t="str">
        <x:f>TEXT(B1485,"mmm")</x:f>
        <x:v>May</x:v>
      </x:c>
      <x:c r="F1485" s="84" t="str">
        <x:f>'Raw Sales'!C1485</x:f>
        <x:v>CUST-0424</x:v>
      </x:c>
      <x:c r="G1485" s="84" t="str">
        <x:f>PROPER(TRIM('Raw Sales'!D1485))</x:f>
        <x:v>Layla Quinn</x:v>
      </x:c>
      <x:c r="H1485" s="84" t="str">
        <x:f>IF(TRIM('Raw Sales'!E1485)="","Unknown",PROPER(TRIM('Raw Sales'!E1485)))</x:f>
        <x:v>Consumer</x:v>
      </x:c>
      <x:c r="I1485" s="84" t="str">
        <x:f>PROPER(TRIM('Raw Sales'!F1485))</x:f>
        <x:v>Southeast</x:v>
      </x:c>
      <x:c r="J1485" s="84" t="str">
        <x:f>PROPER(TRIM('Raw Sales'!G1485))</x:f>
        <x:v>Miami</x:v>
      </x:c>
      <x:c r="K1485" s="84" t="str">
        <x:f>PROPER(TRIM('Raw Sales'!H1485))</x:f>
        <x:v>Online</x:v>
      </x:c>
      <x:c r="L1485" s="84" t="str">
        <x:f>'Raw Sales'!I1485</x:f>
        <x:v>ELEC-001</x:v>
      </x:c>
      <x:c r="M1485" s="84" t="str">
        <x:f>IFERROR(VLOOKUP(L1485,'Reference Data'!$A$5:$F$40,2,FALSE),"Unknown Product")</x:f>
        <x:v>Wireless Earbuds</x:v>
      </x:c>
      <x:c r="N1485" s="84" t="str">
        <x:f>IFERROR(VLOOKUP(L1485,'Reference Data'!$A$5:$F$40,3,FALSE),"Unknown")</x:f>
        <x:v>Electronics</x:v>
      </x:c>
      <x:c r="O1485" s="84" t="str">
        <x:f>IFERROR(VLOOKUP(L1485,'Reference Data'!$A$5:$F$40,4,FALSE),"Unknown")</x:f>
        <x:v>Audio</x:v>
      </x:c>
      <x:c r="P1485" s="92" t="n">
        <x:f>IFERROR(VLOOKUP(L1485,'Reference Data'!$A$5:$F$40,5,FALSE),0)</x:f>
        <x:v>69</x:v>
      </x:c>
      <x:c r="Q1485" s="92" t="n">
        <x:f>IFERROR(VLOOKUP(L1485,'Reference Data'!$A$5:$F$40,6,FALSE),0)</x:f>
        <x:v>36</x:v>
      </x:c>
      <x:c r="R1485" s="84" t="n">
        <x:f>'Raw Sales'!J1485</x:f>
        <x:v>1</x:v>
      </x:c>
      <x:c r="S1485" s="87" t="n">
        <x:f>'Raw Sales'!K1485</x:f>
        <x:v>0.15</x:v>
      </x:c>
      <x:c r="T1485" s="93" t="n">
        <x:f>P1485*R1485</x:f>
        <x:v>69</x:v>
      </x:c>
      <x:c r="U1485" s="93" t="n">
        <x:f>T1485*S1485</x:f>
        <x:v>10.35</x:v>
      </x:c>
      <x:c r="V1485" s="93" t="str">
        <x:f>PROPER(TRIM('Raw Sales'!L1485))</x:f>
        <x:v>Completed</x:v>
      </x:c>
      <x:c r="W1485" s="93" t="n">
        <x:f>IF(V1485="Returned",0,T1485-U1485)</x:f>
        <x:v>58.65</x:v>
      </x:c>
      <x:c r="X1485" s="93" t="n">
        <x:f>IF(V1485="Returned",Q1485*R1485*10%,Q1485*R1485)</x:f>
        <x:v>36</x:v>
      </x:c>
      <x:c r="Y1485" s="93" t="n">
        <x:f>W1485-X1485</x:f>
        <x:v>22.65</x:v>
      </x:c>
      <x:c r="Z1485" s="94" t="n">
        <x:f>IFERROR(Y1485/W1485,0)</x:f>
        <x:v>0.38618925831202044</x:v>
      </x:c>
      <x:c r="AA1485" s="84" t="str">
        <x:f>PROPER(TRIM('Raw Sales'!M1485))</x:f>
        <x:v>Credit Card</x:v>
      </x:c>
      <x:c r="AB1485" s="84" t="str">
        <x:f>PROPER(TRIM('Raw Sales'!N1485))</x:f>
        <x:v>Noah Reed</x:v>
      </x:c>
      <x:c r="AC1485" s="85" t="n">
        <x:f>'Raw Sales'!O1485</x:f>
        <x:v>45788</x:v>
      </x:c>
      <x:c r="AD1485" s="84" t="n">
        <x:f>AC1485-B1485</x:f>
        <x:v>4</x:v>
      </x:c>
      <x:c r="AE1485" s="84" t="str">
        <x:f>IF(COUNTIF($A$5:A1485,A1485)&gt;1,"Duplicate","Keep")</x:f>
        <x:v>Keep</x:v>
      </x:c>
      <x:c r="AF1485" s="84" t="str">
        <x:f>IF(OR(R1485&lt;=0,AC1485&lt;B1485,H1485="Unknown",M1485="Unknown Product"),"Review","Valid")</x:f>
        <x:v>Valid</x:v>
      </x:c>
      <x:c r="AG1485" s="84" t="n">
        <x:f>IF(AND(AE1485="Keep",AF1485="Valid"),1,0)</x:f>
        <x:v>1</x:v>
      </x:c>
      <x:c r="AH1485" s="84" t="n">
        <x:f>IF(AND(AG1485=1,OR('Dashboard'!$B$4="All",I1485='Dashboard'!$B$4),OR('Dashboard'!$E$4="All",N1485='Dashboard'!$E$4),OR('Dashboard'!$H$4="All",K1485='Dashboard'!$H$4),OR('Dashboard'!$K$4="All",C1485='Dashboard'!$K$4)),1,0)</x:f>
        <x:v>1</x:v>
      </x:c>
      <x:c r="AI1485" s="84" t="n">
        <x:f>IF(AND(AG1485=1,OR('Dashboard'!$B$4="All",I1485='Dashboard'!$B$4),OR('Dashboard'!$E$4="All",N1485='Dashboard'!$E$4),OR('Dashboard'!$H$4="All",K1485='Dashboard'!$H$4)),1,0)</x:f>
        <x:v>1</x:v>
      </x:c>
    </x:row>
    <x:row r="1486">
      <x:c r="A1486" s="84" t="str">
        <x:f>'Raw Sales'!A1486</x:f>
        <x:v>ORD-2025-00585</x:v>
      </x:c>
      <x:c r="B1486" s="85" t="n">
        <x:f>'Raw Sales'!B1486</x:f>
        <x:v>45785</x:v>
      </x:c>
      <x:c r="C1486" s="84" t="n">
        <x:f>YEAR(B1486)</x:f>
        <x:v>2025</x:v>
      </x:c>
      <x:c r="D1486" s="91" t="n">
        <x:f>DATE(YEAR(B1486),MONTH(B1486),1)</x:f>
        <x:v>45778</x:v>
      </x:c>
      <x:c r="E1486" s="84" t="str">
        <x:f>TEXT(B1486,"mmm")</x:f>
        <x:v>May</x:v>
      </x:c>
      <x:c r="F1486" s="84" t="str">
        <x:f>'Raw Sales'!C1486</x:f>
        <x:v>CUST-0225</x:v>
      </x:c>
      <x:c r="G1486" s="84" t="str">
        <x:f>PROPER(TRIM('Raw Sales'!D1486))</x:f>
        <x:v>Sara Ortiz</x:v>
      </x:c>
      <x:c r="H1486" s="84" t="str">
        <x:f>IF(TRIM('Raw Sales'!E1486)="","Unknown",PROPER(TRIM('Raw Sales'!E1486)))</x:f>
        <x:v>Small Business</x:v>
      </x:c>
      <x:c r="I1486" s="84" t="str">
        <x:f>PROPER(TRIM('Raw Sales'!F1486))</x:f>
        <x:v>Southeast</x:v>
      </x:c>
      <x:c r="J1486" s="84" t="str">
        <x:f>PROPER(TRIM('Raw Sales'!G1486))</x:f>
        <x:v>Atlanta</x:v>
      </x:c>
      <x:c r="K1486" s="84" t="str">
        <x:f>PROPER(TRIM('Raw Sales'!H1486))</x:f>
        <x:v>Online</x:v>
      </x:c>
      <x:c r="L1486" s="84" t="str">
        <x:f>'Raw Sales'!I1486</x:f>
        <x:v>ELEC-002</x:v>
      </x:c>
      <x:c r="M1486" s="84" t="str">
        <x:f>IFERROR(VLOOKUP(L1486,'Reference Data'!$A$5:$F$40,2,FALSE),"Unknown Product")</x:f>
        <x:v>Smartwatch</x:v>
      </x:c>
      <x:c r="N1486" s="84" t="str">
        <x:f>IFERROR(VLOOKUP(L1486,'Reference Data'!$A$5:$F$40,3,FALSE),"Unknown")</x:f>
        <x:v>Electronics</x:v>
      </x:c>
      <x:c r="O1486" s="84" t="str">
        <x:f>IFERROR(VLOOKUP(L1486,'Reference Data'!$A$5:$F$40,4,FALSE),"Unknown")</x:f>
        <x:v>Wearables</x:v>
      </x:c>
      <x:c r="P1486" s="92" t="n">
        <x:f>IFERROR(VLOOKUP(L1486,'Reference Data'!$A$5:$F$40,5,FALSE),0)</x:f>
        <x:v>159</x:v>
      </x:c>
      <x:c r="Q1486" s="92" t="n">
        <x:f>IFERROR(VLOOKUP(L1486,'Reference Data'!$A$5:$F$40,6,FALSE),0)</x:f>
        <x:v>92</x:v>
      </x:c>
      <x:c r="R1486" s="84" t="n">
        <x:f>'Raw Sales'!J1486</x:f>
        <x:v>2</x:v>
      </x:c>
      <x:c r="S1486" s="87" t="n">
        <x:f>'Raw Sales'!K1486</x:f>
        <x:v>0</x:v>
      </x:c>
      <x:c r="T1486" s="93" t="n">
        <x:f>P1486*R1486</x:f>
        <x:v>318</x:v>
      </x:c>
      <x:c r="U1486" s="93" t="n">
        <x:f>T1486*S1486</x:f>
        <x:v>0</x:v>
      </x:c>
      <x:c r="V1486" s="93" t="str">
        <x:f>PROPER(TRIM('Raw Sales'!L1486))</x:f>
        <x:v>Completed</x:v>
      </x:c>
      <x:c r="W1486" s="93" t="n">
        <x:f>IF(V1486="Returned",0,T1486-U1486)</x:f>
        <x:v>318</x:v>
      </x:c>
      <x:c r="X1486" s="93" t="n">
        <x:f>IF(V1486="Returned",Q1486*R1486*10%,Q1486*R1486)</x:f>
        <x:v>184</x:v>
      </x:c>
      <x:c r="Y1486" s="93" t="n">
        <x:f>W1486-X1486</x:f>
        <x:v>134</x:v>
      </x:c>
      <x:c r="Z1486" s="94" t="n">
        <x:f>IFERROR(Y1486/W1486,0)</x:f>
        <x:v>0.42138364779874216</x:v>
      </x:c>
      <x:c r="AA1486" s="84" t="str">
        <x:f>PROPER(TRIM('Raw Sales'!M1486))</x:f>
        <x:v>Debit Card</x:v>
      </x:c>
      <x:c r="AB1486" s="84" t="str">
        <x:f>PROPER(TRIM('Raw Sales'!N1486))</x:f>
        <x:v>Noah Reed</x:v>
      </x:c>
      <x:c r="AC1486" s="85" t="n">
        <x:f>'Raw Sales'!O1486</x:f>
        <x:v>45788</x:v>
      </x:c>
      <x:c r="AD1486" s="84" t="n">
        <x:f>AC1486-B1486</x:f>
        <x:v>3</x:v>
      </x:c>
      <x:c r="AE1486" s="84" t="str">
        <x:f>IF(COUNTIF($A$5:A1486,A1486)&gt;1,"Duplicate","Keep")</x:f>
        <x:v>Keep</x:v>
      </x:c>
      <x:c r="AF1486" s="84" t="str">
        <x:f>IF(OR(R1486&lt;=0,AC1486&lt;B1486,H1486="Unknown",M1486="Unknown Product"),"Review","Valid")</x:f>
        <x:v>Valid</x:v>
      </x:c>
      <x:c r="AG1486" s="84" t="n">
        <x:f>IF(AND(AE1486="Keep",AF1486="Valid"),1,0)</x:f>
        <x:v>1</x:v>
      </x:c>
      <x:c r="AH1486" s="84" t="n">
        <x:f>IF(AND(AG1486=1,OR('Dashboard'!$B$4="All",I1486='Dashboard'!$B$4),OR('Dashboard'!$E$4="All",N1486='Dashboard'!$E$4),OR('Dashboard'!$H$4="All",K1486='Dashboard'!$H$4),OR('Dashboard'!$K$4="All",C1486='Dashboard'!$K$4)),1,0)</x:f>
        <x:v>1</x:v>
      </x:c>
      <x:c r="AI1486" s="84" t="n">
        <x:f>IF(AND(AG1486=1,OR('Dashboard'!$B$4="All",I1486='Dashboard'!$B$4),OR('Dashboard'!$E$4="All",N1486='Dashboard'!$E$4),OR('Dashboard'!$H$4="All",K1486='Dashboard'!$H$4)),1,0)</x:f>
        <x:v>1</x:v>
      </x:c>
    </x:row>
    <x:row r="1487">
      <x:c r="A1487" s="84" t="str">
        <x:f>'Raw Sales'!A1487</x:f>
        <x:v>ORD-2025-01070</x:v>
      </x:c>
      <x:c r="B1487" s="85" t="n">
        <x:f>'Raw Sales'!B1487</x:f>
        <x:v>45785</x:v>
      </x:c>
      <x:c r="C1487" s="84" t="n">
        <x:f>YEAR(B1487)</x:f>
        <x:v>2025</x:v>
      </x:c>
      <x:c r="D1487" s="91" t="n">
        <x:f>DATE(YEAR(B1487),MONTH(B1487),1)</x:f>
        <x:v>45778</x:v>
      </x:c>
      <x:c r="E1487" s="84" t="str">
        <x:f>TEXT(B1487,"mmm")</x:f>
        <x:v>May</x:v>
      </x:c>
      <x:c r="F1487" s="84" t="str">
        <x:f>'Raw Sales'!C1487</x:f>
        <x:v>CUST-0167</x:v>
      </x:c>
      <x:c r="G1487" s="84" t="str">
        <x:f>PROPER(TRIM('Raw Sales'!D1487))</x:f>
        <x:v>Nathan Taylor</x:v>
      </x:c>
      <x:c r="H1487" s="84" t="str">
        <x:f>IF(TRIM('Raw Sales'!E1487)="","Unknown",PROPER(TRIM('Raw Sales'!E1487)))</x:f>
        <x:v>Corporate</x:v>
      </x:c>
      <x:c r="I1487" s="84" t="str">
        <x:f>PROPER(TRIM('Raw Sales'!F1487))</x:f>
        <x:v>Northeast</x:v>
      </x:c>
      <x:c r="J1487" s="84" t="str">
        <x:f>PROPER(TRIM('Raw Sales'!G1487))</x:f>
        <x:v>New York</x:v>
      </x:c>
      <x:c r="K1487" s="84" t="str">
        <x:f>PROPER(TRIM('Raw Sales'!H1487))</x:f>
        <x:v>Retail Store</x:v>
      </x:c>
      <x:c r="L1487" s="84" t="str">
        <x:f>'Raw Sales'!I1487</x:f>
        <x:v>ACCS-006</x:v>
      </x:c>
      <x:c r="M1487" s="84" t="str">
        <x:f>IFERROR(VLOOKUP(L1487,'Reference Data'!$A$5:$F$40,2,FALSE),"Unknown Product")</x:f>
        <x:v>Insulated Lunch Bag</x:v>
      </x:c>
      <x:c r="N1487" s="84" t="str">
        <x:f>IFERROR(VLOOKUP(L1487,'Reference Data'!$A$5:$F$40,3,FALSE),"Unknown")</x:f>
        <x:v>Accessories</x:v>
      </x:c>
      <x:c r="O1487" s="84" t="str">
        <x:f>IFERROR(VLOOKUP(L1487,'Reference Data'!$A$5:$F$40,4,FALSE),"Unknown")</x:f>
        <x:v>Bags</x:v>
      </x:c>
      <x:c r="P1487" s="92" t="n">
        <x:f>IFERROR(VLOOKUP(L1487,'Reference Data'!$A$5:$F$40,5,FALSE),0)</x:f>
        <x:v>29</x:v>
      </x:c>
      <x:c r="Q1487" s="92" t="n">
        <x:f>IFERROR(VLOOKUP(L1487,'Reference Data'!$A$5:$F$40,6,FALSE),0)</x:f>
        <x:v>10</x:v>
      </x:c>
      <x:c r="R1487" s="84" t="n">
        <x:f>'Raw Sales'!J1487</x:f>
        <x:v>3</x:v>
      </x:c>
      <x:c r="S1487" s="87" t="n">
        <x:f>'Raw Sales'!K1487</x:f>
        <x:v>0</x:v>
      </x:c>
      <x:c r="T1487" s="93" t="n">
        <x:f>P1487*R1487</x:f>
        <x:v>87</x:v>
      </x:c>
      <x:c r="U1487" s="93" t="n">
        <x:f>T1487*S1487</x:f>
        <x:v>0</x:v>
      </x:c>
      <x:c r="V1487" s="93" t="str">
        <x:f>PROPER(TRIM('Raw Sales'!L1487))</x:f>
        <x:v>Completed</x:v>
      </x:c>
      <x:c r="W1487" s="93" t="n">
        <x:f>IF(V1487="Returned",0,T1487-U1487)</x:f>
        <x:v>87</x:v>
      </x:c>
      <x:c r="X1487" s="93" t="n">
        <x:f>IF(V1487="Returned",Q1487*R1487*10%,Q1487*R1487)</x:f>
        <x:v>30</x:v>
      </x:c>
      <x:c r="Y1487" s="93" t="n">
        <x:f>W1487-X1487</x:f>
        <x:v>57</x:v>
      </x:c>
      <x:c r="Z1487" s="94" t="n">
        <x:f>IFERROR(Y1487/W1487,0)</x:f>
        <x:v>0.6551724137931034</x:v>
      </x:c>
      <x:c r="AA1487" s="84" t="str">
        <x:f>PROPER(TRIM('Raw Sales'!M1487))</x:f>
        <x:v>Cash</x:v>
      </x:c>
      <x:c r="AB1487" s="84" t="str">
        <x:f>PROPER(TRIM('Raw Sales'!N1487))</x:f>
        <x:v>Sofia Bennett</x:v>
      </x:c>
      <x:c r="AC1487" s="85" t="n">
        <x:f>'Raw Sales'!O1487</x:f>
        <x:v>45785</x:v>
      </x:c>
      <x:c r="AD1487" s="84" t="n">
        <x:f>AC1487-B1487</x:f>
        <x:v>0</x:v>
      </x:c>
      <x:c r="AE1487" s="84" t="str">
        <x:f>IF(COUNTIF($A$5:A1487,A1487)&gt;1,"Duplicate","Keep")</x:f>
        <x:v>Keep</x:v>
      </x:c>
      <x:c r="AF1487" s="84" t="str">
        <x:f>IF(OR(R1487&lt;=0,AC1487&lt;B1487,H1487="Unknown",M1487="Unknown Product"),"Review","Valid")</x:f>
        <x:v>Valid</x:v>
      </x:c>
      <x:c r="AG1487" s="84" t="n">
        <x:f>IF(AND(AE1487="Keep",AF1487="Valid"),1,0)</x:f>
        <x:v>1</x:v>
      </x:c>
      <x:c r="AH1487" s="84" t="n">
        <x:f>IF(AND(AG1487=1,OR('Dashboard'!$B$4="All",I1487='Dashboard'!$B$4),OR('Dashboard'!$E$4="All",N1487='Dashboard'!$E$4),OR('Dashboard'!$H$4="All",K1487='Dashboard'!$H$4),OR('Dashboard'!$K$4="All",C1487='Dashboard'!$K$4)),1,0)</x:f>
        <x:v>1</x:v>
      </x:c>
      <x:c r="AI1487" s="84" t="n">
        <x:f>IF(AND(AG1487=1,OR('Dashboard'!$B$4="All",I1487='Dashboard'!$B$4),OR('Dashboard'!$E$4="All",N1487='Dashboard'!$E$4),OR('Dashboard'!$H$4="All",K1487='Dashboard'!$H$4)),1,0)</x:f>
        <x:v>1</x:v>
      </x:c>
    </x:row>
    <x:row r="1488">
      <x:c r="A1488" s="84" t="str">
        <x:f>'Raw Sales'!A1488</x:f>
        <x:v>ORD-2025-01191</x:v>
      </x:c>
      <x:c r="B1488" s="85" t="n">
        <x:f>'Raw Sales'!B1488</x:f>
        <x:v>45785</x:v>
      </x:c>
      <x:c r="C1488" s="84" t="n">
        <x:f>YEAR(B1488)</x:f>
        <x:v>2025</x:v>
      </x:c>
      <x:c r="D1488" s="91" t="n">
        <x:f>DATE(YEAR(B1488),MONTH(B1488),1)</x:f>
        <x:v>45778</x:v>
      </x:c>
      <x:c r="E1488" s="84" t="str">
        <x:f>TEXT(B1488,"mmm")</x:f>
        <x:v>May</x:v>
      </x:c>
      <x:c r="F1488" s="84" t="str">
        <x:f>'Raw Sales'!C1488</x:f>
        <x:v>CUST-0131</x:v>
      </x:c>
      <x:c r="G1488" s="84" t="str">
        <x:f>PROPER(TRIM('Raw Sales'!D1488))</x:f>
        <x:v>Theo Patel</x:v>
      </x:c>
      <x:c r="H1488" s="84" t="str">
        <x:f>IF(TRIM('Raw Sales'!E1488)="","Unknown",PROPER(TRIM('Raw Sales'!E1488)))</x:f>
        <x:v>Consumer</x:v>
      </x:c>
      <x:c r="I1488" s="84" t="str">
        <x:f>PROPER(TRIM('Raw Sales'!F1488))</x:f>
        <x:v>Southeast</x:v>
      </x:c>
      <x:c r="J1488" s="84" t="str">
        <x:f>PROPER(TRIM('Raw Sales'!G1488))</x:f>
        <x:v>Nashville</x:v>
      </x:c>
      <x:c r="K1488" s="84" t="str">
        <x:f>PROPER(TRIM('Raw Sales'!H1488))</x:f>
        <x:v>Marketplace</x:v>
      </x:c>
      <x:c r="L1488" s="84" t="str">
        <x:f>'Raw Sales'!I1488</x:f>
        <x:v>ELEC-006</x:v>
      </x:c>
      <x:c r="M1488" s="84" t="str">
        <x:f>IFERROR(VLOOKUP(L1488,'Reference Data'!$A$5:$F$40,2,FALSE),"Unknown Product")</x:f>
        <x:v>Portable SSD</x:v>
      </x:c>
      <x:c r="N1488" s="84" t="str">
        <x:f>IFERROR(VLOOKUP(L1488,'Reference Data'!$A$5:$F$40,3,FALSE),"Unknown")</x:f>
        <x:v>Electronics</x:v>
      </x:c>
      <x:c r="O1488" s="84" t="str">
        <x:f>IFERROR(VLOOKUP(L1488,'Reference Data'!$A$5:$F$40,4,FALSE),"Unknown")</x:f>
        <x:v>Storage</x:v>
      </x:c>
      <x:c r="P1488" s="92" t="n">
        <x:f>IFERROR(VLOOKUP(L1488,'Reference Data'!$A$5:$F$40,5,FALSE),0)</x:f>
        <x:v>129</x:v>
      </x:c>
      <x:c r="Q1488" s="92" t="n">
        <x:f>IFERROR(VLOOKUP(L1488,'Reference Data'!$A$5:$F$40,6,FALSE),0)</x:f>
        <x:v>75</x:v>
      </x:c>
      <x:c r="R1488" s="84" t="n">
        <x:f>'Raw Sales'!J1488</x:f>
        <x:v>1</x:v>
      </x:c>
      <x:c r="S1488" s="87" t="n">
        <x:f>'Raw Sales'!K1488</x:f>
        <x:v>0.15</x:v>
      </x:c>
      <x:c r="T1488" s="93" t="n">
        <x:f>P1488*R1488</x:f>
        <x:v>129</x:v>
      </x:c>
      <x:c r="U1488" s="93" t="n">
        <x:f>T1488*S1488</x:f>
        <x:v>19.349999999999998</x:v>
      </x:c>
      <x:c r="V1488" s="93" t="str">
        <x:f>PROPER(TRIM('Raw Sales'!L1488))</x:f>
        <x:v>Completed</x:v>
      </x:c>
      <x:c r="W1488" s="93" t="n">
        <x:f>IF(V1488="Returned",0,T1488-U1488)</x:f>
        <x:v>109.65</x:v>
      </x:c>
      <x:c r="X1488" s="93" t="n">
        <x:f>IF(V1488="Returned",Q1488*R1488*10%,Q1488*R1488)</x:f>
        <x:v>75</x:v>
      </x:c>
      <x:c r="Y1488" s="93" t="n">
        <x:f>W1488-X1488</x:f>
        <x:v>34.650000000000006</x:v>
      </x:c>
      <x:c r="Z1488" s="94" t="n">
        <x:f>IFERROR(Y1488/W1488,0)</x:f>
        <x:v>0.31600547195622436</x:v>
      </x:c>
      <x:c r="AA1488" s="84" t="str">
        <x:f>PROPER(TRIM('Raw Sales'!M1488))</x:f>
        <x:v>Credit Card</x:v>
      </x:c>
      <x:c r="AB1488" s="84" t="str">
        <x:f>PROPER(TRIM('Raw Sales'!N1488))</x:f>
        <x:v>Noah Reed</x:v>
      </x:c>
      <x:c r="AC1488" s="85" t="n">
        <x:f>'Raw Sales'!O1488</x:f>
        <x:v>45788</x:v>
      </x:c>
      <x:c r="AD1488" s="84" t="n">
        <x:f>AC1488-B1488</x:f>
        <x:v>3</x:v>
      </x:c>
      <x:c r="AE1488" s="84" t="str">
        <x:f>IF(COUNTIF($A$5:A1488,A1488)&gt;1,"Duplicate","Keep")</x:f>
        <x:v>Keep</x:v>
      </x:c>
      <x:c r="AF1488" s="84" t="str">
        <x:f>IF(OR(R1488&lt;=0,AC1488&lt;B1488,H1488="Unknown",M1488="Unknown Product"),"Review","Valid")</x:f>
        <x:v>Valid</x:v>
      </x:c>
      <x:c r="AG1488" s="84" t="n">
        <x:f>IF(AND(AE1488="Keep",AF1488="Valid"),1,0)</x:f>
        <x:v>1</x:v>
      </x:c>
      <x:c r="AH1488" s="84" t="n">
        <x:f>IF(AND(AG1488=1,OR('Dashboard'!$B$4="All",I1488='Dashboard'!$B$4),OR('Dashboard'!$E$4="All",N1488='Dashboard'!$E$4),OR('Dashboard'!$H$4="All",K1488='Dashboard'!$H$4),OR('Dashboard'!$K$4="All",C1488='Dashboard'!$K$4)),1,0)</x:f>
        <x:v>1</x:v>
      </x:c>
      <x:c r="AI1488" s="84" t="n">
        <x:f>IF(AND(AG1488=1,OR('Dashboard'!$B$4="All",I1488='Dashboard'!$B$4),OR('Dashboard'!$E$4="All",N1488='Dashboard'!$E$4),OR('Dashboard'!$H$4="All",K1488='Dashboard'!$H$4)),1,0)</x:f>
        <x:v>1</x:v>
      </x:c>
    </x:row>
    <x:row r="1489">
      <x:c r="A1489" s="84" t="str">
        <x:f>'Raw Sales'!A1489</x:f>
        <x:v>ORD-2025-00928</x:v>
      </x:c>
      <x:c r="B1489" s="85" t="n">
        <x:f>'Raw Sales'!B1489</x:f>
        <x:v>45786</x:v>
      </x:c>
      <x:c r="C1489" s="84" t="n">
        <x:f>YEAR(B1489)</x:f>
        <x:v>2025</x:v>
      </x:c>
      <x:c r="D1489" s="91" t="n">
        <x:f>DATE(YEAR(B1489),MONTH(B1489),1)</x:f>
        <x:v>45778</x:v>
      </x:c>
      <x:c r="E1489" s="84" t="str">
        <x:f>TEXT(B1489,"mmm")</x:f>
        <x:v>May</x:v>
      </x:c>
      <x:c r="F1489" s="84" t="str">
        <x:f>'Raw Sales'!C1489</x:f>
        <x:v>CUST-0631</x:v>
      </x:c>
      <x:c r="G1489" s="84" t="str">
        <x:f>PROPER(TRIM('Raw Sales'!D1489))</x:f>
        <x:v>Amelia Adams</x:v>
      </x:c>
      <x:c r="H1489" s="84" t="str">
        <x:f>IF(TRIM('Raw Sales'!E1489)="","Unknown",PROPER(TRIM('Raw Sales'!E1489)))</x:f>
        <x:v>Consumer</x:v>
      </x:c>
      <x:c r="I1489" s="84" t="str">
        <x:f>PROPER(TRIM('Raw Sales'!F1489))</x:f>
        <x:v>Midwest</x:v>
      </x:c>
      <x:c r="J1489" s="84" t="str">
        <x:f>PROPER(TRIM('Raw Sales'!G1489))</x:f>
        <x:v>Minneapolis</x:v>
      </x:c>
      <x:c r="K1489" s="84" t="str">
        <x:f>PROPER(TRIM('Raw Sales'!H1489))</x:f>
        <x:v>Retail Store</x:v>
      </x:c>
      <x:c r="L1489" s="84" t="str">
        <x:f>'Raw Sales'!I1489</x:f>
        <x:v>HOME-003</x:v>
      </x:c>
      <x:c r="M1489" s="84" t="str">
        <x:f>IFERROR(VLOOKUP(L1489,'Reference Data'!$A$5:$F$40,2,FALSE),"Unknown Product")</x:f>
        <x:v>Countertop Blender</x:v>
      </x:c>
      <x:c r="N1489" s="84" t="str">
        <x:f>IFERROR(VLOOKUP(L1489,'Reference Data'!$A$5:$F$40,3,FALSE),"Unknown")</x:f>
        <x:v>Home &amp; Kitchen</x:v>
      </x:c>
      <x:c r="O1489" s="84" t="str">
        <x:f>IFERROR(VLOOKUP(L1489,'Reference Data'!$A$5:$F$40,4,FALSE),"Unknown")</x:f>
        <x:v>Small Appliances</x:v>
      </x:c>
      <x:c r="P1489" s="92" t="n">
        <x:f>IFERROR(VLOOKUP(L1489,'Reference Data'!$A$5:$F$40,5,FALSE),0)</x:f>
        <x:v>89</x:v>
      </x:c>
      <x:c r="Q1489" s="92" t="n">
        <x:f>IFERROR(VLOOKUP(L1489,'Reference Data'!$A$5:$F$40,6,FALSE),0)</x:f>
        <x:v>46</x:v>
      </x:c>
      <x:c r="R1489" s="84" t="n">
        <x:f>'Raw Sales'!J1489</x:f>
        <x:v>1</x:v>
      </x:c>
      <x:c r="S1489" s="87" t="n">
        <x:f>'Raw Sales'!K1489</x:f>
        <x:v>0.2</x:v>
      </x:c>
      <x:c r="T1489" s="93" t="n">
        <x:f>P1489*R1489</x:f>
        <x:v>89</x:v>
      </x:c>
      <x:c r="U1489" s="93" t="n">
        <x:f>T1489*S1489</x:f>
        <x:v>17.8</x:v>
      </x:c>
      <x:c r="V1489" s="93" t="str">
        <x:f>PROPER(TRIM('Raw Sales'!L1489))</x:f>
        <x:v>Completed</x:v>
      </x:c>
      <x:c r="W1489" s="93" t="n">
        <x:f>IF(V1489="Returned",0,T1489-U1489)</x:f>
        <x:v>71.2</x:v>
      </x:c>
      <x:c r="X1489" s="93" t="n">
        <x:f>IF(V1489="Returned",Q1489*R1489*10%,Q1489*R1489)</x:f>
        <x:v>46</x:v>
      </x:c>
      <x:c r="Y1489" s="93" t="n">
        <x:f>W1489-X1489</x:f>
        <x:v>25.200000000000003</x:v>
      </x:c>
      <x:c r="Z1489" s="94" t="n">
        <x:f>IFERROR(Y1489/W1489,0)</x:f>
        <x:v>0.35393258426966295</x:v>
      </x:c>
      <x:c r="AA1489" s="84" t="str">
        <x:f>PROPER(TRIM('Raw Sales'!M1489))</x:f>
        <x:v>Mobile Wallet</x:v>
      </x:c>
      <x:c r="AB1489" s="84" t="str">
        <x:f>PROPER(TRIM('Raw Sales'!N1489))</x:f>
        <x:v>Lucas Grant</x:v>
      </x:c>
      <x:c r="AC1489" s="85" t="n">
        <x:f>'Raw Sales'!O1489</x:f>
        <x:v>45786</x:v>
      </x:c>
      <x:c r="AD1489" s="84" t="n">
        <x:f>AC1489-B1489</x:f>
        <x:v>0</x:v>
      </x:c>
      <x:c r="AE1489" s="84" t="str">
        <x:f>IF(COUNTIF($A$5:A1489,A1489)&gt;1,"Duplicate","Keep")</x:f>
        <x:v>Keep</x:v>
      </x:c>
      <x:c r="AF1489" s="84" t="str">
        <x:f>IF(OR(R1489&lt;=0,AC1489&lt;B1489,H1489="Unknown",M1489="Unknown Product"),"Review","Valid")</x:f>
        <x:v>Valid</x:v>
      </x:c>
      <x:c r="AG1489" s="84" t="n">
        <x:f>IF(AND(AE1489="Keep",AF1489="Valid"),1,0)</x:f>
        <x:v>1</x:v>
      </x:c>
      <x:c r="AH1489" s="84" t="n">
        <x:f>IF(AND(AG1489=1,OR('Dashboard'!$B$4="All",I1489='Dashboard'!$B$4),OR('Dashboard'!$E$4="All",N1489='Dashboard'!$E$4),OR('Dashboard'!$H$4="All",K1489='Dashboard'!$H$4),OR('Dashboard'!$K$4="All",C1489='Dashboard'!$K$4)),1,0)</x:f>
        <x:v>1</x:v>
      </x:c>
      <x:c r="AI1489" s="84" t="n">
        <x:f>IF(AND(AG1489=1,OR('Dashboard'!$B$4="All",I1489='Dashboard'!$B$4),OR('Dashboard'!$E$4="All",N1489='Dashboard'!$E$4),OR('Dashboard'!$H$4="All",K1489='Dashboard'!$H$4)),1,0)</x:f>
        <x:v>1</x:v>
      </x:c>
    </x:row>
    <x:row r="1490">
      <x:c r="A1490" s="84" t="str">
        <x:f>'Raw Sales'!A1490</x:f>
        <x:v>ORD-2025-00536</x:v>
      </x:c>
      <x:c r="B1490" s="85" t="n">
        <x:f>'Raw Sales'!B1490</x:f>
        <x:v>45787</x:v>
      </x:c>
      <x:c r="C1490" s="84" t="n">
        <x:f>YEAR(B1490)</x:f>
        <x:v>2025</x:v>
      </x:c>
      <x:c r="D1490" s="91" t="n">
        <x:f>DATE(YEAR(B1490),MONTH(B1490),1)</x:f>
        <x:v>45778</x:v>
      </x:c>
      <x:c r="E1490" s="84" t="str">
        <x:f>TEXT(B1490,"mmm")</x:f>
        <x:v>May</x:v>
      </x:c>
      <x:c r="F1490" s="84" t="str">
        <x:f>'Raw Sales'!C1490</x:f>
        <x:v>CUST-0066</x:v>
      </x:c>
      <x:c r="G1490" s="84" t="str">
        <x:f>PROPER(TRIM('Raw Sales'!D1490))</x:f>
        <x:v>Zara Smith</x:v>
      </x:c>
      <x:c r="H1490" s="84" t="str">
        <x:f>IF(TRIM('Raw Sales'!E1490)="","Unknown",PROPER(TRIM('Raw Sales'!E1490)))</x:f>
        <x:v>Consumer</x:v>
      </x:c>
      <x:c r="I1490" s="84" t="str">
        <x:f>PROPER(TRIM('Raw Sales'!F1490))</x:f>
        <x:v>West</x:v>
      </x:c>
      <x:c r="J1490" s="84" t="str">
        <x:f>PROPER(TRIM('Raw Sales'!G1490))</x:f>
        <x:v>Phoenix</x:v>
      </x:c>
      <x:c r="K1490" s="84" t="str">
        <x:f>PROPER(TRIM('Raw Sales'!H1490))</x:f>
        <x:v>Retail Store</x:v>
      </x:c>
      <x:c r="L1490" s="84" t="str">
        <x:f>'Raw Sales'!I1490</x:f>
        <x:v>ELEC-002</x:v>
      </x:c>
      <x:c r="M1490" s="84" t="str">
        <x:f>IFERROR(VLOOKUP(L1490,'Reference Data'!$A$5:$F$40,2,FALSE),"Unknown Product")</x:f>
        <x:v>Smartwatch</x:v>
      </x:c>
      <x:c r="N1490" s="84" t="str">
        <x:f>IFERROR(VLOOKUP(L1490,'Reference Data'!$A$5:$F$40,3,FALSE),"Unknown")</x:f>
        <x:v>Electronics</x:v>
      </x:c>
      <x:c r="O1490" s="84" t="str">
        <x:f>IFERROR(VLOOKUP(L1490,'Reference Data'!$A$5:$F$40,4,FALSE),"Unknown")</x:f>
        <x:v>Wearables</x:v>
      </x:c>
      <x:c r="P1490" s="92" t="n">
        <x:f>IFERROR(VLOOKUP(L1490,'Reference Data'!$A$5:$F$40,5,FALSE),0)</x:f>
        <x:v>159</x:v>
      </x:c>
      <x:c r="Q1490" s="92" t="n">
        <x:f>IFERROR(VLOOKUP(L1490,'Reference Data'!$A$5:$F$40,6,FALSE),0)</x:f>
        <x:v>92</x:v>
      </x:c>
      <x:c r="R1490" s="84" t="n">
        <x:f>'Raw Sales'!J1490</x:f>
        <x:v>1</x:v>
      </x:c>
      <x:c r="S1490" s="87" t="n">
        <x:f>'Raw Sales'!K1490</x:f>
        <x:v>0.1</x:v>
      </x:c>
      <x:c r="T1490" s="93" t="n">
        <x:f>P1490*R1490</x:f>
        <x:v>159</x:v>
      </x:c>
      <x:c r="U1490" s="93" t="n">
        <x:f>T1490*S1490</x:f>
        <x:v>15.9</x:v>
      </x:c>
      <x:c r="V1490" s="93" t="str">
        <x:f>PROPER(TRIM('Raw Sales'!L1490))</x:f>
        <x:v>Completed</x:v>
      </x:c>
      <x:c r="W1490" s="93" t="n">
        <x:f>IF(V1490="Returned",0,T1490-U1490)</x:f>
        <x:v>143.1</x:v>
      </x:c>
      <x:c r="X1490" s="93" t="n">
        <x:f>IF(V1490="Returned",Q1490*R1490*10%,Q1490*R1490)</x:f>
        <x:v>92</x:v>
      </x:c>
      <x:c r="Y1490" s="93" t="n">
        <x:f>W1490-X1490</x:f>
        <x:v>51.099999999999994</x:v>
      </x:c>
      <x:c r="Z1490" s="94" t="n">
        <x:f>IFERROR(Y1490/W1490,0)</x:f>
        <x:v>0.35709294199860236</x:v>
      </x:c>
      <x:c r="AA1490" s="84" t="str">
        <x:f>PROPER(TRIM('Raw Sales'!M1490))</x:f>
        <x:v>Credit Card</x:v>
      </x:c>
      <x:c r="AB1490" s="84" t="str">
        <x:f>PROPER(TRIM('Raw Sales'!N1490))</x:f>
        <x:v>Nora Kim</x:v>
      </x:c>
      <x:c r="AC1490" s="85" t="n">
        <x:f>'Raw Sales'!O1490</x:f>
        <x:v>45787</x:v>
      </x:c>
      <x:c r="AD1490" s="84" t="n">
        <x:f>AC1490-B1490</x:f>
        <x:v>0</x:v>
      </x:c>
      <x:c r="AE1490" s="84" t="str">
        <x:f>IF(COUNTIF($A$5:A1490,A1490)&gt;1,"Duplicate","Keep")</x:f>
        <x:v>Keep</x:v>
      </x:c>
      <x:c r="AF1490" s="84" t="str">
        <x:f>IF(OR(R1490&lt;=0,AC1490&lt;B1490,H1490="Unknown",M1490="Unknown Product"),"Review","Valid")</x:f>
        <x:v>Valid</x:v>
      </x:c>
      <x:c r="AG1490" s="84" t="n">
        <x:f>IF(AND(AE1490="Keep",AF1490="Valid"),1,0)</x:f>
        <x:v>1</x:v>
      </x:c>
      <x:c r="AH1490" s="84" t="n">
        <x:f>IF(AND(AG1490=1,OR('Dashboard'!$B$4="All",I1490='Dashboard'!$B$4),OR('Dashboard'!$E$4="All",N1490='Dashboard'!$E$4),OR('Dashboard'!$H$4="All",K1490='Dashboard'!$H$4),OR('Dashboard'!$K$4="All",C1490='Dashboard'!$K$4)),1,0)</x:f>
        <x:v>1</x:v>
      </x:c>
      <x:c r="AI1490" s="84" t="n">
        <x:f>IF(AND(AG1490=1,OR('Dashboard'!$B$4="All",I1490='Dashboard'!$B$4),OR('Dashboard'!$E$4="All",N1490='Dashboard'!$E$4),OR('Dashboard'!$H$4="All",K1490='Dashboard'!$H$4)),1,0)</x:f>
        <x:v>1</x:v>
      </x:c>
    </x:row>
    <x:row r="1491">
      <x:c r="A1491" s="84" t="str">
        <x:f>'Raw Sales'!A1491</x:f>
        <x:v>ORD-2025-01659</x:v>
      </x:c>
      <x:c r="B1491" s="85" t="n">
        <x:f>'Raw Sales'!B1491</x:f>
        <x:v>45787</x:v>
      </x:c>
      <x:c r="C1491" s="84" t="n">
        <x:f>YEAR(B1491)</x:f>
        <x:v>2025</x:v>
      </x:c>
      <x:c r="D1491" s="91" t="n">
        <x:f>DATE(YEAR(B1491),MONTH(B1491),1)</x:f>
        <x:v>45778</x:v>
      </x:c>
      <x:c r="E1491" s="84" t="str">
        <x:f>TEXT(B1491,"mmm")</x:f>
        <x:v>May</x:v>
      </x:c>
      <x:c r="F1491" s="84" t="str">
        <x:f>'Raw Sales'!C1491</x:f>
        <x:v>CUST-0508</x:v>
      </x:c>
      <x:c r="G1491" s="84" t="str">
        <x:f>PROPER(TRIM('Raw Sales'!D1491))</x:f>
        <x:v>Nina Smith</x:v>
      </x:c>
      <x:c r="H1491" s="84" t="str">
        <x:f>IF(TRIM('Raw Sales'!E1491)="","Unknown",PROPER(TRIM('Raw Sales'!E1491)))</x:f>
        <x:v>Consumer</x:v>
      </x:c>
      <x:c r="I1491" s="84" t="str">
        <x:f>PROPER(TRIM('Raw Sales'!F1491))</x:f>
        <x:v>West</x:v>
      </x:c>
      <x:c r="J1491" s="84" t="str">
        <x:f>PROPER(TRIM('Raw Sales'!G1491))</x:f>
        <x:v>Denver</x:v>
      </x:c>
      <x:c r="K1491" s="84" t="str">
        <x:f>PROPER(TRIM('Raw Sales'!H1491))</x:f>
        <x:v>Online</x:v>
      </x:c>
      <x:c r="L1491" s="84" t="str">
        <x:f>'Raw Sales'!I1491</x:f>
        <x:v>OFFC-003</x:v>
      </x:c>
      <x:c r="M1491" s="84" t="str">
        <x:f>IFERROR(VLOOKUP(L1491,'Reference Data'!$A$5:$F$40,2,FALSE),"Unknown Product")</x:f>
        <x:v>LED Desk Lamp</x:v>
      </x:c>
      <x:c r="N1491" s="84" t="str">
        <x:f>IFERROR(VLOOKUP(L1491,'Reference Data'!$A$5:$F$40,3,FALSE),"Unknown")</x:f>
        <x:v>Office</x:v>
      </x:c>
      <x:c r="O1491" s="84" t="str">
        <x:f>IFERROR(VLOOKUP(L1491,'Reference Data'!$A$5:$F$40,4,FALSE),"Unknown")</x:f>
        <x:v>Desk Accessories</x:v>
      </x:c>
      <x:c r="P1491" s="92" t="n">
        <x:f>IFERROR(VLOOKUP(L1491,'Reference Data'!$A$5:$F$40,5,FALSE),0)</x:f>
        <x:v>45</x:v>
      </x:c>
      <x:c r="Q1491" s="92" t="n">
        <x:f>IFERROR(VLOOKUP(L1491,'Reference Data'!$A$5:$F$40,6,FALSE),0)</x:f>
        <x:v>20</x:v>
      </x:c>
      <x:c r="R1491" s="84" t="n">
        <x:f>'Raw Sales'!J1491</x:f>
        <x:v>1</x:v>
      </x:c>
      <x:c r="S1491" s="87" t="n">
        <x:f>'Raw Sales'!K1491</x:f>
        <x:v>0.1</x:v>
      </x:c>
      <x:c r="T1491" s="93" t="n">
        <x:f>P1491*R1491</x:f>
        <x:v>45</x:v>
      </x:c>
      <x:c r="U1491" s="93" t="n">
        <x:f>T1491*S1491</x:f>
        <x:v>4.5</x:v>
      </x:c>
      <x:c r="V1491" s="93" t="str">
        <x:f>PROPER(TRIM('Raw Sales'!L1491))</x:f>
        <x:v>Completed</x:v>
      </x:c>
      <x:c r="W1491" s="93" t="n">
        <x:f>IF(V1491="Returned",0,T1491-U1491)</x:f>
        <x:v>40.5</x:v>
      </x:c>
      <x:c r="X1491" s="93" t="n">
        <x:f>IF(V1491="Returned",Q1491*R1491*10%,Q1491*R1491)</x:f>
        <x:v>20</x:v>
      </x:c>
      <x:c r="Y1491" s="93" t="n">
        <x:f>W1491-X1491</x:f>
        <x:v>20.5</x:v>
      </x:c>
      <x:c r="Z1491" s="94" t="n">
        <x:f>IFERROR(Y1491/W1491,0)</x:f>
        <x:v>0.5061728395061729</x:v>
      </x:c>
      <x:c r="AA1491" s="84" t="str">
        <x:f>PROPER(TRIM('Raw Sales'!M1491))</x:f>
        <x:v>Credit Card</x:v>
      </x:c>
      <x:c r="AB1491" s="84" t="str">
        <x:f>PROPER(TRIM('Raw Sales'!N1491))</x:f>
        <x:v>Mia Chen</x:v>
      </x:c>
      <x:c r="AC1491" s="85" t="n">
        <x:f>'Raw Sales'!O1491</x:f>
        <x:v>45791</x:v>
      </x:c>
      <x:c r="AD1491" s="84" t="n">
        <x:f>AC1491-B1491</x:f>
        <x:v>4</x:v>
      </x:c>
      <x:c r="AE1491" s="84" t="str">
        <x:f>IF(COUNTIF($A$5:A1491,A1491)&gt;1,"Duplicate","Keep")</x:f>
        <x:v>Keep</x:v>
      </x:c>
      <x:c r="AF1491" s="84" t="str">
        <x:f>IF(OR(R1491&lt;=0,AC1491&lt;B1491,H1491="Unknown",M1491="Unknown Product"),"Review","Valid")</x:f>
        <x:v>Valid</x:v>
      </x:c>
      <x:c r="AG1491" s="84" t="n">
        <x:f>IF(AND(AE1491="Keep",AF1491="Valid"),1,0)</x:f>
        <x:v>1</x:v>
      </x:c>
      <x:c r="AH1491" s="84" t="n">
        <x:f>IF(AND(AG1491=1,OR('Dashboard'!$B$4="All",I1491='Dashboard'!$B$4),OR('Dashboard'!$E$4="All",N1491='Dashboard'!$E$4),OR('Dashboard'!$H$4="All",K1491='Dashboard'!$H$4),OR('Dashboard'!$K$4="All",C1491='Dashboard'!$K$4)),1,0)</x:f>
        <x:v>1</x:v>
      </x:c>
      <x:c r="AI1491" s="84" t="n">
        <x:f>IF(AND(AG1491=1,OR('Dashboard'!$B$4="All",I1491='Dashboard'!$B$4),OR('Dashboard'!$E$4="All",N1491='Dashboard'!$E$4),OR('Dashboard'!$H$4="All",K1491='Dashboard'!$H$4)),1,0)</x:f>
        <x:v>1</x:v>
      </x:c>
    </x:row>
    <x:row r="1492">
      <x:c r="A1492" s="84" t="str">
        <x:f>'Raw Sales'!A1492</x:f>
        <x:v>ORD-2025-01763</x:v>
      </x:c>
      <x:c r="B1492" s="85" t="n">
        <x:f>'Raw Sales'!B1492</x:f>
        <x:v>45787</x:v>
      </x:c>
      <x:c r="C1492" s="84" t="n">
        <x:f>YEAR(B1492)</x:f>
        <x:v>2025</x:v>
      </x:c>
      <x:c r="D1492" s="91" t="n">
        <x:f>DATE(YEAR(B1492),MONTH(B1492),1)</x:f>
        <x:v>45778</x:v>
      </x:c>
      <x:c r="E1492" s="84" t="str">
        <x:f>TEXT(B1492,"mmm")</x:f>
        <x:v>May</x:v>
      </x:c>
      <x:c r="F1492" s="84" t="str">
        <x:f>'Raw Sales'!C1492</x:f>
        <x:v>CUST-0589</x:v>
      </x:c>
      <x:c r="G1492" s="84" t="str">
        <x:f>PROPER(TRIM('Raw Sales'!D1492))</x:f>
        <x:v>Nathan Foster</x:v>
      </x:c>
      <x:c r="H1492" s="84" t="str">
        <x:f>IF(TRIM('Raw Sales'!E1492)="","Unknown",PROPER(TRIM('Raw Sales'!E1492)))</x:f>
        <x:v>Consumer</x:v>
      </x:c>
      <x:c r="I1492" s="84" t="str">
        <x:f>PROPER(TRIM('Raw Sales'!F1492))</x:f>
        <x:v>Northeast</x:v>
      </x:c>
      <x:c r="J1492" s="84" t="str">
        <x:f>PROPER(TRIM('Raw Sales'!G1492))</x:f>
        <x:v>Philadelphia</x:v>
      </x:c>
      <x:c r="K1492" s="84" t="str">
        <x:f>PROPER(TRIM('Raw Sales'!H1492))</x:f>
        <x:v>Retail Store</x:v>
      </x:c>
      <x:c r="L1492" s="84" t="str">
        <x:f>'Raw Sales'!I1492</x:f>
        <x:v>FITN-004</x:v>
      </x:c>
      <x:c r="M1492" s="84" t="str">
        <x:f>IFERROR(VLOOKUP(L1492,'Reference Data'!$A$5:$F$40,2,FALSE),"Unknown Product")</x:f>
        <x:v>Fitness Tracker</x:v>
      </x:c>
      <x:c r="N1492" s="84" t="str">
        <x:f>IFERROR(VLOOKUP(L1492,'Reference Data'!$A$5:$F$40,3,FALSE),"Unknown")</x:f>
        <x:v>Fitness</x:v>
      </x:c>
      <x:c r="O1492" s="84" t="str">
        <x:f>IFERROR(VLOOKUP(L1492,'Reference Data'!$A$5:$F$40,4,FALSE),"Unknown")</x:f>
        <x:v>Wearables</x:v>
      </x:c>
      <x:c r="P1492" s="92" t="n">
        <x:f>IFERROR(VLOOKUP(L1492,'Reference Data'!$A$5:$F$40,5,FALSE),0)</x:f>
        <x:v>89</x:v>
      </x:c>
      <x:c r="Q1492" s="92" t="n">
        <x:f>IFERROR(VLOOKUP(L1492,'Reference Data'!$A$5:$F$40,6,FALSE),0)</x:f>
        <x:v>44</x:v>
      </x:c>
      <x:c r="R1492" s="84" t="n">
        <x:f>'Raw Sales'!J1492</x:f>
        <x:v>1</x:v>
      </x:c>
      <x:c r="S1492" s="87" t="n">
        <x:f>'Raw Sales'!K1492</x:f>
        <x:v>0.05</x:v>
      </x:c>
      <x:c r="T1492" s="93" t="n">
        <x:f>P1492*R1492</x:f>
        <x:v>89</x:v>
      </x:c>
      <x:c r="U1492" s="93" t="n">
        <x:f>T1492*S1492</x:f>
        <x:v>4.45</x:v>
      </x:c>
      <x:c r="V1492" s="93" t="str">
        <x:f>PROPER(TRIM('Raw Sales'!L1492))</x:f>
        <x:v>Completed</x:v>
      </x:c>
      <x:c r="W1492" s="93" t="n">
        <x:f>IF(V1492="Returned",0,T1492-U1492)</x:f>
        <x:v>84.55</x:v>
      </x:c>
      <x:c r="X1492" s="93" t="n">
        <x:f>IF(V1492="Returned",Q1492*R1492*10%,Q1492*R1492)</x:f>
        <x:v>44</x:v>
      </x:c>
      <x:c r="Y1492" s="93" t="n">
        <x:f>W1492-X1492</x:f>
        <x:v>40.55</x:v>
      </x:c>
      <x:c r="Z1492" s="94" t="n">
        <x:f>IFERROR(Y1492/W1492,0)</x:f>
        <x:v>0.47959787108219987</x:v>
      </x:c>
      <x:c r="AA1492" s="84" t="str">
        <x:f>PROPER(TRIM('Raw Sales'!M1492))</x:f>
        <x:v>Credit Card</x:v>
      </x:c>
      <x:c r="AB1492" s="84" t="str">
        <x:f>PROPER(TRIM('Raw Sales'!N1492))</x:f>
        <x:v>Sofia Bennett</x:v>
      </x:c>
      <x:c r="AC1492" s="85" t="n">
        <x:f>'Raw Sales'!O1492</x:f>
        <x:v>45787</x:v>
      </x:c>
      <x:c r="AD1492" s="84" t="n">
        <x:f>AC1492-B1492</x:f>
        <x:v>0</x:v>
      </x:c>
      <x:c r="AE1492" s="84" t="str">
        <x:f>IF(COUNTIF($A$5:A1492,A1492)&gt;1,"Duplicate","Keep")</x:f>
        <x:v>Keep</x:v>
      </x:c>
      <x:c r="AF1492" s="84" t="str">
        <x:f>IF(OR(R1492&lt;=0,AC1492&lt;B1492,H1492="Unknown",M1492="Unknown Product"),"Review","Valid")</x:f>
        <x:v>Valid</x:v>
      </x:c>
      <x:c r="AG1492" s="84" t="n">
        <x:f>IF(AND(AE1492="Keep",AF1492="Valid"),1,0)</x:f>
        <x:v>1</x:v>
      </x:c>
      <x:c r="AH1492" s="84" t="n">
        <x:f>IF(AND(AG1492=1,OR('Dashboard'!$B$4="All",I1492='Dashboard'!$B$4),OR('Dashboard'!$E$4="All",N1492='Dashboard'!$E$4),OR('Dashboard'!$H$4="All",K1492='Dashboard'!$H$4),OR('Dashboard'!$K$4="All",C1492='Dashboard'!$K$4)),1,0)</x:f>
        <x:v>1</x:v>
      </x:c>
      <x:c r="AI1492" s="84" t="n">
        <x:f>IF(AND(AG1492=1,OR('Dashboard'!$B$4="All",I1492='Dashboard'!$B$4),OR('Dashboard'!$E$4="All",N1492='Dashboard'!$E$4),OR('Dashboard'!$H$4="All",K1492='Dashboard'!$H$4)),1,0)</x:f>
        <x:v>1</x:v>
      </x:c>
    </x:row>
    <x:row r="1493">
      <x:c r="A1493" s="84" t="str">
        <x:f>'Raw Sales'!A1493</x:f>
        <x:v>ORD-2025-01820</x:v>
      </x:c>
      <x:c r="B1493" s="85" t="n">
        <x:f>'Raw Sales'!B1493</x:f>
        <x:v>45787</x:v>
      </x:c>
      <x:c r="C1493" s="84" t="n">
        <x:f>YEAR(B1493)</x:f>
        <x:v>2025</x:v>
      </x:c>
      <x:c r="D1493" s="91" t="n">
        <x:f>DATE(YEAR(B1493),MONTH(B1493),1)</x:f>
        <x:v>45778</x:v>
      </x:c>
      <x:c r="E1493" s="84" t="str">
        <x:f>TEXT(B1493,"mmm")</x:f>
        <x:v>May</x:v>
      </x:c>
      <x:c r="F1493" s="84" t="str">
        <x:f>'Raw Sales'!C1493</x:f>
        <x:v>CUST-0087</x:v>
      </x:c>
      <x:c r="G1493" s="84" t="str">
        <x:f>PROPER(TRIM('Raw Sales'!D1493))</x:f>
        <x:v>Amelia Evans</x:v>
      </x:c>
      <x:c r="H1493" s="84" t="str">
        <x:f>IF(TRIM('Raw Sales'!E1493)="","Unknown",PROPER(TRIM('Raw Sales'!E1493)))</x:f>
        <x:v>Consumer</x:v>
      </x:c>
      <x:c r="I1493" s="84" t="str">
        <x:f>PROPER(TRIM('Raw Sales'!F1493))</x:f>
        <x:v>West</x:v>
      </x:c>
      <x:c r="J1493" s="84" t="str">
        <x:f>PROPER(TRIM('Raw Sales'!G1493))</x:f>
        <x:v>Los Angeles</x:v>
      </x:c>
      <x:c r="K1493" s="84" t="str">
        <x:f>PROPER(TRIM('Raw Sales'!H1493))</x:f>
        <x:v>Online</x:v>
      </x:c>
      <x:c r="L1493" s="84" t="str">
        <x:f>'Raw Sales'!I1493</x:f>
        <x:v>ACCS-004</x:v>
      </x:c>
      <x:c r="M1493" s="84" t="str">
        <x:f>IFERROR(VLOOKUP(L1493,'Reference Data'!$A$5:$F$40,2,FALSE),"Unknown Product")</x:f>
        <x:v>Leather Wallet</x:v>
      </x:c>
      <x:c r="N1493" s="84" t="str">
        <x:f>IFERROR(VLOOKUP(L1493,'Reference Data'!$A$5:$F$40,3,FALSE),"Unknown")</x:f>
        <x:v>Accessories</x:v>
      </x:c>
      <x:c r="O1493" s="84" t="str">
        <x:f>IFERROR(VLOOKUP(L1493,'Reference Data'!$A$5:$F$40,4,FALSE),"Unknown")</x:f>
        <x:v>Wallets</x:v>
      </x:c>
      <x:c r="P1493" s="92" t="n">
        <x:f>IFERROR(VLOOKUP(L1493,'Reference Data'!$A$5:$F$40,5,FALSE),0)</x:f>
        <x:v>49</x:v>
      </x:c>
      <x:c r="Q1493" s="92" t="n">
        <x:f>IFERROR(VLOOKUP(L1493,'Reference Data'!$A$5:$F$40,6,FALSE),0)</x:f>
        <x:v>18</x:v>
      </x:c>
      <x:c r="R1493" s="84" t="n">
        <x:f>'Raw Sales'!J1493</x:f>
        <x:v>1</x:v>
      </x:c>
      <x:c r="S1493" s="87" t="n">
        <x:f>'Raw Sales'!K1493</x:f>
        <x:v>0.1</x:v>
      </x:c>
      <x:c r="T1493" s="93" t="n">
        <x:f>P1493*R1493</x:f>
        <x:v>49</x:v>
      </x:c>
      <x:c r="U1493" s="93" t="n">
        <x:f>T1493*S1493</x:f>
        <x:v>4.9</x:v>
      </x:c>
      <x:c r="V1493" s="93" t="str">
        <x:f>PROPER(TRIM('Raw Sales'!L1493))</x:f>
        <x:v>Completed</x:v>
      </x:c>
      <x:c r="W1493" s="93" t="n">
        <x:f>IF(V1493="Returned",0,T1493-U1493)</x:f>
        <x:v>44.1</x:v>
      </x:c>
      <x:c r="X1493" s="93" t="n">
        <x:f>IF(V1493="Returned",Q1493*R1493*10%,Q1493*R1493)</x:f>
        <x:v>18</x:v>
      </x:c>
      <x:c r="Y1493" s="93" t="n">
        <x:f>W1493-X1493</x:f>
        <x:v>26.1</x:v>
      </x:c>
      <x:c r="Z1493" s="94" t="n">
        <x:f>IFERROR(Y1493/W1493,0)</x:f>
        <x:v>0.5918367346938775</x:v>
      </x:c>
      <x:c r="AA1493" s="84" t="str">
        <x:f>PROPER(TRIM('Raw Sales'!M1493))</x:f>
        <x:v>Credit Card</x:v>
      </x:c>
      <x:c r="AB1493" s="84" t="str">
        <x:f>PROPER(TRIM('Raw Sales'!N1493))</x:f>
        <x:v>Nora Kim</x:v>
      </x:c>
      <x:c r="AC1493" s="85" t="n">
        <x:f>'Raw Sales'!O1493</x:f>
        <x:v>45791</x:v>
      </x:c>
      <x:c r="AD1493" s="84" t="n">
        <x:f>AC1493-B1493</x:f>
        <x:v>4</x:v>
      </x:c>
      <x:c r="AE1493" s="84" t="str">
        <x:f>IF(COUNTIF($A$5:A1493,A1493)&gt;1,"Duplicate","Keep")</x:f>
        <x:v>Keep</x:v>
      </x:c>
      <x:c r="AF1493" s="84" t="str">
        <x:f>IF(OR(R1493&lt;=0,AC1493&lt;B1493,H1493="Unknown",M1493="Unknown Product"),"Review","Valid")</x:f>
        <x:v>Valid</x:v>
      </x:c>
      <x:c r="AG1493" s="84" t="n">
        <x:f>IF(AND(AE1493="Keep",AF1493="Valid"),1,0)</x:f>
        <x:v>1</x:v>
      </x:c>
      <x:c r="AH1493" s="84" t="n">
        <x:f>IF(AND(AG1493=1,OR('Dashboard'!$B$4="All",I1493='Dashboard'!$B$4),OR('Dashboard'!$E$4="All",N1493='Dashboard'!$E$4),OR('Dashboard'!$H$4="All",K1493='Dashboard'!$H$4),OR('Dashboard'!$K$4="All",C1493='Dashboard'!$K$4)),1,0)</x:f>
        <x:v>1</x:v>
      </x:c>
      <x:c r="AI1493" s="84" t="n">
        <x:f>IF(AND(AG1493=1,OR('Dashboard'!$B$4="All",I1493='Dashboard'!$B$4),OR('Dashboard'!$E$4="All",N1493='Dashboard'!$E$4),OR('Dashboard'!$H$4="All",K1493='Dashboard'!$H$4)),1,0)</x:f>
        <x:v>1</x:v>
      </x:c>
    </x:row>
    <x:row r="1494">
      <x:c r="A1494" s="84" t="str">
        <x:f>'Raw Sales'!A1494</x:f>
        <x:v>ORD-2025-00653</x:v>
      </x:c>
      <x:c r="B1494" s="85" t="n">
        <x:f>'Raw Sales'!B1494</x:f>
        <x:v>45788</x:v>
      </x:c>
      <x:c r="C1494" s="84" t="n">
        <x:f>YEAR(B1494)</x:f>
        <x:v>2025</x:v>
      </x:c>
      <x:c r="D1494" s="91" t="n">
        <x:f>DATE(YEAR(B1494),MONTH(B1494),1)</x:f>
        <x:v>45778</x:v>
      </x:c>
      <x:c r="E1494" s="84" t="str">
        <x:f>TEXT(B1494,"mmm")</x:f>
        <x:v>May</x:v>
      </x:c>
      <x:c r="F1494" s="84" t="str">
        <x:f>'Raw Sales'!C1494</x:f>
        <x:v>CUST-0028</x:v>
      </x:c>
      <x:c r="G1494" s="84" t="str">
        <x:f>PROPER(TRIM('Raw Sales'!D1494))</x:f>
        <x:v>Theo Roberts</x:v>
      </x:c>
      <x:c r="H1494" s="84" t="str">
        <x:f>IF(TRIM('Raw Sales'!E1494)="","Unknown",PROPER(TRIM('Raw Sales'!E1494)))</x:f>
        <x:v>Consumer</x:v>
      </x:c>
      <x:c r="I1494" s="84" t="str">
        <x:f>PROPER(TRIM('Raw Sales'!F1494))</x:f>
        <x:v>Northeast</x:v>
      </x:c>
      <x:c r="J1494" s="84" t="str">
        <x:f>PROPER(TRIM('Raw Sales'!G1494))</x:f>
        <x:v>Newark</x:v>
      </x:c>
      <x:c r="K1494" s="84" t="str">
        <x:f>PROPER(TRIM('Raw Sales'!H1494))</x:f>
        <x:v>Retail Store</x:v>
      </x:c>
      <x:c r="L1494" s="84" t="str">
        <x:f>'Raw Sales'!I1494</x:f>
        <x:v>HOME-001</x:v>
      </x:c>
      <x:c r="M1494" s="84" t="str">
        <x:f>IFERROR(VLOOKUP(L1494,'Reference Data'!$A$5:$F$40,2,FALSE),"Unknown Product")</x:f>
        <x:v>Air Fryer</x:v>
      </x:c>
      <x:c r="N1494" s="84" t="str">
        <x:f>IFERROR(VLOOKUP(L1494,'Reference Data'!$A$5:$F$40,3,FALSE),"Unknown")</x:f>
        <x:v>Home &amp; Kitchen</x:v>
      </x:c>
      <x:c r="O1494" s="84" t="str">
        <x:f>IFERROR(VLOOKUP(L1494,'Reference Data'!$A$5:$F$40,4,FALSE),"Unknown")</x:f>
        <x:v>Small Appliances</x:v>
      </x:c>
      <x:c r="P1494" s="92" t="n">
        <x:f>IFERROR(VLOOKUP(L1494,'Reference Data'!$A$5:$F$40,5,FALSE),0)</x:f>
        <x:v>119</x:v>
      </x:c>
      <x:c r="Q1494" s="92" t="n">
        <x:f>IFERROR(VLOOKUP(L1494,'Reference Data'!$A$5:$F$40,6,FALSE),0)</x:f>
        <x:v>68</x:v>
      </x:c>
      <x:c r="R1494" s="84" t="n">
        <x:f>'Raw Sales'!J1494</x:f>
        <x:v>1</x:v>
      </x:c>
      <x:c r="S1494" s="87" t="n">
        <x:f>'Raw Sales'!K1494</x:f>
        <x:v>0.15</x:v>
      </x:c>
      <x:c r="T1494" s="93" t="n">
        <x:f>P1494*R1494</x:f>
        <x:v>119</x:v>
      </x:c>
      <x:c r="U1494" s="93" t="n">
        <x:f>T1494*S1494</x:f>
        <x:v>17.849999999999998</x:v>
      </x:c>
      <x:c r="V1494" s="93" t="str">
        <x:f>PROPER(TRIM('Raw Sales'!L1494))</x:f>
        <x:v>Completed</x:v>
      </x:c>
      <x:c r="W1494" s="93" t="n">
        <x:f>IF(V1494="Returned",0,T1494-U1494)</x:f>
        <x:v>101.15</x:v>
      </x:c>
      <x:c r="X1494" s="93" t="n">
        <x:f>IF(V1494="Returned",Q1494*R1494*10%,Q1494*R1494)</x:f>
        <x:v>68</x:v>
      </x:c>
      <x:c r="Y1494" s="93" t="n">
        <x:f>W1494-X1494</x:f>
        <x:v>33.150000000000006</x:v>
      </x:c>
      <x:c r="Z1494" s="94" t="n">
        <x:f>IFERROR(Y1494/W1494,0)</x:f>
        <x:v>0.32773109243697485</x:v>
      </x:c>
      <x:c r="AA1494" s="84" t="str">
        <x:f>PROPER(TRIM('Raw Sales'!M1494))</x:f>
        <x:v>Mobile Wallet</x:v>
      </x:c>
      <x:c r="AB1494" s="84" t="str">
        <x:f>PROPER(TRIM('Raw Sales'!N1494))</x:f>
        <x:v>Maya Brooks</x:v>
      </x:c>
      <x:c r="AC1494" s="85" t="n">
        <x:f>'Raw Sales'!O1494</x:f>
        <x:v>45788</x:v>
      </x:c>
      <x:c r="AD1494" s="84" t="n">
        <x:f>AC1494-B1494</x:f>
        <x:v>0</x:v>
      </x:c>
      <x:c r="AE1494" s="84" t="str">
        <x:f>IF(COUNTIF($A$5:A1494,A1494)&gt;1,"Duplicate","Keep")</x:f>
        <x:v>Keep</x:v>
      </x:c>
      <x:c r="AF1494" s="84" t="str">
        <x:f>IF(OR(R1494&lt;=0,AC1494&lt;B1494,H1494="Unknown",M1494="Unknown Product"),"Review","Valid")</x:f>
        <x:v>Valid</x:v>
      </x:c>
      <x:c r="AG1494" s="84" t="n">
        <x:f>IF(AND(AE1494="Keep",AF1494="Valid"),1,0)</x:f>
        <x:v>1</x:v>
      </x:c>
      <x:c r="AH1494" s="84" t="n">
        <x:f>IF(AND(AG1494=1,OR('Dashboard'!$B$4="All",I1494='Dashboard'!$B$4),OR('Dashboard'!$E$4="All",N1494='Dashboard'!$E$4),OR('Dashboard'!$H$4="All",K1494='Dashboard'!$H$4),OR('Dashboard'!$K$4="All",C1494='Dashboard'!$K$4)),1,0)</x:f>
        <x:v>1</x:v>
      </x:c>
      <x:c r="AI1494" s="84" t="n">
        <x:f>IF(AND(AG1494=1,OR('Dashboard'!$B$4="All",I1494='Dashboard'!$B$4),OR('Dashboard'!$E$4="All",N1494='Dashboard'!$E$4),OR('Dashboard'!$H$4="All",K1494='Dashboard'!$H$4)),1,0)</x:f>
        <x:v>1</x:v>
      </x:c>
    </x:row>
    <x:row r="1495">
      <x:c r="A1495" s="84" t="str">
        <x:f>'Raw Sales'!A1495</x:f>
        <x:v>ORD-2025-00796</x:v>
      </x:c>
      <x:c r="B1495" s="85" t="n">
        <x:f>'Raw Sales'!B1495</x:f>
        <x:v>45788</x:v>
      </x:c>
      <x:c r="C1495" s="84" t="n">
        <x:f>YEAR(B1495)</x:f>
        <x:v>2025</x:v>
      </x:c>
      <x:c r="D1495" s="91" t="n">
        <x:f>DATE(YEAR(B1495),MONTH(B1495),1)</x:f>
        <x:v>45778</x:v>
      </x:c>
      <x:c r="E1495" s="84" t="str">
        <x:f>TEXT(B1495,"mmm")</x:f>
        <x:v>May</x:v>
      </x:c>
      <x:c r="F1495" s="84" t="str">
        <x:f>'Raw Sales'!C1495</x:f>
        <x:v>CUST-0123</x:v>
      </x:c>
      <x:c r="G1495" s="84" t="str">
        <x:f>PROPER(TRIM('Raw Sales'!D1495))</x:f>
        <x:v>Jasmine Patel</x:v>
      </x:c>
      <x:c r="H1495" s="84" t="str">
        <x:f>IF(TRIM('Raw Sales'!E1495)="","Unknown",PROPER(TRIM('Raw Sales'!E1495)))</x:f>
        <x:v>Consumer</x:v>
      </x:c>
      <x:c r="I1495" s="84" t="str">
        <x:f>PROPER(TRIM('Raw Sales'!F1495))</x:f>
        <x:v>Southeast</x:v>
      </x:c>
      <x:c r="J1495" s="84" t="str">
        <x:f>PROPER(TRIM('Raw Sales'!G1495))</x:f>
        <x:v>Nashville</x:v>
      </x:c>
      <x:c r="K1495" s="84" t="str">
        <x:f>PROPER(TRIM('Raw Sales'!H1495))</x:f>
        <x:v>Online</x:v>
      </x:c>
      <x:c r="L1495" s="84" t="str">
        <x:f>'Raw Sales'!I1495</x:f>
        <x:v>ELEC-003</x:v>
      </x:c>
      <x:c r="M1495" s="84" t="str">
        <x:f>IFERROR(VLOOKUP(L1495,'Reference Data'!$A$5:$F$40,2,FALSE),"Unknown Product")</x:f>
        <x:v>Bluetooth Speaker</x:v>
      </x:c>
      <x:c r="N1495" s="84" t="str">
        <x:f>IFERROR(VLOOKUP(L1495,'Reference Data'!$A$5:$F$40,3,FALSE),"Unknown")</x:f>
        <x:v>Electronics</x:v>
      </x:c>
      <x:c r="O1495" s="84" t="str">
        <x:f>IFERROR(VLOOKUP(L1495,'Reference Data'!$A$5:$F$40,4,FALSE),"Unknown")</x:f>
        <x:v>Audio</x:v>
      </x:c>
      <x:c r="P1495" s="92" t="n">
        <x:f>IFERROR(VLOOKUP(L1495,'Reference Data'!$A$5:$F$40,5,FALSE),0)</x:f>
        <x:v>89</x:v>
      </x:c>
      <x:c r="Q1495" s="92" t="n">
        <x:f>IFERROR(VLOOKUP(L1495,'Reference Data'!$A$5:$F$40,6,FALSE),0)</x:f>
        <x:v>44</x:v>
      </x:c>
      <x:c r="R1495" s="84" t="n">
        <x:f>'Raw Sales'!J1495</x:f>
        <x:v>2</x:v>
      </x:c>
      <x:c r="S1495" s="87" t="n">
        <x:f>'Raw Sales'!K1495</x:f>
        <x:v>0</x:v>
      </x:c>
      <x:c r="T1495" s="93" t="n">
        <x:f>P1495*R1495</x:f>
        <x:v>178</x:v>
      </x:c>
      <x:c r="U1495" s="93" t="n">
        <x:f>T1495*S1495</x:f>
        <x:v>0</x:v>
      </x:c>
      <x:c r="V1495" s="93" t="str">
        <x:f>PROPER(TRIM('Raw Sales'!L1495))</x:f>
        <x:v>Completed</x:v>
      </x:c>
      <x:c r="W1495" s="93" t="n">
        <x:f>IF(V1495="Returned",0,T1495-U1495)</x:f>
        <x:v>178</x:v>
      </x:c>
      <x:c r="X1495" s="93" t="n">
        <x:f>IF(V1495="Returned",Q1495*R1495*10%,Q1495*R1495)</x:f>
        <x:v>88</x:v>
      </x:c>
      <x:c r="Y1495" s="93" t="n">
        <x:f>W1495-X1495</x:f>
        <x:v>90</x:v>
      </x:c>
      <x:c r="Z1495" s="94" t="n">
        <x:f>IFERROR(Y1495/W1495,0)</x:f>
        <x:v>0.5056179775280899</x:v>
      </x:c>
      <x:c r="AA1495" s="84" t="str">
        <x:f>PROPER(TRIM('Raw Sales'!M1495))</x:f>
        <x:v>Debit Card</x:v>
      </x:c>
      <x:c r="AB1495" s="84" t="str">
        <x:f>PROPER(TRIM('Raw Sales'!N1495))</x:f>
        <x:v>Ava Mitchell</x:v>
      </x:c>
      <x:c r="AC1495" s="85" t="n">
        <x:f>'Raw Sales'!O1495</x:f>
        <x:v>45790</x:v>
      </x:c>
      <x:c r="AD1495" s="84" t="n">
        <x:f>AC1495-B1495</x:f>
        <x:v>2</x:v>
      </x:c>
      <x:c r="AE1495" s="84" t="str">
        <x:f>IF(COUNTIF($A$5:A1495,A1495)&gt;1,"Duplicate","Keep")</x:f>
        <x:v>Keep</x:v>
      </x:c>
      <x:c r="AF1495" s="84" t="str">
        <x:f>IF(OR(R1495&lt;=0,AC1495&lt;B1495,H1495="Unknown",M1495="Unknown Product"),"Review","Valid")</x:f>
        <x:v>Valid</x:v>
      </x:c>
      <x:c r="AG1495" s="84" t="n">
        <x:f>IF(AND(AE1495="Keep",AF1495="Valid"),1,0)</x:f>
        <x:v>1</x:v>
      </x:c>
      <x:c r="AH1495" s="84" t="n">
        <x:f>IF(AND(AG1495=1,OR('Dashboard'!$B$4="All",I1495='Dashboard'!$B$4),OR('Dashboard'!$E$4="All",N1495='Dashboard'!$E$4),OR('Dashboard'!$H$4="All",K1495='Dashboard'!$H$4),OR('Dashboard'!$K$4="All",C1495='Dashboard'!$K$4)),1,0)</x:f>
        <x:v>1</x:v>
      </x:c>
      <x:c r="AI1495" s="84" t="n">
        <x:f>IF(AND(AG1495=1,OR('Dashboard'!$B$4="All",I1495='Dashboard'!$B$4),OR('Dashboard'!$E$4="All",N1495='Dashboard'!$E$4),OR('Dashboard'!$H$4="All",K1495='Dashboard'!$H$4)),1,0)</x:f>
        <x:v>1</x:v>
      </x:c>
    </x:row>
    <x:row r="1496">
      <x:c r="A1496" s="84" t="str">
        <x:f>'Raw Sales'!A1496</x:f>
        <x:v>ORD-2025-00994</x:v>
      </x:c>
      <x:c r="B1496" s="85" t="n">
        <x:f>'Raw Sales'!B1496</x:f>
        <x:v>45788</x:v>
      </x:c>
      <x:c r="C1496" s="84" t="n">
        <x:f>YEAR(B1496)</x:f>
        <x:v>2025</x:v>
      </x:c>
      <x:c r="D1496" s="91" t="n">
        <x:f>DATE(YEAR(B1496),MONTH(B1496),1)</x:f>
        <x:v>45778</x:v>
      </x:c>
      <x:c r="E1496" s="84" t="str">
        <x:f>TEXT(B1496,"mmm")</x:f>
        <x:v>May</x:v>
      </x:c>
      <x:c r="F1496" s="84" t="str">
        <x:f>'Raw Sales'!C1496</x:f>
        <x:v>CUST-0138</x:v>
      </x:c>
      <x:c r="G1496" s="84" t="str">
        <x:f>PROPER(TRIM('Raw Sales'!D1496))</x:f>
        <x:v>Chloe Khan</x:v>
      </x:c>
      <x:c r="H1496" s="84" t="str">
        <x:f>IF(TRIM('Raw Sales'!E1496)="","Unknown",PROPER(TRIM('Raw Sales'!E1496)))</x:f>
        <x:v>Corporate</x:v>
      </x:c>
      <x:c r="I1496" s="84" t="str">
        <x:f>PROPER(TRIM('Raw Sales'!F1496))</x:f>
        <x:v>West</x:v>
      </x:c>
      <x:c r="J1496" s="84" t="str">
        <x:f>PROPER(TRIM('Raw Sales'!G1496))</x:f>
        <x:v>Denver</x:v>
      </x:c>
      <x:c r="K1496" s="84" t="str">
        <x:f>PROPER(TRIM('Raw Sales'!H1496))</x:f>
        <x:v>Retail Store</x:v>
      </x:c>
      <x:c r="L1496" s="84" t="str">
        <x:f>'Raw Sales'!I1496</x:f>
        <x:v>OFFC-001</x:v>
      </x:c>
      <x:c r="M1496" s="84" t="str">
        <x:f>IFERROR(VLOOKUP(L1496,'Reference Data'!$A$5:$F$40,2,FALSE),"Unknown Product")</x:f>
        <x:v>Ergonomic Chair</x:v>
      </x:c>
      <x:c r="N1496" s="84" t="str">
        <x:f>IFERROR(VLOOKUP(L1496,'Reference Data'!$A$5:$F$40,3,FALSE),"Unknown")</x:f>
        <x:v>Office</x:v>
      </x:c>
      <x:c r="O1496" s="84" t="str">
        <x:f>IFERROR(VLOOKUP(L1496,'Reference Data'!$A$5:$F$40,4,FALSE),"Unknown")</x:f>
        <x:v>Furniture</x:v>
      </x:c>
      <x:c r="P1496" s="92" t="n">
        <x:f>IFERROR(VLOOKUP(L1496,'Reference Data'!$A$5:$F$40,5,FALSE),0)</x:f>
        <x:v>249</x:v>
      </x:c>
      <x:c r="Q1496" s="92" t="n">
        <x:f>IFERROR(VLOOKUP(L1496,'Reference Data'!$A$5:$F$40,6,FALSE),0)</x:f>
        <x:v>145</x:v>
      </x:c>
      <x:c r="R1496" s="84" t="n">
        <x:f>'Raw Sales'!J1496</x:f>
        <x:v>5</x:v>
      </x:c>
      <x:c r="S1496" s="87" t="n">
        <x:f>'Raw Sales'!K1496</x:f>
        <x:v>0.05</x:v>
      </x:c>
      <x:c r="T1496" s="93" t="n">
        <x:f>P1496*R1496</x:f>
        <x:v>1245</x:v>
      </x:c>
      <x:c r="U1496" s="93" t="n">
        <x:f>T1496*S1496</x:f>
        <x:v>62.25</x:v>
      </x:c>
      <x:c r="V1496" s="93" t="str">
        <x:f>PROPER(TRIM('Raw Sales'!L1496))</x:f>
        <x:v>Completed</x:v>
      </x:c>
      <x:c r="W1496" s="93" t="n">
        <x:f>IF(V1496="Returned",0,T1496-U1496)</x:f>
        <x:v>1182.75</x:v>
      </x:c>
      <x:c r="X1496" s="93" t="n">
        <x:f>IF(V1496="Returned",Q1496*R1496*10%,Q1496*R1496)</x:f>
        <x:v>725</x:v>
      </x:c>
      <x:c r="Y1496" s="93" t="n">
        <x:f>W1496-X1496</x:f>
        <x:v>457.75</x:v>
      </x:c>
      <x:c r="Z1496" s="94" t="n">
        <x:f>IFERROR(Y1496/W1496,0)</x:f>
        <x:v>0.38702177129570914</x:v>
      </x:c>
      <x:c r="AA1496" s="84" t="str">
        <x:f>PROPER(TRIM('Raw Sales'!M1496))</x:f>
        <x:v>Mobile Wallet</x:v>
      </x:c>
      <x:c r="AB1496" s="84" t="str">
        <x:f>PROPER(TRIM('Raw Sales'!N1496))</x:f>
        <x:v>Mia Chen</x:v>
      </x:c>
      <x:c r="AC1496" s="85" t="n">
        <x:f>'Raw Sales'!O1496</x:f>
        <x:v>45788</x:v>
      </x:c>
      <x:c r="AD1496" s="84" t="n">
        <x:f>AC1496-B1496</x:f>
        <x:v>0</x:v>
      </x:c>
      <x:c r="AE1496" s="84" t="str">
        <x:f>IF(COUNTIF($A$5:A1496,A1496)&gt;1,"Duplicate","Keep")</x:f>
        <x:v>Keep</x:v>
      </x:c>
      <x:c r="AF1496" s="84" t="str">
        <x:f>IF(OR(R1496&lt;=0,AC1496&lt;B1496,H1496="Unknown",M1496="Unknown Product"),"Review","Valid")</x:f>
        <x:v>Valid</x:v>
      </x:c>
      <x:c r="AG1496" s="84" t="n">
        <x:f>IF(AND(AE1496="Keep",AF1496="Valid"),1,0)</x:f>
        <x:v>1</x:v>
      </x:c>
      <x:c r="AH1496" s="84" t="n">
        <x:f>IF(AND(AG1496=1,OR('Dashboard'!$B$4="All",I1496='Dashboard'!$B$4),OR('Dashboard'!$E$4="All",N1496='Dashboard'!$E$4),OR('Dashboard'!$H$4="All",K1496='Dashboard'!$H$4),OR('Dashboard'!$K$4="All",C1496='Dashboard'!$K$4)),1,0)</x:f>
        <x:v>1</x:v>
      </x:c>
      <x:c r="AI1496" s="84" t="n">
        <x:f>IF(AND(AG1496=1,OR('Dashboard'!$B$4="All",I1496='Dashboard'!$B$4),OR('Dashboard'!$E$4="All",N1496='Dashboard'!$E$4),OR('Dashboard'!$H$4="All",K1496='Dashboard'!$H$4)),1,0)</x:f>
        <x:v>1</x:v>
      </x:c>
    </x:row>
    <x:row r="1497">
      <x:c r="A1497" s="84" t="str">
        <x:f>'Raw Sales'!A1497</x:f>
        <x:v>ORD-2025-02342</x:v>
      </x:c>
      <x:c r="B1497" s="85" t="n">
        <x:f>'Raw Sales'!B1497</x:f>
        <x:v>45788</x:v>
      </x:c>
      <x:c r="C1497" s="84" t="n">
        <x:f>YEAR(B1497)</x:f>
        <x:v>2025</x:v>
      </x:c>
      <x:c r="D1497" s="91" t="n">
        <x:f>DATE(YEAR(B1497),MONTH(B1497),1)</x:f>
        <x:v>45778</x:v>
      </x:c>
      <x:c r="E1497" s="84" t="str">
        <x:f>TEXT(B1497,"mmm")</x:f>
        <x:v>May</x:v>
      </x:c>
      <x:c r="F1497" s="84" t="str">
        <x:f>'Raw Sales'!C1497</x:f>
        <x:v>CUST-0099</x:v>
      </x:c>
      <x:c r="G1497" s="84" t="str">
        <x:f>PROPER(TRIM('Raw Sales'!D1497))</x:f>
        <x:v>Maya Adams</x:v>
      </x:c>
      <x:c r="H1497" s="84" t="str">
        <x:f>IF(TRIM('Raw Sales'!E1497)="","Unknown",PROPER(TRIM('Raw Sales'!E1497)))</x:f>
        <x:v>Consumer</x:v>
      </x:c>
      <x:c r="I1497" s="84" t="str">
        <x:f>PROPER(TRIM('Raw Sales'!F1497))</x:f>
        <x:v>Southeast</x:v>
      </x:c>
      <x:c r="J1497" s="84" t="str">
        <x:f>PROPER(TRIM('Raw Sales'!G1497))</x:f>
        <x:v>Miami</x:v>
      </x:c>
      <x:c r="K1497" s="84" t="str">
        <x:f>PROPER(TRIM('Raw Sales'!H1497))</x:f>
        <x:v>Retail Store</x:v>
      </x:c>
      <x:c r="L1497" s="84" t="str">
        <x:f>'Raw Sales'!I1497</x:f>
        <x:v>OFFC-001</x:v>
      </x:c>
      <x:c r="M1497" s="84" t="str">
        <x:f>IFERROR(VLOOKUP(L1497,'Reference Data'!$A$5:$F$40,2,FALSE),"Unknown Product")</x:f>
        <x:v>Ergonomic Chair</x:v>
      </x:c>
      <x:c r="N1497" s="84" t="str">
        <x:f>IFERROR(VLOOKUP(L1497,'Reference Data'!$A$5:$F$40,3,FALSE),"Unknown")</x:f>
        <x:v>Office</x:v>
      </x:c>
      <x:c r="O1497" s="84" t="str">
        <x:f>IFERROR(VLOOKUP(L1497,'Reference Data'!$A$5:$F$40,4,FALSE),"Unknown")</x:f>
        <x:v>Furniture</x:v>
      </x:c>
      <x:c r="P1497" s="92" t="n">
        <x:f>IFERROR(VLOOKUP(L1497,'Reference Data'!$A$5:$F$40,5,FALSE),0)</x:f>
        <x:v>249</x:v>
      </x:c>
      <x:c r="Q1497" s="92" t="n">
        <x:f>IFERROR(VLOOKUP(L1497,'Reference Data'!$A$5:$F$40,6,FALSE),0)</x:f>
        <x:v>145</x:v>
      </x:c>
      <x:c r="R1497" s="84" t="n">
        <x:f>'Raw Sales'!J1497</x:f>
        <x:v>4</x:v>
      </x:c>
      <x:c r="S1497" s="87" t="n">
        <x:f>'Raw Sales'!K1497</x:f>
        <x:v>0</x:v>
      </x:c>
      <x:c r="T1497" s="93" t="n">
        <x:f>P1497*R1497</x:f>
        <x:v>996</x:v>
      </x:c>
      <x:c r="U1497" s="93" t="n">
        <x:f>T1497*S1497</x:f>
        <x:v>0</x:v>
      </x:c>
      <x:c r="V1497" s="93" t="str">
        <x:f>PROPER(TRIM('Raw Sales'!L1497))</x:f>
        <x:v>Completed</x:v>
      </x:c>
      <x:c r="W1497" s="93" t="n">
        <x:f>IF(V1497="Returned",0,T1497-U1497)</x:f>
        <x:v>996</x:v>
      </x:c>
      <x:c r="X1497" s="93" t="n">
        <x:f>IF(V1497="Returned",Q1497*R1497*10%,Q1497*R1497)</x:f>
        <x:v>580</x:v>
      </x:c>
      <x:c r="Y1497" s="93" t="n">
        <x:f>W1497-X1497</x:f>
        <x:v>416</x:v>
      </x:c>
      <x:c r="Z1497" s="94" t="n">
        <x:f>IFERROR(Y1497/W1497,0)</x:f>
        <x:v>0.41767068273092367</x:v>
      </x:c>
      <x:c r="AA1497" s="84" t="str">
        <x:f>PROPER(TRIM('Raw Sales'!M1497))</x:f>
        <x:v>Mobile Wallet</x:v>
      </x:c>
      <x:c r="AB1497" s="84" t="str">
        <x:f>PROPER(TRIM('Raw Sales'!N1497))</x:f>
        <x:v>Liam Parker</x:v>
      </x:c>
      <x:c r="AC1497" s="85" t="n">
        <x:f>'Raw Sales'!O1497</x:f>
        <x:v>45789</x:v>
      </x:c>
      <x:c r="AD1497" s="84" t="n">
        <x:f>AC1497-B1497</x:f>
        <x:v>1</x:v>
      </x:c>
      <x:c r="AE1497" s="84" t="str">
        <x:f>IF(COUNTIF($A$5:A1497,A1497)&gt;1,"Duplicate","Keep")</x:f>
        <x:v>Keep</x:v>
      </x:c>
      <x:c r="AF1497" s="84" t="str">
        <x:f>IF(OR(R1497&lt;=0,AC1497&lt;B1497,H1497="Unknown",M1497="Unknown Product"),"Review","Valid")</x:f>
        <x:v>Valid</x:v>
      </x:c>
      <x:c r="AG1497" s="84" t="n">
        <x:f>IF(AND(AE1497="Keep",AF1497="Valid"),1,0)</x:f>
        <x:v>1</x:v>
      </x:c>
      <x:c r="AH1497" s="84" t="n">
        <x:f>IF(AND(AG1497=1,OR('Dashboard'!$B$4="All",I1497='Dashboard'!$B$4),OR('Dashboard'!$E$4="All",N1497='Dashboard'!$E$4),OR('Dashboard'!$H$4="All",K1497='Dashboard'!$H$4),OR('Dashboard'!$K$4="All",C1497='Dashboard'!$K$4)),1,0)</x:f>
        <x:v>1</x:v>
      </x:c>
      <x:c r="AI1497" s="84" t="n">
        <x:f>IF(AND(AG1497=1,OR('Dashboard'!$B$4="All",I1497='Dashboard'!$B$4),OR('Dashboard'!$E$4="All",N1497='Dashboard'!$E$4),OR('Dashboard'!$H$4="All",K1497='Dashboard'!$H$4)),1,0)</x:f>
        <x:v>1</x:v>
      </x:c>
    </x:row>
    <x:row r="1498">
      <x:c r="A1498" s="84" t="str">
        <x:f>'Raw Sales'!A1498</x:f>
        <x:v>ORD-2025-00678</x:v>
      </x:c>
      <x:c r="B1498" s="85" t="n">
        <x:f>'Raw Sales'!B1498</x:f>
        <x:v>45789</x:v>
      </x:c>
      <x:c r="C1498" s="84" t="n">
        <x:f>YEAR(B1498)</x:f>
        <x:v>2025</x:v>
      </x:c>
      <x:c r="D1498" s="91" t="n">
        <x:f>DATE(YEAR(B1498),MONTH(B1498),1)</x:f>
        <x:v>45778</x:v>
      </x:c>
      <x:c r="E1498" s="84" t="str">
        <x:f>TEXT(B1498,"mmm")</x:f>
        <x:v>May</x:v>
      </x:c>
      <x:c r="F1498" s="84" t="str">
        <x:f>'Raw Sales'!C1498</x:f>
        <x:v>CUST-0326</x:v>
      </x:c>
      <x:c r="G1498" s="84" t="str">
        <x:f>PROPER(TRIM('Raw Sales'!D1498))</x:f>
        <x:v>Marcus Quinn</x:v>
      </x:c>
      <x:c r="H1498" s="84" t="str">
        <x:f>IF(TRIM('Raw Sales'!E1498)="","Unknown",PROPER(TRIM('Raw Sales'!E1498)))</x:f>
        <x:v>Corporate</x:v>
      </x:c>
      <x:c r="I1498" s="84" t="str">
        <x:f>PROPER(TRIM('Raw Sales'!F1498))</x:f>
        <x:v>Southeast</x:v>
      </x:c>
      <x:c r="J1498" s="84" t="str">
        <x:f>PROPER(TRIM('Raw Sales'!G1498))</x:f>
        <x:v>Nashville</x:v>
      </x:c>
      <x:c r="K1498" s="84" t="str">
        <x:f>PROPER(TRIM('Raw Sales'!H1498))</x:f>
        <x:v>Retail Store</x:v>
      </x:c>
      <x:c r="L1498" s="84" t="str">
        <x:f>'Raw Sales'!I1498</x:f>
        <x:v>FITN-003</x:v>
      </x:c>
      <x:c r="M1498" s="84" t="str">
        <x:f>IFERROR(VLOOKUP(L1498,'Reference Data'!$A$5:$F$40,2,FALSE),"Unknown Product")</x:f>
        <x:v>Resistance Band Set</x:v>
      </x:c>
      <x:c r="N1498" s="84" t="str">
        <x:f>IFERROR(VLOOKUP(L1498,'Reference Data'!$A$5:$F$40,3,FALSE),"Unknown")</x:f>
        <x:v>Fitness</x:v>
      </x:c>
      <x:c r="O1498" s="84" t="str">
        <x:f>IFERROR(VLOOKUP(L1498,'Reference Data'!$A$5:$F$40,4,FALSE),"Unknown")</x:f>
        <x:v>Strength</x:v>
      </x:c>
      <x:c r="P1498" s="92" t="n">
        <x:f>IFERROR(VLOOKUP(L1498,'Reference Data'!$A$5:$F$40,5,FALSE),0)</x:f>
        <x:v>24</x:v>
      </x:c>
      <x:c r="Q1498" s="92" t="n">
        <x:f>IFERROR(VLOOKUP(L1498,'Reference Data'!$A$5:$F$40,6,FALSE),0)</x:f>
        <x:v>8</x:v>
      </x:c>
      <x:c r="R1498" s="84" t="n">
        <x:f>'Raw Sales'!J1498</x:f>
        <x:v>6</x:v>
      </x:c>
      <x:c r="S1498" s="87" t="n">
        <x:f>'Raw Sales'!K1498</x:f>
        <x:v>0</x:v>
      </x:c>
      <x:c r="T1498" s="93" t="n">
        <x:f>P1498*R1498</x:f>
        <x:v>144</x:v>
      </x:c>
      <x:c r="U1498" s="93" t="n">
        <x:f>T1498*S1498</x:f>
        <x:v>0</x:v>
      </x:c>
      <x:c r="V1498" s="93" t="str">
        <x:f>PROPER(TRIM('Raw Sales'!L1498))</x:f>
        <x:v>Completed</x:v>
      </x:c>
      <x:c r="W1498" s="93" t="n">
        <x:f>IF(V1498="Returned",0,T1498-U1498)</x:f>
        <x:v>144</x:v>
      </x:c>
      <x:c r="X1498" s="93" t="n">
        <x:f>IF(V1498="Returned",Q1498*R1498*10%,Q1498*R1498)</x:f>
        <x:v>48</x:v>
      </x:c>
      <x:c r="Y1498" s="93" t="n">
        <x:f>W1498-X1498</x:f>
        <x:v>96</x:v>
      </x:c>
      <x:c r="Z1498" s="94" t="n">
        <x:f>IFERROR(Y1498/W1498,0)</x:f>
        <x:v>0.6666666666666666</x:v>
      </x:c>
      <x:c r="AA1498" s="84" t="str">
        <x:f>PROPER(TRIM('Raw Sales'!M1498))</x:f>
        <x:v>Credit Card</x:v>
      </x:c>
      <x:c r="AB1498" s="84" t="str">
        <x:f>PROPER(TRIM('Raw Sales'!N1498))</x:f>
        <x:v>Ava Mitchell</x:v>
      </x:c>
      <x:c r="AC1498" s="85" t="n">
        <x:f>'Raw Sales'!O1498</x:f>
        <x:v>45789</x:v>
      </x:c>
      <x:c r="AD1498" s="84" t="n">
        <x:f>AC1498-B1498</x:f>
        <x:v>0</x:v>
      </x:c>
      <x:c r="AE1498" s="84" t="str">
        <x:f>IF(COUNTIF($A$5:A1498,A1498)&gt;1,"Duplicate","Keep")</x:f>
        <x:v>Keep</x:v>
      </x:c>
      <x:c r="AF1498" s="84" t="str">
        <x:f>IF(OR(R1498&lt;=0,AC1498&lt;B1498,H1498="Unknown",M1498="Unknown Product"),"Review","Valid")</x:f>
        <x:v>Valid</x:v>
      </x:c>
      <x:c r="AG1498" s="84" t="n">
        <x:f>IF(AND(AE1498="Keep",AF1498="Valid"),1,0)</x:f>
        <x:v>1</x:v>
      </x:c>
      <x:c r="AH1498" s="84" t="n">
        <x:f>IF(AND(AG1498=1,OR('Dashboard'!$B$4="All",I1498='Dashboard'!$B$4),OR('Dashboard'!$E$4="All",N1498='Dashboard'!$E$4),OR('Dashboard'!$H$4="All",K1498='Dashboard'!$H$4),OR('Dashboard'!$K$4="All",C1498='Dashboard'!$K$4)),1,0)</x:f>
        <x:v>1</x:v>
      </x:c>
      <x:c r="AI1498" s="84" t="n">
        <x:f>IF(AND(AG1498=1,OR('Dashboard'!$B$4="All",I1498='Dashboard'!$B$4),OR('Dashboard'!$E$4="All",N1498='Dashboard'!$E$4),OR('Dashboard'!$H$4="All",K1498='Dashboard'!$H$4)),1,0)</x:f>
        <x:v>1</x:v>
      </x:c>
    </x:row>
    <x:row r="1499">
      <x:c r="A1499" s="84" t="str">
        <x:f>'Raw Sales'!A1499</x:f>
        <x:v>ORD-2025-00917</x:v>
      </x:c>
      <x:c r="B1499" s="85" t="n">
        <x:f>'Raw Sales'!B1499</x:f>
        <x:v>45789</x:v>
      </x:c>
      <x:c r="C1499" s="84" t="n">
        <x:f>YEAR(B1499)</x:f>
        <x:v>2025</x:v>
      </x:c>
      <x:c r="D1499" s="91" t="n">
        <x:f>DATE(YEAR(B1499),MONTH(B1499),1)</x:f>
        <x:v>45778</x:v>
      </x:c>
      <x:c r="E1499" s="84" t="str">
        <x:f>TEXT(B1499,"mmm")</x:f>
        <x:v>May</x:v>
      </x:c>
      <x:c r="F1499" s="84" t="str">
        <x:f>'Raw Sales'!C1499</x:f>
        <x:v>CUST-0331</x:v>
      </x:c>
      <x:c r="G1499" s="84" t="str">
        <x:f>PROPER(TRIM('Raw Sales'!D1499))</x:f>
        <x:v>Elias Young</x:v>
      </x:c>
      <x:c r="H1499" s="84" t="str">
        <x:f>IF(TRIM('Raw Sales'!E1499)="","Unknown",PROPER(TRIM('Raw Sales'!E1499)))</x:f>
        <x:v>Consumer</x:v>
      </x:c>
      <x:c r="I1499" s="84" t="str">
        <x:f>PROPER(TRIM('Raw Sales'!F1499))</x:f>
        <x:v>West</x:v>
      </x:c>
      <x:c r="J1499" s="84" t="str">
        <x:f>PROPER(TRIM('Raw Sales'!G1499))</x:f>
        <x:v>Seattle</x:v>
      </x:c>
      <x:c r="K1499" s="84" t="str">
        <x:f>PROPER(TRIM('Raw Sales'!H1499))</x:f>
        <x:v>Online</x:v>
      </x:c>
      <x:c r="L1499" s="84" t="str">
        <x:f>'Raw Sales'!I1499</x:f>
        <x:v>OFFC-003</x:v>
      </x:c>
      <x:c r="M1499" s="84" t="str">
        <x:f>IFERROR(VLOOKUP(L1499,'Reference Data'!$A$5:$F$40,2,FALSE),"Unknown Product")</x:f>
        <x:v>LED Desk Lamp</x:v>
      </x:c>
      <x:c r="N1499" s="84" t="str">
        <x:f>IFERROR(VLOOKUP(L1499,'Reference Data'!$A$5:$F$40,3,FALSE),"Unknown")</x:f>
        <x:v>Office</x:v>
      </x:c>
      <x:c r="O1499" s="84" t="str">
        <x:f>IFERROR(VLOOKUP(L1499,'Reference Data'!$A$5:$F$40,4,FALSE),"Unknown")</x:f>
        <x:v>Desk Accessories</x:v>
      </x:c>
      <x:c r="P1499" s="92" t="n">
        <x:f>IFERROR(VLOOKUP(L1499,'Reference Data'!$A$5:$F$40,5,FALSE),0)</x:f>
        <x:v>45</x:v>
      </x:c>
      <x:c r="Q1499" s="92" t="n">
        <x:f>IFERROR(VLOOKUP(L1499,'Reference Data'!$A$5:$F$40,6,FALSE),0)</x:f>
        <x:v>20</x:v>
      </x:c>
      <x:c r="R1499" s="84" t="n">
        <x:f>'Raw Sales'!J1499</x:f>
        <x:v>1</x:v>
      </x:c>
      <x:c r="S1499" s="87" t="n">
        <x:f>'Raw Sales'!K1499</x:f>
        <x:v>0.05</x:v>
      </x:c>
      <x:c r="T1499" s="93" t="n">
        <x:f>P1499*R1499</x:f>
        <x:v>45</x:v>
      </x:c>
      <x:c r="U1499" s="93" t="n">
        <x:f>T1499*S1499</x:f>
        <x:v>2.25</x:v>
      </x:c>
      <x:c r="V1499" s="93" t="str">
        <x:f>PROPER(TRIM('Raw Sales'!L1499))</x:f>
        <x:v>Completed</x:v>
      </x:c>
      <x:c r="W1499" s="93" t="n">
        <x:f>IF(V1499="Returned",0,T1499-U1499)</x:f>
        <x:v>42.75</x:v>
      </x:c>
      <x:c r="X1499" s="93" t="n">
        <x:f>IF(V1499="Returned",Q1499*R1499*10%,Q1499*R1499)</x:f>
        <x:v>20</x:v>
      </x:c>
      <x:c r="Y1499" s="93" t="n">
        <x:f>W1499-X1499</x:f>
        <x:v>22.75</x:v>
      </x:c>
      <x:c r="Z1499" s="94" t="n">
        <x:f>IFERROR(Y1499/W1499,0)</x:f>
        <x:v>0.5321637426900585</x:v>
      </x:c>
      <x:c r="AA1499" s="84" t="str">
        <x:f>PROPER(TRIM('Raw Sales'!M1499))</x:f>
        <x:v>Credit Card</x:v>
      </x:c>
      <x:c r="AB1499" s="84" t="str">
        <x:f>PROPER(TRIM('Raw Sales'!N1499))</x:f>
        <x:v>Nora Kim</x:v>
      </x:c>
      <x:c r="AC1499" s="85" t="n">
        <x:f>'Raw Sales'!O1499</x:f>
        <x:v>45794</x:v>
      </x:c>
      <x:c r="AD1499" s="84" t="n">
        <x:f>AC1499-B1499</x:f>
        <x:v>5</x:v>
      </x:c>
      <x:c r="AE1499" s="84" t="str">
        <x:f>IF(COUNTIF($A$5:A1499,A1499)&gt;1,"Duplicate","Keep")</x:f>
        <x:v>Keep</x:v>
      </x:c>
      <x:c r="AF1499" s="84" t="str">
        <x:f>IF(OR(R1499&lt;=0,AC1499&lt;B1499,H1499="Unknown",M1499="Unknown Product"),"Review","Valid")</x:f>
        <x:v>Valid</x:v>
      </x:c>
      <x:c r="AG1499" s="84" t="n">
        <x:f>IF(AND(AE1499="Keep",AF1499="Valid"),1,0)</x:f>
        <x:v>1</x:v>
      </x:c>
      <x:c r="AH1499" s="84" t="n">
        <x:f>IF(AND(AG1499=1,OR('Dashboard'!$B$4="All",I1499='Dashboard'!$B$4),OR('Dashboard'!$E$4="All",N1499='Dashboard'!$E$4),OR('Dashboard'!$H$4="All",K1499='Dashboard'!$H$4),OR('Dashboard'!$K$4="All",C1499='Dashboard'!$K$4)),1,0)</x:f>
        <x:v>1</x:v>
      </x:c>
      <x:c r="AI1499" s="84" t="n">
        <x:f>IF(AND(AG1499=1,OR('Dashboard'!$B$4="All",I1499='Dashboard'!$B$4),OR('Dashboard'!$E$4="All",N1499='Dashboard'!$E$4),OR('Dashboard'!$H$4="All",K1499='Dashboard'!$H$4)),1,0)</x:f>
        <x:v>1</x:v>
      </x:c>
    </x:row>
    <x:row r="1500">
      <x:c r="A1500" s="84" t="str">
        <x:f>'Raw Sales'!A1500</x:f>
        <x:v>ORD-2025-02383</x:v>
      </x:c>
      <x:c r="B1500" s="85" t="n">
        <x:f>'Raw Sales'!B1500</x:f>
        <x:v>45789</x:v>
      </x:c>
      <x:c r="C1500" s="84" t="n">
        <x:f>YEAR(B1500)</x:f>
        <x:v>2025</x:v>
      </x:c>
      <x:c r="D1500" s="91" t="n">
        <x:f>DATE(YEAR(B1500),MONTH(B1500),1)</x:f>
        <x:v>45778</x:v>
      </x:c>
      <x:c r="E1500" s="84" t="str">
        <x:f>TEXT(B1500,"mmm")</x:f>
        <x:v>May</x:v>
      </x:c>
      <x:c r="F1500" s="84" t="str">
        <x:f>'Raw Sales'!C1500</x:f>
        <x:v>CUST-0298</x:v>
      </x:c>
      <x:c r="G1500" s="84" t="str">
        <x:f>PROPER(TRIM('Raw Sales'!D1500))</x:f>
        <x:v>Jasmine Roberts</x:v>
      </x:c>
      <x:c r="H1500" s="84" t="str">
        <x:f>IF(TRIM('Raw Sales'!E1500)="","Unknown",PROPER(TRIM('Raw Sales'!E1500)))</x:f>
        <x:v>Consumer</x:v>
      </x:c>
      <x:c r="I1500" s="84" t="str">
        <x:f>PROPER(TRIM('Raw Sales'!F1500))</x:f>
        <x:v>West</x:v>
      </x:c>
      <x:c r="J1500" s="84" t="str">
        <x:f>PROPER(TRIM('Raw Sales'!G1500))</x:f>
        <x:v>Los Angeles</x:v>
      </x:c>
      <x:c r="K1500" s="84" t="str">
        <x:f>PROPER(TRIM('Raw Sales'!H1500))</x:f>
        <x:v>Marketplace</x:v>
      </x:c>
      <x:c r="L1500" s="84" t="str">
        <x:f>'Raw Sales'!I1500</x:f>
        <x:v>ELEC-002</x:v>
      </x:c>
      <x:c r="M1500" s="84" t="str">
        <x:f>IFERROR(VLOOKUP(L1500,'Reference Data'!$A$5:$F$40,2,FALSE),"Unknown Product")</x:f>
        <x:v>Smartwatch</x:v>
      </x:c>
      <x:c r="N1500" s="84" t="str">
        <x:f>IFERROR(VLOOKUP(L1500,'Reference Data'!$A$5:$F$40,3,FALSE),"Unknown")</x:f>
        <x:v>Electronics</x:v>
      </x:c>
      <x:c r="O1500" s="84" t="str">
        <x:f>IFERROR(VLOOKUP(L1500,'Reference Data'!$A$5:$F$40,4,FALSE),"Unknown")</x:f>
        <x:v>Wearables</x:v>
      </x:c>
      <x:c r="P1500" s="92" t="n">
        <x:f>IFERROR(VLOOKUP(L1500,'Reference Data'!$A$5:$F$40,5,FALSE),0)</x:f>
        <x:v>159</x:v>
      </x:c>
      <x:c r="Q1500" s="92" t="n">
        <x:f>IFERROR(VLOOKUP(L1500,'Reference Data'!$A$5:$F$40,6,FALSE),0)</x:f>
        <x:v>92</x:v>
      </x:c>
      <x:c r="R1500" s="84" t="n">
        <x:f>'Raw Sales'!J1500</x:f>
        <x:v>1</x:v>
      </x:c>
      <x:c r="S1500" s="87" t="n">
        <x:f>'Raw Sales'!K1500</x:f>
        <x:v>0.2</x:v>
      </x:c>
      <x:c r="T1500" s="93" t="n">
        <x:f>P1500*R1500</x:f>
        <x:v>159</x:v>
      </x:c>
      <x:c r="U1500" s="93" t="n">
        <x:f>T1500*S1500</x:f>
        <x:v>31.8</x:v>
      </x:c>
      <x:c r="V1500" s="93" t="str">
        <x:f>PROPER(TRIM('Raw Sales'!L1500))</x:f>
        <x:v>Completed</x:v>
      </x:c>
      <x:c r="W1500" s="93" t="n">
        <x:f>IF(V1500="Returned",0,T1500-U1500)</x:f>
        <x:v>127.2</x:v>
      </x:c>
      <x:c r="X1500" s="93" t="n">
        <x:f>IF(V1500="Returned",Q1500*R1500*10%,Q1500*R1500)</x:f>
        <x:v>92</x:v>
      </x:c>
      <x:c r="Y1500" s="93" t="n">
        <x:f>W1500-X1500</x:f>
        <x:v>35.2</x:v>
      </x:c>
      <x:c r="Z1500" s="94" t="n">
        <x:f>IFERROR(Y1500/W1500,0)</x:f>
        <x:v>0.27672955974842767</x:v>
      </x:c>
      <x:c r="AA1500" s="84" t="str">
        <x:f>PROPER(TRIM('Raw Sales'!M1500))</x:f>
        <x:v>Credit Card</x:v>
      </x:c>
      <x:c r="AB1500" s="84" t="str">
        <x:f>PROPER(TRIM('Raw Sales'!N1500))</x:f>
        <x:v>Mia Chen</x:v>
      </x:c>
      <x:c r="AC1500" s="85" t="n">
        <x:f>'Raw Sales'!O1500</x:f>
        <x:v>45797</x:v>
      </x:c>
      <x:c r="AD1500" s="84" t="n">
        <x:f>AC1500-B1500</x:f>
        <x:v>8</x:v>
      </x:c>
      <x:c r="AE1500" s="84" t="str">
        <x:f>IF(COUNTIF($A$5:A1500,A1500)&gt;1,"Duplicate","Keep")</x:f>
        <x:v>Keep</x:v>
      </x:c>
      <x:c r="AF1500" s="84" t="str">
        <x:f>IF(OR(R1500&lt;=0,AC1500&lt;B1500,H1500="Unknown",M1500="Unknown Product"),"Review","Valid")</x:f>
        <x:v>Valid</x:v>
      </x:c>
      <x:c r="AG1500" s="84" t="n">
        <x:f>IF(AND(AE1500="Keep",AF1500="Valid"),1,0)</x:f>
        <x:v>1</x:v>
      </x:c>
      <x:c r="AH1500" s="84" t="n">
        <x:f>IF(AND(AG1500=1,OR('Dashboard'!$B$4="All",I1500='Dashboard'!$B$4),OR('Dashboard'!$E$4="All",N1500='Dashboard'!$E$4),OR('Dashboard'!$H$4="All",K1500='Dashboard'!$H$4),OR('Dashboard'!$K$4="All",C1500='Dashboard'!$K$4)),1,0)</x:f>
        <x:v>1</x:v>
      </x:c>
      <x:c r="AI1500" s="84" t="n">
        <x:f>IF(AND(AG1500=1,OR('Dashboard'!$B$4="All",I1500='Dashboard'!$B$4),OR('Dashboard'!$E$4="All",N1500='Dashboard'!$E$4),OR('Dashboard'!$H$4="All",K1500='Dashboard'!$H$4)),1,0)</x:f>
        <x:v>1</x:v>
      </x:c>
    </x:row>
    <x:row r="1501">
      <x:c r="A1501" s="84" t="str">
        <x:f>'Raw Sales'!A1501</x:f>
        <x:v>ORD-2025-00462</x:v>
      </x:c>
      <x:c r="B1501" s="85" t="n">
        <x:f>'Raw Sales'!B1501</x:f>
        <x:v>45790</x:v>
      </x:c>
      <x:c r="C1501" s="84" t="n">
        <x:f>YEAR(B1501)</x:f>
        <x:v>2025</x:v>
      </x:c>
      <x:c r="D1501" s="91" t="n">
        <x:f>DATE(YEAR(B1501),MONTH(B1501),1)</x:f>
        <x:v>45778</x:v>
      </x:c>
      <x:c r="E1501" s="84" t="str">
        <x:f>TEXT(B1501,"mmm")</x:f>
        <x:v>May</x:v>
      </x:c>
      <x:c r="F1501" s="84" t="str">
        <x:f>'Raw Sales'!C1501</x:f>
        <x:v>CUST-0400</x:v>
      </x:c>
      <x:c r="G1501" s="84" t="str">
        <x:f>PROPER(TRIM('Raw Sales'!D1501))</x:f>
        <x:v>Amelia Nelson</x:v>
      </x:c>
      <x:c r="H1501" s="84" t="str">
        <x:f>IF(TRIM('Raw Sales'!E1501)="","Unknown",PROPER(TRIM('Raw Sales'!E1501)))</x:f>
        <x:v>Consumer</x:v>
      </x:c>
      <x:c r="I1501" s="84" t="str">
        <x:f>PROPER(TRIM('Raw Sales'!F1501))</x:f>
        <x:v>Southeast</x:v>
      </x:c>
      <x:c r="J1501" s="84" t="str">
        <x:f>PROPER(TRIM('Raw Sales'!G1501))</x:f>
        <x:v>Nashville</x:v>
      </x:c>
      <x:c r="K1501" s="84" t="str">
        <x:f>PROPER(TRIM('Raw Sales'!H1501))</x:f>
        <x:v>Retail Store</x:v>
      </x:c>
      <x:c r="L1501" s="84" t="str">
        <x:f>'Raw Sales'!I1501</x:f>
        <x:v>OFFC-006</x:v>
      </x:c>
      <x:c r="M1501" s="84" t="str">
        <x:f>IFERROR(VLOOKUP(L1501,'Reference Data'!$A$5:$F$40,2,FALSE),"Unknown Product")</x:f>
        <x:v>Monitor Stand</x:v>
      </x:c>
      <x:c r="N1501" s="84" t="str">
        <x:f>IFERROR(VLOOKUP(L1501,'Reference Data'!$A$5:$F$40,3,FALSE),"Unknown")</x:f>
        <x:v>Office</x:v>
      </x:c>
      <x:c r="O1501" s="84" t="str">
        <x:f>IFERROR(VLOOKUP(L1501,'Reference Data'!$A$5:$F$40,4,FALSE),"Unknown")</x:f>
        <x:v>Desk Accessories</x:v>
      </x:c>
      <x:c r="P1501" s="92" t="n">
        <x:f>IFERROR(VLOOKUP(L1501,'Reference Data'!$A$5:$F$40,5,FALSE),0)</x:f>
        <x:v>49</x:v>
      </x:c>
      <x:c r="Q1501" s="92" t="n">
        <x:f>IFERROR(VLOOKUP(L1501,'Reference Data'!$A$5:$F$40,6,FALSE),0)</x:f>
        <x:v>21</x:v>
      </x:c>
      <x:c r="R1501" s="84" t="n">
        <x:f>'Raw Sales'!J1501</x:f>
        <x:v>2</x:v>
      </x:c>
      <x:c r="S1501" s="87" t="n">
        <x:f>'Raw Sales'!K1501</x:f>
        <x:v>0.1</x:v>
      </x:c>
      <x:c r="T1501" s="93" t="n">
        <x:f>P1501*R1501</x:f>
        <x:v>98</x:v>
      </x:c>
      <x:c r="U1501" s="93" t="n">
        <x:f>T1501*S1501</x:f>
        <x:v>9.8</x:v>
      </x:c>
      <x:c r="V1501" s="93" t="str">
        <x:f>PROPER(TRIM('Raw Sales'!L1501))</x:f>
        <x:v>Completed</x:v>
      </x:c>
      <x:c r="W1501" s="93" t="n">
        <x:f>IF(V1501="Returned",0,T1501-U1501)</x:f>
        <x:v>88.2</x:v>
      </x:c>
      <x:c r="X1501" s="93" t="n">
        <x:f>IF(V1501="Returned",Q1501*R1501*10%,Q1501*R1501)</x:f>
        <x:v>42</x:v>
      </x:c>
      <x:c r="Y1501" s="93" t="n">
        <x:f>W1501-X1501</x:f>
        <x:v>46.2</x:v>
      </x:c>
      <x:c r="Z1501" s="94" t="n">
        <x:f>IFERROR(Y1501/W1501,0)</x:f>
        <x:v>0.5238095238095238</x:v>
      </x:c>
      <x:c r="AA1501" s="84" t="str">
        <x:f>PROPER(TRIM('Raw Sales'!M1501))</x:f>
        <x:v>Cash</x:v>
      </x:c>
      <x:c r="AB1501" s="84" t="str">
        <x:f>PROPER(TRIM('Raw Sales'!N1501))</x:f>
        <x:v>Liam Parker</x:v>
      </x:c>
      <x:c r="AC1501" s="85" t="n">
        <x:f>'Raw Sales'!O1501</x:f>
        <x:v>45790</x:v>
      </x:c>
      <x:c r="AD1501" s="84" t="n">
        <x:f>AC1501-B1501</x:f>
        <x:v>0</x:v>
      </x:c>
      <x:c r="AE1501" s="84" t="str">
        <x:f>IF(COUNTIF($A$5:A1501,A1501)&gt;1,"Duplicate","Keep")</x:f>
        <x:v>Keep</x:v>
      </x:c>
      <x:c r="AF1501" s="84" t="str">
        <x:f>IF(OR(R1501&lt;=0,AC1501&lt;B1501,H1501="Unknown",M1501="Unknown Product"),"Review","Valid")</x:f>
        <x:v>Valid</x:v>
      </x:c>
      <x:c r="AG1501" s="84" t="n">
        <x:f>IF(AND(AE1501="Keep",AF1501="Valid"),1,0)</x:f>
        <x:v>1</x:v>
      </x:c>
      <x:c r="AH1501" s="84" t="n">
        <x:f>IF(AND(AG1501=1,OR('Dashboard'!$B$4="All",I1501='Dashboard'!$B$4),OR('Dashboard'!$E$4="All",N1501='Dashboard'!$E$4),OR('Dashboard'!$H$4="All",K1501='Dashboard'!$H$4),OR('Dashboard'!$K$4="All",C1501='Dashboard'!$K$4)),1,0)</x:f>
        <x:v>1</x:v>
      </x:c>
      <x:c r="AI1501" s="84" t="n">
        <x:f>IF(AND(AG1501=1,OR('Dashboard'!$B$4="All",I1501='Dashboard'!$B$4),OR('Dashboard'!$E$4="All",N1501='Dashboard'!$E$4),OR('Dashboard'!$H$4="All",K1501='Dashboard'!$H$4)),1,0)</x:f>
        <x:v>1</x:v>
      </x:c>
    </x:row>
    <x:row r="1502">
      <x:c r="A1502" s="84" t="str">
        <x:f>'Raw Sales'!A1502</x:f>
        <x:v>ORD-2025-01971</x:v>
      </x:c>
      <x:c r="B1502" s="85" t="n">
        <x:f>'Raw Sales'!B1502</x:f>
        <x:v>45790</x:v>
      </x:c>
      <x:c r="C1502" s="84" t="n">
        <x:f>YEAR(B1502)</x:f>
        <x:v>2025</x:v>
      </x:c>
      <x:c r="D1502" s="91" t="n">
        <x:f>DATE(YEAR(B1502),MONTH(B1502),1)</x:f>
        <x:v>45778</x:v>
      </x:c>
      <x:c r="E1502" s="84" t="str">
        <x:f>TEXT(B1502,"mmm")</x:f>
        <x:v>May</x:v>
      </x:c>
      <x:c r="F1502" s="84" t="str">
        <x:f>'Raw Sales'!C1502</x:f>
        <x:v>CUST-0089</x:v>
      </x:c>
      <x:c r="G1502" s="84" t="str">
        <x:f>PROPER(TRIM('Raw Sales'!D1502))</x:f>
        <x:v>Priya Johnson</x:v>
      </x:c>
      <x:c r="H1502" s="84" t="str">
        <x:f>IF(TRIM('Raw Sales'!E1502)="","Unknown",PROPER(TRIM('Raw Sales'!E1502)))</x:f>
        <x:v>Corporate</x:v>
      </x:c>
      <x:c r="I1502" s="84" t="str">
        <x:f>PROPER(TRIM('Raw Sales'!F1502))</x:f>
        <x:v>West</x:v>
      </x:c>
      <x:c r="J1502" s="84" t="str">
        <x:f>PROPER(TRIM('Raw Sales'!G1502))</x:f>
        <x:v>Denver</x:v>
      </x:c>
      <x:c r="K1502" s="84" t="str">
        <x:f>PROPER(TRIM('Raw Sales'!H1502))</x:f>
        <x:v>Marketplace</x:v>
      </x:c>
      <x:c r="L1502" s="84" t="str">
        <x:f>'Raw Sales'!I1502</x:f>
        <x:v>OFFC-004</x:v>
      </x:c>
      <x:c r="M1502" s="84" t="str">
        <x:f>IFERROR(VLOOKUP(L1502,'Reference Data'!$A$5:$F$40,2,FALSE),"Unknown Product")</x:f>
        <x:v>Premium Notebook Pack</x:v>
      </x:c>
      <x:c r="N1502" s="84" t="str">
        <x:f>IFERROR(VLOOKUP(L1502,'Reference Data'!$A$5:$F$40,3,FALSE),"Unknown")</x:f>
        <x:v>Office</x:v>
      </x:c>
      <x:c r="O1502" s="84" t="str">
        <x:f>IFERROR(VLOOKUP(L1502,'Reference Data'!$A$5:$F$40,4,FALSE),"Unknown")</x:f>
        <x:v>Stationery</x:v>
      </x:c>
      <x:c r="P1502" s="92" t="n">
        <x:f>IFERROR(VLOOKUP(L1502,'Reference Data'!$A$5:$F$40,5,FALSE),0)</x:f>
        <x:v>18</x:v>
      </x:c>
      <x:c r="Q1502" s="92" t="n">
        <x:f>IFERROR(VLOOKUP(L1502,'Reference Data'!$A$5:$F$40,6,FALSE),0)</x:f>
        <x:v>6.5</x:v>
      </x:c>
      <x:c r="R1502" s="84" t="n">
        <x:f>'Raw Sales'!J1502</x:f>
        <x:v>1</x:v>
      </x:c>
      <x:c r="S1502" s="87" t="n">
        <x:f>'Raw Sales'!K1502</x:f>
        <x:v>0.1</x:v>
      </x:c>
      <x:c r="T1502" s="93" t="n">
        <x:f>P1502*R1502</x:f>
        <x:v>18</x:v>
      </x:c>
      <x:c r="U1502" s="93" t="n">
        <x:f>T1502*S1502</x:f>
        <x:v>1.8</x:v>
      </x:c>
      <x:c r="V1502" s="93" t="str">
        <x:f>PROPER(TRIM('Raw Sales'!L1502))</x:f>
        <x:v>Completed</x:v>
      </x:c>
      <x:c r="W1502" s="93" t="n">
        <x:f>IF(V1502="Returned",0,T1502-U1502)</x:f>
        <x:v>16.2</x:v>
      </x:c>
      <x:c r="X1502" s="93" t="n">
        <x:f>IF(V1502="Returned",Q1502*R1502*10%,Q1502*R1502)</x:f>
        <x:v>6.5</x:v>
      </x:c>
      <x:c r="Y1502" s="93" t="n">
        <x:f>W1502-X1502</x:f>
        <x:v>9.7</x:v>
      </x:c>
      <x:c r="Z1502" s="94" t="n">
        <x:f>IFERROR(Y1502/W1502,0)</x:f>
        <x:v>0.5987654320987654</x:v>
      </x:c>
      <x:c r="AA1502" s="84" t="str">
        <x:f>PROPER(TRIM('Raw Sales'!M1502))</x:f>
        <x:v>Credit Card</x:v>
      </x:c>
      <x:c r="AB1502" s="84" t="str">
        <x:f>PROPER(TRIM('Raw Sales'!N1502))</x:f>
        <x:v>Mia Chen</x:v>
      </x:c>
      <x:c r="AC1502" s="85" t="n">
        <x:f>'Raw Sales'!O1502</x:f>
        <x:v>45795</x:v>
      </x:c>
      <x:c r="AD1502" s="84" t="n">
        <x:f>AC1502-B1502</x:f>
        <x:v>5</x:v>
      </x:c>
      <x:c r="AE1502" s="84" t="str">
        <x:f>IF(COUNTIF($A$5:A1502,A1502)&gt;1,"Duplicate","Keep")</x:f>
        <x:v>Keep</x:v>
      </x:c>
      <x:c r="AF1502" s="84" t="str">
        <x:f>IF(OR(R1502&lt;=0,AC1502&lt;B1502,H1502="Unknown",M1502="Unknown Product"),"Review","Valid")</x:f>
        <x:v>Valid</x:v>
      </x:c>
      <x:c r="AG1502" s="84" t="n">
        <x:f>IF(AND(AE1502="Keep",AF1502="Valid"),1,0)</x:f>
        <x:v>1</x:v>
      </x:c>
      <x:c r="AH1502" s="84" t="n">
        <x:f>IF(AND(AG1502=1,OR('Dashboard'!$B$4="All",I1502='Dashboard'!$B$4),OR('Dashboard'!$E$4="All",N1502='Dashboard'!$E$4),OR('Dashboard'!$H$4="All",K1502='Dashboard'!$H$4),OR('Dashboard'!$K$4="All",C1502='Dashboard'!$K$4)),1,0)</x:f>
        <x:v>1</x:v>
      </x:c>
      <x:c r="AI1502" s="84" t="n">
        <x:f>IF(AND(AG1502=1,OR('Dashboard'!$B$4="All",I1502='Dashboard'!$B$4),OR('Dashboard'!$E$4="All",N1502='Dashboard'!$E$4),OR('Dashboard'!$H$4="All",K1502='Dashboard'!$H$4)),1,0)</x:f>
        <x:v>1</x:v>
      </x:c>
    </x:row>
    <x:row r="1503">
      <x:c r="A1503" s="84" t="str">
        <x:f>'Raw Sales'!A1503</x:f>
        <x:v>ORD-2025-00097</x:v>
      </x:c>
      <x:c r="B1503" s="85" t="n">
        <x:f>'Raw Sales'!B1503</x:f>
        <x:v>45791</x:v>
      </x:c>
      <x:c r="C1503" s="84" t="n">
        <x:f>YEAR(B1503)</x:f>
        <x:v>2025</x:v>
      </x:c>
      <x:c r="D1503" s="91" t="n">
        <x:f>DATE(YEAR(B1503),MONTH(B1503),1)</x:f>
        <x:v>45778</x:v>
      </x:c>
      <x:c r="E1503" s="84" t="str">
        <x:f>TEXT(B1503,"mmm")</x:f>
        <x:v>May</x:v>
      </x:c>
      <x:c r="F1503" s="84" t="str">
        <x:f>'Raw Sales'!C1503</x:f>
        <x:v>CUST-0475</x:v>
      </x:c>
      <x:c r="G1503" s="84" t="str">
        <x:f>PROPER(TRIM('Raw Sales'!D1503))</x:f>
        <x:v>Samuel Walker</x:v>
      </x:c>
      <x:c r="H1503" s="84" t="str">
        <x:f>IF(TRIM('Raw Sales'!E1503)="","Unknown",PROPER(TRIM('Raw Sales'!E1503)))</x:f>
        <x:v>Corporate</x:v>
      </x:c>
      <x:c r="I1503" s="84" t="str">
        <x:f>PROPER(TRIM('Raw Sales'!F1503))</x:f>
        <x:v>Northeast</x:v>
      </x:c>
      <x:c r="J1503" s="84" t="str">
        <x:f>PROPER(TRIM('Raw Sales'!G1503))</x:f>
        <x:v>Boston</x:v>
      </x:c>
      <x:c r="K1503" s="84" t="str">
        <x:f>PROPER(TRIM('Raw Sales'!H1503))</x:f>
        <x:v>Retail Store</x:v>
      </x:c>
      <x:c r="L1503" s="84" t="str">
        <x:f>'Raw Sales'!I1503</x:f>
        <x:v>ELEC-004</x:v>
      </x:c>
      <x:c r="M1503" s="84" t="str">
        <x:f>IFERROR(VLOOKUP(L1503,'Reference Data'!$A$5:$F$40,2,FALSE),"Unknown Product")</x:f>
        <x:v>Power Bank</x:v>
      </x:c>
      <x:c r="N1503" s="84" t="str">
        <x:f>IFERROR(VLOOKUP(L1503,'Reference Data'!$A$5:$F$40,3,FALSE),"Unknown")</x:f>
        <x:v>Electronics</x:v>
      </x:c>
      <x:c r="O1503" s="84" t="str">
        <x:f>IFERROR(VLOOKUP(L1503,'Reference Data'!$A$5:$F$40,4,FALSE),"Unknown")</x:f>
        <x:v>Mobile Accessories</x:v>
      </x:c>
      <x:c r="P1503" s="92" t="n">
        <x:f>IFERROR(VLOOKUP(L1503,'Reference Data'!$A$5:$F$40,5,FALSE),0)</x:f>
        <x:v>39</x:v>
      </x:c>
      <x:c r="Q1503" s="92" t="n">
        <x:f>IFERROR(VLOOKUP(L1503,'Reference Data'!$A$5:$F$40,6,FALSE),0)</x:f>
        <x:v>18</x:v>
      </x:c>
      <x:c r="R1503" s="84" t="n">
        <x:f>'Raw Sales'!J1503</x:f>
        <x:v>4</x:v>
      </x:c>
      <x:c r="S1503" s="87" t="n">
        <x:f>'Raw Sales'!K1503</x:f>
        <x:v>0.05</x:v>
      </x:c>
      <x:c r="T1503" s="93" t="n">
        <x:f>P1503*R1503</x:f>
        <x:v>156</x:v>
      </x:c>
      <x:c r="U1503" s="93" t="n">
        <x:f>T1503*S1503</x:f>
        <x:v>7.800000000000001</x:v>
      </x:c>
      <x:c r="V1503" s="93" t="str">
        <x:f>PROPER(TRIM('Raw Sales'!L1503))</x:f>
        <x:v>Completed</x:v>
      </x:c>
      <x:c r="W1503" s="93" t="n">
        <x:f>IF(V1503="Returned",0,T1503-U1503)</x:f>
        <x:v>148.2</x:v>
      </x:c>
      <x:c r="X1503" s="93" t="n">
        <x:f>IF(V1503="Returned",Q1503*R1503*10%,Q1503*R1503)</x:f>
        <x:v>72</x:v>
      </x:c>
      <x:c r="Y1503" s="93" t="n">
        <x:f>W1503-X1503</x:f>
        <x:v>76.19999999999999</x:v>
      </x:c>
      <x:c r="Z1503" s="94" t="n">
        <x:f>IFERROR(Y1503/W1503,0)</x:f>
        <x:v>0.5141700404858299</x:v>
      </x:c>
      <x:c r="AA1503" s="84" t="str">
        <x:f>PROPER(TRIM('Raw Sales'!M1503))</x:f>
        <x:v>Debit Card</x:v>
      </x:c>
      <x:c r="AB1503" s="84" t="str">
        <x:f>PROPER(TRIM('Raw Sales'!N1503))</x:f>
        <x:v>Maya Brooks</x:v>
      </x:c>
      <x:c r="AC1503" s="85" t="n">
        <x:f>'Raw Sales'!O1503</x:f>
        <x:v>45791</x:v>
      </x:c>
      <x:c r="AD1503" s="84" t="n">
        <x:f>AC1503-B1503</x:f>
        <x:v>0</x:v>
      </x:c>
      <x:c r="AE1503" s="84" t="str">
        <x:f>IF(COUNTIF($A$5:A1503,A1503)&gt;1,"Duplicate","Keep")</x:f>
        <x:v>Keep</x:v>
      </x:c>
      <x:c r="AF1503" s="84" t="str">
        <x:f>IF(OR(R1503&lt;=0,AC1503&lt;B1503,H1503="Unknown",M1503="Unknown Product"),"Review","Valid")</x:f>
        <x:v>Valid</x:v>
      </x:c>
      <x:c r="AG1503" s="84" t="n">
        <x:f>IF(AND(AE1503="Keep",AF1503="Valid"),1,0)</x:f>
        <x:v>1</x:v>
      </x:c>
      <x:c r="AH1503" s="84" t="n">
        <x:f>IF(AND(AG1503=1,OR('Dashboard'!$B$4="All",I1503='Dashboard'!$B$4),OR('Dashboard'!$E$4="All",N1503='Dashboard'!$E$4),OR('Dashboard'!$H$4="All",K1503='Dashboard'!$H$4),OR('Dashboard'!$K$4="All",C1503='Dashboard'!$K$4)),1,0)</x:f>
        <x:v>1</x:v>
      </x:c>
      <x:c r="AI1503" s="84" t="n">
        <x:f>IF(AND(AG1503=1,OR('Dashboard'!$B$4="All",I1503='Dashboard'!$B$4),OR('Dashboard'!$E$4="All",N1503='Dashboard'!$E$4),OR('Dashboard'!$H$4="All",K1503='Dashboard'!$H$4)),1,0)</x:f>
        <x:v>1</x:v>
      </x:c>
    </x:row>
    <x:row r="1504">
      <x:c r="A1504" s="84" t="str">
        <x:f>'Raw Sales'!A1504</x:f>
        <x:v>ORD-2025-00574</x:v>
      </x:c>
      <x:c r="B1504" s="85" t="n">
        <x:f>'Raw Sales'!B1504</x:f>
        <x:v>45791</x:v>
      </x:c>
      <x:c r="C1504" s="84" t="n">
        <x:f>YEAR(B1504)</x:f>
        <x:v>2025</x:v>
      </x:c>
      <x:c r="D1504" s="91" t="n">
        <x:f>DATE(YEAR(B1504),MONTH(B1504),1)</x:f>
        <x:v>45778</x:v>
      </x:c>
      <x:c r="E1504" s="84" t="str">
        <x:f>TEXT(B1504,"mmm")</x:f>
        <x:v>May</x:v>
      </x:c>
      <x:c r="F1504" s="84" t="str">
        <x:f>'Raw Sales'!C1504</x:f>
        <x:v>CUST-0067</x:v>
      </x:c>
      <x:c r="G1504" s="84" t="str">
        <x:f>PROPER(TRIM('Raw Sales'!D1504))</x:f>
        <x:v>William Garcia</x:v>
      </x:c>
      <x:c r="H1504" s="84" t="str">
        <x:f>IF(TRIM('Raw Sales'!E1504)="","Unknown",PROPER(TRIM('Raw Sales'!E1504)))</x:f>
        <x:v>Consumer</x:v>
      </x:c>
      <x:c r="I1504" s="84" t="str">
        <x:f>PROPER(TRIM('Raw Sales'!F1504))</x:f>
        <x:v>West</x:v>
      </x:c>
      <x:c r="J1504" s="84" t="str">
        <x:f>PROPER(TRIM('Raw Sales'!G1504))</x:f>
        <x:v>Phoenix</x:v>
      </x:c>
      <x:c r="K1504" s="84" t="str">
        <x:f>PROPER(TRIM('Raw Sales'!H1504))</x:f>
        <x:v>Online</x:v>
      </x:c>
      <x:c r="L1504" s="84" t="str">
        <x:f>'Raw Sales'!I1504</x:f>
        <x:v>ELEC-006</x:v>
      </x:c>
      <x:c r="M1504" s="84" t="str">
        <x:f>IFERROR(VLOOKUP(L1504,'Reference Data'!$A$5:$F$40,2,FALSE),"Unknown Product")</x:f>
        <x:v>Portable SSD</x:v>
      </x:c>
      <x:c r="N1504" s="84" t="str">
        <x:f>IFERROR(VLOOKUP(L1504,'Reference Data'!$A$5:$F$40,3,FALSE),"Unknown")</x:f>
        <x:v>Electronics</x:v>
      </x:c>
      <x:c r="O1504" s="84" t="str">
        <x:f>IFERROR(VLOOKUP(L1504,'Reference Data'!$A$5:$F$40,4,FALSE),"Unknown")</x:f>
        <x:v>Storage</x:v>
      </x:c>
      <x:c r="P1504" s="92" t="n">
        <x:f>IFERROR(VLOOKUP(L1504,'Reference Data'!$A$5:$F$40,5,FALSE),0)</x:f>
        <x:v>129</x:v>
      </x:c>
      <x:c r="Q1504" s="92" t="n">
        <x:f>IFERROR(VLOOKUP(L1504,'Reference Data'!$A$5:$F$40,6,FALSE),0)</x:f>
        <x:v>75</x:v>
      </x:c>
      <x:c r="R1504" s="84" t="n">
        <x:f>'Raw Sales'!J1504</x:f>
        <x:v>1</x:v>
      </x:c>
      <x:c r="S1504" s="87" t="n">
        <x:f>'Raw Sales'!K1504</x:f>
        <x:v>0</x:v>
      </x:c>
      <x:c r="T1504" s="93" t="n">
        <x:f>P1504*R1504</x:f>
        <x:v>129</x:v>
      </x:c>
      <x:c r="U1504" s="93" t="n">
        <x:f>T1504*S1504</x:f>
        <x:v>0</x:v>
      </x:c>
      <x:c r="V1504" s="93" t="str">
        <x:f>PROPER(TRIM('Raw Sales'!L1504))</x:f>
        <x:v>Returned</x:v>
      </x:c>
      <x:c r="W1504" s="93" t="n">
        <x:f>IF(V1504="Returned",0,T1504-U1504)</x:f>
        <x:v>0</x:v>
      </x:c>
      <x:c r="X1504" s="93" t="n">
        <x:f>IF(V1504="Returned",Q1504*R1504*10%,Q1504*R1504)</x:f>
        <x:v>7.5</x:v>
      </x:c>
      <x:c r="Y1504" s="93" t="n">
        <x:f>W1504-X1504</x:f>
        <x:v>-7.5</x:v>
      </x:c>
      <x:c r="Z1504" s="94" t="n">
        <x:f>IFERROR(Y1504/W1504,0)</x:f>
        <x:v>0</x:v>
      </x:c>
      <x:c r="AA1504" s="84" t="str">
        <x:f>PROPER(TRIM('Raw Sales'!M1504))</x:f>
        <x:v>Paypal</x:v>
      </x:c>
      <x:c r="AB1504" s="84" t="str">
        <x:f>PROPER(TRIM('Raw Sales'!N1504))</x:f>
        <x:v>Mia Chen</x:v>
      </x:c>
      <x:c r="AC1504" s="85" t="n">
        <x:f>'Raw Sales'!O1504</x:f>
        <x:v>45795</x:v>
      </x:c>
      <x:c r="AD1504" s="84" t="n">
        <x:f>AC1504-B1504</x:f>
        <x:v>4</x:v>
      </x:c>
      <x:c r="AE1504" s="84" t="str">
        <x:f>IF(COUNTIF($A$5:A1504,A1504)&gt;1,"Duplicate","Keep")</x:f>
        <x:v>Keep</x:v>
      </x:c>
      <x:c r="AF1504" s="84" t="str">
        <x:f>IF(OR(R1504&lt;=0,AC1504&lt;B1504,H1504="Unknown",M1504="Unknown Product"),"Review","Valid")</x:f>
        <x:v>Valid</x:v>
      </x:c>
      <x:c r="AG1504" s="84" t="n">
        <x:f>IF(AND(AE1504="Keep",AF1504="Valid"),1,0)</x:f>
        <x:v>1</x:v>
      </x:c>
      <x:c r="AH1504" s="84" t="n">
        <x:f>IF(AND(AG1504=1,OR('Dashboard'!$B$4="All",I1504='Dashboard'!$B$4),OR('Dashboard'!$E$4="All",N1504='Dashboard'!$E$4),OR('Dashboard'!$H$4="All",K1504='Dashboard'!$H$4),OR('Dashboard'!$K$4="All",C1504='Dashboard'!$K$4)),1,0)</x:f>
        <x:v>1</x:v>
      </x:c>
      <x:c r="AI1504" s="84" t="n">
        <x:f>IF(AND(AG1504=1,OR('Dashboard'!$B$4="All",I1504='Dashboard'!$B$4),OR('Dashboard'!$E$4="All",N1504='Dashboard'!$E$4),OR('Dashboard'!$H$4="All",K1504='Dashboard'!$H$4)),1,0)</x:f>
        <x:v>1</x:v>
      </x:c>
    </x:row>
    <x:row r="1505">
      <x:c r="A1505" s="84" t="str">
        <x:f>'Raw Sales'!A1505</x:f>
        <x:v>ORD-2025-01998</x:v>
      </x:c>
      <x:c r="B1505" s="85" t="n">
        <x:f>'Raw Sales'!B1505</x:f>
        <x:v>45791</x:v>
      </x:c>
      <x:c r="C1505" s="84" t="n">
        <x:f>YEAR(B1505)</x:f>
        <x:v>2025</x:v>
      </x:c>
      <x:c r="D1505" s="91" t="n">
        <x:f>DATE(YEAR(B1505),MONTH(B1505),1)</x:f>
        <x:v>45778</x:v>
      </x:c>
      <x:c r="E1505" s="84" t="str">
        <x:f>TEXT(B1505,"mmm")</x:f>
        <x:v>May</x:v>
      </x:c>
      <x:c r="F1505" s="84" t="str">
        <x:f>'Raw Sales'!C1505</x:f>
        <x:v>CUST-0459</x:v>
      </x:c>
      <x:c r="G1505" s="84" t="str">
        <x:f>PROPER(TRIM('Raw Sales'!D1505))</x:f>
        <x:v>Theo Baker</x:v>
      </x:c>
      <x:c r="H1505" s="84" t="str">
        <x:f>IF(TRIM('Raw Sales'!E1505)="","Unknown",PROPER(TRIM('Raw Sales'!E1505)))</x:f>
        <x:v>Consumer</x:v>
      </x:c>
      <x:c r="I1505" s="84" t="str">
        <x:f>PROPER(TRIM('Raw Sales'!F1505))</x:f>
        <x:v>Southeast</x:v>
      </x:c>
      <x:c r="J1505" s="84" t="str">
        <x:f>PROPER(TRIM('Raw Sales'!G1505))</x:f>
        <x:v>Miami</x:v>
      </x:c>
      <x:c r="K1505" s="84" t="str">
        <x:f>PROPER(TRIM('Raw Sales'!H1505))</x:f>
        <x:v>Online</x:v>
      </x:c>
      <x:c r="L1505" s="84" t="str">
        <x:f>'Raw Sales'!I1505</x:f>
        <x:v>OFFC-002</x:v>
      </x:c>
      <x:c r="M1505" s="84" t="str">
        <x:f>IFERROR(VLOOKUP(L1505,'Reference Data'!$A$5:$F$40,2,FALSE),"Unknown Product")</x:f>
        <x:v>Standing Desk</x:v>
      </x:c>
      <x:c r="N1505" s="84" t="str">
        <x:f>IFERROR(VLOOKUP(L1505,'Reference Data'!$A$5:$F$40,3,FALSE),"Unknown")</x:f>
        <x:v>Office</x:v>
      </x:c>
      <x:c r="O1505" s="84" t="str">
        <x:f>IFERROR(VLOOKUP(L1505,'Reference Data'!$A$5:$F$40,4,FALSE),"Unknown")</x:f>
        <x:v>Furniture</x:v>
      </x:c>
      <x:c r="P1505" s="92" t="n">
        <x:f>IFERROR(VLOOKUP(L1505,'Reference Data'!$A$5:$F$40,5,FALSE),0)</x:f>
        <x:v>399</x:v>
      </x:c>
      <x:c r="Q1505" s="92" t="n">
        <x:f>IFERROR(VLOOKUP(L1505,'Reference Data'!$A$5:$F$40,6,FALSE),0)</x:f>
        <x:v>235</x:v>
      </x:c>
      <x:c r="R1505" s="84" t="n">
        <x:f>'Raw Sales'!J1505</x:f>
        <x:v>1</x:v>
      </x:c>
      <x:c r="S1505" s="87" t="n">
        <x:f>'Raw Sales'!K1505</x:f>
        <x:v>0</x:v>
      </x:c>
      <x:c r="T1505" s="93" t="n">
        <x:f>P1505*R1505</x:f>
        <x:v>399</x:v>
      </x:c>
      <x:c r="U1505" s="93" t="n">
        <x:f>T1505*S1505</x:f>
        <x:v>0</x:v>
      </x:c>
      <x:c r="V1505" s="93" t="str">
        <x:f>PROPER(TRIM('Raw Sales'!L1505))</x:f>
        <x:v>Completed</x:v>
      </x:c>
      <x:c r="W1505" s="93" t="n">
        <x:f>IF(V1505="Returned",0,T1505-U1505)</x:f>
        <x:v>399</x:v>
      </x:c>
      <x:c r="X1505" s="93" t="n">
        <x:f>IF(V1505="Returned",Q1505*R1505*10%,Q1505*R1505)</x:f>
        <x:v>235</x:v>
      </x:c>
      <x:c r="Y1505" s="93" t="n">
        <x:f>W1505-X1505</x:f>
        <x:v>164</x:v>
      </x:c>
      <x:c r="Z1505" s="94" t="n">
        <x:f>IFERROR(Y1505/W1505,0)</x:f>
        <x:v>0.41102756892230574</x:v>
      </x:c>
      <x:c r="AA1505" s="84" t="str">
        <x:f>PROPER(TRIM('Raw Sales'!M1505))</x:f>
        <x:v>Mobile Wallet</x:v>
      </x:c>
      <x:c r="AB1505" s="84" t="str">
        <x:f>PROPER(TRIM('Raw Sales'!N1505))</x:f>
        <x:v>Noah Reed</x:v>
      </x:c>
      <x:c r="AC1505" s="85" t="n">
        <x:f>'Raw Sales'!O1505</x:f>
        <x:v>45795</x:v>
      </x:c>
      <x:c r="AD1505" s="84" t="n">
        <x:f>AC1505-B1505</x:f>
        <x:v>4</x:v>
      </x:c>
      <x:c r="AE1505" s="84" t="str">
        <x:f>IF(COUNTIF($A$5:A1505,A1505)&gt;1,"Duplicate","Keep")</x:f>
        <x:v>Keep</x:v>
      </x:c>
      <x:c r="AF1505" s="84" t="str">
        <x:f>IF(OR(R1505&lt;=0,AC1505&lt;B1505,H1505="Unknown",M1505="Unknown Product"),"Review","Valid")</x:f>
        <x:v>Valid</x:v>
      </x:c>
      <x:c r="AG1505" s="84" t="n">
        <x:f>IF(AND(AE1505="Keep",AF1505="Valid"),1,0)</x:f>
        <x:v>1</x:v>
      </x:c>
      <x:c r="AH1505" s="84" t="n">
        <x:f>IF(AND(AG1505=1,OR('Dashboard'!$B$4="All",I1505='Dashboard'!$B$4),OR('Dashboard'!$E$4="All",N1505='Dashboard'!$E$4),OR('Dashboard'!$H$4="All",K1505='Dashboard'!$H$4),OR('Dashboard'!$K$4="All",C1505='Dashboard'!$K$4)),1,0)</x:f>
        <x:v>1</x:v>
      </x:c>
      <x:c r="AI1505" s="84" t="n">
        <x:f>IF(AND(AG1505=1,OR('Dashboard'!$B$4="All",I1505='Dashboard'!$B$4),OR('Dashboard'!$E$4="All",N1505='Dashboard'!$E$4),OR('Dashboard'!$H$4="All",K1505='Dashboard'!$H$4)),1,0)</x:f>
        <x:v>1</x:v>
      </x:c>
    </x:row>
    <x:row r="1506">
      <x:c r="A1506" s="84" t="str">
        <x:f>'Raw Sales'!A1506</x:f>
        <x:v>ORD-2025-00932</x:v>
      </x:c>
      <x:c r="B1506" s="85" t="n">
        <x:f>'Raw Sales'!B1506</x:f>
        <x:v>45792</x:v>
      </x:c>
      <x:c r="C1506" s="84" t="n">
        <x:f>YEAR(B1506)</x:f>
        <x:v>2025</x:v>
      </x:c>
      <x:c r="D1506" s="91" t="n">
        <x:f>DATE(YEAR(B1506),MONTH(B1506),1)</x:f>
        <x:v>45778</x:v>
      </x:c>
      <x:c r="E1506" s="84" t="str">
        <x:f>TEXT(B1506,"mmm")</x:f>
        <x:v>May</x:v>
      </x:c>
      <x:c r="F1506" s="84" t="str">
        <x:f>'Raw Sales'!C1506</x:f>
        <x:v>CUST-0323</x:v>
      </x:c>
      <x:c r="G1506" s="84" t="str">
        <x:f>PROPER(TRIM('Raw Sales'!D1506))</x:f>
        <x:v>Zara Evans</x:v>
      </x:c>
      <x:c r="H1506" s="84" t="str">
        <x:f>IF(TRIM('Raw Sales'!E1506)="","Unknown",PROPER(TRIM('Raw Sales'!E1506)))</x:f>
        <x:v>Small Business</x:v>
      </x:c>
      <x:c r="I1506" s="84" t="str">
        <x:f>PROPER(TRIM('Raw Sales'!F1506))</x:f>
        <x:v>Midwest</x:v>
      </x:c>
      <x:c r="J1506" s="84" t="str">
        <x:f>PROPER(TRIM('Raw Sales'!G1506))</x:f>
        <x:v>Minneapolis</x:v>
      </x:c>
      <x:c r="K1506" s="84" t="str">
        <x:f>PROPER(TRIM('Raw Sales'!H1506))</x:f>
        <x:v>Online</x:v>
      </x:c>
      <x:c r="L1506" s="84" t="str">
        <x:f>'Raw Sales'!I1506</x:f>
        <x:v>HOME-003</x:v>
      </x:c>
      <x:c r="M1506" s="84" t="str">
        <x:f>IFERROR(VLOOKUP(L1506,'Reference Data'!$A$5:$F$40,2,FALSE),"Unknown Product")</x:f>
        <x:v>Countertop Blender</x:v>
      </x:c>
      <x:c r="N1506" s="84" t="str">
        <x:f>IFERROR(VLOOKUP(L1506,'Reference Data'!$A$5:$F$40,3,FALSE),"Unknown")</x:f>
        <x:v>Home &amp; Kitchen</x:v>
      </x:c>
      <x:c r="O1506" s="84" t="str">
        <x:f>IFERROR(VLOOKUP(L1506,'Reference Data'!$A$5:$F$40,4,FALSE),"Unknown")</x:f>
        <x:v>Small Appliances</x:v>
      </x:c>
      <x:c r="P1506" s="92" t="n">
        <x:f>IFERROR(VLOOKUP(L1506,'Reference Data'!$A$5:$F$40,5,FALSE),0)</x:f>
        <x:v>89</x:v>
      </x:c>
      <x:c r="Q1506" s="92" t="n">
        <x:f>IFERROR(VLOOKUP(L1506,'Reference Data'!$A$5:$F$40,6,FALSE),0)</x:f>
        <x:v>46</x:v>
      </x:c>
      <x:c r="R1506" s="84" t="n">
        <x:f>'Raw Sales'!J1506</x:f>
        <x:v>1</x:v>
      </x:c>
      <x:c r="S1506" s="87" t="n">
        <x:f>'Raw Sales'!K1506</x:f>
        <x:v>0.05</x:v>
      </x:c>
      <x:c r="T1506" s="93" t="n">
        <x:f>P1506*R1506</x:f>
        <x:v>89</x:v>
      </x:c>
      <x:c r="U1506" s="93" t="n">
        <x:f>T1506*S1506</x:f>
        <x:v>4.45</x:v>
      </x:c>
      <x:c r="V1506" s="93" t="str">
        <x:f>PROPER(TRIM('Raw Sales'!L1506))</x:f>
        <x:v>Completed</x:v>
      </x:c>
      <x:c r="W1506" s="93" t="n">
        <x:f>IF(V1506="Returned",0,T1506-U1506)</x:f>
        <x:v>84.55</x:v>
      </x:c>
      <x:c r="X1506" s="93" t="n">
        <x:f>IF(V1506="Returned",Q1506*R1506*10%,Q1506*R1506)</x:f>
        <x:v>46</x:v>
      </x:c>
      <x:c r="Y1506" s="93" t="n">
        <x:f>W1506-X1506</x:f>
        <x:v>38.55</x:v>
      </x:c>
      <x:c r="Z1506" s="94" t="n">
        <x:f>IFERROR(Y1506/W1506,0)</x:f>
        <x:v>0.4559432288586635</x:v>
      </x:c>
      <x:c r="AA1506" s="84" t="str">
        <x:f>PROPER(TRIM('Raw Sales'!M1506))</x:f>
        <x:v>Paypal</x:v>
      </x:c>
      <x:c r="AB1506" s="84" t="str">
        <x:f>PROPER(TRIM('Raw Sales'!N1506))</x:f>
        <x:v>Lucas Grant</x:v>
      </x:c>
      <x:c r="AC1506" s="85" t="n">
        <x:f>'Raw Sales'!O1506</x:f>
        <x:v>45794</x:v>
      </x:c>
      <x:c r="AD1506" s="84" t="n">
        <x:f>AC1506-B1506</x:f>
        <x:v>2</x:v>
      </x:c>
      <x:c r="AE1506" s="84" t="str">
        <x:f>IF(COUNTIF($A$5:A1506,A1506)&gt;1,"Duplicate","Keep")</x:f>
        <x:v>Keep</x:v>
      </x:c>
      <x:c r="AF1506" s="84" t="str">
        <x:f>IF(OR(R1506&lt;=0,AC1506&lt;B1506,H1506="Unknown",M1506="Unknown Product"),"Review","Valid")</x:f>
        <x:v>Valid</x:v>
      </x:c>
      <x:c r="AG1506" s="84" t="n">
        <x:f>IF(AND(AE1506="Keep",AF1506="Valid"),1,0)</x:f>
        <x:v>1</x:v>
      </x:c>
      <x:c r="AH1506" s="84" t="n">
        <x:f>IF(AND(AG1506=1,OR('Dashboard'!$B$4="All",I1506='Dashboard'!$B$4),OR('Dashboard'!$E$4="All",N1506='Dashboard'!$E$4),OR('Dashboard'!$H$4="All",K1506='Dashboard'!$H$4),OR('Dashboard'!$K$4="All",C1506='Dashboard'!$K$4)),1,0)</x:f>
        <x:v>1</x:v>
      </x:c>
      <x:c r="AI1506" s="84" t="n">
        <x:f>IF(AND(AG1506=1,OR('Dashboard'!$B$4="All",I1506='Dashboard'!$B$4),OR('Dashboard'!$E$4="All",N1506='Dashboard'!$E$4),OR('Dashboard'!$H$4="All",K1506='Dashboard'!$H$4)),1,0)</x:f>
        <x:v>1</x:v>
      </x:c>
    </x:row>
    <x:row r="1507">
      <x:c r="A1507" s="84" t="str">
        <x:f>'Raw Sales'!A1507</x:f>
        <x:v>ORD-2025-01583</x:v>
      </x:c>
      <x:c r="B1507" s="85" t="n">
        <x:f>'Raw Sales'!B1507</x:f>
        <x:v>45792</x:v>
      </x:c>
      <x:c r="C1507" s="84" t="n">
        <x:f>YEAR(B1507)</x:f>
        <x:v>2025</x:v>
      </x:c>
      <x:c r="D1507" s="91" t="n">
        <x:f>DATE(YEAR(B1507),MONTH(B1507),1)</x:f>
        <x:v>45778</x:v>
      </x:c>
      <x:c r="E1507" s="84" t="str">
        <x:f>TEXT(B1507,"mmm")</x:f>
        <x:v>May</x:v>
      </x:c>
      <x:c r="F1507" s="84" t="str">
        <x:f>'Raw Sales'!C1507</x:f>
        <x:v>CUST-0108</x:v>
      </x:c>
      <x:c r="G1507" s="84" t="str">
        <x:f>PROPER(TRIM('Raw Sales'!D1507))</x:f>
        <x:v>Nina Ortiz</x:v>
      </x:c>
      <x:c r="H1507" s="84" t="str">
        <x:f>IF(TRIM('Raw Sales'!E1507)="","Unknown",PROPER(TRIM('Raw Sales'!E1507)))</x:f>
        <x:v>Small Business</x:v>
      </x:c>
      <x:c r="I1507" s="84" t="str">
        <x:f>PROPER(TRIM('Raw Sales'!F1507))</x:f>
        <x:v>West</x:v>
      </x:c>
      <x:c r="J1507" s="84" t="str">
        <x:f>PROPER(TRIM('Raw Sales'!G1507))</x:f>
        <x:v>Phoenix</x:v>
      </x:c>
      <x:c r="K1507" s="84" t="str">
        <x:f>PROPER(TRIM('Raw Sales'!H1507))</x:f>
        <x:v>Online</x:v>
      </x:c>
      <x:c r="L1507" s="84" t="str">
        <x:f>'Raw Sales'!I1507</x:f>
        <x:v>FITN-005</x:v>
      </x:c>
      <x:c r="M1507" s="84" t="str">
        <x:f>IFERROR(VLOOKUP(L1507,'Reference Data'!$A$5:$F$40,2,FALSE),"Unknown Product")</x:f>
        <x:v>Sports Water Bottle</x:v>
      </x:c>
      <x:c r="N1507" s="84" t="str">
        <x:f>IFERROR(VLOOKUP(L1507,'Reference Data'!$A$5:$F$40,3,FALSE),"Unknown")</x:f>
        <x:v>Fitness</x:v>
      </x:c>
      <x:c r="O1507" s="84" t="str">
        <x:f>IFERROR(VLOOKUP(L1507,'Reference Data'!$A$5:$F$40,4,FALSE),"Unknown")</x:f>
        <x:v>Accessories</x:v>
      </x:c>
      <x:c r="P1507" s="92" t="n">
        <x:f>IFERROR(VLOOKUP(L1507,'Reference Data'!$A$5:$F$40,5,FALSE),0)</x:f>
        <x:v>22</x:v>
      </x:c>
      <x:c r="Q1507" s="92" t="n">
        <x:f>IFERROR(VLOOKUP(L1507,'Reference Data'!$A$5:$F$40,6,FALSE),0)</x:f>
        <x:v>7</x:v>
      </x:c>
      <x:c r="R1507" s="84" t="n">
        <x:f>'Raw Sales'!J1507</x:f>
        <x:v>1</x:v>
      </x:c>
      <x:c r="S1507" s="87" t="n">
        <x:f>'Raw Sales'!K1507</x:f>
        <x:v>0.1</x:v>
      </x:c>
      <x:c r="T1507" s="93" t="n">
        <x:f>P1507*R1507</x:f>
        <x:v>22</x:v>
      </x:c>
      <x:c r="U1507" s="93" t="n">
        <x:f>T1507*S1507</x:f>
        <x:v>2.2</x:v>
      </x:c>
      <x:c r="V1507" s="93" t="str">
        <x:f>PROPER(TRIM('Raw Sales'!L1507))</x:f>
        <x:v>Completed</x:v>
      </x:c>
      <x:c r="W1507" s="93" t="n">
        <x:f>IF(V1507="Returned",0,T1507-U1507)</x:f>
        <x:v>19.8</x:v>
      </x:c>
      <x:c r="X1507" s="93" t="n">
        <x:f>IF(V1507="Returned",Q1507*R1507*10%,Q1507*R1507)</x:f>
        <x:v>7</x:v>
      </x:c>
      <x:c r="Y1507" s="93" t="n">
        <x:f>W1507-X1507</x:f>
        <x:v>12.8</x:v>
      </x:c>
      <x:c r="Z1507" s="94" t="n">
        <x:f>IFERROR(Y1507/W1507,0)</x:f>
        <x:v>0.6464646464646465</x:v>
      </x:c>
      <x:c r="AA1507" s="84" t="str">
        <x:f>PROPER(TRIM('Raw Sales'!M1507))</x:f>
        <x:v>Credit Card</x:v>
      </x:c>
      <x:c r="AB1507" s="84" t="str">
        <x:f>PROPER(TRIM('Raw Sales'!N1507))</x:f>
        <x:v>Leo Martinez</x:v>
      </x:c>
      <x:c r="AC1507" s="85" t="n">
        <x:f>'Raw Sales'!O1507</x:f>
        <x:v>45796</x:v>
      </x:c>
      <x:c r="AD1507" s="84" t="n">
        <x:f>AC1507-B1507</x:f>
        <x:v>4</x:v>
      </x:c>
      <x:c r="AE1507" s="84" t="str">
        <x:f>IF(COUNTIF($A$5:A1507,A1507)&gt;1,"Duplicate","Keep")</x:f>
        <x:v>Keep</x:v>
      </x:c>
      <x:c r="AF1507" s="84" t="str">
        <x:f>IF(OR(R1507&lt;=0,AC1507&lt;B1507,H1507="Unknown",M1507="Unknown Product"),"Review","Valid")</x:f>
        <x:v>Valid</x:v>
      </x:c>
      <x:c r="AG1507" s="84" t="n">
        <x:f>IF(AND(AE1507="Keep",AF1507="Valid"),1,0)</x:f>
        <x:v>1</x:v>
      </x:c>
      <x:c r="AH1507" s="84" t="n">
        <x:f>IF(AND(AG1507=1,OR('Dashboard'!$B$4="All",I1507='Dashboard'!$B$4),OR('Dashboard'!$E$4="All",N1507='Dashboard'!$E$4),OR('Dashboard'!$H$4="All",K1507='Dashboard'!$H$4),OR('Dashboard'!$K$4="All",C1507='Dashboard'!$K$4)),1,0)</x:f>
        <x:v>1</x:v>
      </x:c>
      <x:c r="AI1507" s="84" t="n">
        <x:f>IF(AND(AG1507=1,OR('Dashboard'!$B$4="All",I1507='Dashboard'!$B$4),OR('Dashboard'!$E$4="All",N1507='Dashboard'!$E$4),OR('Dashboard'!$H$4="All",K1507='Dashboard'!$H$4)),1,0)</x:f>
        <x:v>1</x:v>
      </x:c>
    </x:row>
    <x:row r="1508">
      <x:c r="A1508" s="84" t="str">
        <x:f>'Raw Sales'!A1508</x:f>
        <x:v>ORD-2025-01747</x:v>
      </x:c>
      <x:c r="B1508" s="85" t="n">
        <x:f>'Raw Sales'!B1508</x:f>
        <x:v>45792</x:v>
      </x:c>
      <x:c r="C1508" s="84" t="n">
        <x:f>YEAR(B1508)</x:f>
        <x:v>2025</x:v>
      </x:c>
      <x:c r="D1508" s="91" t="n">
        <x:f>DATE(YEAR(B1508),MONTH(B1508),1)</x:f>
        <x:v>45778</x:v>
      </x:c>
      <x:c r="E1508" s="84" t="str">
        <x:f>TEXT(B1508,"mmm")</x:f>
        <x:v>May</x:v>
      </x:c>
      <x:c r="F1508" s="84" t="str">
        <x:f>'Raw Sales'!C1508</x:f>
        <x:v>CUST-0627</x:v>
      </x:c>
      <x:c r="G1508" s="84" t="str">
        <x:f>PROPER(TRIM('Raw Sales'!D1508))</x:f>
        <x:v>Priya Walker</x:v>
      </x:c>
      <x:c r="H1508" s="84" t="str">
        <x:f>IF(TRIM('Raw Sales'!E1508)="","Unknown",PROPER(TRIM('Raw Sales'!E1508)))</x:f>
        <x:v>Consumer</x:v>
      </x:c>
      <x:c r="I1508" s="84" t="str">
        <x:f>PROPER(TRIM('Raw Sales'!F1508))</x:f>
        <x:v>West</x:v>
      </x:c>
      <x:c r="J1508" s="84" t="str">
        <x:f>PROPER(TRIM('Raw Sales'!G1508))</x:f>
        <x:v>Seattle</x:v>
      </x:c>
      <x:c r="K1508" s="84" t="str">
        <x:f>PROPER(TRIM('Raw Sales'!H1508))</x:f>
        <x:v>Retail Store</x:v>
      </x:c>
      <x:c r="L1508" s="84" t="str">
        <x:f>'Raw Sales'!I1508</x:f>
        <x:v>OFFC-002</x:v>
      </x:c>
      <x:c r="M1508" s="84" t="str">
        <x:f>IFERROR(VLOOKUP(L1508,'Reference Data'!$A$5:$F$40,2,FALSE),"Unknown Product")</x:f>
        <x:v>Standing Desk</x:v>
      </x:c>
      <x:c r="N1508" s="84" t="str">
        <x:f>IFERROR(VLOOKUP(L1508,'Reference Data'!$A$5:$F$40,3,FALSE),"Unknown")</x:f>
        <x:v>Office</x:v>
      </x:c>
      <x:c r="O1508" s="84" t="str">
        <x:f>IFERROR(VLOOKUP(L1508,'Reference Data'!$A$5:$F$40,4,FALSE),"Unknown")</x:f>
        <x:v>Furniture</x:v>
      </x:c>
      <x:c r="P1508" s="92" t="n">
        <x:f>IFERROR(VLOOKUP(L1508,'Reference Data'!$A$5:$F$40,5,FALSE),0)</x:f>
        <x:v>399</x:v>
      </x:c>
      <x:c r="Q1508" s="92" t="n">
        <x:f>IFERROR(VLOOKUP(L1508,'Reference Data'!$A$5:$F$40,6,FALSE),0)</x:f>
        <x:v>235</x:v>
      </x:c>
      <x:c r="R1508" s="84" t="n">
        <x:f>'Raw Sales'!J1508</x:f>
        <x:v>2</x:v>
      </x:c>
      <x:c r="S1508" s="87" t="n">
        <x:f>'Raw Sales'!K1508</x:f>
        <x:v>0.05</x:v>
      </x:c>
      <x:c r="T1508" s="93" t="n">
        <x:f>P1508*R1508</x:f>
        <x:v>798</x:v>
      </x:c>
      <x:c r="U1508" s="93" t="n">
        <x:f>T1508*S1508</x:f>
        <x:v>39.900000000000006</x:v>
      </x:c>
      <x:c r="V1508" s="93" t="str">
        <x:f>PROPER(TRIM('Raw Sales'!L1508))</x:f>
        <x:v>Completed</x:v>
      </x:c>
      <x:c r="W1508" s="93" t="n">
        <x:f>IF(V1508="Returned",0,T1508-U1508)</x:f>
        <x:v>758.1</x:v>
      </x:c>
      <x:c r="X1508" s="93" t="n">
        <x:f>IF(V1508="Returned",Q1508*R1508*10%,Q1508*R1508)</x:f>
        <x:v>470</x:v>
      </x:c>
      <x:c r="Y1508" s="93" t="n">
        <x:f>W1508-X1508</x:f>
        <x:v>288.1</x:v>
      </x:c>
      <x:c r="Z1508" s="94" t="n">
        <x:f>IFERROR(Y1508/W1508,0)</x:f>
        <x:v>0.38002901991821664</x:v>
      </x:c>
      <x:c r="AA1508" s="84" t="str">
        <x:f>PROPER(TRIM('Raw Sales'!M1508))</x:f>
        <x:v>Cash</x:v>
      </x:c>
      <x:c r="AB1508" s="84" t="str">
        <x:f>PROPER(TRIM('Raw Sales'!N1508))</x:f>
        <x:v>Leo Martinez</x:v>
      </x:c>
      <x:c r="AC1508" s="85" t="n">
        <x:f>'Raw Sales'!O1508</x:f>
        <x:v>45792</x:v>
      </x:c>
      <x:c r="AD1508" s="84" t="n">
        <x:f>AC1508-B1508</x:f>
        <x:v>0</x:v>
      </x:c>
      <x:c r="AE1508" s="84" t="str">
        <x:f>IF(COUNTIF($A$5:A1508,A1508)&gt;1,"Duplicate","Keep")</x:f>
        <x:v>Keep</x:v>
      </x:c>
      <x:c r="AF1508" s="84" t="str">
        <x:f>IF(OR(R1508&lt;=0,AC1508&lt;B1508,H1508="Unknown",M1508="Unknown Product"),"Review","Valid")</x:f>
        <x:v>Valid</x:v>
      </x:c>
      <x:c r="AG1508" s="84" t="n">
        <x:f>IF(AND(AE1508="Keep",AF1508="Valid"),1,0)</x:f>
        <x:v>1</x:v>
      </x:c>
      <x:c r="AH1508" s="84" t="n">
        <x:f>IF(AND(AG1508=1,OR('Dashboard'!$B$4="All",I1508='Dashboard'!$B$4),OR('Dashboard'!$E$4="All",N1508='Dashboard'!$E$4),OR('Dashboard'!$H$4="All",K1508='Dashboard'!$H$4),OR('Dashboard'!$K$4="All",C1508='Dashboard'!$K$4)),1,0)</x:f>
        <x:v>1</x:v>
      </x:c>
      <x:c r="AI1508" s="84" t="n">
        <x:f>IF(AND(AG1508=1,OR('Dashboard'!$B$4="All",I1508='Dashboard'!$B$4),OR('Dashboard'!$E$4="All",N1508='Dashboard'!$E$4),OR('Dashboard'!$H$4="All",K1508='Dashboard'!$H$4)),1,0)</x:f>
        <x:v>1</x:v>
      </x:c>
    </x:row>
    <x:row r="1509">
      <x:c r="A1509" s="84" t="str">
        <x:f>'Raw Sales'!A1509</x:f>
        <x:v>ORD-2025-01950</x:v>
      </x:c>
      <x:c r="B1509" s="85" t="n">
        <x:f>'Raw Sales'!B1509</x:f>
        <x:v>45792</x:v>
      </x:c>
      <x:c r="C1509" s="84" t="n">
        <x:f>YEAR(B1509)</x:f>
        <x:v>2025</x:v>
      </x:c>
      <x:c r="D1509" s="91" t="n">
        <x:f>DATE(YEAR(B1509),MONTH(B1509),1)</x:f>
        <x:v>45778</x:v>
      </x:c>
      <x:c r="E1509" s="84" t="str">
        <x:f>TEXT(B1509,"mmm")</x:f>
        <x:v>May</x:v>
      </x:c>
      <x:c r="F1509" s="84" t="str">
        <x:f>'Raw Sales'!C1509</x:f>
        <x:v>CUST-0637</x:v>
      </x:c>
      <x:c r="G1509" s="84" t="str">
        <x:f>PROPER(TRIM('Raw Sales'!D1509))</x:f>
        <x:v>Amelia Adams</x:v>
      </x:c>
      <x:c r="H1509" s="84" t="str">
        <x:f>IF(TRIM('Raw Sales'!E1509)="","Unknown",PROPER(TRIM('Raw Sales'!E1509)))</x:f>
        <x:v>Consumer</x:v>
      </x:c>
      <x:c r="I1509" s="84" t="str">
        <x:f>PROPER(TRIM('Raw Sales'!F1509))</x:f>
        <x:v>Northeast</x:v>
      </x:c>
      <x:c r="J1509" s="84" t="str">
        <x:f>PROPER(TRIM('Raw Sales'!G1509))</x:f>
        <x:v>New York</x:v>
      </x:c>
      <x:c r="K1509" s="84" t="str">
        <x:f>PROPER(TRIM('Raw Sales'!H1509))</x:f>
        <x:v>Marketplace</x:v>
      </x:c>
      <x:c r="L1509" s="84" t="str">
        <x:f>'Raw Sales'!I1509</x:f>
        <x:v>OFFC-005</x:v>
      </x:c>
      <x:c r="M1509" s="84" t="str">
        <x:f>IFERROR(VLOOKUP(L1509,'Reference Data'!$A$5:$F$40,2,FALSE),"Unknown Product")</x:f>
        <x:v>Wireless Keyboard</x:v>
      </x:c>
      <x:c r="N1509" s="84" t="str">
        <x:f>IFERROR(VLOOKUP(L1509,'Reference Data'!$A$5:$F$40,3,FALSE),"Unknown")</x:f>
        <x:v>Office</x:v>
      </x:c>
      <x:c r="O1509" s="84" t="str">
        <x:f>IFERROR(VLOOKUP(L1509,'Reference Data'!$A$5:$F$40,4,FALSE),"Unknown")</x:f>
        <x:v>Computer Accessories</x:v>
      </x:c>
      <x:c r="P1509" s="92" t="n">
        <x:f>IFERROR(VLOOKUP(L1509,'Reference Data'!$A$5:$F$40,5,FALSE),0)</x:f>
        <x:v>59</x:v>
      </x:c>
      <x:c r="Q1509" s="92" t="n">
        <x:f>IFERROR(VLOOKUP(L1509,'Reference Data'!$A$5:$F$40,6,FALSE),0)</x:f>
        <x:v>28</x:v>
      </x:c>
      <x:c r="R1509" s="84" t="n">
        <x:f>'Raw Sales'!J1509</x:f>
        <x:v>1</x:v>
      </x:c>
      <x:c r="S1509" s="87" t="n">
        <x:f>'Raw Sales'!K1509</x:f>
        <x:v>0.1</x:v>
      </x:c>
      <x:c r="T1509" s="93" t="n">
        <x:f>P1509*R1509</x:f>
        <x:v>59</x:v>
      </x:c>
      <x:c r="U1509" s="93" t="n">
        <x:f>T1509*S1509</x:f>
        <x:v>5.9</x:v>
      </x:c>
      <x:c r="V1509" s="93" t="str">
        <x:f>PROPER(TRIM('Raw Sales'!L1509))</x:f>
        <x:v>Completed</x:v>
      </x:c>
      <x:c r="W1509" s="93" t="n">
        <x:f>IF(V1509="Returned",0,T1509-U1509)</x:f>
        <x:v>53.1</x:v>
      </x:c>
      <x:c r="X1509" s="93" t="n">
        <x:f>IF(V1509="Returned",Q1509*R1509*10%,Q1509*R1509)</x:f>
        <x:v>28</x:v>
      </x:c>
      <x:c r="Y1509" s="93" t="n">
        <x:f>W1509-X1509</x:f>
        <x:v>25.1</x:v>
      </x:c>
      <x:c r="Z1509" s="94" t="n">
        <x:f>IFERROR(Y1509/W1509,0)</x:f>
        <x:v>0.4726930320150659</x:v>
      </x:c>
      <x:c r="AA1509" s="84" t="str">
        <x:f>PROPER(TRIM('Raw Sales'!M1509))</x:f>
        <x:v>Paypal</x:v>
      </x:c>
      <x:c r="AB1509" s="84" t="str">
        <x:f>PROPER(TRIM('Raw Sales'!N1509))</x:f>
        <x:v>Sofia Bennett</x:v>
      </x:c>
      <x:c r="AC1509" s="85" t="n">
        <x:f>'Raw Sales'!O1509</x:f>
        <x:v>45795</x:v>
      </x:c>
      <x:c r="AD1509" s="84" t="n">
        <x:f>AC1509-B1509</x:f>
        <x:v>3</x:v>
      </x:c>
      <x:c r="AE1509" s="84" t="str">
        <x:f>IF(COUNTIF($A$5:A1509,A1509)&gt;1,"Duplicate","Keep")</x:f>
        <x:v>Keep</x:v>
      </x:c>
      <x:c r="AF1509" s="84" t="str">
        <x:f>IF(OR(R1509&lt;=0,AC1509&lt;B1509,H1509="Unknown",M1509="Unknown Product"),"Review","Valid")</x:f>
        <x:v>Valid</x:v>
      </x:c>
      <x:c r="AG1509" s="84" t="n">
        <x:f>IF(AND(AE1509="Keep",AF1509="Valid"),1,0)</x:f>
        <x:v>1</x:v>
      </x:c>
      <x:c r="AH1509" s="84" t="n">
        <x:f>IF(AND(AG1509=1,OR('Dashboard'!$B$4="All",I1509='Dashboard'!$B$4),OR('Dashboard'!$E$4="All",N1509='Dashboard'!$E$4),OR('Dashboard'!$H$4="All",K1509='Dashboard'!$H$4),OR('Dashboard'!$K$4="All",C1509='Dashboard'!$K$4)),1,0)</x:f>
        <x:v>1</x:v>
      </x:c>
      <x:c r="AI1509" s="84" t="n">
        <x:f>IF(AND(AG1509=1,OR('Dashboard'!$B$4="All",I1509='Dashboard'!$B$4),OR('Dashboard'!$E$4="All",N1509='Dashboard'!$E$4),OR('Dashboard'!$H$4="All",K1509='Dashboard'!$H$4)),1,0)</x:f>
        <x:v>1</x:v>
      </x:c>
    </x:row>
    <x:row r="1510">
      <x:c r="A1510" s="84" t="str">
        <x:f>'Raw Sales'!A1510</x:f>
        <x:v>ORD-2025-02002</x:v>
      </x:c>
      <x:c r="B1510" s="85" t="n">
        <x:f>'Raw Sales'!B1510</x:f>
        <x:v>45792</x:v>
      </x:c>
      <x:c r="C1510" s="84" t="n">
        <x:f>YEAR(B1510)</x:f>
        <x:v>2025</x:v>
      </x:c>
      <x:c r="D1510" s="91" t="n">
        <x:f>DATE(YEAR(B1510),MONTH(B1510),1)</x:f>
        <x:v>45778</x:v>
      </x:c>
      <x:c r="E1510" s="84" t="str">
        <x:f>TEXT(B1510,"mmm")</x:f>
        <x:v>May</x:v>
      </x:c>
      <x:c r="F1510" s="84" t="str">
        <x:f>'Raw Sales'!C1510</x:f>
        <x:v>CUST-0247</x:v>
      </x:c>
      <x:c r="G1510" s="84" t="str">
        <x:f>PROPER(TRIM('Raw Sales'!D1510))</x:f>
        <x:v>Maya Young</x:v>
      </x:c>
      <x:c r="H1510" s="84" t="str">
        <x:f>IF(TRIM('Raw Sales'!E1510)="","Unknown",PROPER(TRIM('Raw Sales'!E1510)))</x:f>
        <x:v>Consumer</x:v>
      </x:c>
      <x:c r="I1510" s="84" t="str">
        <x:f>PROPER(TRIM('Raw Sales'!F1510))</x:f>
        <x:v>Southeast</x:v>
      </x:c>
      <x:c r="J1510" s="84" t="str">
        <x:f>PROPER(TRIM('Raw Sales'!G1510))</x:f>
        <x:v>Nashville</x:v>
      </x:c>
      <x:c r="K1510" s="84" t="str">
        <x:f>PROPER(TRIM('Raw Sales'!H1510))</x:f>
        <x:v>Retail Store</x:v>
      </x:c>
      <x:c r="L1510" s="84" t="str">
        <x:f>'Raw Sales'!I1510</x:f>
        <x:v>CARE-001</x:v>
      </x:c>
      <x:c r="M1510" s="84" t="str">
        <x:f>IFERROR(VLOOKUP(L1510,'Reference Data'!$A$5:$F$40,2,FALSE),"Unknown Product")</x:f>
        <x:v>Ionic Hair Dryer</x:v>
      </x:c>
      <x:c r="N1510" s="84" t="str">
        <x:f>IFERROR(VLOOKUP(L1510,'Reference Data'!$A$5:$F$40,3,FALSE),"Unknown")</x:f>
        <x:v>Personal Care</x:v>
      </x:c>
      <x:c r="O1510" s="84" t="str">
        <x:f>IFERROR(VLOOKUP(L1510,'Reference Data'!$A$5:$F$40,4,FALSE),"Unknown")</x:f>
        <x:v>Hair Care</x:v>
      </x:c>
      <x:c r="P1510" s="92" t="n">
        <x:f>IFERROR(VLOOKUP(L1510,'Reference Data'!$A$5:$F$40,5,FALSE),0)</x:f>
        <x:v>54</x:v>
      </x:c>
      <x:c r="Q1510" s="92" t="n">
        <x:f>IFERROR(VLOOKUP(L1510,'Reference Data'!$A$5:$F$40,6,FALSE),0)</x:f>
        <x:v>25</x:v>
      </x:c>
      <x:c r="R1510" s="84" t="n">
        <x:f>'Raw Sales'!J1510</x:f>
        <x:v>1</x:v>
      </x:c>
      <x:c r="S1510" s="87" t="n">
        <x:f>'Raw Sales'!K1510</x:f>
        <x:v>0</x:v>
      </x:c>
      <x:c r="T1510" s="93" t="n">
        <x:f>P1510*R1510</x:f>
        <x:v>54</x:v>
      </x:c>
      <x:c r="U1510" s="93" t="n">
        <x:f>T1510*S1510</x:f>
        <x:v>0</x:v>
      </x:c>
      <x:c r="V1510" s="93" t="str">
        <x:f>PROPER(TRIM('Raw Sales'!L1510))</x:f>
        <x:v>Completed</x:v>
      </x:c>
      <x:c r="W1510" s="93" t="n">
        <x:f>IF(V1510="Returned",0,T1510-U1510)</x:f>
        <x:v>54</x:v>
      </x:c>
      <x:c r="X1510" s="93" t="n">
        <x:f>IF(V1510="Returned",Q1510*R1510*10%,Q1510*R1510)</x:f>
        <x:v>25</x:v>
      </x:c>
      <x:c r="Y1510" s="93" t="n">
        <x:f>W1510-X1510</x:f>
        <x:v>29</x:v>
      </x:c>
      <x:c r="Z1510" s="94" t="n">
        <x:f>IFERROR(Y1510/W1510,0)</x:f>
        <x:v>0.5370370370370371</x:v>
      </x:c>
      <x:c r="AA1510" s="84" t="str">
        <x:f>PROPER(TRIM('Raw Sales'!M1510))</x:f>
        <x:v>Debit Card</x:v>
      </x:c>
      <x:c r="AB1510" s="84" t="str">
        <x:f>PROPER(TRIM('Raw Sales'!N1510))</x:f>
        <x:v>Liam Parker</x:v>
      </x:c>
      <x:c r="AC1510" s="85" t="n">
        <x:f>'Raw Sales'!O1510</x:f>
        <x:v>45792</x:v>
      </x:c>
      <x:c r="AD1510" s="84" t="n">
        <x:f>AC1510-B1510</x:f>
        <x:v>0</x:v>
      </x:c>
      <x:c r="AE1510" s="84" t="str">
        <x:f>IF(COUNTIF($A$5:A1510,A1510)&gt;1,"Duplicate","Keep")</x:f>
        <x:v>Keep</x:v>
      </x:c>
      <x:c r="AF1510" s="84" t="str">
        <x:f>IF(OR(R1510&lt;=0,AC1510&lt;B1510,H1510="Unknown",M1510="Unknown Product"),"Review","Valid")</x:f>
        <x:v>Valid</x:v>
      </x:c>
      <x:c r="AG1510" s="84" t="n">
        <x:f>IF(AND(AE1510="Keep",AF1510="Valid"),1,0)</x:f>
        <x:v>1</x:v>
      </x:c>
      <x:c r="AH1510" s="84" t="n">
        <x:f>IF(AND(AG1510=1,OR('Dashboard'!$B$4="All",I1510='Dashboard'!$B$4),OR('Dashboard'!$E$4="All",N1510='Dashboard'!$E$4),OR('Dashboard'!$H$4="All",K1510='Dashboard'!$H$4),OR('Dashboard'!$K$4="All",C1510='Dashboard'!$K$4)),1,0)</x:f>
        <x:v>1</x:v>
      </x:c>
      <x:c r="AI1510" s="84" t="n">
        <x:f>IF(AND(AG1510=1,OR('Dashboard'!$B$4="All",I1510='Dashboard'!$B$4),OR('Dashboard'!$E$4="All",N1510='Dashboard'!$E$4),OR('Dashboard'!$H$4="All",K1510='Dashboard'!$H$4)),1,0)</x:f>
        <x:v>1</x:v>
      </x:c>
    </x:row>
    <x:row r="1511">
      <x:c r="A1511" s="84" t="str">
        <x:f>'Raw Sales'!A1511</x:f>
        <x:v>ORD-2025-02142</x:v>
      </x:c>
      <x:c r="B1511" s="85" t="n">
        <x:f>'Raw Sales'!B1511</x:f>
        <x:v>45792</x:v>
      </x:c>
      <x:c r="C1511" s="84" t="n">
        <x:f>YEAR(B1511)</x:f>
        <x:v>2025</x:v>
      </x:c>
      <x:c r="D1511" s="91" t="n">
        <x:f>DATE(YEAR(B1511),MONTH(B1511),1)</x:f>
        <x:v>45778</x:v>
      </x:c>
      <x:c r="E1511" s="84" t="str">
        <x:f>TEXT(B1511,"mmm")</x:f>
        <x:v>May</x:v>
      </x:c>
      <x:c r="F1511" s="84" t="str">
        <x:f>'Raw Sales'!C1511</x:f>
        <x:v>CUST-0378</x:v>
      </x:c>
      <x:c r="G1511" s="84" t="str">
        <x:f>PROPER(TRIM('Raw Sales'!D1511))</x:f>
        <x:v>Victoria Nelson</x:v>
      </x:c>
      <x:c r="H1511" s="84" t="str">
        <x:f>IF(TRIM('Raw Sales'!E1511)="","Unknown",PROPER(TRIM('Raw Sales'!E1511)))</x:f>
        <x:v>Consumer</x:v>
      </x:c>
      <x:c r="I1511" s="84" t="str">
        <x:f>PROPER(TRIM('Raw Sales'!F1511))</x:f>
        <x:v>Midwest</x:v>
      </x:c>
      <x:c r="J1511" s="84" t="str">
        <x:f>PROPER(TRIM('Raw Sales'!G1511))</x:f>
        <x:v>Chicago</x:v>
      </x:c>
      <x:c r="K1511" s="84" t="str">
        <x:f>PROPER(TRIM('Raw Sales'!H1511))</x:f>
        <x:v>Retail Store</x:v>
      </x:c>
      <x:c r="L1511" s="84" t="str">
        <x:f>'Raw Sales'!I1511</x:f>
        <x:v>CARE-004</x:v>
      </x:c>
      <x:c r="M1511" s="84" t="str">
        <x:f>IFERROR(VLOOKUP(L1511,'Reference Data'!$A$5:$F$40,2,FALSE),"Unknown Product")</x:f>
        <x:v>Electric Toothbrush</x:v>
      </x:c>
      <x:c r="N1511" s="84" t="str">
        <x:f>IFERROR(VLOOKUP(L1511,'Reference Data'!$A$5:$F$40,3,FALSE),"Unknown")</x:f>
        <x:v>Personal Care</x:v>
      </x:c>
      <x:c r="O1511" s="84" t="str">
        <x:f>IFERROR(VLOOKUP(L1511,'Reference Data'!$A$5:$F$40,4,FALSE),"Unknown")</x:f>
        <x:v>Oral Care</x:v>
      </x:c>
      <x:c r="P1511" s="92" t="n">
        <x:f>IFERROR(VLOOKUP(L1511,'Reference Data'!$A$5:$F$40,5,FALSE),0)</x:f>
        <x:v>69</x:v>
      </x:c>
      <x:c r="Q1511" s="92" t="n">
        <x:f>IFERROR(VLOOKUP(L1511,'Reference Data'!$A$5:$F$40,6,FALSE),0)</x:f>
        <x:v>31</x:v>
      </x:c>
      <x:c r="R1511" s="84" t="n">
        <x:f>'Raw Sales'!J1511</x:f>
        <x:v>1</x:v>
      </x:c>
      <x:c r="S1511" s="87" t="n">
        <x:f>'Raw Sales'!K1511</x:f>
        <x:v>0.05</x:v>
      </x:c>
      <x:c r="T1511" s="93" t="n">
        <x:f>P1511*R1511</x:f>
        <x:v>69</x:v>
      </x:c>
      <x:c r="U1511" s="93" t="n">
        <x:f>T1511*S1511</x:f>
        <x:v>3.45</x:v>
      </x:c>
      <x:c r="V1511" s="93" t="str">
        <x:f>PROPER(TRIM('Raw Sales'!L1511))</x:f>
        <x:v>Completed</x:v>
      </x:c>
      <x:c r="W1511" s="93" t="n">
        <x:f>IF(V1511="Returned",0,T1511-U1511)</x:f>
        <x:v>65.55</x:v>
      </x:c>
      <x:c r="X1511" s="93" t="n">
        <x:f>IF(V1511="Returned",Q1511*R1511*10%,Q1511*R1511)</x:f>
        <x:v>31</x:v>
      </x:c>
      <x:c r="Y1511" s="93" t="n">
        <x:f>W1511-X1511</x:f>
        <x:v>34.55</x:v>
      </x:c>
      <x:c r="Z1511" s="94" t="n">
        <x:f>IFERROR(Y1511/W1511,0)</x:f>
        <x:v>0.5270785659801678</x:v>
      </x:c>
      <x:c r="AA1511" s="84" t="str">
        <x:f>PROPER(TRIM('Raw Sales'!M1511))</x:f>
        <x:v>Debit Card</x:v>
      </x:c>
      <x:c r="AB1511" s="84" t="str">
        <x:f>PROPER(TRIM('Raw Sales'!N1511))</x:f>
        <x:v>Zoe Turner</x:v>
      </x:c>
      <x:c r="AC1511" s="85" t="n">
        <x:f>'Raw Sales'!O1511</x:f>
        <x:v>45792</x:v>
      </x:c>
      <x:c r="AD1511" s="84" t="n">
        <x:f>AC1511-B1511</x:f>
        <x:v>0</x:v>
      </x:c>
      <x:c r="AE1511" s="84" t="str">
        <x:f>IF(COUNTIF($A$5:A1511,A1511)&gt;1,"Duplicate","Keep")</x:f>
        <x:v>Keep</x:v>
      </x:c>
      <x:c r="AF1511" s="84" t="str">
        <x:f>IF(OR(R1511&lt;=0,AC1511&lt;B1511,H1511="Unknown",M1511="Unknown Product"),"Review","Valid")</x:f>
        <x:v>Valid</x:v>
      </x:c>
      <x:c r="AG1511" s="84" t="n">
        <x:f>IF(AND(AE1511="Keep",AF1511="Valid"),1,0)</x:f>
        <x:v>1</x:v>
      </x:c>
      <x:c r="AH1511" s="84" t="n">
        <x:f>IF(AND(AG1511=1,OR('Dashboard'!$B$4="All",I1511='Dashboard'!$B$4),OR('Dashboard'!$E$4="All",N1511='Dashboard'!$E$4),OR('Dashboard'!$H$4="All",K1511='Dashboard'!$H$4),OR('Dashboard'!$K$4="All",C1511='Dashboard'!$K$4)),1,0)</x:f>
        <x:v>1</x:v>
      </x:c>
      <x:c r="AI1511" s="84" t="n">
        <x:f>IF(AND(AG1511=1,OR('Dashboard'!$B$4="All",I1511='Dashboard'!$B$4),OR('Dashboard'!$E$4="All",N1511='Dashboard'!$E$4),OR('Dashboard'!$H$4="All",K1511='Dashboard'!$H$4)),1,0)</x:f>
        <x:v>1</x:v>
      </x:c>
    </x:row>
    <x:row r="1512">
      <x:c r="A1512" s="84" t="str">
        <x:f>'Raw Sales'!A1512</x:f>
        <x:v>ORD-2025-00765</x:v>
      </x:c>
      <x:c r="B1512" s="85" t="n">
        <x:f>'Raw Sales'!B1512</x:f>
        <x:v>45793</x:v>
      </x:c>
      <x:c r="C1512" s="84" t="n">
        <x:f>YEAR(B1512)</x:f>
        <x:v>2025</x:v>
      </x:c>
      <x:c r="D1512" s="91" t="n">
        <x:f>DATE(YEAR(B1512),MONTH(B1512),1)</x:f>
        <x:v>45778</x:v>
      </x:c>
      <x:c r="E1512" s="84" t="str">
        <x:f>TEXT(B1512,"mmm")</x:f>
        <x:v>May</x:v>
      </x:c>
      <x:c r="F1512" s="84" t="str">
        <x:f>'Raw Sales'!C1512</x:f>
        <x:v>CUST-0443</x:v>
      </x:c>
      <x:c r="G1512" s="84" t="str">
        <x:f>PROPER(TRIM('Raw Sales'!D1512))</x:f>
        <x:v>Samuel Foster</x:v>
      </x:c>
      <x:c r="H1512" s="84" t="str">
        <x:f>IF(TRIM('Raw Sales'!E1512)="","Unknown",PROPER(TRIM('Raw Sales'!E1512)))</x:f>
        <x:v>Consumer</x:v>
      </x:c>
      <x:c r="I1512" s="84" t="str">
        <x:f>PROPER(TRIM('Raw Sales'!F1512))</x:f>
        <x:v>West</x:v>
      </x:c>
      <x:c r="J1512" s="84" t="str">
        <x:f>PROPER(TRIM('Raw Sales'!G1512))</x:f>
        <x:v>Denver</x:v>
      </x:c>
      <x:c r="K1512" s="84" t="str">
        <x:f>PROPER(TRIM('Raw Sales'!H1512))</x:f>
        <x:v>Retail Store</x:v>
      </x:c>
      <x:c r="L1512" s="84" t="str">
        <x:f>'Raw Sales'!I1512</x:f>
        <x:v>ELEC-003</x:v>
      </x:c>
      <x:c r="M1512" s="84" t="str">
        <x:f>IFERROR(VLOOKUP(L1512,'Reference Data'!$A$5:$F$40,2,FALSE),"Unknown Product")</x:f>
        <x:v>Bluetooth Speaker</x:v>
      </x:c>
      <x:c r="N1512" s="84" t="str">
        <x:f>IFERROR(VLOOKUP(L1512,'Reference Data'!$A$5:$F$40,3,FALSE),"Unknown")</x:f>
        <x:v>Electronics</x:v>
      </x:c>
      <x:c r="O1512" s="84" t="str">
        <x:f>IFERROR(VLOOKUP(L1512,'Reference Data'!$A$5:$F$40,4,FALSE),"Unknown")</x:f>
        <x:v>Audio</x:v>
      </x:c>
      <x:c r="P1512" s="92" t="n">
        <x:f>IFERROR(VLOOKUP(L1512,'Reference Data'!$A$5:$F$40,5,FALSE),0)</x:f>
        <x:v>89</x:v>
      </x:c>
      <x:c r="Q1512" s="92" t="n">
        <x:f>IFERROR(VLOOKUP(L1512,'Reference Data'!$A$5:$F$40,6,FALSE),0)</x:f>
        <x:v>44</x:v>
      </x:c>
      <x:c r="R1512" s="84" t="n">
        <x:f>'Raw Sales'!J1512</x:f>
        <x:v>2</x:v>
      </x:c>
      <x:c r="S1512" s="87" t="n">
        <x:f>'Raw Sales'!K1512</x:f>
        <x:v>0.1</x:v>
      </x:c>
      <x:c r="T1512" s="93" t="n">
        <x:f>P1512*R1512</x:f>
        <x:v>178</x:v>
      </x:c>
      <x:c r="U1512" s="93" t="n">
        <x:f>T1512*S1512</x:f>
        <x:v>17.8</x:v>
      </x:c>
      <x:c r="V1512" s="93" t="str">
        <x:f>PROPER(TRIM('Raw Sales'!L1512))</x:f>
        <x:v>Completed</x:v>
      </x:c>
      <x:c r="W1512" s="93" t="n">
        <x:f>IF(V1512="Returned",0,T1512-U1512)</x:f>
        <x:v>160.2</x:v>
      </x:c>
      <x:c r="X1512" s="93" t="n">
        <x:f>IF(V1512="Returned",Q1512*R1512*10%,Q1512*R1512)</x:f>
        <x:v>88</x:v>
      </x:c>
      <x:c r="Y1512" s="93" t="n">
        <x:f>W1512-X1512</x:f>
        <x:v>72.19999999999999</x:v>
      </x:c>
      <x:c r="Z1512" s="94" t="n">
        <x:f>IFERROR(Y1512/W1512,0)</x:f>
        <x:v>0.4506866416978776</x:v>
      </x:c>
      <x:c r="AA1512" s="84" t="str">
        <x:f>PROPER(TRIM('Raw Sales'!M1512))</x:f>
        <x:v>Credit Card</x:v>
      </x:c>
      <x:c r="AB1512" s="84" t="str">
        <x:f>PROPER(TRIM('Raw Sales'!N1512))</x:f>
        <x:v>Nora Kim</x:v>
      </x:c>
      <x:c r="AC1512" s="85" t="n">
        <x:f>'Raw Sales'!O1512</x:f>
        <x:v>45794</x:v>
      </x:c>
      <x:c r="AD1512" s="84" t="n">
        <x:f>AC1512-B1512</x:f>
        <x:v>1</x:v>
      </x:c>
      <x:c r="AE1512" s="84" t="str">
        <x:f>IF(COUNTIF($A$5:A1512,A1512)&gt;1,"Duplicate","Keep")</x:f>
        <x:v>Keep</x:v>
      </x:c>
      <x:c r="AF1512" s="84" t="str">
        <x:f>IF(OR(R1512&lt;=0,AC1512&lt;B1512,H1512="Unknown",M1512="Unknown Product"),"Review","Valid")</x:f>
        <x:v>Valid</x:v>
      </x:c>
      <x:c r="AG1512" s="84" t="n">
        <x:f>IF(AND(AE1512="Keep",AF1512="Valid"),1,0)</x:f>
        <x:v>1</x:v>
      </x:c>
      <x:c r="AH1512" s="84" t="n">
        <x:f>IF(AND(AG1512=1,OR('Dashboard'!$B$4="All",I1512='Dashboard'!$B$4),OR('Dashboard'!$E$4="All",N1512='Dashboard'!$E$4),OR('Dashboard'!$H$4="All",K1512='Dashboard'!$H$4),OR('Dashboard'!$K$4="All",C1512='Dashboard'!$K$4)),1,0)</x:f>
        <x:v>1</x:v>
      </x:c>
      <x:c r="AI1512" s="84" t="n">
        <x:f>IF(AND(AG1512=1,OR('Dashboard'!$B$4="All",I1512='Dashboard'!$B$4),OR('Dashboard'!$E$4="All",N1512='Dashboard'!$E$4),OR('Dashboard'!$H$4="All",K1512='Dashboard'!$H$4)),1,0)</x:f>
        <x:v>1</x:v>
      </x:c>
    </x:row>
    <x:row r="1513">
      <x:c r="A1513" s="84" t="str">
        <x:f>'Raw Sales'!A1513</x:f>
        <x:v>ORD-2025-01745</x:v>
      </x:c>
      <x:c r="B1513" s="85" t="n">
        <x:f>'Raw Sales'!B1513</x:f>
        <x:v>45793</x:v>
      </x:c>
      <x:c r="C1513" s="84" t="n">
        <x:f>YEAR(B1513)</x:f>
        <x:v>2025</x:v>
      </x:c>
      <x:c r="D1513" s="91" t="n">
        <x:f>DATE(YEAR(B1513),MONTH(B1513),1)</x:f>
        <x:v>45778</x:v>
      </x:c>
      <x:c r="E1513" s="84" t="str">
        <x:f>TEXT(B1513,"mmm")</x:f>
        <x:v>May</x:v>
      </x:c>
      <x:c r="F1513" s="84" t="str">
        <x:f>'Raw Sales'!C1513</x:f>
        <x:v>CUST-0543</x:v>
      </x:c>
      <x:c r="G1513" s="84" t="str">
        <x:f>PROPER(TRIM('Raw Sales'!D1513))</x:f>
        <x:v>Marcus Quinn</x:v>
      </x:c>
      <x:c r="H1513" s="84" t="str">
        <x:f>IF(TRIM('Raw Sales'!E1513)="","Unknown",PROPER(TRIM('Raw Sales'!E1513)))</x:f>
        <x:v>Consumer</x:v>
      </x:c>
      <x:c r="I1513" s="84" t="str">
        <x:f>PROPER(TRIM('Raw Sales'!F1513))</x:f>
        <x:v>Southeast</x:v>
      </x:c>
      <x:c r="J1513" s="84" t="str">
        <x:f>PROPER(TRIM('Raw Sales'!G1513))</x:f>
        <x:v>Charlotte</x:v>
      </x:c>
      <x:c r="K1513" s="84" t="str">
        <x:f>PROPER(TRIM('Raw Sales'!H1513))</x:f>
        <x:v>Marketplace</x:v>
      </x:c>
      <x:c r="L1513" s="84" t="str">
        <x:f>'Raw Sales'!I1513</x:f>
        <x:v>OFFC-001</x:v>
      </x:c>
      <x:c r="M1513" s="84" t="str">
        <x:f>IFERROR(VLOOKUP(L1513,'Reference Data'!$A$5:$F$40,2,FALSE),"Unknown Product")</x:f>
        <x:v>Ergonomic Chair</x:v>
      </x:c>
      <x:c r="N1513" s="84" t="str">
        <x:f>IFERROR(VLOOKUP(L1513,'Reference Data'!$A$5:$F$40,3,FALSE),"Unknown")</x:f>
        <x:v>Office</x:v>
      </x:c>
      <x:c r="O1513" s="84" t="str">
        <x:f>IFERROR(VLOOKUP(L1513,'Reference Data'!$A$5:$F$40,4,FALSE),"Unknown")</x:f>
        <x:v>Furniture</x:v>
      </x:c>
      <x:c r="P1513" s="92" t="n">
        <x:f>IFERROR(VLOOKUP(L1513,'Reference Data'!$A$5:$F$40,5,FALSE),0)</x:f>
        <x:v>249</x:v>
      </x:c>
      <x:c r="Q1513" s="92" t="n">
        <x:f>IFERROR(VLOOKUP(L1513,'Reference Data'!$A$5:$F$40,6,FALSE),0)</x:f>
        <x:v>145</x:v>
      </x:c>
      <x:c r="R1513" s="84" t="n">
        <x:f>'Raw Sales'!J1513</x:f>
        <x:v>3</x:v>
      </x:c>
      <x:c r="S1513" s="87" t="n">
        <x:f>'Raw Sales'!K1513</x:f>
        <x:v>0.05</x:v>
      </x:c>
      <x:c r="T1513" s="93" t="n">
        <x:f>P1513*R1513</x:f>
        <x:v>747</x:v>
      </x:c>
      <x:c r="U1513" s="93" t="n">
        <x:f>T1513*S1513</x:f>
        <x:v>37.35</x:v>
      </x:c>
      <x:c r="V1513" s="93" t="str">
        <x:f>PROPER(TRIM('Raw Sales'!L1513))</x:f>
        <x:v>Completed</x:v>
      </x:c>
      <x:c r="W1513" s="93" t="n">
        <x:f>IF(V1513="Returned",0,T1513-U1513)</x:f>
        <x:v>709.65</x:v>
      </x:c>
      <x:c r="X1513" s="93" t="n">
        <x:f>IF(V1513="Returned",Q1513*R1513*10%,Q1513*R1513)</x:f>
        <x:v>435</x:v>
      </x:c>
      <x:c r="Y1513" s="93" t="n">
        <x:f>W1513-X1513</x:f>
        <x:v>274.65</x:v>
      </x:c>
      <x:c r="Z1513" s="94" t="n">
        <x:f>IFERROR(Y1513/W1513,0)</x:f>
        <x:v>0.38702177129570914</x:v>
      </x:c>
      <x:c r="AA1513" s="84" t="str">
        <x:f>PROPER(TRIM('Raw Sales'!M1513))</x:f>
        <x:v>Credit Card</x:v>
      </x:c>
      <x:c r="AB1513" s="84" t="str">
        <x:f>PROPER(TRIM('Raw Sales'!N1513))</x:f>
        <x:v>Liam Parker</x:v>
      </x:c>
      <x:c r="AC1513" s="85" t="n">
        <x:f>'Raw Sales'!O1513</x:f>
        <x:v>45799</x:v>
      </x:c>
      <x:c r="AD1513" s="84" t="n">
        <x:f>AC1513-B1513</x:f>
        <x:v>6</x:v>
      </x:c>
      <x:c r="AE1513" s="84" t="str">
        <x:f>IF(COUNTIF($A$5:A1513,A1513)&gt;1,"Duplicate","Keep")</x:f>
        <x:v>Keep</x:v>
      </x:c>
      <x:c r="AF1513" s="84" t="str">
        <x:f>IF(OR(R1513&lt;=0,AC1513&lt;B1513,H1513="Unknown",M1513="Unknown Product"),"Review","Valid")</x:f>
        <x:v>Valid</x:v>
      </x:c>
      <x:c r="AG1513" s="84" t="n">
        <x:f>IF(AND(AE1513="Keep",AF1513="Valid"),1,0)</x:f>
        <x:v>1</x:v>
      </x:c>
      <x:c r="AH1513" s="84" t="n">
        <x:f>IF(AND(AG1513=1,OR('Dashboard'!$B$4="All",I1513='Dashboard'!$B$4),OR('Dashboard'!$E$4="All",N1513='Dashboard'!$E$4),OR('Dashboard'!$H$4="All",K1513='Dashboard'!$H$4),OR('Dashboard'!$K$4="All",C1513='Dashboard'!$K$4)),1,0)</x:f>
        <x:v>1</x:v>
      </x:c>
      <x:c r="AI1513" s="84" t="n">
        <x:f>IF(AND(AG1513=1,OR('Dashboard'!$B$4="All",I1513='Dashboard'!$B$4),OR('Dashboard'!$E$4="All",N1513='Dashboard'!$E$4),OR('Dashboard'!$H$4="All",K1513='Dashboard'!$H$4)),1,0)</x:f>
        <x:v>1</x:v>
      </x:c>
    </x:row>
    <x:row r="1514">
      <x:c r="A1514" s="84" t="str">
        <x:f>'Raw Sales'!A1514</x:f>
        <x:v>ORD-2025-02048</x:v>
      </x:c>
      <x:c r="B1514" s="85" t="n">
        <x:f>'Raw Sales'!B1514</x:f>
        <x:v>45793</x:v>
      </x:c>
      <x:c r="C1514" s="84" t="n">
        <x:f>YEAR(B1514)</x:f>
        <x:v>2025</x:v>
      </x:c>
      <x:c r="D1514" s="91" t="n">
        <x:f>DATE(YEAR(B1514),MONTH(B1514),1)</x:f>
        <x:v>45778</x:v>
      </x:c>
      <x:c r="E1514" s="84" t="str">
        <x:f>TEXT(B1514,"mmm")</x:f>
        <x:v>May</x:v>
      </x:c>
      <x:c r="F1514" s="84" t="str">
        <x:f>'Raw Sales'!C1514</x:f>
        <x:v>CUST-0628</x:v>
      </x:c>
      <x:c r="G1514" s="84" t="str">
        <x:f>PROPER(TRIM('Raw Sales'!D1514))</x:f>
        <x:v>Isaac Young</x:v>
      </x:c>
      <x:c r="H1514" s="84" t="str">
        <x:f>IF(TRIM('Raw Sales'!E1514)="","Unknown",PROPER(TRIM('Raw Sales'!E1514)))</x:f>
        <x:v>Small Business</x:v>
      </x:c>
      <x:c r="I1514" s="84" t="str">
        <x:f>PROPER(TRIM('Raw Sales'!F1514))</x:f>
        <x:v>West</x:v>
      </x:c>
      <x:c r="J1514" s="84" t="str">
        <x:f>PROPER(TRIM('Raw Sales'!G1514))</x:f>
        <x:v>Denver</x:v>
      </x:c>
      <x:c r="K1514" s="84" t="str">
        <x:f>PROPER(TRIM('Raw Sales'!H1514))</x:f>
        <x:v>Marketplace</x:v>
      </x:c>
      <x:c r="L1514" s="84" t="str">
        <x:f>'Raw Sales'!I1514</x:f>
        <x:v>ACCS-004</x:v>
      </x:c>
      <x:c r="M1514" s="84" t="str">
        <x:f>IFERROR(VLOOKUP(L1514,'Reference Data'!$A$5:$F$40,2,FALSE),"Unknown Product")</x:f>
        <x:v>Leather Wallet</x:v>
      </x:c>
      <x:c r="N1514" s="84" t="str">
        <x:f>IFERROR(VLOOKUP(L1514,'Reference Data'!$A$5:$F$40,3,FALSE),"Unknown")</x:f>
        <x:v>Accessories</x:v>
      </x:c>
      <x:c r="O1514" s="84" t="str">
        <x:f>IFERROR(VLOOKUP(L1514,'Reference Data'!$A$5:$F$40,4,FALSE),"Unknown")</x:f>
        <x:v>Wallets</x:v>
      </x:c>
      <x:c r="P1514" s="92" t="n">
        <x:f>IFERROR(VLOOKUP(L1514,'Reference Data'!$A$5:$F$40,5,FALSE),0)</x:f>
        <x:v>49</x:v>
      </x:c>
      <x:c r="Q1514" s="92" t="n">
        <x:f>IFERROR(VLOOKUP(L1514,'Reference Data'!$A$5:$F$40,6,FALSE),0)</x:f>
        <x:v>18</x:v>
      </x:c>
      <x:c r="R1514" s="84" t="n">
        <x:f>'Raw Sales'!J1514</x:f>
        <x:v>3</x:v>
      </x:c>
      <x:c r="S1514" s="87" t="n">
        <x:f>'Raw Sales'!K1514</x:f>
        <x:v>0.15</x:v>
      </x:c>
      <x:c r="T1514" s="93" t="n">
        <x:f>P1514*R1514</x:f>
        <x:v>147</x:v>
      </x:c>
      <x:c r="U1514" s="93" t="n">
        <x:f>T1514*S1514</x:f>
        <x:v>22.05</x:v>
      </x:c>
      <x:c r="V1514" s="93" t="str">
        <x:f>PROPER(TRIM('Raw Sales'!L1514))</x:f>
        <x:v>Completed</x:v>
      </x:c>
      <x:c r="W1514" s="93" t="n">
        <x:f>IF(V1514="Returned",0,T1514-U1514)</x:f>
        <x:v>124.95</x:v>
      </x:c>
      <x:c r="X1514" s="93" t="n">
        <x:f>IF(V1514="Returned",Q1514*R1514*10%,Q1514*R1514)</x:f>
        <x:v>54</x:v>
      </x:c>
      <x:c r="Y1514" s="93" t="n">
        <x:f>W1514-X1514</x:f>
        <x:v>70.95</x:v>
      </x:c>
      <x:c r="Z1514" s="94" t="n">
        <x:f>IFERROR(Y1514/W1514,0)</x:f>
        <x:v>0.5678271308523409</x:v>
      </x:c>
      <x:c r="AA1514" s="84" t="str">
        <x:f>PROPER(TRIM('Raw Sales'!M1514))</x:f>
        <x:v>Paypal</x:v>
      </x:c>
      <x:c r="AB1514" s="84" t="str">
        <x:f>PROPER(TRIM('Raw Sales'!N1514))</x:f>
        <x:v>Leo Martinez</x:v>
      </x:c>
      <x:c r="AC1514" s="85" t="n">
        <x:f>'Raw Sales'!O1514</x:f>
        <x:v>45797</x:v>
      </x:c>
      <x:c r="AD1514" s="84" t="n">
        <x:f>AC1514-B1514</x:f>
        <x:v>4</x:v>
      </x:c>
      <x:c r="AE1514" s="84" t="str">
        <x:f>IF(COUNTIF($A$5:A1514,A1514)&gt;1,"Duplicate","Keep")</x:f>
        <x:v>Keep</x:v>
      </x:c>
      <x:c r="AF1514" s="84" t="str">
        <x:f>IF(OR(R1514&lt;=0,AC1514&lt;B1514,H1514="Unknown",M1514="Unknown Product"),"Review","Valid")</x:f>
        <x:v>Valid</x:v>
      </x:c>
      <x:c r="AG1514" s="84" t="n">
        <x:f>IF(AND(AE1514="Keep",AF1514="Valid"),1,0)</x:f>
        <x:v>1</x:v>
      </x:c>
      <x:c r="AH1514" s="84" t="n">
        <x:f>IF(AND(AG1514=1,OR('Dashboard'!$B$4="All",I1514='Dashboard'!$B$4),OR('Dashboard'!$E$4="All",N1514='Dashboard'!$E$4),OR('Dashboard'!$H$4="All",K1514='Dashboard'!$H$4),OR('Dashboard'!$K$4="All",C1514='Dashboard'!$K$4)),1,0)</x:f>
        <x:v>1</x:v>
      </x:c>
      <x:c r="AI1514" s="84" t="n">
        <x:f>IF(AND(AG1514=1,OR('Dashboard'!$B$4="All",I1514='Dashboard'!$B$4),OR('Dashboard'!$E$4="All",N1514='Dashboard'!$E$4),OR('Dashboard'!$H$4="All",K1514='Dashboard'!$H$4)),1,0)</x:f>
        <x:v>1</x:v>
      </x:c>
    </x:row>
    <x:row r="1515">
      <x:c r="A1515" s="84" t="str">
        <x:f>'Raw Sales'!A1515</x:f>
        <x:v>ORD-2025-01056</x:v>
      </x:c>
      <x:c r="B1515" s="85" t="n">
        <x:f>'Raw Sales'!B1515</x:f>
        <x:v>45794</x:v>
      </x:c>
      <x:c r="C1515" s="84" t="n">
        <x:f>YEAR(B1515)</x:f>
        <x:v>2025</x:v>
      </x:c>
      <x:c r="D1515" s="91" t="n">
        <x:f>DATE(YEAR(B1515),MONTH(B1515),1)</x:f>
        <x:v>45778</x:v>
      </x:c>
      <x:c r="E1515" s="84" t="str">
        <x:f>TEXT(B1515,"mmm")</x:f>
        <x:v>May</x:v>
      </x:c>
      <x:c r="F1515" s="84" t="str">
        <x:f>'Raw Sales'!C1515</x:f>
        <x:v>CUST-0198</x:v>
      </x:c>
      <x:c r="G1515" s="84" t="str">
        <x:f>PROPER(TRIM('Raw Sales'!D1515))</x:f>
        <x:v>Jonah Baker</x:v>
      </x:c>
      <x:c r="H1515" s="84" t="str">
        <x:f>IF(TRIM('Raw Sales'!E1515)="","Unknown",PROPER(TRIM('Raw Sales'!E1515)))</x:f>
        <x:v>Consumer</x:v>
      </x:c>
      <x:c r="I1515" s="84" t="str">
        <x:f>PROPER(TRIM('Raw Sales'!F1515))</x:f>
        <x:v>Southeast</x:v>
      </x:c>
      <x:c r="J1515" s="84" t="str">
        <x:f>PROPER(TRIM('Raw Sales'!G1515))</x:f>
        <x:v>Atlanta</x:v>
      </x:c>
      <x:c r="K1515" s="84" t="str">
        <x:f>PROPER(TRIM('Raw Sales'!H1515))</x:f>
        <x:v>Marketplace</x:v>
      </x:c>
      <x:c r="L1515" s="84" t="str">
        <x:f>'Raw Sales'!I1515</x:f>
        <x:v>ACCS-001</x:v>
      </x:c>
      <x:c r="M1515" s="84" t="str">
        <x:f>IFERROR(VLOOKUP(L1515,'Reference Data'!$A$5:$F$40,2,FALSE),"Unknown Product")</x:f>
        <x:v>Canvas Tote Bag</x:v>
      </x:c>
      <x:c r="N1515" s="84" t="str">
        <x:f>IFERROR(VLOOKUP(L1515,'Reference Data'!$A$5:$F$40,3,FALSE),"Unknown")</x:f>
        <x:v>Accessories</x:v>
      </x:c>
      <x:c r="O1515" s="84" t="str">
        <x:f>IFERROR(VLOOKUP(L1515,'Reference Data'!$A$5:$F$40,4,FALSE),"Unknown")</x:f>
        <x:v>Bags</x:v>
      </x:c>
      <x:c r="P1515" s="92" t="n">
        <x:f>IFERROR(VLOOKUP(L1515,'Reference Data'!$A$5:$F$40,5,FALSE),0)</x:f>
        <x:v>39</x:v>
      </x:c>
      <x:c r="Q1515" s="92" t="n">
        <x:f>IFERROR(VLOOKUP(L1515,'Reference Data'!$A$5:$F$40,6,FALSE),0)</x:f>
        <x:v>14</x:v>
      </x:c>
      <x:c r="R1515" s="84" t="n">
        <x:f>'Raw Sales'!J1515</x:f>
        <x:v>3</x:v>
      </x:c>
      <x:c r="S1515" s="87" t="n">
        <x:f>'Raw Sales'!K1515</x:f>
        <x:v>0.1</x:v>
      </x:c>
      <x:c r="T1515" s="93" t="n">
        <x:f>P1515*R1515</x:f>
        <x:v>117</x:v>
      </x:c>
      <x:c r="U1515" s="93" t="n">
        <x:f>T1515*S1515</x:f>
        <x:v>11.700000000000001</x:v>
      </x:c>
      <x:c r="V1515" s="93" t="str">
        <x:f>PROPER(TRIM('Raw Sales'!L1515))</x:f>
        <x:v>Completed</x:v>
      </x:c>
      <x:c r="W1515" s="93" t="n">
        <x:f>IF(V1515="Returned",0,T1515-U1515)</x:f>
        <x:v>105.3</x:v>
      </x:c>
      <x:c r="X1515" s="93" t="n">
        <x:f>IF(V1515="Returned",Q1515*R1515*10%,Q1515*R1515)</x:f>
        <x:v>42</x:v>
      </x:c>
      <x:c r="Y1515" s="93" t="n">
        <x:f>W1515-X1515</x:f>
        <x:v>63.3</x:v>
      </x:c>
      <x:c r="Z1515" s="94" t="n">
        <x:f>IFERROR(Y1515/W1515,0)</x:f>
        <x:v>0.6011396011396011</x:v>
      </x:c>
      <x:c r="AA1515" s="84" t="str">
        <x:f>PROPER(TRIM('Raw Sales'!M1515))</x:f>
        <x:v>Credit Card</x:v>
      </x:c>
      <x:c r="AB1515" s="84" t="str">
        <x:f>PROPER(TRIM('Raw Sales'!N1515))</x:f>
        <x:v>Ava Mitchell</x:v>
      </x:c>
      <x:c r="AC1515" s="85" t="n">
        <x:f>'Raw Sales'!O1515</x:f>
        <x:v>45799</x:v>
      </x:c>
      <x:c r="AD1515" s="84" t="n">
        <x:f>AC1515-B1515</x:f>
        <x:v>5</x:v>
      </x:c>
      <x:c r="AE1515" s="84" t="str">
        <x:f>IF(COUNTIF($A$5:A1515,A1515)&gt;1,"Duplicate","Keep")</x:f>
        <x:v>Keep</x:v>
      </x:c>
      <x:c r="AF1515" s="84" t="str">
        <x:f>IF(OR(R1515&lt;=0,AC1515&lt;B1515,H1515="Unknown",M1515="Unknown Product"),"Review","Valid")</x:f>
        <x:v>Valid</x:v>
      </x:c>
      <x:c r="AG1515" s="84" t="n">
        <x:f>IF(AND(AE1515="Keep",AF1515="Valid"),1,0)</x:f>
        <x:v>1</x:v>
      </x:c>
      <x:c r="AH1515" s="84" t="n">
        <x:f>IF(AND(AG1515=1,OR('Dashboard'!$B$4="All",I1515='Dashboard'!$B$4),OR('Dashboard'!$E$4="All",N1515='Dashboard'!$E$4),OR('Dashboard'!$H$4="All",K1515='Dashboard'!$H$4),OR('Dashboard'!$K$4="All",C1515='Dashboard'!$K$4)),1,0)</x:f>
        <x:v>1</x:v>
      </x:c>
      <x:c r="AI1515" s="84" t="n">
        <x:f>IF(AND(AG1515=1,OR('Dashboard'!$B$4="All",I1515='Dashboard'!$B$4),OR('Dashboard'!$E$4="All",N1515='Dashboard'!$E$4),OR('Dashboard'!$H$4="All",K1515='Dashboard'!$H$4)),1,0)</x:f>
        <x:v>1</x:v>
      </x:c>
    </x:row>
    <x:row r="1516">
      <x:c r="A1516" s="84" t="str">
        <x:f>'Raw Sales'!A1516</x:f>
        <x:v>ORD-2025-01481</x:v>
      </x:c>
      <x:c r="B1516" s="85" t="n">
        <x:f>'Raw Sales'!B1516</x:f>
        <x:v>45795</x:v>
      </x:c>
      <x:c r="C1516" s="84" t="n">
        <x:f>YEAR(B1516)</x:f>
        <x:v>2025</x:v>
      </x:c>
      <x:c r="D1516" s="91" t="n">
        <x:f>DATE(YEAR(B1516),MONTH(B1516),1)</x:f>
        <x:v>45778</x:v>
      </x:c>
      <x:c r="E1516" s="84" t="str">
        <x:f>TEXT(B1516,"mmm")</x:f>
        <x:v>May</x:v>
      </x:c>
      <x:c r="F1516" s="84" t="str">
        <x:f>'Raw Sales'!C1516</x:f>
        <x:v>CUST-0267</x:v>
      </x:c>
      <x:c r="G1516" s="84" t="str">
        <x:f>PROPER(TRIM('Raw Sales'!D1516))</x:f>
        <x:v>Theo Taylor</x:v>
      </x:c>
      <x:c r="H1516" s="84" t="str">
        <x:f>IF(TRIM('Raw Sales'!E1516)="","Unknown",PROPER(TRIM('Raw Sales'!E1516)))</x:f>
        <x:v>Consumer</x:v>
      </x:c>
      <x:c r="I1516" s="84" t="str">
        <x:f>PROPER(TRIM('Raw Sales'!F1516))</x:f>
        <x:v>West</x:v>
      </x:c>
      <x:c r="J1516" s="84" t="str">
        <x:f>PROPER(TRIM('Raw Sales'!G1516))</x:f>
        <x:v>Denver</x:v>
      </x:c>
      <x:c r="K1516" s="84" t="str">
        <x:f>PROPER(TRIM('Raw Sales'!H1516))</x:f>
        <x:v>Retail Store</x:v>
      </x:c>
      <x:c r="L1516" s="84" t="str">
        <x:f>'Raw Sales'!I1516</x:f>
        <x:v>FITN-003</x:v>
      </x:c>
      <x:c r="M1516" s="84" t="str">
        <x:f>IFERROR(VLOOKUP(L1516,'Reference Data'!$A$5:$F$40,2,FALSE),"Unknown Product")</x:f>
        <x:v>Resistance Band Set</x:v>
      </x:c>
      <x:c r="N1516" s="84" t="str">
        <x:f>IFERROR(VLOOKUP(L1516,'Reference Data'!$A$5:$F$40,3,FALSE),"Unknown")</x:f>
        <x:v>Fitness</x:v>
      </x:c>
      <x:c r="O1516" s="84" t="str">
        <x:f>IFERROR(VLOOKUP(L1516,'Reference Data'!$A$5:$F$40,4,FALSE),"Unknown")</x:f>
        <x:v>Strength</x:v>
      </x:c>
      <x:c r="P1516" s="92" t="n">
        <x:f>IFERROR(VLOOKUP(L1516,'Reference Data'!$A$5:$F$40,5,FALSE),0)</x:f>
        <x:v>24</x:v>
      </x:c>
      <x:c r="Q1516" s="92" t="n">
        <x:f>IFERROR(VLOOKUP(L1516,'Reference Data'!$A$5:$F$40,6,FALSE),0)</x:f>
        <x:v>8</x:v>
      </x:c>
      <x:c r="R1516" s="84" t="n">
        <x:f>'Raw Sales'!J1516</x:f>
        <x:v>2</x:v>
      </x:c>
      <x:c r="S1516" s="87" t="n">
        <x:f>'Raw Sales'!K1516</x:f>
        <x:v>0</x:v>
      </x:c>
      <x:c r="T1516" s="93" t="n">
        <x:f>P1516*R1516</x:f>
        <x:v>48</x:v>
      </x:c>
      <x:c r="U1516" s="93" t="n">
        <x:f>T1516*S1516</x:f>
        <x:v>0</x:v>
      </x:c>
      <x:c r="V1516" s="93" t="str">
        <x:f>PROPER(TRIM('Raw Sales'!L1516))</x:f>
        <x:v>Completed</x:v>
      </x:c>
      <x:c r="W1516" s="93" t="n">
        <x:f>IF(V1516="Returned",0,T1516-U1516)</x:f>
        <x:v>48</x:v>
      </x:c>
      <x:c r="X1516" s="93" t="n">
        <x:f>IF(V1516="Returned",Q1516*R1516*10%,Q1516*R1516)</x:f>
        <x:v>16</x:v>
      </x:c>
      <x:c r="Y1516" s="93" t="n">
        <x:f>W1516-X1516</x:f>
        <x:v>32</x:v>
      </x:c>
      <x:c r="Z1516" s="94" t="n">
        <x:f>IFERROR(Y1516/W1516,0)</x:f>
        <x:v>0.6666666666666666</x:v>
      </x:c>
      <x:c r="AA1516" s="84" t="str">
        <x:f>PROPER(TRIM('Raw Sales'!M1516))</x:f>
        <x:v>Credit Card</x:v>
      </x:c>
      <x:c r="AB1516" s="84" t="str">
        <x:f>PROPER(TRIM('Raw Sales'!N1516))</x:f>
        <x:v>Leo Martinez</x:v>
      </x:c>
      <x:c r="AC1516" s="85" t="n">
        <x:f>'Raw Sales'!O1516</x:f>
        <x:v>45795</x:v>
      </x:c>
      <x:c r="AD1516" s="84" t="n">
        <x:f>AC1516-B1516</x:f>
        <x:v>0</x:v>
      </x:c>
      <x:c r="AE1516" s="84" t="str">
        <x:f>IF(COUNTIF($A$5:A1516,A1516)&gt;1,"Duplicate","Keep")</x:f>
        <x:v>Keep</x:v>
      </x:c>
      <x:c r="AF1516" s="84" t="str">
        <x:f>IF(OR(R1516&lt;=0,AC1516&lt;B1516,H1516="Unknown",M1516="Unknown Product"),"Review","Valid")</x:f>
        <x:v>Valid</x:v>
      </x:c>
      <x:c r="AG1516" s="84" t="n">
        <x:f>IF(AND(AE1516="Keep",AF1516="Valid"),1,0)</x:f>
        <x:v>1</x:v>
      </x:c>
      <x:c r="AH1516" s="84" t="n">
        <x:f>IF(AND(AG1516=1,OR('Dashboard'!$B$4="All",I1516='Dashboard'!$B$4),OR('Dashboard'!$E$4="All",N1516='Dashboard'!$E$4),OR('Dashboard'!$H$4="All",K1516='Dashboard'!$H$4),OR('Dashboard'!$K$4="All",C1516='Dashboard'!$K$4)),1,0)</x:f>
        <x:v>1</x:v>
      </x:c>
      <x:c r="AI1516" s="84" t="n">
        <x:f>IF(AND(AG1516=1,OR('Dashboard'!$B$4="All",I1516='Dashboard'!$B$4),OR('Dashboard'!$E$4="All",N1516='Dashboard'!$E$4),OR('Dashboard'!$H$4="All",K1516='Dashboard'!$H$4)),1,0)</x:f>
        <x:v>1</x:v>
      </x:c>
    </x:row>
    <x:row r="1517">
      <x:c r="A1517" s="84" t="str">
        <x:f>'Raw Sales'!A1517</x:f>
        <x:v>ORD-2025-02381</x:v>
      </x:c>
      <x:c r="B1517" s="85" t="n">
        <x:f>'Raw Sales'!B1517</x:f>
        <x:v>45795</x:v>
      </x:c>
      <x:c r="C1517" s="84" t="n">
        <x:f>YEAR(B1517)</x:f>
        <x:v>2025</x:v>
      </x:c>
      <x:c r="D1517" s="91" t="n">
        <x:f>DATE(YEAR(B1517),MONTH(B1517),1)</x:f>
        <x:v>45778</x:v>
      </x:c>
      <x:c r="E1517" s="84" t="str">
        <x:f>TEXT(B1517,"mmm")</x:f>
        <x:v>May</x:v>
      </x:c>
      <x:c r="F1517" s="84" t="str">
        <x:f>'Raw Sales'!C1517</x:f>
        <x:v>CUST-0559</x:v>
      </x:c>
      <x:c r="G1517" s="84" t="str">
        <x:f>PROPER(TRIM('Raw Sales'!D1517))</x:f>
        <x:v>Amelia Evans</x:v>
      </x:c>
      <x:c r="H1517" s="84" t="str">
        <x:f>IF(TRIM('Raw Sales'!E1517)="","Unknown",PROPER(TRIM('Raw Sales'!E1517)))</x:f>
        <x:v>Consumer</x:v>
      </x:c>
      <x:c r="I1517" s="84" t="str">
        <x:f>PROPER(TRIM('Raw Sales'!F1517))</x:f>
        <x:v>Midwest</x:v>
      </x:c>
      <x:c r="J1517" s="84" t="str">
        <x:f>PROPER(TRIM('Raw Sales'!G1517))</x:f>
        <x:v>Minneapolis</x:v>
      </x:c>
      <x:c r="K1517" s="84" t="str">
        <x:f>PROPER(TRIM('Raw Sales'!H1517))</x:f>
        <x:v>Marketplace</x:v>
      </x:c>
      <x:c r="L1517" s="84" t="str">
        <x:f>'Raw Sales'!I1517</x:f>
        <x:v>ACCS-002</x:v>
      </x:c>
      <x:c r="M1517" s="84" t="str">
        <x:f>IFERROR(VLOOKUP(L1517,'Reference Data'!$A$5:$F$40,2,FALSE),"Unknown Product")</x:f>
        <x:v>Travel Backpack</x:v>
      </x:c>
      <x:c r="N1517" s="84" t="str">
        <x:f>IFERROR(VLOOKUP(L1517,'Reference Data'!$A$5:$F$40,3,FALSE),"Unknown")</x:f>
        <x:v>Accessories</x:v>
      </x:c>
      <x:c r="O1517" s="84" t="str">
        <x:f>IFERROR(VLOOKUP(L1517,'Reference Data'!$A$5:$F$40,4,FALSE),"Unknown")</x:f>
        <x:v>Bags</x:v>
      </x:c>
      <x:c r="P1517" s="92" t="n">
        <x:f>IFERROR(VLOOKUP(L1517,'Reference Data'!$A$5:$F$40,5,FALSE),0)</x:f>
        <x:v>89</x:v>
      </x:c>
      <x:c r="Q1517" s="92" t="n">
        <x:f>IFERROR(VLOOKUP(L1517,'Reference Data'!$A$5:$F$40,6,FALSE),0)</x:f>
        <x:v>36</x:v>
      </x:c>
      <x:c r="R1517" s="84" t="n">
        <x:f>'Raw Sales'!J1517</x:f>
        <x:v>1</x:v>
      </x:c>
      <x:c r="S1517" s="87" t="n">
        <x:f>'Raw Sales'!K1517</x:f>
        <x:v>0.15</x:v>
      </x:c>
      <x:c r="T1517" s="93" t="n">
        <x:f>P1517*R1517</x:f>
        <x:v>89</x:v>
      </x:c>
      <x:c r="U1517" s="93" t="n">
        <x:f>T1517*S1517</x:f>
        <x:v>13.35</x:v>
      </x:c>
      <x:c r="V1517" s="93" t="str">
        <x:f>PROPER(TRIM('Raw Sales'!L1517))</x:f>
        <x:v>Completed</x:v>
      </x:c>
      <x:c r="W1517" s="93" t="n">
        <x:f>IF(V1517="Returned",0,T1517-U1517)</x:f>
        <x:v>75.65</x:v>
      </x:c>
      <x:c r="X1517" s="93" t="n">
        <x:f>IF(V1517="Returned",Q1517*R1517*10%,Q1517*R1517)</x:f>
        <x:v>36</x:v>
      </x:c>
      <x:c r="Y1517" s="93" t="n">
        <x:f>W1517-X1517</x:f>
        <x:v>39.650000000000006</x:v>
      </x:c>
      <x:c r="Z1517" s="94" t="n">
        <x:f>IFERROR(Y1517/W1517,0)</x:f>
        <x:v>0.5241242564441507</x:v>
      </x:c>
      <x:c r="AA1517" s="84" t="str">
        <x:f>PROPER(TRIM('Raw Sales'!M1517))</x:f>
        <x:v>Debit Card</x:v>
      </x:c>
      <x:c r="AB1517" s="84" t="str">
        <x:f>PROPER(TRIM('Raw Sales'!N1517))</x:f>
        <x:v>Emma Hayes</x:v>
      </x:c>
      <x:c r="AC1517" s="85" t="n">
        <x:f>'Raw Sales'!O1517</x:f>
        <x:v>45800</x:v>
      </x:c>
      <x:c r="AD1517" s="84" t="n">
        <x:f>AC1517-B1517</x:f>
        <x:v>5</x:v>
      </x:c>
      <x:c r="AE1517" s="84" t="str">
        <x:f>IF(COUNTIF($A$5:A1517,A1517)&gt;1,"Duplicate","Keep")</x:f>
        <x:v>Keep</x:v>
      </x:c>
      <x:c r="AF1517" s="84" t="str">
        <x:f>IF(OR(R1517&lt;=0,AC1517&lt;B1517,H1517="Unknown",M1517="Unknown Product"),"Review","Valid")</x:f>
        <x:v>Valid</x:v>
      </x:c>
      <x:c r="AG1517" s="84" t="n">
        <x:f>IF(AND(AE1517="Keep",AF1517="Valid"),1,0)</x:f>
        <x:v>1</x:v>
      </x:c>
      <x:c r="AH1517" s="84" t="n">
        <x:f>IF(AND(AG1517=1,OR('Dashboard'!$B$4="All",I1517='Dashboard'!$B$4),OR('Dashboard'!$E$4="All",N1517='Dashboard'!$E$4),OR('Dashboard'!$H$4="All",K1517='Dashboard'!$H$4),OR('Dashboard'!$K$4="All",C1517='Dashboard'!$K$4)),1,0)</x:f>
        <x:v>1</x:v>
      </x:c>
      <x:c r="AI1517" s="84" t="n">
        <x:f>IF(AND(AG1517=1,OR('Dashboard'!$B$4="All",I1517='Dashboard'!$B$4),OR('Dashboard'!$E$4="All",N1517='Dashboard'!$E$4),OR('Dashboard'!$H$4="All",K1517='Dashboard'!$H$4)),1,0)</x:f>
        <x:v>1</x:v>
      </x:c>
    </x:row>
    <x:row r="1518">
      <x:c r="A1518" s="84" t="str">
        <x:f>'Raw Sales'!A1518</x:f>
        <x:v>ORD-2025-00050</x:v>
      </x:c>
      <x:c r="B1518" s="85" t="n">
        <x:f>'Raw Sales'!B1518</x:f>
        <x:v>45796</x:v>
      </x:c>
      <x:c r="C1518" s="84" t="n">
        <x:f>YEAR(B1518)</x:f>
        <x:v>2025</x:v>
      </x:c>
      <x:c r="D1518" s="91" t="n">
        <x:f>DATE(YEAR(B1518),MONTH(B1518),1)</x:f>
        <x:v>45778</x:v>
      </x:c>
      <x:c r="E1518" s="84" t="str">
        <x:f>TEXT(B1518,"mmm")</x:f>
        <x:v>May</x:v>
      </x:c>
      <x:c r="F1518" s="84" t="str">
        <x:f>'Raw Sales'!C1518</x:f>
        <x:v>CUST-0513</x:v>
      </x:c>
      <x:c r="G1518" s="84" t="str">
        <x:f>PROPER(TRIM('Raw Sales'!D1518))</x:f>
        <x:v>Zara Davis</x:v>
      </x:c>
      <x:c r="H1518" s="84" t="str">
        <x:f>IF(TRIM('Raw Sales'!E1518)="","Unknown",PROPER(TRIM('Raw Sales'!E1518)))</x:f>
        <x:v>Small Business</x:v>
      </x:c>
      <x:c r="I1518" s="84" t="str">
        <x:f>PROPER(TRIM('Raw Sales'!F1518))</x:f>
        <x:v>Midwest</x:v>
      </x:c>
      <x:c r="J1518" s="84" t="str">
        <x:f>PROPER(TRIM('Raw Sales'!G1518))</x:f>
        <x:v>Chicago</x:v>
      </x:c>
      <x:c r="K1518" s="84" t="str">
        <x:f>PROPER(TRIM('Raw Sales'!H1518))</x:f>
        <x:v>Marketplace</x:v>
      </x:c>
      <x:c r="L1518" s="84" t="str">
        <x:f>'Raw Sales'!I1518</x:f>
        <x:v>ELEC-006</x:v>
      </x:c>
      <x:c r="M1518" s="84" t="str">
        <x:f>IFERROR(VLOOKUP(L1518,'Reference Data'!$A$5:$F$40,2,FALSE),"Unknown Product")</x:f>
        <x:v>Portable SSD</x:v>
      </x:c>
      <x:c r="N1518" s="84" t="str">
        <x:f>IFERROR(VLOOKUP(L1518,'Reference Data'!$A$5:$F$40,3,FALSE),"Unknown")</x:f>
        <x:v>Electronics</x:v>
      </x:c>
      <x:c r="O1518" s="84" t="str">
        <x:f>IFERROR(VLOOKUP(L1518,'Reference Data'!$A$5:$F$40,4,FALSE),"Unknown")</x:f>
        <x:v>Storage</x:v>
      </x:c>
      <x:c r="P1518" s="92" t="n">
        <x:f>IFERROR(VLOOKUP(L1518,'Reference Data'!$A$5:$F$40,5,FALSE),0)</x:f>
        <x:v>129</x:v>
      </x:c>
      <x:c r="Q1518" s="92" t="n">
        <x:f>IFERROR(VLOOKUP(L1518,'Reference Data'!$A$5:$F$40,6,FALSE),0)</x:f>
        <x:v>75</x:v>
      </x:c>
      <x:c r="R1518" s="84" t="n">
        <x:f>'Raw Sales'!J1518</x:f>
        <x:v>1</x:v>
      </x:c>
      <x:c r="S1518" s="87" t="n">
        <x:f>'Raw Sales'!K1518</x:f>
        <x:v>0.1</x:v>
      </x:c>
      <x:c r="T1518" s="93" t="n">
        <x:f>P1518*R1518</x:f>
        <x:v>129</x:v>
      </x:c>
      <x:c r="U1518" s="93" t="n">
        <x:f>T1518*S1518</x:f>
        <x:v>12.9</x:v>
      </x:c>
      <x:c r="V1518" s="93" t="str">
        <x:f>PROPER(TRIM('Raw Sales'!L1518))</x:f>
        <x:v>Completed</x:v>
      </x:c>
      <x:c r="W1518" s="93" t="n">
        <x:f>IF(V1518="Returned",0,T1518-U1518)</x:f>
        <x:v>116.1</x:v>
      </x:c>
      <x:c r="X1518" s="93" t="n">
        <x:f>IF(V1518="Returned",Q1518*R1518*10%,Q1518*R1518)</x:f>
        <x:v>75</x:v>
      </x:c>
      <x:c r="Y1518" s="93" t="n">
        <x:f>W1518-X1518</x:f>
        <x:v>41.099999999999994</x:v>
      </x:c>
      <x:c r="Z1518" s="94" t="n">
        <x:f>IFERROR(Y1518/W1518,0)</x:f>
        <x:v>0.3540051679586563</x:v>
      </x:c>
      <x:c r="AA1518" s="84" t="str">
        <x:f>PROPER(TRIM('Raw Sales'!M1518))</x:f>
        <x:v>Debit Card</x:v>
      </x:c>
      <x:c r="AB1518" s="84" t="str">
        <x:f>PROPER(TRIM('Raw Sales'!N1518))</x:f>
        <x:v>Emma Hayes</x:v>
      </x:c>
      <x:c r="AC1518" s="85" t="n">
        <x:f>'Raw Sales'!O1518</x:f>
        <x:v>45803</x:v>
      </x:c>
      <x:c r="AD1518" s="84" t="n">
        <x:f>AC1518-B1518</x:f>
        <x:v>7</x:v>
      </x:c>
      <x:c r="AE1518" s="84" t="str">
        <x:f>IF(COUNTIF($A$5:A1518,A1518)&gt;1,"Duplicate","Keep")</x:f>
        <x:v>Keep</x:v>
      </x:c>
      <x:c r="AF1518" s="84" t="str">
        <x:f>IF(OR(R1518&lt;=0,AC1518&lt;B1518,H1518="Unknown",M1518="Unknown Product"),"Review","Valid")</x:f>
        <x:v>Valid</x:v>
      </x:c>
      <x:c r="AG1518" s="84" t="n">
        <x:f>IF(AND(AE1518="Keep",AF1518="Valid"),1,0)</x:f>
        <x:v>1</x:v>
      </x:c>
      <x:c r="AH1518" s="84" t="n">
        <x:f>IF(AND(AG1518=1,OR('Dashboard'!$B$4="All",I1518='Dashboard'!$B$4),OR('Dashboard'!$E$4="All",N1518='Dashboard'!$E$4),OR('Dashboard'!$H$4="All",K1518='Dashboard'!$H$4),OR('Dashboard'!$K$4="All",C1518='Dashboard'!$K$4)),1,0)</x:f>
        <x:v>1</x:v>
      </x:c>
      <x:c r="AI1518" s="84" t="n">
        <x:f>IF(AND(AG1518=1,OR('Dashboard'!$B$4="All",I1518='Dashboard'!$B$4),OR('Dashboard'!$E$4="All",N1518='Dashboard'!$E$4),OR('Dashboard'!$H$4="All",K1518='Dashboard'!$H$4)),1,0)</x:f>
        <x:v>1</x:v>
      </x:c>
    </x:row>
    <x:row r="1519">
      <x:c r="A1519" s="84" t="str">
        <x:f>'Raw Sales'!A1519</x:f>
        <x:v>ORD-2025-00768</x:v>
      </x:c>
      <x:c r="B1519" s="85" t="n">
        <x:f>'Raw Sales'!B1519</x:f>
        <x:v>45796</x:v>
      </x:c>
      <x:c r="C1519" s="84" t="n">
        <x:f>YEAR(B1519)</x:f>
        <x:v>2025</x:v>
      </x:c>
      <x:c r="D1519" s="91" t="n">
        <x:f>DATE(YEAR(B1519),MONTH(B1519),1)</x:f>
        <x:v>45778</x:v>
      </x:c>
      <x:c r="E1519" s="84" t="str">
        <x:f>TEXT(B1519,"mmm")</x:f>
        <x:v>May</x:v>
      </x:c>
      <x:c r="F1519" s="84" t="str">
        <x:f>'Raw Sales'!C1519</x:f>
        <x:v>CUST-0419</x:v>
      </x:c>
      <x:c r="G1519" s="84" t="str">
        <x:f>PROPER(TRIM('Raw Sales'!D1519))</x:f>
        <x:v>Isaac Nelson</x:v>
      </x:c>
      <x:c r="H1519" s="84" t="str">
        <x:f>IF(TRIM('Raw Sales'!E1519)="","Unknown",PROPER(TRIM('Raw Sales'!E1519)))</x:f>
        <x:v>Consumer</x:v>
      </x:c>
      <x:c r="I1519" s="84" t="str">
        <x:f>PROPER(TRIM('Raw Sales'!F1519))</x:f>
        <x:v>Northeast</x:v>
      </x:c>
      <x:c r="J1519" s="84" t="str">
        <x:f>PROPER(TRIM('Raw Sales'!G1519))</x:f>
        <x:v>New York</x:v>
      </x:c>
      <x:c r="K1519" s="84" t="str">
        <x:f>PROPER(TRIM('Raw Sales'!H1519))</x:f>
        <x:v>Retail Store</x:v>
      </x:c>
      <x:c r="L1519" s="84" t="str">
        <x:f>'Raw Sales'!I1519</x:f>
        <x:v>CARE-005</x:v>
      </x:c>
      <x:c r="M1519" s="84" t="str">
        <x:f>IFERROR(VLOOKUP(L1519,'Reference Data'!$A$5:$F$40,2,FALSE),"Unknown Product")</x:f>
        <x:v>Skin Care Starter Kit</x:v>
      </x:c>
      <x:c r="N1519" s="84" t="str">
        <x:f>IFERROR(VLOOKUP(L1519,'Reference Data'!$A$5:$F$40,3,FALSE),"Unknown")</x:f>
        <x:v>Personal Care</x:v>
      </x:c>
      <x:c r="O1519" s="84" t="str">
        <x:f>IFERROR(VLOOKUP(L1519,'Reference Data'!$A$5:$F$40,4,FALSE),"Unknown")</x:f>
        <x:v>Skin Care</x:v>
      </x:c>
      <x:c r="P1519" s="92" t="n">
        <x:f>IFERROR(VLOOKUP(L1519,'Reference Data'!$A$5:$F$40,5,FALSE),0)</x:f>
        <x:v>58</x:v>
      </x:c>
      <x:c r="Q1519" s="92" t="n">
        <x:f>IFERROR(VLOOKUP(L1519,'Reference Data'!$A$5:$F$40,6,FALSE),0)</x:f>
        <x:v>24</x:v>
      </x:c>
      <x:c r="R1519" s="84" t="n">
        <x:f>'Raw Sales'!J1519</x:f>
        <x:v>1</x:v>
      </x:c>
      <x:c r="S1519" s="87" t="n">
        <x:f>'Raw Sales'!K1519</x:f>
        <x:v>0</x:v>
      </x:c>
      <x:c r="T1519" s="93" t="n">
        <x:f>P1519*R1519</x:f>
        <x:v>58</x:v>
      </x:c>
      <x:c r="U1519" s="93" t="n">
        <x:f>T1519*S1519</x:f>
        <x:v>0</x:v>
      </x:c>
      <x:c r="V1519" s="93" t="str">
        <x:f>PROPER(TRIM('Raw Sales'!L1519))</x:f>
        <x:v>Completed</x:v>
      </x:c>
      <x:c r="W1519" s="93" t="n">
        <x:f>IF(V1519="Returned",0,T1519-U1519)</x:f>
        <x:v>58</x:v>
      </x:c>
      <x:c r="X1519" s="93" t="n">
        <x:f>IF(V1519="Returned",Q1519*R1519*10%,Q1519*R1519)</x:f>
        <x:v>24</x:v>
      </x:c>
      <x:c r="Y1519" s="93" t="n">
        <x:f>W1519-X1519</x:f>
        <x:v>34</x:v>
      </x:c>
      <x:c r="Z1519" s="94" t="n">
        <x:f>IFERROR(Y1519/W1519,0)</x:f>
        <x:v>0.5862068965517241</x:v>
      </x:c>
      <x:c r="AA1519" s="84" t="str">
        <x:f>PROPER(TRIM('Raw Sales'!M1519))</x:f>
        <x:v>Debit Card</x:v>
      </x:c>
      <x:c r="AB1519" s="84" t="str">
        <x:f>PROPER(TRIM('Raw Sales'!N1519))</x:f>
        <x:v>Sofia Bennett</x:v>
      </x:c>
      <x:c r="AC1519" s="85" t="n">
        <x:f>'Raw Sales'!O1519</x:f>
        <x:v>45796</x:v>
      </x:c>
      <x:c r="AD1519" s="84" t="n">
        <x:f>AC1519-B1519</x:f>
        <x:v>0</x:v>
      </x:c>
      <x:c r="AE1519" s="84" t="str">
        <x:f>IF(COUNTIF($A$5:A1519,A1519)&gt;1,"Duplicate","Keep")</x:f>
        <x:v>Keep</x:v>
      </x:c>
      <x:c r="AF1519" s="84" t="str">
        <x:f>IF(OR(R1519&lt;=0,AC1519&lt;B1519,H1519="Unknown",M1519="Unknown Product"),"Review","Valid")</x:f>
        <x:v>Valid</x:v>
      </x:c>
      <x:c r="AG1519" s="84" t="n">
        <x:f>IF(AND(AE1519="Keep",AF1519="Valid"),1,0)</x:f>
        <x:v>1</x:v>
      </x:c>
      <x:c r="AH1519" s="84" t="n">
        <x:f>IF(AND(AG1519=1,OR('Dashboard'!$B$4="All",I1519='Dashboard'!$B$4),OR('Dashboard'!$E$4="All",N1519='Dashboard'!$E$4),OR('Dashboard'!$H$4="All",K1519='Dashboard'!$H$4),OR('Dashboard'!$K$4="All",C1519='Dashboard'!$K$4)),1,0)</x:f>
        <x:v>1</x:v>
      </x:c>
      <x:c r="AI1519" s="84" t="n">
        <x:f>IF(AND(AG1519=1,OR('Dashboard'!$B$4="All",I1519='Dashboard'!$B$4),OR('Dashboard'!$E$4="All",N1519='Dashboard'!$E$4),OR('Dashboard'!$H$4="All",K1519='Dashboard'!$H$4)),1,0)</x:f>
        <x:v>1</x:v>
      </x:c>
    </x:row>
    <x:row r="1520">
      <x:c r="A1520" s="84" t="str">
        <x:f>'Raw Sales'!A1520</x:f>
        <x:v>ORD-2025-01412</x:v>
      </x:c>
      <x:c r="B1520" s="85" t="n">
        <x:f>'Raw Sales'!B1520</x:f>
        <x:v>45796</x:v>
      </x:c>
      <x:c r="C1520" s="84" t="n">
        <x:f>YEAR(B1520)</x:f>
        <x:v>2025</x:v>
      </x:c>
      <x:c r="D1520" s="91" t="n">
        <x:f>DATE(YEAR(B1520),MONTH(B1520),1)</x:f>
        <x:v>45778</x:v>
      </x:c>
      <x:c r="E1520" s="84" t="str">
        <x:f>TEXT(B1520,"mmm")</x:f>
        <x:v>May</x:v>
      </x:c>
      <x:c r="F1520" s="84" t="str">
        <x:f>'Raw Sales'!C1520</x:f>
        <x:v>CUST-0525</x:v>
      </x:c>
      <x:c r="G1520" s="84" t="str">
        <x:f>PROPER(TRIM('Raw Sales'!D1520))</x:f>
        <x:v>Daniel Carter</x:v>
      </x:c>
      <x:c r="H1520" s="84" t="str">
        <x:f>IF(TRIM('Raw Sales'!E1520)="","Unknown",PROPER(TRIM('Raw Sales'!E1520)))</x:f>
        <x:v>Small Business</x:v>
      </x:c>
      <x:c r="I1520" s="84" t="str">
        <x:f>PROPER(TRIM('Raw Sales'!F1520))</x:f>
        <x:v>Midwest</x:v>
      </x:c>
      <x:c r="J1520" s="84" t="str">
        <x:f>PROPER(TRIM('Raw Sales'!G1520))</x:f>
        <x:v>Columbus</x:v>
      </x:c>
      <x:c r="K1520" s="84" t="str">
        <x:f>PROPER(TRIM('Raw Sales'!H1520))</x:f>
        <x:v>Retail Store</x:v>
      </x:c>
      <x:c r="L1520" s="84" t="str">
        <x:f>'Raw Sales'!I1520</x:f>
        <x:v>ACCS-006</x:v>
      </x:c>
      <x:c r="M1520" s="84" t="str">
        <x:f>IFERROR(VLOOKUP(L1520,'Reference Data'!$A$5:$F$40,2,FALSE),"Unknown Product")</x:f>
        <x:v>Insulated Lunch Bag</x:v>
      </x:c>
      <x:c r="N1520" s="84" t="str">
        <x:f>IFERROR(VLOOKUP(L1520,'Reference Data'!$A$5:$F$40,3,FALSE),"Unknown")</x:f>
        <x:v>Accessories</x:v>
      </x:c>
      <x:c r="O1520" s="84" t="str">
        <x:f>IFERROR(VLOOKUP(L1520,'Reference Data'!$A$5:$F$40,4,FALSE),"Unknown")</x:f>
        <x:v>Bags</x:v>
      </x:c>
      <x:c r="P1520" s="92" t="n">
        <x:f>IFERROR(VLOOKUP(L1520,'Reference Data'!$A$5:$F$40,5,FALSE),0)</x:f>
        <x:v>29</x:v>
      </x:c>
      <x:c r="Q1520" s="92" t="n">
        <x:f>IFERROR(VLOOKUP(L1520,'Reference Data'!$A$5:$F$40,6,FALSE),0)</x:f>
        <x:v>10</x:v>
      </x:c>
      <x:c r="R1520" s="84" t="n">
        <x:f>'Raw Sales'!J1520</x:f>
        <x:v>1</x:v>
      </x:c>
      <x:c r="S1520" s="87" t="n">
        <x:f>'Raw Sales'!K1520</x:f>
        <x:v>0.2</x:v>
      </x:c>
      <x:c r="T1520" s="93" t="n">
        <x:f>P1520*R1520</x:f>
        <x:v>29</x:v>
      </x:c>
      <x:c r="U1520" s="93" t="n">
        <x:f>T1520*S1520</x:f>
        <x:v>5.800000000000001</x:v>
      </x:c>
      <x:c r="V1520" s="93" t="str">
        <x:f>PROPER(TRIM('Raw Sales'!L1520))</x:f>
        <x:v>Completed</x:v>
      </x:c>
      <x:c r="W1520" s="93" t="n">
        <x:f>IF(V1520="Returned",0,T1520-U1520)</x:f>
        <x:v>23.2</x:v>
      </x:c>
      <x:c r="X1520" s="93" t="n">
        <x:f>IF(V1520="Returned",Q1520*R1520*10%,Q1520*R1520)</x:f>
        <x:v>10</x:v>
      </x:c>
      <x:c r="Y1520" s="93" t="n">
        <x:f>W1520-X1520</x:f>
        <x:v>13.2</x:v>
      </x:c>
      <x:c r="Z1520" s="94" t="n">
        <x:f>IFERROR(Y1520/W1520,0)</x:f>
        <x:v>0.5689655172413793</x:v>
      </x:c>
      <x:c r="AA1520" s="84" t="str">
        <x:f>PROPER(TRIM('Raw Sales'!M1520))</x:f>
        <x:v>Cash</x:v>
      </x:c>
      <x:c r="AB1520" s="84" t="str">
        <x:f>PROPER(TRIM('Raw Sales'!N1520))</x:f>
        <x:v>Emma Hayes</x:v>
      </x:c>
      <x:c r="AC1520" s="85" t="n">
        <x:f>'Raw Sales'!O1520</x:f>
        <x:v>45797</x:v>
      </x:c>
      <x:c r="AD1520" s="84" t="n">
        <x:f>AC1520-B1520</x:f>
        <x:v>1</x:v>
      </x:c>
      <x:c r="AE1520" s="84" t="str">
        <x:f>IF(COUNTIF($A$5:A1520,A1520)&gt;1,"Duplicate","Keep")</x:f>
        <x:v>Keep</x:v>
      </x:c>
      <x:c r="AF1520" s="84" t="str">
        <x:f>IF(OR(R1520&lt;=0,AC1520&lt;B1520,H1520="Unknown",M1520="Unknown Product"),"Review","Valid")</x:f>
        <x:v>Valid</x:v>
      </x:c>
      <x:c r="AG1520" s="84" t="n">
        <x:f>IF(AND(AE1520="Keep",AF1520="Valid"),1,0)</x:f>
        <x:v>1</x:v>
      </x:c>
      <x:c r="AH1520" s="84" t="n">
        <x:f>IF(AND(AG1520=1,OR('Dashboard'!$B$4="All",I1520='Dashboard'!$B$4),OR('Dashboard'!$E$4="All",N1520='Dashboard'!$E$4),OR('Dashboard'!$H$4="All",K1520='Dashboard'!$H$4),OR('Dashboard'!$K$4="All",C1520='Dashboard'!$K$4)),1,0)</x:f>
        <x:v>1</x:v>
      </x:c>
      <x:c r="AI1520" s="84" t="n">
        <x:f>IF(AND(AG1520=1,OR('Dashboard'!$B$4="All",I1520='Dashboard'!$B$4),OR('Dashboard'!$E$4="All",N1520='Dashboard'!$E$4),OR('Dashboard'!$H$4="All",K1520='Dashboard'!$H$4)),1,0)</x:f>
        <x:v>1</x:v>
      </x:c>
    </x:row>
    <x:row r="1521">
      <x:c r="A1521" s="84" t="str">
        <x:f>'Raw Sales'!A1521</x:f>
        <x:v>ORD-2025-01777</x:v>
      </x:c>
      <x:c r="B1521" s="85" t="n">
        <x:f>'Raw Sales'!B1521</x:f>
        <x:v>45796</x:v>
      </x:c>
      <x:c r="C1521" s="84" t="n">
        <x:f>YEAR(B1521)</x:f>
        <x:v>2025</x:v>
      </x:c>
      <x:c r="D1521" s="91" t="n">
        <x:f>DATE(YEAR(B1521),MONTH(B1521),1)</x:f>
        <x:v>45778</x:v>
      </x:c>
      <x:c r="E1521" s="84" t="str">
        <x:f>TEXT(B1521,"mmm")</x:f>
        <x:v>May</x:v>
      </x:c>
      <x:c r="F1521" s="84" t="str">
        <x:f>'Raw Sales'!C1521</x:f>
        <x:v>CUST-0113</x:v>
      </x:c>
      <x:c r="G1521" s="84" t="str">
        <x:f>PROPER(TRIM('Raw Sales'!D1521))</x:f>
        <x:v>Amelia Patel</x:v>
      </x:c>
      <x:c r="H1521" s="84" t="str">
        <x:f>IF(TRIM('Raw Sales'!E1521)="","Unknown",PROPER(TRIM('Raw Sales'!E1521)))</x:f>
        <x:v>Consumer</x:v>
      </x:c>
      <x:c r="I1521" s="84" t="str">
        <x:f>PROPER(TRIM('Raw Sales'!F1521))</x:f>
        <x:v>Southeast</x:v>
      </x:c>
      <x:c r="J1521" s="84" t="str">
        <x:f>PROPER(TRIM('Raw Sales'!G1521))</x:f>
        <x:v>Atlanta</x:v>
      </x:c>
      <x:c r="K1521" s="84" t="str">
        <x:f>PROPER(TRIM('Raw Sales'!H1521))</x:f>
        <x:v>Retail Store</x:v>
      </x:c>
      <x:c r="L1521" s="84" t="str">
        <x:f>'Raw Sales'!I1521</x:f>
        <x:v>ACCS-006</x:v>
      </x:c>
      <x:c r="M1521" s="84" t="str">
        <x:f>IFERROR(VLOOKUP(L1521,'Reference Data'!$A$5:$F$40,2,FALSE),"Unknown Product")</x:f>
        <x:v>Insulated Lunch Bag</x:v>
      </x:c>
      <x:c r="N1521" s="84" t="str">
        <x:f>IFERROR(VLOOKUP(L1521,'Reference Data'!$A$5:$F$40,3,FALSE),"Unknown")</x:f>
        <x:v>Accessories</x:v>
      </x:c>
      <x:c r="O1521" s="84" t="str">
        <x:f>IFERROR(VLOOKUP(L1521,'Reference Data'!$A$5:$F$40,4,FALSE),"Unknown")</x:f>
        <x:v>Bags</x:v>
      </x:c>
      <x:c r="P1521" s="92" t="n">
        <x:f>IFERROR(VLOOKUP(L1521,'Reference Data'!$A$5:$F$40,5,FALSE),0)</x:f>
        <x:v>29</x:v>
      </x:c>
      <x:c r="Q1521" s="92" t="n">
        <x:f>IFERROR(VLOOKUP(L1521,'Reference Data'!$A$5:$F$40,6,FALSE),0)</x:f>
        <x:v>10</x:v>
      </x:c>
      <x:c r="R1521" s="84" t="n">
        <x:f>'Raw Sales'!J1521</x:f>
        <x:v>1</x:v>
      </x:c>
      <x:c r="S1521" s="87" t="n">
        <x:f>'Raw Sales'!K1521</x:f>
        <x:v>0.15</x:v>
      </x:c>
      <x:c r="T1521" s="93" t="n">
        <x:f>P1521*R1521</x:f>
        <x:v>29</x:v>
      </x:c>
      <x:c r="U1521" s="93" t="n">
        <x:f>T1521*S1521</x:f>
        <x:v>4.35</x:v>
      </x:c>
      <x:c r="V1521" s="93" t="str">
        <x:f>PROPER(TRIM('Raw Sales'!L1521))</x:f>
        <x:v>Completed</x:v>
      </x:c>
      <x:c r="W1521" s="93" t="n">
        <x:f>IF(V1521="Returned",0,T1521-U1521)</x:f>
        <x:v>24.65</x:v>
      </x:c>
      <x:c r="X1521" s="93" t="n">
        <x:f>IF(V1521="Returned",Q1521*R1521*10%,Q1521*R1521)</x:f>
        <x:v>10</x:v>
      </x:c>
      <x:c r="Y1521" s="93" t="n">
        <x:f>W1521-X1521</x:f>
        <x:v>14.649999999999999</x:v>
      </x:c>
      <x:c r="Z1521" s="94" t="n">
        <x:f>IFERROR(Y1521/W1521,0)</x:f>
        <x:v>0.5943204868154158</x:v>
      </x:c>
      <x:c r="AA1521" s="84" t="str">
        <x:f>PROPER(TRIM('Raw Sales'!M1521))</x:f>
        <x:v>Credit Card</x:v>
      </x:c>
      <x:c r="AB1521" s="84" t="str">
        <x:f>PROPER(TRIM('Raw Sales'!N1521))</x:f>
        <x:v>Liam Parker</x:v>
      </x:c>
      <x:c r="AC1521" s="85" t="n">
        <x:f>'Raw Sales'!O1521</x:f>
        <x:v>45797</x:v>
      </x:c>
      <x:c r="AD1521" s="84" t="n">
        <x:f>AC1521-B1521</x:f>
        <x:v>1</x:v>
      </x:c>
      <x:c r="AE1521" s="84" t="str">
        <x:f>IF(COUNTIF($A$5:A1521,A1521)&gt;1,"Duplicate","Keep")</x:f>
        <x:v>Keep</x:v>
      </x:c>
      <x:c r="AF1521" s="84" t="str">
        <x:f>IF(OR(R1521&lt;=0,AC1521&lt;B1521,H1521="Unknown",M1521="Unknown Product"),"Review","Valid")</x:f>
        <x:v>Valid</x:v>
      </x:c>
      <x:c r="AG1521" s="84" t="n">
        <x:f>IF(AND(AE1521="Keep",AF1521="Valid"),1,0)</x:f>
        <x:v>1</x:v>
      </x:c>
      <x:c r="AH1521" s="84" t="n">
        <x:f>IF(AND(AG1521=1,OR('Dashboard'!$B$4="All",I1521='Dashboard'!$B$4),OR('Dashboard'!$E$4="All",N1521='Dashboard'!$E$4),OR('Dashboard'!$H$4="All",K1521='Dashboard'!$H$4),OR('Dashboard'!$K$4="All",C1521='Dashboard'!$K$4)),1,0)</x:f>
        <x:v>1</x:v>
      </x:c>
      <x:c r="AI1521" s="84" t="n">
        <x:f>IF(AND(AG1521=1,OR('Dashboard'!$B$4="All",I1521='Dashboard'!$B$4),OR('Dashboard'!$E$4="All",N1521='Dashboard'!$E$4),OR('Dashboard'!$H$4="All",K1521='Dashboard'!$H$4)),1,0)</x:f>
        <x:v>1</x:v>
      </x:c>
    </x:row>
    <x:row r="1522">
      <x:c r="A1522" s="84" t="str">
        <x:f>'Raw Sales'!A1522</x:f>
        <x:v>ORD-2025-00094</x:v>
      </x:c>
      <x:c r="B1522" s="85" t="n">
        <x:f>'Raw Sales'!B1522</x:f>
        <x:v>45797</x:v>
      </x:c>
      <x:c r="C1522" s="84" t="n">
        <x:f>YEAR(B1522)</x:f>
        <x:v>2025</x:v>
      </x:c>
      <x:c r="D1522" s="91" t="n">
        <x:f>DATE(YEAR(B1522),MONTH(B1522),1)</x:f>
        <x:v>45778</x:v>
      </x:c>
      <x:c r="E1522" s="84" t="str">
        <x:f>TEXT(B1522,"mmm")</x:f>
        <x:v>May</x:v>
      </x:c>
      <x:c r="F1522" s="84" t="str">
        <x:f>'Raw Sales'!C1522</x:f>
        <x:v>CUST-0141</x:v>
      </x:c>
      <x:c r="G1522" s="84" t="str">
        <x:f>PROPER(TRIM('Raw Sales'!D1522))</x:f>
        <x:v>Victoria Taylor</x:v>
      </x:c>
      <x:c r="H1522" s="84" t="str">
        <x:f>IF(TRIM('Raw Sales'!E1522)="","Unknown",PROPER(TRIM('Raw Sales'!E1522)))</x:f>
        <x:v>Consumer</x:v>
      </x:c>
      <x:c r="I1522" s="84" t="str">
        <x:f>PROPER(TRIM('Raw Sales'!F1522))</x:f>
        <x:v>Midwest</x:v>
      </x:c>
      <x:c r="J1522" s="84" t="str">
        <x:f>PROPER(TRIM('Raw Sales'!G1522))</x:f>
        <x:v>Minneapolis</x:v>
      </x:c>
      <x:c r="K1522" s="84" t="str">
        <x:f>PROPER(TRIM('Raw Sales'!H1522))</x:f>
        <x:v>Retail Store</x:v>
      </x:c>
      <x:c r="L1522" s="84" t="str">
        <x:f>'Raw Sales'!I1522</x:f>
        <x:v>OFFC-005</x:v>
      </x:c>
      <x:c r="M1522" s="84" t="str">
        <x:f>IFERROR(VLOOKUP(L1522,'Reference Data'!$A$5:$F$40,2,FALSE),"Unknown Product")</x:f>
        <x:v>Wireless Keyboard</x:v>
      </x:c>
      <x:c r="N1522" s="84" t="str">
        <x:f>IFERROR(VLOOKUP(L1522,'Reference Data'!$A$5:$F$40,3,FALSE),"Unknown")</x:f>
        <x:v>Office</x:v>
      </x:c>
      <x:c r="O1522" s="84" t="str">
        <x:f>IFERROR(VLOOKUP(L1522,'Reference Data'!$A$5:$F$40,4,FALSE),"Unknown")</x:f>
        <x:v>Computer Accessories</x:v>
      </x:c>
      <x:c r="P1522" s="92" t="n">
        <x:f>IFERROR(VLOOKUP(L1522,'Reference Data'!$A$5:$F$40,5,FALSE),0)</x:f>
        <x:v>59</x:v>
      </x:c>
      <x:c r="Q1522" s="92" t="n">
        <x:f>IFERROR(VLOOKUP(L1522,'Reference Data'!$A$5:$F$40,6,FALSE),0)</x:f>
        <x:v>28</x:v>
      </x:c>
      <x:c r="R1522" s="84" t="n">
        <x:f>'Raw Sales'!J1522</x:f>
        <x:v>3</x:v>
      </x:c>
      <x:c r="S1522" s="87" t="n">
        <x:f>'Raw Sales'!K1522</x:f>
        <x:v>0</x:v>
      </x:c>
      <x:c r="T1522" s="93" t="n">
        <x:f>P1522*R1522</x:f>
        <x:v>177</x:v>
      </x:c>
      <x:c r="U1522" s="93" t="n">
        <x:f>T1522*S1522</x:f>
        <x:v>0</x:v>
      </x:c>
      <x:c r="V1522" s="93" t="str">
        <x:f>PROPER(TRIM('Raw Sales'!L1522))</x:f>
        <x:v>Completed</x:v>
      </x:c>
      <x:c r="W1522" s="93" t="n">
        <x:f>IF(V1522="Returned",0,T1522-U1522)</x:f>
        <x:v>177</x:v>
      </x:c>
      <x:c r="X1522" s="93" t="n">
        <x:f>IF(V1522="Returned",Q1522*R1522*10%,Q1522*R1522)</x:f>
        <x:v>84</x:v>
      </x:c>
      <x:c r="Y1522" s="93" t="n">
        <x:f>W1522-X1522</x:f>
        <x:v>93</x:v>
      </x:c>
      <x:c r="Z1522" s="94" t="n">
        <x:f>IFERROR(Y1522/W1522,0)</x:f>
        <x:v>0.5254237288135594</x:v>
      </x:c>
      <x:c r="AA1522" s="84" t="str">
        <x:f>PROPER(TRIM('Raw Sales'!M1522))</x:f>
        <x:v>Debit Card</x:v>
      </x:c>
      <x:c r="AB1522" s="84" t="str">
        <x:f>PROPER(TRIM('Raw Sales'!N1522))</x:f>
        <x:v>Lucas Grant</x:v>
      </x:c>
      <x:c r="AC1522" s="85" t="n">
        <x:f>'Raw Sales'!O1522</x:f>
        <x:v>45798</x:v>
      </x:c>
      <x:c r="AD1522" s="84" t="n">
        <x:f>AC1522-B1522</x:f>
        <x:v>1</x:v>
      </x:c>
      <x:c r="AE1522" s="84" t="str">
        <x:f>IF(COUNTIF($A$5:A1522,A1522)&gt;1,"Duplicate","Keep")</x:f>
        <x:v>Keep</x:v>
      </x:c>
      <x:c r="AF1522" s="84" t="str">
        <x:f>IF(OR(R1522&lt;=0,AC1522&lt;B1522,H1522="Unknown",M1522="Unknown Product"),"Review","Valid")</x:f>
        <x:v>Valid</x:v>
      </x:c>
      <x:c r="AG1522" s="84" t="n">
        <x:f>IF(AND(AE1522="Keep",AF1522="Valid"),1,0)</x:f>
        <x:v>1</x:v>
      </x:c>
      <x:c r="AH1522" s="84" t="n">
        <x:f>IF(AND(AG1522=1,OR('Dashboard'!$B$4="All",I1522='Dashboard'!$B$4),OR('Dashboard'!$E$4="All",N1522='Dashboard'!$E$4),OR('Dashboard'!$H$4="All",K1522='Dashboard'!$H$4),OR('Dashboard'!$K$4="All",C1522='Dashboard'!$K$4)),1,0)</x:f>
        <x:v>1</x:v>
      </x:c>
      <x:c r="AI1522" s="84" t="n">
        <x:f>IF(AND(AG1522=1,OR('Dashboard'!$B$4="All",I1522='Dashboard'!$B$4),OR('Dashboard'!$E$4="All",N1522='Dashboard'!$E$4),OR('Dashboard'!$H$4="All",K1522='Dashboard'!$H$4)),1,0)</x:f>
        <x:v>1</x:v>
      </x:c>
    </x:row>
    <x:row r="1523">
      <x:c r="A1523" s="84" t="str">
        <x:f>'Raw Sales'!A1523</x:f>
        <x:v>ORD-2025-00123</x:v>
      </x:c>
      <x:c r="B1523" s="85" t="n">
        <x:f>'Raw Sales'!B1523</x:f>
        <x:v>45797</x:v>
      </x:c>
      <x:c r="C1523" s="84" t="n">
        <x:f>YEAR(B1523)</x:f>
        <x:v>2025</x:v>
      </x:c>
      <x:c r="D1523" s="91" t="n">
        <x:f>DATE(YEAR(B1523),MONTH(B1523),1)</x:f>
        <x:v>45778</x:v>
      </x:c>
      <x:c r="E1523" s="84" t="str">
        <x:f>TEXT(B1523,"mmm")</x:f>
        <x:v>May</x:v>
      </x:c>
      <x:c r="F1523" s="84" t="str">
        <x:f>'Raw Sales'!C1523</x:f>
        <x:v>CUST-0034</x:v>
      </x:c>
      <x:c r="G1523" s="84" t="str">
        <x:f>PROPER(TRIM('Raw Sales'!D1523))</x:f>
        <x:v>Priya Roberts</x:v>
      </x:c>
      <x:c r="H1523" s="84" t="str">
        <x:f>IF(TRIM('Raw Sales'!E1523)="","Unknown",PROPER(TRIM('Raw Sales'!E1523)))</x:f>
        <x:v>Consumer</x:v>
      </x:c>
      <x:c r="I1523" s="84" t="str">
        <x:f>PROPER(TRIM('Raw Sales'!F1523))</x:f>
        <x:v>Southeast</x:v>
      </x:c>
      <x:c r="J1523" s="84" t="str">
        <x:f>PROPER(TRIM('Raw Sales'!G1523))</x:f>
        <x:v>Nashville</x:v>
      </x:c>
      <x:c r="K1523" s="84" t="str">
        <x:f>PROPER(TRIM('Raw Sales'!H1523))</x:f>
        <x:v>Marketplace</x:v>
      </x:c>
      <x:c r="L1523" s="84" t="str">
        <x:f>'Raw Sales'!I1523</x:f>
        <x:v>OFFC-005</x:v>
      </x:c>
      <x:c r="M1523" s="84" t="str">
        <x:f>IFERROR(VLOOKUP(L1523,'Reference Data'!$A$5:$F$40,2,FALSE),"Unknown Product")</x:f>
        <x:v>Wireless Keyboard</x:v>
      </x:c>
      <x:c r="N1523" s="84" t="str">
        <x:f>IFERROR(VLOOKUP(L1523,'Reference Data'!$A$5:$F$40,3,FALSE),"Unknown")</x:f>
        <x:v>Office</x:v>
      </x:c>
      <x:c r="O1523" s="84" t="str">
        <x:f>IFERROR(VLOOKUP(L1523,'Reference Data'!$A$5:$F$40,4,FALSE),"Unknown")</x:f>
        <x:v>Computer Accessories</x:v>
      </x:c>
      <x:c r="P1523" s="92" t="n">
        <x:f>IFERROR(VLOOKUP(L1523,'Reference Data'!$A$5:$F$40,5,FALSE),0)</x:f>
        <x:v>59</x:v>
      </x:c>
      <x:c r="Q1523" s="92" t="n">
        <x:f>IFERROR(VLOOKUP(L1523,'Reference Data'!$A$5:$F$40,6,FALSE),0)</x:f>
        <x:v>28</x:v>
      </x:c>
      <x:c r="R1523" s="84" t="n">
        <x:f>'Raw Sales'!J1523</x:f>
        <x:v>1</x:v>
      </x:c>
      <x:c r="S1523" s="87" t="n">
        <x:f>'Raw Sales'!K1523</x:f>
        <x:v>0</x:v>
      </x:c>
      <x:c r="T1523" s="93" t="n">
        <x:f>P1523*R1523</x:f>
        <x:v>59</x:v>
      </x:c>
      <x:c r="U1523" s="93" t="n">
        <x:f>T1523*S1523</x:f>
        <x:v>0</x:v>
      </x:c>
      <x:c r="V1523" s="93" t="str">
        <x:f>PROPER(TRIM('Raw Sales'!L1523))</x:f>
        <x:v>Completed</x:v>
      </x:c>
      <x:c r="W1523" s="93" t="n">
        <x:f>IF(V1523="Returned",0,T1523-U1523)</x:f>
        <x:v>59</x:v>
      </x:c>
      <x:c r="X1523" s="93" t="n">
        <x:f>IF(V1523="Returned",Q1523*R1523*10%,Q1523*R1523)</x:f>
        <x:v>28</x:v>
      </x:c>
      <x:c r="Y1523" s="93" t="n">
        <x:f>W1523-X1523</x:f>
        <x:v>31</x:v>
      </x:c>
      <x:c r="Z1523" s="94" t="n">
        <x:f>IFERROR(Y1523/W1523,0)</x:f>
        <x:v>0.5254237288135594</x:v>
      </x:c>
      <x:c r="AA1523" s="84" t="str">
        <x:f>PROPER(TRIM('Raw Sales'!M1523))</x:f>
        <x:v>Credit Card</x:v>
      </x:c>
      <x:c r="AB1523" s="84" t="str">
        <x:f>PROPER(TRIM('Raw Sales'!N1523))</x:f>
        <x:v>Ava Mitchell</x:v>
      </x:c>
      <x:c r="AC1523" s="85" t="n">
        <x:f>'Raw Sales'!O1523</x:f>
        <x:v>45803</x:v>
      </x:c>
      <x:c r="AD1523" s="84" t="n">
        <x:f>AC1523-B1523</x:f>
        <x:v>6</x:v>
      </x:c>
      <x:c r="AE1523" s="84" t="str">
        <x:f>IF(COUNTIF($A$5:A1523,A1523)&gt;1,"Duplicate","Keep")</x:f>
        <x:v>Keep</x:v>
      </x:c>
      <x:c r="AF1523" s="84" t="str">
        <x:f>IF(OR(R1523&lt;=0,AC1523&lt;B1523,H1523="Unknown",M1523="Unknown Product"),"Review","Valid")</x:f>
        <x:v>Valid</x:v>
      </x:c>
      <x:c r="AG1523" s="84" t="n">
        <x:f>IF(AND(AE1523="Keep",AF1523="Valid"),1,0)</x:f>
        <x:v>1</x:v>
      </x:c>
      <x:c r="AH1523" s="84" t="n">
        <x:f>IF(AND(AG1523=1,OR('Dashboard'!$B$4="All",I1523='Dashboard'!$B$4),OR('Dashboard'!$E$4="All",N1523='Dashboard'!$E$4),OR('Dashboard'!$H$4="All",K1523='Dashboard'!$H$4),OR('Dashboard'!$K$4="All",C1523='Dashboard'!$K$4)),1,0)</x:f>
        <x:v>1</x:v>
      </x:c>
      <x:c r="AI1523" s="84" t="n">
        <x:f>IF(AND(AG1523=1,OR('Dashboard'!$B$4="All",I1523='Dashboard'!$B$4),OR('Dashboard'!$E$4="All",N1523='Dashboard'!$E$4),OR('Dashboard'!$H$4="All",K1523='Dashboard'!$H$4)),1,0)</x:f>
        <x:v>1</x:v>
      </x:c>
    </x:row>
    <x:row r="1524">
      <x:c r="A1524" s="84" t="str">
        <x:f>'Raw Sales'!A1524</x:f>
        <x:v>ORD-2025-00413</x:v>
      </x:c>
      <x:c r="B1524" s="85" t="n">
        <x:f>'Raw Sales'!B1524</x:f>
        <x:v>45797</x:v>
      </x:c>
      <x:c r="C1524" s="84" t="n">
        <x:f>YEAR(B1524)</x:f>
        <x:v>2025</x:v>
      </x:c>
      <x:c r="D1524" s="91" t="n">
        <x:f>DATE(YEAR(B1524),MONTH(B1524),1)</x:f>
        <x:v>45778</x:v>
      </x:c>
      <x:c r="E1524" s="84" t="str">
        <x:f>TEXT(B1524,"mmm")</x:f>
        <x:v>May</x:v>
      </x:c>
      <x:c r="F1524" s="84" t="str">
        <x:f>'Raw Sales'!C1524</x:f>
        <x:v>CUST-0014</x:v>
      </x:c>
      <x:c r="G1524" s="84" t="str">
        <x:f>PROPER(TRIM('Raw Sales'!D1524))</x:f>
        <x:v>Jonah Irwin</x:v>
      </x:c>
      <x:c r="H1524" s="84" t="str">
        <x:f>IF(TRIM('Raw Sales'!E1524)="","Unknown",PROPER(TRIM('Raw Sales'!E1524)))</x:f>
        <x:v>Consumer</x:v>
      </x:c>
      <x:c r="I1524" s="84" t="str">
        <x:f>PROPER(TRIM('Raw Sales'!F1524))</x:f>
        <x:v>Southeast</x:v>
      </x:c>
      <x:c r="J1524" s="84" t="str">
        <x:f>PROPER(TRIM('Raw Sales'!G1524))</x:f>
        <x:v>Miami</x:v>
      </x:c>
      <x:c r="K1524" s="84" t="str">
        <x:f>PROPER(TRIM('Raw Sales'!H1524))</x:f>
        <x:v>Retail Store</x:v>
      </x:c>
      <x:c r="L1524" s="84" t="str">
        <x:f>'Raw Sales'!I1524</x:f>
        <x:v>FITN-006</x:v>
      </x:c>
      <x:c r="M1524" s="84" t="str">
        <x:f>IFERROR(VLOOKUP(L1524,'Reference Data'!$A$5:$F$40,2,FALSE),"Unknown Product")</x:f>
        <x:v>Foam Roller</x:v>
      </x:c>
      <x:c r="N1524" s="84" t="str">
        <x:f>IFERROR(VLOOKUP(L1524,'Reference Data'!$A$5:$F$40,3,FALSE),"Unknown")</x:f>
        <x:v>Fitness</x:v>
      </x:c>
      <x:c r="O1524" s="84" t="str">
        <x:f>IFERROR(VLOOKUP(L1524,'Reference Data'!$A$5:$F$40,4,FALSE),"Unknown")</x:f>
        <x:v>Recovery</x:v>
      </x:c>
      <x:c r="P1524" s="92" t="n">
        <x:f>IFERROR(VLOOKUP(L1524,'Reference Data'!$A$5:$F$40,5,FALSE),0)</x:f>
        <x:v>31</x:v>
      </x:c>
      <x:c r="Q1524" s="92" t="n">
        <x:f>IFERROR(VLOOKUP(L1524,'Reference Data'!$A$5:$F$40,6,FALSE),0)</x:f>
        <x:v>12</x:v>
      </x:c>
      <x:c r="R1524" s="84" t="n">
        <x:f>'Raw Sales'!J1524</x:f>
        <x:v>2</x:v>
      </x:c>
      <x:c r="S1524" s="87" t="n">
        <x:f>'Raw Sales'!K1524</x:f>
        <x:v>0</x:v>
      </x:c>
      <x:c r="T1524" s="93" t="n">
        <x:f>P1524*R1524</x:f>
        <x:v>62</x:v>
      </x:c>
      <x:c r="U1524" s="93" t="n">
        <x:f>T1524*S1524</x:f>
        <x:v>0</x:v>
      </x:c>
      <x:c r="V1524" s="93" t="str">
        <x:f>PROPER(TRIM('Raw Sales'!L1524))</x:f>
        <x:v>Completed</x:v>
      </x:c>
      <x:c r="W1524" s="93" t="n">
        <x:f>IF(V1524="Returned",0,T1524-U1524)</x:f>
        <x:v>62</x:v>
      </x:c>
      <x:c r="X1524" s="93" t="n">
        <x:f>IF(V1524="Returned",Q1524*R1524*10%,Q1524*R1524)</x:f>
        <x:v>24</x:v>
      </x:c>
      <x:c r="Y1524" s="93" t="n">
        <x:f>W1524-X1524</x:f>
        <x:v>38</x:v>
      </x:c>
      <x:c r="Z1524" s="94" t="n">
        <x:f>IFERROR(Y1524/W1524,0)</x:f>
        <x:v>0.6129032258064516</x:v>
      </x:c>
      <x:c r="AA1524" s="84" t="str">
        <x:f>PROPER(TRIM('Raw Sales'!M1524))</x:f>
        <x:v>Debit Card</x:v>
      </x:c>
      <x:c r="AB1524" s="84" t="str">
        <x:f>PROPER(TRIM('Raw Sales'!N1524))</x:f>
        <x:v>Liam Parker</x:v>
      </x:c>
      <x:c r="AC1524" s="85" t="n">
        <x:f>'Raw Sales'!O1524</x:f>
        <x:v>45797</x:v>
      </x:c>
      <x:c r="AD1524" s="84" t="n">
        <x:f>AC1524-B1524</x:f>
        <x:v>0</x:v>
      </x:c>
      <x:c r="AE1524" s="84" t="str">
        <x:f>IF(COUNTIF($A$5:A1524,A1524)&gt;1,"Duplicate","Keep")</x:f>
        <x:v>Keep</x:v>
      </x:c>
      <x:c r="AF1524" s="84" t="str">
        <x:f>IF(OR(R1524&lt;=0,AC1524&lt;B1524,H1524="Unknown",M1524="Unknown Product"),"Review","Valid")</x:f>
        <x:v>Valid</x:v>
      </x:c>
      <x:c r="AG1524" s="84" t="n">
        <x:f>IF(AND(AE1524="Keep",AF1524="Valid"),1,0)</x:f>
        <x:v>1</x:v>
      </x:c>
      <x:c r="AH1524" s="84" t="n">
        <x:f>IF(AND(AG1524=1,OR('Dashboard'!$B$4="All",I1524='Dashboard'!$B$4),OR('Dashboard'!$E$4="All",N1524='Dashboard'!$E$4),OR('Dashboard'!$H$4="All",K1524='Dashboard'!$H$4),OR('Dashboard'!$K$4="All",C1524='Dashboard'!$K$4)),1,0)</x:f>
        <x:v>1</x:v>
      </x:c>
      <x:c r="AI1524" s="84" t="n">
        <x:f>IF(AND(AG1524=1,OR('Dashboard'!$B$4="All",I1524='Dashboard'!$B$4),OR('Dashboard'!$E$4="All",N1524='Dashboard'!$E$4),OR('Dashboard'!$H$4="All",K1524='Dashboard'!$H$4)),1,0)</x:f>
        <x:v>1</x:v>
      </x:c>
    </x:row>
    <x:row r="1525">
      <x:c r="A1525" s="84" t="str">
        <x:f>'Raw Sales'!A1525</x:f>
        <x:v>ORD-2025-01074</x:v>
      </x:c>
      <x:c r="B1525" s="85" t="n">
        <x:f>'Raw Sales'!B1525</x:f>
        <x:v>45797</x:v>
      </x:c>
      <x:c r="C1525" s="84" t="n">
        <x:f>YEAR(B1525)</x:f>
        <x:v>2025</x:v>
      </x:c>
      <x:c r="D1525" s="91" t="n">
        <x:f>DATE(YEAR(B1525),MONTH(B1525),1)</x:f>
        <x:v>45778</x:v>
      </x:c>
      <x:c r="E1525" s="84" t="str">
        <x:f>TEXT(B1525,"mmm")</x:f>
        <x:v>May</x:v>
      </x:c>
      <x:c r="F1525" s="84" t="str">
        <x:f>'Raw Sales'!C1525</x:f>
        <x:v>CUST-0144</x:v>
      </x:c>
      <x:c r="G1525" s="84" t="str">
        <x:f>PROPER(TRIM('Raw Sales'!D1525))</x:f>
        <x:v>Grace Patel</x:v>
      </x:c>
      <x:c r="H1525" s="84" t="str">
        <x:f>IF(TRIM('Raw Sales'!E1525)="","Unknown",PROPER(TRIM('Raw Sales'!E1525)))</x:f>
        <x:v>Corporate</x:v>
      </x:c>
      <x:c r="I1525" s="84" t="str">
        <x:f>PROPER(TRIM('Raw Sales'!F1525))</x:f>
        <x:v>West</x:v>
      </x:c>
      <x:c r="J1525" s="84" t="str">
        <x:f>PROPER(TRIM('Raw Sales'!G1525))</x:f>
        <x:v>Phoenix</x:v>
      </x:c>
      <x:c r="K1525" s="84" t="str">
        <x:f>PROPER(TRIM('Raw Sales'!H1525))</x:f>
        <x:v>Online</x:v>
      </x:c>
      <x:c r="L1525" s="84" t="str">
        <x:f>'Raw Sales'!I1525</x:f>
        <x:v>FITN-004</x:v>
      </x:c>
      <x:c r="M1525" s="84" t="str">
        <x:f>IFERROR(VLOOKUP(L1525,'Reference Data'!$A$5:$F$40,2,FALSE),"Unknown Product")</x:f>
        <x:v>Fitness Tracker</x:v>
      </x:c>
      <x:c r="N1525" s="84" t="str">
        <x:f>IFERROR(VLOOKUP(L1525,'Reference Data'!$A$5:$F$40,3,FALSE),"Unknown")</x:f>
        <x:v>Fitness</x:v>
      </x:c>
      <x:c r="O1525" s="84" t="str">
        <x:f>IFERROR(VLOOKUP(L1525,'Reference Data'!$A$5:$F$40,4,FALSE),"Unknown")</x:f>
        <x:v>Wearables</x:v>
      </x:c>
      <x:c r="P1525" s="92" t="n">
        <x:f>IFERROR(VLOOKUP(L1525,'Reference Data'!$A$5:$F$40,5,FALSE),0)</x:f>
        <x:v>89</x:v>
      </x:c>
      <x:c r="Q1525" s="92" t="n">
        <x:f>IFERROR(VLOOKUP(L1525,'Reference Data'!$A$5:$F$40,6,FALSE),0)</x:f>
        <x:v>44</x:v>
      </x:c>
      <x:c r="R1525" s="84" t="n">
        <x:f>'Raw Sales'!J1525</x:f>
        <x:v>4</x:v>
      </x:c>
      <x:c r="S1525" s="87" t="n">
        <x:f>'Raw Sales'!K1525</x:f>
        <x:v>0</x:v>
      </x:c>
      <x:c r="T1525" s="93" t="n">
        <x:f>P1525*R1525</x:f>
        <x:v>356</x:v>
      </x:c>
      <x:c r="U1525" s="93" t="n">
        <x:f>T1525*S1525</x:f>
        <x:v>0</x:v>
      </x:c>
      <x:c r="V1525" s="93" t="str">
        <x:f>PROPER(TRIM('Raw Sales'!L1525))</x:f>
        <x:v>Completed</x:v>
      </x:c>
      <x:c r="W1525" s="93" t="n">
        <x:f>IF(V1525="Returned",0,T1525-U1525)</x:f>
        <x:v>356</x:v>
      </x:c>
      <x:c r="X1525" s="93" t="n">
        <x:f>IF(V1525="Returned",Q1525*R1525*10%,Q1525*R1525)</x:f>
        <x:v>176</x:v>
      </x:c>
      <x:c r="Y1525" s="93" t="n">
        <x:f>W1525-X1525</x:f>
        <x:v>180</x:v>
      </x:c>
      <x:c r="Z1525" s="94" t="n">
        <x:f>IFERROR(Y1525/W1525,0)</x:f>
        <x:v>0.5056179775280899</x:v>
      </x:c>
      <x:c r="AA1525" s="84" t="str">
        <x:f>PROPER(TRIM('Raw Sales'!M1525))</x:f>
        <x:v>Credit Card</x:v>
      </x:c>
      <x:c r="AB1525" s="84" t="str">
        <x:f>PROPER(TRIM('Raw Sales'!N1525))</x:f>
        <x:v>Nora Kim</x:v>
      </x:c>
      <x:c r="AC1525" s="85" t="n">
        <x:f>'Raw Sales'!O1525</x:f>
        <x:v>45800</x:v>
      </x:c>
      <x:c r="AD1525" s="84" t="n">
        <x:f>AC1525-B1525</x:f>
        <x:v>3</x:v>
      </x:c>
      <x:c r="AE1525" s="84" t="str">
        <x:f>IF(COUNTIF($A$5:A1525,A1525)&gt;1,"Duplicate","Keep")</x:f>
        <x:v>Keep</x:v>
      </x:c>
      <x:c r="AF1525" s="84" t="str">
        <x:f>IF(OR(R1525&lt;=0,AC1525&lt;B1525,H1525="Unknown",M1525="Unknown Product"),"Review","Valid")</x:f>
        <x:v>Valid</x:v>
      </x:c>
      <x:c r="AG1525" s="84" t="n">
        <x:f>IF(AND(AE1525="Keep",AF1525="Valid"),1,0)</x:f>
        <x:v>1</x:v>
      </x:c>
      <x:c r="AH1525" s="84" t="n">
        <x:f>IF(AND(AG1525=1,OR('Dashboard'!$B$4="All",I1525='Dashboard'!$B$4),OR('Dashboard'!$E$4="All",N1525='Dashboard'!$E$4),OR('Dashboard'!$H$4="All",K1525='Dashboard'!$H$4),OR('Dashboard'!$K$4="All",C1525='Dashboard'!$K$4)),1,0)</x:f>
        <x:v>1</x:v>
      </x:c>
      <x:c r="AI1525" s="84" t="n">
        <x:f>IF(AND(AG1525=1,OR('Dashboard'!$B$4="All",I1525='Dashboard'!$B$4),OR('Dashboard'!$E$4="All",N1525='Dashboard'!$E$4),OR('Dashboard'!$H$4="All",K1525='Dashboard'!$H$4)),1,0)</x:f>
        <x:v>1</x:v>
      </x:c>
    </x:row>
    <x:row r="1526">
      <x:c r="A1526" s="84" t="str">
        <x:f>'Raw Sales'!A1526</x:f>
        <x:v>ORD-2025-01391</x:v>
      </x:c>
      <x:c r="B1526" s="85" t="n">
        <x:f>'Raw Sales'!B1526</x:f>
        <x:v>45797</x:v>
      </x:c>
      <x:c r="C1526" s="84" t="n">
        <x:f>YEAR(B1526)</x:f>
        <x:v>2025</x:v>
      </x:c>
      <x:c r="D1526" s="91" t="n">
        <x:f>DATE(YEAR(B1526),MONTH(B1526),1)</x:f>
        <x:v>45778</x:v>
      </x:c>
      <x:c r="E1526" s="84" t="str">
        <x:f>TEXT(B1526,"mmm")</x:f>
        <x:v>May</x:v>
      </x:c>
      <x:c r="F1526" s="84" t="str">
        <x:f>'Raw Sales'!C1526</x:f>
        <x:v>CUST-0531</x:v>
      </x:c>
      <x:c r="G1526" s="84" t="str">
        <x:f>PROPER(TRIM('Raw Sales'!D1526))</x:f>
        <x:v>Grace Ortiz</x:v>
      </x:c>
      <x:c r="H1526" s="84" t="str">
        <x:f>IF(TRIM('Raw Sales'!E1526)="","Unknown",PROPER(TRIM('Raw Sales'!E1526)))</x:f>
        <x:v>Small Business</x:v>
      </x:c>
      <x:c r="I1526" s="84" t="str">
        <x:f>PROPER(TRIM('Raw Sales'!F1526))</x:f>
        <x:v>Northeast</x:v>
      </x:c>
      <x:c r="J1526" s="84" t="str">
        <x:f>PROPER(TRIM('Raw Sales'!G1526))</x:f>
        <x:v>Newark</x:v>
      </x:c>
      <x:c r="K1526" s="84" t="str">
        <x:f>PROPER(TRIM('Raw Sales'!H1526))</x:f>
        <x:v>Retail Store</x:v>
      </x:c>
      <x:c r="L1526" s="84" t="str">
        <x:f>'Raw Sales'!I1526</x:f>
        <x:v>FITN-003</x:v>
      </x:c>
      <x:c r="M1526" s="84" t="str">
        <x:f>IFERROR(VLOOKUP(L1526,'Reference Data'!$A$5:$F$40,2,FALSE),"Unknown Product")</x:f>
        <x:v>Resistance Band Set</x:v>
      </x:c>
      <x:c r="N1526" s="84" t="str">
        <x:f>IFERROR(VLOOKUP(L1526,'Reference Data'!$A$5:$F$40,3,FALSE),"Unknown")</x:f>
        <x:v>Fitness</x:v>
      </x:c>
      <x:c r="O1526" s="84" t="str">
        <x:f>IFERROR(VLOOKUP(L1526,'Reference Data'!$A$5:$F$40,4,FALSE),"Unknown")</x:f>
        <x:v>Strength</x:v>
      </x:c>
      <x:c r="P1526" s="92" t="n">
        <x:f>IFERROR(VLOOKUP(L1526,'Reference Data'!$A$5:$F$40,5,FALSE),0)</x:f>
        <x:v>24</x:v>
      </x:c>
      <x:c r="Q1526" s="92" t="n">
        <x:f>IFERROR(VLOOKUP(L1526,'Reference Data'!$A$5:$F$40,6,FALSE),0)</x:f>
        <x:v>8</x:v>
      </x:c>
      <x:c r="R1526" s="84" t="n">
        <x:f>'Raw Sales'!J1526</x:f>
        <x:v>1</x:v>
      </x:c>
      <x:c r="S1526" s="87" t="n">
        <x:f>'Raw Sales'!K1526</x:f>
        <x:v>0.15</x:v>
      </x:c>
      <x:c r="T1526" s="93" t="n">
        <x:f>P1526*R1526</x:f>
        <x:v>24</x:v>
      </x:c>
      <x:c r="U1526" s="93" t="n">
        <x:f>T1526*S1526</x:f>
        <x:v>3.5999999999999996</x:v>
      </x:c>
      <x:c r="V1526" s="93" t="str">
        <x:f>PROPER(TRIM('Raw Sales'!L1526))</x:f>
        <x:v>Completed</x:v>
      </x:c>
      <x:c r="W1526" s="93" t="n">
        <x:f>IF(V1526="Returned",0,T1526-U1526)</x:f>
        <x:v>20.4</x:v>
      </x:c>
      <x:c r="X1526" s="93" t="n">
        <x:f>IF(V1526="Returned",Q1526*R1526*10%,Q1526*R1526)</x:f>
        <x:v>8</x:v>
      </x:c>
      <x:c r="Y1526" s="93" t="n">
        <x:f>W1526-X1526</x:f>
        <x:v>12.399999999999999</x:v>
      </x:c>
      <x:c r="Z1526" s="94" t="n">
        <x:f>IFERROR(Y1526/W1526,0)</x:f>
        <x:v>0.6078431372549019</x:v>
      </x:c>
      <x:c r="AA1526" s="84" t="str">
        <x:f>PROPER(TRIM('Raw Sales'!M1526))</x:f>
        <x:v>Cash</x:v>
      </x:c>
      <x:c r="AB1526" s="84" t="str">
        <x:f>PROPER(TRIM('Raw Sales'!N1526))</x:f>
        <x:v>Ethan Cole</x:v>
      </x:c>
      <x:c r="AC1526" s="85" t="n">
        <x:f>'Raw Sales'!O1526</x:f>
        <x:v>45797</x:v>
      </x:c>
      <x:c r="AD1526" s="84" t="n">
        <x:f>AC1526-B1526</x:f>
        <x:v>0</x:v>
      </x:c>
      <x:c r="AE1526" s="84" t="str">
        <x:f>IF(COUNTIF($A$5:A1526,A1526)&gt;1,"Duplicate","Keep")</x:f>
        <x:v>Keep</x:v>
      </x:c>
      <x:c r="AF1526" s="84" t="str">
        <x:f>IF(OR(R1526&lt;=0,AC1526&lt;B1526,H1526="Unknown",M1526="Unknown Product"),"Review","Valid")</x:f>
        <x:v>Valid</x:v>
      </x:c>
      <x:c r="AG1526" s="84" t="n">
        <x:f>IF(AND(AE1526="Keep",AF1526="Valid"),1,0)</x:f>
        <x:v>1</x:v>
      </x:c>
      <x:c r="AH1526" s="84" t="n">
        <x:f>IF(AND(AG1526=1,OR('Dashboard'!$B$4="All",I1526='Dashboard'!$B$4),OR('Dashboard'!$E$4="All",N1526='Dashboard'!$E$4),OR('Dashboard'!$H$4="All",K1526='Dashboard'!$H$4),OR('Dashboard'!$K$4="All",C1526='Dashboard'!$K$4)),1,0)</x:f>
        <x:v>1</x:v>
      </x:c>
      <x:c r="AI1526" s="84" t="n">
        <x:f>IF(AND(AG1526=1,OR('Dashboard'!$B$4="All",I1526='Dashboard'!$B$4),OR('Dashboard'!$E$4="All",N1526='Dashboard'!$E$4),OR('Dashboard'!$H$4="All",K1526='Dashboard'!$H$4)),1,0)</x:f>
        <x:v>1</x:v>
      </x:c>
    </x:row>
    <x:row r="1527">
      <x:c r="A1527" s="84" t="str">
        <x:f>'Raw Sales'!A1527</x:f>
        <x:v>ORD-2025-01473</x:v>
      </x:c>
      <x:c r="B1527" s="85" t="n">
        <x:f>'Raw Sales'!B1527</x:f>
        <x:v>45797</x:v>
      </x:c>
      <x:c r="C1527" s="84" t="n">
        <x:f>YEAR(B1527)</x:f>
        <x:v>2025</x:v>
      </x:c>
      <x:c r="D1527" s="91" t="n">
        <x:f>DATE(YEAR(B1527),MONTH(B1527),1)</x:f>
        <x:v>45778</x:v>
      </x:c>
      <x:c r="E1527" s="84" t="str">
        <x:f>TEXT(B1527,"mmm")</x:f>
        <x:v>May</x:v>
      </x:c>
      <x:c r="F1527" s="84" t="str">
        <x:f>'Raw Sales'!C1527</x:f>
        <x:v>CUST-0561</x:v>
      </x:c>
      <x:c r="G1527" s="84" t="str">
        <x:f>PROPER(TRIM('Raw Sales'!D1527))</x:f>
        <x:v>Marcus Johnson</x:v>
      </x:c>
      <x:c r="H1527" s="84" t="str">
        <x:f>IF(TRIM('Raw Sales'!E1527)="","Unknown",PROPER(TRIM('Raw Sales'!E1527)))</x:f>
        <x:v>Consumer</x:v>
      </x:c>
      <x:c r="I1527" s="84" t="str">
        <x:f>PROPER(TRIM('Raw Sales'!F1527))</x:f>
        <x:v>Southeast</x:v>
      </x:c>
      <x:c r="J1527" s="84" t="str">
        <x:f>PROPER(TRIM('Raw Sales'!G1527))</x:f>
        <x:v>Nashville</x:v>
      </x:c>
      <x:c r="K1527" s="84" t="str">
        <x:f>PROPER(TRIM('Raw Sales'!H1527))</x:f>
        <x:v>Retail Store</x:v>
      </x:c>
      <x:c r="L1527" s="84" t="str">
        <x:f>'Raw Sales'!I1527</x:f>
        <x:v>HOME-003</x:v>
      </x:c>
      <x:c r="M1527" s="84" t="str">
        <x:f>IFERROR(VLOOKUP(L1527,'Reference Data'!$A$5:$F$40,2,FALSE),"Unknown Product")</x:f>
        <x:v>Countertop Blender</x:v>
      </x:c>
      <x:c r="N1527" s="84" t="str">
        <x:f>IFERROR(VLOOKUP(L1527,'Reference Data'!$A$5:$F$40,3,FALSE),"Unknown")</x:f>
        <x:v>Home &amp; Kitchen</x:v>
      </x:c>
      <x:c r="O1527" s="84" t="str">
        <x:f>IFERROR(VLOOKUP(L1527,'Reference Data'!$A$5:$F$40,4,FALSE),"Unknown")</x:f>
        <x:v>Small Appliances</x:v>
      </x:c>
      <x:c r="P1527" s="92" t="n">
        <x:f>IFERROR(VLOOKUP(L1527,'Reference Data'!$A$5:$F$40,5,FALSE),0)</x:f>
        <x:v>89</x:v>
      </x:c>
      <x:c r="Q1527" s="92" t="n">
        <x:f>IFERROR(VLOOKUP(L1527,'Reference Data'!$A$5:$F$40,6,FALSE),0)</x:f>
        <x:v>46</x:v>
      </x:c>
      <x:c r="R1527" s="84" t="n">
        <x:f>'Raw Sales'!J1527</x:f>
        <x:v>1</x:v>
      </x:c>
      <x:c r="S1527" s="87" t="n">
        <x:f>'Raw Sales'!K1527</x:f>
        <x:v>0.05</x:v>
      </x:c>
      <x:c r="T1527" s="93" t="n">
        <x:f>P1527*R1527</x:f>
        <x:v>89</x:v>
      </x:c>
      <x:c r="U1527" s="93" t="n">
        <x:f>T1527*S1527</x:f>
        <x:v>4.45</x:v>
      </x:c>
      <x:c r="V1527" s="93" t="str">
        <x:f>PROPER(TRIM('Raw Sales'!L1527))</x:f>
        <x:v>Completed</x:v>
      </x:c>
      <x:c r="W1527" s="93" t="n">
        <x:f>IF(V1527="Returned",0,T1527-U1527)</x:f>
        <x:v>84.55</x:v>
      </x:c>
      <x:c r="X1527" s="93" t="n">
        <x:f>IF(V1527="Returned",Q1527*R1527*10%,Q1527*R1527)</x:f>
        <x:v>46</x:v>
      </x:c>
      <x:c r="Y1527" s="93" t="n">
        <x:f>W1527-X1527</x:f>
        <x:v>38.55</x:v>
      </x:c>
      <x:c r="Z1527" s="94" t="n">
        <x:f>IFERROR(Y1527/W1527,0)</x:f>
        <x:v>0.4559432288586635</x:v>
      </x:c>
      <x:c r="AA1527" s="84" t="str">
        <x:f>PROPER(TRIM('Raw Sales'!M1527))</x:f>
        <x:v>Mobile Wallet</x:v>
      </x:c>
      <x:c r="AB1527" s="84" t="str">
        <x:f>PROPER(TRIM('Raw Sales'!N1527))</x:f>
        <x:v>Liam Parker</x:v>
      </x:c>
      <x:c r="AC1527" s="85" t="n">
        <x:f>'Raw Sales'!O1527</x:f>
        <x:v>45797</x:v>
      </x:c>
      <x:c r="AD1527" s="84" t="n">
        <x:f>AC1527-B1527</x:f>
        <x:v>0</x:v>
      </x:c>
      <x:c r="AE1527" s="84" t="str">
        <x:f>IF(COUNTIF($A$5:A1527,A1527)&gt;1,"Duplicate","Keep")</x:f>
        <x:v>Keep</x:v>
      </x:c>
      <x:c r="AF1527" s="84" t="str">
        <x:f>IF(OR(R1527&lt;=0,AC1527&lt;B1527,H1527="Unknown",M1527="Unknown Product"),"Review","Valid")</x:f>
        <x:v>Valid</x:v>
      </x:c>
      <x:c r="AG1527" s="84" t="n">
        <x:f>IF(AND(AE1527="Keep",AF1527="Valid"),1,0)</x:f>
        <x:v>1</x:v>
      </x:c>
      <x:c r="AH1527" s="84" t="n">
        <x:f>IF(AND(AG1527=1,OR('Dashboard'!$B$4="All",I1527='Dashboard'!$B$4),OR('Dashboard'!$E$4="All",N1527='Dashboard'!$E$4),OR('Dashboard'!$H$4="All",K1527='Dashboard'!$H$4),OR('Dashboard'!$K$4="All",C1527='Dashboard'!$K$4)),1,0)</x:f>
        <x:v>1</x:v>
      </x:c>
      <x:c r="AI1527" s="84" t="n">
        <x:f>IF(AND(AG1527=1,OR('Dashboard'!$B$4="All",I1527='Dashboard'!$B$4),OR('Dashboard'!$E$4="All",N1527='Dashboard'!$E$4),OR('Dashboard'!$H$4="All",K1527='Dashboard'!$H$4)),1,0)</x:f>
        <x:v>1</x:v>
      </x:c>
    </x:row>
    <x:row r="1528">
      <x:c r="A1528" s="84" t="str">
        <x:f>'Raw Sales'!A1528</x:f>
        <x:v>ORD-2025-02157</x:v>
      </x:c>
      <x:c r="B1528" s="85" t="n">
        <x:f>'Raw Sales'!B1528</x:f>
        <x:v>45797</x:v>
      </x:c>
      <x:c r="C1528" s="84" t="n">
        <x:f>YEAR(B1528)</x:f>
        <x:v>2025</x:v>
      </x:c>
      <x:c r="D1528" s="91" t="n">
        <x:f>DATE(YEAR(B1528),MONTH(B1528),1)</x:f>
        <x:v>45778</x:v>
      </x:c>
      <x:c r="E1528" s="84" t="str">
        <x:f>TEXT(B1528,"mmm")</x:f>
        <x:v>May</x:v>
      </x:c>
      <x:c r="F1528" s="84" t="str">
        <x:f>'Raw Sales'!C1528</x:f>
        <x:v>CUST-0378</x:v>
      </x:c>
      <x:c r="G1528" s="84" t="str">
        <x:f>PROPER(TRIM('Raw Sales'!D1528))</x:f>
        <x:v>Victoria Nelson</x:v>
      </x:c>
      <x:c r="H1528" s="84" t="str">
        <x:f>IF(TRIM('Raw Sales'!E1528)="","Unknown",PROPER(TRIM('Raw Sales'!E1528)))</x:f>
        <x:v>Consumer</x:v>
      </x:c>
      <x:c r="I1528" s="84" t="str">
        <x:f>PROPER(TRIM('Raw Sales'!F1528))</x:f>
        <x:v>Midwest</x:v>
      </x:c>
      <x:c r="J1528" s="84" t="str">
        <x:f>PROPER(TRIM('Raw Sales'!G1528))</x:f>
        <x:v>Chicago</x:v>
      </x:c>
      <x:c r="K1528" s="84" t="str">
        <x:f>PROPER(TRIM('Raw Sales'!H1528))</x:f>
        <x:v>Online</x:v>
      </x:c>
      <x:c r="L1528" s="84" t="str">
        <x:f>'Raw Sales'!I1528</x:f>
        <x:v>FITN-003</x:v>
      </x:c>
      <x:c r="M1528" s="84" t="str">
        <x:f>IFERROR(VLOOKUP(L1528,'Reference Data'!$A$5:$F$40,2,FALSE),"Unknown Product")</x:f>
        <x:v>Resistance Band Set</x:v>
      </x:c>
      <x:c r="N1528" s="84" t="str">
        <x:f>IFERROR(VLOOKUP(L1528,'Reference Data'!$A$5:$F$40,3,FALSE),"Unknown")</x:f>
        <x:v>Fitness</x:v>
      </x:c>
      <x:c r="O1528" s="84" t="str">
        <x:f>IFERROR(VLOOKUP(L1528,'Reference Data'!$A$5:$F$40,4,FALSE),"Unknown")</x:f>
        <x:v>Strength</x:v>
      </x:c>
      <x:c r="P1528" s="92" t="n">
        <x:f>IFERROR(VLOOKUP(L1528,'Reference Data'!$A$5:$F$40,5,FALSE),0)</x:f>
        <x:v>24</x:v>
      </x:c>
      <x:c r="Q1528" s="92" t="n">
        <x:f>IFERROR(VLOOKUP(L1528,'Reference Data'!$A$5:$F$40,6,FALSE),0)</x:f>
        <x:v>8</x:v>
      </x:c>
      <x:c r="R1528" s="84" t="n">
        <x:f>'Raw Sales'!J1528</x:f>
        <x:v>3</x:v>
      </x:c>
      <x:c r="S1528" s="87" t="n">
        <x:f>'Raw Sales'!K1528</x:f>
        <x:v>0.1</x:v>
      </x:c>
      <x:c r="T1528" s="93" t="n">
        <x:f>P1528*R1528</x:f>
        <x:v>72</x:v>
      </x:c>
      <x:c r="U1528" s="93" t="n">
        <x:f>T1528*S1528</x:f>
        <x:v>7.2</x:v>
      </x:c>
      <x:c r="V1528" s="93" t="str">
        <x:f>PROPER(TRIM('Raw Sales'!L1528))</x:f>
        <x:v>Completed</x:v>
      </x:c>
      <x:c r="W1528" s="93" t="n">
        <x:f>IF(V1528="Returned",0,T1528-U1528)</x:f>
        <x:v>64.8</x:v>
      </x:c>
      <x:c r="X1528" s="93" t="n">
        <x:f>IF(V1528="Returned",Q1528*R1528*10%,Q1528*R1528)</x:f>
        <x:v>24</x:v>
      </x:c>
      <x:c r="Y1528" s="93" t="n">
        <x:f>W1528-X1528</x:f>
        <x:v>40.8</x:v>
      </x:c>
      <x:c r="Z1528" s="94" t="n">
        <x:f>IFERROR(Y1528/W1528,0)</x:f>
        <x:v>0.6296296296296297</x:v>
      </x:c>
      <x:c r="AA1528" s="84" t="str">
        <x:f>PROPER(TRIM('Raw Sales'!M1528))</x:f>
        <x:v>Mobile Wallet</x:v>
      </x:c>
      <x:c r="AB1528" s="84" t="str">
        <x:f>PROPER(TRIM('Raw Sales'!N1528))</x:f>
        <x:v>Emma Hayes</x:v>
      </x:c>
      <x:c r="AC1528" s="85" t="n">
        <x:f>'Raw Sales'!O1528</x:f>
        <x:v>45799</x:v>
      </x:c>
      <x:c r="AD1528" s="84" t="n">
        <x:f>AC1528-B1528</x:f>
        <x:v>2</x:v>
      </x:c>
      <x:c r="AE1528" s="84" t="str">
        <x:f>IF(COUNTIF($A$5:A1528,A1528)&gt;1,"Duplicate","Keep")</x:f>
        <x:v>Keep</x:v>
      </x:c>
      <x:c r="AF1528" s="84" t="str">
        <x:f>IF(OR(R1528&lt;=0,AC1528&lt;B1528,H1528="Unknown",M1528="Unknown Product"),"Review","Valid")</x:f>
        <x:v>Valid</x:v>
      </x:c>
      <x:c r="AG1528" s="84" t="n">
        <x:f>IF(AND(AE1528="Keep",AF1528="Valid"),1,0)</x:f>
        <x:v>1</x:v>
      </x:c>
      <x:c r="AH1528" s="84" t="n">
        <x:f>IF(AND(AG1528=1,OR('Dashboard'!$B$4="All",I1528='Dashboard'!$B$4),OR('Dashboard'!$E$4="All",N1528='Dashboard'!$E$4),OR('Dashboard'!$H$4="All",K1528='Dashboard'!$H$4),OR('Dashboard'!$K$4="All",C1528='Dashboard'!$K$4)),1,0)</x:f>
        <x:v>1</x:v>
      </x:c>
      <x:c r="AI1528" s="84" t="n">
        <x:f>IF(AND(AG1528=1,OR('Dashboard'!$B$4="All",I1528='Dashboard'!$B$4),OR('Dashboard'!$E$4="All",N1528='Dashboard'!$E$4),OR('Dashboard'!$H$4="All",K1528='Dashboard'!$H$4)),1,0)</x:f>
        <x:v>1</x:v>
      </x:c>
    </x:row>
    <x:row r="1529">
      <x:c r="A1529" s="84" t="str">
        <x:f>'Raw Sales'!A1529</x:f>
        <x:v>ORD-2025-00966</x:v>
      </x:c>
      <x:c r="B1529" s="85" t="n">
        <x:f>'Raw Sales'!B1529</x:f>
        <x:v>45798</x:v>
      </x:c>
      <x:c r="C1529" s="84" t="n">
        <x:f>YEAR(B1529)</x:f>
        <x:v>2025</x:v>
      </x:c>
      <x:c r="D1529" s="91" t="n">
        <x:f>DATE(YEAR(B1529),MONTH(B1529),1)</x:f>
        <x:v>45778</x:v>
      </x:c>
      <x:c r="E1529" s="84" t="str">
        <x:f>TEXT(B1529,"mmm")</x:f>
        <x:v>May</x:v>
      </x:c>
      <x:c r="F1529" s="84" t="str">
        <x:f>'Raw Sales'!C1529</x:f>
        <x:v>CUST-0613</x:v>
      </x:c>
      <x:c r="G1529" s="84" t="str">
        <x:f>PROPER(TRIM('Raw Sales'!D1529))</x:f>
        <x:v>Owen Hall</x:v>
      </x:c>
      <x:c r="H1529" s="84" t="str">
        <x:f>IF(TRIM('Raw Sales'!E1529)="","Unknown",PROPER(TRIM('Raw Sales'!E1529)))</x:f>
        <x:v>Consumer</x:v>
      </x:c>
      <x:c r="I1529" s="84" t="str">
        <x:f>PROPER(TRIM('Raw Sales'!F1529))</x:f>
        <x:v>Southeast</x:v>
      </x:c>
      <x:c r="J1529" s="84" t="str">
        <x:f>PROPER(TRIM('Raw Sales'!G1529))</x:f>
        <x:v>Nashville</x:v>
      </x:c>
      <x:c r="K1529" s="84" t="str">
        <x:f>PROPER(TRIM('Raw Sales'!H1529))</x:f>
        <x:v>Retail Store</x:v>
      </x:c>
      <x:c r="L1529" s="84" t="str">
        <x:f>'Raw Sales'!I1529</x:f>
        <x:v>ELEC-002</x:v>
      </x:c>
      <x:c r="M1529" s="84" t="str">
        <x:f>IFERROR(VLOOKUP(L1529,'Reference Data'!$A$5:$F$40,2,FALSE),"Unknown Product")</x:f>
        <x:v>Smartwatch</x:v>
      </x:c>
      <x:c r="N1529" s="84" t="str">
        <x:f>IFERROR(VLOOKUP(L1529,'Reference Data'!$A$5:$F$40,3,FALSE),"Unknown")</x:f>
        <x:v>Electronics</x:v>
      </x:c>
      <x:c r="O1529" s="84" t="str">
        <x:f>IFERROR(VLOOKUP(L1529,'Reference Data'!$A$5:$F$40,4,FALSE),"Unknown")</x:f>
        <x:v>Wearables</x:v>
      </x:c>
      <x:c r="P1529" s="92" t="n">
        <x:f>IFERROR(VLOOKUP(L1529,'Reference Data'!$A$5:$F$40,5,FALSE),0)</x:f>
        <x:v>159</x:v>
      </x:c>
      <x:c r="Q1529" s="92" t="n">
        <x:f>IFERROR(VLOOKUP(L1529,'Reference Data'!$A$5:$F$40,6,FALSE),0)</x:f>
        <x:v>92</x:v>
      </x:c>
      <x:c r="R1529" s="84" t="n">
        <x:f>'Raw Sales'!J1529</x:f>
        <x:v>1</x:v>
      </x:c>
      <x:c r="S1529" s="87" t="n">
        <x:f>'Raw Sales'!K1529</x:f>
        <x:v>0</x:v>
      </x:c>
      <x:c r="T1529" s="93" t="n">
        <x:f>P1529*R1529</x:f>
        <x:v>159</x:v>
      </x:c>
      <x:c r="U1529" s="93" t="n">
        <x:f>T1529*S1529</x:f>
        <x:v>0</x:v>
      </x:c>
      <x:c r="V1529" s="93" t="str">
        <x:f>PROPER(TRIM('Raw Sales'!L1529))</x:f>
        <x:v>Completed</x:v>
      </x:c>
      <x:c r="W1529" s="93" t="n">
        <x:f>IF(V1529="Returned",0,T1529-U1529)</x:f>
        <x:v>159</x:v>
      </x:c>
      <x:c r="X1529" s="93" t="n">
        <x:f>IF(V1529="Returned",Q1529*R1529*10%,Q1529*R1529)</x:f>
        <x:v>92</x:v>
      </x:c>
      <x:c r="Y1529" s="93" t="n">
        <x:f>W1529-X1529</x:f>
        <x:v>67</x:v>
      </x:c>
      <x:c r="Z1529" s="94" t="n">
        <x:f>IFERROR(Y1529/W1529,0)</x:f>
        <x:v>0.42138364779874216</x:v>
      </x:c>
      <x:c r="AA1529" s="84" t="str">
        <x:f>PROPER(TRIM('Raw Sales'!M1529))</x:f>
        <x:v>Cash</x:v>
      </x:c>
      <x:c r="AB1529" s="84" t="str">
        <x:f>PROPER(TRIM('Raw Sales'!N1529))</x:f>
        <x:v>Liam Parker</x:v>
      </x:c>
      <x:c r="AC1529" s="85" t="n">
        <x:f>'Raw Sales'!O1529</x:f>
        <x:v>45798</x:v>
      </x:c>
      <x:c r="AD1529" s="84" t="n">
        <x:f>AC1529-B1529</x:f>
        <x:v>0</x:v>
      </x:c>
      <x:c r="AE1529" s="84" t="str">
        <x:f>IF(COUNTIF($A$5:A1529,A1529)&gt;1,"Duplicate","Keep")</x:f>
        <x:v>Keep</x:v>
      </x:c>
      <x:c r="AF1529" s="84" t="str">
        <x:f>IF(OR(R1529&lt;=0,AC1529&lt;B1529,H1529="Unknown",M1529="Unknown Product"),"Review","Valid")</x:f>
        <x:v>Valid</x:v>
      </x:c>
      <x:c r="AG1529" s="84" t="n">
        <x:f>IF(AND(AE1529="Keep",AF1529="Valid"),1,0)</x:f>
        <x:v>1</x:v>
      </x:c>
      <x:c r="AH1529" s="84" t="n">
        <x:f>IF(AND(AG1529=1,OR('Dashboard'!$B$4="All",I1529='Dashboard'!$B$4),OR('Dashboard'!$E$4="All",N1529='Dashboard'!$E$4),OR('Dashboard'!$H$4="All",K1529='Dashboard'!$H$4),OR('Dashboard'!$K$4="All",C1529='Dashboard'!$K$4)),1,0)</x:f>
        <x:v>1</x:v>
      </x:c>
      <x:c r="AI1529" s="84" t="n">
        <x:f>IF(AND(AG1529=1,OR('Dashboard'!$B$4="All",I1529='Dashboard'!$B$4),OR('Dashboard'!$E$4="All",N1529='Dashboard'!$E$4),OR('Dashboard'!$H$4="All",K1529='Dashboard'!$H$4)),1,0)</x:f>
        <x:v>1</x:v>
      </x:c>
    </x:row>
    <x:row r="1530">
      <x:c r="A1530" s="84" t="str">
        <x:f>'Raw Sales'!A1530</x:f>
        <x:v>ORD-2025-01307</x:v>
      </x:c>
      <x:c r="B1530" s="85" t="n">
        <x:f>'Raw Sales'!B1530</x:f>
        <x:v>45798</x:v>
      </x:c>
      <x:c r="C1530" s="84" t="n">
        <x:f>YEAR(B1530)</x:f>
        <x:v>2025</x:v>
      </x:c>
      <x:c r="D1530" s="91" t="n">
        <x:f>DATE(YEAR(B1530),MONTH(B1530),1)</x:f>
        <x:v>45778</x:v>
      </x:c>
      <x:c r="E1530" s="84" t="str">
        <x:f>TEXT(B1530,"mmm")</x:f>
        <x:v>May</x:v>
      </x:c>
      <x:c r="F1530" s="84" t="str">
        <x:f>'Raw Sales'!C1530</x:f>
        <x:v>CUST-0096</x:v>
      </x:c>
      <x:c r="G1530" s="84" t="str">
        <x:f>PROPER(TRIM('Raw Sales'!D1530))</x:f>
        <x:v>Nina Irwin</x:v>
      </x:c>
      <x:c r="H1530" s="84" t="str">
        <x:f>IF(TRIM('Raw Sales'!E1530)="","Unknown",PROPER(TRIM('Raw Sales'!E1530)))</x:f>
        <x:v>Consumer</x:v>
      </x:c>
      <x:c r="I1530" s="84" t="str">
        <x:f>PROPER(TRIM('Raw Sales'!F1530))</x:f>
        <x:v>Southeast</x:v>
      </x:c>
      <x:c r="J1530" s="84" t="str">
        <x:f>PROPER(TRIM('Raw Sales'!G1530))</x:f>
        <x:v>Miami</x:v>
      </x:c>
      <x:c r="K1530" s="84" t="str">
        <x:f>PROPER(TRIM('Raw Sales'!H1530))</x:f>
        <x:v>Marketplace</x:v>
      </x:c>
      <x:c r="L1530" s="84" t="str">
        <x:f>'Raw Sales'!I1530</x:f>
        <x:v>ACCS-005</x:v>
      </x:c>
      <x:c r="M1530" s="84" t="str">
        <x:f>IFERROR(VLOOKUP(L1530,'Reference Data'!$A$5:$F$40,2,FALSE),"Unknown Product")</x:f>
        <x:v>Protective Phone Case</x:v>
      </x:c>
      <x:c r="N1530" s="84" t="str">
        <x:f>IFERROR(VLOOKUP(L1530,'Reference Data'!$A$5:$F$40,3,FALSE),"Unknown")</x:f>
        <x:v>Accessories</x:v>
      </x:c>
      <x:c r="O1530" s="84" t="str">
        <x:f>IFERROR(VLOOKUP(L1530,'Reference Data'!$A$5:$F$40,4,FALSE),"Unknown")</x:f>
        <x:v>Mobile Accessories</x:v>
      </x:c>
      <x:c r="P1530" s="92" t="n">
        <x:f>IFERROR(VLOOKUP(L1530,'Reference Data'!$A$5:$F$40,5,FALSE),0)</x:f>
        <x:v>24</x:v>
      </x:c>
      <x:c r="Q1530" s="92" t="n">
        <x:f>IFERROR(VLOOKUP(L1530,'Reference Data'!$A$5:$F$40,6,FALSE),0)</x:f>
        <x:v>5</x:v>
      </x:c>
      <x:c r="R1530" s="84" t="n">
        <x:f>'Raw Sales'!J1530</x:f>
        <x:v>3</x:v>
      </x:c>
      <x:c r="S1530" s="87" t="n">
        <x:f>'Raw Sales'!K1530</x:f>
        <x:v>0</x:v>
      </x:c>
      <x:c r="T1530" s="93" t="n">
        <x:f>P1530*R1530</x:f>
        <x:v>72</x:v>
      </x:c>
      <x:c r="U1530" s="93" t="n">
        <x:f>T1530*S1530</x:f>
        <x:v>0</x:v>
      </x:c>
      <x:c r="V1530" s="93" t="str">
        <x:f>PROPER(TRIM('Raw Sales'!L1530))</x:f>
        <x:v>Completed</x:v>
      </x:c>
      <x:c r="W1530" s="93" t="n">
        <x:f>IF(V1530="Returned",0,T1530-U1530)</x:f>
        <x:v>72</x:v>
      </x:c>
      <x:c r="X1530" s="93" t="n">
        <x:f>IF(V1530="Returned",Q1530*R1530*10%,Q1530*R1530)</x:f>
        <x:v>15</x:v>
      </x:c>
      <x:c r="Y1530" s="93" t="n">
        <x:f>W1530-X1530</x:f>
        <x:v>57</x:v>
      </x:c>
      <x:c r="Z1530" s="94" t="n">
        <x:f>IFERROR(Y1530/W1530,0)</x:f>
        <x:v>0.7916666666666666</x:v>
      </x:c>
      <x:c r="AA1530" s="84" t="str">
        <x:f>PROPER(TRIM('Raw Sales'!M1530))</x:f>
        <x:v>Credit Card</x:v>
      </x:c>
      <x:c r="AB1530" s="84" t="str">
        <x:f>PROPER(TRIM('Raw Sales'!N1530))</x:f>
        <x:v>Ava Mitchell</x:v>
      </x:c>
      <x:c r="AC1530" s="85" t="n">
        <x:f>'Raw Sales'!O1530</x:f>
        <x:v>45806</x:v>
      </x:c>
      <x:c r="AD1530" s="84" t="n">
        <x:f>AC1530-B1530</x:f>
        <x:v>8</x:v>
      </x:c>
      <x:c r="AE1530" s="84" t="str">
        <x:f>IF(COUNTIF($A$5:A1530,A1530)&gt;1,"Duplicate","Keep")</x:f>
        <x:v>Keep</x:v>
      </x:c>
      <x:c r="AF1530" s="84" t="str">
        <x:f>IF(OR(R1530&lt;=0,AC1530&lt;B1530,H1530="Unknown",M1530="Unknown Product"),"Review","Valid")</x:f>
        <x:v>Valid</x:v>
      </x:c>
      <x:c r="AG1530" s="84" t="n">
        <x:f>IF(AND(AE1530="Keep",AF1530="Valid"),1,0)</x:f>
        <x:v>1</x:v>
      </x:c>
      <x:c r="AH1530" s="84" t="n">
        <x:f>IF(AND(AG1530=1,OR('Dashboard'!$B$4="All",I1530='Dashboard'!$B$4),OR('Dashboard'!$E$4="All",N1530='Dashboard'!$E$4),OR('Dashboard'!$H$4="All",K1530='Dashboard'!$H$4),OR('Dashboard'!$K$4="All",C1530='Dashboard'!$K$4)),1,0)</x:f>
        <x:v>1</x:v>
      </x:c>
      <x:c r="AI1530" s="84" t="n">
        <x:f>IF(AND(AG1530=1,OR('Dashboard'!$B$4="All",I1530='Dashboard'!$B$4),OR('Dashboard'!$E$4="All",N1530='Dashboard'!$E$4),OR('Dashboard'!$H$4="All",K1530='Dashboard'!$H$4)),1,0)</x:f>
        <x:v>1</x:v>
      </x:c>
    </x:row>
    <x:row r="1531">
      <x:c r="A1531" s="84" t="str">
        <x:f>'Raw Sales'!A1531</x:f>
        <x:v>ORD-2025-01988</x:v>
      </x:c>
      <x:c r="B1531" s="85" t="n">
        <x:f>'Raw Sales'!B1531</x:f>
        <x:v>45798</x:v>
      </x:c>
      <x:c r="C1531" s="84" t="n">
        <x:f>YEAR(B1531)</x:f>
        <x:v>2025</x:v>
      </x:c>
      <x:c r="D1531" s="91" t="n">
        <x:f>DATE(YEAR(B1531),MONTH(B1531),1)</x:f>
        <x:v>45778</x:v>
      </x:c>
      <x:c r="E1531" s="84" t="str">
        <x:f>TEXT(B1531,"mmm")</x:f>
        <x:v>May</x:v>
      </x:c>
      <x:c r="F1531" s="84" t="str">
        <x:f>'Raw Sales'!C1531</x:f>
        <x:v>CUST-0508</x:v>
      </x:c>
      <x:c r="G1531" s="84" t="str">
        <x:f>PROPER(TRIM('Raw Sales'!D1531))</x:f>
        <x:v>Nina Smith</x:v>
      </x:c>
      <x:c r="H1531" s="84" t="str">
        <x:f>IF(TRIM('Raw Sales'!E1531)="","Unknown",PROPER(TRIM('Raw Sales'!E1531)))</x:f>
        <x:v>Consumer</x:v>
      </x:c>
      <x:c r="I1531" s="84" t="str">
        <x:f>PROPER(TRIM('Raw Sales'!F1531))</x:f>
        <x:v>West</x:v>
      </x:c>
      <x:c r="J1531" s="84" t="str">
        <x:f>PROPER(TRIM('Raw Sales'!G1531))</x:f>
        <x:v>Denver</x:v>
      </x:c>
      <x:c r="K1531" s="84" t="str">
        <x:f>PROPER(TRIM('Raw Sales'!H1531))</x:f>
        <x:v>Marketplace</x:v>
      </x:c>
      <x:c r="L1531" s="84" t="str">
        <x:f>'Raw Sales'!I1531</x:f>
        <x:v>ACCS-005</x:v>
      </x:c>
      <x:c r="M1531" s="84" t="str">
        <x:f>IFERROR(VLOOKUP(L1531,'Reference Data'!$A$5:$F$40,2,FALSE),"Unknown Product")</x:f>
        <x:v>Protective Phone Case</x:v>
      </x:c>
      <x:c r="N1531" s="84" t="str">
        <x:f>IFERROR(VLOOKUP(L1531,'Reference Data'!$A$5:$F$40,3,FALSE),"Unknown")</x:f>
        <x:v>Accessories</x:v>
      </x:c>
      <x:c r="O1531" s="84" t="str">
        <x:f>IFERROR(VLOOKUP(L1531,'Reference Data'!$A$5:$F$40,4,FALSE),"Unknown")</x:f>
        <x:v>Mobile Accessories</x:v>
      </x:c>
      <x:c r="P1531" s="92" t="n">
        <x:f>IFERROR(VLOOKUP(L1531,'Reference Data'!$A$5:$F$40,5,FALSE),0)</x:f>
        <x:v>24</x:v>
      </x:c>
      <x:c r="Q1531" s="92" t="n">
        <x:f>IFERROR(VLOOKUP(L1531,'Reference Data'!$A$5:$F$40,6,FALSE),0)</x:f>
        <x:v>5</x:v>
      </x:c>
      <x:c r="R1531" s="84" t="n">
        <x:f>'Raw Sales'!J1531</x:f>
        <x:v>3</x:v>
      </x:c>
      <x:c r="S1531" s="87" t="n">
        <x:f>'Raw Sales'!K1531</x:f>
        <x:v>0.1</x:v>
      </x:c>
      <x:c r="T1531" s="93" t="n">
        <x:f>P1531*R1531</x:f>
        <x:v>72</x:v>
      </x:c>
      <x:c r="U1531" s="93" t="n">
        <x:f>T1531*S1531</x:f>
        <x:v>7.2</x:v>
      </x:c>
      <x:c r="V1531" s="93" t="str">
        <x:f>PROPER(TRIM('Raw Sales'!L1531))</x:f>
        <x:v>Completed</x:v>
      </x:c>
      <x:c r="W1531" s="93" t="n">
        <x:f>IF(V1531="Returned",0,T1531-U1531)</x:f>
        <x:v>64.8</x:v>
      </x:c>
      <x:c r="X1531" s="93" t="n">
        <x:f>IF(V1531="Returned",Q1531*R1531*10%,Q1531*R1531)</x:f>
        <x:v>15</x:v>
      </x:c>
      <x:c r="Y1531" s="93" t="n">
        <x:f>W1531-X1531</x:f>
        <x:v>49.8</x:v>
      </x:c>
      <x:c r="Z1531" s="94" t="n">
        <x:f>IFERROR(Y1531/W1531,0)</x:f>
        <x:v>0.7685185185185185</x:v>
      </x:c>
      <x:c r="AA1531" s="84" t="str">
        <x:f>PROPER(TRIM('Raw Sales'!M1531))</x:f>
        <x:v>Credit Card</x:v>
      </x:c>
      <x:c r="AB1531" s="84" t="str">
        <x:f>PROPER(TRIM('Raw Sales'!N1531))</x:f>
        <x:v>Nora Kim</x:v>
      </x:c>
      <x:c r="AC1531" s="85" t="n">
        <x:f>'Raw Sales'!O1531</x:f>
        <x:v>45802</x:v>
      </x:c>
      <x:c r="AD1531" s="84" t="n">
        <x:f>AC1531-B1531</x:f>
        <x:v>4</x:v>
      </x:c>
      <x:c r="AE1531" s="84" t="str">
        <x:f>IF(COUNTIF($A$5:A1531,A1531)&gt;1,"Duplicate","Keep")</x:f>
        <x:v>Keep</x:v>
      </x:c>
      <x:c r="AF1531" s="84" t="str">
        <x:f>IF(OR(R1531&lt;=0,AC1531&lt;B1531,H1531="Unknown",M1531="Unknown Product"),"Review","Valid")</x:f>
        <x:v>Valid</x:v>
      </x:c>
      <x:c r="AG1531" s="84" t="n">
        <x:f>IF(AND(AE1531="Keep",AF1531="Valid"),1,0)</x:f>
        <x:v>1</x:v>
      </x:c>
      <x:c r="AH1531" s="84" t="n">
        <x:f>IF(AND(AG1531=1,OR('Dashboard'!$B$4="All",I1531='Dashboard'!$B$4),OR('Dashboard'!$E$4="All",N1531='Dashboard'!$E$4),OR('Dashboard'!$H$4="All",K1531='Dashboard'!$H$4),OR('Dashboard'!$K$4="All",C1531='Dashboard'!$K$4)),1,0)</x:f>
        <x:v>1</x:v>
      </x:c>
      <x:c r="AI1531" s="84" t="n">
        <x:f>IF(AND(AG1531=1,OR('Dashboard'!$B$4="All",I1531='Dashboard'!$B$4),OR('Dashboard'!$E$4="All",N1531='Dashboard'!$E$4),OR('Dashboard'!$H$4="All",K1531='Dashboard'!$H$4)),1,0)</x:f>
        <x:v>1</x:v>
      </x:c>
    </x:row>
    <x:row r="1532">
      <x:c r="A1532" s="84" t="str">
        <x:f>'Raw Sales'!A1532</x:f>
        <x:v>ORD-2025-02140</x:v>
      </x:c>
      <x:c r="B1532" s="85" t="n">
        <x:f>'Raw Sales'!B1532</x:f>
        <x:v>45798</x:v>
      </x:c>
      <x:c r="C1532" s="84" t="n">
        <x:f>YEAR(B1532)</x:f>
        <x:v>2025</x:v>
      </x:c>
      <x:c r="D1532" s="91" t="n">
        <x:f>DATE(YEAR(B1532),MONTH(B1532),1)</x:f>
        <x:v>45778</x:v>
      </x:c>
      <x:c r="E1532" s="84" t="str">
        <x:f>TEXT(B1532,"mmm")</x:f>
        <x:v>May</x:v>
      </x:c>
      <x:c r="F1532" s="84" t="str">
        <x:f>'Raw Sales'!C1532</x:f>
        <x:v>CUST-0585</x:v>
      </x:c>
      <x:c r="G1532" s="84" t="str">
        <x:f>PROPER(TRIM('Raw Sales'!D1532))</x:f>
        <x:v>Isaac Patel</x:v>
      </x:c>
      <x:c r="H1532" s="84" t="str">
        <x:f>IF(TRIM('Raw Sales'!E1532)="","Unknown",PROPER(TRIM('Raw Sales'!E1532)))</x:f>
        <x:v>Consumer</x:v>
      </x:c>
      <x:c r="I1532" s="84" t="str">
        <x:f>PROPER(TRIM('Raw Sales'!F1532))</x:f>
        <x:v>Northeast</x:v>
      </x:c>
      <x:c r="J1532" s="84" t="str">
        <x:f>PROPER(TRIM('Raw Sales'!G1532))</x:f>
        <x:v>New York</x:v>
      </x:c>
      <x:c r="K1532" s="84" t="str">
        <x:f>PROPER(TRIM('Raw Sales'!H1532))</x:f>
        <x:v>Online</x:v>
      </x:c>
      <x:c r="L1532" s="84" t="str">
        <x:f>'Raw Sales'!I1532</x:f>
        <x:v>HOME-005</x:v>
      </x:c>
      <x:c r="M1532" s="84" t="str">
        <x:f>IFERROR(VLOOKUP(L1532,'Reference Data'!$A$5:$F$40,2,FALSE),"Unknown Product")</x:f>
        <x:v>Cordless Vacuum</x:v>
      </x:c>
      <x:c r="N1532" s="84" t="str">
        <x:f>IFERROR(VLOOKUP(L1532,'Reference Data'!$A$5:$F$40,3,FALSE),"Unknown")</x:f>
        <x:v>Home &amp; Kitchen</x:v>
      </x:c>
      <x:c r="O1532" s="84" t="str">
        <x:f>IFERROR(VLOOKUP(L1532,'Reference Data'!$A$5:$F$40,4,FALSE),"Unknown")</x:f>
        <x:v>Cleaning</x:v>
      </x:c>
      <x:c r="P1532" s="92" t="n">
        <x:f>IFERROR(VLOOKUP(L1532,'Reference Data'!$A$5:$F$40,5,FALSE),0)</x:f>
        <x:v>179</x:v>
      </x:c>
      <x:c r="Q1532" s="92" t="n">
        <x:f>IFERROR(VLOOKUP(L1532,'Reference Data'!$A$5:$F$40,6,FALSE),0)</x:f>
        <x:v>102</x:v>
      </x:c>
      <x:c r="R1532" s="84" t="n">
        <x:f>'Raw Sales'!J1532</x:f>
        <x:v>1</x:v>
      </x:c>
      <x:c r="S1532" s="87" t="n">
        <x:f>'Raw Sales'!K1532</x:f>
        <x:v>0.1</x:v>
      </x:c>
      <x:c r="T1532" s="93" t="n">
        <x:f>P1532*R1532</x:f>
        <x:v>179</x:v>
      </x:c>
      <x:c r="U1532" s="93" t="n">
        <x:f>T1532*S1532</x:f>
        <x:v>17.900000000000002</x:v>
      </x:c>
      <x:c r="V1532" s="93" t="str">
        <x:f>PROPER(TRIM('Raw Sales'!L1532))</x:f>
        <x:v>Completed</x:v>
      </x:c>
      <x:c r="W1532" s="93" t="n">
        <x:f>IF(V1532="Returned",0,T1532-U1532)</x:f>
        <x:v>161.1</x:v>
      </x:c>
      <x:c r="X1532" s="93" t="n">
        <x:f>IF(V1532="Returned",Q1532*R1532*10%,Q1532*R1532)</x:f>
        <x:v>102</x:v>
      </x:c>
      <x:c r="Y1532" s="93" t="n">
        <x:f>W1532-X1532</x:f>
        <x:v>59.099999999999994</x:v>
      </x:c>
      <x:c r="Z1532" s="94" t="n">
        <x:f>IFERROR(Y1532/W1532,0)</x:f>
        <x:v>0.36685288640595903</x:v>
      </x:c>
      <x:c r="AA1532" s="84" t="str">
        <x:f>PROPER(TRIM('Raw Sales'!M1532))</x:f>
        <x:v>Credit Card</x:v>
      </x:c>
      <x:c r="AB1532" s="84" t="str">
        <x:f>PROPER(TRIM('Raw Sales'!N1532))</x:f>
        <x:v>Sofia Bennett</x:v>
      </x:c>
      <x:c r="AC1532" s="85" t="n">
        <x:f>'Raw Sales'!O1532</x:f>
        <x:v>45802</x:v>
      </x:c>
      <x:c r="AD1532" s="84" t="n">
        <x:f>AC1532-B1532</x:f>
        <x:v>4</x:v>
      </x:c>
      <x:c r="AE1532" s="84" t="str">
        <x:f>IF(COUNTIF($A$5:A1532,A1532)&gt;1,"Duplicate","Keep")</x:f>
        <x:v>Keep</x:v>
      </x:c>
      <x:c r="AF1532" s="84" t="str">
        <x:f>IF(OR(R1532&lt;=0,AC1532&lt;B1532,H1532="Unknown",M1532="Unknown Product"),"Review","Valid")</x:f>
        <x:v>Valid</x:v>
      </x:c>
      <x:c r="AG1532" s="84" t="n">
        <x:f>IF(AND(AE1532="Keep",AF1532="Valid"),1,0)</x:f>
        <x:v>1</x:v>
      </x:c>
      <x:c r="AH1532" s="84" t="n">
        <x:f>IF(AND(AG1532=1,OR('Dashboard'!$B$4="All",I1532='Dashboard'!$B$4),OR('Dashboard'!$E$4="All",N1532='Dashboard'!$E$4),OR('Dashboard'!$H$4="All",K1532='Dashboard'!$H$4),OR('Dashboard'!$K$4="All",C1532='Dashboard'!$K$4)),1,0)</x:f>
        <x:v>1</x:v>
      </x:c>
      <x:c r="AI1532" s="84" t="n">
        <x:f>IF(AND(AG1532=1,OR('Dashboard'!$B$4="All",I1532='Dashboard'!$B$4),OR('Dashboard'!$E$4="All",N1532='Dashboard'!$E$4),OR('Dashboard'!$H$4="All",K1532='Dashboard'!$H$4)),1,0)</x:f>
        <x:v>1</x:v>
      </x:c>
    </x:row>
    <x:row r="1533">
      <x:c r="A1533" s="84" t="str">
        <x:f>'Raw Sales'!A1533</x:f>
        <x:v>ORD-2025-02160</x:v>
      </x:c>
      <x:c r="B1533" s="85" t="n">
        <x:f>'Raw Sales'!B1533</x:f>
        <x:v>45798</x:v>
      </x:c>
      <x:c r="C1533" s="84" t="n">
        <x:f>YEAR(B1533)</x:f>
        <x:v>2025</x:v>
      </x:c>
      <x:c r="D1533" s="91" t="n">
        <x:f>DATE(YEAR(B1533),MONTH(B1533),1)</x:f>
        <x:v>45778</x:v>
      </x:c>
      <x:c r="E1533" s="84" t="str">
        <x:f>TEXT(B1533,"mmm")</x:f>
        <x:v>May</x:v>
      </x:c>
      <x:c r="F1533" s="84" t="str">
        <x:f>'Raw Sales'!C1533</x:f>
        <x:v>CUST-0195</x:v>
      </x:c>
      <x:c r="G1533" s="84" t="str">
        <x:f>PROPER(TRIM('Raw Sales'!D1533))</x:f>
        <x:v>Aiden Carter</x:v>
      </x:c>
      <x:c r="H1533" s="84" t="str">
        <x:f>IF(TRIM('Raw Sales'!E1533)="","Unknown",PROPER(TRIM('Raw Sales'!E1533)))</x:f>
        <x:v>Corporate</x:v>
      </x:c>
      <x:c r="I1533" s="84" t="str">
        <x:f>PROPER(TRIM('Raw Sales'!F1533))</x:f>
        <x:v>Northeast</x:v>
      </x:c>
      <x:c r="J1533" s="84" t="str">
        <x:f>PROPER(TRIM('Raw Sales'!G1533))</x:f>
        <x:v>New York</x:v>
      </x:c>
      <x:c r="K1533" s="84" t="str">
        <x:f>PROPER(TRIM('Raw Sales'!H1533))</x:f>
        <x:v>Marketplace</x:v>
      </x:c>
      <x:c r="L1533" s="84" t="str">
        <x:f>'Raw Sales'!I1533</x:f>
        <x:v>OFFC-003</x:v>
      </x:c>
      <x:c r="M1533" s="84" t="str">
        <x:f>IFERROR(VLOOKUP(L1533,'Reference Data'!$A$5:$F$40,2,FALSE),"Unknown Product")</x:f>
        <x:v>LED Desk Lamp</x:v>
      </x:c>
      <x:c r="N1533" s="84" t="str">
        <x:f>IFERROR(VLOOKUP(L1533,'Reference Data'!$A$5:$F$40,3,FALSE),"Unknown")</x:f>
        <x:v>Office</x:v>
      </x:c>
      <x:c r="O1533" s="84" t="str">
        <x:f>IFERROR(VLOOKUP(L1533,'Reference Data'!$A$5:$F$40,4,FALSE),"Unknown")</x:f>
        <x:v>Desk Accessories</x:v>
      </x:c>
      <x:c r="P1533" s="92" t="n">
        <x:f>IFERROR(VLOOKUP(L1533,'Reference Data'!$A$5:$F$40,5,FALSE),0)</x:f>
        <x:v>45</x:v>
      </x:c>
      <x:c r="Q1533" s="92" t="n">
        <x:f>IFERROR(VLOOKUP(L1533,'Reference Data'!$A$5:$F$40,6,FALSE),0)</x:f>
        <x:v>20</x:v>
      </x:c>
      <x:c r="R1533" s="84" t="n">
        <x:f>'Raw Sales'!J1533</x:f>
        <x:v>2</x:v>
      </x:c>
      <x:c r="S1533" s="87" t="n">
        <x:f>'Raw Sales'!K1533</x:f>
        <x:v>0.2</x:v>
      </x:c>
      <x:c r="T1533" s="93" t="n">
        <x:f>P1533*R1533</x:f>
        <x:v>90</x:v>
      </x:c>
      <x:c r="U1533" s="93" t="n">
        <x:f>T1533*S1533</x:f>
        <x:v>18</x:v>
      </x:c>
      <x:c r="V1533" s="93" t="str">
        <x:f>PROPER(TRIM('Raw Sales'!L1533))</x:f>
        <x:v>Completed</x:v>
      </x:c>
      <x:c r="W1533" s="93" t="n">
        <x:f>IF(V1533="Returned",0,T1533-U1533)</x:f>
        <x:v>72</x:v>
      </x:c>
      <x:c r="X1533" s="93" t="n">
        <x:f>IF(V1533="Returned",Q1533*R1533*10%,Q1533*R1533)</x:f>
        <x:v>40</x:v>
      </x:c>
      <x:c r="Y1533" s="93" t="n">
        <x:f>W1533-X1533</x:f>
        <x:v>32</x:v>
      </x:c>
      <x:c r="Z1533" s="94" t="n">
        <x:f>IFERROR(Y1533/W1533,0)</x:f>
        <x:v>0.4444444444444444</x:v>
      </x:c>
      <x:c r="AA1533" s="84" t="str">
        <x:f>PROPER(TRIM('Raw Sales'!M1533))</x:f>
        <x:v>Mobile Wallet</x:v>
      </x:c>
      <x:c r="AB1533" s="84" t="str">
        <x:f>PROPER(TRIM('Raw Sales'!N1533))</x:f>
        <x:v>Maya Brooks</x:v>
      </x:c>
      <x:c r="AC1533" s="85" t="n">
        <x:f>'Raw Sales'!O1533</x:f>
        <x:v>45805</x:v>
      </x:c>
      <x:c r="AD1533" s="84" t="n">
        <x:f>AC1533-B1533</x:f>
        <x:v>7</x:v>
      </x:c>
      <x:c r="AE1533" s="84" t="str">
        <x:f>IF(COUNTIF($A$5:A1533,A1533)&gt;1,"Duplicate","Keep")</x:f>
        <x:v>Keep</x:v>
      </x:c>
      <x:c r="AF1533" s="84" t="str">
        <x:f>IF(OR(R1533&lt;=0,AC1533&lt;B1533,H1533="Unknown",M1533="Unknown Product"),"Review","Valid")</x:f>
        <x:v>Valid</x:v>
      </x:c>
      <x:c r="AG1533" s="84" t="n">
        <x:f>IF(AND(AE1533="Keep",AF1533="Valid"),1,0)</x:f>
        <x:v>1</x:v>
      </x:c>
      <x:c r="AH1533" s="84" t="n">
        <x:f>IF(AND(AG1533=1,OR('Dashboard'!$B$4="All",I1533='Dashboard'!$B$4),OR('Dashboard'!$E$4="All",N1533='Dashboard'!$E$4),OR('Dashboard'!$H$4="All",K1533='Dashboard'!$H$4),OR('Dashboard'!$K$4="All",C1533='Dashboard'!$K$4)),1,0)</x:f>
        <x:v>1</x:v>
      </x:c>
      <x:c r="AI1533" s="84" t="n">
        <x:f>IF(AND(AG1533=1,OR('Dashboard'!$B$4="All",I1533='Dashboard'!$B$4),OR('Dashboard'!$E$4="All",N1533='Dashboard'!$E$4),OR('Dashboard'!$H$4="All",K1533='Dashboard'!$H$4)),1,0)</x:f>
        <x:v>1</x:v>
      </x:c>
    </x:row>
    <x:row r="1534">
      <x:c r="A1534" s="84" t="str">
        <x:f>'Raw Sales'!A1534</x:f>
        <x:v>ORD-2025-02298</x:v>
      </x:c>
      <x:c r="B1534" s="85" t="n">
        <x:f>'Raw Sales'!B1534</x:f>
        <x:v>45798</x:v>
      </x:c>
      <x:c r="C1534" s="84" t="n">
        <x:f>YEAR(B1534)</x:f>
        <x:v>2025</x:v>
      </x:c>
      <x:c r="D1534" s="91" t="n">
        <x:f>DATE(YEAR(B1534),MONTH(B1534),1)</x:f>
        <x:v>45778</x:v>
      </x:c>
      <x:c r="E1534" s="84" t="str">
        <x:f>TEXT(B1534,"mmm")</x:f>
        <x:v>May</x:v>
      </x:c>
      <x:c r="F1534" s="84" t="str">
        <x:f>'Raw Sales'!C1534</x:f>
        <x:v>CUST-0372</x:v>
      </x:c>
      <x:c r="G1534" s="84" t="str">
        <x:f>PROPER(TRIM('Raw Sales'!D1534))</x:f>
        <x:v>Owen Baker</x:v>
      </x:c>
      <x:c r="H1534" s="84" t="str">
        <x:f>IF(TRIM('Raw Sales'!E1534)="","Unknown",PROPER(TRIM('Raw Sales'!E1534)))</x:f>
        <x:v>Small Business</x:v>
      </x:c>
      <x:c r="I1534" s="84" t="str">
        <x:f>PROPER(TRIM('Raw Sales'!F1534))</x:f>
        <x:v>Midwest</x:v>
      </x:c>
      <x:c r="J1534" s="84" t="str">
        <x:f>PROPER(TRIM('Raw Sales'!G1534))</x:f>
        <x:v>Detroit</x:v>
      </x:c>
      <x:c r="K1534" s="84" t="str">
        <x:f>PROPER(TRIM('Raw Sales'!H1534))</x:f>
        <x:v>Online</x:v>
      </x:c>
      <x:c r="L1534" s="84" t="str">
        <x:f>'Raw Sales'!I1534</x:f>
        <x:v>ELEC-002</x:v>
      </x:c>
      <x:c r="M1534" s="84" t="str">
        <x:f>IFERROR(VLOOKUP(L1534,'Reference Data'!$A$5:$F$40,2,FALSE),"Unknown Product")</x:f>
        <x:v>Smartwatch</x:v>
      </x:c>
      <x:c r="N1534" s="84" t="str">
        <x:f>IFERROR(VLOOKUP(L1534,'Reference Data'!$A$5:$F$40,3,FALSE),"Unknown")</x:f>
        <x:v>Electronics</x:v>
      </x:c>
      <x:c r="O1534" s="84" t="str">
        <x:f>IFERROR(VLOOKUP(L1534,'Reference Data'!$A$5:$F$40,4,FALSE),"Unknown")</x:f>
        <x:v>Wearables</x:v>
      </x:c>
      <x:c r="P1534" s="92" t="n">
        <x:f>IFERROR(VLOOKUP(L1534,'Reference Data'!$A$5:$F$40,5,FALSE),0)</x:f>
        <x:v>159</x:v>
      </x:c>
      <x:c r="Q1534" s="92" t="n">
        <x:f>IFERROR(VLOOKUP(L1534,'Reference Data'!$A$5:$F$40,6,FALSE),0)</x:f>
        <x:v>92</x:v>
      </x:c>
      <x:c r="R1534" s="84" t="n">
        <x:f>'Raw Sales'!J1534</x:f>
        <x:v>3</x:v>
      </x:c>
      <x:c r="S1534" s="87" t="n">
        <x:f>'Raw Sales'!K1534</x:f>
        <x:v>0</x:v>
      </x:c>
      <x:c r="T1534" s="93" t="n">
        <x:f>P1534*R1534</x:f>
        <x:v>477</x:v>
      </x:c>
      <x:c r="U1534" s="93" t="n">
        <x:f>T1534*S1534</x:f>
        <x:v>0</x:v>
      </x:c>
      <x:c r="V1534" s="93" t="str">
        <x:f>PROPER(TRIM('Raw Sales'!L1534))</x:f>
        <x:v>Completed</x:v>
      </x:c>
      <x:c r="W1534" s="93" t="n">
        <x:f>IF(V1534="Returned",0,T1534-U1534)</x:f>
        <x:v>477</x:v>
      </x:c>
      <x:c r="X1534" s="93" t="n">
        <x:f>IF(V1534="Returned",Q1534*R1534*10%,Q1534*R1534)</x:f>
        <x:v>276</x:v>
      </x:c>
      <x:c r="Y1534" s="93" t="n">
        <x:f>W1534-X1534</x:f>
        <x:v>201</x:v>
      </x:c>
      <x:c r="Z1534" s="94" t="n">
        <x:f>IFERROR(Y1534/W1534,0)</x:f>
        <x:v>0.42138364779874216</x:v>
      </x:c>
      <x:c r="AA1534" s="84" t="str">
        <x:f>PROPER(TRIM('Raw Sales'!M1534))</x:f>
        <x:v>Mobile Wallet</x:v>
      </x:c>
      <x:c r="AB1534" s="84" t="str">
        <x:f>PROPER(TRIM('Raw Sales'!N1534))</x:f>
        <x:v>Zoe Turner</x:v>
      </x:c>
      <x:c r="AC1534" s="85" t="n">
        <x:f>'Raw Sales'!O1534</x:f>
        <x:v>45804</x:v>
      </x:c>
      <x:c r="AD1534" s="84" t="n">
        <x:f>AC1534-B1534</x:f>
        <x:v>6</x:v>
      </x:c>
      <x:c r="AE1534" s="84" t="str">
        <x:f>IF(COUNTIF($A$5:A1534,A1534)&gt;1,"Duplicate","Keep")</x:f>
        <x:v>Keep</x:v>
      </x:c>
      <x:c r="AF1534" s="84" t="str">
        <x:f>IF(OR(R1534&lt;=0,AC1534&lt;B1534,H1534="Unknown",M1534="Unknown Product"),"Review","Valid")</x:f>
        <x:v>Valid</x:v>
      </x:c>
      <x:c r="AG1534" s="84" t="n">
        <x:f>IF(AND(AE1534="Keep",AF1534="Valid"),1,0)</x:f>
        <x:v>1</x:v>
      </x:c>
      <x:c r="AH1534" s="84" t="n">
        <x:f>IF(AND(AG1534=1,OR('Dashboard'!$B$4="All",I1534='Dashboard'!$B$4),OR('Dashboard'!$E$4="All",N1534='Dashboard'!$E$4),OR('Dashboard'!$H$4="All",K1534='Dashboard'!$H$4),OR('Dashboard'!$K$4="All",C1534='Dashboard'!$K$4)),1,0)</x:f>
        <x:v>1</x:v>
      </x:c>
      <x:c r="AI1534" s="84" t="n">
        <x:f>IF(AND(AG1534=1,OR('Dashboard'!$B$4="All",I1534='Dashboard'!$B$4),OR('Dashboard'!$E$4="All",N1534='Dashboard'!$E$4),OR('Dashboard'!$H$4="All",K1534='Dashboard'!$H$4)),1,0)</x:f>
        <x:v>1</x:v>
      </x:c>
    </x:row>
    <x:row r="1535">
      <x:c r="A1535" s="84" t="str">
        <x:f>'Raw Sales'!A1535</x:f>
        <x:v>ORD-2025-01733</x:v>
      </x:c>
      <x:c r="B1535" s="85" t="n">
        <x:f>'Raw Sales'!B1535</x:f>
        <x:v>45799</x:v>
      </x:c>
      <x:c r="C1535" s="84" t="n">
        <x:f>YEAR(B1535)</x:f>
        <x:v>2025</x:v>
      </x:c>
      <x:c r="D1535" s="91" t="n">
        <x:f>DATE(YEAR(B1535),MONTH(B1535),1)</x:f>
        <x:v>45778</x:v>
      </x:c>
      <x:c r="E1535" s="84" t="str">
        <x:f>TEXT(B1535,"mmm")</x:f>
        <x:v>May</x:v>
      </x:c>
      <x:c r="F1535" s="84" t="str">
        <x:f>'Raw Sales'!C1535</x:f>
        <x:v>CUST-0170</x:v>
      </x:c>
      <x:c r="G1535" s="84" t="str">
        <x:f>PROPER(TRIM('Raw Sales'!D1535))</x:f>
        <x:v>Victoria Garcia</x:v>
      </x:c>
      <x:c r="H1535" s="84" t="str">
        <x:f>IF(TRIM('Raw Sales'!E1535)="","Unknown",PROPER(TRIM('Raw Sales'!E1535)))</x:f>
        <x:v>Small Business</x:v>
      </x:c>
      <x:c r="I1535" s="84" t="str">
        <x:f>PROPER(TRIM('Raw Sales'!F1535))</x:f>
        <x:v>West</x:v>
      </x:c>
      <x:c r="J1535" s="84" t="str">
        <x:f>PROPER(TRIM('Raw Sales'!G1535))</x:f>
        <x:v>Seattle</x:v>
      </x:c>
      <x:c r="K1535" s="84" t="str">
        <x:f>PROPER(TRIM('Raw Sales'!H1535))</x:f>
        <x:v>Retail Store</x:v>
      </x:c>
      <x:c r="L1535" s="84" t="str">
        <x:f>'Raw Sales'!I1535</x:f>
        <x:v>HOME-003</x:v>
      </x:c>
      <x:c r="M1535" s="84" t="str">
        <x:f>IFERROR(VLOOKUP(L1535,'Reference Data'!$A$5:$F$40,2,FALSE),"Unknown Product")</x:f>
        <x:v>Countertop Blender</x:v>
      </x:c>
      <x:c r="N1535" s="84" t="str">
        <x:f>IFERROR(VLOOKUP(L1535,'Reference Data'!$A$5:$F$40,3,FALSE),"Unknown")</x:f>
        <x:v>Home &amp; Kitchen</x:v>
      </x:c>
      <x:c r="O1535" s="84" t="str">
        <x:f>IFERROR(VLOOKUP(L1535,'Reference Data'!$A$5:$F$40,4,FALSE),"Unknown")</x:f>
        <x:v>Small Appliances</x:v>
      </x:c>
      <x:c r="P1535" s="92" t="n">
        <x:f>IFERROR(VLOOKUP(L1535,'Reference Data'!$A$5:$F$40,5,FALSE),0)</x:f>
        <x:v>89</x:v>
      </x:c>
      <x:c r="Q1535" s="92" t="n">
        <x:f>IFERROR(VLOOKUP(L1535,'Reference Data'!$A$5:$F$40,6,FALSE),0)</x:f>
        <x:v>46</x:v>
      </x:c>
      <x:c r="R1535" s="84" t="n">
        <x:f>'Raw Sales'!J1535</x:f>
        <x:v>1</x:v>
      </x:c>
      <x:c r="S1535" s="87" t="n">
        <x:f>'Raw Sales'!K1535</x:f>
        <x:v>0.05</x:v>
      </x:c>
      <x:c r="T1535" s="93" t="n">
        <x:f>P1535*R1535</x:f>
        <x:v>89</x:v>
      </x:c>
      <x:c r="U1535" s="93" t="n">
        <x:f>T1535*S1535</x:f>
        <x:v>4.45</x:v>
      </x:c>
      <x:c r="V1535" s="93" t="str">
        <x:f>PROPER(TRIM('Raw Sales'!L1535))</x:f>
        <x:v>Completed</x:v>
      </x:c>
      <x:c r="W1535" s="93" t="n">
        <x:f>IF(V1535="Returned",0,T1535-U1535)</x:f>
        <x:v>84.55</x:v>
      </x:c>
      <x:c r="X1535" s="93" t="n">
        <x:f>IF(V1535="Returned",Q1535*R1535*10%,Q1535*R1535)</x:f>
        <x:v>46</x:v>
      </x:c>
      <x:c r="Y1535" s="93" t="n">
        <x:f>W1535-X1535</x:f>
        <x:v>38.55</x:v>
      </x:c>
      <x:c r="Z1535" s="94" t="n">
        <x:f>IFERROR(Y1535/W1535,0)</x:f>
        <x:v>0.4559432288586635</x:v>
      </x:c>
      <x:c r="AA1535" s="84" t="str">
        <x:f>PROPER(TRIM('Raw Sales'!M1535))</x:f>
        <x:v>Credit Card</x:v>
      </x:c>
      <x:c r="AB1535" s="84" t="str">
        <x:f>PROPER(TRIM('Raw Sales'!N1535))</x:f>
        <x:v>Leo Martinez</x:v>
      </x:c>
      <x:c r="AC1535" s="85" t="n">
        <x:f>'Raw Sales'!O1535</x:f>
        <x:v>45799</x:v>
      </x:c>
      <x:c r="AD1535" s="84" t="n">
        <x:f>AC1535-B1535</x:f>
        <x:v>0</x:v>
      </x:c>
      <x:c r="AE1535" s="84" t="str">
        <x:f>IF(COUNTIF($A$5:A1535,A1535)&gt;1,"Duplicate","Keep")</x:f>
        <x:v>Keep</x:v>
      </x:c>
      <x:c r="AF1535" s="84" t="str">
        <x:f>IF(OR(R1535&lt;=0,AC1535&lt;B1535,H1535="Unknown",M1535="Unknown Product"),"Review","Valid")</x:f>
        <x:v>Valid</x:v>
      </x:c>
      <x:c r="AG1535" s="84" t="n">
        <x:f>IF(AND(AE1535="Keep",AF1535="Valid"),1,0)</x:f>
        <x:v>1</x:v>
      </x:c>
      <x:c r="AH1535" s="84" t="n">
        <x:f>IF(AND(AG1535=1,OR('Dashboard'!$B$4="All",I1535='Dashboard'!$B$4),OR('Dashboard'!$E$4="All",N1535='Dashboard'!$E$4),OR('Dashboard'!$H$4="All",K1535='Dashboard'!$H$4),OR('Dashboard'!$K$4="All",C1535='Dashboard'!$K$4)),1,0)</x:f>
        <x:v>1</x:v>
      </x:c>
      <x:c r="AI1535" s="84" t="n">
        <x:f>IF(AND(AG1535=1,OR('Dashboard'!$B$4="All",I1535='Dashboard'!$B$4),OR('Dashboard'!$E$4="All",N1535='Dashboard'!$E$4),OR('Dashboard'!$H$4="All",K1535='Dashboard'!$H$4)),1,0)</x:f>
        <x:v>1</x:v>
      </x:c>
    </x:row>
    <x:row r="1536">
      <x:c r="A1536" s="84" t="str">
        <x:f>'Raw Sales'!A1536</x:f>
        <x:v>ORD-2025-00525</x:v>
      </x:c>
      <x:c r="B1536" s="85" t="n">
        <x:f>'Raw Sales'!B1536</x:f>
        <x:v>45800</x:v>
      </x:c>
      <x:c r="C1536" s="84" t="n">
        <x:f>YEAR(B1536)</x:f>
        <x:v>2025</x:v>
      </x:c>
      <x:c r="D1536" s="91" t="n">
        <x:f>DATE(YEAR(B1536),MONTH(B1536),1)</x:f>
        <x:v>45778</x:v>
      </x:c>
      <x:c r="E1536" s="84" t="str">
        <x:f>TEXT(B1536,"mmm")</x:f>
        <x:v>May</x:v>
      </x:c>
      <x:c r="F1536" s="84" t="str">
        <x:f>'Raw Sales'!C1536</x:f>
        <x:v>CUST-0043</x:v>
      </x:c>
      <x:c r="G1536" s="84" t="str">
        <x:f>PROPER(TRIM('Raw Sales'!D1536))</x:f>
        <x:v>Nina Hall</x:v>
      </x:c>
      <x:c r="H1536" s="84" t="str">
        <x:f>IF(TRIM('Raw Sales'!E1536)="","Unknown",PROPER(TRIM('Raw Sales'!E1536)))</x:f>
        <x:v>Consumer</x:v>
      </x:c>
      <x:c r="I1536" s="84" t="str">
        <x:f>PROPER(TRIM('Raw Sales'!F1536))</x:f>
        <x:v>Northeast</x:v>
      </x:c>
      <x:c r="J1536" s="84" t="str">
        <x:f>PROPER(TRIM('Raw Sales'!G1536))</x:f>
        <x:v>Philadelphia</x:v>
      </x:c>
      <x:c r="K1536" s="84" t="str">
        <x:f>PROPER(TRIM('Raw Sales'!H1536))</x:f>
        <x:v>Retail Store</x:v>
      </x:c>
      <x:c r="L1536" s="84" t="str">
        <x:f>'Raw Sales'!I1536</x:f>
        <x:v>ELEC-006</x:v>
      </x:c>
      <x:c r="M1536" s="84" t="str">
        <x:f>IFERROR(VLOOKUP(L1536,'Reference Data'!$A$5:$F$40,2,FALSE),"Unknown Product")</x:f>
        <x:v>Portable SSD</x:v>
      </x:c>
      <x:c r="N1536" s="84" t="str">
        <x:f>IFERROR(VLOOKUP(L1536,'Reference Data'!$A$5:$F$40,3,FALSE),"Unknown")</x:f>
        <x:v>Electronics</x:v>
      </x:c>
      <x:c r="O1536" s="84" t="str">
        <x:f>IFERROR(VLOOKUP(L1536,'Reference Data'!$A$5:$F$40,4,FALSE),"Unknown")</x:f>
        <x:v>Storage</x:v>
      </x:c>
      <x:c r="P1536" s="92" t="n">
        <x:f>IFERROR(VLOOKUP(L1536,'Reference Data'!$A$5:$F$40,5,FALSE),0)</x:f>
        <x:v>129</x:v>
      </x:c>
      <x:c r="Q1536" s="92" t="n">
        <x:f>IFERROR(VLOOKUP(L1536,'Reference Data'!$A$5:$F$40,6,FALSE),0)</x:f>
        <x:v>75</x:v>
      </x:c>
      <x:c r="R1536" s="84" t="n">
        <x:f>'Raw Sales'!J1536</x:f>
        <x:v>1</x:v>
      </x:c>
      <x:c r="S1536" s="87" t="n">
        <x:f>'Raw Sales'!K1536</x:f>
        <x:v>0.1</x:v>
      </x:c>
      <x:c r="T1536" s="93" t="n">
        <x:f>P1536*R1536</x:f>
        <x:v>129</x:v>
      </x:c>
      <x:c r="U1536" s="93" t="n">
        <x:f>T1536*S1536</x:f>
        <x:v>12.9</x:v>
      </x:c>
      <x:c r="V1536" s="93" t="str">
        <x:f>PROPER(TRIM('Raw Sales'!L1536))</x:f>
        <x:v>Completed</x:v>
      </x:c>
      <x:c r="W1536" s="93" t="n">
        <x:f>IF(V1536="Returned",0,T1536-U1536)</x:f>
        <x:v>116.1</x:v>
      </x:c>
      <x:c r="X1536" s="93" t="n">
        <x:f>IF(V1536="Returned",Q1536*R1536*10%,Q1536*R1536)</x:f>
        <x:v>75</x:v>
      </x:c>
      <x:c r="Y1536" s="93" t="n">
        <x:f>W1536-X1536</x:f>
        <x:v>41.099999999999994</x:v>
      </x:c>
      <x:c r="Z1536" s="94" t="n">
        <x:f>IFERROR(Y1536/W1536,0)</x:f>
        <x:v>0.3540051679586563</x:v>
      </x:c>
      <x:c r="AA1536" s="84" t="str">
        <x:f>PROPER(TRIM('Raw Sales'!M1536))</x:f>
        <x:v>Debit Card</x:v>
      </x:c>
      <x:c r="AB1536" s="84" t="str">
        <x:f>PROPER(TRIM('Raw Sales'!N1536))</x:f>
        <x:v>Sofia Bennett</x:v>
      </x:c>
      <x:c r="AC1536" s="85" t="n">
        <x:f>'Raw Sales'!O1536</x:f>
        <x:v>45801</x:v>
      </x:c>
      <x:c r="AD1536" s="84" t="n">
        <x:f>AC1536-B1536</x:f>
        <x:v>1</x:v>
      </x:c>
      <x:c r="AE1536" s="84" t="str">
        <x:f>IF(COUNTIF($A$5:A1536,A1536)&gt;1,"Duplicate","Keep")</x:f>
        <x:v>Keep</x:v>
      </x:c>
      <x:c r="AF1536" s="84" t="str">
        <x:f>IF(OR(R1536&lt;=0,AC1536&lt;B1536,H1536="Unknown",M1536="Unknown Product"),"Review","Valid")</x:f>
        <x:v>Valid</x:v>
      </x:c>
      <x:c r="AG1536" s="84" t="n">
        <x:f>IF(AND(AE1536="Keep",AF1536="Valid"),1,0)</x:f>
        <x:v>1</x:v>
      </x:c>
      <x:c r="AH1536" s="84" t="n">
        <x:f>IF(AND(AG1536=1,OR('Dashboard'!$B$4="All",I1536='Dashboard'!$B$4),OR('Dashboard'!$E$4="All",N1536='Dashboard'!$E$4),OR('Dashboard'!$H$4="All",K1536='Dashboard'!$H$4),OR('Dashboard'!$K$4="All",C1536='Dashboard'!$K$4)),1,0)</x:f>
        <x:v>1</x:v>
      </x:c>
      <x:c r="AI1536" s="84" t="n">
        <x:f>IF(AND(AG1536=1,OR('Dashboard'!$B$4="All",I1536='Dashboard'!$B$4),OR('Dashboard'!$E$4="All",N1536='Dashboard'!$E$4),OR('Dashboard'!$H$4="All",K1536='Dashboard'!$H$4)),1,0)</x:f>
        <x:v>1</x:v>
      </x:c>
    </x:row>
    <x:row r="1537">
      <x:c r="A1537" s="84" t="str">
        <x:f>'Raw Sales'!A1537</x:f>
        <x:v>ORD-2025-01456</x:v>
      </x:c>
      <x:c r="B1537" s="85" t="n">
        <x:f>'Raw Sales'!B1537</x:f>
        <x:v>45800</x:v>
      </x:c>
      <x:c r="C1537" s="84" t="n">
        <x:f>YEAR(B1537)</x:f>
        <x:v>2025</x:v>
      </x:c>
      <x:c r="D1537" s="91" t="n">
        <x:f>DATE(YEAR(B1537),MONTH(B1537),1)</x:f>
        <x:v>45778</x:v>
      </x:c>
      <x:c r="E1537" s="84" t="str">
        <x:f>TEXT(B1537,"mmm")</x:f>
        <x:v>May</x:v>
      </x:c>
      <x:c r="F1537" s="84" t="str">
        <x:f>'Raw Sales'!C1537</x:f>
        <x:v>CUST-0521</x:v>
      </x:c>
      <x:c r="G1537" s="84" t="str">
        <x:f>PROPER(TRIM('Raw Sales'!D1537))</x:f>
        <x:v>Theo Garcia</x:v>
      </x:c>
      <x:c r="H1537" s="84" t="str">
        <x:f>IF(TRIM('Raw Sales'!E1537)="","Unknown",PROPER(TRIM('Raw Sales'!E1537)))</x:f>
        <x:v>Consumer</x:v>
      </x:c>
      <x:c r="I1537" s="84" t="str">
        <x:f>PROPER(TRIM('Raw Sales'!F1537))</x:f>
        <x:v>West</x:v>
      </x:c>
      <x:c r="J1537" s="84" t="str">
        <x:f>PROPER(TRIM('Raw Sales'!G1537))</x:f>
        <x:v>Denver</x:v>
      </x:c>
      <x:c r="K1537" s="84" t="str">
        <x:f>PROPER(TRIM('Raw Sales'!H1537))</x:f>
        <x:v>Retail Store</x:v>
      </x:c>
      <x:c r="L1537" s="84" t="str">
        <x:f>'Raw Sales'!I1537</x:f>
        <x:v>OFFC-001</x:v>
      </x:c>
      <x:c r="M1537" s="84" t="str">
        <x:f>IFERROR(VLOOKUP(L1537,'Reference Data'!$A$5:$F$40,2,FALSE),"Unknown Product")</x:f>
        <x:v>Ergonomic Chair</x:v>
      </x:c>
      <x:c r="N1537" s="84" t="str">
        <x:f>IFERROR(VLOOKUP(L1537,'Reference Data'!$A$5:$F$40,3,FALSE),"Unknown")</x:f>
        <x:v>Office</x:v>
      </x:c>
      <x:c r="O1537" s="84" t="str">
        <x:f>IFERROR(VLOOKUP(L1537,'Reference Data'!$A$5:$F$40,4,FALSE),"Unknown")</x:f>
        <x:v>Furniture</x:v>
      </x:c>
      <x:c r="P1537" s="92" t="n">
        <x:f>IFERROR(VLOOKUP(L1537,'Reference Data'!$A$5:$F$40,5,FALSE),0)</x:f>
        <x:v>249</x:v>
      </x:c>
      <x:c r="Q1537" s="92" t="n">
        <x:f>IFERROR(VLOOKUP(L1537,'Reference Data'!$A$5:$F$40,6,FALSE),0)</x:f>
        <x:v>145</x:v>
      </x:c>
      <x:c r="R1537" s="84" t="n">
        <x:f>'Raw Sales'!J1537</x:f>
        <x:v>4</x:v>
      </x:c>
      <x:c r="S1537" s="87" t="n">
        <x:f>'Raw Sales'!K1537</x:f>
        <x:v>0</x:v>
      </x:c>
      <x:c r="T1537" s="93" t="n">
        <x:f>P1537*R1537</x:f>
        <x:v>996</x:v>
      </x:c>
      <x:c r="U1537" s="93" t="n">
        <x:f>T1537*S1537</x:f>
        <x:v>0</x:v>
      </x:c>
      <x:c r="V1537" s="93" t="str">
        <x:f>PROPER(TRIM('Raw Sales'!L1537))</x:f>
        <x:v>Completed</x:v>
      </x:c>
      <x:c r="W1537" s="93" t="n">
        <x:f>IF(V1537="Returned",0,T1537-U1537)</x:f>
        <x:v>996</x:v>
      </x:c>
      <x:c r="X1537" s="93" t="n">
        <x:f>IF(V1537="Returned",Q1537*R1537*10%,Q1537*R1537)</x:f>
        <x:v>580</x:v>
      </x:c>
      <x:c r="Y1537" s="93" t="n">
        <x:f>W1537-X1537</x:f>
        <x:v>416</x:v>
      </x:c>
      <x:c r="Z1537" s="94" t="n">
        <x:f>IFERROR(Y1537/W1537,0)</x:f>
        <x:v>0.41767068273092367</x:v>
      </x:c>
      <x:c r="AA1537" s="84" t="str">
        <x:f>PROPER(TRIM('Raw Sales'!M1537))</x:f>
        <x:v>Mobile Wallet</x:v>
      </x:c>
      <x:c r="AB1537" s="84" t="str">
        <x:f>PROPER(TRIM('Raw Sales'!N1537))</x:f>
        <x:v>Mia Chen</x:v>
      </x:c>
      <x:c r="AC1537" s="85" t="n">
        <x:f>'Raw Sales'!O1537</x:f>
        <x:v>45801</x:v>
      </x:c>
      <x:c r="AD1537" s="84" t="n">
        <x:f>AC1537-B1537</x:f>
        <x:v>1</x:v>
      </x:c>
      <x:c r="AE1537" s="84" t="str">
        <x:f>IF(COUNTIF($A$5:A1537,A1537)&gt;1,"Duplicate","Keep")</x:f>
        <x:v>Keep</x:v>
      </x:c>
      <x:c r="AF1537" s="84" t="str">
        <x:f>IF(OR(R1537&lt;=0,AC1537&lt;B1537,H1537="Unknown",M1537="Unknown Product"),"Review","Valid")</x:f>
        <x:v>Valid</x:v>
      </x:c>
      <x:c r="AG1537" s="84" t="n">
        <x:f>IF(AND(AE1537="Keep",AF1537="Valid"),1,0)</x:f>
        <x:v>1</x:v>
      </x:c>
      <x:c r="AH1537" s="84" t="n">
        <x:f>IF(AND(AG1537=1,OR('Dashboard'!$B$4="All",I1537='Dashboard'!$B$4),OR('Dashboard'!$E$4="All",N1537='Dashboard'!$E$4),OR('Dashboard'!$H$4="All",K1537='Dashboard'!$H$4),OR('Dashboard'!$K$4="All",C1537='Dashboard'!$K$4)),1,0)</x:f>
        <x:v>1</x:v>
      </x:c>
      <x:c r="AI1537" s="84" t="n">
        <x:f>IF(AND(AG1537=1,OR('Dashboard'!$B$4="All",I1537='Dashboard'!$B$4),OR('Dashboard'!$E$4="All",N1537='Dashboard'!$E$4),OR('Dashboard'!$H$4="All",K1537='Dashboard'!$H$4)),1,0)</x:f>
        <x:v>1</x:v>
      </x:c>
    </x:row>
    <x:row r="1538">
      <x:c r="A1538" s="84" t="str">
        <x:f>'Raw Sales'!A1538</x:f>
        <x:v>ORD-2025-01456</x:v>
      </x:c>
      <x:c r="B1538" s="85" t="n">
        <x:f>'Raw Sales'!B1538</x:f>
        <x:v>45800</x:v>
      </x:c>
      <x:c r="C1538" s="84" t="n">
        <x:f>YEAR(B1538)</x:f>
        <x:v>2025</x:v>
      </x:c>
      <x:c r="D1538" s="91" t="n">
        <x:f>DATE(YEAR(B1538),MONTH(B1538),1)</x:f>
        <x:v>45778</x:v>
      </x:c>
      <x:c r="E1538" s="84" t="str">
        <x:f>TEXT(B1538,"mmm")</x:f>
        <x:v>May</x:v>
      </x:c>
      <x:c r="F1538" s="84" t="str">
        <x:f>'Raw Sales'!C1538</x:f>
        <x:v>CUST-0521</x:v>
      </x:c>
      <x:c r="G1538" s="84" t="str">
        <x:f>PROPER(TRIM('Raw Sales'!D1538))</x:f>
        <x:v>Theo Garcia</x:v>
      </x:c>
      <x:c r="H1538" s="84" t="str">
        <x:f>IF(TRIM('Raw Sales'!E1538)="","Unknown",PROPER(TRIM('Raw Sales'!E1538)))</x:f>
        <x:v>Consumer</x:v>
      </x:c>
      <x:c r="I1538" s="84" t="str">
        <x:f>PROPER(TRIM('Raw Sales'!F1538))</x:f>
        <x:v>West</x:v>
      </x:c>
      <x:c r="J1538" s="84" t="str">
        <x:f>PROPER(TRIM('Raw Sales'!G1538))</x:f>
        <x:v>Denver</x:v>
      </x:c>
      <x:c r="K1538" s="84" t="str">
        <x:f>PROPER(TRIM('Raw Sales'!H1538))</x:f>
        <x:v>Retail Store</x:v>
      </x:c>
      <x:c r="L1538" s="84" t="str">
        <x:f>'Raw Sales'!I1538</x:f>
        <x:v>OFFC-001</x:v>
      </x:c>
      <x:c r="M1538" s="84" t="str">
        <x:f>IFERROR(VLOOKUP(L1538,'Reference Data'!$A$5:$F$40,2,FALSE),"Unknown Product")</x:f>
        <x:v>Ergonomic Chair</x:v>
      </x:c>
      <x:c r="N1538" s="84" t="str">
        <x:f>IFERROR(VLOOKUP(L1538,'Reference Data'!$A$5:$F$40,3,FALSE),"Unknown")</x:f>
        <x:v>Office</x:v>
      </x:c>
      <x:c r="O1538" s="84" t="str">
        <x:f>IFERROR(VLOOKUP(L1538,'Reference Data'!$A$5:$F$40,4,FALSE),"Unknown")</x:f>
        <x:v>Furniture</x:v>
      </x:c>
      <x:c r="P1538" s="92" t="n">
        <x:f>IFERROR(VLOOKUP(L1538,'Reference Data'!$A$5:$F$40,5,FALSE),0)</x:f>
        <x:v>249</x:v>
      </x:c>
      <x:c r="Q1538" s="92" t="n">
        <x:f>IFERROR(VLOOKUP(L1538,'Reference Data'!$A$5:$F$40,6,FALSE),0)</x:f>
        <x:v>145</x:v>
      </x:c>
      <x:c r="R1538" s="84" t="n">
        <x:f>'Raw Sales'!J1538</x:f>
        <x:v>4</x:v>
      </x:c>
      <x:c r="S1538" s="87" t="n">
        <x:f>'Raw Sales'!K1538</x:f>
        <x:v>0</x:v>
      </x:c>
      <x:c r="T1538" s="93" t="n">
        <x:f>P1538*R1538</x:f>
        <x:v>996</x:v>
      </x:c>
      <x:c r="U1538" s="93" t="n">
        <x:f>T1538*S1538</x:f>
        <x:v>0</x:v>
      </x:c>
      <x:c r="V1538" s="93" t="str">
        <x:f>PROPER(TRIM('Raw Sales'!L1538))</x:f>
        <x:v>Completed</x:v>
      </x:c>
      <x:c r="W1538" s="93" t="n">
        <x:f>IF(V1538="Returned",0,T1538-U1538)</x:f>
        <x:v>996</x:v>
      </x:c>
      <x:c r="X1538" s="93" t="n">
        <x:f>IF(V1538="Returned",Q1538*R1538*10%,Q1538*R1538)</x:f>
        <x:v>580</x:v>
      </x:c>
      <x:c r="Y1538" s="93" t="n">
        <x:f>W1538-X1538</x:f>
        <x:v>416</x:v>
      </x:c>
      <x:c r="Z1538" s="94" t="n">
        <x:f>IFERROR(Y1538/W1538,0)</x:f>
        <x:v>0.41767068273092367</x:v>
      </x:c>
      <x:c r="AA1538" s="84" t="str">
        <x:f>PROPER(TRIM('Raw Sales'!M1538))</x:f>
        <x:v>Mobile Wallet</x:v>
      </x:c>
      <x:c r="AB1538" s="84" t="str">
        <x:f>PROPER(TRIM('Raw Sales'!N1538))</x:f>
        <x:v>Mia Chen</x:v>
      </x:c>
      <x:c r="AC1538" s="85" t="n">
        <x:f>'Raw Sales'!O1538</x:f>
        <x:v>45801</x:v>
      </x:c>
      <x:c r="AD1538" s="84" t="n">
        <x:f>AC1538-B1538</x:f>
        <x:v>1</x:v>
      </x:c>
      <x:c r="AE1538" s="84" t="str">
        <x:f>IF(COUNTIF($A$5:A1538,A1538)&gt;1,"Duplicate","Keep")</x:f>
        <x:v>Duplicate</x:v>
      </x:c>
      <x:c r="AF1538" s="84" t="str">
        <x:f>IF(OR(R1538&lt;=0,AC1538&lt;B1538,H1538="Unknown",M1538="Unknown Product"),"Review","Valid")</x:f>
        <x:v>Valid</x:v>
      </x:c>
      <x:c r="AG1538" s="84" t="n">
        <x:f>IF(AND(AE1538="Keep",AF1538="Valid"),1,0)</x:f>
        <x:v>0</x:v>
      </x:c>
      <x:c r="AH1538" s="84" t="n">
        <x:f>IF(AND(AG1538=1,OR('Dashboard'!$B$4="All",I1538='Dashboard'!$B$4),OR('Dashboard'!$E$4="All",N1538='Dashboard'!$E$4),OR('Dashboard'!$H$4="All",K1538='Dashboard'!$H$4),OR('Dashboard'!$K$4="All",C1538='Dashboard'!$K$4)),1,0)</x:f>
        <x:v>0</x:v>
      </x:c>
      <x:c r="AI1538" s="84" t="n">
        <x:f>IF(AND(AG1538=1,OR('Dashboard'!$B$4="All",I1538='Dashboard'!$B$4),OR('Dashboard'!$E$4="All",N1538='Dashboard'!$E$4),OR('Dashboard'!$H$4="All",K1538='Dashboard'!$H$4)),1,0)</x:f>
        <x:v>0</x:v>
      </x:c>
    </x:row>
    <x:row r="1539">
      <x:c r="A1539" s="84" t="str">
        <x:f>'Raw Sales'!A1539</x:f>
        <x:v>ORD-2025-02279</x:v>
      </x:c>
      <x:c r="B1539" s="85" t="n">
        <x:f>'Raw Sales'!B1539</x:f>
        <x:v>45800</x:v>
      </x:c>
      <x:c r="C1539" s="84" t="n">
        <x:f>YEAR(B1539)</x:f>
        <x:v>2025</x:v>
      </x:c>
      <x:c r="D1539" s="91" t="n">
        <x:f>DATE(YEAR(B1539),MONTH(B1539),1)</x:f>
        <x:v>45778</x:v>
      </x:c>
      <x:c r="E1539" s="84" t="str">
        <x:f>TEXT(B1539,"mmm")</x:f>
        <x:v>May</x:v>
      </x:c>
      <x:c r="F1539" s="84" t="str">
        <x:f>'Raw Sales'!C1539</x:f>
        <x:v>CUST-0064</x:v>
      </x:c>
      <x:c r="G1539" s="84" t="str">
        <x:f>PROPER(TRIM('Raw Sales'!D1539))</x:f>
        <x:v>Nina Walker</x:v>
      </x:c>
      <x:c r="H1539" s="84" t="str">
        <x:f>IF(TRIM('Raw Sales'!E1539)="","Unknown",PROPER(TRIM('Raw Sales'!E1539)))</x:f>
        <x:v>Consumer</x:v>
      </x:c>
      <x:c r="I1539" s="84" t="str">
        <x:f>PROPER(TRIM('Raw Sales'!F1539))</x:f>
        <x:v>Midwest</x:v>
      </x:c>
      <x:c r="J1539" s="84" t="str">
        <x:f>PROPER(TRIM('Raw Sales'!G1539))</x:f>
        <x:v>Columbus</x:v>
      </x:c>
      <x:c r="K1539" s="84" t="str">
        <x:f>PROPER(TRIM('Raw Sales'!H1539))</x:f>
        <x:v>Retail Store</x:v>
      </x:c>
      <x:c r="L1539" s="84" t="str">
        <x:f>'Raw Sales'!I1539</x:f>
        <x:v>OFFC-002</x:v>
      </x:c>
      <x:c r="M1539" s="84" t="str">
        <x:f>IFERROR(VLOOKUP(L1539,'Reference Data'!$A$5:$F$40,2,FALSE),"Unknown Product")</x:f>
        <x:v>Standing Desk</x:v>
      </x:c>
      <x:c r="N1539" s="84" t="str">
        <x:f>IFERROR(VLOOKUP(L1539,'Reference Data'!$A$5:$F$40,3,FALSE),"Unknown")</x:f>
        <x:v>Office</x:v>
      </x:c>
      <x:c r="O1539" s="84" t="str">
        <x:f>IFERROR(VLOOKUP(L1539,'Reference Data'!$A$5:$F$40,4,FALSE),"Unknown")</x:f>
        <x:v>Furniture</x:v>
      </x:c>
      <x:c r="P1539" s="92" t="n">
        <x:f>IFERROR(VLOOKUP(L1539,'Reference Data'!$A$5:$F$40,5,FALSE),0)</x:f>
        <x:v>399</x:v>
      </x:c>
      <x:c r="Q1539" s="92" t="n">
        <x:f>IFERROR(VLOOKUP(L1539,'Reference Data'!$A$5:$F$40,6,FALSE),0)</x:f>
        <x:v>235</x:v>
      </x:c>
      <x:c r="R1539" s="84" t="n">
        <x:f>'Raw Sales'!J1539</x:f>
        <x:v>3</x:v>
      </x:c>
      <x:c r="S1539" s="87" t="n">
        <x:f>'Raw Sales'!K1539</x:f>
        <x:v>0</x:v>
      </x:c>
      <x:c r="T1539" s="93" t="n">
        <x:f>P1539*R1539</x:f>
        <x:v>1197</x:v>
      </x:c>
      <x:c r="U1539" s="93" t="n">
        <x:f>T1539*S1539</x:f>
        <x:v>0</x:v>
      </x:c>
      <x:c r="V1539" s="93" t="str">
        <x:f>PROPER(TRIM('Raw Sales'!L1539))</x:f>
        <x:v>Completed</x:v>
      </x:c>
      <x:c r="W1539" s="93" t="n">
        <x:f>IF(V1539="Returned",0,T1539-U1539)</x:f>
        <x:v>1197</x:v>
      </x:c>
      <x:c r="X1539" s="93" t="n">
        <x:f>IF(V1539="Returned",Q1539*R1539*10%,Q1539*R1539)</x:f>
        <x:v>705</x:v>
      </x:c>
      <x:c r="Y1539" s="93" t="n">
        <x:f>W1539-X1539</x:f>
        <x:v>492</x:v>
      </x:c>
      <x:c r="Z1539" s="94" t="n">
        <x:f>IFERROR(Y1539/W1539,0)</x:f>
        <x:v>0.41102756892230574</x:v>
      </x:c>
      <x:c r="AA1539" s="84" t="str">
        <x:f>PROPER(TRIM('Raw Sales'!M1539))</x:f>
        <x:v>Debit Card</x:v>
      </x:c>
      <x:c r="AB1539" s="84" t="str">
        <x:f>PROPER(TRIM('Raw Sales'!N1539))</x:f>
        <x:v>Zoe Turner</x:v>
      </x:c>
      <x:c r="AC1539" s="85" t="n">
        <x:f>'Raw Sales'!O1539</x:f>
        <x:v>45800</x:v>
      </x:c>
      <x:c r="AD1539" s="84" t="n">
        <x:f>AC1539-B1539</x:f>
        <x:v>0</x:v>
      </x:c>
      <x:c r="AE1539" s="84" t="str">
        <x:f>IF(COUNTIF($A$5:A1539,A1539)&gt;1,"Duplicate","Keep")</x:f>
        <x:v>Keep</x:v>
      </x:c>
      <x:c r="AF1539" s="84" t="str">
        <x:f>IF(OR(R1539&lt;=0,AC1539&lt;B1539,H1539="Unknown",M1539="Unknown Product"),"Review","Valid")</x:f>
        <x:v>Valid</x:v>
      </x:c>
      <x:c r="AG1539" s="84" t="n">
        <x:f>IF(AND(AE1539="Keep",AF1539="Valid"),1,0)</x:f>
        <x:v>1</x:v>
      </x:c>
      <x:c r="AH1539" s="84" t="n">
        <x:f>IF(AND(AG1539=1,OR('Dashboard'!$B$4="All",I1539='Dashboard'!$B$4),OR('Dashboard'!$E$4="All",N1539='Dashboard'!$E$4),OR('Dashboard'!$H$4="All",K1539='Dashboard'!$H$4),OR('Dashboard'!$K$4="All",C1539='Dashboard'!$K$4)),1,0)</x:f>
        <x:v>1</x:v>
      </x:c>
      <x:c r="AI1539" s="84" t="n">
        <x:f>IF(AND(AG1539=1,OR('Dashboard'!$B$4="All",I1539='Dashboard'!$B$4),OR('Dashboard'!$E$4="All",N1539='Dashboard'!$E$4),OR('Dashboard'!$H$4="All",K1539='Dashboard'!$H$4)),1,0)</x:f>
        <x:v>1</x:v>
      </x:c>
    </x:row>
    <x:row r="1540">
      <x:c r="A1540" s="84" t="str">
        <x:f>'Raw Sales'!A1540</x:f>
        <x:v>ORD-2025-00251</x:v>
      </x:c>
      <x:c r="B1540" s="85" t="n">
        <x:f>'Raw Sales'!B1540</x:f>
        <x:v>45801</x:v>
      </x:c>
      <x:c r="C1540" s="84" t="n">
        <x:f>YEAR(B1540)</x:f>
        <x:v>2025</x:v>
      </x:c>
      <x:c r="D1540" s="91" t="n">
        <x:f>DATE(YEAR(B1540),MONTH(B1540),1)</x:f>
        <x:v>45778</x:v>
      </x:c>
      <x:c r="E1540" s="84" t="str">
        <x:f>TEXT(B1540,"mmm")</x:f>
        <x:v>May</x:v>
      </x:c>
      <x:c r="F1540" s="84" t="str">
        <x:f>'Raw Sales'!C1540</x:f>
        <x:v>CUST-0192</x:v>
      </x:c>
      <x:c r="G1540" s="84" t="str">
        <x:f>PROPER(TRIM('Raw Sales'!D1540))</x:f>
        <x:v>Caleb Young</x:v>
      </x:c>
      <x:c r="H1540" s="84" t="str">
        <x:f>IF(TRIM('Raw Sales'!E1540)="","Unknown",PROPER(TRIM('Raw Sales'!E1540)))</x:f>
        <x:v>Corporate</x:v>
      </x:c>
      <x:c r="I1540" s="84" t="str">
        <x:f>PROPER(TRIM('Raw Sales'!F1540))</x:f>
        <x:v>West</x:v>
      </x:c>
      <x:c r="J1540" s="84" t="str">
        <x:f>PROPER(TRIM('Raw Sales'!G1540))</x:f>
        <x:v>Seattle</x:v>
      </x:c>
      <x:c r="K1540" s="84" t="str">
        <x:f>PROPER(TRIM('Raw Sales'!H1540))</x:f>
        <x:v>Marketplace</x:v>
      </x:c>
      <x:c r="L1540" s="84" t="str">
        <x:f>'Raw Sales'!I1540</x:f>
        <x:v>ELEC-004</x:v>
      </x:c>
      <x:c r="M1540" s="84" t="str">
        <x:f>IFERROR(VLOOKUP(L1540,'Reference Data'!$A$5:$F$40,2,FALSE),"Unknown Product")</x:f>
        <x:v>Power Bank</x:v>
      </x:c>
      <x:c r="N1540" s="84" t="str">
        <x:f>IFERROR(VLOOKUP(L1540,'Reference Data'!$A$5:$F$40,3,FALSE),"Unknown")</x:f>
        <x:v>Electronics</x:v>
      </x:c>
      <x:c r="O1540" s="84" t="str">
        <x:f>IFERROR(VLOOKUP(L1540,'Reference Data'!$A$5:$F$40,4,FALSE),"Unknown")</x:f>
        <x:v>Mobile Accessories</x:v>
      </x:c>
      <x:c r="P1540" s="92" t="n">
        <x:f>IFERROR(VLOOKUP(L1540,'Reference Data'!$A$5:$F$40,5,FALSE),0)</x:f>
        <x:v>39</x:v>
      </x:c>
      <x:c r="Q1540" s="92" t="n">
        <x:f>IFERROR(VLOOKUP(L1540,'Reference Data'!$A$5:$F$40,6,FALSE),0)</x:f>
        <x:v>18</x:v>
      </x:c>
      <x:c r="R1540" s="84" t="n">
        <x:f>'Raw Sales'!J1540</x:f>
        <x:v>2</x:v>
      </x:c>
      <x:c r="S1540" s="87" t="n">
        <x:f>'Raw Sales'!K1540</x:f>
        <x:v>0.05</x:v>
      </x:c>
      <x:c r="T1540" s="93" t="n">
        <x:f>P1540*R1540</x:f>
        <x:v>78</x:v>
      </x:c>
      <x:c r="U1540" s="93" t="n">
        <x:f>T1540*S1540</x:f>
        <x:v>3.9000000000000004</x:v>
      </x:c>
      <x:c r="V1540" s="93" t="str">
        <x:f>PROPER(TRIM('Raw Sales'!L1540))</x:f>
        <x:v>Completed</x:v>
      </x:c>
      <x:c r="W1540" s="93" t="n">
        <x:f>IF(V1540="Returned",0,T1540-U1540)</x:f>
        <x:v>74.1</x:v>
      </x:c>
      <x:c r="X1540" s="93" t="n">
        <x:f>IF(V1540="Returned",Q1540*R1540*10%,Q1540*R1540)</x:f>
        <x:v>36</x:v>
      </x:c>
      <x:c r="Y1540" s="93" t="n">
        <x:f>W1540-X1540</x:f>
        <x:v>38.099999999999994</x:v>
      </x:c>
      <x:c r="Z1540" s="94" t="n">
        <x:f>IFERROR(Y1540/W1540,0)</x:f>
        <x:v>0.5141700404858299</x:v>
      </x:c>
      <x:c r="AA1540" s="84" t="str">
        <x:f>PROPER(TRIM('Raw Sales'!M1540))</x:f>
        <x:v>Debit Card</x:v>
      </x:c>
      <x:c r="AB1540" s="84" t="str">
        <x:f>PROPER(TRIM('Raw Sales'!N1540))</x:f>
        <x:v>Mia Chen</x:v>
      </x:c>
      <x:c r="AC1540" s="85" t="n">
        <x:f>'Raw Sales'!O1540</x:f>
        <x:v>45806</x:v>
      </x:c>
      <x:c r="AD1540" s="84" t="n">
        <x:f>AC1540-B1540</x:f>
        <x:v>5</x:v>
      </x:c>
      <x:c r="AE1540" s="84" t="str">
        <x:f>IF(COUNTIF($A$5:A1540,A1540)&gt;1,"Duplicate","Keep")</x:f>
        <x:v>Keep</x:v>
      </x:c>
      <x:c r="AF1540" s="84" t="str">
        <x:f>IF(OR(R1540&lt;=0,AC1540&lt;B1540,H1540="Unknown",M1540="Unknown Product"),"Review","Valid")</x:f>
        <x:v>Valid</x:v>
      </x:c>
      <x:c r="AG1540" s="84" t="n">
        <x:f>IF(AND(AE1540="Keep",AF1540="Valid"),1,0)</x:f>
        <x:v>1</x:v>
      </x:c>
      <x:c r="AH1540" s="84" t="n">
        <x:f>IF(AND(AG1540=1,OR('Dashboard'!$B$4="All",I1540='Dashboard'!$B$4),OR('Dashboard'!$E$4="All",N1540='Dashboard'!$E$4),OR('Dashboard'!$H$4="All",K1540='Dashboard'!$H$4),OR('Dashboard'!$K$4="All",C1540='Dashboard'!$K$4)),1,0)</x:f>
        <x:v>1</x:v>
      </x:c>
      <x:c r="AI1540" s="84" t="n">
        <x:f>IF(AND(AG1540=1,OR('Dashboard'!$B$4="All",I1540='Dashboard'!$B$4),OR('Dashboard'!$E$4="All",N1540='Dashboard'!$E$4),OR('Dashboard'!$H$4="All",K1540='Dashboard'!$H$4)),1,0)</x:f>
        <x:v>1</x:v>
      </x:c>
    </x:row>
    <x:row r="1541">
      <x:c r="A1541" s="84" t="str">
        <x:f>'Raw Sales'!A1541</x:f>
        <x:v>ORD-2025-02044</x:v>
      </x:c>
      <x:c r="B1541" s="85" t="n">
        <x:f>'Raw Sales'!B1541</x:f>
        <x:v>45801</x:v>
      </x:c>
      <x:c r="C1541" s="84" t="n">
        <x:f>YEAR(B1541)</x:f>
        <x:v>2025</x:v>
      </x:c>
      <x:c r="D1541" s="91" t="n">
        <x:f>DATE(YEAR(B1541),MONTH(B1541),1)</x:f>
        <x:v>45778</x:v>
      </x:c>
      <x:c r="E1541" s="84" t="str">
        <x:f>TEXT(B1541,"mmm")</x:f>
        <x:v>May</x:v>
      </x:c>
      <x:c r="F1541" s="84" t="str">
        <x:f>'Raw Sales'!C1541</x:f>
        <x:v>CUST-0513</x:v>
      </x:c>
      <x:c r="G1541" s="84" t="str">
        <x:f>PROPER(TRIM('Raw Sales'!D1541))</x:f>
        <x:v>Zara Davis</x:v>
      </x:c>
      <x:c r="H1541" s="84" t="str">
        <x:f>IF(TRIM('Raw Sales'!E1541)="","Unknown",PROPER(TRIM('Raw Sales'!E1541)))</x:f>
        <x:v>Small Business</x:v>
      </x:c>
      <x:c r="I1541" s="84" t="str">
        <x:f>PROPER(TRIM('Raw Sales'!F1541))</x:f>
        <x:v>Midwest</x:v>
      </x:c>
      <x:c r="J1541" s="84" t="str">
        <x:f>PROPER(TRIM('Raw Sales'!G1541))</x:f>
        <x:v>Chicago</x:v>
      </x:c>
      <x:c r="K1541" s="84" t="str">
        <x:f>PROPER(TRIM('Raw Sales'!H1541))</x:f>
        <x:v>Marketplace</x:v>
      </x:c>
      <x:c r="L1541" s="84" t="str">
        <x:f>'Raw Sales'!I1541</x:f>
        <x:v>ACCS-005</x:v>
      </x:c>
      <x:c r="M1541" s="84" t="str">
        <x:f>IFERROR(VLOOKUP(L1541,'Reference Data'!$A$5:$F$40,2,FALSE),"Unknown Product")</x:f>
        <x:v>Protective Phone Case</x:v>
      </x:c>
      <x:c r="N1541" s="84" t="str">
        <x:f>IFERROR(VLOOKUP(L1541,'Reference Data'!$A$5:$F$40,3,FALSE),"Unknown")</x:f>
        <x:v>Accessories</x:v>
      </x:c>
      <x:c r="O1541" s="84" t="str">
        <x:f>IFERROR(VLOOKUP(L1541,'Reference Data'!$A$5:$F$40,4,FALSE),"Unknown")</x:f>
        <x:v>Mobile Accessories</x:v>
      </x:c>
      <x:c r="P1541" s="92" t="n">
        <x:f>IFERROR(VLOOKUP(L1541,'Reference Data'!$A$5:$F$40,5,FALSE),0)</x:f>
        <x:v>24</x:v>
      </x:c>
      <x:c r="Q1541" s="92" t="n">
        <x:f>IFERROR(VLOOKUP(L1541,'Reference Data'!$A$5:$F$40,6,FALSE),0)</x:f>
        <x:v>5</x:v>
      </x:c>
      <x:c r="R1541" s="84" t="n">
        <x:f>'Raw Sales'!J1541</x:f>
        <x:v>1</x:v>
      </x:c>
      <x:c r="S1541" s="87" t="n">
        <x:f>'Raw Sales'!K1541</x:f>
        <x:v>0.15</x:v>
      </x:c>
      <x:c r="T1541" s="93" t="n">
        <x:f>P1541*R1541</x:f>
        <x:v>24</x:v>
      </x:c>
      <x:c r="U1541" s="93" t="n">
        <x:f>T1541*S1541</x:f>
        <x:v>3.5999999999999996</x:v>
      </x:c>
      <x:c r="V1541" s="93" t="str">
        <x:f>PROPER(TRIM('Raw Sales'!L1541))</x:f>
        <x:v>Completed</x:v>
      </x:c>
      <x:c r="W1541" s="93" t="n">
        <x:f>IF(V1541="Returned",0,T1541-U1541)</x:f>
        <x:v>20.4</x:v>
      </x:c>
      <x:c r="X1541" s="93" t="n">
        <x:f>IF(V1541="Returned",Q1541*R1541*10%,Q1541*R1541)</x:f>
        <x:v>5</x:v>
      </x:c>
      <x:c r="Y1541" s="93" t="n">
        <x:f>W1541-X1541</x:f>
        <x:v>15.399999999999999</x:v>
      </x:c>
      <x:c r="Z1541" s="94" t="n">
        <x:f>IFERROR(Y1541/W1541,0)</x:f>
        <x:v>0.7549019607843137</x:v>
      </x:c>
      <x:c r="AA1541" s="84" t="str">
        <x:f>PROPER(TRIM('Raw Sales'!M1541))</x:f>
        <x:v>Credit Card</x:v>
      </x:c>
      <x:c r="AB1541" s="84" t="str">
        <x:f>PROPER(TRIM('Raw Sales'!N1541))</x:f>
        <x:v>Lucas Grant</x:v>
      </x:c>
      <x:c r="AC1541" s="85" t="n">
        <x:f>'Raw Sales'!O1541</x:f>
        <x:v>45806</x:v>
      </x:c>
      <x:c r="AD1541" s="84" t="n">
        <x:f>AC1541-B1541</x:f>
        <x:v>5</x:v>
      </x:c>
      <x:c r="AE1541" s="84" t="str">
        <x:f>IF(COUNTIF($A$5:A1541,A1541)&gt;1,"Duplicate","Keep")</x:f>
        <x:v>Keep</x:v>
      </x:c>
      <x:c r="AF1541" s="84" t="str">
        <x:f>IF(OR(R1541&lt;=0,AC1541&lt;B1541,H1541="Unknown",M1541="Unknown Product"),"Review","Valid")</x:f>
        <x:v>Valid</x:v>
      </x:c>
      <x:c r="AG1541" s="84" t="n">
        <x:f>IF(AND(AE1541="Keep",AF1541="Valid"),1,0)</x:f>
        <x:v>1</x:v>
      </x:c>
      <x:c r="AH1541" s="84" t="n">
        <x:f>IF(AND(AG1541=1,OR('Dashboard'!$B$4="All",I1541='Dashboard'!$B$4),OR('Dashboard'!$E$4="All",N1541='Dashboard'!$E$4),OR('Dashboard'!$H$4="All",K1541='Dashboard'!$H$4),OR('Dashboard'!$K$4="All",C1541='Dashboard'!$K$4)),1,0)</x:f>
        <x:v>1</x:v>
      </x:c>
      <x:c r="AI1541" s="84" t="n">
        <x:f>IF(AND(AG1541=1,OR('Dashboard'!$B$4="All",I1541='Dashboard'!$B$4),OR('Dashboard'!$E$4="All",N1541='Dashboard'!$E$4),OR('Dashboard'!$H$4="All",K1541='Dashboard'!$H$4)),1,0)</x:f>
        <x:v>1</x:v>
      </x:c>
    </x:row>
    <x:row r="1542">
      <x:c r="A1542" s="84" t="str">
        <x:f>'Raw Sales'!A1542</x:f>
        <x:v>ORD-2025-00924</x:v>
      </x:c>
      <x:c r="B1542" s="85" t="n">
        <x:f>'Raw Sales'!B1542</x:f>
        <x:v>45802</x:v>
      </x:c>
      <x:c r="C1542" s="84" t="n">
        <x:f>YEAR(B1542)</x:f>
        <x:v>2025</x:v>
      </x:c>
      <x:c r="D1542" s="91" t="n">
        <x:f>DATE(YEAR(B1542),MONTH(B1542),1)</x:f>
        <x:v>45778</x:v>
      </x:c>
      <x:c r="E1542" s="84" t="str">
        <x:f>TEXT(B1542,"mmm")</x:f>
        <x:v>May</x:v>
      </x:c>
      <x:c r="F1542" s="84" t="str">
        <x:f>'Raw Sales'!C1542</x:f>
        <x:v>CUST-0532</x:v>
      </x:c>
      <x:c r="G1542" s="84" t="str">
        <x:f>PROPER(TRIM('Raw Sales'!D1542))</x:f>
        <x:v>Elena Hall</x:v>
      </x:c>
      <x:c r="H1542" s="84" t="str">
        <x:f>IF(TRIM('Raw Sales'!E1542)="","Unknown",PROPER(TRIM('Raw Sales'!E1542)))</x:f>
        <x:v>Small Business</x:v>
      </x:c>
      <x:c r="I1542" s="84" t="str">
        <x:f>PROPER(TRIM('Raw Sales'!F1542))</x:f>
        <x:v>Southeast</x:v>
      </x:c>
      <x:c r="J1542" s="84" t="str">
        <x:f>PROPER(TRIM('Raw Sales'!G1542))</x:f>
        <x:v>Charlotte</x:v>
      </x:c>
      <x:c r="K1542" s="84" t="str">
        <x:f>PROPER(TRIM('Raw Sales'!H1542))</x:f>
        <x:v>Retail Store</x:v>
      </x:c>
      <x:c r="L1542" s="84" t="str">
        <x:f>'Raw Sales'!I1542</x:f>
        <x:v>CARE-004</x:v>
      </x:c>
      <x:c r="M1542" s="84" t="str">
        <x:f>IFERROR(VLOOKUP(L1542,'Reference Data'!$A$5:$F$40,2,FALSE),"Unknown Product")</x:f>
        <x:v>Electric Toothbrush</x:v>
      </x:c>
      <x:c r="N1542" s="84" t="str">
        <x:f>IFERROR(VLOOKUP(L1542,'Reference Data'!$A$5:$F$40,3,FALSE),"Unknown")</x:f>
        <x:v>Personal Care</x:v>
      </x:c>
      <x:c r="O1542" s="84" t="str">
        <x:f>IFERROR(VLOOKUP(L1542,'Reference Data'!$A$5:$F$40,4,FALSE),"Unknown")</x:f>
        <x:v>Oral Care</x:v>
      </x:c>
      <x:c r="P1542" s="92" t="n">
        <x:f>IFERROR(VLOOKUP(L1542,'Reference Data'!$A$5:$F$40,5,FALSE),0)</x:f>
        <x:v>69</x:v>
      </x:c>
      <x:c r="Q1542" s="92" t="n">
        <x:f>IFERROR(VLOOKUP(L1542,'Reference Data'!$A$5:$F$40,6,FALSE),0)</x:f>
        <x:v>31</x:v>
      </x:c>
      <x:c r="R1542" s="84" t="n">
        <x:f>'Raw Sales'!J1542</x:f>
        <x:v>1</x:v>
      </x:c>
      <x:c r="S1542" s="87" t="n">
        <x:f>'Raw Sales'!K1542</x:f>
        <x:v>0</x:v>
      </x:c>
      <x:c r="T1542" s="93" t="n">
        <x:f>P1542*R1542</x:f>
        <x:v>69</x:v>
      </x:c>
      <x:c r="U1542" s="93" t="n">
        <x:f>T1542*S1542</x:f>
        <x:v>0</x:v>
      </x:c>
      <x:c r="V1542" s="93" t="str">
        <x:f>PROPER(TRIM('Raw Sales'!L1542))</x:f>
        <x:v>Completed</x:v>
      </x:c>
      <x:c r="W1542" s="93" t="n">
        <x:f>IF(V1542="Returned",0,T1542-U1542)</x:f>
        <x:v>69</x:v>
      </x:c>
      <x:c r="X1542" s="93" t="n">
        <x:f>IF(V1542="Returned",Q1542*R1542*10%,Q1542*R1542)</x:f>
        <x:v>31</x:v>
      </x:c>
      <x:c r="Y1542" s="93" t="n">
        <x:f>W1542-X1542</x:f>
        <x:v>38</x:v>
      </x:c>
      <x:c r="Z1542" s="94" t="n">
        <x:f>IFERROR(Y1542/W1542,0)</x:f>
        <x:v>0.5507246376811594</x:v>
      </x:c>
      <x:c r="AA1542" s="84" t="str">
        <x:f>PROPER(TRIM('Raw Sales'!M1542))</x:f>
        <x:v>Cash</x:v>
      </x:c>
      <x:c r="AB1542" s="84" t="str">
        <x:f>PROPER(TRIM('Raw Sales'!N1542))</x:f>
        <x:v>Noah Reed</x:v>
      </x:c>
      <x:c r="AC1542" s="85" t="n">
        <x:f>'Raw Sales'!O1542</x:f>
        <x:v>45802</x:v>
      </x:c>
      <x:c r="AD1542" s="84" t="n">
        <x:f>AC1542-B1542</x:f>
        <x:v>0</x:v>
      </x:c>
      <x:c r="AE1542" s="84" t="str">
        <x:f>IF(COUNTIF($A$5:A1542,A1542)&gt;1,"Duplicate","Keep")</x:f>
        <x:v>Keep</x:v>
      </x:c>
      <x:c r="AF1542" s="84" t="str">
        <x:f>IF(OR(R1542&lt;=0,AC1542&lt;B1542,H1542="Unknown",M1542="Unknown Product"),"Review","Valid")</x:f>
        <x:v>Valid</x:v>
      </x:c>
      <x:c r="AG1542" s="84" t="n">
        <x:f>IF(AND(AE1542="Keep",AF1542="Valid"),1,0)</x:f>
        <x:v>1</x:v>
      </x:c>
      <x:c r="AH1542" s="84" t="n">
        <x:f>IF(AND(AG1542=1,OR('Dashboard'!$B$4="All",I1542='Dashboard'!$B$4),OR('Dashboard'!$E$4="All",N1542='Dashboard'!$E$4),OR('Dashboard'!$H$4="All",K1542='Dashboard'!$H$4),OR('Dashboard'!$K$4="All",C1542='Dashboard'!$K$4)),1,0)</x:f>
        <x:v>1</x:v>
      </x:c>
      <x:c r="AI1542" s="84" t="n">
        <x:f>IF(AND(AG1542=1,OR('Dashboard'!$B$4="All",I1542='Dashboard'!$B$4),OR('Dashboard'!$E$4="All",N1542='Dashboard'!$E$4),OR('Dashboard'!$H$4="All",K1542='Dashboard'!$H$4)),1,0)</x:f>
        <x:v>1</x:v>
      </x:c>
    </x:row>
    <x:row r="1543">
      <x:c r="A1543" s="84" t="str">
        <x:f>'Raw Sales'!A1543</x:f>
        <x:v>ORD-2025-01749</x:v>
      </x:c>
      <x:c r="B1543" s="85" t="n">
        <x:f>'Raw Sales'!B1543</x:f>
        <x:v>45802</x:v>
      </x:c>
      <x:c r="C1543" s="84" t="n">
        <x:f>YEAR(B1543)</x:f>
        <x:v>2025</x:v>
      </x:c>
      <x:c r="D1543" s="91" t="n">
        <x:f>DATE(YEAR(B1543),MONTH(B1543),1)</x:f>
        <x:v>45778</x:v>
      </x:c>
      <x:c r="E1543" s="84" t="str">
        <x:f>TEXT(B1543,"mmm")</x:f>
        <x:v>May</x:v>
      </x:c>
      <x:c r="F1543" s="84" t="str">
        <x:f>'Raw Sales'!C1543</x:f>
        <x:v>CUST-0056</x:v>
      </x:c>
      <x:c r="G1543" s="84" t="str">
        <x:f>PROPER(TRIM('Raw Sales'!D1543))</x:f>
        <x:v>Priya Baker</x:v>
      </x:c>
      <x:c r="H1543" s="84" t="str">
        <x:f>IF(TRIM('Raw Sales'!E1543)="","Unknown",PROPER(TRIM('Raw Sales'!E1543)))</x:f>
        <x:v>Consumer</x:v>
      </x:c>
      <x:c r="I1543" s="84" t="str">
        <x:f>PROPER(TRIM('Raw Sales'!F1543))</x:f>
        <x:v>Southeast</x:v>
      </x:c>
      <x:c r="J1543" s="84" t="str">
        <x:f>PROPER(TRIM('Raw Sales'!G1543))</x:f>
        <x:v>Charlotte</x:v>
      </x:c>
      <x:c r="K1543" s="84" t="str">
        <x:f>PROPER(TRIM('Raw Sales'!H1543))</x:f>
        <x:v>Marketplace</x:v>
      </x:c>
      <x:c r="L1543" s="84" t="str">
        <x:f>'Raw Sales'!I1543</x:f>
        <x:v>HOME-001</x:v>
      </x:c>
      <x:c r="M1543" s="84" t="str">
        <x:f>IFERROR(VLOOKUP(L1543,'Reference Data'!$A$5:$F$40,2,FALSE),"Unknown Product")</x:f>
        <x:v>Air Fryer</x:v>
      </x:c>
      <x:c r="N1543" s="84" t="str">
        <x:f>IFERROR(VLOOKUP(L1543,'Reference Data'!$A$5:$F$40,3,FALSE),"Unknown")</x:f>
        <x:v>Home &amp; Kitchen</x:v>
      </x:c>
      <x:c r="O1543" s="84" t="str">
        <x:f>IFERROR(VLOOKUP(L1543,'Reference Data'!$A$5:$F$40,4,FALSE),"Unknown")</x:f>
        <x:v>Small Appliances</x:v>
      </x:c>
      <x:c r="P1543" s="92" t="n">
        <x:f>IFERROR(VLOOKUP(L1543,'Reference Data'!$A$5:$F$40,5,FALSE),0)</x:f>
        <x:v>119</x:v>
      </x:c>
      <x:c r="Q1543" s="92" t="n">
        <x:f>IFERROR(VLOOKUP(L1543,'Reference Data'!$A$5:$F$40,6,FALSE),0)</x:f>
        <x:v>68</x:v>
      </x:c>
      <x:c r="R1543" s="84" t="n">
        <x:f>'Raw Sales'!J1543</x:f>
        <x:v>1</x:v>
      </x:c>
      <x:c r="S1543" s="87" t="n">
        <x:f>'Raw Sales'!K1543</x:f>
        <x:v>0.1</x:v>
      </x:c>
      <x:c r="T1543" s="93" t="n">
        <x:f>P1543*R1543</x:f>
        <x:v>119</x:v>
      </x:c>
      <x:c r="U1543" s="93" t="n">
        <x:f>T1543*S1543</x:f>
        <x:v>11.9</x:v>
      </x:c>
      <x:c r="V1543" s="93" t="str">
        <x:f>PROPER(TRIM('Raw Sales'!L1543))</x:f>
        <x:v>Completed</x:v>
      </x:c>
      <x:c r="W1543" s="93" t="n">
        <x:f>IF(V1543="Returned",0,T1543-U1543)</x:f>
        <x:v>107.1</x:v>
      </x:c>
      <x:c r="X1543" s="93" t="n">
        <x:f>IF(V1543="Returned",Q1543*R1543*10%,Q1543*R1543)</x:f>
        <x:v>68</x:v>
      </x:c>
      <x:c r="Y1543" s="93" t="n">
        <x:f>W1543-X1543</x:f>
        <x:v>39.099999999999994</x:v>
      </x:c>
      <x:c r="Z1543" s="94" t="n">
        <x:f>IFERROR(Y1543/W1543,0)</x:f>
        <x:v>0.36507936507936506</x:v>
      </x:c>
      <x:c r="AA1543" s="84" t="str">
        <x:f>PROPER(TRIM('Raw Sales'!M1543))</x:f>
        <x:v>Credit Card</x:v>
      </x:c>
      <x:c r="AB1543" s="84" t="str">
        <x:f>PROPER(TRIM('Raw Sales'!N1543))</x:f>
        <x:v>Noah Reed</x:v>
      </x:c>
      <x:c r="AC1543" s="85" t="n">
        <x:f>'Raw Sales'!O1543</x:f>
        <x:v>45809</x:v>
      </x:c>
      <x:c r="AD1543" s="84" t="n">
        <x:f>AC1543-B1543</x:f>
        <x:v>7</x:v>
      </x:c>
      <x:c r="AE1543" s="84" t="str">
        <x:f>IF(COUNTIF($A$5:A1543,A1543)&gt;1,"Duplicate","Keep")</x:f>
        <x:v>Keep</x:v>
      </x:c>
      <x:c r="AF1543" s="84" t="str">
        <x:f>IF(OR(R1543&lt;=0,AC1543&lt;B1543,H1543="Unknown",M1543="Unknown Product"),"Review","Valid")</x:f>
        <x:v>Valid</x:v>
      </x:c>
      <x:c r="AG1543" s="84" t="n">
        <x:f>IF(AND(AE1543="Keep",AF1543="Valid"),1,0)</x:f>
        <x:v>1</x:v>
      </x:c>
      <x:c r="AH1543" s="84" t="n">
        <x:f>IF(AND(AG1543=1,OR('Dashboard'!$B$4="All",I1543='Dashboard'!$B$4),OR('Dashboard'!$E$4="All",N1543='Dashboard'!$E$4),OR('Dashboard'!$H$4="All",K1543='Dashboard'!$H$4),OR('Dashboard'!$K$4="All",C1543='Dashboard'!$K$4)),1,0)</x:f>
        <x:v>1</x:v>
      </x:c>
      <x:c r="AI1543" s="84" t="n">
        <x:f>IF(AND(AG1543=1,OR('Dashboard'!$B$4="All",I1543='Dashboard'!$B$4),OR('Dashboard'!$E$4="All",N1543='Dashboard'!$E$4),OR('Dashboard'!$H$4="All",K1543='Dashboard'!$H$4)),1,0)</x:f>
        <x:v>1</x:v>
      </x:c>
    </x:row>
    <x:row r="1544">
      <x:c r="A1544" s="84" t="str">
        <x:f>'Raw Sales'!A1544</x:f>
        <x:v>ORD-2025-02336</x:v>
      </x:c>
      <x:c r="B1544" s="85" t="n">
        <x:f>'Raw Sales'!B1544</x:f>
        <x:v>45802</x:v>
      </x:c>
      <x:c r="C1544" s="84" t="n">
        <x:f>YEAR(B1544)</x:f>
        <x:v>2025</x:v>
      </x:c>
      <x:c r="D1544" s="91" t="n">
        <x:f>DATE(YEAR(B1544),MONTH(B1544),1)</x:f>
        <x:v>45778</x:v>
      </x:c>
      <x:c r="E1544" s="84" t="str">
        <x:f>TEXT(B1544,"mmm")</x:f>
        <x:v>May</x:v>
      </x:c>
      <x:c r="F1544" s="84" t="str">
        <x:f>'Raw Sales'!C1544</x:f>
        <x:v>CUST-0105</x:v>
      </x:c>
      <x:c r="G1544" s="84" t="str">
        <x:f>PROPER(TRIM('Raw Sales'!D1544))</x:f>
        <x:v>Chloe Ortiz</x:v>
      </x:c>
      <x:c r="H1544" s="84" t="str">
        <x:f>IF(TRIM('Raw Sales'!E1544)="","Unknown",PROPER(TRIM('Raw Sales'!E1544)))</x:f>
        <x:v>Corporate</x:v>
      </x:c>
      <x:c r="I1544" s="84" t="str">
        <x:f>PROPER(TRIM('Raw Sales'!F1544))</x:f>
        <x:v>West</x:v>
      </x:c>
      <x:c r="J1544" s="84" t="str">
        <x:f>PROPER(TRIM('Raw Sales'!G1544))</x:f>
        <x:v>Phoenix</x:v>
      </x:c>
      <x:c r="K1544" s="84" t="str">
        <x:f>PROPER(TRIM('Raw Sales'!H1544))</x:f>
        <x:v>Marketplace</x:v>
      </x:c>
      <x:c r="L1544" s="84" t="str">
        <x:f>'Raw Sales'!I1544</x:f>
        <x:v>HOME-002</x:v>
      </x:c>
      <x:c r="M1544" s="84" t="str">
        <x:f>IFERROR(VLOOKUP(L1544,'Reference Data'!$A$5:$F$40,2,FALSE),"Unknown Product")</x:f>
        <x:v>Electric Kettle</x:v>
      </x:c>
      <x:c r="N1544" s="84" t="str">
        <x:f>IFERROR(VLOOKUP(L1544,'Reference Data'!$A$5:$F$40,3,FALSE),"Unknown")</x:f>
        <x:v>Home &amp; Kitchen</x:v>
      </x:c>
      <x:c r="O1544" s="84" t="str">
        <x:f>IFERROR(VLOOKUP(L1544,'Reference Data'!$A$5:$F$40,4,FALSE),"Unknown")</x:f>
        <x:v>Small Appliances</x:v>
      </x:c>
      <x:c r="P1544" s="92" t="n">
        <x:f>IFERROR(VLOOKUP(L1544,'Reference Data'!$A$5:$F$40,5,FALSE),0)</x:f>
        <x:v>49</x:v>
      </x:c>
      <x:c r="Q1544" s="92" t="n">
        <x:f>IFERROR(VLOOKUP(L1544,'Reference Data'!$A$5:$F$40,6,FALSE),0)</x:f>
        <x:v>23</x:v>
      </x:c>
      <x:c r="R1544" s="84" t="n">
        <x:f>'Raw Sales'!J1544</x:f>
        <x:v>3</x:v>
      </x:c>
      <x:c r="S1544" s="87" t="n">
        <x:f>'Raw Sales'!K1544</x:f>
        <x:v>0</x:v>
      </x:c>
      <x:c r="T1544" s="93" t="n">
        <x:f>P1544*R1544</x:f>
        <x:v>147</x:v>
      </x:c>
      <x:c r="U1544" s="93" t="n">
        <x:f>T1544*S1544</x:f>
        <x:v>0</x:v>
      </x:c>
      <x:c r="V1544" s="93" t="str">
        <x:f>PROPER(TRIM('Raw Sales'!L1544))</x:f>
        <x:v>Completed</x:v>
      </x:c>
      <x:c r="W1544" s="93" t="n">
        <x:f>IF(V1544="Returned",0,T1544-U1544)</x:f>
        <x:v>147</x:v>
      </x:c>
      <x:c r="X1544" s="93" t="n">
        <x:f>IF(V1544="Returned",Q1544*R1544*10%,Q1544*R1544)</x:f>
        <x:v>69</x:v>
      </x:c>
      <x:c r="Y1544" s="93" t="n">
        <x:f>W1544-X1544</x:f>
        <x:v>78</x:v>
      </x:c>
      <x:c r="Z1544" s="94" t="n">
        <x:f>IFERROR(Y1544/W1544,0)</x:f>
        <x:v>0.5306122448979592</x:v>
      </x:c>
      <x:c r="AA1544" s="84" t="str">
        <x:f>PROPER(TRIM('Raw Sales'!M1544))</x:f>
        <x:v>Paypal</x:v>
      </x:c>
      <x:c r="AB1544" s="84" t="str">
        <x:f>PROPER(TRIM('Raw Sales'!N1544))</x:f>
        <x:v>Leo Martinez</x:v>
      </x:c>
      <x:c r="AC1544" s="85" t="n">
        <x:f>'Raw Sales'!O1544</x:f>
        <x:v>45805</x:v>
      </x:c>
      <x:c r="AD1544" s="84" t="n">
        <x:f>AC1544-B1544</x:f>
        <x:v>3</x:v>
      </x:c>
      <x:c r="AE1544" s="84" t="str">
        <x:f>IF(COUNTIF($A$5:A1544,A1544)&gt;1,"Duplicate","Keep")</x:f>
        <x:v>Keep</x:v>
      </x:c>
      <x:c r="AF1544" s="84" t="str">
        <x:f>IF(OR(R1544&lt;=0,AC1544&lt;B1544,H1544="Unknown",M1544="Unknown Product"),"Review","Valid")</x:f>
        <x:v>Valid</x:v>
      </x:c>
      <x:c r="AG1544" s="84" t="n">
        <x:f>IF(AND(AE1544="Keep",AF1544="Valid"),1,0)</x:f>
        <x:v>1</x:v>
      </x:c>
      <x:c r="AH1544" s="84" t="n">
        <x:f>IF(AND(AG1544=1,OR('Dashboard'!$B$4="All",I1544='Dashboard'!$B$4),OR('Dashboard'!$E$4="All",N1544='Dashboard'!$E$4),OR('Dashboard'!$H$4="All",K1544='Dashboard'!$H$4),OR('Dashboard'!$K$4="All",C1544='Dashboard'!$K$4)),1,0)</x:f>
        <x:v>1</x:v>
      </x:c>
      <x:c r="AI1544" s="84" t="n">
        <x:f>IF(AND(AG1544=1,OR('Dashboard'!$B$4="All",I1544='Dashboard'!$B$4),OR('Dashboard'!$E$4="All",N1544='Dashboard'!$E$4),OR('Dashboard'!$H$4="All",K1544='Dashboard'!$H$4)),1,0)</x:f>
        <x:v>1</x:v>
      </x:c>
    </x:row>
    <x:row r="1545">
      <x:c r="A1545" s="84" t="str">
        <x:f>'Raw Sales'!A1545</x:f>
        <x:v>ORD-2025-00630</x:v>
      </x:c>
      <x:c r="B1545" s="85" t="n">
        <x:f>'Raw Sales'!B1545</x:f>
        <x:v>45803</x:v>
      </x:c>
      <x:c r="C1545" s="84" t="n">
        <x:f>YEAR(B1545)</x:f>
        <x:v>2025</x:v>
      </x:c>
      <x:c r="D1545" s="91" t="n">
        <x:f>DATE(YEAR(B1545),MONTH(B1545),1)</x:f>
        <x:v>45778</x:v>
      </x:c>
      <x:c r="E1545" s="84" t="str">
        <x:f>TEXT(B1545,"mmm")</x:f>
        <x:v>May</x:v>
      </x:c>
      <x:c r="F1545" s="84" t="str">
        <x:f>'Raw Sales'!C1545</x:f>
        <x:v>CUST-0535</x:v>
      </x:c>
      <x:c r="G1545" s="84" t="str">
        <x:f>PROPER(TRIM('Raw Sales'!D1545))</x:f>
        <x:v>Caleb Walker</x:v>
      </x:c>
      <x:c r="H1545" s="84" t="str">
        <x:f>IF(TRIM('Raw Sales'!E1545)="","Unknown",PROPER(TRIM('Raw Sales'!E1545)))</x:f>
        <x:v>Corporate</x:v>
      </x:c>
      <x:c r="I1545" s="84" t="str">
        <x:f>PROPER(TRIM('Raw Sales'!F1545))</x:f>
        <x:v>Southeast</x:v>
      </x:c>
      <x:c r="J1545" s="84" t="str">
        <x:f>PROPER(TRIM('Raw Sales'!G1545))</x:f>
        <x:v>Miami</x:v>
      </x:c>
      <x:c r="K1545" s="84" t="str">
        <x:f>PROPER(TRIM('Raw Sales'!H1545))</x:f>
        <x:v>Marketplace</x:v>
      </x:c>
      <x:c r="L1545" s="84" t="str">
        <x:f>'Raw Sales'!I1545</x:f>
        <x:v>ACCS-002</x:v>
      </x:c>
      <x:c r="M1545" s="84" t="str">
        <x:f>IFERROR(VLOOKUP(L1545,'Reference Data'!$A$5:$F$40,2,FALSE),"Unknown Product")</x:f>
        <x:v>Travel Backpack</x:v>
      </x:c>
      <x:c r="N1545" s="84" t="str">
        <x:f>IFERROR(VLOOKUP(L1545,'Reference Data'!$A$5:$F$40,3,FALSE),"Unknown")</x:f>
        <x:v>Accessories</x:v>
      </x:c>
      <x:c r="O1545" s="84" t="str">
        <x:f>IFERROR(VLOOKUP(L1545,'Reference Data'!$A$5:$F$40,4,FALSE),"Unknown")</x:f>
        <x:v>Bags</x:v>
      </x:c>
      <x:c r="P1545" s="92" t="n">
        <x:f>IFERROR(VLOOKUP(L1545,'Reference Data'!$A$5:$F$40,5,FALSE),0)</x:f>
        <x:v>89</x:v>
      </x:c>
      <x:c r="Q1545" s="92" t="n">
        <x:f>IFERROR(VLOOKUP(L1545,'Reference Data'!$A$5:$F$40,6,FALSE),0)</x:f>
        <x:v>36</x:v>
      </x:c>
      <x:c r="R1545" s="84" t="n">
        <x:f>'Raw Sales'!J1545</x:f>
        <x:v>4</x:v>
      </x:c>
      <x:c r="S1545" s="87" t="n">
        <x:f>'Raw Sales'!K1545</x:f>
        <x:v>0.1</x:v>
      </x:c>
      <x:c r="T1545" s="93" t="n">
        <x:f>P1545*R1545</x:f>
        <x:v>356</x:v>
      </x:c>
      <x:c r="U1545" s="93" t="n">
        <x:f>T1545*S1545</x:f>
        <x:v>35.6</x:v>
      </x:c>
      <x:c r="V1545" s="93" t="str">
        <x:f>PROPER(TRIM('Raw Sales'!L1545))</x:f>
        <x:v>Completed</x:v>
      </x:c>
      <x:c r="W1545" s="93" t="n">
        <x:f>IF(V1545="Returned",0,T1545-U1545)</x:f>
        <x:v>320.4</x:v>
      </x:c>
      <x:c r="X1545" s="93" t="n">
        <x:f>IF(V1545="Returned",Q1545*R1545*10%,Q1545*R1545)</x:f>
        <x:v>144</x:v>
      </x:c>
      <x:c r="Y1545" s="93" t="n">
        <x:f>W1545-X1545</x:f>
        <x:v>176.39999999999998</x:v>
      </x:c>
      <x:c r="Z1545" s="94" t="n">
        <x:f>IFERROR(Y1545/W1545,0)</x:f>
        <x:v>0.550561797752809</x:v>
      </x:c>
      <x:c r="AA1545" s="84" t="str">
        <x:f>PROPER(TRIM('Raw Sales'!M1545))</x:f>
        <x:v>Mobile Wallet</x:v>
      </x:c>
      <x:c r="AB1545" s="84" t="str">
        <x:f>PROPER(TRIM('Raw Sales'!N1545))</x:f>
        <x:v>Liam Parker</x:v>
      </x:c>
      <x:c r="AC1545" s="85" t="n">
        <x:f>'Raw Sales'!O1545</x:f>
        <x:v>45809</x:v>
      </x:c>
      <x:c r="AD1545" s="84" t="n">
        <x:f>AC1545-B1545</x:f>
        <x:v>6</x:v>
      </x:c>
      <x:c r="AE1545" s="84" t="str">
        <x:f>IF(COUNTIF($A$5:A1545,A1545)&gt;1,"Duplicate","Keep")</x:f>
        <x:v>Keep</x:v>
      </x:c>
      <x:c r="AF1545" s="84" t="str">
        <x:f>IF(OR(R1545&lt;=0,AC1545&lt;B1545,H1545="Unknown",M1545="Unknown Product"),"Review","Valid")</x:f>
        <x:v>Valid</x:v>
      </x:c>
      <x:c r="AG1545" s="84" t="n">
        <x:f>IF(AND(AE1545="Keep",AF1545="Valid"),1,0)</x:f>
        <x:v>1</x:v>
      </x:c>
      <x:c r="AH1545" s="84" t="n">
        <x:f>IF(AND(AG1545=1,OR('Dashboard'!$B$4="All",I1545='Dashboard'!$B$4),OR('Dashboard'!$E$4="All",N1545='Dashboard'!$E$4),OR('Dashboard'!$H$4="All",K1545='Dashboard'!$H$4),OR('Dashboard'!$K$4="All",C1545='Dashboard'!$K$4)),1,0)</x:f>
        <x:v>1</x:v>
      </x:c>
      <x:c r="AI1545" s="84" t="n">
        <x:f>IF(AND(AG1545=1,OR('Dashboard'!$B$4="All",I1545='Dashboard'!$B$4),OR('Dashboard'!$E$4="All",N1545='Dashboard'!$E$4),OR('Dashboard'!$H$4="All",K1545='Dashboard'!$H$4)),1,0)</x:f>
        <x:v>1</x:v>
      </x:c>
    </x:row>
    <x:row r="1546">
      <x:c r="A1546" s="84" t="str">
        <x:f>'Raw Sales'!A1546</x:f>
        <x:v>ORD-2025-00782</x:v>
      </x:c>
      <x:c r="B1546" s="85" t="n">
        <x:f>'Raw Sales'!B1546</x:f>
        <x:v>45803</x:v>
      </x:c>
      <x:c r="C1546" s="84" t="n">
        <x:f>YEAR(B1546)</x:f>
        <x:v>2025</x:v>
      </x:c>
      <x:c r="D1546" s="91" t="n">
        <x:f>DATE(YEAR(B1546),MONTH(B1546),1)</x:f>
        <x:v>45778</x:v>
      </x:c>
      <x:c r="E1546" s="84" t="str">
        <x:f>TEXT(B1546,"mmm")</x:f>
        <x:v>May</x:v>
      </x:c>
      <x:c r="F1546" s="84" t="str">
        <x:f>'Raw Sales'!C1546</x:f>
        <x:v>CUST-0020</x:v>
      </x:c>
      <x:c r="G1546" s="84" t="str">
        <x:f>PROPER(TRIM('Raw Sales'!D1546))</x:f>
        <x:v>Elias Ortiz</x:v>
      </x:c>
      <x:c r="H1546" s="84" t="str">
        <x:f>IF(TRIM('Raw Sales'!E1546)="","Unknown",PROPER(TRIM('Raw Sales'!E1546)))</x:f>
        <x:v>Consumer</x:v>
      </x:c>
      <x:c r="I1546" s="84" t="str">
        <x:f>PROPER(TRIM('Raw Sales'!F1546))</x:f>
        <x:v>Southeast</x:v>
      </x:c>
      <x:c r="J1546" s="84" t="str">
        <x:f>PROPER(TRIM('Raw Sales'!G1546))</x:f>
        <x:v>Miami</x:v>
      </x:c>
      <x:c r="K1546" s="84" t="str">
        <x:f>PROPER(TRIM('Raw Sales'!H1546))</x:f>
        <x:v>Online</x:v>
      </x:c>
      <x:c r="L1546" s="84" t="str">
        <x:f>'Raw Sales'!I1546</x:f>
        <x:v>ACCS-006</x:v>
      </x:c>
      <x:c r="M1546" s="84" t="str">
        <x:f>IFERROR(VLOOKUP(L1546,'Reference Data'!$A$5:$F$40,2,FALSE),"Unknown Product")</x:f>
        <x:v>Insulated Lunch Bag</x:v>
      </x:c>
      <x:c r="N1546" s="84" t="str">
        <x:f>IFERROR(VLOOKUP(L1546,'Reference Data'!$A$5:$F$40,3,FALSE),"Unknown")</x:f>
        <x:v>Accessories</x:v>
      </x:c>
      <x:c r="O1546" s="84" t="str">
        <x:f>IFERROR(VLOOKUP(L1546,'Reference Data'!$A$5:$F$40,4,FALSE),"Unknown")</x:f>
        <x:v>Bags</x:v>
      </x:c>
      <x:c r="P1546" s="92" t="n">
        <x:f>IFERROR(VLOOKUP(L1546,'Reference Data'!$A$5:$F$40,5,FALSE),0)</x:f>
        <x:v>29</x:v>
      </x:c>
      <x:c r="Q1546" s="92" t="n">
        <x:f>IFERROR(VLOOKUP(L1546,'Reference Data'!$A$5:$F$40,6,FALSE),0)</x:f>
        <x:v>10</x:v>
      </x:c>
      <x:c r="R1546" s="84" t="n">
        <x:f>'Raw Sales'!J1546</x:f>
        <x:v>1</x:v>
      </x:c>
      <x:c r="S1546" s="87" t="n">
        <x:f>'Raw Sales'!K1546</x:f>
        <x:v>0.05</x:v>
      </x:c>
      <x:c r="T1546" s="93" t="n">
        <x:f>P1546*R1546</x:f>
        <x:v>29</x:v>
      </x:c>
      <x:c r="U1546" s="93" t="n">
        <x:f>T1546*S1546</x:f>
        <x:v>1.4500000000000002</x:v>
      </x:c>
      <x:c r="V1546" s="93" t="str">
        <x:f>PROPER(TRIM('Raw Sales'!L1546))</x:f>
        <x:v>Completed</x:v>
      </x:c>
      <x:c r="W1546" s="93" t="n">
        <x:f>IF(V1546="Returned",0,T1546-U1546)</x:f>
        <x:v>27.55</x:v>
      </x:c>
      <x:c r="X1546" s="93" t="n">
        <x:f>IF(V1546="Returned",Q1546*R1546*10%,Q1546*R1546)</x:f>
        <x:v>10</x:v>
      </x:c>
      <x:c r="Y1546" s="93" t="n">
        <x:f>W1546-X1546</x:f>
        <x:v>17.55</x:v>
      </x:c>
      <x:c r="Z1546" s="94" t="n">
        <x:f>IFERROR(Y1546/W1546,0)</x:f>
        <x:v>0.6370235934664247</x:v>
      </x:c>
      <x:c r="AA1546" s="84" t="str">
        <x:f>PROPER(TRIM('Raw Sales'!M1546))</x:f>
        <x:v>Debit Card</x:v>
      </x:c>
      <x:c r="AB1546" s="84" t="str">
        <x:f>PROPER(TRIM('Raw Sales'!N1546))</x:f>
        <x:v>Ava Mitchell</x:v>
      </x:c>
      <x:c r="AC1546" s="85" t="n">
        <x:f>'Raw Sales'!O1546</x:f>
        <x:v>45808</x:v>
      </x:c>
      <x:c r="AD1546" s="84" t="n">
        <x:f>AC1546-B1546</x:f>
        <x:v>5</x:v>
      </x:c>
      <x:c r="AE1546" s="84" t="str">
        <x:f>IF(COUNTIF($A$5:A1546,A1546)&gt;1,"Duplicate","Keep")</x:f>
        <x:v>Keep</x:v>
      </x:c>
      <x:c r="AF1546" s="84" t="str">
        <x:f>IF(OR(R1546&lt;=0,AC1546&lt;B1546,H1546="Unknown",M1546="Unknown Product"),"Review","Valid")</x:f>
        <x:v>Valid</x:v>
      </x:c>
      <x:c r="AG1546" s="84" t="n">
        <x:f>IF(AND(AE1546="Keep",AF1546="Valid"),1,0)</x:f>
        <x:v>1</x:v>
      </x:c>
      <x:c r="AH1546" s="84" t="n">
        <x:f>IF(AND(AG1546=1,OR('Dashboard'!$B$4="All",I1546='Dashboard'!$B$4),OR('Dashboard'!$E$4="All",N1546='Dashboard'!$E$4),OR('Dashboard'!$H$4="All",K1546='Dashboard'!$H$4),OR('Dashboard'!$K$4="All",C1546='Dashboard'!$K$4)),1,0)</x:f>
        <x:v>1</x:v>
      </x:c>
      <x:c r="AI1546" s="84" t="n">
        <x:f>IF(AND(AG1546=1,OR('Dashboard'!$B$4="All",I1546='Dashboard'!$B$4),OR('Dashboard'!$E$4="All",N1546='Dashboard'!$E$4),OR('Dashboard'!$H$4="All",K1546='Dashboard'!$H$4)),1,0)</x:f>
        <x:v>1</x:v>
      </x:c>
    </x:row>
    <x:row r="1547">
      <x:c r="A1547" s="84" t="str">
        <x:f>'Raw Sales'!A1547</x:f>
        <x:v>ORD-2025-01055</x:v>
      </x:c>
      <x:c r="B1547" s="85" t="n">
        <x:f>'Raw Sales'!B1547</x:f>
        <x:v>45803</x:v>
      </x:c>
      <x:c r="C1547" s="84" t="n">
        <x:f>YEAR(B1547)</x:f>
        <x:v>2025</x:v>
      </x:c>
      <x:c r="D1547" s="91" t="n">
        <x:f>DATE(YEAR(B1547),MONTH(B1547),1)</x:f>
        <x:v>45778</x:v>
      </x:c>
      <x:c r="E1547" s="84" t="str">
        <x:f>TEXT(B1547,"mmm")</x:f>
        <x:v>May</x:v>
      </x:c>
      <x:c r="F1547" s="84" t="str">
        <x:f>'Raw Sales'!C1547</x:f>
        <x:v>CUST-0333</x:v>
      </x:c>
      <x:c r="G1547" s="84" t="str">
        <x:f>PROPER(TRIM('Raw Sales'!D1547))</x:f>
        <x:v>Priya Khan</x:v>
      </x:c>
      <x:c r="H1547" s="84" t="str">
        <x:f>IF(TRIM('Raw Sales'!E1547)="","Unknown",PROPER(TRIM('Raw Sales'!E1547)))</x:f>
        <x:v>Consumer</x:v>
      </x:c>
      <x:c r="I1547" s="84" t="str">
        <x:f>PROPER(TRIM('Raw Sales'!F1547))</x:f>
        <x:v>Southeast</x:v>
      </x:c>
      <x:c r="J1547" s="84" t="str">
        <x:f>PROPER(TRIM('Raw Sales'!G1547))</x:f>
        <x:v>Charlotte</x:v>
      </x:c>
      <x:c r="K1547" s="84" t="str">
        <x:f>PROPER(TRIM('Raw Sales'!H1547))</x:f>
        <x:v>Marketplace</x:v>
      </x:c>
      <x:c r="L1547" s="84" t="str">
        <x:f>'Raw Sales'!I1547</x:f>
        <x:v>ELEC-006</x:v>
      </x:c>
      <x:c r="M1547" s="84" t="str">
        <x:f>IFERROR(VLOOKUP(L1547,'Reference Data'!$A$5:$F$40,2,FALSE),"Unknown Product")</x:f>
        <x:v>Portable SSD</x:v>
      </x:c>
      <x:c r="N1547" s="84" t="str">
        <x:f>IFERROR(VLOOKUP(L1547,'Reference Data'!$A$5:$F$40,3,FALSE),"Unknown")</x:f>
        <x:v>Electronics</x:v>
      </x:c>
      <x:c r="O1547" s="84" t="str">
        <x:f>IFERROR(VLOOKUP(L1547,'Reference Data'!$A$5:$F$40,4,FALSE),"Unknown")</x:f>
        <x:v>Storage</x:v>
      </x:c>
      <x:c r="P1547" s="92" t="n">
        <x:f>IFERROR(VLOOKUP(L1547,'Reference Data'!$A$5:$F$40,5,FALSE),0)</x:f>
        <x:v>129</x:v>
      </x:c>
      <x:c r="Q1547" s="92" t="n">
        <x:f>IFERROR(VLOOKUP(L1547,'Reference Data'!$A$5:$F$40,6,FALSE),0)</x:f>
        <x:v>75</x:v>
      </x:c>
      <x:c r="R1547" s="84" t="n">
        <x:f>'Raw Sales'!J1547</x:f>
        <x:v>2</x:v>
      </x:c>
      <x:c r="S1547" s="87" t="n">
        <x:f>'Raw Sales'!K1547</x:f>
        <x:v>0.1</x:v>
      </x:c>
      <x:c r="T1547" s="93" t="n">
        <x:f>P1547*R1547</x:f>
        <x:v>258</x:v>
      </x:c>
      <x:c r="U1547" s="93" t="n">
        <x:f>T1547*S1547</x:f>
        <x:v>25.8</x:v>
      </x:c>
      <x:c r="V1547" s="93" t="str">
        <x:f>PROPER(TRIM('Raw Sales'!L1547))</x:f>
        <x:v>Completed</x:v>
      </x:c>
      <x:c r="W1547" s="93" t="n">
        <x:f>IF(V1547="Returned",0,T1547-U1547)</x:f>
        <x:v>232.2</x:v>
      </x:c>
      <x:c r="X1547" s="93" t="n">
        <x:f>IF(V1547="Returned",Q1547*R1547*10%,Q1547*R1547)</x:f>
        <x:v>150</x:v>
      </x:c>
      <x:c r="Y1547" s="93" t="n">
        <x:f>W1547-X1547</x:f>
        <x:v>82.19999999999999</x:v>
      </x:c>
      <x:c r="Z1547" s="94" t="n">
        <x:f>IFERROR(Y1547/W1547,0)</x:f>
        <x:v>0.3540051679586563</x:v>
      </x:c>
      <x:c r="AA1547" s="84" t="str">
        <x:f>PROPER(TRIM('Raw Sales'!M1547))</x:f>
        <x:v>Credit Card</x:v>
      </x:c>
      <x:c r="AB1547" s="84" t="str">
        <x:f>PROPER(TRIM('Raw Sales'!N1547))</x:f>
        <x:v>Noah Reed</x:v>
      </x:c>
      <x:c r="AC1547" s="85" t="n">
        <x:f>'Raw Sales'!O1547</x:f>
        <x:v>45811</x:v>
      </x:c>
      <x:c r="AD1547" s="84" t="n">
        <x:f>AC1547-B1547</x:f>
        <x:v>8</x:v>
      </x:c>
      <x:c r="AE1547" s="84" t="str">
        <x:f>IF(COUNTIF($A$5:A1547,A1547)&gt;1,"Duplicate","Keep")</x:f>
        <x:v>Keep</x:v>
      </x:c>
      <x:c r="AF1547" s="84" t="str">
        <x:f>IF(OR(R1547&lt;=0,AC1547&lt;B1547,H1547="Unknown",M1547="Unknown Product"),"Review","Valid")</x:f>
        <x:v>Valid</x:v>
      </x:c>
      <x:c r="AG1547" s="84" t="n">
        <x:f>IF(AND(AE1547="Keep",AF1547="Valid"),1,0)</x:f>
        <x:v>1</x:v>
      </x:c>
      <x:c r="AH1547" s="84" t="n">
        <x:f>IF(AND(AG1547=1,OR('Dashboard'!$B$4="All",I1547='Dashboard'!$B$4),OR('Dashboard'!$E$4="All",N1547='Dashboard'!$E$4),OR('Dashboard'!$H$4="All",K1547='Dashboard'!$H$4),OR('Dashboard'!$K$4="All",C1547='Dashboard'!$K$4)),1,0)</x:f>
        <x:v>1</x:v>
      </x:c>
      <x:c r="AI1547" s="84" t="n">
        <x:f>IF(AND(AG1547=1,OR('Dashboard'!$B$4="All",I1547='Dashboard'!$B$4),OR('Dashboard'!$E$4="All",N1547='Dashboard'!$E$4),OR('Dashboard'!$H$4="All",K1547='Dashboard'!$H$4)),1,0)</x:f>
        <x:v>1</x:v>
      </x:c>
    </x:row>
    <x:row r="1548">
      <x:c r="A1548" s="84" t="str">
        <x:f>'Raw Sales'!A1548</x:f>
        <x:v>ORD-2025-01353</x:v>
      </x:c>
      <x:c r="B1548" s="85" t="n">
        <x:f>'Raw Sales'!B1548</x:f>
        <x:v>45803</x:v>
      </x:c>
      <x:c r="C1548" s="84" t="n">
        <x:f>YEAR(B1548)</x:f>
        <x:v>2025</x:v>
      </x:c>
      <x:c r="D1548" s="91" t="n">
        <x:f>DATE(YEAR(B1548),MONTH(B1548),1)</x:f>
        <x:v>45778</x:v>
      </x:c>
      <x:c r="E1548" s="84" t="str">
        <x:f>TEXT(B1548,"mmm")</x:f>
        <x:v>May</x:v>
      </x:c>
      <x:c r="F1548" s="84" t="str">
        <x:f>'Raw Sales'!C1548</x:f>
        <x:v>CUST-0351</x:v>
      </x:c>
      <x:c r="G1548" s="84" t="str">
        <x:f>PROPER(TRIM('Raw Sales'!D1548))</x:f>
        <x:v>Sara Garcia</x:v>
      </x:c>
      <x:c r="H1548" s="84" t="str">
        <x:f>IF(TRIM('Raw Sales'!E1548)="","Unknown",PROPER(TRIM('Raw Sales'!E1548)))</x:f>
        <x:v>Consumer</x:v>
      </x:c>
      <x:c r="I1548" s="84" t="str">
        <x:f>PROPER(TRIM('Raw Sales'!F1548))</x:f>
        <x:v>Midwest</x:v>
      </x:c>
      <x:c r="J1548" s="84" t="str">
        <x:f>PROPER(TRIM('Raw Sales'!G1548))</x:f>
        <x:v>Columbus</x:v>
      </x:c>
      <x:c r="K1548" s="84" t="str">
        <x:f>PROPER(TRIM('Raw Sales'!H1548))</x:f>
        <x:v>Online</x:v>
      </x:c>
      <x:c r="L1548" s="84" t="str">
        <x:f>'Raw Sales'!I1548</x:f>
        <x:v>HOME-002</x:v>
      </x:c>
      <x:c r="M1548" s="84" t="str">
        <x:f>IFERROR(VLOOKUP(L1548,'Reference Data'!$A$5:$F$40,2,FALSE),"Unknown Product")</x:f>
        <x:v>Electric Kettle</x:v>
      </x:c>
      <x:c r="N1548" s="84" t="str">
        <x:f>IFERROR(VLOOKUP(L1548,'Reference Data'!$A$5:$F$40,3,FALSE),"Unknown")</x:f>
        <x:v>Home &amp; Kitchen</x:v>
      </x:c>
      <x:c r="O1548" s="84" t="str">
        <x:f>IFERROR(VLOOKUP(L1548,'Reference Data'!$A$5:$F$40,4,FALSE),"Unknown")</x:f>
        <x:v>Small Appliances</x:v>
      </x:c>
      <x:c r="P1548" s="92" t="n">
        <x:f>IFERROR(VLOOKUP(L1548,'Reference Data'!$A$5:$F$40,5,FALSE),0)</x:f>
        <x:v>49</x:v>
      </x:c>
      <x:c r="Q1548" s="92" t="n">
        <x:f>IFERROR(VLOOKUP(L1548,'Reference Data'!$A$5:$F$40,6,FALSE),0)</x:f>
        <x:v>23</x:v>
      </x:c>
      <x:c r="R1548" s="84" t="n">
        <x:f>'Raw Sales'!J1548</x:f>
        <x:v>2</x:v>
      </x:c>
      <x:c r="S1548" s="87" t="n">
        <x:f>'Raw Sales'!K1548</x:f>
        <x:v>0.1</x:v>
      </x:c>
      <x:c r="T1548" s="93" t="n">
        <x:f>P1548*R1548</x:f>
        <x:v>98</x:v>
      </x:c>
      <x:c r="U1548" s="93" t="n">
        <x:f>T1548*S1548</x:f>
        <x:v>9.8</x:v>
      </x:c>
      <x:c r="V1548" s="93" t="str">
        <x:f>PROPER(TRIM('Raw Sales'!L1548))</x:f>
        <x:v>Completed</x:v>
      </x:c>
      <x:c r="W1548" s="93" t="n">
        <x:f>IF(V1548="Returned",0,T1548-U1548)</x:f>
        <x:v>88.2</x:v>
      </x:c>
      <x:c r="X1548" s="93" t="n">
        <x:f>IF(V1548="Returned",Q1548*R1548*10%,Q1548*R1548)</x:f>
        <x:v>46</x:v>
      </x:c>
      <x:c r="Y1548" s="93" t="n">
        <x:f>W1548-X1548</x:f>
        <x:v>42.2</x:v>
      </x:c>
      <x:c r="Z1548" s="94" t="n">
        <x:f>IFERROR(Y1548/W1548,0)</x:f>
        <x:v>0.47845804988662133</x:v>
      </x:c>
      <x:c r="AA1548" s="84" t="str">
        <x:f>PROPER(TRIM('Raw Sales'!M1548))</x:f>
        <x:v>Debit Card</x:v>
      </x:c>
      <x:c r="AB1548" s="84" t="str">
        <x:f>PROPER(TRIM('Raw Sales'!N1548))</x:f>
        <x:v>Zoe Turner</x:v>
      </x:c>
      <x:c r="AC1548" s="85" t="n">
        <x:f>'Raw Sales'!O1548</x:f>
        <x:v>45806</x:v>
      </x:c>
      <x:c r="AD1548" s="84" t="n">
        <x:f>AC1548-B1548</x:f>
        <x:v>3</x:v>
      </x:c>
      <x:c r="AE1548" s="84" t="str">
        <x:f>IF(COUNTIF($A$5:A1548,A1548)&gt;1,"Duplicate","Keep")</x:f>
        <x:v>Keep</x:v>
      </x:c>
      <x:c r="AF1548" s="84" t="str">
        <x:f>IF(OR(R1548&lt;=0,AC1548&lt;B1548,H1548="Unknown",M1548="Unknown Product"),"Review","Valid")</x:f>
        <x:v>Valid</x:v>
      </x:c>
      <x:c r="AG1548" s="84" t="n">
        <x:f>IF(AND(AE1548="Keep",AF1548="Valid"),1,0)</x:f>
        <x:v>1</x:v>
      </x:c>
      <x:c r="AH1548" s="84" t="n">
        <x:f>IF(AND(AG1548=1,OR('Dashboard'!$B$4="All",I1548='Dashboard'!$B$4),OR('Dashboard'!$E$4="All",N1548='Dashboard'!$E$4),OR('Dashboard'!$H$4="All",K1548='Dashboard'!$H$4),OR('Dashboard'!$K$4="All",C1548='Dashboard'!$K$4)),1,0)</x:f>
        <x:v>1</x:v>
      </x:c>
      <x:c r="AI1548" s="84" t="n">
        <x:f>IF(AND(AG1548=1,OR('Dashboard'!$B$4="All",I1548='Dashboard'!$B$4),OR('Dashboard'!$E$4="All",N1548='Dashboard'!$E$4),OR('Dashboard'!$H$4="All",K1548='Dashboard'!$H$4)),1,0)</x:f>
        <x:v>1</x:v>
      </x:c>
    </x:row>
    <x:row r="1549">
      <x:c r="A1549" s="84" t="str">
        <x:f>'Raw Sales'!A1549</x:f>
        <x:v>ORD-2025-01729</x:v>
      </x:c>
      <x:c r="B1549" s="85" t="n">
        <x:f>'Raw Sales'!B1549</x:f>
        <x:v>45803</x:v>
      </x:c>
      <x:c r="C1549" s="84" t="n">
        <x:f>YEAR(B1549)</x:f>
        <x:v>2025</x:v>
      </x:c>
      <x:c r="D1549" s="91" t="n">
        <x:f>DATE(YEAR(B1549),MONTH(B1549),1)</x:f>
        <x:v>45778</x:v>
      </x:c>
      <x:c r="E1549" s="84" t="str">
        <x:f>TEXT(B1549,"mmm")</x:f>
        <x:v>May</x:v>
      </x:c>
      <x:c r="F1549" s="84" t="str">
        <x:f>'Raw Sales'!C1549</x:f>
        <x:v>CUST-0121</x:v>
      </x:c>
      <x:c r="G1549" s="84" t="str">
        <x:f>PROPER(TRIM('Raw Sales'!D1549))</x:f>
        <x:v>Zara Patel</x:v>
      </x:c>
      <x:c r="H1549" s="84" t="str">
        <x:f>IF(TRIM('Raw Sales'!E1549)="","Unknown",PROPER(TRIM('Raw Sales'!E1549)))</x:f>
        <x:v>Corporate</x:v>
      </x:c>
      <x:c r="I1549" s="84" t="str">
        <x:f>PROPER(TRIM('Raw Sales'!F1549))</x:f>
        <x:v>West</x:v>
      </x:c>
      <x:c r="J1549" s="84" t="str">
        <x:f>PROPER(TRIM('Raw Sales'!G1549))</x:f>
        <x:v>Denver</x:v>
      </x:c>
      <x:c r="K1549" s="84" t="str">
        <x:f>PROPER(TRIM('Raw Sales'!H1549))</x:f>
        <x:v>Retail Store</x:v>
      </x:c>
      <x:c r="L1549" s="84" t="str">
        <x:f>'Raw Sales'!I1549</x:f>
        <x:v>HOME-004</x:v>
      </x:c>
      <x:c r="M1549" s="84" t="str">
        <x:f>IFERROR(VLOOKUP(L1549,'Reference Data'!$A$5:$F$40,2,FALSE),"Unknown Product")</x:f>
        <x:v>Coffee Maker</x:v>
      </x:c>
      <x:c r="N1549" s="84" t="str">
        <x:f>IFERROR(VLOOKUP(L1549,'Reference Data'!$A$5:$F$40,3,FALSE),"Unknown")</x:f>
        <x:v>Home &amp; Kitchen</x:v>
      </x:c>
      <x:c r="O1549" s="84" t="str">
        <x:f>IFERROR(VLOOKUP(L1549,'Reference Data'!$A$5:$F$40,4,FALSE),"Unknown")</x:f>
        <x:v>Small Appliances</x:v>
      </x:c>
      <x:c r="P1549" s="92" t="n">
        <x:f>IFERROR(VLOOKUP(L1549,'Reference Data'!$A$5:$F$40,5,FALSE),0)</x:f>
        <x:v>99</x:v>
      </x:c>
      <x:c r="Q1549" s="92" t="n">
        <x:f>IFERROR(VLOOKUP(L1549,'Reference Data'!$A$5:$F$40,6,FALSE),0)</x:f>
        <x:v>51</x:v>
      </x:c>
      <x:c r="R1549" s="84" t="n">
        <x:f>'Raw Sales'!J1549</x:f>
        <x:v>4</x:v>
      </x:c>
      <x:c r="S1549" s="87" t="n">
        <x:f>'Raw Sales'!K1549</x:f>
        <x:v>0.05</x:v>
      </x:c>
      <x:c r="T1549" s="93" t="n">
        <x:f>P1549*R1549</x:f>
        <x:v>396</x:v>
      </x:c>
      <x:c r="U1549" s="93" t="n">
        <x:f>T1549*S1549</x:f>
        <x:v>19.8</x:v>
      </x:c>
      <x:c r="V1549" s="93" t="str">
        <x:f>PROPER(TRIM('Raw Sales'!L1549))</x:f>
        <x:v>Completed</x:v>
      </x:c>
      <x:c r="W1549" s="93" t="n">
        <x:f>IF(V1549="Returned",0,T1549-U1549)</x:f>
        <x:v>376.2</x:v>
      </x:c>
      <x:c r="X1549" s="93" t="n">
        <x:f>IF(V1549="Returned",Q1549*R1549*10%,Q1549*R1549)</x:f>
        <x:v>204</x:v>
      </x:c>
      <x:c r="Y1549" s="93" t="n">
        <x:f>W1549-X1549</x:f>
        <x:v>172.2</x:v>
      </x:c>
      <x:c r="Z1549" s="94" t="n">
        <x:f>IFERROR(Y1549/W1549,0)</x:f>
        <x:v>0.4577352472089314</x:v>
      </x:c>
      <x:c r="AA1549" s="84" t="str">
        <x:f>PROPER(TRIM('Raw Sales'!M1549))</x:f>
        <x:v>Cash</x:v>
      </x:c>
      <x:c r="AB1549" s="84" t="str">
        <x:f>PROPER(TRIM('Raw Sales'!N1549))</x:f>
        <x:v>Leo Martinez</x:v>
      </x:c>
      <x:c r="AC1549" s="85" t="n">
        <x:f>'Raw Sales'!O1549</x:f>
        <x:v>45803</x:v>
      </x:c>
      <x:c r="AD1549" s="84" t="n">
        <x:f>AC1549-B1549</x:f>
        <x:v>0</x:v>
      </x:c>
      <x:c r="AE1549" s="84" t="str">
        <x:f>IF(COUNTIF($A$5:A1549,A1549)&gt;1,"Duplicate","Keep")</x:f>
        <x:v>Keep</x:v>
      </x:c>
      <x:c r="AF1549" s="84" t="str">
        <x:f>IF(OR(R1549&lt;=0,AC1549&lt;B1549,H1549="Unknown",M1549="Unknown Product"),"Review","Valid")</x:f>
        <x:v>Valid</x:v>
      </x:c>
      <x:c r="AG1549" s="84" t="n">
        <x:f>IF(AND(AE1549="Keep",AF1549="Valid"),1,0)</x:f>
        <x:v>1</x:v>
      </x:c>
      <x:c r="AH1549" s="84" t="n">
        <x:f>IF(AND(AG1549=1,OR('Dashboard'!$B$4="All",I1549='Dashboard'!$B$4),OR('Dashboard'!$E$4="All",N1549='Dashboard'!$E$4),OR('Dashboard'!$H$4="All",K1549='Dashboard'!$H$4),OR('Dashboard'!$K$4="All",C1549='Dashboard'!$K$4)),1,0)</x:f>
        <x:v>1</x:v>
      </x:c>
      <x:c r="AI1549" s="84" t="n">
        <x:f>IF(AND(AG1549=1,OR('Dashboard'!$B$4="All",I1549='Dashboard'!$B$4),OR('Dashboard'!$E$4="All",N1549='Dashboard'!$E$4),OR('Dashboard'!$H$4="All",K1549='Dashboard'!$H$4)),1,0)</x:f>
        <x:v>1</x:v>
      </x:c>
    </x:row>
    <x:row r="1550">
      <x:c r="A1550" s="84" t="str">
        <x:f>'Raw Sales'!A1550</x:f>
        <x:v>ORD-2025-02112</x:v>
      </x:c>
      <x:c r="B1550" s="85" t="n">
        <x:f>'Raw Sales'!B1550</x:f>
        <x:v>45803</x:v>
      </x:c>
      <x:c r="C1550" s="84" t="n">
        <x:f>YEAR(B1550)</x:f>
        <x:v>2025</x:v>
      </x:c>
      <x:c r="D1550" s="91" t="n">
        <x:f>DATE(YEAR(B1550),MONTH(B1550),1)</x:f>
        <x:v>45778</x:v>
      </x:c>
      <x:c r="E1550" s="84" t="str">
        <x:f>TEXT(B1550,"mmm")</x:f>
        <x:v>May</x:v>
      </x:c>
      <x:c r="F1550" s="84" t="str">
        <x:f>'Raw Sales'!C1550</x:f>
        <x:v>CUST-0284</x:v>
      </x:c>
      <x:c r="G1550" s="84" t="str">
        <x:f>PROPER(TRIM('Raw Sales'!D1550))</x:f>
        <x:v>Marcus Foster</x:v>
      </x:c>
      <x:c r="H1550" s="84" t="str">
        <x:f>IF(TRIM('Raw Sales'!E1550)="","Unknown",PROPER(TRIM('Raw Sales'!E1550)))</x:f>
        <x:v>Consumer</x:v>
      </x:c>
      <x:c r="I1550" s="84" t="str">
        <x:f>PROPER(TRIM('Raw Sales'!F1550))</x:f>
        <x:v>Midwest</x:v>
      </x:c>
      <x:c r="J1550" s="84" t="str">
        <x:f>PROPER(TRIM('Raw Sales'!G1550))</x:f>
        <x:v>Detroit</x:v>
      </x:c>
      <x:c r="K1550" s="84" t="str">
        <x:f>PROPER(TRIM('Raw Sales'!H1550))</x:f>
        <x:v>Online</x:v>
      </x:c>
      <x:c r="L1550" s="84" t="str">
        <x:f>'Raw Sales'!I1550</x:f>
        <x:v>CARE-002</x:v>
      </x:c>
      <x:c r="M1550" s="84" t="str">
        <x:f>IFERROR(VLOOKUP(L1550,'Reference Data'!$A$5:$F$40,2,FALSE),"Unknown Product")</x:f>
        <x:v>Rechargeable Trimmer</x:v>
      </x:c>
      <x:c r="N1550" s="84" t="str">
        <x:f>IFERROR(VLOOKUP(L1550,'Reference Data'!$A$5:$F$40,3,FALSE),"Unknown")</x:f>
        <x:v>Personal Care</x:v>
      </x:c>
      <x:c r="O1550" s="84" t="str">
        <x:f>IFERROR(VLOOKUP(L1550,'Reference Data'!$A$5:$F$40,4,FALSE),"Unknown")</x:f>
        <x:v>Grooming</x:v>
      </x:c>
      <x:c r="P1550" s="92" t="n">
        <x:f>IFERROR(VLOOKUP(L1550,'Reference Data'!$A$5:$F$40,5,FALSE),0)</x:f>
        <x:v>45</x:v>
      </x:c>
      <x:c r="Q1550" s="92" t="n">
        <x:f>IFERROR(VLOOKUP(L1550,'Reference Data'!$A$5:$F$40,6,FALSE),0)</x:f>
        <x:v>19</x:v>
      </x:c>
      <x:c r="R1550" s="84" t="n">
        <x:f>'Raw Sales'!J1550</x:f>
        <x:v>2</x:v>
      </x:c>
      <x:c r="S1550" s="87" t="n">
        <x:f>'Raw Sales'!K1550</x:f>
        <x:v>0.05</x:v>
      </x:c>
      <x:c r="T1550" s="93" t="n">
        <x:f>P1550*R1550</x:f>
        <x:v>90</x:v>
      </x:c>
      <x:c r="U1550" s="93" t="n">
        <x:f>T1550*S1550</x:f>
        <x:v>4.5</x:v>
      </x:c>
      <x:c r="V1550" s="93" t="str">
        <x:f>PROPER(TRIM('Raw Sales'!L1550))</x:f>
        <x:v>Completed</x:v>
      </x:c>
      <x:c r="W1550" s="93" t="n">
        <x:f>IF(V1550="Returned",0,T1550-U1550)</x:f>
        <x:v>85.5</x:v>
      </x:c>
      <x:c r="X1550" s="93" t="n">
        <x:f>IF(V1550="Returned",Q1550*R1550*10%,Q1550*R1550)</x:f>
        <x:v>38</x:v>
      </x:c>
      <x:c r="Y1550" s="93" t="n">
        <x:f>W1550-X1550</x:f>
        <x:v>47.5</x:v>
      </x:c>
      <x:c r="Z1550" s="94" t="n">
        <x:f>IFERROR(Y1550/W1550,0)</x:f>
        <x:v>0.5555555555555556</x:v>
      </x:c>
      <x:c r="AA1550" s="84" t="str">
        <x:f>PROPER(TRIM('Raw Sales'!M1550))</x:f>
        <x:v>Mobile Wallet</x:v>
      </x:c>
      <x:c r="AB1550" s="84" t="str">
        <x:f>PROPER(TRIM('Raw Sales'!N1550))</x:f>
        <x:v>Lucas Grant</x:v>
      </x:c>
      <x:c r="AC1550" s="85" t="n">
        <x:f>'Raw Sales'!O1550</x:f>
        <x:v>45805</x:v>
      </x:c>
      <x:c r="AD1550" s="84" t="n">
        <x:f>AC1550-B1550</x:f>
        <x:v>2</x:v>
      </x:c>
      <x:c r="AE1550" s="84" t="str">
        <x:f>IF(COUNTIF($A$5:A1550,A1550)&gt;1,"Duplicate","Keep")</x:f>
        <x:v>Keep</x:v>
      </x:c>
      <x:c r="AF1550" s="84" t="str">
        <x:f>IF(OR(R1550&lt;=0,AC1550&lt;B1550,H1550="Unknown",M1550="Unknown Product"),"Review","Valid")</x:f>
        <x:v>Valid</x:v>
      </x:c>
      <x:c r="AG1550" s="84" t="n">
        <x:f>IF(AND(AE1550="Keep",AF1550="Valid"),1,0)</x:f>
        <x:v>1</x:v>
      </x:c>
      <x:c r="AH1550" s="84" t="n">
        <x:f>IF(AND(AG1550=1,OR('Dashboard'!$B$4="All",I1550='Dashboard'!$B$4),OR('Dashboard'!$E$4="All",N1550='Dashboard'!$E$4),OR('Dashboard'!$H$4="All",K1550='Dashboard'!$H$4),OR('Dashboard'!$K$4="All",C1550='Dashboard'!$K$4)),1,0)</x:f>
        <x:v>1</x:v>
      </x:c>
      <x:c r="AI1550" s="84" t="n">
        <x:f>IF(AND(AG1550=1,OR('Dashboard'!$B$4="All",I1550='Dashboard'!$B$4),OR('Dashboard'!$E$4="All",N1550='Dashboard'!$E$4),OR('Dashboard'!$H$4="All",K1550='Dashboard'!$H$4)),1,0)</x:f>
        <x:v>1</x:v>
      </x:c>
    </x:row>
    <x:row r="1551">
      <x:c r="A1551" s="84" t="str">
        <x:f>'Raw Sales'!A1551</x:f>
        <x:v>ORD-2025-00271</x:v>
      </x:c>
      <x:c r="B1551" s="85" t="n">
        <x:f>'Raw Sales'!B1551</x:f>
        <x:v>45805</x:v>
      </x:c>
      <x:c r="C1551" s="84" t="n">
        <x:f>YEAR(B1551)</x:f>
        <x:v>2025</x:v>
      </x:c>
      <x:c r="D1551" s="91" t="n">
        <x:f>DATE(YEAR(B1551),MONTH(B1551),1)</x:f>
        <x:v>45778</x:v>
      </x:c>
      <x:c r="E1551" s="84" t="str">
        <x:f>TEXT(B1551,"mmm")</x:f>
        <x:v>May</x:v>
      </x:c>
      <x:c r="F1551" s="84" t="str">
        <x:f>'Raw Sales'!C1551</x:f>
        <x:v>CUST-0513</x:v>
      </x:c>
      <x:c r="G1551" s="84" t="str">
        <x:f>PROPER(TRIM('Raw Sales'!D1551))</x:f>
        <x:v>Zara Davis</x:v>
      </x:c>
      <x:c r="H1551" s="84" t="str">
        <x:f>IF(TRIM('Raw Sales'!E1551)="","Unknown",PROPER(TRIM('Raw Sales'!E1551)))</x:f>
        <x:v>Small Business</x:v>
      </x:c>
      <x:c r="I1551" s="84" t="str">
        <x:f>PROPER(TRIM('Raw Sales'!F1551))</x:f>
        <x:v>Midwest</x:v>
      </x:c>
      <x:c r="J1551" s="84" t="str">
        <x:f>PROPER(TRIM('Raw Sales'!G1551))</x:f>
        <x:v>Chicago</x:v>
      </x:c>
      <x:c r="K1551" s="84" t="str">
        <x:f>PROPER(TRIM('Raw Sales'!H1551))</x:f>
        <x:v>Online</x:v>
      </x:c>
      <x:c r="L1551" s="84" t="str">
        <x:f>'Raw Sales'!I1551</x:f>
        <x:v>ACCS-002</x:v>
      </x:c>
      <x:c r="M1551" s="84" t="str">
        <x:f>IFERROR(VLOOKUP(L1551,'Reference Data'!$A$5:$F$40,2,FALSE),"Unknown Product")</x:f>
        <x:v>Travel Backpack</x:v>
      </x:c>
      <x:c r="N1551" s="84" t="str">
        <x:f>IFERROR(VLOOKUP(L1551,'Reference Data'!$A$5:$F$40,3,FALSE),"Unknown")</x:f>
        <x:v>Accessories</x:v>
      </x:c>
      <x:c r="O1551" s="84" t="str">
        <x:f>IFERROR(VLOOKUP(L1551,'Reference Data'!$A$5:$F$40,4,FALSE),"Unknown")</x:f>
        <x:v>Bags</x:v>
      </x:c>
      <x:c r="P1551" s="92" t="n">
        <x:f>IFERROR(VLOOKUP(L1551,'Reference Data'!$A$5:$F$40,5,FALSE),0)</x:f>
        <x:v>89</x:v>
      </x:c>
      <x:c r="Q1551" s="92" t="n">
        <x:f>IFERROR(VLOOKUP(L1551,'Reference Data'!$A$5:$F$40,6,FALSE),0)</x:f>
        <x:v>36</x:v>
      </x:c>
      <x:c r="R1551" s="84" t="n">
        <x:f>'Raw Sales'!J1551</x:f>
        <x:v>1</x:v>
      </x:c>
      <x:c r="S1551" s="87" t="n">
        <x:f>'Raw Sales'!K1551</x:f>
        <x:v>0</x:v>
      </x:c>
      <x:c r="T1551" s="93" t="n">
        <x:f>P1551*R1551</x:f>
        <x:v>89</x:v>
      </x:c>
      <x:c r="U1551" s="93" t="n">
        <x:f>T1551*S1551</x:f>
        <x:v>0</x:v>
      </x:c>
      <x:c r="V1551" s="93" t="str">
        <x:f>PROPER(TRIM('Raw Sales'!L1551))</x:f>
        <x:v>Completed</x:v>
      </x:c>
      <x:c r="W1551" s="93" t="n">
        <x:f>IF(V1551="Returned",0,T1551-U1551)</x:f>
        <x:v>89</x:v>
      </x:c>
      <x:c r="X1551" s="93" t="n">
        <x:f>IF(V1551="Returned",Q1551*R1551*10%,Q1551*R1551)</x:f>
        <x:v>36</x:v>
      </x:c>
      <x:c r="Y1551" s="93" t="n">
        <x:f>W1551-X1551</x:f>
        <x:v>53</x:v>
      </x:c>
      <x:c r="Z1551" s="94" t="n">
        <x:f>IFERROR(Y1551/W1551,0)</x:f>
        <x:v>0.5955056179775281</x:v>
      </x:c>
      <x:c r="AA1551" s="84" t="str">
        <x:f>PROPER(TRIM('Raw Sales'!M1551))</x:f>
        <x:v>Paypal</x:v>
      </x:c>
      <x:c r="AB1551" s="84" t="str">
        <x:f>PROPER(TRIM('Raw Sales'!N1551))</x:f>
        <x:v>Zoe Turner</x:v>
      </x:c>
      <x:c r="AC1551" s="85" t="n">
        <x:f>'Raw Sales'!O1551</x:f>
        <x:v>45808</x:v>
      </x:c>
      <x:c r="AD1551" s="84" t="n">
        <x:f>AC1551-B1551</x:f>
        <x:v>3</x:v>
      </x:c>
      <x:c r="AE1551" s="84" t="str">
        <x:f>IF(COUNTIF($A$5:A1551,A1551)&gt;1,"Duplicate","Keep")</x:f>
        <x:v>Keep</x:v>
      </x:c>
      <x:c r="AF1551" s="84" t="str">
        <x:f>IF(OR(R1551&lt;=0,AC1551&lt;B1551,H1551="Unknown",M1551="Unknown Product"),"Review","Valid")</x:f>
        <x:v>Valid</x:v>
      </x:c>
      <x:c r="AG1551" s="84" t="n">
        <x:f>IF(AND(AE1551="Keep",AF1551="Valid"),1,0)</x:f>
        <x:v>1</x:v>
      </x:c>
      <x:c r="AH1551" s="84" t="n">
        <x:f>IF(AND(AG1551=1,OR('Dashboard'!$B$4="All",I1551='Dashboard'!$B$4),OR('Dashboard'!$E$4="All",N1551='Dashboard'!$E$4),OR('Dashboard'!$H$4="All",K1551='Dashboard'!$H$4),OR('Dashboard'!$K$4="All",C1551='Dashboard'!$K$4)),1,0)</x:f>
        <x:v>1</x:v>
      </x:c>
      <x:c r="AI1551" s="84" t="n">
        <x:f>IF(AND(AG1551=1,OR('Dashboard'!$B$4="All",I1551='Dashboard'!$B$4),OR('Dashboard'!$E$4="All",N1551='Dashboard'!$E$4),OR('Dashboard'!$H$4="All",K1551='Dashboard'!$H$4)),1,0)</x:f>
        <x:v>1</x:v>
      </x:c>
    </x:row>
    <x:row r="1552">
      <x:c r="A1552" s="84" t="str">
        <x:f>'Raw Sales'!A1552</x:f>
        <x:v>ORD-2025-01694</x:v>
      </x:c>
      <x:c r="B1552" s="85" t="n">
        <x:f>'Raw Sales'!B1552</x:f>
        <x:v>45805</x:v>
      </x:c>
      <x:c r="C1552" s="84" t="n">
        <x:f>YEAR(B1552)</x:f>
        <x:v>2025</x:v>
      </x:c>
      <x:c r="D1552" s="91" t="n">
        <x:f>DATE(YEAR(B1552),MONTH(B1552),1)</x:f>
        <x:v>45778</x:v>
      </x:c>
      <x:c r="E1552" s="84" t="str">
        <x:f>TEXT(B1552,"mmm")</x:f>
        <x:v>May</x:v>
      </x:c>
      <x:c r="F1552" s="84" t="str">
        <x:f>'Raw Sales'!C1552</x:f>
        <x:v>CUST-0474</x:v>
      </x:c>
      <x:c r="G1552" s="84" t="str">
        <x:f>PROPER(TRIM('Raw Sales'!D1552))</x:f>
        <x:v>Aiden Foster</x:v>
      </x:c>
      <x:c r="H1552" s="84" t="str">
        <x:f>IF(TRIM('Raw Sales'!E1552)="","Unknown",PROPER(TRIM('Raw Sales'!E1552)))</x:f>
        <x:v>Consumer</x:v>
      </x:c>
      <x:c r="I1552" s="84" t="str">
        <x:f>PROPER(TRIM('Raw Sales'!F1552))</x:f>
        <x:v>Southeast</x:v>
      </x:c>
      <x:c r="J1552" s="84" t="str">
        <x:f>PROPER(TRIM('Raw Sales'!G1552))</x:f>
        <x:v>Miami</x:v>
      </x:c>
      <x:c r="K1552" s="84" t="str">
        <x:f>PROPER(TRIM('Raw Sales'!H1552))</x:f>
        <x:v>Retail Store</x:v>
      </x:c>
      <x:c r="L1552" s="84" t="str">
        <x:f>'Raw Sales'!I1552</x:f>
        <x:v>HOME-001</x:v>
      </x:c>
      <x:c r="M1552" s="84" t="str">
        <x:f>IFERROR(VLOOKUP(L1552,'Reference Data'!$A$5:$F$40,2,FALSE),"Unknown Product")</x:f>
        <x:v>Air Fryer</x:v>
      </x:c>
      <x:c r="N1552" s="84" t="str">
        <x:f>IFERROR(VLOOKUP(L1552,'Reference Data'!$A$5:$F$40,3,FALSE),"Unknown")</x:f>
        <x:v>Home &amp; Kitchen</x:v>
      </x:c>
      <x:c r="O1552" s="84" t="str">
        <x:f>IFERROR(VLOOKUP(L1552,'Reference Data'!$A$5:$F$40,4,FALSE),"Unknown")</x:f>
        <x:v>Small Appliances</x:v>
      </x:c>
      <x:c r="P1552" s="92" t="n">
        <x:f>IFERROR(VLOOKUP(L1552,'Reference Data'!$A$5:$F$40,5,FALSE),0)</x:f>
        <x:v>119</x:v>
      </x:c>
      <x:c r="Q1552" s="92" t="n">
        <x:f>IFERROR(VLOOKUP(L1552,'Reference Data'!$A$5:$F$40,6,FALSE),0)</x:f>
        <x:v>68</x:v>
      </x:c>
      <x:c r="R1552" s="84" t="n">
        <x:f>'Raw Sales'!J1552</x:f>
        <x:v>1</x:v>
      </x:c>
      <x:c r="S1552" s="87" t="n">
        <x:f>'Raw Sales'!K1552</x:f>
        <x:v>0.1</x:v>
      </x:c>
      <x:c r="T1552" s="93" t="n">
        <x:f>P1552*R1552</x:f>
        <x:v>119</x:v>
      </x:c>
      <x:c r="U1552" s="93" t="n">
        <x:f>T1552*S1552</x:f>
        <x:v>11.9</x:v>
      </x:c>
      <x:c r="V1552" s="93" t="str">
        <x:f>PROPER(TRIM('Raw Sales'!L1552))</x:f>
        <x:v>Completed</x:v>
      </x:c>
      <x:c r="W1552" s="93" t="n">
        <x:f>IF(V1552="Returned",0,T1552-U1552)</x:f>
        <x:v>107.1</x:v>
      </x:c>
      <x:c r="X1552" s="93" t="n">
        <x:f>IF(V1552="Returned",Q1552*R1552*10%,Q1552*R1552)</x:f>
        <x:v>68</x:v>
      </x:c>
      <x:c r="Y1552" s="93" t="n">
        <x:f>W1552-X1552</x:f>
        <x:v>39.099999999999994</x:v>
      </x:c>
      <x:c r="Z1552" s="94" t="n">
        <x:f>IFERROR(Y1552/W1552,0)</x:f>
        <x:v>0.36507936507936506</x:v>
      </x:c>
      <x:c r="AA1552" s="84" t="str">
        <x:f>PROPER(TRIM('Raw Sales'!M1552))</x:f>
        <x:v>Credit Card</x:v>
      </x:c>
      <x:c r="AB1552" s="84" t="str">
        <x:f>PROPER(TRIM('Raw Sales'!N1552))</x:f>
        <x:v>Liam Parker</x:v>
      </x:c>
      <x:c r="AC1552" s="85" t="n">
        <x:f>'Raw Sales'!O1552</x:f>
        <x:v>45805</x:v>
      </x:c>
      <x:c r="AD1552" s="84" t="n">
        <x:f>AC1552-B1552</x:f>
        <x:v>0</x:v>
      </x:c>
      <x:c r="AE1552" s="84" t="str">
        <x:f>IF(COUNTIF($A$5:A1552,A1552)&gt;1,"Duplicate","Keep")</x:f>
        <x:v>Keep</x:v>
      </x:c>
      <x:c r="AF1552" s="84" t="str">
        <x:f>IF(OR(R1552&lt;=0,AC1552&lt;B1552,H1552="Unknown",M1552="Unknown Product"),"Review","Valid")</x:f>
        <x:v>Valid</x:v>
      </x:c>
      <x:c r="AG1552" s="84" t="n">
        <x:f>IF(AND(AE1552="Keep",AF1552="Valid"),1,0)</x:f>
        <x:v>1</x:v>
      </x:c>
      <x:c r="AH1552" s="84" t="n">
        <x:f>IF(AND(AG1552=1,OR('Dashboard'!$B$4="All",I1552='Dashboard'!$B$4),OR('Dashboard'!$E$4="All",N1552='Dashboard'!$E$4),OR('Dashboard'!$H$4="All",K1552='Dashboard'!$H$4),OR('Dashboard'!$K$4="All",C1552='Dashboard'!$K$4)),1,0)</x:f>
        <x:v>1</x:v>
      </x:c>
      <x:c r="AI1552" s="84" t="n">
        <x:f>IF(AND(AG1552=1,OR('Dashboard'!$B$4="All",I1552='Dashboard'!$B$4),OR('Dashboard'!$E$4="All",N1552='Dashboard'!$E$4),OR('Dashboard'!$H$4="All",K1552='Dashboard'!$H$4)),1,0)</x:f>
        <x:v>1</x:v>
      </x:c>
    </x:row>
    <x:row r="1553">
      <x:c r="A1553" s="84" t="str">
        <x:f>'Raw Sales'!A1553</x:f>
        <x:v>ORD-2025-01893</x:v>
      </x:c>
      <x:c r="B1553" s="85" t="n">
        <x:f>'Raw Sales'!B1553</x:f>
        <x:v>45805</x:v>
      </x:c>
      <x:c r="C1553" s="84" t="n">
        <x:f>YEAR(B1553)</x:f>
        <x:v>2025</x:v>
      </x:c>
      <x:c r="D1553" s="91" t="n">
        <x:f>DATE(YEAR(B1553),MONTH(B1553),1)</x:f>
        <x:v>45778</x:v>
      </x:c>
      <x:c r="E1553" s="84" t="str">
        <x:f>TEXT(B1553,"mmm")</x:f>
        <x:v>May</x:v>
      </x:c>
      <x:c r="F1553" s="84" t="str">
        <x:f>'Raw Sales'!C1553</x:f>
        <x:v>CUST-0558</x:v>
      </x:c>
      <x:c r="G1553" s="84" t="str">
        <x:f>PROPER(TRIM('Raw Sales'!D1553))</x:f>
        <x:v>Elias Irwin</x:v>
      </x:c>
      <x:c r="H1553" s="84" t="str">
        <x:f>IF(TRIM('Raw Sales'!E1553)="","Unknown",PROPER(TRIM('Raw Sales'!E1553)))</x:f>
        <x:v>Corporate</x:v>
      </x:c>
      <x:c r="I1553" s="84" t="str">
        <x:f>PROPER(TRIM('Raw Sales'!F1553))</x:f>
        <x:v>Northeast</x:v>
      </x:c>
      <x:c r="J1553" s="84" t="str">
        <x:f>PROPER(TRIM('Raw Sales'!G1553))</x:f>
        <x:v>Philadelphia</x:v>
      </x:c>
      <x:c r="K1553" s="84" t="str">
        <x:f>PROPER(TRIM('Raw Sales'!H1553))</x:f>
        <x:v>Retail Store</x:v>
      </x:c>
      <x:c r="L1553" s="84" t="str">
        <x:f>'Raw Sales'!I1553</x:f>
        <x:v>HOME-001</x:v>
      </x:c>
      <x:c r="M1553" s="84" t="str">
        <x:f>IFERROR(VLOOKUP(L1553,'Reference Data'!$A$5:$F$40,2,FALSE),"Unknown Product")</x:f>
        <x:v>Air Fryer</x:v>
      </x:c>
      <x:c r="N1553" s="84" t="str">
        <x:f>IFERROR(VLOOKUP(L1553,'Reference Data'!$A$5:$F$40,3,FALSE),"Unknown")</x:f>
        <x:v>Home &amp; Kitchen</x:v>
      </x:c>
      <x:c r="O1553" s="84" t="str">
        <x:f>IFERROR(VLOOKUP(L1553,'Reference Data'!$A$5:$F$40,4,FALSE),"Unknown")</x:f>
        <x:v>Small Appliances</x:v>
      </x:c>
      <x:c r="P1553" s="92" t="n">
        <x:f>IFERROR(VLOOKUP(L1553,'Reference Data'!$A$5:$F$40,5,FALSE),0)</x:f>
        <x:v>119</x:v>
      </x:c>
      <x:c r="Q1553" s="92" t="n">
        <x:f>IFERROR(VLOOKUP(L1553,'Reference Data'!$A$5:$F$40,6,FALSE),0)</x:f>
        <x:v>68</x:v>
      </x:c>
      <x:c r="R1553" s="84" t="n">
        <x:f>'Raw Sales'!J1553</x:f>
        <x:v>1</x:v>
      </x:c>
      <x:c r="S1553" s="87" t="n">
        <x:f>'Raw Sales'!K1553</x:f>
        <x:v>0</x:v>
      </x:c>
      <x:c r="T1553" s="93" t="n">
        <x:f>P1553*R1553</x:f>
        <x:v>119</x:v>
      </x:c>
      <x:c r="U1553" s="93" t="n">
        <x:f>T1553*S1553</x:f>
        <x:v>0</x:v>
      </x:c>
      <x:c r="V1553" s="93" t="str">
        <x:f>PROPER(TRIM('Raw Sales'!L1553))</x:f>
        <x:v>Completed</x:v>
      </x:c>
      <x:c r="W1553" s="93" t="n">
        <x:f>IF(V1553="Returned",0,T1553-U1553)</x:f>
        <x:v>119</x:v>
      </x:c>
      <x:c r="X1553" s="93" t="n">
        <x:f>IF(V1553="Returned",Q1553*R1553*10%,Q1553*R1553)</x:f>
        <x:v>68</x:v>
      </x:c>
      <x:c r="Y1553" s="93" t="n">
        <x:f>W1553-X1553</x:f>
        <x:v>51</x:v>
      </x:c>
      <x:c r="Z1553" s="94" t="n">
        <x:f>IFERROR(Y1553/W1553,0)</x:f>
        <x:v>0.42857142857142855</x:v>
      </x:c>
      <x:c r="AA1553" s="84" t="str">
        <x:f>PROPER(TRIM('Raw Sales'!M1553))</x:f>
        <x:v>Credit Card</x:v>
      </x:c>
      <x:c r="AB1553" s="84" t="str">
        <x:f>PROPER(TRIM('Raw Sales'!N1553))</x:f>
        <x:v>Ethan Cole</x:v>
      </x:c>
      <x:c r="AC1553" s="85" t="n">
        <x:f>'Raw Sales'!O1553</x:f>
        <x:v>45805</x:v>
      </x:c>
      <x:c r="AD1553" s="84" t="n">
        <x:f>AC1553-B1553</x:f>
        <x:v>0</x:v>
      </x:c>
      <x:c r="AE1553" s="84" t="str">
        <x:f>IF(COUNTIF($A$5:A1553,A1553)&gt;1,"Duplicate","Keep")</x:f>
        <x:v>Keep</x:v>
      </x:c>
      <x:c r="AF1553" s="84" t="str">
        <x:f>IF(OR(R1553&lt;=0,AC1553&lt;B1553,H1553="Unknown",M1553="Unknown Product"),"Review","Valid")</x:f>
        <x:v>Valid</x:v>
      </x:c>
      <x:c r="AG1553" s="84" t="n">
        <x:f>IF(AND(AE1553="Keep",AF1553="Valid"),1,0)</x:f>
        <x:v>1</x:v>
      </x:c>
      <x:c r="AH1553" s="84" t="n">
        <x:f>IF(AND(AG1553=1,OR('Dashboard'!$B$4="All",I1553='Dashboard'!$B$4),OR('Dashboard'!$E$4="All",N1553='Dashboard'!$E$4),OR('Dashboard'!$H$4="All",K1553='Dashboard'!$H$4),OR('Dashboard'!$K$4="All",C1553='Dashboard'!$K$4)),1,0)</x:f>
        <x:v>1</x:v>
      </x:c>
      <x:c r="AI1553" s="84" t="n">
        <x:f>IF(AND(AG1553=1,OR('Dashboard'!$B$4="All",I1553='Dashboard'!$B$4),OR('Dashboard'!$E$4="All",N1553='Dashboard'!$E$4),OR('Dashboard'!$H$4="All",K1553='Dashboard'!$H$4)),1,0)</x:f>
        <x:v>1</x:v>
      </x:c>
    </x:row>
    <x:row r="1554">
      <x:c r="A1554" s="84" t="str">
        <x:f>'Raw Sales'!A1554</x:f>
        <x:v>ORD-2025-02344</x:v>
      </x:c>
      <x:c r="B1554" s="85" t="n">
        <x:f>'Raw Sales'!B1554</x:f>
        <x:v>45805</x:v>
      </x:c>
      <x:c r="C1554" s="84" t="n">
        <x:f>YEAR(B1554)</x:f>
        <x:v>2025</x:v>
      </x:c>
      <x:c r="D1554" s="91" t="n">
        <x:f>DATE(YEAR(B1554),MONTH(B1554),1)</x:f>
        <x:v>45778</x:v>
      </x:c>
      <x:c r="E1554" s="84" t="str">
        <x:f>TEXT(B1554,"mmm")</x:f>
        <x:v>May</x:v>
      </x:c>
      <x:c r="F1554" s="84" t="str">
        <x:f>'Raw Sales'!C1554</x:f>
        <x:v>CUST-0560</x:v>
      </x:c>
      <x:c r="G1554" s="84" t="str">
        <x:f>PROPER(TRIM('Raw Sales'!D1554))</x:f>
        <x:v>Sara Khan</x:v>
      </x:c>
      <x:c r="H1554" s="84" t="str">
        <x:f>IF(TRIM('Raw Sales'!E1554)="","Unknown",PROPER(TRIM('Raw Sales'!E1554)))</x:f>
        <x:v>Consumer</x:v>
      </x:c>
      <x:c r="I1554" s="84" t="str">
        <x:f>PROPER(TRIM('Raw Sales'!F1554))</x:f>
        <x:v>Northeast</x:v>
      </x:c>
      <x:c r="J1554" s="84" t="str">
        <x:f>PROPER(TRIM('Raw Sales'!G1554))</x:f>
        <x:v>Philadelphia</x:v>
      </x:c>
      <x:c r="K1554" s="84" t="str">
        <x:f>PROPER(TRIM('Raw Sales'!H1554))</x:f>
        <x:v>Marketplace</x:v>
      </x:c>
      <x:c r="L1554" s="84" t="str">
        <x:f>'Raw Sales'!I1554</x:f>
        <x:v>ACCS-005</x:v>
      </x:c>
      <x:c r="M1554" s="84" t="str">
        <x:f>IFERROR(VLOOKUP(L1554,'Reference Data'!$A$5:$F$40,2,FALSE),"Unknown Product")</x:f>
        <x:v>Protective Phone Case</x:v>
      </x:c>
      <x:c r="N1554" s="84" t="str">
        <x:f>IFERROR(VLOOKUP(L1554,'Reference Data'!$A$5:$F$40,3,FALSE),"Unknown")</x:f>
        <x:v>Accessories</x:v>
      </x:c>
      <x:c r="O1554" s="84" t="str">
        <x:f>IFERROR(VLOOKUP(L1554,'Reference Data'!$A$5:$F$40,4,FALSE),"Unknown")</x:f>
        <x:v>Mobile Accessories</x:v>
      </x:c>
      <x:c r="P1554" s="92" t="n">
        <x:f>IFERROR(VLOOKUP(L1554,'Reference Data'!$A$5:$F$40,5,FALSE),0)</x:f>
        <x:v>24</x:v>
      </x:c>
      <x:c r="Q1554" s="92" t="n">
        <x:f>IFERROR(VLOOKUP(L1554,'Reference Data'!$A$5:$F$40,6,FALSE),0)</x:f>
        <x:v>5</x:v>
      </x:c>
      <x:c r="R1554" s="84" t="n">
        <x:f>'Raw Sales'!J1554</x:f>
        <x:v>2</x:v>
      </x:c>
      <x:c r="S1554" s="87" t="n">
        <x:f>'Raw Sales'!K1554</x:f>
        <x:v>0.05</x:v>
      </x:c>
      <x:c r="T1554" s="93" t="n">
        <x:f>P1554*R1554</x:f>
        <x:v>48</x:v>
      </x:c>
      <x:c r="U1554" s="93" t="n">
        <x:f>T1554*S1554</x:f>
        <x:v>2.4000000000000004</x:v>
      </x:c>
      <x:c r="V1554" s="93" t="str">
        <x:f>PROPER(TRIM('Raw Sales'!L1554))</x:f>
        <x:v>Completed</x:v>
      </x:c>
      <x:c r="W1554" s="93" t="n">
        <x:f>IF(V1554="Returned",0,T1554-U1554)</x:f>
        <x:v>45.6</x:v>
      </x:c>
      <x:c r="X1554" s="93" t="n">
        <x:f>IF(V1554="Returned",Q1554*R1554*10%,Q1554*R1554)</x:f>
        <x:v>10</x:v>
      </x:c>
      <x:c r="Y1554" s="93" t="n">
        <x:f>W1554-X1554</x:f>
        <x:v>35.6</x:v>
      </x:c>
      <x:c r="Z1554" s="94" t="n">
        <x:f>IFERROR(Y1554/W1554,0)</x:f>
        <x:v>0.7807017543859649</x:v>
      </x:c>
      <x:c r="AA1554" s="84" t="str">
        <x:f>PROPER(TRIM('Raw Sales'!M1554))</x:f>
        <x:v>Debit Card</x:v>
      </x:c>
      <x:c r="AB1554" s="84" t="str">
        <x:f>PROPER(TRIM('Raw Sales'!N1554))</x:f>
        <x:v>Sofia Bennett</x:v>
      </x:c>
      <x:c r="AC1554" s="85" t="n">
        <x:f>'Raw Sales'!O1554</x:f>
        <x:v>45812</x:v>
      </x:c>
      <x:c r="AD1554" s="84" t="n">
        <x:f>AC1554-B1554</x:f>
        <x:v>7</x:v>
      </x:c>
      <x:c r="AE1554" s="84" t="str">
        <x:f>IF(COUNTIF($A$5:A1554,A1554)&gt;1,"Duplicate","Keep")</x:f>
        <x:v>Keep</x:v>
      </x:c>
      <x:c r="AF1554" s="84" t="str">
        <x:f>IF(OR(R1554&lt;=0,AC1554&lt;B1554,H1554="Unknown",M1554="Unknown Product"),"Review","Valid")</x:f>
        <x:v>Valid</x:v>
      </x:c>
      <x:c r="AG1554" s="84" t="n">
        <x:f>IF(AND(AE1554="Keep",AF1554="Valid"),1,0)</x:f>
        <x:v>1</x:v>
      </x:c>
      <x:c r="AH1554" s="84" t="n">
        <x:f>IF(AND(AG1554=1,OR('Dashboard'!$B$4="All",I1554='Dashboard'!$B$4),OR('Dashboard'!$E$4="All",N1554='Dashboard'!$E$4),OR('Dashboard'!$H$4="All",K1554='Dashboard'!$H$4),OR('Dashboard'!$K$4="All",C1554='Dashboard'!$K$4)),1,0)</x:f>
        <x:v>1</x:v>
      </x:c>
      <x:c r="AI1554" s="84" t="n">
        <x:f>IF(AND(AG1554=1,OR('Dashboard'!$B$4="All",I1554='Dashboard'!$B$4),OR('Dashboard'!$E$4="All",N1554='Dashboard'!$E$4),OR('Dashboard'!$H$4="All",K1554='Dashboard'!$H$4)),1,0)</x:f>
        <x:v>1</x:v>
      </x:c>
    </x:row>
    <x:row r="1555">
      <x:c r="A1555" s="84" t="str">
        <x:f>'Raw Sales'!A1555</x:f>
        <x:v>ORD-2025-00166</x:v>
      </x:c>
      <x:c r="B1555" s="85" t="n">
        <x:f>'Raw Sales'!B1555</x:f>
        <x:v>45806</x:v>
      </x:c>
      <x:c r="C1555" s="84" t="n">
        <x:f>YEAR(B1555)</x:f>
        <x:v>2025</x:v>
      </x:c>
      <x:c r="D1555" s="91" t="n">
        <x:f>DATE(YEAR(B1555),MONTH(B1555),1)</x:f>
        <x:v>45778</x:v>
      </x:c>
      <x:c r="E1555" s="84" t="str">
        <x:f>TEXT(B1555,"mmm")</x:f>
        <x:v>May</x:v>
      </x:c>
      <x:c r="F1555" s="84" t="str">
        <x:f>'Raw Sales'!C1555</x:f>
        <x:v>CUST-0561</x:v>
      </x:c>
      <x:c r="G1555" s="84" t="str">
        <x:f>PROPER(TRIM('Raw Sales'!D1555))</x:f>
        <x:v>Marcus Johnson</x:v>
      </x:c>
      <x:c r="H1555" s="84" t="str">
        <x:f>IF(TRIM('Raw Sales'!E1555)="","Unknown",PROPER(TRIM('Raw Sales'!E1555)))</x:f>
        <x:v>Consumer</x:v>
      </x:c>
      <x:c r="I1555" s="84" t="str">
        <x:f>PROPER(TRIM('Raw Sales'!F1555))</x:f>
        <x:v>Southeast</x:v>
      </x:c>
      <x:c r="J1555" s="84" t="str">
        <x:f>PROPER(TRIM('Raw Sales'!G1555))</x:f>
        <x:v>Nashville</x:v>
      </x:c>
      <x:c r="K1555" s="84" t="str">
        <x:f>PROPER(TRIM('Raw Sales'!H1555))</x:f>
        <x:v>Online</x:v>
      </x:c>
      <x:c r="L1555" s="84" t="str">
        <x:f>'Raw Sales'!I1555</x:f>
        <x:v>CARE-002</x:v>
      </x:c>
      <x:c r="M1555" s="84" t="str">
        <x:f>IFERROR(VLOOKUP(L1555,'Reference Data'!$A$5:$F$40,2,FALSE),"Unknown Product")</x:f>
        <x:v>Rechargeable Trimmer</x:v>
      </x:c>
      <x:c r="N1555" s="84" t="str">
        <x:f>IFERROR(VLOOKUP(L1555,'Reference Data'!$A$5:$F$40,3,FALSE),"Unknown")</x:f>
        <x:v>Personal Care</x:v>
      </x:c>
      <x:c r="O1555" s="84" t="str">
        <x:f>IFERROR(VLOOKUP(L1555,'Reference Data'!$A$5:$F$40,4,FALSE),"Unknown")</x:f>
        <x:v>Grooming</x:v>
      </x:c>
      <x:c r="P1555" s="92" t="n">
        <x:f>IFERROR(VLOOKUP(L1555,'Reference Data'!$A$5:$F$40,5,FALSE),0)</x:f>
        <x:v>45</x:v>
      </x:c>
      <x:c r="Q1555" s="92" t="n">
        <x:f>IFERROR(VLOOKUP(L1555,'Reference Data'!$A$5:$F$40,6,FALSE),0)</x:f>
        <x:v>19</x:v>
      </x:c>
      <x:c r="R1555" s="84" t="n">
        <x:f>'Raw Sales'!J1555</x:f>
        <x:v>1</x:v>
      </x:c>
      <x:c r="S1555" s="87" t="n">
        <x:f>'Raw Sales'!K1555</x:f>
        <x:v>0.15</x:v>
      </x:c>
      <x:c r="T1555" s="93" t="n">
        <x:f>P1555*R1555</x:f>
        <x:v>45</x:v>
      </x:c>
      <x:c r="U1555" s="93" t="n">
        <x:f>T1555*S1555</x:f>
        <x:v>6.75</x:v>
      </x:c>
      <x:c r="V1555" s="93" t="str">
        <x:f>PROPER(TRIM('Raw Sales'!L1555))</x:f>
        <x:v>Completed</x:v>
      </x:c>
      <x:c r="W1555" s="93" t="n">
        <x:f>IF(V1555="Returned",0,T1555-U1555)</x:f>
        <x:v>38.25</x:v>
      </x:c>
      <x:c r="X1555" s="93" t="n">
        <x:f>IF(V1555="Returned",Q1555*R1555*10%,Q1555*R1555)</x:f>
        <x:v>19</x:v>
      </x:c>
      <x:c r="Y1555" s="93" t="n">
        <x:f>W1555-X1555</x:f>
        <x:v>19.25</x:v>
      </x:c>
      <x:c r="Z1555" s="94" t="n">
        <x:f>IFERROR(Y1555/W1555,0)</x:f>
        <x:v>0.5032679738562091</x:v>
      </x:c>
      <x:c r="AA1555" s="84" t="str">
        <x:f>PROPER(TRIM('Raw Sales'!M1555))</x:f>
        <x:v>Credit Card</x:v>
      </x:c>
      <x:c r="AB1555" s="84" t="str">
        <x:f>PROPER(TRIM('Raw Sales'!N1555))</x:f>
        <x:v>Ava Mitchell</x:v>
      </x:c>
      <x:c r="AC1555" s="85" t="n">
        <x:f>'Raw Sales'!O1555</x:f>
        <x:v>45808</x:v>
      </x:c>
      <x:c r="AD1555" s="84" t="n">
        <x:f>AC1555-B1555</x:f>
        <x:v>2</x:v>
      </x:c>
      <x:c r="AE1555" s="84" t="str">
        <x:f>IF(COUNTIF($A$5:A1555,A1555)&gt;1,"Duplicate","Keep")</x:f>
        <x:v>Keep</x:v>
      </x:c>
      <x:c r="AF1555" s="84" t="str">
        <x:f>IF(OR(R1555&lt;=0,AC1555&lt;B1555,H1555="Unknown",M1555="Unknown Product"),"Review","Valid")</x:f>
        <x:v>Valid</x:v>
      </x:c>
      <x:c r="AG1555" s="84" t="n">
        <x:f>IF(AND(AE1555="Keep",AF1555="Valid"),1,0)</x:f>
        <x:v>1</x:v>
      </x:c>
      <x:c r="AH1555" s="84" t="n">
        <x:f>IF(AND(AG1555=1,OR('Dashboard'!$B$4="All",I1555='Dashboard'!$B$4),OR('Dashboard'!$E$4="All",N1555='Dashboard'!$E$4),OR('Dashboard'!$H$4="All",K1555='Dashboard'!$H$4),OR('Dashboard'!$K$4="All",C1555='Dashboard'!$K$4)),1,0)</x:f>
        <x:v>1</x:v>
      </x:c>
      <x:c r="AI1555" s="84" t="n">
        <x:f>IF(AND(AG1555=1,OR('Dashboard'!$B$4="All",I1555='Dashboard'!$B$4),OR('Dashboard'!$E$4="All",N1555='Dashboard'!$E$4),OR('Dashboard'!$H$4="All",K1555='Dashboard'!$H$4)),1,0)</x:f>
        <x:v>1</x:v>
      </x:c>
    </x:row>
    <x:row r="1556">
      <x:c r="A1556" s="84" t="str">
        <x:f>'Raw Sales'!A1556</x:f>
        <x:v>ORD-2025-01655</x:v>
      </x:c>
      <x:c r="B1556" s="85" t="n">
        <x:f>'Raw Sales'!B1556</x:f>
        <x:v>45806</x:v>
      </x:c>
      <x:c r="C1556" s="84" t="n">
        <x:f>YEAR(B1556)</x:f>
        <x:v>2025</x:v>
      </x:c>
      <x:c r="D1556" s="91" t="n">
        <x:f>DATE(YEAR(B1556),MONTH(B1556),1)</x:f>
        <x:v>45778</x:v>
      </x:c>
      <x:c r="E1556" s="84" t="str">
        <x:f>TEXT(B1556,"mmm")</x:f>
        <x:v>May</x:v>
      </x:c>
      <x:c r="F1556" s="84" t="str">
        <x:f>'Raw Sales'!C1556</x:f>
        <x:v>CUST-0336</x:v>
      </x:c>
      <x:c r="G1556" s="84" t="str">
        <x:f>PROPER(TRIM('Raw Sales'!D1556))</x:f>
        <x:v>Jonah Garcia</x:v>
      </x:c>
      <x:c r="H1556" s="84" t="str">
        <x:f>IF(TRIM('Raw Sales'!E1556)="","Unknown",PROPER(TRIM('Raw Sales'!E1556)))</x:f>
        <x:v>Consumer</x:v>
      </x:c>
      <x:c r="I1556" s="84" t="str">
        <x:f>PROPER(TRIM('Raw Sales'!F1556))</x:f>
        <x:v>West</x:v>
      </x:c>
      <x:c r="J1556" s="84" t="str">
        <x:f>PROPER(TRIM('Raw Sales'!G1556))</x:f>
        <x:v>Phoenix</x:v>
      </x:c>
      <x:c r="K1556" s="84" t="str">
        <x:f>PROPER(TRIM('Raw Sales'!H1556))</x:f>
        <x:v>Online</x:v>
      </x:c>
      <x:c r="L1556" s="84" t="str">
        <x:f>'Raw Sales'!I1556</x:f>
        <x:v>CARE-005</x:v>
      </x:c>
      <x:c r="M1556" s="84" t="str">
        <x:f>IFERROR(VLOOKUP(L1556,'Reference Data'!$A$5:$F$40,2,FALSE),"Unknown Product")</x:f>
        <x:v>Skin Care Starter Kit</x:v>
      </x:c>
      <x:c r="N1556" s="84" t="str">
        <x:f>IFERROR(VLOOKUP(L1556,'Reference Data'!$A$5:$F$40,3,FALSE),"Unknown")</x:f>
        <x:v>Personal Care</x:v>
      </x:c>
      <x:c r="O1556" s="84" t="str">
        <x:f>IFERROR(VLOOKUP(L1556,'Reference Data'!$A$5:$F$40,4,FALSE),"Unknown")</x:f>
        <x:v>Skin Care</x:v>
      </x:c>
      <x:c r="P1556" s="92" t="n">
        <x:f>IFERROR(VLOOKUP(L1556,'Reference Data'!$A$5:$F$40,5,FALSE),0)</x:f>
        <x:v>58</x:v>
      </x:c>
      <x:c r="Q1556" s="92" t="n">
        <x:f>IFERROR(VLOOKUP(L1556,'Reference Data'!$A$5:$F$40,6,FALSE),0)</x:f>
        <x:v>24</x:v>
      </x:c>
      <x:c r="R1556" s="84" t="n">
        <x:f>'Raw Sales'!J1556</x:f>
        <x:v>1</x:v>
      </x:c>
      <x:c r="S1556" s="87" t="n">
        <x:f>'Raw Sales'!K1556</x:f>
        <x:v>0.05</x:v>
      </x:c>
      <x:c r="T1556" s="93" t="n">
        <x:f>P1556*R1556</x:f>
        <x:v>58</x:v>
      </x:c>
      <x:c r="U1556" s="93" t="n">
        <x:f>T1556*S1556</x:f>
        <x:v>2.9000000000000004</x:v>
      </x:c>
      <x:c r="V1556" s="93" t="str">
        <x:f>PROPER(TRIM('Raw Sales'!L1556))</x:f>
        <x:v>Completed</x:v>
      </x:c>
      <x:c r="W1556" s="93" t="n">
        <x:f>IF(V1556="Returned",0,T1556-U1556)</x:f>
        <x:v>55.1</x:v>
      </x:c>
      <x:c r="X1556" s="93" t="n">
        <x:f>IF(V1556="Returned",Q1556*R1556*10%,Q1556*R1556)</x:f>
        <x:v>24</x:v>
      </x:c>
      <x:c r="Y1556" s="93" t="n">
        <x:f>W1556-X1556</x:f>
        <x:v>31.1</x:v>
      </x:c>
      <x:c r="Z1556" s="94" t="n">
        <x:f>IFERROR(Y1556/W1556,0)</x:f>
        <x:v>0.5644283121597097</x:v>
      </x:c>
      <x:c r="AA1556" s="84" t="str">
        <x:f>PROPER(TRIM('Raw Sales'!M1556))</x:f>
        <x:v>Debit Card</x:v>
      </x:c>
      <x:c r="AB1556" s="84" t="str">
        <x:f>PROPER(TRIM('Raw Sales'!N1556))</x:f>
        <x:v>Leo Martinez</x:v>
      </x:c>
      <x:c r="AC1556" s="85" t="n">
        <x:f>'Raw Sales'!O1556</x:f>
        <x:v>45810</x:v>
      </x:c>
      <x:c r="AD1556" s="84" t="n">
        <x:f>AC1556-B1556</x:f>
        <x:v>4</x:v>
      </x:c>
      <x:c r="AE1556" s="84" t="str">
        <x:f>IF(COUNTIF($A$5:A1556,A1556)&gt;1,"Duplicate","Keep")</x:f>
        <x:v>Keep</x:v>
      </x:c>
      <x:c r="AF1556" s="84" t="str">
        <x:f>IF(OR(R1556&lt;=0,AC1556&lt;B1556,H1556="Unknown",M1556="Unknown Product"),"Review","Valid")</x:f>
        <x:v>Valid</x:v>
      </x:c>
      <x:c r="AG1556" s="84" t="n">
        <x:f>IF(AND(AE1556="Keep",AF1556="Valid"),1,0)</x:f>
        <x:v>1</x:v>
      </x:c>
      <x:c r="AH1556" s="84" t="n">
        <x:f>IF(AND(AG1556=1,OR('Dashboard'!$B$4="All",I1556='Dashboard'!$B$4),OR('Dashboard'!$E$4="All",N1556='Dashboard'!$E$4),OR('Dashboard'!$H$4="All",K1556='Dashboard'!$H$4),OR('Dashboard'!$K$4="All",C1556='Dashboard'!$K$4)),1,0)</x:f>
        <x:v>1</x:v>
      </x:c>
      <x:c r="AI1556" s="84" t="n">
        <x:f>IF(AND(AG1556=1,OR('Dashboard'!$B$4="All",I1556='Dashboard'!$B$4),OR('Dashboard'!$E$4="All",N1556='Dashboard'!$E$4),OR('Dashboard'!$H$4="All",K1556='Dashboard'!$H$4)),1,0)</x:f>
        <x:v>1</x:v>
      </x:c>
    </x:row>
    <x:row r="1557">
      <x:c r="A1557" s="84" t="str">
        <x:f>'Raw Sales'!A1557</x:f>
        <x:v>ORD-2025-00334</x:v>
      </x:c>
      <x:c r="B1557" s="85" t="n">
        <x:f>'Raw Sales'!B1557</x:f>
        <x:v>45807</x:v>
      </x:c>
      <x:c r="C1557" s="84" t="n">
        <x:f>YEAR(B1557)</x:f>
        <x:v>2025</x:v>
      </x:c>
      <x:c r="D1557" s="91" t="n">
        <x:f>DATE(YEAR(B1557),MONTH(B1557),1)</x:f>
        <x:v>45778</x:v>
      </x:c>
      <x:c r="E1557" s="84" t="str">
        <x:f>TEXT(B1557,"mmm")</x:f>
        <x:v>May</x:v>
      </x:c>
      <x:c r="F1557" s="84" t="str">
        <x:f>'Raw Sales'!C1557</x:f>
        <x:v>CUST-0156</x:v>
      </x:c>
      <x:c r="G1557" s="84" t="str">
        <x:f>PROPER(TRIM('Raw Sales'!D1557))</x:f>
        <x:v>Nina Ortiz</x:v>
      </x:c>
      <x:c r="H1557" s="84" t="str">
        <x:f>IF(TRIM('Raw Sales'!E1557)="","Unknown",PROPER(TRIM('Raw Sales'!E1557)))</x:f>
        <x:v>Consumer</x:v>
      </x:c>
      <x:c r="I1557" s="84" t="str">
        <x:f>PROPER(TRIM('Raw Sales'!F1557))</x:f>
        <x:v>Southeast</x:v>
      </x:c>
      <x:c r="J1557" s="84" t="str">
        <x:f>PROPER(TRIM('Raw Sales'!G1557))</x:f>
        <x:v>Charlotte</x:v>
      </x:c>
      <x:c r="K1557" s="84" t="str">
        <x:f>PROPER(TRIM('Raw Sales'!H1557))</x:f>
        <x:v>Marketplace</x:v>
      </x:c>
      <x:c r="L1557" s="84" t="str">
        <x:f>'Raw Sales'!I1557</x:f>
        <x:v>HOME-002</x:v>
      </x:c>
      <x:c r="M1557" s="84" t="str">
        <x:f>IFERROR(VLOOKUP(L1557,'Reference Data'!$A$5:$F$40,2,FALSE),"Unknown Product")</x:f>
        <x:v>Electric Kettle</x:v>
      </x:c>
      <x:c r="N1557" s="84" t="str">
        <x:f>IFERROR(VLOOKUP(L1557,'Reference Data'!$A$5:$F$40,3,FALSE),"Unknown")</x:f>
        <x:v>Home &amp; Kitchen</x:v>
      </x:c>
      <x:c r="O1557" s="84" t="str">
        <x:f>IFERROR(VLOOKUP(L1557,'Reference Data'!$A$5:$F$40,4,FALSE),"Unknown")</x:f>
        <x:v>Small Appliances</x:v>
      </x:c>
      <x:c r="P1557" s="92" t="n">
        <x:f>IFERROR(VLOOKUP(L1557,'Reference Data'!$A$5:$F$40,5,FALSE),0)</x:f>
        <x:v>49</x:v>
      </x:c>
      <x:c r="Q1557" s="92" t="n">
        <x:f>IFERROR(VLOOKUP(L1557,'Reference Data'!$A$5:$F$40,6,FALSE),0)</x:f>
        <x:v>23</x:v>
      </x:c>
      <x:c r="R1557" s="84" t="n">
        <x:f>'Raw Sales'!J1557</x:f>
        <x:v>1</x:v>
      </x:c>
      <x:c r="S1557" s="87" t="n">
        <x:f>'Raw Sales'!K1557</x:f>
        <x:v>0.05</x:v>
      </x:c>
      <x:c r="T1557" s="93" t="n">
        <x:f>P1557*R1557</x:f>
        <x:v>49</x:v>
      </x:c>
      <x:c r="U1557" s="93" t="n">
        <x:f>T1557*S1557</x:f>
        <x:v>2.45</x:v>
      </x:c>
      <x:c r="V1557" s="93" t="str">
        <x:f>PROPER(TRIM('Raw Sales'!L1557))</x:f>
        <x:v>Completed</x:v>
      </x:c>
      <x:c r="W1557" s="93" t="n">
        <x:f>IF(V1557="Returned",0,T1557-U1557)</x:f>
        <x:v>46.55</x:v>
      </x:c>
      <x:c r="X1557" s="93" t="n">
        <x:f>IF(V1557="Returned",Q1557*R1557*10%,Q1557*R1557)</x:f>
        <x:v>23</x:v>
      </x:c>
      <x:c r="Y1557" s="93" t="n">
        <x:f>W1557-X1557</x:f>
        <x:v>23.549999999999997</x:v>
      </x:c>
      <x:c r="Z1557" s="94" t="n">
        <x:f>IFERROR(Y1557/W1557,0)</x:f>
        <x:v>0.505907626208378</x:v>
      </x:c>
      <x:c r="AA1557" s="84" t="str">
        <x:f>PROPER(TRIM('Raw Sales'!M1557))</x:f>
        <x:v>Credit Card</x:v>
      </x:c>
      <x:c r="AB1557" s="84" t="str">
        <x:f>PROPER(TRIM('Raw Sales'!N1557))</x:f>
        <x:v>Ava Mitchell</x:v>
      </x:c>
      <x:c r="AC1557" s="85" t="n">
        <x:f>'Raw Sales'!O1557</x:f>
        <x:v>45812</x:v>
      </x:c>
      <x:c r="AD1557" s="84" t="n">
        <x:f>AC1557-B1557</x:f>
        <x:v>5</x:v>
      </x:c>
      <x:c r="AE1557" s="84" t="str">
        <x:f>IF(COUNTIF($A$5:A1557,A1557)&gt;1,"Duplicate","Keep")</x:f>
        <x:v>Keep</x:v>
      </x:c>
      <x:c r="AF1557" s="84" t="str">
        <x:f>IF(OR(R1557&lt;=0,AC1557&lt;B1557,H1557="Unknown",M1557="Unknown Product"),"Review","Valid")</x:f>
        <x:v>Valid</x:v>
      </x:c>
      <x:c r="AG1557" s="84" t="n">
        <x:f>IF(AND(AE1557="Keep",AF1557="Valid"),1,0)</x:f>
        <x:v>1</x:v>
      </x:c>
      <x:c r="AH1557" s="84" t="n">
        <x:f>IF(AND(AG1557=1,OR('Dashboard'!$B$4="All",I1557='Dashboard'!$B$4),OR('Dashboard'!$E$4="All",N1557='Dashboard'!$E$4),OR('Dashboard'!$H$4="All",K1557='Dashboard'!$H$4),OR('Dashboard'!$K$4="All",C1557='Dashboard'!$K$4)),1,0)</x:f>
        <x:v>1</x:v>
      </x:c>
      <x:c r="AI1557" s="84" t="n">
        <x:f>IF(AND(AG1557=1,OR('Dashboard'!$B$4="All",I1557='Dashboard'!$B$4),OR('Dashboard'!$E$4="All",N1557='Dashboard'!$E$4),OR('Dashboard'!$H$4="All",K1557='Dashboard'!$H$4)),1,0)</x:f>
        <x:v>1</x:v>
      </x:c>
    </x:row>
    <x:row r="1558">
      <x:c r="A1558" s="84" t="str">
        <x:f>'Raw Sales'!A1558</x:f>
        <x:v>ORD-2025-00397</x:v>
      </x:c>
      <x:c r="B1558" s="85" t="n">
        <x:f>'Raw Sales'!B1558</x:f>
        <x:v>45807</x:v>
      </x:c>
      <x:c r="C1558" s="84" t="n">
        <x:f>YEAR(B1558)</x:f>
        <x:v>2025</x:v>
      </x:c>
      <x:c r="D1558" s="91" t="n">
        <x:f>DATE(YEAR(B1558),MONTH(B1558),1)</x:f>
        <x:v>45778</x:v>
      </x:c>
      <x:c r="E1558" s="84" t="str">
        <x:f>TEXT(B1558,"mmm")</x:f>
        <x:v>May</x:v>
      </x:c>
      <x:c r="F1558" s="84" t="str">
        <x:f>'Raw Sales'!C1558</x:f>
        <x:v>CUST-0547</x:v>
      </x:c>
      <x:c r="G1558" s="84" t="str">
        <x:f>PROPER(TRIM('Raw Sales'!D1558))</x:f>
        <x:v>Jonah Davis</x:v>
      </x:c>
      <x:c r="H1558" s="84" t="str">
        <x:f>IF(TRIM('Raw Sales'!E1558)="","Unknown",PROPER(TRIM('Raw Sales'!E1558)))</x:f>
        <x:v>Corporate</x:v>
      </x:c>
      <x:c r="I1558" s="84" t="str">
        <x:f>PROPER(TRIM('Raw Sales'!F1558))</x:f>
        <x:v>Midwest</x:v>
      </x:c>
      <x:c r="J1558" s="84" t="str">
        <x:f>PROPER(TRIM('Raw Sales'!G1558))</x:f>
        <x:v>Chicago</x:v>
      </x:c>
      <x:c r="K1558" s="84" t="str">
        <x:f>PROPER(TRIM('Raw Sales'!H1558))</x:f>
        <x:v>Retail Store</x:v>
      </x:c>
      <x:c r="L1558" s="84" t="str">
        <x:f>'Raw Sales'!I1558</x:f>
        <x:v>CARE-006</x:v>
      </x:c>
      <x:c r="M1558" s="84" t="str">
        <x:f>IFERROR(VLOOKUP(L1558,'Reference Data'!$A$5:$F$40,2,FALSE),"Unknown Product")</x:f>
        <x:v>Percussion Massage Gun</x:v>
      </x:c>
      <x:c r="N1558" s="84" t="str">
        <x:f>IFERROR(VLOOKUP(L1558,'Reference Data'!$A$5:$F$40,3,FALSE),"Unknown")</x:f>
        <x:v>Personal Care</x:v>
      </x:c>
      <x:c r="O1558" s="84" t="str">
        <x:f>IFERROR(VLOOKUP(L1558,'Reference Data'!$A$5:$F$40,4,FALSE),"Unknown")</x:f>
        <x:v>Wellness</x:v>
      </x:c>
      <x:c r="P1558" s="92" t="n">
        <x:f>IFERROR(VLOOKUP(L1558,'Reference Data'!$A$5:$F$40,5,FALSE),0)</x:f>
        <x:v>129</x:v>
      </x:c>
      <x:c r="Q1558" s="92" t="n">
        <x:f>IFERROR(VLOOKUP(L1558,'Reference Data'!$A$5:$F$40,6,FALSE),0)</x:f>
        <x:v>70</x:v>
      </x:c>
      <x:c r="R1558" s="84" t="n">
        <x:f>'Raw Sales'!J1558</x:f>
        <x:v>2</x:v>
      </x:c>
      <x:c r="S1558" s="87" t="n">
        <x:f>'Raw Sales'!K1558</x:f>
        <x:v>0.15</x:v>
      </x:c>
      <x:c r="T1558" s="93" t="n">
        <x:f>P1558*R1558</x:f>
        <x:v>258</x:v>
      </x:c>
      <x:c r="U1558" s="93" t="n">
        <x:f>T1558*S1558</x:f>
        <x:v>38.699999999999996</x:v>
      </x:c>
      <x:c r="V1558" s="93" t="str">
        <x:f>PROPER(TRIM('Raw Sales'!L1558))</x:f>
        <x:v>Completed</x:v>
      </x:c>
      <x:c r="W1558" s="93" t="n">
        <x:f>IF(V1558="Returned",0,T1558-U1558)</x:f>
        <x:v>219.3</x:v>
      </x:c>
      <x:c r="X1558" s="93" t="n">
        <x:f>IF(V1558="Returned",Q1558*R1558*10%,Q1558*R1558)</x:f>
        <x:v>140</x:v>
      </x:c>
      <x:c r="Y1558" s="93" t="n">
        <x:f>W1558-X1558</x:f>
        <x:v>79.30000000000001</x:v>
      </x:c>
      <x:c r="Z1558" s="94" t="n">
        <x:f>IFERROR(Y1558/W1558,0)</x:f>
        <x:v>0.36160510715914274</x:v>
      </x:c>
      <x:c r="AA1558" s="84" t="str">
        <x:f>PROPER(TRIM('Raw Sales'!M1558))</x:f>
        <x:v>Cash</x:v>
      </x:c>
      <x:c r="AB1558" s="84" t="str">
        <x:f>PROPER(TRIM('Raw Sales'!N1558))</x:f>
        <x:v>Lucas Grant</x:v>
      </x:c>
      <x:c r="AC1558" s="85" t="n">
        <x:f>'Raw Sales'!O1558</x:f>
        <x:v>45808</x:v>
      </x:c>
      <x:c r="AD1558" s="84" t="n">
        <x:f>AC1558-B1558</x:f>
        <x:v>1</x:v>
      </x:c>
      <x:c r="AE1558" s="84" t="str">
        <x:f>IF(COUNTIF($A$5:A1558,A1558)&gt;1,"Duplicate","Keep")</x:f>
        <x:v>Keep</x:v>
      </x:c>
      <x:c r="AF1558" s="84" t="str">
        <x:f>IF(OR(R1558&lt;=0,AC1558&lt;B1558,H1558="Unknown",M1558="Unknown Product"),"Review","Valid")</x:f>
        <x:v>Valid</x:v>
      </x:c>
      <x:c r="AG1558" s="84" t="n">
        <x:f>IF(AND(AE1558="Keep",AF1558="Valid"),1,0)</x:f>
        <x:v>1</x:v>
      </x:c>
      <x:c r="AH1558" s="84" t="n">
        <x:f>IF(AND(AG1558=1,OR('Dashboard'!$B$4="All",I1558='Dashboard'!$B$4),OR('Dashboard'!$E$4="All",N1558='Dashboard'!$E$4),OR('Dashboard'!$H$4="All",K1558='Dashboard'!$H$4),OR('Dashboard'!$K$4="All",C1558='Dashboard'!$K$4)),1,0)</x:f>
        <x:v>1</x:v>
      </x:c>
      <x:c r="AI1558" s="84" t="n">
        <x:f>IF(AND(AG1558=1,OR('Dashboard'!$B$4="All",I1558='Dashboard'!$B$4),OR('Dashboard'!$E$4="All",N1558='Dashboard'!$E$4),OR('Dashboard'!$H$4="All",K1558='Dashboard'!$H$4)),1,0)</x:f>
        <x:v>1</x:v>
      </x:c>
    </x:row>
    <x:row r="1559">
      <x:c r="A1559" s="84" t="str">
        <x:f>'Raw Sales'!A1559</x:f>
        <x:v>ORD-2025-01340</x:v>
      </x:c>
      <x:c r="B1559" s="85" t="n">
        <x:f>'Raw Sales'!B1559</x:f>
        <x:v>45807</x:v>
      </x:c>
      <x:c r="C1559" s="84" t="n">
        <x:f>YEAR(B1559)</x:f>
        <x:v>2025</x:v>
      </x:c>
      <x:c r="D1559" s="91" t="n">
        <x:f>DATE(YEAR(B1559),MONTH(B1559),1)</x:f>
        <x:v>45778</x:v>
      </x:c>
      <x:c r="E1559" s="84" t="str">
        <x:f>TEXT(B1559,"mmm")</x:f>
        <x:v>May</x:v>
      </x:c>
      <x:c r="F1559" s="84" t="str">
        <x:f>'Raw Sales'!C1559</x:f>
        <x:v>CUST-0064</x:v>
      </x:c>
      <x:c r="G1559" s="84" t="str">
        <x:f>PROPER(TRIM('Raw Sales'!D1559))</x:f>
        <x:v>Nina Walker</x:v>
      </x:c>
      <x:c r="H1559" s="84" t="str">
        <x:f>IF(TRIM('Raw Sales'!E1559)="","Unknown",PROPER(TRIM('Raw Sales'!E1559)))</x:f>
        <x:v>Consumer</x:v>
      </x:c>
      <x:c r="I1559" s="84" t="str">
        <x:f>PROPER(TRIM('Raw Sales'!F1559))</x:f>
        <x:v>Midwest</x:v>
      </x:c>
      <x:c r="J1559" s="84" t="str">
        <x:f>PROPER(TRIM('Raw Sales'!G1559))</x:f>
        <x:v>Columbus</x:v>
      </x:c>
      <x:c r="K1559" s="84" t="str">
        <x:f>PROPER(TRIM('Raw Sales'!H1559))</x:f>
        <x:v>Retail Store</x:v>
      </x:c>
      <x:c r="L1559" s="84" t="str">
        <x:f>'Raw Sales'!I1559</x:f>
        <x:v>FITN-005</x:v>
      </x:c>
      <x:c r="M1559" s="84" t="str">
        <x:f>IFERROR(VLOOKUP(L1559,'Reference Data'!$A$5:$F$40,2,FALSE),"Unknown Product")</x:f>
        <x:v>Sports Water Bottle</x:v>
      </x:c>
      <x:c r="N1559" s="84" t="str">
        <x:f>IFERROR(VLOOKUP(L1559,'Reference Data'!$A$5:$F$40,3,FALSE),"Unknown")</x:f>
        <x:v>Fitness</x:v>
      </x:c>
      <x:c r="O1559" s="84" t="str">
        <x:f>IFERROR(VLOOKUP(L1559,'Reference Data'!$A$5:$F$40,4,FALSE),"Unknown")</x:f>
        <x:v>Accessories</x:v>
      </x:c>
      <x:c r="P1559" s="92" t="n">
        <x:f>IFERROR(VLOOKUP(L1559,'Reference Data'!$A$5:$F$40,5,FALSE),0)</x:f>
        <x:v>22</x:v>
      </x:c>
      <x:c r="Q1559" s="92" t="n">
        <x:f>IFERROR(VLOOKUP(L1559,'Reference Data'!$A$5:$F$40,6,FALSE),0)</x:f>
        <x:v>7</x:v>
      </x:c>
      <x:c r="R1559" s="84" t="n">
        <x:f>'Raw Sales'!J1559</x:f>
        <x:v>1</x:v>
      </x:c>
      <x:c r="S1559" s="87" t="n">
        <x:f>'Raw Sales'!K1559</x:f>
        <x:v>0.05</x:v>
      </x:c>
      <x:c r="T1559" s="93" t="n">
        <x:f>P1559*R1559</x:f>
        <x:v>22</x:v>
      </x:c>
      <x:c r="U1559" s="93" t="n">
        <x:f>T1559*S1559</x:f>
        <x:v>1.1</x:v>
      </x:c>
      <x:c r="V1559" s="93" t="str">
        <x:f>PROPER(TRIM('Raw Sales'!L1559))</x:f>
        <x:v>Completed</x:v>
      </x:c>
      <x:c r="W1559" s="93" t="n">
        <x:f>IF(V1559="Returned",0,T1559-U1559)</x:f>
        <x:v>20.9</x:v>
      </x:c>
      <x:c r="X1559" s="93" t="n">
        <x:f>IF(V1559="Returned",Q1559*R1559*10%,Q1559*R1559)</x:f>
        <x:v>7</x:v>
      </x:c>
      <x:c r="Y1559" s="93" t="n">
        <x:f>W1559-X1559</x:f>
        <x:v>13.899999999999999</x:v>
      </x:c>
      <x:c r="Z1559" s="94" t="n">
        <x:f>IFERROR(Y1559/W1559,0)</x:f>
        <x:v>0.6650717703349283</x:v>
      </x:c>
      <x:c r="AA1559" s="84" t="str">
        <x:f>PROPER(TRIM('Raw Sales'!M1559))</x:f>
        <x:v>Debit Card</x:v>
      </x:c>
      <x:c r="AB1559" s="84" t="str">
        <x:f>PROPER(TRIM('Raw Sales'!N1559))</x:f>
        <x:v>Lucas Grant</x:v>
      </x:c>
      <x:c r="AC1559" s="85" t="n">
        <x:f>'Raw Sales'!O1559</x:f>
        <x:v>45807</x:v>
      </x:c>
      <x:c r="AD1559" s="84" t="n">
        <x:f>AC1559-B1559</x:f>
        <x:v>0</x:v>
      </x:c>
      <x:c r="AE1559" s="84" t="str">
        <x:f>IF(COUNTIF($A$5:A1559,A1559)&gt;1,"Duplicate","Keep")</x:f>
        <x:v>Keep</x:v>
      </x:c>
      <x:c r="AF1559" s="84" t="str">
        <x:f>IF(OR(R1559&lt;=0,AC1559&lt;B1559,H1559="Unknown",M1559="Unknown Product"),"Review","Valid")</x:f>
        <x:v>Valid</x:v>
      </x:c>
      <x:c r="AG1559" s="84" t="n">
        <x:f>IF(AND(AE1559="Keep",AF1559="Valid"),1,0)</x:f>
        <x:v>1</x:v>
      </x:c>
      <x:c r="AH1559" s="84" t="n">
        <x:f>IF(AND(AG1559=1,OR('Dashboard'!$B$4="All",I1559='Dashboard'!$B$4),OR('Dashboard'!$E$4="All",N1559='Dashboard'!$E$4),OR('Dashboard'!$H$4="All",K1559='Dashboard'!$H$4),OR('Dashboard'!$K$4="All",C1559='Dashboard'!$K$4)),1,0)</x:f>
        <x:v>1</x:v>
      </x:c>
      <x:c r="AI1559" s="84" t="n">
        <x:f>IF(AND(AG1559=1,OR('Dashboard'!$B$4="All",I1559='Dashboard'!$B$4),OR('Dashboard'!$E$4="All",N1559='Dashboard'!$E$4),OR('Dashboard'!$H$4="All",K1559='Dashboard'!$H$4)),1,0)</x:f>
        <x:v>1</x:v>
      </x:c>
    </x:row>
    <x:row r="1560">
      <x:c r="A1560" s="84" t="str">
        <x:f>'Raw Sales'!A1560</x:f>
        <x:v>ORD-2025-00597</x:v>
      </x:c>
      <x:c r="B1560" s="85" t="n">
        <x:f>'Raw Sales'!B1560</x:f>
        <x:v>45808</x:v>
      </x:c>
      <x:c r="C1560" s="84" t="n">
        <x:f>YEAR(B1560)</x:f>
        <x:v>2025</x:v>
      </x:c>
      <x:c r="D1560" s="91" t="n">
        <x:f>DATE(YEAR(B1560),MONTH(B1560),1)</x:f>
        <x:v>45778</x:v>
      </x:c>
      <x:c r="E1560" s="84" t="str">
        <x:f>TEXT(B1560,"mmm")</x:f>
        <x:v>May</x:v>
      </x:c>
      <x:c r="F1560" s="84" t="str">
        <x:f>'Raw Sales'!C1560</x:f>
        <x:v>CUST-0080</x:v>
      </x:c>
      <x:c r="G1560" s="84" t="str">
        <x:f>PROPER(TRIM('Raw Sales'!D1560))</x:f>
        <x:v>Maya Patel</x:v>
      </x:c>
      <x:c r="H1560" s="84" t="str">
        <x:f>IF(TRIM('Raw Sales'!E1560)="","Unknown",PROPER(TRIM('Raw Sales'!E1560)))</x:f>
        <x:v>Corporate</x:v>
      </x:c>
      <x:c r="I1560" s="84" t="str">
        <x:f>PROPER(TRIM('Raw Sales'!F1560))</x:f>
        <x:v>Midwest</x:v>
      </x:c>
      <x:c r="J1560" s="84" t="str">
        <x:f>PROPER(TRIM('Raw Sales'!G1560))</x:f>
        <x:v>Columbus</x:v>
      </x:c>
      <x:c r="K1560" s="84" t="str">
        <x:f>PROPER(TRIM('Raw Sales'!H1560))</x:f>
        <x:v>Retail Store</x:v>
      </x:c>
      <x:c r="L1560" s="84" t="str">
        <x:f>'Raw Sales'!I1560</x:f>
        <x:v>ELEC-006</x:v>
      </x:c>
      <x:c r="M1560" s="84" t="str">
        <x:f>IFERROR(VLOOKUP(L1560,'Reference Data'!$A$5:$F$40,2,FALSE),"Unknown Product")</x:f>
        <x:v>Portable SSD</x:v>
      </x:c>
      <x:c r="N1560" s="84" t="str">
        <x:f>IFERROR(VLOOKUP(L1560,'Reference Data'!$A$5:$F$40,3,FALSE),"Unknown")</x:f>
        <x:v>Electronics</x:v>
      </x:c>
      <x:c r="O1560" s="84" t="str">
        <x:f>IFERROR(VLOOKUP(L1560,'Reference Data'!$A$5:$F$40,4,FALSE),"Unknown")</x:f>
        <x:v>Storage</x:v>
      </x:c>
      <x:c r="P1560" s="92" t="n">
        <x:f>IFERROR(VLOOKUP(L1560,'Reference Data'!$A$5:$F$40,5,FALSE),0)</x:f>
        <x:v>129</x:v>
      </x:c>
      <x:c r="Q1560" s="92" t="n">
        <x:f>IFERROR(VLOOKUP(L1560,'Reference Data'!$A$5:$F$40,6,FALSE),0)</x:f>
        <x:v>75</x:v>
      </x:c>
      <x:c r="R1560" s="84" t="n">
        <x:f>'Raw Sales'!J1560</x:f>
        <x:v>6</x:v>
      </x:c>
      <x:c r="S1560" s="87" t="n">
        <x:f>'Raw Sales'!K1560</x:f>
        <x:v>0.05</x:v>
      </x:c>
      <x:c r="T1560" s="93" t="n">
        <x:f>P1560*R1560</x:f>
        <x:v>774</x:v>
      </x:c>
      <x:c r="U1560" s="93" t="n">
        <x:f>T1560*S1560</x:f>
        <x:v>38.7</x:v>
      </x:c>
      <x:c r="V1560" s="93" t="str">
        <x:f>PROPER(TRIM('Raw Sales'!L1560))</x:f>
        <x:v>Completed</x:v>
      </x:c>
      <x:c r="W1560" s="93" t="n">
        <x:f>IF(V1560="Returned",0,T1560-U1560)</x:f>
        <x:v>735.3</x:v>
      </x:c>
      <x:c r="X1560" s="93" t="n">
        <x:f>IF(V1560="Returned",Q1560*R1560*10%,Q1560*R1560)</x:f>
        <x:v>450</x:v>
      </x:c>
      <x:c r="Y1560" s="93" t="n">
        <x:f>W1560-X1560</x:f>
        <x:v>285.29999999999995</x:v>
      </x:c>
      <x:c r="Z1560" s="94" t="n">
        <x:f>IFERROR(Y1560/W1560,0)</x:f>
        <x:v>0.38800489596083226</x:v>
      </x:c>
      <x:c r="AA1560" s="84" t="str">
        <x:f>PROPER(TRIM('Raw Sales'!M1560))</x:f>
        <x:v>Debit Card</x:v>
      </x:c>
      <x:c r="AB1560" s="84" t="str">
        <x:f>PROPER(TRIM('Raw Sales'!N1560))</x:f>
        <x:v>Zoe Turner</x:v>
      </x:c>
      <x:c r="AC1560" s="85" t="n">
        <x:f>'Raw Sales'!O1560</x:f>
        <x:v>45809</x:v>
      </x:c>
      <x:c r="AD1560" s="84" t="n">
        <x:f>AC1560-B1560</x:f>
        <x:v>1</x:v>
      </x:c>
      <x:c r="AE1560" s="84" t="str">
        <x:f>IF(COUNTIF($A$5:A1560,A1560)&gt;1,"Duplicate","Keep")</x:f>
        <x:v>Keep</x:v>
      </x:c>
      <x:c r="AF1560" s="84" t="str">
        <x:f>IF(OR(R1560&lt;=0,AC1560&lt;B1560,H1560="Unknown",M1560="Unknown Product"),"Review","Valid")</x:f>
        <x:v>Valid</x:v>
      </x:c>
      <x:c r="AG1560" s="84" t="n">
        <x:f>IF(AND(AE1560="Keep",AF1560="Valid"),1,0)</x:f>
        <x:v>1</x:v>
      </x:c>
      <x:c r="AH1560" s="84" t="n">
        <x:f>IF(AND(AG1560=1,OR('Dashboard'!$B$4="All",I1560='Dashboard'!$B$4),OR('Dashboard'!$E$4="All",N1560='Dashboard'!$E$4),OR('Dashboard'!$H$4="All",K1560='Dashboard'!$H$4),OR('Dashboard'!$K$4="All",C1560='Dashboard'!$K$4)),1,0)</x:f>
        <x:v>1</x:v>
      </x:c>
      <x:c r="AI1560" s="84" t="n">
        <x:f>IF(AND(AG1560=1,OR('Dashboard'!$B$4="All",I1560='Dashboard'!$B$4),OR('Dashboard'!$E$4="All",N1560='Dashboard'!$E$4),OR('Dashboard'!$H$4="All",K1560='Dashboard'!$H$4)),1,0)</x:f>
        <x:v>1</x:v>
      </x:c>
    </x:row>
    <x:row r="1561">
      <x:c r="A1561" s="84" t="str">
        <x:f>'Raw Sales'!A1561</x:f>
        <x:v>ORD-2025-01171</x:v>
      </x:c>
      <x:c r="B1561" s="85" t="n">
        <x:f>'Raw Sales'!B1561</x:f>
        <x:v>45808</x:v>
      </x:c>
      <x:c r="C1561" s="84" t="n">
        <x:f>YEAR(B1561)</x:f>
        <x:v>2025</x:v>
      </x:c>
      <x:c r="D1561" s="91" t="n">
        <x:f>DATE(YEAR(B1561),MONTH(B1561),1)</x:f>
        <x:v>45778</x:v>
      </x:c>
      <x:c r="E1561" s="84" t="str">
        <x:f>TEXT(B1561,"mmm")</x:f>
        <x:v>May</x:v>
      </x:c>
      <x:c r="F1561" s="84" t="str">
        <x:f>'Raw Sales'!C1561</x:f>
        <x:v>CUST-0224</x:v>
      </x:c>
      <x:c r="G1561" s="84" t="str">
        <x:f>PROPER(TRIM('Raw Sales'!D1561))</x:f>
        <x:v>Jonah Nelson</x:v>
      </x:c>
      <x:c r="H1561" s="84" t="str">
        <x:f>IF(TRIM('Raw Sales'!E1561)="","Unknown",PROPER(TRIM('Raw Sales'!E1561)))</x:f>
        <x:v>Consumer</x:v>
      </x:c>
      <x:c r="I1561" s="84" t="str">
        <x:f>PROPER(TRIM('Raw Sales'!F1561))</x:f>
        <x:v>Southeast</x:v>
      </x:c>
      <x:c r="J1561" s="84" t="str">
        <x:f>PROPER(TRIM('Raw Sales'!G1561))</x:f>
        <x:v>Miami</x:v>
      </x:c>
      <x:c r="K1561" s="84" t="str">
        <x:f>PROPER(TRIM('Raw Sales'!H1561))</x:f>
        <x:v>Online</x:v>
      </x:c>
      <x:c r="L1561" s="84" t="str">
        <x:f>'Raw Sales'!I1561</x:f>
        <x:v>HOME-006</x:v>
      </x:c>
      <x:c r="M1561" s="84" t="str">
        <x:f>IFERROR(VLOOKUP(L1561,'Reference Data'!$A$5:$F$40,2,FALSE),"Unknown Product")</x:f>
        <x:v>Food Storage Set</x:v>
      </x:c>
      <x:c r="N1561" s="84" t="str">
        <x:f>IFERROR(VLOOKUP(L1561,'Reference Data'!$A$5:$F$40,3,FALSE),"Unknown")</x:f>
        <x:v>Home &amp; Kitchen</x:v>
      </x:c>
      <x:c r="O1561" s="84" t="str">
        <x:f>IFERROR(VLOOKUP(L1561,'Reference Data'!$A$5:$F$40,4,FALSE),"Unknown")</x:f>
        <x:v>Kitchenware</x:v>
      </x:c>
      <x:c r="P1561" s="92" t="n">
        <x:f>IFERROR(VLOOKUP(L1561,'Reference Data'!$A$5:$F$40,5,FALSE),0)</x:f>
        <x:v>34</x:v>
      </x:c>
      <x:c r="Q1561" s="92" t="n">
        <x:f>IFERROR(VLOOKUP(L1561,'Reference Data'!$A$5:$F$40,6,FALSE),0)</x:f>
        <x:v>15</x:v>
      </x:c>
      <x:c r="R1561" s="84" t="n">
        <x:f>'Raw Sales'!J1561</x:f>
        <x:v>3</x:v>
      </x:c>
      <x:c r="S1561" s="87" t="n">
        <x:f>'Raw Sales'!K1561</x:f>
        <x:v>0.15</x:v>
      </x:c>
      <x:c r="T1561" s="93" t="n">
        <x:f>P1561*R1561</x:f>
        <x:v>102</x:v>
      </x:c>
      <x:c r="U1561" s="93" t="n">
        <x:f>T1561*S1561</x:f>
        <x:v>15.299999999999999</x:v>
      </x:c>
      <x:c r="V1561" s="93" t="str">
        <x:f>PROPER(TRIM('Raw Sales'!L1561))</x:f>
        <x:v>Completed</x:v>
      </x:c>
      <x:c r="W1561" s="93" t="n">
        <x:f>IF(V1561="Returned",0,T1561-U1561)</x:f>
        <x:v>86.7</x:v>
      </x:c>
      <x:c r="X1561" s="93" t="n">
        <x:f>IF(V1561="Returned",Q1561*R1561*10%,Q1561*R1561)</x:f>
        <x:v>45</x:v>
      </x:c>
      <x:c r="Y1561" s="93" t="n">
        <x:f>W1561-X1561</x:f>
        <x:v>41.7</x:v>
      </x:c>
      <x:c r="Z1561" s="94" t="n">
        <x:f>IFERROR(Y1561/W1561,0)</x:f>
        <x:v>0.48096885813148793</x:v>
      </x:c>
      <x:c r="AA1561" s="84" t="str">
        <x:f>PROPER(TRIM('Raw Sales'!M1561))</x:f>
        <x:v>Credit Card</x:v>
      </x:c>
      <x:c r="AB1561" s="84" t="str">
        <x:f>PROPER(TRIM('Raw Sales'!N1561))</x:f>
        <x:v>Noah Reed</x:v>
      </x:c>
      <x:c r="AC1561" s="85" t="n">
        <x:f>'Raw Sales'!O1561</x:f>
        <x:v>45812</x:v>
      </x:c>
      <x:c r="AD1561" s="84" t="n">
        <x:f>AC1561-B1561</x:f>
        <x:v>4</x:v>
      </x:c>
      <x:c r="AE1561" s="84" t="str">
        <x:f>IF(COUNTIF($A$5:A1561,A1561)&gt;1,"Duplicate","Keep")</x:f>
        <x:v>Keep</x:v>
      </x:c>
      <x:c r="AF1561" s="84" t="str">
        <x:f>IF(OR(R1561&lt;=0,AC1561&lt;B1561,H1561="Unknown",M1561="Unknown Product"),"Review","Valid")</x:f>
        <x:v>Valid</x:v>
      </x:c>
      <x:c r="AG1561" s="84" t="n">
        <x:f>IF(AND(AE1561="Keep",AF1561="Valid"),1,0)</x:f>
        <x:v>1</x:v>
      </x:c>
      <x:c r="AH1561" s="84" t="n">
        <x:f>IF(AND(AG1561=1,OR('Dashboard'!$B$4="All",I1561='Dashboard'!$B$4),OR('Dashboard'!$E$4="All",N1561='Dashboard'!$E$4),OR('Dashboard'!$H$4="All",K1561='Dashboard'!$H$4),OR('Dashboard'!$K$4="All",C1561='Dashboard'!$K$4)),1,0)</x:f>
        <x:v>1</x:v>
      </x:c>
      <x:c r="AI1561" s="84" t="n">
        <x:f>IF(AND(AG1561=1,OR('Dashboard'!$B$4="All",I1561='Dashboard'!$B$4),OR('Dashboard'!$E$4="All",N1561='Dashboard'!$E$4),OR('Dashboard'!$H$4="All",K1561='Dashboard'!$H$4)),1,0)</x:f>
        <x:v>1</x:v>
      </x:c>
    </x:row>
    <x:row r="1562">
      <x:c r="A1562" s="84" t="str">
        <x:f>'Raw Sales'!A1562</x:f>
        <x:v>ORD-2025-00432</x:v>
      </x:c>
      <x:c r="B1562" s="85" t="n">
        <x:f>'Raw Sales'!B1562</x:f>
        <x:v>45809</x:v>
      </x:c>
      <x:c r="C1562" s="84" t="n">
        <x:f>YEAR(B1562)</x:f>
        <x:v>2025</x:v>
      </x:c>
      <x:c r="D1562" s="91" t="n">
        <x:f>DATE(YEAR(B1562),MONTH(B1562),1)</x:f>
        <x:v>45809</x:v>
      </x:c>
      <x:c r="E1562" s="84" t="str">
        <x:f>TEXT(B1562,"mmm")</x:f>
        <x:v>Jun</x:v>
      </x:c>
      <x:c r="F1562" s="84" t="str">
        <x:f>'Raw Sales'!C1562</x:f>
        <x:v>CUST-0038</x:v>
      </x:c>
      <x:c r="G1562" s="84" t="str">
        <x:f>PROPER(TRIM('Raw Sales'!D1562))</x:f>
        <x:v>William Ortiz</x:v>
      </x:c>
      <x:c r="H1562" s="84" t="str">
        <x:f>IF(TRIM('Raw Sales'!E1562)="","Unknown",PROPER(TRIM('Raw Sales'!E1562)))</x:f>
        <x:v>Consumer</x:v>
      </x:c>
      <x:c r="I1562" s="84" t="str">
        <x:f>PROPER(TRIM('Raw Sales'!F1562))</x:f>
        <x:v>West</x:v>
      </x:c>
      <x:c r="J1562" s="84" t="str">
        <x:f>PROPER(TRIM('Raw Sales'!G1562))</x:f>
        <x:v>Phoenix</x:v>
      </x:c>
      <x:c r="K1562" s="84" t="str">
        <x:f>PROPER(TRIM('Raw Sales'!H1562))</x:f>
        <x:v>Online</x:v>
      </x:c>
      <x:c r="L1562" s="84" t="str">
        <x:f>'Raw Sales'!I1562</x:f>
        <x:v>ELEC-006</x:v>
      </x:c>
      <x:c r="M1562" s="84" t="str">
        <x:f>IFERROR(VLOOKUP(L1562,'Reference Data'!$A$5:$F$40,2,FALSE),"Unknown Product")</x:f>
        <x:v>Portable SSD</x:v>
      </x:c>
      <x:c r="N1562" s="84" t="str">
        <x:f>IFERROR(VLOOKUP(L1562,'Reference Data'!$A$5:$F$40,3,FALSE),"Unknown")</x:f>
        <x:v>Electronics</x:v>
      </x:c>
      <x:c r="O1562" s="84" t="str">
        <x:f>IFERROR(VLOOKUP(L1562,'Reference Data'!$A$5:$F$40,4,FALSE),"Unknown")</x:f>
        <x:v>Storage</x:v>
      </x:c>
      <x:c r="P1562" s="92" t="n">
        <x:f>IFERROR(VLOOKUP(L1562,'Reference Data'!$A$5:$F$40,5,FALSE),0)</x:f>
        <x:v>129</x:v>
      </x:c>
      <x:c r="Q1562" s="92" t="n">
        <x:f>IFERROR(VLOOKUP(L1562,'Reference Data'!$A$5:$F$40,6,FALSE),0)</x:f>
        <x:v>75</x:v>
      </x:c>
      <x:c r="R1562" s="84" t="n">
        <x:f>'Raw Sales'!J1562</x:f>
        <x:v>1</x:v>
      </x:c>
      <x:c r="S1562" s="87" t="n">
        <x:f>'Raw Sales'!K1562</x:f>
        <x:v>0.05</x:v>
      </x:c>
      <x:c r="T1562" s="93" t="n">
        <x:f>P1562*R1562</x:f>
        <x:v>129</x:v>
      </x:c>
      <x:c r="U1562" s="93" t="n">
        <x:f>T1562*S1562</x:f>
        <x:v>6.45</x:v>
      </x:c>
      <x:c r="V1562" s="93" t="str">
        <x:f>PROPER(TRIM('Raw Sales'!L1562))</x:f>
        <x:v>Completed</x:v>
      </x:c>
      <x:c r="W1562" s="93" t="n">
        <x:f>IF(V1562="Returned",0,T1562-U1562)</x:f>
        <x:v>122.55</x:v>
      </x:c>
      <x:c r="X1562" s="93" t="n">
        <x:f>IF(V1562="Returned",Q1562*R1562*10%,Q1562*R1562)</x:f>
        <x:v>75</x:v>
      </x:c>
      <x:c r="Y1562" s="93" t="n">
        <x:f>W1562-X1562</x:f>
        <x:v>47.55</x:v>
      </x:c>
      <x:c r="Z1562" s="94" t="n">
        <x:f>IFERROR(Y1562/W1562,0)</x:f>
        <x:v>0.3880048959608323</x:v>
      </x:c>
      <x:c r="AA1562" s="84" t="str">
        <x:f>PROPER(TRIM('Raw Sales'!M1562))</x:f>
        <x:v>Mobile Wallet</x:v>
      </x:c>
      <x:c r="AB1562" s="84" t="str">
        <x:f>PROPER(TRIM('Raw Sales'!N1562))</x:f>
        <x:v>Leo Martinez</x:v>
      </x:c>
      <x:c r="AC1562" s="85" t="n">
        <x:f>'Raw Sales'!O1562</x:f>
        <x:v>45815</x:v>
      </x:c>
      <x:c r="AD1562" s="84" t="n">
        <x:f>AC1562-B1562</x:f>
        <x:v>6</x:v>
      </x:c>
      <x:c r="AE1562" s="84" t="str">
        <x:f>IF(COUNTIF($A$5:A1562,A1562)&gt;1,"Duplicate","Keep")</x:f>
        <x:v>Keep</x:v>
      </x:c>
      <x:c r="AF1562" s="84" t="str">
        <x:f>IF(OR(R1562&lt;=0,AC1562&lt;B1562,H1562="Unknown",M1562="Unknown Product"),"Review","Valid")</x:f>
        <x:v>Valid</x:v>
      </x:c>
      <x:c r="AG1562" s="84" t="n">
        <x:f>IF(AND(AE1562="Keep",AF1562="Valid"),1,0)</x:f>
        <x:v>1</x:v>
      </x:c>
      <x:c r="AH1562" s="84" t="n">
        <x:f>IF(AND(AG1562=1,OR('Dashboard'!$B$4="All",I1562='Dashboard'!$B$4),OR('Dashboard'!$E$4="All",N1562='Dashboard'!$E$4),OR('Dashboard'!$H$4="All",K1562='Dashboard'!$H$4),OR('Dashboard'!$K$4="All",C1562='Dashboard'!$K$4)),1,0)</x:f>
        <x:v>1</x:v>
      </x:c>
      <x:c r="AI1562" s="84" t="n">
        <x:f>IF(AND(AG1562=1,OR('Dashboard'!$B$4="All",I1562='Dashboard'!$B$4),OR('Dashboard'!$E$4="All",N1562='Dashboard'!$E$4),OR('Dashboard'!$H$4="All",K1562='Dashboard'!$H$4)),1,0)</x:f>
        <x:v>1</x:v>
      </x:c>
    </x:row>
    <x:row r="1563">
      <x:c r="A1563" s="84" t="str">
        <x:f>'Raw Sales'!A1563</x:f>
        <x:v>ORD-2025-00855</x:v>
      </x:c>
      <x:c r="B1563" s="85" t="n">
        <x:f>'Raw Sales'!B1563</x:f>
        <x:v>45810</x:v>
      </x:c>
      <x:c r="C1563" s="84" t="n">
        <x:f>YEAR(B1563)</x:f>
        <x:v>2025</x:v>
      </x:c>
      <x:c r="D1563" s="91" t="n">
        <x:f>DATE(YEAR(B1563),MONTH(B1563),1)</x:f>
        <x:v>45809</x:v>
      </x:c>
      <x:c r="E1563" s="84" t="str">
        <x:f>TEXT(B1563,"mmm")</x:f>
        <x:v>Jun</x:v>
      </x:c>
      <x:c r="F1563" s="84" t="str">
        <x:f>'Raw Sales'!C1563</x:f>
        <x:v>CUST-0097</x:v>
      </x:c>
      <x:c r="G1563" s="84" t="str">
        <x:f>PROPER(TRIM('Raw Sales'!D1563))</x:f>
        <x:v>Sara Ortiz</x:v>
      </x:c>
      <x:c r="H1563" s="84" t="str">
        <x:f>IF(TRIM('Raw Sales'!E1563)="","Unknown",PROPER(TRIM('Raw Sales'!E1563)))</x:f>
        <x:v>Corporate</x:v>
      </x:c>
      <x:c r="I1563" s="84" t="str">
        <x:f>PROPER(TRIM('Raw Sales'!F1563))</x:f>
        <x:v>Northeast</x:v>
      </x:c>
      <x:c r="J1563" s="84" t="str">
        <x:f>PROPER(TRIM('Raw Sales'!G1563))</x:f>
        <x:v>New York</x:v>
      </x:c>
      <x:c r="K1563" s="84" t="str">
        <x:f>PROPER(TRIM('Raw Sales'!H1563))</x:f>
        <x:v>Retail Store</x:v>
      </x:c>
      <x:c r="L1563" s="84" t="str">
        <x:f>'Raw Sales'!I1563</x:f>
        <x:v>HOME-003</x:v>
      </x:c>
      <x:c r="M1563" s="84" t="str">
        <x:f>IFERROR(VLOOKUP(L1563,'Reference Data'!$A$5:$F$40,2,FALSE),"Unknown Product")</x:f>
        <x:v>Countertop Blender</x:v>
      </x:c>
      <x:c r="N1563" s="84" t="str">
        <x:f>IFERROR(VLOOKUP(L1563,'Reference Data'!$A$5:$F$40,3,FALSE),"Unknown")</x:f>
        <x:v>Home &amp; Kitchen</x:v>
      </x:c>
      <x:c r="O1563" s="84" t="str">
        <x:f>IFERROR(VLOOKUP(L1563,'Reference Data'!$A$5:$F$40,4,FALSE),"Unknown")</x:f>
        <x:v>Small Appliances</x:v>
      </x:c>
      <x:c r="P1563" s="92" t="n">
        <x:f>IFERROR(VLOOKUP(L1563,'Reference Data'!$A$5:$F$40,5,FALSE),0)</x:f>
        <x:v>89</x:v>
      </x:c>
      <x:c r="Q1563" s="92" t="n">
        <x:f>IFERROR(VLOOKUP(L1563,'Reference Data'!$A$5:$F$40,6,FALSE),0)</x:f>
        <x:v>46</x:v>
      </x:c>
      <x:c r="R1563" s="84" t="n">
        <x:f>'Raw Sales'!J1563</x:f>
        <x:v>1</x:v>
      </x:c>
      <x:c r="S1563" s="87" t="n">
        <x:f>'Raw Sales'!K1563</x:f>
        <x:v>0.05</x:v>
      </x:c>
      <x:c r="T1563" s="93" t="n">
        <x:f>P1563*R1563</x:f>
        <x:v>89</x:v>
      </x:c>
      <x:c r="U1563" s="93" t="n">
        <x:f>T1563*S1563</x:f>
        <x:v>4.45</x:v>
      </x:c>
      <x:c r="V1563" s="93" t="str">
        <x:f>PROPER(TRIM('Raw Sales'!L1563))</x:f>
        <x:v>Completed</x:v>
      </x:c>
      <x:c r="W1563" s="93" t="n">
        <x:f>IF(V1563="Returned",0,T1563-U1563)</x:f>
        <x:v>84.55</x:v>
      </x:c>
      <x:c r="X1563" s="93" t="n">
        <x:f>IF(V1563="Returned",Q1563*R1563*10%,Q1563*R1563)</x:f>
        <x:v>46</x:v>
      </x:c>
      <x:c r="Y1563" s="93" t="n">
        <x:f>W1563-X1563</x:f>
        <x:v>38.55</x:v>
      </x:c>
      <x:c r="Z1563" s="94" t="n">
        <x:f>IFERROR(Y1563/W1563,0)</x:f>
        <x:v>0.4559432288586635</x:v>
      </x:c>
      <x:c r="AA1563" s="84" t="str">
        <x:f>PROPER(TRIM('Raw Sales'!M1563))</x:f>
        <x:v>Credit Card</x:v>
      </x:c>
      <x:c r="AB1563" s="84" t="str">
        <x:f>PROPER(TRIM('Raw Sales'!N1563))</x:f>
        <x:v>Sofia Bennett</x:v>
      </x:c>
      <x:c r="AC1563" s="85" t="n">
        <x:f>'Raw Sales'!O1563</x:f>
        <x:v>45810</x:v>
      </x:c>
      <x:c r="AD1563" s="84" t="n">
        <x:f>AC1563-B1563</x:f>
        <x:v>0</x:v>
      </x:c>
      <x:c r="AE1563" s="84" t="str">
        <x:f>IF(COUNTIF($A$5:A1563,A1563)&gt;1,"Duplicate","Keep")</x:f>
        <x:v>Keep</x:v>
      </x:c>
      <x:c r="AF1563" s="84" t="str">
        <x:f>IF(OR(R1563&lt;=0,AC1563&lt;B1563,H1563="Unknown",M1563="Unknown Product"),"Review","Valid")</x:f>
        <x:v>Valid</x:v>
      </x:c>
      <x:c r="AG1563" s="84" t="n">
        <x:f>IF(AND(AE1563="Keep",AF1563="Valid"),1,0)</x:f>
        <x:v>1</x:v>
      </x:c>
      <x:c r="AH1563" s="84" t="n">
        <x:f>IF(AND(AG1563=1,OR('Dashboard'!$B$4="All",I1563='Dashboard'!$B$4),OR('Dashboard'!$E$4="All",N1563='Dashboard'!$E$4),OR('Dashboard'!$H$4="All",K1563='Dashboard'!$H$4),OR('Dashboard'!$K$4="All",C1563='Dashboard'!$K$4)),1,0)</x:f>
        <x:v>1</x:v>
      </x:c>
      <x:c r="AI1563" s="84" t="n">
        <x:f>IF(AND(AG1563=1,OR('Dashboard'!$B$4="All",I1563='Dashboard'!$B$4),OR('Dashboard'!$E$4="All",N1563='Dashboard'!$E$4),OR('Dashboard'!$H$4="All",K1563='Dashboard'!$H$4)),1,0)</x:f>
        <x:v>1</x:v>
      </x:c>
    </x:row>
    <x:row r="1564">
      <x:c r="A1564" s="84" t="str">
        <x:f>'Raw Sales'!A1564</x:f>
        <x:v>ORD-2025-01511</x:v>
      </x:c>
      <x:c r="B1564" s="85" t="n">
        <x:f>'Raw Sales'!B1564</x:f>
        <x:v>45810</x:v>
      </x:c>
      <x:c r="C1564" s="84" t="n">
        <x:f>YEAR(B1564)</x:f>
        <x:v>2025</x:v>
      </x:c>
      <x:c r="D1564" s="91" t="n">
        <x:f>DATE(YEAR(B1564),MONTH(B1564),1)</x:f>
        <x:v>45809</x:v>
      </x:c>
      <x:c r="E1564" s="84" t="str">
        <x:f>TEXT(B1564,"mmm")</x:f>
        <x:v>Jun</x:v>
      </x:c>
      <x:c r="F1564" s="84" t="str">
        <x:f>'Raw Sales'!C1564</x:f>
        <x:v>CUST-0637</x:v>
      </x:c>
      <x:c r="G1564" s="84" t="str">
        <x:f>PROPER(TRIM('Raw Sales'!D1564))</x:f>
        <x:v>Amelia Adams</x:v>
      </x:c>
      <x:c r="H1564" s="84" t="str">
        <x:f>IF(TRIM('Raw Sales'!E1564)="","Unknown",PROPER(TRIM('Raw Sales'!E1564)))</x:f>
        <x:v>Consumer</x:v>
      </x:c>
      <x:c r="I1564" s="84" t="str">
        <x:f>PROPER(TRIM('Raw Sales'!F1564))</x:f>
        <x:v>Northeast</x:v>
      </x:c>
      <x:c r="J1564" s="84" t="str">
        <x:f>PROPER(TRIM('Raw Sales'!G1564))</x:f>
        <x:v>New York</x:v>
      </x:c>
      <x:c r="K1564" s="84" t="str">
        <x:f>PROPER(TRIM('Raw Sales'!H1564))</x:f>
        <x:v>Online</x:v>
      </x:c>
      <x:c r="L1564" s="84" t="str">
        <x:f>'Raw Sales'!I1564</x:f>
        <x:v>ACCS-003</x:v>
      </x:c>
      <x:c r="M1564" s="84" t="str">
        <x:f>IFERROR(VLOOKUP(L1564,'Reference Data'!$A$5:$F$40,2,FALSE),"Unknown Product")</x:f>
        <x:v>Polarized Sunglasses</x:v>
      </x:c>
      <x:c r="N1564" s="84" t="str">
        <x:f>IFERROR(VLOOKUP(L1564,'Reference Data'!$A$5:$F$40,3,FALSE),"Unknown")</x:f>
        <x:v>Accessories</x:v>
      </x:c>
      <x:c r="O1564" s="84" t="str">
        <x:f>IFERROR(VLOOKUP(L1564,'Reference Data'!$A$5:$F$40,4,FALSE),"Unknown")</x:f>
        <x:v>Eyewear</x:v>
      </x:c>
      <x:c r="P1564" s="92" t="n">
        <x:f>IFERROR(VLOOKUP(L1564,'Reference Data'!$A$5:$F$40,5,FALSE),0)</x:f>
        <x:v>59</x:v>
      </x:c>
      <x:c r="Q1564" s="92" t="n">
        <x:f>IFERROR(VLOOKUP(L1564,'Reference Data'!$A$5:$F$40,6,FALSE),0)</x:f>
        <x:v>17</x:v>
      </x:c>
      <x:c r="R1564" s="84" t="n">
        <x:f>'Raw Sales'!J1564</x:f>
        <x:v>3</x:v>
      </x:c>
      <x:c r="S1564" s="87" t="n">
        <x:f>'Raw Sales'!K1564</x:f>
        <x:v>0</x:v>
      </x:c>
      <x:c r="T1564" s="93" t="n">
        <x:f>P1564*R1564</x:f>
        <x:v>177</x:v>
      </x:c>
      <x:c r="U1564" s="93" t="n">
        <x:f>T1564*S1564</x:f>
        <x:v>0</x:v>
      </x:c>
      <x:c r="V1564" s="93" t="str">
        <x:f>PROPER(TRIM('Raw Sales'!L1564))</x:f>
        <x:v>Completed</x:v>
      </x:c>
      <x:c r="W1564" s="93" t="n">
        <x:f>IF(V1564="Returned",0,T1564-U1564)</x:f>
        <x:v>177</x:v>
      </x:c>
      <x:c r="X1564" s="93" t="n">
        <x:f>IF(V1564="Returned",Q1564*R1564*10%,Q1564*R1564)</x:f>
        <x:v>51</x:v>
      </x:c>
      <x:c r="Y1564" s="93" t="n">
        <x:f>W1564-X1564</x:f>
        <x:v>126</x:v>
      </x:c>
      <x:c r="Z1564" s="94" t="n">
        <x:f>IFERROR(Y1564/W1564,0)</x:f>
        <x:v>0.711864406779661</x:v>
      </x:c>
      <x:c r="AA1564" s="84" t="str">
        <x:f>PROPER(TRIM('Raw Sales'!M1564))</x:f>
        <x:v>Debit Card</x:v>
      </x:c>
      <x:c r="AB1564" s="84" t="str">
        <x:f>PROPER(TRIM('Raw Sales'!N1564))</x:f>
        <x:v>Sofia Bennett</x:v>
      </x:c>
      <x:c r="AC1564" s="85" t="n">
        <x:f>'Raw Sales'!O1564</x:f>
        <x:v>45814</x:v>
      </x:c>
      <x:c r="AD1564" s="84" t="n">
        <x:f>AC1564-B1564</x:f>
        <x:v>4</x:v>
      </x:c>
      <x:c r="AE1564" s="84" t="str">
        <x:f>IF(COUNTIF($A$5:A1564,A1564)&gt;1,"Duplicate","Keep")</x:f>
        <x:v>Keep</x:v>
      </x:c>
      <x:c r="AF1564" s="84" t="str">
        <x:f>IF(OR(R1564&lt;=0,AC1564&lt;B1564,H1564="Unknown",M1564="Unknown Product"),"Review","Valid")</x:f>
        <x:v>Valid</x:v>
      </x:c>
      <x:c r="AG1564" s="84" t="n">
        <x:f>IF(AND(AE1564="Keep",AF1564="Valid"),1,0)</x:f>
        <x:v>1</x:v>
      </x:c>
      <x:c r="AH1564" s="84" t="n">
        <x:f>IF(AND(AG1564=1,OR('Dashboard'!$B$4="All",I1564='Dashboard'!$B$4),OR('Dashboard'!$E$4="All",N1564='Dashboard'!$E$4),OR('Dashboard'!$H$4="All",K1564='Dashboard'!$H$4),OR('Dashboard'!$K$4="All",C1564='Dashboard'!$K$4)),1,0)</x:f>
        <x:v>1</x:v>
      </x:c>
      <x:c r="AI1564" s="84" t="n">
        <x:f>IF(AND(AG1564=1,OR('Dashboard'!$B$4="All",I1564='Dashboard'!$B$4),OR('Dashboard'!$E$4="All",N1564='Dashboard'!$E$4),OR('Dashboard'!$H$4="All",K1564='Dashboard'!$H$4)),1,0)</x:f>
        <x:v>1</x:v>
      </x:c>
    </x:row>
    <x:row r="1565">
      <x:c r="A1565" s="84" t="str">
        <x:f>'Raw Sales'!A1565</x:f>
        <x:v>ORD-2025-01612</x:v>
      </x:c>
      <x:c r="B1565" s="85" t="n">
        <x:f>'Raw Sales'!B1565</x:f>
        <x:v>45810</x:v>
      </x:c>
      <x:c r="C1565" s="84" t="n">
        <x:f>YEAR(B1565)</x:f>
        <x:v>2025</x:v>
      </x:c>
      <x:c r="D1565" s="91" t="n">
        <x:f>DATE(YEAR(B1565),MONTH(B1565),1)</x:f>
        <x:v>45809</x:v>
      </x:c>
      <x:c r="E1565" s="84" t="str">
        <x:f>TEXT(B1565,"mmm")</x:f>
        <x:v>Jun</x:v>
      </x:c>
      <x:c r="F1565" s="84" t="str">
        <x:f>'Raw Sales'!C1565</x:f>
        <x:v>CUST-0436</x:v>
      </x:c>
      <x:c r="G1565" s="84" t="str">
        <x:f>PROPER(TRIM('Raw Sales'!D1565))</x:f>
        <x:v>Nathan Hall</x:v>
      </x:c>
      <x:c r="H1565" s="84" t="str">
        <x:f>IF(TRIM('Raw Sales'!E1565)="","Unknown",PROPER(TRIM('Raw Sales'!E1565)))</x:f>
        <x:v>Consumer</x:v>
      </x:c>
      <x:c r="I1565" s="84" t="str">
        <x:f>PROPER(TRIM('Raw Sales'!F1565))</x:f>
        <x:v>West</x:v>
      </x:c>
      <x:c r="J1565" s="84" t="str">
        <x:f>PROPER(TRIM('Raw Sales'!G1565))</x:f>
        <x:v>Phoenix</x:v>
      </x:c>
      <x:c r="K1565" s="84" t="str">
        <x:f>PROPER(TRIM('Raw Sales'!H1565))</x:f>
        <x:v>Retail Store</x:v>
      </x:c>
      <x:c r="L1565" s="84" t="str">
        <x:f>'Raw Sales'!I1565</x:f>
        <x:v>HOME-002</x:v>
      </x:c>
      <x:c r="M1565" s="84" t="str">
        <x:f>IFERROR(VLOOKUP(L1565,'Reference Data'!$A$5:$F$40,2,FALSE),"Unknown Product")</x:f>
        <x:v>Electric Kettle</x:v>
      </x:c>
      <x:c r="N1565" s="84" t="str">
        <x:f>IFERROR(VLOOKUP(L1565,'Reference Data'!$A$5:$F$40,3,FALSE),"Unknown")</x:f>
        <x:v>Home &amp; Kitchen</x:v>
      </x:c>
      <x:c r="O1565" s="84" t="str">
        <x:f>IFERROR(VLOOKUP(L1565,'Reference Data'!$A$5:$F$40,4,FALSE),"Unknown")</x:f>
        <x:v>Small Appliances</x:v>
      </x:c>
      <x:c r="P1565" s="92" t="n">
        <x:f>IFERROR(VLOOKUP(L1565,'Reference Data'!$A$5:$F$40,5,FALSE),0)</x:f>
        <x:v>49</x:v>
      </x:c>
      <x:c r="Q1565" s="92" t="n">
        <x:f>IFERROR(VLOOKUP(L1565,'Reference Data'!$A$5:$F$40,6,FALSE),0)</x:f>
        <x:v>23</x:v>
      </x:c>
      <x:c r="R1565" s="84" t="n">
        <x:f>'Raw Sales'!J1565</x:f>
        <x:v>3</x:v>
      </x:c>
      <x:c r="S1565" s="87" t="n">
        <x:f>'Raw Sales'!K1565</x:f>
        <x:v>0</x:v>
      </x:c>
      <x:c r="T1565" s="93" t="n">
        <x:f>P1565*R1565</x:f>
        <x:v>147</x:v>
      </x:c>
      <x:c r="U1565" s="93" t="n">
        <x:f>T1565*S1565</x:f>
        <x:v>0</x:v>
      </x:c>
      <x:c r="V1565" s="93" t="str">
        <x:f>PROPER(TRIM('Raw Sales'!L1565))</x:f>
        <x:v>Completed</x:v>
      </x:c>
      <x:c r="W1565" s="93" t="n">
        <x:f>IF(V1565="Returned",0,T1565-U1565)</x:f>
        <x:v>147</x:v>
      </x:c>
      <x:c r="X1565" s="93" t="n">
        <x:f>IF(V1565="Returned",Q1565*R1565*10%,Q1565*R1565)</x:f>
        <x:v>69</x:v>
      </x:c>
      <x:c r="Y1565" s="93" t="n">
        <x:f>W1565-X1565</x:f>
        <x:v>78</x:v>
      </x:c>
      <x:c r="Z1565" s="94" t="n">
        <x:f>IFERROR(Y1565/W1565,0)</x:f>
        <x:v>0.5306122448979592</x:v>
      </x:c>
      <x:c r="AA1565" s="84" t="str">
        <x:f>PROPER(TRIM('Raw Sales'!M1565))</x:f>
        <x:v>Cash</x:v>
      </x:c>
      <x:c r="AB1565" s="84" t="str">
        <x:f>PROPER(TRIM('Raw Sales'!N1565))</x:f>
        <x:v>Nora Kim</x:v>
      </x:c>
      <x:c r="AC1565" s="85" t="n">
        <x:f>'Raw Sales'!O1565</x:f>
        <x:v>45810</x:v>
      </x:c>
      <x:c r="AD1565" s="84" t="n">
        <x:f>AC1565-B1565</x:f>
        <x:v>0</x:v>
      </x:c>
      <x:c r="AE1565" s="84" t="str">
        <x:f>IF(COUNTIF($A$5:A1565,A1565)&gt;1,"Duplicate","Keep")</x:f>
        <x:v>Keep</x:v>
      </x:c>
      <x:c r="AF1565" s="84" t="str">
        <x:f>IF(OR(R1565&lt;=0,AC1565&lt;B1565,H1565="Unknown",M1565="Unknown Product"),"Review","Valid")</x:f>
        <x:v>Valid</x:v>
      </x:c>
      <x:c r="AG1565" s="84" t="n">
        <x:f>IF(AND(AE1565="Keep",AF1565="Valid"),1,0)</x:f>
        <x:v>1</x:v>
      </x:c>
      <x:c r="AH1565" s="84" t="n">
        <x:f>IF(AND(AG1565=1,OR('Dashboard'!$B$4="All",I1565='Dashboard'!$B$4),OR('Dashboard'!$E$4="All",N1565='Dashboard'!$E$4),OR('Dashboard'!$H$4="All",K1565='Dashboard'!$H$4),OR('Dashboard'!$K$4="All",C1565='Dashboard'!$K$4)),1,0)</x:f>
        <x:v>1</x:v>
      </x:c>
      <x:c r="AI1565" s="84" t="n">
        <x:f>IF(AND(AG1565=1,OR('Dashboard'!$B$4="All",I1565='Dashboard'!$B$4),OR('Dashboard'!$E$4="All",N1565='Dashboard'!$E$4),OR('Dashboard'!$H$4="All",K1565='Dashboard'!$H$4)),1,0)</x:f>
        <x:v>1</x:v>
      </x:c>
    </x:row>
    <x:row r="1566">
      <x:c r="A1566" s="84" t="str">
        <x:f>'Raw Sales'!A1566</x:f>
        <x:v>ORD-2025-01765</x:v>
      </x:c>
      <x:c r="B1566" s="85" t="n">
        <x:f>'Raw Sales'!B1566</x:f>
        <x:v>45810</x:v>
      </x:c>
      <x:c r="C1566" s="84" t="n">
        <x:f>YEAR(B1566)</x:f>
        <x:v>2025</x:v>
      </x:c>
      <x:c r="D1566" s="91" t="n">
        <x:f>DATE(YEAR(B1566),MONTH(B1566),1)</x:f>
        <x:v>45809</x:v>
      </x:c>
      <x:c r="E1566" s="84" t="str">
        <x:f>TEXT(B1566,"mmm")</x:f>
        <x:v>Jun</x:v>
      </x:c>
      <x:c r="F1566" s="84" t="str">
        <x:f>'Raw Sales'!C1566</x:f>
        <x:v>CUST-0563</x:v>
      </x:c>
      <x:c r="G1566" s="84" t="str">
        <x:f>PROPER(TRIM('Raw Sales'!D1566))</x:f>
        <x:v>Amelia Adams</x:v>
      </x:c>
      <x:c r="H1566" s="84" t="str">
        <x:f>IF(TRIM('Raw Sales'!E1566)="","Unknown",PROPER(TRIM('Raw Sales'!E1566)))</x:f>
        <x:v>Consumer</x:v>
      </x:c>
      <x:c r="I1566" s="84" t="str">
        <x:f>PROPER(TRIM('Raw Sales'!F1566))</x:f>
        <x:v>Southeast</x:v>
      </x:c>
      <x:c r="J1566" s="84" t="str">
        <x:f>PROPER(TRIM('Raw Sales'!G1566))</x:f>
        <x:v>Charlotte</x:v>
      </x:c>
      <x:c r="K1566" s="84" t="str">
        <x:f>PROPER(TRIM('Raw Sales'!H1566))</x:f>
        <x:v>Online</x:v>
      </x:c>
      <x:c r="L1566" s="84" t="str">
        <x:f>'Raw Sales'!I1566</x:f>
        <x:v>ACCS-002</x:v>
      </x:c>
      <x:c r="M1566" s="84" t="str">
        <x:f>IFERROR(VLOOKUP(L1566,'Reference Data'!$A$5:$F$40,2,FALSE),"Unknown Product")</x:f>
        <x:v>Travel Backpack</x:v>
      </x:c>
      <x:c r="N1566" s="84" t="str">
        <x:f>IFERROR(VLOOKUP(L1566,'Reference Data'!$A$5:$F$40,3,FALSE),"Unknown")</x:f>
        <x:v>Accessories</x:v>
      </x:c>
      <x:c r="O1566" s="84" t="str">
        <x:f>IFERROR(VLOOKUP(L1566,'Reference Data'!$A$5:$F$40,4,FALSE),"Unknown")</x:f>
        <x:v>Bags</x:v>
      </x:c>
      <x:c r="P1566" s="92" t="n">
        <x:f>IFERROR(VLOOKUP(L1566,'Reference Data'!$A$5:$F$40,5,FALSE),0)</x:f>
        <x:v>89</x:v>
      </x:c>
      <x:c r="Q1566" s="92" t="n">
        <x:f>IFERROR(VLOOKUP(L1566,'Reference Data'!$A$5:$F$40,6,FALSE),0)</x:f>
        <x:v>36</x:v>
      </x:c>
      <x:c r="R1566" s="84" t="n">
        <x:f>'Raw Sales'!J1566</x:f>
        <x:v>1</x:v>
      </x:c>
      <x:c r="S1566" s="87" t="n">
        <x:f>'Raw Sales'!K1566</x:f>
        <x:v>0.05</x:v>
      </x:c>
      <x:c r="T1566" s="93" t="n">
        <x:f>P1566*R1566</x:f>
        <x:v>89</x:v>
      </x:c>
      <x:c r="U1566" s="93" t="n">
        <x:f>T1566*S1566</x:f>
        <x:v>4.45</x:v>
      </x:c>
      <x:c r="V1566" s="93" t="str">
        <x:f>PROPER(TRIM('Raw Sales'!L1566))</x:f>
        <x:v>Completed</x:v>
      </x:c>
      <x:c r="W1566" s="93" t="n">
        <x:f>IF(V1566="Returned",0,T1566-U1566)</x:f>
        <x:v>84.55</x:v>
      </x:c>
      <x:c r="X1566" s="93" t="n">
        <x:f>IF(V1566="Returned",Q1566*R1566*10%,Q1566*R1566)</x:f>
        <x:v>36</x:v>
      </x:c>
      <x:c r="Y1566" s="93" t="n">
        <x:f>W1566-X1566</x:f>
        <x:v>48.55</x:v>
      </x:c>
      <x:c r="Z1566" s="94" t="n">
        <x:f>IFERROR(Y1566/W1566,0)</x:f>
        <x:v>0.5742164399763453</x:v>
      </x:c>
      <x:c r="AA1566" s="84" t="str">
        <x:f>PROPER(TRIM('Raw Sales'!M1566))</x:f>
        <x:v>Debit Card</x:v>
      </x:c>
      <x:c r="AB1566" s="84" t="str">
        <x:f>PROPER(TRIM('Raw Sales'!N1566))</x:f>
        <x:v>Ava Mitchell</x:v>
      </x:c>
      <x:c r="AC1566" s="85" t="n">
        <x:f>'Raw Sales'!O1566</x:f>
        <x:v>45816</x:v>
      </x:c>
      <x:c r="AD1566" s="84" t="n">
        <x:f>AC1566-B1566</x:f>
        <x:v>6</x:v>
      </x:c>
      <x:c r="AE1566" s="84" t="str">
        <x:f>IF(COUNTIF($A$5:A1566,A1566)&gt;1,"Duplicate","Keep")</x:f>
        <x:v>Keep</x:v>
      </x:c>
      <x:c r="AF1566" s="84" t="str">
        <x:f>IF(OR(R1566&lt;=0,AC1566&lt;B1566,H1566="Unknown",M1566="Unknown Product"),"Review","Valid")</x:f>
        <x:v>Valid</x:v>
      </x:c>
      <x:c r="AG1566" s="84" t="n">
        <x:f>IF(AND(AE1566="Keep",AF1566="Valid"),1,0)</x:f>
        <x:v>1</x:v>
      </x:c>
      <x:c r="AH1566" s="84" t="n">
        <x:f>IF(AND(AG1566=1,OR('Dashboard'!$B$4="All",I1566='Dashboard'!$B$4),OR('Dashboard'!$E$4="All",N1566='Dashboard'!$E$4),OR('Dashboard'!$H$4="All",K1566='Dashboard'!$H$4),OR('Dashboard'!$K$4="All",C1566='Dashboard'!$K$4)),1,0)</x:f>
        <x:v>1</x:v>
      </x:c>
      <x:c r="AI1566" s="84" t="n">
        <x:f>IF(AND(AG1566=1,OR('Dashboard'!$B$4="All",I1566='Dashboard'!$B$4),OR('Dashboard'!$E$4="All",N1566='Dashboard'!$E$4),OR('Dashboard'!$H$4="All",K1566='Dashboard'!$H$4)),1,0)</x:f>
        <x:v>1</x:v>
      </x:c>
    </x:row>
    <x:row r="1567">
      <x:c r="A1567" s="84" t="str">
        <x:f>'Raw Sales'!A1567</x:f>
        <x:v>ORD-2025-00032</x:v>
      </x:c>
      <x:c r="B1567" s="85" t="n">
        <x:f>'Raw Sales'!B1567</x:f>
        <x:v>45811</x:v>
      </x:c>
      <x:c r="C1567" s="84" t="n">
        <x:f>YEAR(B1567)</x:f>
        <x:v>2025</x:v>
      </x:c>
      <x:c r="D1567" s="91" t="n">
        <x:f>DATE(YEAR(B1567),MONTH(B1567),1)</x:f>
        <x:v>45809</x:v>
      </x:c>
      <x:c r="E1567" s="84" t="str">
        <x:f>TEXT(B1567,"mmm")</x:f>
        <x:v>Jun</x:v>
      </x:c>
      <x:c r="F1567" s="84" t="str">
        <x:f>'Raw Sales'!C1567</x:f>
        <x:v>CUST-0227</x:v>
      </x:c>
      <x:c r="G1567" s="84" t="str">
        <x:f>PROPER(TRIM('Raw Sales'!D1567))</x:f>
        <x:v>Maya Foster</x:v>
      </x:c>
      <x:c r="H1567" s="84" t="str">
        <x:f>IF(TRIM('Raw Sales'!E1567)="","Unknown",PROPER(TRIM('Raw Sales'!E1567)))</x:f>
        <x:v>Consumer</x:v>
      </x:c>
      <x:c r="I1567" s="84" t="str">
        <x:f>PROPER(TRIM('Raw Sales'!F1567))</x:f>
        <x:v>West</x:v>
      </x:c>
      <x:c r="J1567" s="84" t="str">
        <x:f>PROPER(TRIM('Raw Sales'!G1567))</x:f>
        <x:v>Phoenix</x:v>
      </x:c>
      <x:c r="K1567" s="84" t="str">
        <x:f>PROPER(TRIM('Raw Sales'!H1567))</x:f>
        <x:v>Retail Store</x:v>
      </x:c>
      <x:c r="L1567" s="84" t="str">
        <x:f>'Raw Sales'!I1567</x:f>
        <x:v>OFFC-004</x:v>
      </x:c>
      <x:c r="M1567" s="84" t="str">
        <x:f>IFERROR(VLOOKUP(L1567,'Reference Data'!$A$5:$F$40,2,FALSE),"Unknown Product")</x:f>
        <x:v>Premium Notebook Pack</x:v>
      </x:c>
      <x:c r="N1567" s="84" t="str">
        <x:f>IFERROR(VLOOKUP(L1567,'Reference Data'!$A$5:$F$40,3,FALSE),"Unknown")</x:f>
        <x:v>Office</x:v>
      </x:c>
      <x:c r="O1567" s="84" t="str">
        <x:f>IFERROR(VLOOKUP(L1567,'Reference Data'!$A$5:$F$40,4,FALSE),"Unknown")</x:f>
        <x:v>Stationery</x:v>
      </x:c>
      <x:c r="P1567" s="92" t="n">
        <x:f>IFERROR(VLOOKUP(L1567,'Reference Data'!$A$5:$F$40,5,FALSE),0)</x:f>
        <x:v>18</x:v>
      </x:c>
      <x:c r="Q1567" s="92" t="n">
        <x:f>IFERROR(VLOOKUP(L1567,'Reference Data'!$A$5:$F$40,6,FALSE),0)</x:f>
        <x:v>6.5</x:v>
      </x:c>
      <x:c r="R1567" s="84" t="n">
        <x:f>'Raw Sales'!J1567</x:f>
        <x:v>1</x:v>
      </x:c>
      <x:c r="S1567" s="87" t="n">
        <x:f>'Raw Sales'!K1567</x:f>
        <x:v>0</x:v>
      </x:c>
      <x:c r="T1567" s="93" t="n">
        <x:f>P1567*R1567</x:f>
        <x:v>18</x:v>
      </x:c>
      <x:c r="U1567" s="93" t="n">
        <x:f>T1567*S1567</x:f>
        <x:v>0</x:v>
      </x:c>
      <x:c r="V1567" s="93" t="str">
        <x:f>PROPER(TRIM('Raw Sales'!L1567))</x:f>
        <x:v>Returned</x:v>
      </x:c>
      <x:c r="W1567" s="93" t="n">
        <x:f>IF(V1567="Returned",0,T1567-U1567)</x:f>
        <x:v>0</x:v>
      </x:c>
      <x:c r="X1567" s="93" t="n">
        <x:f>IF(V1567="Returned",Q1567*R1567*10%,Q1567*R1567)</x:f>
        <x:v>0.65</x:v>
      </x:c>
      <x:c r="Y1567" s="93" t="n">
        <x:f>W1567-X1567</x:f>
        <x:v>-0.65</x:v>
      </x:c>
      <x:c r="Z1567" s="94" t="n">
        <x:f>IFERROR(Y1567/W1567,0)</x:f>
        <x:v>0</x:v>
      </x:c>
      <x:c r="AA1567" s="84" t="str">
        <x:f>PROPER(TRIM('Raw Sales'!M1567))</x:f>
        <x:v>Debit Card</x:v>
      </x:c>
      <x:c r="AB1567" s="84" t="str">
        <x:f>PROPER(TRIM('Raw Sales'!N1567))</x:f>
        <x:v>Leo Martinez</x:v>
      </x:c>
      <x:c r="AC1567" s="85" t="n">
        <x:f>'Raw Sales'!O1567</x:f>
        <x:v>45811</x:v>
      </x:c>
      <x:c r="AD1567" s="84" t="n">
        <x:f>AC1567-B1567</x:f>
        <x:v>0</x:v>
      </x:c>
      <x:c r="AE1567" s="84" t="str">
        <x:f>IF(COUNTIF($A$5:A1567,A1567)&gt;1,"Duplicate","Keep")</x:f>
        <x:v>Keep</x:v>
      </x:c>
      <x:c r="AF1567" s="84" t="str">
        <x:f>IF(OR(R1567&lt;=0,AC1567&lt;B1567,H1567="Unknown",M1567="Unknown Product"),"Review","Valid")</x:f>
        <x:v>Valid</x:v>
      </x:c>
      <x:c r="AG1567" s="84" t="n">
        <x:f>IF(AND(AE1567="Keep",AF1567="Valid"),1,0)</x:f>
        <x:v>1</x:v>
      </x:c>
      <x:c r="AH1567" s="84" t="n">
        <x:f>IF(AND(AG1567=1,OR('Dashboard'!$B$4="All",I1567='Dashboard'!$B$4),OR('Dashboard'!$E$4="All",N1567='Dashboard'!$E$4),OR('Dashboard'!$H$4="All",K1567='Dashboard'!$H$4),OR('Dashboard'!$K$4="All",C1567='Dashboard'!$K$4)),1,0)</x:f>
        <x:v>1</x:v>
      </x:c>
      <x:c r="AI1567" s="84" t="n">
        <x:f>IF(AND(AG1567=1,OR('Dashboard'!$B$4="All",I1567='Dashboard'!$B$4),OR('Dashboard'!$E$4="All",N1567='Dashboard'!$E$4),OR('Dashboard'!$H$4="All",K1567='Dashboard'!$H$4)),1,0)</x:f>
        <x:v>1</x:v>
      </x:c>
    </x:row>
    <x:row r="1568">
      <x:c r="A1568" s="84" t="str">
        <x:f>'Raw Sales'!A1568</x:f>
        <x:v>ORD-2025-00198</x:v>
      </x:c>
      <x:c r="B1568" s="85" t="n">
        <x:f>'Raw Sales'!B1568</x:f>
        <x:v>45811</x:v>
      </x:c>
      <x:c r="C1568" s="84" t="n">
        <x:f>YEAR(B1568)</x:f>
        <x:v>2025</x:v>
      </x:c>
      <x:c r="D1568" s="91" t="n">
        <x:f>DATE(YEAR(B1568),MONTH(B1568),1)</x:f>
        <x:v>45809</x:v>
      </x:c>
      <x:c r="E1568" s="84" t="str">
        <x:f>TEXT(B1568,"mmm")</x:f>
        <x:v>Jun</x:v>
      </x:c>
      <x:c r="F1568" s="84" t="str">
        <x:f>'Raw Sales'!C1568</x:f>
        <x:v>CUST-0001</x:v>
      </x:c>
      <x:c r="G1568" s="84" t="str">
        <x:f>PROPER(TRIM('Raw Sales'!D1568))</x:f>
        <x:v>Elena Walker</x:v>
      </x:c>
      <x:c r="H1568" s="84" t="str">
        <x:f>IF(TRIM('Raw Sales'!E1568)="","Unknown",PROPER(TRIM('Raw Sales'!E1568)))</x:f>
        <x:v>Corporate</x:v>
      </x:c>
      <x:c r="I1568" s="84" t="str">
        <x:f>PROPER(TRIM('Raw Sales'!F1568))</x:f>
        <x:v>Southeast</x:v>
      </x:c>
      <x:c r="J1568" s="84" t="str">
        <x:f>PROPER(TRIM('Raw Sales'!G1568))</x:f>
        <x:v>Miami</x:v>
      </x:c>
      <x:c r="K1568" s="84" t="str">
        <x:f>PROPER(TRIM('Raw Sales'!H1568))</x:f>
        <x:v>Marketplace</x:v>
      </x:c>
      <x:c r="L1568" s="84" t="str">
        <x:f>'Raw Sales'!I1568</x:f>
        <x:v>HOME-005</x:v>
      </x:c>
      <x:c r="M1568" s="84" t="str">
        <x:f>IFERROR(VLOOKUP(L1568,'Reference Data'!$A$5:$F$40,2,FALSE),"Unknown Product")</x:f>
        <x:v>Cordless Vacuum</x:v>
      </x:c>
      <x:c r="N1568" s="84" t="str">
        <x:f>IFERROR(VLOOKUP(L1568,'Reference Data'!$A$5:$F$40,3,FALSE),"Unknown")</x:f>
        <x:v>Home &amp; Kitchen</x:v>
      </x:c>
      <x:c r="O1568" s="84" t="str">
        <x:f>IFERROR(VLOOKUP(L1568,'Reference Data'!$A$5:$F$40,4,FALSE),"Unknown")</x:f>
        <x:v>Cleaning</x:v>
      </x:c>
      <x:c r="P1568" s="92" t="n">
        <x:f>IFERROR(VLOOKUP(L1568,'Reference Data'!$A$5:$F$40,5,FALSE),0)</x:f>
        <x:v>179</x:v>
      </x:c>
      <x:c r="Q1568" s="92" t="n">
        <x:f>IFERROR(VLOOKUP(L1568,'Reference Data'!$A$5:$F$40,6,FALSE),0)</x:f>
        <x:v>102</x:v>
      </x:c>
      <x:c r="R1568" s="84" t="n">
        <x:f>'Raw Sales'!J1568</x:f>
        <x:v>3</x:v>
      </x:c>
      <x:c r="S1568" s="87" t="n">
        <x:f>'Raw Sales'!K1568</x:f>
        <x:v>0.2</x:v>
      </x:c>
      <x:c r="T1568" s="93" t="n">
        <x:f>P1568*R1568</x:f>
        <x:v>537</x:v>
      </x:c>
      <x:c r="U1568" s="93" t="n">
        <x:f>T1568*S1568</x:f>
        <x:v>107.4</x:v>
      </x:c>
      <x:c r="V1568" s="93" t="str">
        <x:f>PROPER(TRIM('Raw Sales'!L1568))</x:f>
        <x:v>Completed</x:v>
      </x:c>
      <x:c r="W1568" s="93" t="n">
        <x:f>IF(V1568="Returned",0,T1568-U1568)</x:f>
        <x:v>429.6</x:v>
      </x:c>
      <x:c r="X1568" s="93" t="n">
        <x:f>IF(V1568="Returned",Q1568*R1568*10%,Q1568*R1568)</x:f>
        <x:v>306</x:v>
      </x:c>
      <x:c r="Y1568" s="93" t="n">
        <x:f>W1568-X1568</x:f>
        <x:v>123.60000000000002</x:v>
      </x:c>
      <x:c r="Z1568" s="94" t="n">
        <x:f>IFERROR(Y1568/W1568,0)</x:f>
        <x:v>0.28770949720670397</x:v>
      </x:c>
      <x:c r="AA1568" s="84" t="str">
        <x:f>PROPER(TRIM('Raw Sales'!M1568))</x:f>
        <x:v>Paypal</x:v>
      </x:c>
      <x:c r="AB1568" s="84" t="str">
        <x:f>PROPER(TRIM('Raw Sales'!N1568))</x:f>
        <x:v>Liam Parker</x:v>
      </x:c>
      <x:c r="AC1568" s="85" t="n">
        <x:f>'Raw Sales'!O1568</x:f>
        <x:v>45814</x:v>
      </x:c>
      <x:c r="AD1568" s="84" t="n">
        <x:f>AC1568-B1568</x:f>
        <x:v>3</x:v>
      </x:c>
      <x:c r="AE1568" s="84" t="str">
        <x:f>IF(COUNTIF($A$5:A1568,A1568)&gt;1,"Duplicate","Keep")</x:f>
        <x:v>Keep</x:v>
      </x:c>
      <x:c r="AF1568" s="84" t="str">
        <x:f>IF(OR(R1568&lt;=0,AC1568&lt;B1568,H1568="Unknown",M1568="Unknown Product"),"Review","Valid")</x:f>
        <x:v>Valid</x:v>
      </x:c>
      <x:c r="AG1568" s="84" t="n">
        <x:f>IF(AND(AE1568="Keep",AF1568="Valid"),1,0)</x:f>
        <x:v>1</x:v>
      </x:c>
      <x:c r="AH1568" s="84" t="n">
        <x:f>IF(AND(AG1568=1,OR('Dashboard'!$B$4="All",I1568='Dashboard'!$B$4),OR('Dashboard'!$E$4="All",N1568='Dashboard'!$E$4),OR('Dashboard'!$H$4="All",K1568='Dashboard'!$H$4),OR('Dashboard'!$K$4="All",C1568='Dashboard'!$K$4)),1,0)</x:f>
        <x:v>1</x:v>
      </x:c>
      <x:c r="AI1568" s="84" t="n">
        <x:f>IF(AND(AG1568=1,OR('Dashboard'!$B$4="All",I1568='Dashboard'!$B$4),OR('Dashboard'!$E$4="All",N1568='Dashboard'!$E$4),OR('Dashboard'!$H$4="All",K1568='Dashboard'!$H$4)),1,0)</x:f>
        <x:v>1</x:v>
      </x:c>
    </x:row>
    <x:row r="1569">
      <x:c r="A1569" s="84" t="str">
        <x:f>'Raw Sales'!A1569</x:f>
        <x:v>ORD-2025-00255</x:v>
      </x:c>
      <x:c r="B1569" s="85" t="n">
        <x:f>'Raw Sales'!B1569</x:f>
        <x:v>45811</x:v>
      </x:c>
      <x:c r="C1569" s="84" t="n">
        <x:f>YEAR(B1569)</x:f>
        <x:v>2025</x:v>
      </x:c>
      <x:c r="D1569" s="91" t="n">
        <x:f>DATE(YEAR(B1569),MONTH(B1569),1)</x:f>
        <x:v>45809</x:v>
      </x:c>
      <x:c r="E1569" s="84" t="str">
        <x:f>TEXT(B1569,"mmm")</x:f>
        <x:v>Jun</x:v>
      </x:c>
      <x:c r="F1569" s="84" t="str">
        <x:f>'Raw Sales'!C1569</x:f>
        <x:v>CUST-0588</x:v>
      </x:c>
      <x:c r="G1569" s="84" t="str">
        <x:f>PROPER(TRIM('Raw Sales'!D1569))</x:f>
        <x:v>Nathan Johnson</x:v>
      </x:c>
      <x:c r="H1569" s="84" t="str">
        <x:f>IF(TRIM('Raw Sales'!E1569)="","Unknown",PROPER(TRIM('Raw Sales'!E1569)))</x:f>
        <x:v>Consumer</x:v>
      </x:c>
      <x:c r="I1569" s="84" t="str">
        <x:f>PROPER(TRIM('Raw Sales'!F1569))</x:f>
        <x:v>Midwest</x:v>
      </x:c>
      <x:c r="J1569" s="84" t="str">
        <x:f>PROPER(TRIM('Raw Sales'!G1569))</x:f>
        <x:v>Detroit</x:v>
      </x:c>
      <x:c r="K1569" s="84" t="str">
        <x:f>PROPER(TRIM('Raw Sales'!H1569))</x:f>
        <x:v>Marketplace</x:v>
      </x:c>
      <x:c r="L1569" s="84" t="str">
        <x:f>'Raw Sales'!I1569</x:f>
        <x:v>ELEC-002</x:v>
      </x:c>
      <x:c r="M1569" s="84" t="str">
        <x:f>IFERROR(VLOOKUP(L1569,'Reference Data'!$A$5:$F$40,2,FALSE),"Unknown Product")</x:f>
        <x:v>Smartwatch</x:v>
      </x:c>
      <x:c r="N1569" s="84" t="str">
        <x:f>IFERROR(VLOOKUP(L1569,'Reference Data'!$A$5:$F$40,3,FALSE),"Unknown")</x:f>
        <x:v>Electronics</x:v>
      </x:c>
      <x:c r="O1569" s="84" t="str">
        <x:f>IFERROR(VLOOKUP(L1569,'Reference Data'!$A$5:$F$40,4,FALSE),"Unknown")</x:f>
        <x:v>Wearables</x:v>
      </x:c>
      <x:c r="P1569" s="92" t="n">
        <x:f>IFERROR(VLOOKUP(L1569,'Reference Data'!$A$5:$F$40,5,FALSE),0)</x:f>
        <x:v>159</x:v>
      </x:c>
      <x:c r="Q1569" s="92" t="n">
        <x:f>IFERROR(VLOOKUP(L1569,'Reference Data'!$A$5:$F$40,6,FALSE),0)</x:f>
        <x:v>92</x:v>
      </x:c>
      <x:c r="R1569" s="84" t="n">
        <x:f>'Raw Sales'!J1569</x:f>
        <x:v>2</x:v>
      </x:c>
      <x:c r="S1569" s="87" t="n">
        <x:f>'Raw Sales'!K1569</x:f>
        <x:v>0</x:v>
      </x:c>
      <x:c r="T1569" s="93" t="n">
        <x:f>P1569*R1569</x:f>
        <x:v>318</x:v>
      </x:c>
      <x:c r="U1569" s="93" t="n">
        <x:f>T1569*S1569</x:f>
        <x:v>0</x:v>
      </x:c>
      <x:c r="V1569" s="93" t="str">
        <x:f>PROPER(TRIM('Raw Sales'!L1569))</x:f>
        <x:v>Completed</x:v>
      </x:c>
      <x:c r="W1569" s="93" t="n">
        <x:f>IF(V1569="Returned",0,T1569-U1569)</x:f>
        <x:v>318</x:v>
      </x:c>
      <x:c r="X1569" s="93" t="n">
        <x:f>IF(V1569="Returned",Q1569*R1569*10%,Q1569*R1569)</x:f>
        <x:v>184</x:v>
      </x:c>
      <x:c r="Y1569" s="93" t="n">
        <x:f>W1569-X1569</x:f>
        <x:v>134</x:v>
      </x:c>
      <x:c r="Z1569" s="94" t="n">
        <x:f>IFERROR(Y1569/W1569,0)</x:f>
        <x:v>0.42138364779874216</x:v>
      </x:c>
      <x:c r="AA1569" s="84" t="str">
        <x:f>PROPER(TRIM('Raw Sales'!M1569))</x:f>
        <x:v>Credit Card</x:v>
      </x:c>
      <x:c r="AB1569" s="84" t="str">
        <x:f>PROPER(TRIM('Raw Sales'!N1569))</x:f>
        <x:v>Lucas Grant</x:v>
      </x:c>
      <x:c r="AC1569" s="85" t="n">
        <x:f>'Raw Sales'!O1569</x:f>
        <x:v>45815</x:v>
      </x:c>
      <x:c r="AD1569" s="84" t="n">
        <x:f>AC1569-B1569</x:f>
        <x:v>4</x:v>
      </x:c>
      <x:c r="AE1569" s="84" t="str">
        <x:f>IF(COUNTIF($A$5:A1569,A1569)&gt;1,"Duplicate","Keep")</x:f>
        <x:v>Keep</x:v>
      </x:c>
      <x:c r="AF1569" s="84" t="str">
        <x:f>IF(OR(R1569&lt;=0,AC1569&lt;B1569,H1569="Unknown",M1569="Unknown Product"),"Review","Valid")</x:f>
        <x:v>Valid</x:v>
      </x:c>
      <x:c r="AG1569" s="84" t="n">
        <x:f>IF(AND(AE1569="Keep",AF1569="Valid"),1,0)</x:f>
        <x:v>1</x:v>
      </x:c>
      <x:c r="AH1569" s="84" t="n">
        <x:f>IF(AND(AG1569=1,OR('Dashboard'!$B$4="All",I1569='Dashboard'!$B$4),OR('Dashboard'!$E$4="All",N1569='Dashboard'!$E$4),OR('Dashboard'!$H$4="All",K1569='Dashboard'!$H$4),OR('Dashboard'!$K$4="All",C1569='Dashboard'!$K$4)),1,0)</x:f>
        <x:v>1</x:v>
      </x:c>
      <x:c r="AI1569" s="84" t="n">
        <x:f>IF(AND(AG1569=1,OR('Dashboard'!$B$4="All",I1569='Dashboard'!$B$4),OR('Dashboard'!$E$4="All",N1569='Dashboard'!$E$4),OR('Dashboard'!$H$4="All",K1569='Dashboard'!$H$4)),1,0)</x:f>
        <x:v>1</x:v>
      </x:c>
    </x:row>
    <x:row r="1570">
      <x:c r="A1570" s="84" t="str">
        <x:f>'Raw Sales'!A1570</x:f>
        <x:v>ORD-2025-00358</x:v>
      </x:c>
      <x:c r="B1570" s="85" t="n">
        <x:f>'Raw Sales'!B1570</x:f>
        <x:v>45811</x:v>
      </x:c>
      <x:c r="C1570" s="84" t="n">
        <x:f>YEAR(B1570)</x:f>
        <x:v>2025</x:v>
      </x:c>
      <x:c r="D1570" s="91" t="n">
        <x:f>DATE(YEAR(B1570),MONTH(B1570),1)</x:f>
        <x:v>45809</x:v>
      </x:c>
      <x:c r="E1570" s="84" t="str">
        <x:f>TEXT(B1570,"mmm")</x:f>
        <x:v>Jun</x:v>
      </x:c>
      <x:c r="F1570" s="84" t="str">
        <x:f>'Raw Sales'!C1570</x:f>
        <x:v>CUST-0515</x:v>
      </x:c>
      <x:c r="G1570" s="84" t="str">
        <x:f>PROPER(TRIM('Raw Sales'!D1570))</x:f>
        <x:v>William Smith</x:v>
      </x:c>
      <x:c r="H1570" s="84" t="str">
        <x:f>IF(TRIM('Raw Sales'!E1570)="","Unknown",PROPER(TRIM('Raw Sales'!E1570)))</x:f>
        <x:v>Consumer</x:v>
      </x:c>
      <x:c r="I1570" s="84" t="str">
        <x:f>PROPER(TRIM('Raw Sales'!F1570))</x:f>
        <x:v>Midwest</x:v>
      </x:c>
      <x:c r="J1570" s="84" t="str">
        <x:f>PROPER(TRIM('Raw Sales'!G1570))</x:f>
        <x:v>Detroit</x:v>
      </x:c>
      <x:c r="K1570" s="84" t="str">
        <x:f>PROPER(TRIM('Raw Sales'!H1570))</x:f>
        <x:v>Marketplace</x:v>
      </x:c>
      <x:c r="L1570" s="84" t="str">
        <x:f>'Raw Sales'!I1570</x:f>
        <x:v>OFFC-003</x:v>
      </x:c>
      <x:c r="M1570" s="84" t="str">
        <x:f>IFERROR(VLOOKUP(L1570,'Reference Data'!$A$5:$F$40,2,FALSE),"Unknown Product")</x:f>
        <x:v>LED Desk Lamp</x:v>
      </x:c>
      <x:c r="N1570" s="84" t="str">
        <x:f>IFERROR(VLOOKUP(L1570,'Reference Data'!$A$5:$F$40,3,FALSE),"Unknown")</x:f>
        <x:v>Office</x:v>
      </x:c>
      <x:c r="O1570" s="84" t="str">
        <x:f>IFERROR(VLOOKUP(L1570,'Reference Data'!$A$5:$F$40,4,FALSE),"Unknown")</x:f>
        <x:v>Desk Accessories</x:v>
      </x:c>
      <x:c r="P1570" s="92" t="n">
        <x:f>IFERROR(VLOOKUP(L1570,'Reference Data'!$A$5:$F$40,5,FALSE),0)</x:f>
        <x:v>45</x:v>
      </x:c>
      <x:c r="Q1570" s="92" t="n">
        <x:f>IFERROR(VLOOKUP(L1570,'Reference Data'!$A$5:$F$40,6,FALSE),0)</x:f>
        <x:v>20</x:v>
      </x:c>
      <x:c r="R1570" s="84" t="n">
        <x:f>'Raw Sales'!J1570</x:f>
        <x:v>2</x:v>
      </x:c>
      <x:c r="S1570" s="87" t="n">
        <x:f>'Raw Sales'!K1570</x:f>
        <x:v>0</x:v>
      </x:c>
      <x:c r="T1570" s="93" t="n">
        <x:f>P1570*R1570</x:f>
        <x:v>90</x:v>
      </x:c>
      <x:c r="U1570" s="93" t="n">
        <x:f>T1570*S1570</x:f>
        <x:v>0</x:v>
      </x:c>
      <x:c r="V1570" s="93" t="str">
        <x:f>PROPER(TRIM('Raw Sales'!L1570))</x:f>
        <x:v>Completed</x:v>
      </x:c>
      <x:c r="W1570" s="93" t="n">
        <x:f>IF(V1570="Returned",0,T1570-U1570)</x:f>
        <x:v>90</x:v>
      </x:c>
      <x:c r="X1570" s="93" t="n">
        <x:f>IF(V1570="Returned",Q1570*R1570*10%,Q1570*R1570)</x:f>
        <x:v>40</x:v>
      </x:c>
      <x:c r="Y1570" s="93" t="n">
        <x:f>W1570-X1570</x:f>
        <x:v>50</x:v>
      </x:c>
      <x:c r="Z1570" s="94" t="n">
        <x:f>IFERROR(Y1570/W1570,0)</x:f>
        <x:v>0.5555555555555556</x:v>
      </x:c>
      <x:c r="AA1570" s="84" t="str">
        <x:f>PROPER(TRIM('Raw Sales'!M1570))</x:f>
        <x:v>Paypal</x:v>
      </x:c>
      <x:c r="AB1570" s="84" t="str">
        <x:f>PROPER(TRIM('Raw Sales'!N1570))</x:f>
        <x:v>Lucas Grant</x:v>
      </x:c>
      <x:c r="AC1570" s="85" t="n">
        <x:f>'Raw Sales'!O1570</x:f>
        <x:v>45816</x:v>
      </x:c>
      <x:c r="AD1570" s="84" t="n">
        <x:f>AC1570-B1570</x:f>
        <x:v>5</x:v>
      </x:c>
      <x:c r="AE1570" s="84" t="str">
        <x:f>IF(COUNTIF($A$5:A1570,A1570)&gt;1,"Duplicate","Keep")</x:f>
        <x:v>Keep</x:v>
      </x:c>
      <x:c r="AF1570" s="84" t="str">
        <x:f>IF(OR(R1570&lt;=0,AC1570&lt;B1570,H1570="Unknown",M1570="Unknown Product"),"Review","Valid")</x:f>
        <x:v>Valid</x:v>
      </x:c>
      <x:c r="AG1570" s="84" t="n">
        <x:f>IF(AND(AE1570="Keep",AF1570="Valid"),1,0)</x:f>
        <x:v>1</x:v>
      </x:c>
      <x:c r="AH1570" s="84" t="n">
        <x:f>IF(AND(AG1570=1,OR('Dashboard'!$B$4="All",I1570='Dashboard'!$B$4),OR('Dashboard'!$E$4="All",N1570='Dashboard'!$E$4),OR('Dashboard'!$H$4="All",K1570='Dashboard'!$H$4),OR('Dashboard'!$K$4="All",C1570='Dashboard'!$K$4)),1,0)</x:f>
        <x:v>1</x:v>
      </x:c>
      <x:c r="AI1570" s="84" t="n">
        <x:f>IF(AND(AG1570=1,OR('Dashboard'!$B$4="All",I1570='Dashboard'!$B$4),OR('Dashboard'!$E$4="All",N1570='Dashboard'!$E$4),OR('Dashboard'!$H$4="All",K1570='Dashboard'!$H$4)),1,0)</x:f>
        <x:v>1</x:v>
      </x:c>
    </x:row>
    <x:row r="1571">
      <x:c r="A1571" s="84" t="str">
        <x:f>'Raw Sales'!A1571</x:f>
        <x:v>ORD-2025-00889</x:v>
      </x:c>
      <x:c r="B1571" s="85" t="n">
        <x:f>'Raw Sales'!B1571</x:f>
        <x:v>45811</x:v>
      </x:c>
      <x:c r="C1571" s="84" t="n">
        <x:f>YEAR(B1571)</x:f>
        <x:v>2025</x:v>
      </x:c>
      <x:c r="D1571" s="91" t="n">
        <x:f>DATE(YEAR(B1571),MONTH(B1571),1)</x:f>
        <x:v>45809</x:v>
      </x:c>
      <x:c r="E1571" s="84" t="str">
        <x:f>TEXT(B1571,"mmm")</x:f>
        <x:v>Jun</x:v>
      </x:c>
      <x:c r="F1571" s="84" t="str">
        <x:f>'Raw Sales'!C1571</x:f>
        <x:v>CUST-0281</x:v>
      </x:c>
      <x:c r="G1571" s="84" t="str">
        <x:f>PROPER(TRIM('Raw Sales'!D1571))</x:f>
        <x:v>Jonah Foster</x:v>
      </x:c>
      <x:c r="H1571" s="84" t="str">
        <x:f>IF(TRIM('Raw Sales'!E1571)="","Unknown",PROPER(TRIM('Raw Sales'!E1571)))</x:f>
        <x:v>Consumer</x:v>
      </x:c>
      <x:c r="I1571" s="84" t="str">
        <x:f>PROPER(TRIM('Raw Sales'!F1571))</x:f>
        <x:v>Midwest</x:v>
      </x:c>
      <x:c r="J1571" s="84" t="str">
        <x:f>PROPER(TRIM('Raw Sales'!G1571))</x:f>
        <x:v>Detroit</x:v>
      </x:c>
      <x:c r="K1571" s="84" t="str">
        <x:f>PROPER(TRIM('Raw Sales'!H1571))</x:f>
        <x:v>Marketplace</x:v>
      </x:c>
      <x:c r="L1571" s="84" t="str">
        <x:f>'Raw Sales'!I1571</x:f>
        <x:v>ELEC-002</x:v>
      </x:c>
      <x:c r="M1571" s="84" t="str">
        <x:f>IFERROR(VLOOKUP(L1571,'Reference Data'!$A$5:$F$40,2,FALSE),"Unknown Product")</x:f>
        <x:v>Smartwatch</x:v>
      </x:c>
      <x:c r="N1571" s="84" t="str">
        <x:f>IFERROR(VLOOKUP(L1571,'Reference Data'!$A$5:$F$40,3,FALSE),"Unknown")</x:f>
        <x:v>Electronics</x:v>
      </x:c>
      <x:c r="O1571" s="84" t="str">
        <x:f>IFERROR(VLOOKUP(L1571,'Reference Data'!$A$5:$F$40,4,FALSE),"Unknown")</x:f>
        <x:v>Wearables</x:v>
      </x:c>
      <x:c r="P1571" s="92" t="n">
        <x:f>IFERROR(VLOOKUP(L1571,'Reference Data'!$A$5:$F$40,5,FALSE),0)</x:f>
        <x:v>159</x:v>
      </x:c>
      <x:c r="Q1571" s="92" t="n">
        <x:f>IFERROR(VLOOKUP(L1571,'Reference Data'!$A$5:$F$40,6,FALSE),0)</x:f>
        <x:v>92</x:v>
      </x:c>
      <x:c r="R1571" s="84" t="n">
        <x:f>'Raw Sales'!J1571</x:f>
        <x:v>1</x:v>
      </x:c>
      <x:c r="S1571" s="87" t="n">
        <x:f>'Raw Sales'!K1571</x:f>
        <x:v>0.2</x:v>
      </x:c>
      <x:c r="T1571" s="93" t="n">
        <x:f>P1571*R1571</x:f>
        <x:v>159</x:v>
      </x:c>
      <x:c r="U1571" s="93" t="n">
        <x:f>T1571*S1571</x:f>
        <x:v>31.8</x:v>
      </x:c>
      <x:c r="V1571" s="93" t="str">
        <x:f>PROPER(TRIM('Raw Sales'!L1571))</x:f>
        <x:v>Completed</x:v>
      </x:c>
      <x:c r="W1571" s="93" t="n">
        <x:f>IF(V1571="Returned",0,T1571-U1571)</x:f>
        <x:v>127.2</x:v>
      </x:c>
      <x:c r="X1571" s="93" t="n">
        <x:f>IF(V1571="Returned",Q1571*R1571*10%,Q1571*R1571)</x:f>
        <x:v>92</x:v>
      </x:c>
      <x:c r="Y1571" s="93" t="n">
        <x:f>W1571-X1571</x:f>
        <x:v>35.2</x:v>
      </x:c>
      <x:c r="Z1571" s="94" t="n">
        <x:f>IFERROR(Y1571/W1571,0)</x:f>
        <x:v>0.27672955974842767</x:v>
      </x:c>
      <x:c r="AA1571" s="84" t="str">
        <x:f>PROPER(TRIM('Raw Sales'!M1571))</x:f>
        <x:v>Credit Card</x:v>
      </x:c>
      <x:c r="AB1571" s="84" t="str">
        <x:f>PROPER(TRIM('Raw Sales'!N1571))</x:f>
        <x:v>Zoe Turner</x:v>
      </x:c>
      <x:c r="AC1571" s="85" t="n">
        <x:f>'Raw Sales'!O1571</x:f>
        <x:v>45816</x:v>
      </x:c>
      <x:c r="AD1571" s="84" t="n">
        <x:f>AC1571-B1571</x:f>
        <x:v>5</x:v>
      </x:c>
      <x:c r="AE1571" s="84" t="str">
        <x:f>IF(COUNTIF($A$5:A1571,A1571)&gt;1,"Duplicate","Keep")</x:f>
        <x:v>Keep</x:v>
      </x:c>
      <x:c r="AF1571" s="84" t="str">
        <x:f>IF(OR(R1571&lt;=0,AC1571&lt;B1571,H1571="Unknown",M1571="Unknown Product"),"Review","Valid")</x:f>
        <x:v>Valid</x:v>
      </x:c>
      <x:c r="AG1571" s="84" t="n">
        <x:f>IF(AND(AE1571="Keep",AF1571="Valid"),1,0)</x:f>
        <x:v>1</x:v>
      </x:c>
      <x:c r="AH1571" s="84" t="n">
        <x:f>IF(AND(AG1571=1,OR('Dashboard'!$B$4="All",I1571='Dashboard'!$B$4),OR('Dashboard'!$E$4="All",N1571='Dashboard'!$E$4),OR('Dashboard'!$H$4="All",K1571='Dashboard'!$H$4),OR('Dashboard'!$K$4="All",C1571='Dashboard'!$K$4)),1,0)</x:f>
        <x:v>1</x:v>
      </x:c>
      <x:c r="AI1571" s="84" t="n">
        <x:f>IF(AND(AG1571=1,OR('Dashboard'!$B$4="All",I1571='Dashboard'!$B$4),OR('Dashboard'!$E$4="All",N1571='Dashboard'!$E$4),OR('Dashboard'!$H$4="All",K1571='Dashboard'!$H$4)),1,0)</x:f>
        <x:v>1</x:v>
      </x:c>
    </x:row>
    <x:row r="1572">
      <x:c r="A1572" s="84" t="str">
        <x:f>'Raw Sales'!A1572</x:f>
        <x:v>ORD-2025-00964</x:v>
      </x:c>
      <x:c r="B1572" s="85" t="n">
        <x:f>'Raw Sales'!B1572</x:f>
        <x:v>45812</x:v>
      </x:c>
      <x:c r="C1572" s="84" t="n">
        <x:f>YEAR(B1572)</x:f>
        <x:v>2025</x:v>
      </x:c>
      <x:c r="D1572" s="91" t="n">
        <x:f>DATE(YEAR(B1572),MONTH(B1572),1)</x:f>
        <x:v>45809</x:v>
      </x:c>
      <x:c r="E1572" s="84" t="str">
        <x:f>TEXT(B1572,"mmm")</x:f>
        <x:v>Jun</x:v>
      </x:c>
      <x:c r="F1572" s="84" t="str">
        <x:f>'Raw Sales'!C1572</x:f>
        <x:v>CUST-0416</x:v>
      </x:c>
      <x:c r="G1572" s="84" t="str">
        <x:f>PROPER(TRIM('Raw Sales'!D1572))</x:f>
        <x:v>Isaac Garcia</x:v>
      </x:c>
      <x:c r="H1572" s="84" t="str">
        <x:f>IF(TRIM('Raw Sales'!E1572)="","Unknown",PROPER(TRIM('Raw Sales'!E1572)))</x:f>
        <x:v>Consumer</x:v>
      </x:c>
      <x:c r="I1572" s="84" t="str">
        <x:f>PROPER(TRIM('Raw Sales'!F1572))</x:f>
        <x:v>Midwest</x:v>
      </x:c>
      <x:c r="J1572" s="84" t="str">
        <x:f>PROPER(TRIM('Raw Sales'!G1572))</x:f>
        <x:v>Chicago</x:v>
      </x:c>
      <x:c r="K1572" s="84" t="str">
        <x:f>PROPER(TRIM('Raw Sales'!H1572))</x:f>
        <x:v>Retail Store</x:v>
      </x:c>
      <x:c r="L1572" s="84" t="str">
        <x:f>'Raw Sales'!I1572</x:f>
        <x:v>HOME-005</x:v>
      </x:c>
      <x:c r="M1572" s="84" t="str">
        <x:f>IFERROR(VLOOKUP(L1572,'Reference Data'!$A$5:$F$40,2,FALSE),"Unknown Product")</x:f>
        <x:v>Cordless Vacuum</x:v>
      </x:c>
      <x:c r="N1572" s="84" t="str">
        <x:f>IFERROR(VLOOKUP(L1572,'Reference Data'!$A$5:$F$40,3,FALSE),"Unknown")</x:f>
        <x:v>Home &amp; Kitchen</x:v>
      </x:c>
      <x:c r="O1572" s="84" t="str">
        <x:f>IFERROR(VLOOKUP(L1572,'Reference Data'!$A$5:$F$40,4,FALSE),"Unknown")</x:f>
        <x:v>Cleaning</x:v>
      </x:c>
      <x:c r="P1572" s="92" t="n">
        <x:f>IFERROR(VLOOKUP(L1572,'Reference Data'!$A$5:$F$40,5,FALSE),0)</x:f>
        <x:v>179</x:v>
      </x:c>
      <x:c r="Q1572" s="92" t="n">
        <x:f>IFERROR(VLOOKUP(L1572,'Reference Data'!$A$5:$F$40,6,FALSE),0)</x:f>
        <x:v>102</x:v>
      </x:c>
      <x:c r="R1572" s="84" t="n">
        <x:f>'Raw Sales'!J1572</x:f>
        <x:v>1</x:v>
      </x:c>
      <x:c r="S1572" s="87" t="n">
        <x:f>'Raw Sales'!K1572</x:f>
        <x:v>0</x:v>
      </x:c>
      <x:c r="T1572" s="93" t="n">
        <x:f>P1572*R1572</x:f>
        <x:v>179</x:v>
      </x:c>
      <x:c r="U1572" s="93" t="n">
        <x:f>T1572*S1572</x:f>
        <x:v>0</x:v>
      </x:c>
      <x:c r="V1572" s="93" t="str">
        <x:f>PROPER(TRIM('Raw Sales'!L1572))</x:f>
        <x:v>Completed</x:v>
      </x:c>
      <x:c r="W1572" s="93" t="n">
        <x:f>IF(V1572="Returned",0,T1572-U1572)</x:f>
        <x:v>179</x:v>
      </x:c>
      <x:c r="X1572" s="93" t="n">
        <x:f>IF(V1572="Returned",Q1572*R1572*10%,Q1572*R1572)</x:f>
        <x:v>102</x:v>
      </x:c>
      <x:c r="Y1572" s="93" t="n">
        <x:f>W1572-X1572</x:f>
        <x:v>77</x:v>
      </x:c>
      <x:c r="Z1572" s="94" t="n">
        <x:f>IFERROR(Y1572/W1572,0)</x:f>
        <x:v>0.4301675977653631</x:v>
      </x:c>
      <x:c r="AA1572" s="84" t="str">
        <x:f>PROPER(TRIM('Raw Sales'!M1572))</x:f>
        <x:v>Credit Card</x:v>
      </x:c>
      <x:c r="AB1572" s="84" t="str">
        <x:f>PROPER(TRIM('Raw Sales'!N1572))</x:f>
        <x:v>Lucas Grant</x:v>
      </x:c>
      <x:c r="AC1572" s="85" t="n">
        <x:f>'Raw Sales'!O1572</x:f>
        <x:v>45812</x:v>
      </x:c>
      <x:c r="AD1572" s="84" t="n">
        <x:f>AC1572-B1572</x:f>
        <x:v>0</x:v>
      </x:c>
      <x:c r="AE1572" s="84" t="str">
        <x:f>IF(COUNTIF($A$5:A1572,A1572)&gt;1,"Duplicate","Keep")</x:f>
        <x:v>Keep</x:v>
      </x:c>
      <x:c r="AF1572" s="84" t="str">
        <x:f>IF(OR(R1572&lt;=0,AC1572&lt;B1572,H1572="Unknown",M1572="Unknown Product"),"Review","Valid")</x:f>
        <x:v>Valid</x:v>
      </x:c>
      <x:c r="AG1572" s="84" t="n">
        <x:f>IF(AND(AE1572="Keep",AF1572="Valid"),1,0)</x:f>
        <x:v>1</x:v>
      </x:c>
      <x:c r="AH1572" s="84" t="n">
        <x:f>IF(AND(AG1572=1,OR('Dashboard'!$B$4="All",I1572='Dashboard'!$B$4),OR('Dashboard'!$E$4="All",N1572='Dashboard'!$E$4),OR('Dashboard'!$H$4="All",K1572='Dashboard'!$H$4),OR('Dashboard'!$K$4="All",C1572='Dashboard'!$K$4)),1,0)</x:f>
        <x:v>1</x:v>
      </x:c>
      <x:c r="AI1572" s="84" t="n">
        <x:f>IF(AND(AG1572=1,OR('Dashboard'!$B$4="All",I1572='Dashboard'!$B$4),OR('Dashboard'!$E$4="All",N1572='Dashboard'!$E$4),OR('Dashboard'!$H$4="All",K1572='Dashboard'!$H$4)),1,0)</x:f>
        <x:v>1</x:v>
      </x:c>
    </x:row>
    <x:row r="1573">
      <x:c r="A1573" s="84" t="str">
        <x:f>'Raw Sales'!A1573</x:f>
        <x:v>ORD-2025-01089</x:v>
      </x:c>
      <x:c r="B1573" s="85" t="n">
        <x:f>'Raw Sales'!B1573</x:f>
        <x:v>45812</x:v>
      </x:c>
      <x:c r="C1573" s="84" t="n">
        <x:f>YEAR(B1573)</x:f>
        <x:v>2025</x:v>
      </x:c>
      <x:c r="D1573" s="91" t="n">
        <x:f>DATE(YEAR(B1573),MONTH(B1573),1)</x:f>
        <x:v>45809</x:v>
      </x:c>
      <x:c r="E1573" s="84" t="str">
        <x:f>TEXT(B1573,"mmm")</x:f>
        <x:v>Jun</x:v>
      </x:c>
      <x:c r="F1573" s="84" t="str">
        <x:f>'Raw Sales'!C1573</x:f>
        <x:v>CUST-0021</x:v>
      </x:c>
      <x:c r="G1573" s="84" t="str">
        <x:f>PROPER(TRIM('Raw Sales'!D1573))</x:f>
        <x:v>Elena Adams</x:v>
      </x:c>
      <x:c r="H1573" s="84" t="str">
        <x:f>IF(TRIM('Raw Sales'!E1573)="","Unknown",PROPER(TRIM('Raw Sales'!E1573)))</x:f>
        <x:v>Consumer</x:v>
      </x:c>
      <x:c r="I1573" s="84" t="str">
        <x:f>PROPER(TRIM('Raw Sales'!F1573))</x:f>
        <x:v>West</x:v>
      </x:c>
      <x:c r="J1573" s="84" t="str">
        <x:f>PROPER(TRIM('Raw Sales'!G1573))</x:f>
        <x:v>Denver</x:v>
      </x:c>
      <x:c r="K1573" s="84" t="str">
        <x:f>PROPER(TRIM('Raw Sales'!H1573))</x:f>
        <x:v>Online</x:v>
      </x:c>
      <x:c r="L1573" s="84" t="str">
        <x:f>'Raw Sales'!I1573</x:f>
        <x:v>FITN-006</x:v>
      </x:c>
      <x:c r="M1573" s="84" t="str">
        <x:f>IFERROR(VLOOKUP(L1573,'Reference Data'!$A$5:$F$40,2,FALSE),"Unknown Product")</x:f>
        <x:v>Foam Roller</x:v>
      </x:c>
      <x:c r="N1573" s="84" t="str">
        <x:f>IFERROR(VLOOKUP(L1573,'Reference Data'!$A$5:$F$40,3,FALSE),"Unknown")</x:f>
        <x:v>Fitness</x:v>
      </x:c>
      <x:c r="O1573" s="84" t="str">
        <x:f>IFERROR(VLOOKUP(L1573,'Reference Data'!$A$5:$F$40,4,FALSE),"Unknown")</x:f>
        <x:v>Recovery</x:v>
      </x:c>
      <x:c r="P1573" s="92" t="n">
        <x:f>IFERROR(VLOOKUP(L1573,'Reference Data'!$A$5:$F$40,5,FALSE),0)</x:f>
        <x:v>31</x:v>
      </x:c>
      <x:c r="Q1573" s="92" t="n">
        <x:f>IFERROR(VLOOKUP(L1573,'Reference Data'!$A$5:$F$40,6,FALSE),0)</x:f>
        <x:v>12</x:v>
      </x:c>
      <x:c r="R1573" s="84" t="n">
        <x:f>'Raw Sales'!J1573</x:f>
        <x:v>2</x:v>
      </x:c>
      <x:c r="S1573" s="87" t="n">
        <x:f>'Raw Sales'!K1573</x:f>
        <x:v>0.1</x:v>
      </x:c>
      <x:c r="T1573" s="93" t="n">
        <x:f>P1573*R1573</x:f>
        <x:v>62</x:v>
      </x:c>
      <x:c r="U1573" s="93" t="n">
        <x:f>T1573*S1573</x:f>
        <x:v>6.2</x:v>
      </x:c>
      <x:c r="V1573" s="93" t="str">
        <x:f>PROPER(TRIM('Raw Sales'!L1573))</x:f>
        <x:v>Completed</x:v>
      </x:c>
      <x:c r="W1573" s="93" t="n">
        <x:f>IF(V1573="Returned",0,T1573-U1573)</x:f>
        <x:v>55.8</x:v>
      </x:c>
      <x:c r="X1573" s="93" t="n">
        <x:f>IF(V1573="Returned",Q1573*R1573*10%,Q1573*R1573)</x:f>
        <x:v>24</x:v>
      </x:c>
      <x:c r="Y1573" s="93" t="n">
        <x:f>W1573-X1573</x:f>
        <x:v>31.799999999999997</x:v>
      </x:c>
      <x:c r="Z1573" s="94" t="n">
        <x:f>IFERROR(Y1573/W1573,0)</x:f>
        <x:v>0.5698924731182795</x:v>
      </x:c>
      <x:c r="AA1573" s="84" t="str">
        <x:f>PROPER(TRIM('Raw Sales'!M1573))</x:f>
        <x:v>Mobile Wallet</x:v>
      </x:c>
      <x:c r="AB1573" s="84" t="str">
        <x:f>PROPER(TRIM('Raw Sales'!N1573))</x:f>
        <x:v>Leo Martinez</x:v>
      </x:c>
      <x:c r="AC1573" s="85" t="n">
        <x:f>'Raw Sales'!O1573</x:f>
        <x:v>45817</x:v>
      </x:c>
      <x:c r="AD1573" s="84" t="n">
        <x:f>AC1573-B1573</x:f>
        <x:v>5</x:v>
      </x:c>
      <x:c r="AE1573" s="84" t="str">
        <x:f>IF(COUNTIF($A$5:A1573,A1573)&gt;1,"Duplicate","Keep")</x:f>
        <x:v>Keep</x:v>
      </x:c>
      <x:c r="AF1573" s="84" t="str">
        <x:f>IF(OR(R1573&lt;=0,AC1573&lt;B1573,H1573="Unknown",M1573="Unknown Product"),"Review","Valid")</x:f>
        <x:v>Valid</x:v>
      </x:c>
      <x:c r="AG1573" s="84" t="n">
        <x:f>IF(AND(AE1573="Keep",AF1573="Valid"),1,0)</x:f>
        <x:v>1</x:v>
      </x:c>
      <x:c r="AH1573" s="84" t="n">
        <x:f>IF(AND(AG1573=1,OR('Dashboard'!$B$4="All",I1573='Dashboard'!$B$4),OR('Dashboard'!$E$4="All",N1573='Dashboard'!$E$4),OR('Dashboard'!$H$4="All",K1573='Dashboard'!$H$4),OR('Dashboard'!$K$4="All",C1573='Dashboard'!$K$4)),1,0)</x:f>
        <x:v>1</x:v>
      </x:c>
      <x:c r="AI1573" s="84" t="n">
        <x:f>IF(AND(AG1573=1,OR('Dashboard'!$B$4="All",I1573='Dashboard'!$B$4),OR('Dashboard'!$E$4="All",N1573='Dashboard'!$E$4),OR('Dashboard'!$H$4="All",K1573='Dashboard'!$H$4)),1,0)</x:f>
        <x:v>1</x:v>
      </x:c>
    </x:row>
    <x:row r="1574">
      <x:c r="A1574" s="84" t="str">
        <x:f>'Raw Sales'!A1574</x:f>
        <x:v>ORD-2025-01118</x:v>
      </x:c>
      <x:c r="B1574" s="85" t="n">
        <x:f>'Raw Sales'!B1574</x:f>
        <x:v>45812</x:v>
      </x:c>
      <x:c r="C1574" s="84" t="n">
        <x:f>YEAR(B1574)</x:f>
        <x:v>2025</x:v>
      </x:c>
      <x:c r="D1574" s="91" t="n">
        <x:f>DATE(YEAR(B1574),MONTH(B1574),1)</x:f>
        <x:v>45809</x:v>
      </x:c>
      <x:c r="E1574" s="84" t="str">
        <x:f>TEXT(B1574,"mmm")</x:f>
        <x:v>Jun</x:v>
      </x:c>
      <x:c r="F1574" s="84" t="str">
        <x:f>'Raw Sales'!C1574</x:f>
        <x:v>CUST-0432</x:v>
      </x:c>
      <x:c r="G1574" s="84" t="str">
        <x:f>PROPER(TRIM('Raw Sales'!D1574))</x:f>
        <x:v>Caleb Young</x:v>
      </x:c>
      <x:c r="H1574" s="84" t="str">
        <x:f>IF(TRIM('Raw Sales'!E1574)="","Unknown",PROPER(TRIM('Raw Sales'!E1574)))</x:f>
        <x:v>Consumer</x:v>
      </x:c>
      <x:c r="I1574" s="84" t="str">
        <x:f>PROPER(TRIM('Raw Sales'!F1574))</x:f>
        <x:v>Northeast</x:v>
      </x:c>
      <x:c r="J1574" s="84" t="str">
        <x:f>PROPER(TRIM('Raw Sales'!G1574))</x:f>
        <x:v>New York</x:v>
      </x:c>
      <x:c r="K1574" s="84" t="str">
        <x:f>PROPER(TRIM('Raw Sales'!H1574))</x:f>
        <x:v>Retail Store</x:v>
      </x:c>
      <x:c r="L1574" s="84" t="str">
        <x:f>'Raw Sales'!I1574</x:f>
        <x:v>FITN-005</x:v>
      </x:c>
      <x:c r="M1574" s="84" t="str">
        <x:f>IFERROR(VLOOKUP(L1574,'Reference Data'!$A$5:$F$40,2,FALSE),"Unknown Product")</x:f>
        <x:v>Sports Water Bottle</x:v>
      </x:c>
      <x:c r="N1574" s="84" t="str">
        <x:f>IFERROR(VLOOKUP(L1574,'Reference Data'!$A$5:$F$40,3,FALSE),"Unknown")</x:f>
        <x:v>Fitness</x:v>
      </x:c>
      <x:c r="O1574" s="84" t="str">
        <x:f>IFERROR(VLOOKUP(L1574,'Reference Data'!$A$5:$F$40,4,FALSE),"Unknown")</x:f>
        <x:v>Accessories</x:v>
      </x:c>
      <x:c r="P1574" s="92" t="n">
        <x:f>IFERROR(VLOOKUP(L1574,'Reference Data'!$A$5:$F$40,5,FALSE),0)</x:f>
        <x:v>22</x:v>
      </x:c>
      <x:c r="Q1574" s="92" t="n">
        <x:f>IFERROR(VLOOKUP(L1574,'Reference Data'!$A$5:$F$40,6,FALSE),0)</x:f>
        <x:v>7</x:v>
      </x:c>
      <x:c r="R1574" s="84" t="n">
        <x:f>'Raw Sales'!J1574</x:f>
        <x:v>1</x:v>
      </x:c>
      <x:c r="S1574" s="87" t="n">
        <x:f>'Raw Sales'!K1574</x:f>
        <x:v>0.2</x:v>
      </x:c>
      <x:c r="T1574" s="93" t="n">
        <x:f>P1574*R1574</x:f>
        <x:v>22</x:v>
      </x:c>
      <x:c r="U1574" s="93" t="n">
        <x:f>T1574*S1574</x:f>
        <x:v>4.4</x:v>
      </x:c>
      <x:c r="V1574" s="93" t="str">
        <x:f>PROPER(TRIM('Raw Sales'!L1574))</x:f>
        <x:v>Completed</x:v>
      </x:c>
      <x:c r="W1574" s="93" t="n">
        <x:f>IF(V1574="Returned",0,T1574-U1574)</x:f>
        <x:v>17.6</x:v>
      </x:c>
      <x:c r="X1574" s="93" t="n">
        <x:f>IF(V1574="Returned",Q1574*R1574*10%,Q1574*R1574)</x:f>
        <x:v>7</x:v>
      </x:c>
      <x:c r="Y1574" s="93" t="n">
        <x:f>W1574-X1574</x:f>
        <x:v>10.600000000000001</x:v>
      </x:c>
      <x:c r="Z1574" s="94" t="n">
        <x:f>IFERROR(Y1574/W1574,0)</x:f>
        <x:v>0.6022727272727273</x:v>
      </x:c>
      <x:c r="AA1574" s="84" t="str">
        <x:f>PROPER(TRIM('Raw Sales'!M1574))</x:f>
        <x:v>Credit Card</x:v>
      </x:c>
      <x:c r="AB1574" s="84" t="str">
        <x:f>PROPER(TRIM('Raw Sales'!N1574))</x:f>
        <x:v>Ethan Cole</x:v>
      </x:c>
      <x:c r="AC1574" s="85" t="n">
        <x:f>'Raw Sales'!O1574</x:f>
        <x:v>45812</x:v>
      </x:c>
      <x:c r="AD1574" s="84" t="n">
        <x:f>AC1574-B1574</x:f>
        <x:v>0</x:v>
      </x:c>
      <x:c r="AE1574" s="84" t="str">
        <x:f>IF(COUNTIF($A$5:A1574,A1574)&gt;1,"Duplicate","Keep")</x:f>
        <x:v>Keep</x:v>
      </x:c>
      <x:c r="AF1574" s="84" t="str">
        <x:f>IF(OR(R1574&lt;=0,AC1574&lt;B1574,H1574="Unknown",M1574="Unknown Product"),"Review","Valid")</x:f>
        <x:v>Valid</x:v>
      </x:c>
      <x:c r="AG1574" s="84" t="n">
        <x:f>IF(AND(AE1574="Keep",AF1574="Valid"),1,0)</x:f>
        <x:v>1</x:v>
      </x:c>
      <x:c r="AH1574" s="84" t="n">
        <x:f>IF(AND(AG1574=1,OR('Dashboard'!$B$4="All",I1574='Dashboard'!$B$4),OR('Dashboard'!$E$4="All",N1574='Dashboard'!$E$4),OR('Dashboard'!$H$4="All",K1574='Dashboard'!$H$4),OR('Dashboard'!$K$4="All",C1574='Dashboard'!$K$4)),1,0)</x:f>
        <x:v>1</x:v>
      </x:c>
      <x:c r="AI1574" s="84" t="n">
        <x:f>IF(AND(AG1574=1,OR('Dashboard'!$B$4="All",I1574='Dashboard'!$B$4),OR('Dashboard'!$E$4="All",N1574='Dashboard'!$E$4),OR('Dashboard'!$H$4="All",K1574='Dashboard'!$H$4)),1,0)</x:f>
        <x:v>1</x:v>
      </x:c>
    </x:row>
    <x:row r="1575">
      <x:c r="A1575" s="84" t="str">
        <x:f>'Raw Sales'!A1575</x:f>
        <x:v>ORD-2025-02072</x:v>
      </x:c>
      <x:c r="B1575" s="85" t="n">
        <x:f>'Raw Sales'!B1575</x:f>
        <x:v>45812</x:v>
      </x:c>
      <x:c r="C1575" s="84" t="n">
        <x:f>YEAR(B1575)</x:f>
        <x:v>2025</x:v>
      </x:c>
      <x:c r="D1575" s="91" t="n">
        <x:f>DATE(YEAR(B1575),MONTH(B1575),1)</x:f>
        <x:v>45809</x:v>
      </x:c>
      <x:c r="E1575" s="84" t="str">
        <x:f>TEXT(B1575,"mmm")</x:f>
        <x:v>Jun</x:v>
      </x:c>
      <x:c r="F1575" s="84" t="str">
        <x:f>'Raw Sales'!C1575</x:f>
        <x:v>CUST-0153</x:v>
      </x:c>
      <x:c r="G1575" s="84" t="str">
        <x:f>PROPER(TRIM('Raw Sales'!D1575))</x:f>
        <x:v>Marcus Evans</x:v>
      </x:c>
      <x:c r="H1575" s="84" t="str">
        <x:f>IF(TRIM('Raw Sales'!E1575)="","Unknown",PROPER(TRIM('Raw Sales'!E1575)))</x:f>
        <x:v>Corporate</x:v>
      </x:c>
      <x:c r="I1575" s="84" t="str">
        <x:f>PROPER(TRIM('Raw Sales'!F1575))</x:f>
        <x:v>Northeast</x:v>
      </x:c>
      <x:c r="J1575" s="84" t="str">
        <x:f>PROPER(TRIM('Raw Sales'!G1575))</x:f>
        <x:v>Philadelphia</x:v>
      </x:c>
      <x:c r="K1575" s="84" t="str">
        <x:f>PROPER(TRIM('Raw Sales'!H1575))</x:f>
        <x:v>Marketplace</x:v>
      </x:c>
      <x:c r="L1575" s="84" t="str">
        <x:f>'Raw Sales'!I1575</x:f>
        <x:v>FITN-004</x:v>
      </x:c>
      <x:c r="M1575" s="84" t="str">
        <x:f>IFERROR(VLOOKUP(L1575,'Reference Data'!$A$5:$F$40,2,FALSE),"Unknown Product")</x:f>
        <x:v>Fitness Tracker</x:v>
      </x:c>
      <x:c r="N1575" s="84" t="str">
        <x:f>IFERROR(VLOOKUP(L1575,'Reference Data'!$A$5:$F$40,3,FALSE),"Unknown")</x:f>
        <x:v>Fitness</x:v>
      </x:c>
      <x:c r="O1575" s="84" t="str">
        <x:f>IFERROR(VLOOKUP(L1575,'Reference Data'!$A$5:$F$40,4,FALSE),"Unknown")</x:f>
        <x:v>Wearables</x:v>
      </x:c>
      <x:c r="P1575" s="92" t="n">
        <x:f>IFERROR(VLOOKUP(L1575,'Reference Data'!$A$5:$F$40,5,FALSE),0)</x:f>
        <x:v>89</x:v>
      </x:c>
      <x:c r="Q1575" s="92" t="n">
        <x:f>IFERROR(VLOOKUP(L1575,'Reference Data'!$A$5:$F$40,6,FALSE),0)</x:f>
        <x:v>44</x:v>
      </x:c>
      <x:c r="R1575" s="84" t="n">
        <x:f>'Raw Sales'!J1575</x:f>
        <x:v>4</x:v>
      </x:c>
      <x:c r="S1575" s="87" t="n">
        <x:f>'Raw Sales'!K1575</x:f>
        <x:v>0.05</x:v>
      </x:c>
      <x:c r="T1575" s="93" t="n">
        <x:f>P1575*R1575</x:f>
        <x:v>356</x:v>
      </x:c>
      <x:c r="U1575" s="93" t="n">
        <x:f>T1575*S1575</x:f>
        <x:v>17.8</x:v>
      </x:c>
      <x:c r="V1575" s="93" t="str">
        <x:f>PROPER(TRIM('Raw Sales'!L1575))</x:f>
        <x:v>Completed</x:v>
      </x:c>
      <x:c r="W1575" s="93" t="n">
        <x:f>IF(V1575="Returned",0,T1575-U1575)</x:f>
        <x:v>338.2</x:v>
      </x:c>
      <x:c r="X1575" s="93" t="n">
        <x:f>IF(V1575="Returned",Q1575*R1575*10%,Q1575*R1575)</x:f>
        <x:v>176</x:v>
      </x:c>
      <x:c r="Y1575" s="93" t="n">
        <x:f>W1575-X1575</x:f>
        <x:v>162.2</x:v>
      </x:c>
      <x:c r="Z1575" s="94" t="n">
        <x:f>IFERROR(Y1575/W1575,0)</x:f>
        <x:v>0.47959787108219987</x:v>
      </x:c>
      <x:c r="AA1575" s="84" t="str">
        <x:f>PROPER(TRIM('Raw Sales'!M1575))</x:f>
        <x:v>Credit Card</x:v>
      </x:c>
      <x:c r="AB1575" s="84" t="str">
        <x:f>PROPER(TRIM('Raw Sales'!N1575))</x:f>
        <x:v>Ethan Cole</x:v>
      </x:c>
      <x:c r="AC1575" s="85" t="n">
        <x:f>'Raw Sales'!O1575</x:f>
        <x:v>45816</x:v>
      </x:c>
      <x:c r="AD1575" s="84" t="n">
        <x:f>AC1575-B1575</x:f>
        <x:v>4</x:v>
      </x:c>
      <x:c r="AE1575" s="84" t="str">
        <x:f>IF(COUNTIF($A$5:A1575,A1575)&gt;1,"Duplicate","Keep")</x:f>
        <x:v>Keep</x:v>
      </x:c>
      <x:c r="AF1575" s="84" t="str">
        <x:f>IF(OR(R1575&lt;=0,AC1575&lt;B1575,H1575="Unknown",M1575="Unknown Product"),"Review","Valid")</x:f>
        <x:v>Valid</x:v>
      </x:c>
      <x:c r="AG1575" s="84" t="n">
        <x:f>IF(AND(AE1575="Keep",AF1575="Valid"),1,0)</x:f>
        <x:v>1</x:v>
      </x:c>
      <x:c r="AH1575" s="84" t="n">
        <x:f>IF(AND(AG1575=1,OR('Dashboard'!$B$4="All",I1575='Dashboard'!$B$4),OR('Dashboard'!$E$4="All",N1575='Dashboard'!$E$4),OR('Dashboard'!$H$4="All",K1575='Dashboard'!$H$4),OR('Dashboard'!$K$4="All",C1575='Dashboard'!$K$4)),1,0)</x:f>
        <x:v>1</x:v>
      </x:c>
      <x:c r="AI1575" s="84" t="n">
        <x:f>IF(AND(AG1575=1,OR('Dashboard'!$B$4="All",I1575='Dashboard'!$B$4),OR('Dashboard'!$E$4="All",N1575='Dashboard'!$E$4),OR('Dashboard'!$H$4="All",K1575='Dashboard'!$H$4)),1,0)</x:f>
        <x:v>1</x:v>
      </x:c>
    </x:row>
    <x:row r="1576">
      <x:c r="A1576" s="84" t="str">
        <x:f>'Raw Sales'!A1576</x:f>
        <x:v>ORD-2025-02109</x:v>
      </x:c>
      <x:c r="B1576" s="85" t="n">
        <x:f>'Raw Sales'!B1576</x:f>
        <x:v>45812</x:v>
      </x:c>
      <x:c r="C1576" s="84" t="n">
        <x:f>YEAR(B1576)</x:f>
        <x:v>2025</x:v>
      </x:c>
      <x:c r="D1576" s="91" t="n">
        <x:f>DATE(YEAR(B1576),MONTH(B1576),1)</x:f>
        <x:v>45809</x:v>
      </x:c>
      <x:c r="E1576" s="84" t="str">
        <x:f>TEXT(B1576,"mmm")</x:f>
        <x:v>Jun</x:v>
      </x:c>
      <x:c r="F1576" s="84" t="str">
        <x:f>'Raw Sales'!C1576</x:f>
        <x:v>CUST-0001</x:v>
      </x:c>
      <x:c r="G1576" s="84" t="str">
        <x:f>PROPER(TRIM('Raw Sales'!D1576))</x:f>
        <x:v>Elena Walker</x:v>
      </x:c>
      <x:c r="H1576" s="84" t="str">
        <x:f>IF(TRIM('Raw Sales'!E1576)="","Unknown",PROPER(TRIM('Raw Sales'!E1576)))</x:f>
        <x:v>Corporate</x:v>
      </x:c>
      <x:c r="I1576" s="84" t="str">
        <x:f>PROPER(TRIM('Raw Sales'!F1576))</x:f>
        <x:v>Southeast</x:v>
      </x:c>
      <x:c r="J1576" s="84" t="str">
        <x:f>PROPER(TRIM('Raw Sales'!G1576))</x:f>
        <x:v>Miami</x:v>
      </x:c>
      <x:c r="K1576" s="84" t="str">
        <x:f>PROPER(TRIM('Raw Sales'!H1576))</x:f>
        <x:v>Online</x:v>
      </x:c>
      <x:c r="L1576" s="84" t="str">
        <x:f>'Raw Sales'!I1576</x:f>
        <x:v>FITN-005</x:v>
      </x:c>
      <x:c r="M1576" s="84" t="str">
        <x:f>IFERROR(VLOOKUP(L1576,'Reference Data'!$A$5:$F$40,2,FALSE),"Unknown Product")</x:f>
        <x:v>Sports Water Bottle</x:v>
      </x:c>
      <x:c r="N1576" s="84" t="str">
        <x:f>IFERROR(VLOOKUP(L1576,'Reference Data'!$A$5:$F$40,3,FALSE),"Unknown")</x:f>
        <x:v>Fitness</x:v>
      </x:c>
      <x:c r="O1576" s="84" t="str">
        <x:f>IFERROR(VLOOKUP(L1576,'Reference Data'!$A$5:$F$40,4,FALSE),"Unknown")</x:f>
        <x:v>Accessories</x:v>
      </x:c>
      <x:c r="P1576" s="92" t="n">
        <x:f>IFERROR(VLOOKUP(L1576,'Reference Data'!$A$5:$F$40,5,FALSE),0)</x:f>
        <x:v>22</x:v>
      </x:c>
      <x:c r="Q1576" s="92" t="n">
        <x:f>IFERROR(VLOOKUP(L1576,'Reference Data'!$A$5:$F$40,6,FALSE),0)</x:f>
        <x:v>7</x:v>
      </x:c>
      <x:c r="R1576" s="84" t="n">
        <x:f>'Raw Sales'!J1576</x:f>
        <x:v>3</x:v>
      </x:c>
      <x:c r="S1576" s="87" t="n">
        <x:f>'Raw Sales'!K1576</x:f>
        <x:v>0</x:v>
      </x:c>
      <x:c r="T1576" s="93" t="n">
        <x:f>P1576*R1576</x:f>
        <x:v>66</x:v>
      </x:c>
      <x:c r="U1576" s="93" t="n">
        <x:f>T1576*S1576</x:f>
        <x:v>0</x:v>
      </x:c>
      <x:c r="V1576" s="93" t="str">
        <x:f>PROPER(TRIM('Raw Sales'!L1576))</x:f>
        <x:v>Completed</x:v>
      </x:c>
      <x:c r="W1576" s="93" t="n">
        <x:f>IF(V1576="Returned",0,T1576-U1576)</x:f>
        <x:v>66</x:v>
      </x:c>
      <x:c r="X1576" s="93" t="n">
        <x:f>IF(V1576="Returned",Q1576*R1576*10%,Q1576*R1576)</x:f>
        <x:v>21</x:v>
      </x:c>
      <x:c r="Y1576" s="93" t="n">
        <x:f>W1576-X1576</x:f>
        <x:v>45</x:v>
      </x:c>
      <x:c r="Z1576" s="94" t="n">
        <x:f>IFERROR(Y1576/W1576,0)</x:f>
        <x:v>0.6818181818181818</x:v>
      </x:c>
      <x:c r="AA1576" s="84" t="str">
        <x:f>PROPER(TRIM('Raw Sales'!M1576))</x:f>
        <x:v>Paypal</x:v>
      </x:c>
      <x:c r="AB1576" s="84" t="str">
        <x:f>PROPER(TRIM('Raw Sales'!N1576))</x:f>
        <x:v>Liam Parker</x:v>
      </x:c>
      <x:c r="AC1576" s="85" t="n">
        <x:f>'Raw Sales'!O1576</x:f>
        <x:v>45818</x:v>
      </x:c>
      <x:c r="AD1576" s="84" t="n">
        <x:f>AC1576-B1576</x:f>
        <x:v>6</x:v>
      </x:c>
      <x:c r="AE1576" s="84" t="str">
        <x:f>IF(COUNTIF($A$5:A1576,A1576)&gt;1,"Duplicate","Keep")</x:f>
        <x:v>Keep</x:v>
      </x:c>
      <x:c r="AF1576" s="84" t="str">
        <x:f>IF(OR(R1576&lt;=0,AC1576&lt;B1576,H1576="Unknown",M1576="Unknown Product"),"Review","Valid")</x:f>
        <x:v>Valid</x:v>
      </x:c>
      <x:c r="AG1576" s="84" t="n">
        <x:f>IF(AND(AE1576="Keep",AF1576="Valid"),1,0)</x:f>
        <x:v>1</x:v>
      </x:c>
      <x:c r="AH1576" s="84" t="n">
        <x:f>IF(AND(AG1576=1,OR('Dashboard'!$B$4="All",I1576='Dashboard'!$B$4),OR('Dashboard'!$E$4="All",N1576='Dashboard'!$E$4),OR('Dashboard'!$H$4="All",K1576='Dashboard'!$H$4),OR('Dashboard'!$K$4="All",C1576='Dashboard'!$K$4)),1,0)</x:f>
        <x:v>1</x:v>
      </x:c>
      <x:c r="AI1576" s="84" t="n">
        <x:f>IF(AND(AG1576=1,OR('Dashboard'!$B$4="All",I1576='Dashboard'!$B$4),OR('Dashboard'!$E$4="All",N1576='Dashboard'!$E$4),OR('Dashboard'!$H$4="All",K1576='Dashboard'!$H$4)),1,0)</x:f>
        <x:v>1</x:v>
      </x:c>
    </x:row>
    <x:row r="1577">
      <x:c r="A1577" s="84" t="str">
        <x:f>'Raw Sales'!A1577</x:f>
        <x:v>ORD-2025-00055</x:v>
      </x:c>
      <x:c r="B1577" s="85" t="n">
        <x:f>'Raw Sales'!B1577</x:f>
        <x:v>45813</x:v>
      </x:c>
      <x:c r="C1577" s="84" t="n">
        <x:f>YEAR(B1577)</x:f>
        <x:v>2025</x:v>
      </x:c>
      <x:c r="D1577" s="91" t="n">
        <x:f>DATE(YEAR(B1577),MONTH(B1577),1)</x:f>
        <x:v>45809</x:v>
      </x:c>
      <x:c r="E1577" s="84" t="str">
        <x:f>TEXT(B1577,"mmm")</x:f>
        <x:v>Jun</x:v>
      </x:c>
      <x:c r="F1577" s="84" t="str">
        <x:f>'Raw Sales'!C1577</x:f>
        <x:v>CUST-0516</x:v>
      </x:c>
      <x:c r="G1577" s="84" t="str">
        <x:f>PROPER(TRIM('Raw Sales'!D1577))</x:f>
        <x:v>Jasmine Ortiz</x:v>
      </x:c>
      <x:c r="H1577" s="84" t="str">
        <x:f>IF(TRIM('Raw Sales'!E1577)="","Unknown",PROPER(TRIM('Raw Sales'!E1577)))</x:f>
        <x:v>Small Business</x:v>
      </x:c>
      <x:c r="I1577" s="84" t="str">
        <x:f>PROPER(TRIM('Raw Sales'!F1577))</x:f>
        <x:v>Southeast</x:v>
      </x:c>
      <x:c r="J1577" s="84" t="str">
        <x:f>PROPER(TRIM('Raw Sales'!G1577))</x:f>
        <x:v>Charlotte</x:v>
      </x:c>
      <x:c r="K1577" s="84" t="str">
        <x:f>PROPER(TRIM('Raw Sales'!H1577))</x:f>
        <x:v>Retail Store</x:v>
      </x:c>
      <x:c r="L1577" s="84" t="str">
        <x:f>'Raw Sales'!I1577</x:f>
        <x:v>ELEC-006</x:v>
      </x:c>
      <x:c r="M1577" s="84" t="str">
        <x:f>IFERROR(VLOOKUP(L1577,'Reference Data'!$A$5:$F$40,2,FALSE),"Unknown Product")</x:f>
        <x:v>Portable SSD</x:v>
      </x:c>
      <x:c r="N1577" s="84" t="str">
        <x:f>IFERROR(VLOOKUP(L1577,'Reference Data'!$A$5:$F$40,3,FALSE),"Unknown")</x:f>
        <x:v>Electronics</x:v>
      </x:c>
      <x:c r="O1577" s="84" t="str">
        <x:f>IFERROR(VLOOKUP(L1577,'Reference Data'!$A$5:$F$40,4,FALSE),"Unknown")</x:f>
        <x:v>Storage</x:v>
      </x:c>
      <x:c r="P1577" s="92" t="n">
        <x:f>IFERROR(VLOOKUP(L1577,'Reference Data'!$A$5:$F$40,5,FALSE),0)</x:f>
        <x:v>129</x:v>
      </x:c>
      <x:c r="Q1577" s="92" t="n">
        <x:f>IFERROR(VLOOKUP(L1577,'Reference Data'!$A$5:$F$40,6,FALSE),0)</x:f>
        <x:v>75</x:v>
      </x:c>
      <x:c r="R1577" s="84" t="n">
        <x:f>'Raw Sales'!J1577</x:f>
        <x:v>2</x:v>
      </x:c>
      <x:c r="S1577" s="87" t="n">
        <x:f>'Raw Sales'!K1577</x:f>
        <x:v>0.1</x:v>
      </x:c>
      <x:c r="T1577" s="93" t="n">
        <x:f>P1577*R1577</x:f>
        <x:v>258</x:v>
      </x:c>
      <x:c r="U1577" s="93" t="n">
        <x:f>T1577*S1577</x:f>
        <x:v>25.8</x:v>
      </x:c>
      <x:c r="V1577" s="93" t="str">
        <x:f>PROPER(TRIM('Raw Sales'!L1577))</x:f>
        <x:v>Completed</x:v>
      </x:c>
      <x:c r="W1577" s="93" t="n">
        <x:f>IF(V1577="Returned",0,T1577-U1577)</x:f>
        <x:v>232.2</x:v>
      </x:c>
      <x:c r="X1577" s="93" t="n">
        <x:f>IF(V1577="Returned",Q1577*R1577*10%,Q1577*R1577)</x:f>
        <x:v>150</x:v>
      </x:c>
      <x:c r="Y1577" s="93" t="n">
        <x:f>W1577-X1577</x:f>
        <x:v>82.19999999999999</x:v>
      </x:c>
      <x:c r="Z1577" s="94" t="n">
        <x:f>IFERROR(Y1577/W1577,0)</x:f>
        <x:v>0.3540051679586563</x:v>
      </x:c>
      <x:c r="AA1577" s="84" t="str">
        <x:f>PROPER(TRIM('Raw Sales'!M1577))</x:f>
        <x:v>Credit Card</x:v>
      </x:c>
      <x:c r="AB1577" s="84" t="str">
        <x:f>PROPER(TRIM('Raw Sales'!N1577))</x:f>
        <x:v>Ava Mitchell</x:v>
      </x:c>
      <x:c r="AC1577" s="85" t="n">
        <x:f>'Raw Sales'!O1577</x:f>
        <x:v>45813</x:v>
      </x:c>
      <x:c r="AD1577" s="84" t="n">
        <x:f>AC1577-B1577</x:f>
        <x:v>0</x:v>
      </x:c>
      <x:c r="AE1577" s="84" t="str">
        <x:f>IF(COUNTIF($A$5:A1577,A1577)&gt;1,"Duplicate","Keep")</x:f>
        <x:v>Keep</x:v>
      </x:c>
      <x:c r="AF1577" s="84" t="str">
        <x:f>IF(OR(R1577&lt;=0,AC1577&lt;B1577,H1577="Unknown",M1577="Unknown Product"),"Review","Valid")</x:f>
        <x:v>Valid</x:v>
      </x:c>
      <x:c r="AG1577" s="84" t="n">
        <x:f>IF(AND(AE1577="Keep",AF1577="Valid"),1,0)</x:f>
        <x:v>1</x:v>
      </x:c>
      <x:c r="AH1577" s="84" t="n">
        <x:f>IF(AND(AG1577=1,OR('Dashboard'!$B$4="All",I1577='Dashboard'!$B$4),OR('Dashboard'!$E$4="All",N1577='Dashboard'!$E$4),OR('Dashboard'!$H$4="All",K1577='Dashboard'!$H$4),OR('Dashboard'!$K$4="All",C1577='Dashboard'!$K$4)),1,0)</x:f>
        <x:v>1</x:v>
      </x:c>
      <x:c r="AI1577" s="84" t="n">
        <x:f>IF(AND(AG1577=1,OR('Dashboard'!$B$4="All",I1577='Dashboard'!$B$4),OR('Dashboard'!$E$4="All",N1577='Dashboard'!$E$4),OR('Dashboard'!$H$4="All",K1577='Dashboard'!$H$4)),1,0)</x:f>
        <x:v>1</x:v>
      </x:c>
    </x:row>
    <x:row r="1578">
      <x:c r="A1578" s="84" t="str">
        <x:f>'Raw Sales'!A1578</x:f>
        <x:v>ORD-2025-00177</x:v>
      </x:c>
      <x:c r="B1578" s="85" t="n">
        <x:f>'Raw Sales'!B1578</x:f>
        <x:v>45813</x:v>
      </x:c>
      <x:c r="C1578" s="84" t="n">
        <x:f>YEAR(B1578)</x:f>
        <x:v>2025</x:v>
      </x:c>
      <x:c r="D1578" s="91" t="n">
        <x:f>DATE(YEAR(B1578),MONTH(B1578),1)</x:f>
        <x:v>45809</x:v>
      </x:c>
      <x:c r="E1578" s="84" t="str">
        <x:f>TEXT(B1578,"mmm")</x:f>
        <x:v>Jun</x:v>
      </x:c>
      <x:c r="F1578" s="84" t="str">
        <x:f>'Raw Sales'!C1578</x:f>
        <x:v>CUST-0623</x:v>
      </x:c>
      <x:c r="G1578" s="84" t="str">
        <x:f>PROPER(TRIM('Raw Sales'!D1578))</x:f>
        <x:v>Theo Roberts</x:v>
      </x:c>
      <x:c r="H1578" s="84" t="str">
        <x:f>IF(TRIM('Raw Sales'!E1578)="","Unknown",PROPER(TRIM('Raw Sales'!E1578)))</x:f>
        <x:v>Small Business</x:v>
      </x:c>
      <x:c r="I1578" s="84" t="str">
        <x:f>PROPER(TRIM('Raw Sales'!F1578))</x:f>
        <x:v>Midwest</x:v>
      </x:c>
      <x:c r="J1578" s="84" t="str">
        <x:f>PROPER(TRIM('Raw Sales'!G1578))</x:f>
        <x:v>Detroit</x:v>
      </x:c>
      <x:c r="K1578" s="84" t="str">
        <x:f>PROPER(TRIM('Raw Sales'!H1578))</x:f>
        <x:v>Online</x:v>
      </x:c>
      <x:c r="L1578" s="84" t="str">
        <x:f>'Raw Sales'!I1578</x:f>
        <x:v>ACCS-006</x:v>
      </x:c>
      <x:c r="M1578" s="84" t="str">
        <x:f>IFERROR(VLOOKUP(L1578,'Reference Data'!$A$5:$F$40,2,FALSE),"Unknown Product")</x:f>
        <x:v>Insulated Lunch Bag</x:v>
      </x:c>
      <x:c r="N1578" s="84" t="str">
        <x:f>IFERROR(VLOOKUP(L1578,'Reference Data'!$A$5:$F$40,3,FALSE),"Unknown")</x:f>
        <x:v>Accessories</x:v>
      </x:c>
      <x:c r="O1578" s="84" t="str">
        <x:f>IFERROR(VLOOKUP(L1578,'Reference Data'!$A$5:$F$40,4,FALSE),"Unknown")</x:f>
        <x:v>Bags</x:v>
      </x:c>
      <x:c r="P1578" s="92" t="n">
        <x:f>IFERROR(VLOOKUP(L1578,'Reference Data'!$A$5:$F$40,5,FALSE),0)</x:f>
        <x:v>29</x:v>
      </x:c>
      <x:c r="Q1578" s="92" t="n">
        <x:f>IFERROR(VLOOKUP(L1578,'Reference Data'!$A$5:$F$40,6,FALSE),0)</x:f>
        <x:v>10</x:v>
      </x:c>
      <x:c r="R1578" s="84" t="n">
        <x:f>'Raw Sales'!J1578</x:f>
        <x:v>1</x:v>
      </x:c>
      <x:c r="S1578" s="87" t="n">
        <x:f>'Raw Sales'!K1578</x:f>
        <x:v>0.05</x:v>
      </x:c>
      <x:c r="T1578" s="93" t="n">
        <x:f>P1578*R1578</x:f>
        <x:v>29</x:v>
      </x:c>
      <x:c r="U1578" s="93" t="n">
        <x:f>T1578*S1578</x:f>
        <x:v>1.4500000000000002</x:v>
      </x:c>
      <x:c r="V1578" s="93" t="str">
        <x:f>PROPER(TRIM('Raw Sales'!L1578))</x:f>
        <x:v>Completed</x:v>
      </x:c>
      <x:c r="W1578" s="93" t="n">
        <x:f>IF(V1578="Returned",0,T1578-U1578)</x:f>
        <x:v>27.55</x:v>
      </x:c>
      <x:c r="X1578" s="93" t="n">
        <x:f>IF(V1578="Returned",Q1578*R1578*10%,Q1578*R1578)</x:f>
        <x:v>10</x:v>
      </x:c>
      <x:c r="Y1578" s="93" t="n">
        <x:f>W1578-X1578</x:f>
        <x:v>17.55</x:v>
      </x:c>
      <x:c r="Z1578" s="94" t="n">
        <x:f>IFERROR(Y1578/W1578,0)</x:f>
        <x:v>0.6370235934664247</x:v>
      </x:c>
      <x:c r="AA1578" s="84" t="str">
        <x:f>PROPER(TRIM('Raw Sales'!M1578))</x:f>
        <x:v>Paypal</x:v>
      </x:c>
      <x:c r="AB1578" s="84" t="str">
        <x:f>PROPER(TRIM('Raw Sales'!N1578))</x:f>
        <x:v>Lucas Grant</x:v>
      </x:c>
      <x:c r="AC1578" s="85" t="n">
        <x:f>'Raw Sales'!O1578</x:f>
        <x:v>45816</x:v>
      </x:c>
      <x:c r="AD1578" s="84" t="n">
        <x:f>AC1578-B1578</x:f>
        <x:v>3</x:v>
      </x:c>
      <x:c r="AE1578" s="84" t="str">
        <x:f>IF(COUNTIF($A$5:A1578,A1578)&gt;1,"Duplicate","Keep")</x:f>
        <x:v>Keep</x:v>
      </x:c>
      <x:c r="AF1578" s="84" t="str">
        <x:f>IF(OR(R1578&lt;=0,AC1578&lt;B1578,H1578="Unknown",M1578="Unknown Product"),"Review","Valid")</x:f>
        <x:v>Valid</x:v>
      </x:c>
      <x:c r="AG1578" s="84" t="n">
        <x:f>IF(AND(AE1578="Keep",AF1578="Valid"),1,0)</x:f>
        <x:v>1</x:v>
      </x:c>
      <x:c r="AH1578" s="84" t="n">
        <x:f>IF(AND(AG1578=1,OR('Dashboard'!$B$4="All",I1578='Dashboard'!$B$4),OR('Dashboard'!$E$4="All",N1578='Dashboard'!$E$4),OR('Dashboard'!$H$4="All",K1578='Dashboard'!$H$4),OR('Dashboard'!$K$4="All",C1578='Dashboard'!$K$4)),1,0)</x:f>
        <x:v>1</x:v>
      </x:c>
      <x:c r="AI1578" s="84" t="n">
        <x:f>IF(AND(AG1578=1,OR('Dashboard'!$B$4="All",I1578='Dashboard'!$B$4),OR('Dashboard'!$E$4="All",N1578='Dashboard'!$E$4),OR('Dashboard'!$H$4="All",K1578='Dashboard'!$H$4)),1,0)</x:f>
        <x:v>1</x:v>
      </x:c>
    </x:row>
    <x:row r="1579">
      <x:c r="A1579" s="84" t="str">
        <x:f>'Raw Sales'!A1579</x:f>
        <x:v>ORD-2025-01720</x:v>
      </x:c>
      <x:c r="B1579" s="85" t="n">
        <x:f>'Raw Sales'!B1579</x:f>
        <x:v>45813</x:v>
      </x:c>
      <x:c r="C1579" s="84" t="n">
        <x:f>YEAR(B1579)</x:f>
        <x:v>2025</x:v>
      </x:c>
      <x:c r="D1579" s="91" t="n">
        <x:f>DATE(YEAR(B1579),MONTH(B1579),1)</x:f>
        <x:v>45809</x:v>
      </x:c>
      <x:c r="E1579" s="84" t="str">
        <x:f>TEXT(B1579,"mmm")</x:f>
        <x:v>Jun</x:v>
      </x:c>
      <x:c r="F1579" s="84" t="str">
        <x:f>'Raw Sales'!C1579</x:f>
        <x:v>CUST-0610</x:v>
      </x:c>
      <x:c r="G1579" s="84" t="str">
        <x:f>PROPER(TRIM('Raw Sales'!D1579))</x:f>
        <x:v>Grace Taylor</x:v>
      </x:c>
      <x:c r="H1579" s="84" t="str">
        <x:f>IF(TRIM('Raw Sales'!E1579)="","Unknown",PROPER(TRIM('Raw Sales'!E1579)))</x:f>
        <x:v>Consumer</x:v>
      </x:c>
      <x:c r="I1579" s="84" t="str">
        <x:f>PROPER(TRIM('Raw Sales'!F1579))</x:f>
        <x:v>Southeast</x:v>
      </x:c>
      <x:c r="J1579" s="84" t="str">
        <x:f>PROPER(TRIM('Raw Sales'!G1579))</x:f>
        <x:v>Miami</x:v>
      </x:c>
      <x:c r="K1579" s="84" t="str">
        <x:f>PROPER(TRIM('Raw Sales'!H1579))</x:f>
        <x:v>Online</x:v>
      </x:c>
      <x:c r="L1579" s="84" t="str">
        <x:f>'Raw Sales'!I1579</x:f>
        <x:v>ACCS-003</x:v>
      </x:c>
      <x:c r="M1579" s="84" t="str">
        <x:f>IFERROR(VLOOKUP(L1579,'Reference Data'!$A$5:$F$40,2,FALSE),"Unknown Product")</x:f>
        <x:v>Polarized Sunglasses</x:v>
      </x:c>
      <x:c r="N1579" s="84" t="str">
        <x:f>IFERROR(VLOOKUP(L1579,'Reference Data'!$A$5:$F$40,3,FALSE),"Unknown")</x:f>
        <x:v>Accessories</x:v>
      </x:c>
      <x:c r="O1579" s="84" t="str">
        <x:f>IFERROR(VLOOKUP(L1579,'Reference Data'!$A$5:$F$40,4,FALSE),"Unknown")</x:f>
        <x:v>Eyewear</x:v>
      </x:c>
      <x:c r="P1579" s="92" t="n">
        <x:f>IFERROR(VLOOKUP(L1579,'Reference Data'!$A$5:$F$40,5,FALSE),0)</x:f>
        <x:v>59</x:v>
      </x:c>
      <x:c r="Q1579" s="92" t="n">
        <x:f>IFERROR(VLOOKUP(L1579,'Reference Data'!$A$5:$F$40,6,FALSE),0)</x:f>
        <x:v>17</x:v>
      </x:c>
      <x:c r="R1579" s="84" t="n">
        <x:f>'Raw Sales'!J1579</x:f>
        <x:v>2</x:v>
      </x:c>
      <x:c r="S1579" s="87" t="n">
        <x:f>'Raw Sales'!K1579</x:f>
        <x:v>0.05</x:v>
      </x:c>
      <x:c r="T1579" s="93" t="n">
        <x:f>P1579*R1579</x:f>
        <x:v>118</x:v>
      </x:c>
      <x:c r="U1579" s="93" t="n">
        <x:f>T1579*S1579</x:f>
        <x:v>5.9</x:v>
      </x:c>
      <x:c r="V1579" s="93" t="str">
        <x:f>PROPER(TRIM('Raw Sales'!L1579))</x:f>
        <x:v>Completed</x:v>
      </x:c>
      <x:c r="W1579" s="93" t="n">
        <x:f>IF(V1579="Returned",0,T1579-U1579)</x:f>
        <x:v>112.1</x:v>
      </x:c>
      <x:c r="X1579" s="93" t="n">
        <x:f>IF(V1579="Returned",Q1579*R1579*10%,Q1579*R1579)</x:f>
        <x:v>34</x:v>
      </x:c>
      <x:c r="Y1579" s="93" t="n">
        <x:f>W1579-X1579</x:f>
        <x:v>78.1</x:v>
      </x:c>
      <x:c r="Z1579" s="94" t="n">
        <x:f>IFERROR(Y1579/W1579,0)</x:f>
        <x:v>0.6966993755575379</x:v>
      </x:c>
      <x:c r="AA1579" s="84" t="str">
        <x:f>PROPER(TRIM('Raw Sales'!M1579))</x:f>
        <x:v>Credit Card</x:v>
      </x:c>
      <x:c r="AB1579" s="84" t="str">
        <x:f>PROPER(TRIM('Raw Sales'!N1579))</x:f>
        <x:v>Liam Parker</x:v>
      </x:c>
      <x:c r="AC1579" s="85" t="n">
        <x:f>'Raw Sales'!O1579</x:f>
        <x:v>45816</x:v>
      </x:c>
      <x:c r="AD1579" s="84" t="n">
        <x:f>AC1579-B1579</x:f>
        <x:v>3</x:v>
      </x:c>
      <x:c r="AE1579" s="84" t="str">
        <x:f>IF(COUNTIF($A$5:A1579,A1579)&gt;1,"Duplicate","Keep")</x:f>
        <x:v>Keep</x:v>
      </x:c>
      <x:c r="AF1579" s="84" t="str">
        <x:f>IF(OR(R1579&lt;=0,AC1579&lt;B1579,H1579="Unknown",M1579="Unknown Product"),"Review","Valid")</x:f>
        <x:v>Valid</x:v>
      </x:c>
      <x:c r="AG1579" s="84" t="n">
        <x:f>IF(AND(AE1579="Keep",AF1579="Valid"),1,0)</x:f>
        <x:v>1</x:v>
      </x:c>
      <x:c r="AH1579" s="84" t="n">
        <x:f>IF(AND(AG1579=1,OR('Dashboard'!$B$4="All",I1579='Dashboard'!$B$4),OR('Dashboard'!$E$4="All",N1579='Dashboard'!$E$4),OR('Dashboard'!$H$4="All",K1579='Dashboard'!$H$4),OR('Dashboard'!$K$4="All",C1579='Dashboard'!$K$4)),1,0)</x:f>
        <x:v>1</x:v>
      </x:c>
      <x:c r="AI1579" s="84" t="n">
        <x:f>IF(AND(AG1579=1,OR('Dashboard'!$B$4="All",I1579='Dashboard'!$B$4),OR('Dashboard'!$E$4="All",N1579='Dashboard'!$E$4),OR('Dashboard'!$H$4="All",K1579='Dashboard'!$H$4)),1,0)</x:f>
        <x:v>1</x:v>
      </x:c>
    </x:row>
    <x:row r="1580">
      <x:c r="A1580" s="84" t="str">
        <x:f>'Raw Sales'!A1580</x:f>
        <x:v>ORD-2025-00762</x:v>
      </x:c>
      <x:c r="B1580" s="85" t="n">
        <x:f>'Raw Sales'!B1580</x:f>
        <x:v>45814</x:v>
      </x:c>
      <x:c r="C1580" s="84" t="n">
        <x:f>YEAR(B1580)</x:f>
        <x:v>2025</x:v>
      </x:c>
      <x:c r="D1580" s="91" t="n">
        <x:f>DATE(YEAR(B1580),MONTH(B1580),1)</x:f>
        <x:v>45809</x:v>
      </x:c>
      <x:c r="E1580" s="84" t="str">
        <x:f>TEXT(B1580,"mmm")</x:f>
        <x:v>Jun</x:v>
      </x:c>
      <x:c r="F1580" s="84" t="str">
        <x:f>'Raw Sales'!C1580</x:f>
        <x:v>CUST-0312</x:v>
      </x:c>
      <x:c r="G1580" s="84" t="str">
        <x:f>PROPER(TRIM('Raw Sales'!D1580))</x:f>
        <x:v>Theo Carter</x:v>
      </x:c>
      <x:c r="H1580" s="84" t="str">
        <x:f>IF(TRIM('Raw Sales'!E1580)="","Unknown",PROPER(TRIM('Raw Sales'!E1580)))</x:f>
        <x:v>Small Business</x:v>
      </x:c>
      <x:c r="I1580" s="84" t="str">
        <x:f>PROPER(TRIM('Raw Sales'!F1580))</x:f>
        <x:v>Southeast</x:v>
      </x:c>
      <x:c r="J1580" s="84" t="str">
        <x:f>PROPER(TRIM('Raw Sales'!G1580))</x:f>
        <x:v>Atlanta</x:v>
      </x:c>
      <x:c r="K1580" s="84" t="str">
        <x:f>PROPER(TRIM('Raw Sales'!H1580))</x:f>
        <x:v>Retail Store</x:v>
      </x:c>
      <x:c r="L1580" s="84" t="str">
        <x:f>'Raw Sales'!I1580</x:f>
        <x:v>ACCS-003</x:v>
      </x:c>
      <x:c r="M1580" s="84" t="str">
        <x:f>IFERROR(VLOOKUP(L1580,'Reference Data'!$A$5:$F$40,2,FALSE),"Unknown Product")</x:f>
        <x:v>Polarized Sunglasses</x:v>
      </x:c>
      <x:c r="N1580" s="84" t="str">
        <x:f>IFERROR(VLOOKUP(L1580,'Reference Data'!$A$5:$F$40,3,FALSE),"Unknown")</x:f>
        <x:v>Accessories</x:v>
      </x:c>
      <x:c r="O1580" s="84" t="str">
        <x:f>IFERROR(VLOOKUP(L1580,'Reference Data'!$A$5:$F$40,4,FALSE),"Unknown")</x:f>
        <x:v>Eyewear</x:v>
      </x:c>
      <x:c r="P1580" s="92" t="n">
        <x:f>IFERROR(VLOOKUP(L1580,'Reference Data'!$A$5:$F$40,5,FALSE),0)</x:f>
        <x:v>59</x:v>
      </x:c>
      <x:c r="Q1580" s="92" t="n">
        <x:f>IFERROR(VLOOKUP(L1580,'Reference Data'!$A$5:$F$40,6,FALSE),0)</x:f>
        <x:v>17</x:v>
      </x:c>
      <x:c r="R1580" s="84" t="n">
        <x:f>'Raw Sales'!J1580</x:f>
        <x:v>1</x:v>
      </x:c>
      <x:c r="S1580" s="87" t="n">
        <x:f>'Raw Sales'!K1580</x:f>
        <x:v>0.05</x:v>
      </x:c>
      <x:c r="T1580" s="93" t="n">
        <x:f>P1580*R1580</x:f>
        <x:v>59</x:v>
      </x:c>
      <x:c r="U1580" s="93" t="n">
        <x:f>T1580*S1580</x:f>
        <x:v>2.95</x:v>
      </x:c>
      <x:c r="V1580" s="93" t="str">
        <x:f>PROPER(TRIM('Raw Sales'!L1580))</x:f>
        <x:v>Completed</x:v>
      </x:c>
      <x:c r="W1580" s="93" t="n">
        <x:f>IF(V1580="Returned",0,T1580-U1580)</x:f>
        <x:v>56.05</x:v>
      </x:c>
      <x:c r="X1580" s="93" t="n">
        <x:f>IF(V1580="Returned",Q1580*R1580*10%,Q1580*R1580)</x:f>
        <x:v>17</x:v>
      </x:c>
      <x:c r="Y1580" s="93" t="n">
        <x:f>W1580-X1580</x:f>
        <x:v>39.05</x:v>
      </x:c>
      <x:c r="Z1580" s="94" t="n">
        <x:f>IFERROR(Y1580/W1580,0)</x:f>
        <x:v>0.6966993755575379</x:v>
      </x:c>
      <x:c r="AA1580" s="84" t="str">
        <x:f>PROPER(TRIM('Raw Sales'!M1580))</x:f>
        <x:v>Cash</x:v>
      </x:c>
      <x:c r="AB1580" s="84" t="str">
        <x:f>PROPER(TRIM('Raw Sales'!N1580))</x:f>
        <x:v>Noah Reed</x:v>
      </x:c>
      <x:c r="AC1580" s="85" t="n">
        <x:f>'Raw Sales'!O1580</x:f>
        <x:v>45814</x:v>
      </x:c>
      <x:c r="AD1580" s="84" t="n">
        <x:f>AC1580-B1580</x:f>
        <x:v>0</x:v>
      </x:c>
      <x:c r="AE1580" s="84" t="str">
        <x:f>IF(COUNTIF($A$5:A1580,A1580)&gt;1,"Duplicate","Keep")</x:f>
        <x:v>Keep</x:v>
      </x:c>
      <x:c r="AF1580" s="84" t="str">
        <x:f>IF(OR(R1580&lt;=0,AC1580&lt;B1580,H1580="Unknown",M1580="Unknown Product"),"Review","Valid")</x:f>
        <x:v>Valid</x:v>
      </x:c>
      <x:c r="AG1580" s="84" t="n">
        <x:f>IF(AND(AE1580="Keep",AF1580="Valid"),1,0)</x:f>
        <x:v>1</x:v>
      </x:c>
      <x:c r="AH1580" s="84" t="n">
        <x:f>IF(AND(AG1580=1,OR('Dashboard'!$B$4="All",I1580='Dashboard'!$B$4),OR('Dashboard'!$E$4="All",N1580='Dashboard'!$E$4),OR('Dashboard'!$H$4="All",K1580='Dashboard'!$H$4),OR('Dashboard'!$K$4="All",C1580='Dashboard'!$K$4)),1,0)</x:f>
        <x:v>1</x:v>
      </x:c>
      <x:c r="AI1580" s="84" t="n">
        <x:f>IF(AND(AG1580=1,OR('Dashboard'!$B$4="All",I1580='Dashboard'!$B$4),OR('Dashboard'!$E$4="All",N1580='Dashboard'!$E$4),OR('Dashboard'!$H$4="All",K1580='Dashboard'!$H$4)),1,0)</x:f>
        <x:v>1</x:v>
      </x:c>
    </x:row>
    <x:row r="1581">
      <x:c r="A1581" s="84" t="str">
        <x:f>'Raw Sales'!A1581</x:f>
        <x:v>ORD-2025-01235</x:v>
      </x:c>
      <x:c r="B1581" s="85" t="n">
        <x:f>'Raw Sales'!B1581</x:f>
        <x:v>45814</x:v>
      </x:c>
      <x:c r="C1581" s="84" t="n">
        <x:f>YEAR(B1581)</x:f>
        <x:v>2025</x:v>
      </x:c>
      <x:c r="D1581" s="91" t="n">
        <x:f>DATE(YEAR(B1581),MONTH(B1581),1)</x:f>
        <x:v>45809</x:v>
      </x:c>
      <x:c r="E1581" s="84" t="str">
        <x:f>TEXT(B1581,"mmm")</x:f>
        <x:v>Jun</x:v>
      </x:c>
      <x:c r="F1581" s="84" t="str">
        <x:f>'Raw Sales'!C1581</x:f>
        <x:v>CUST-0517</x:v>
      </x:c>
      <x:c r="G1581" s="84" t="str">
        <x:f>PROPER(TRIM('Raw Sales'!D1581))</x:f>
        <x:v>Layla Irwin</x:v>
      </x:c>
      <x:c r="H1581" s="84" t="str">
        <x:f>IF(TRIM('Raw Sales'!E1581)="","Unknown",PROPER(TRIM('Raw Sales'!E1581)))</x:f>
        <x:v>Corporate</x:v>
      </x:c>
      <x:c r="I1581" s="84" t="str">
        <x:f>PROPER(TRIM('Raw Sales'!F1581))</x:f>
        <x:v>Northeast</x:v>
      </x:c>
      <x:c r="J1581" s="84" t="str">
        <x:f>PROPER(TRIM('Raw Sales'!G1581))</x:f>
        <x:v>Newark</x:v>
      </x:c>
      <x:c r="K1581" s="84" t="str">
        <x:f>PROPER(TRIM('Raw Sales'!H1581))</x:f>
        <x:v>Retail Store</x:v>
      </x:c>
      <x:c r="L1581" s="84" t="str">
        <x:f>'Raw Sales'!I1581</x:f>
        <x:v>CARE-004</x:v>
      </x:c>
      <x:c r="M1581" s="84" t="str">
        <x:f>IFERROR(VLOOKUP(L1581,'Reference Data'!$A$5:$F$40,2,FALSE),"Unknown Product")</x:f>
        <x:v>Electric Toothbrush</x:v>
      </x:c>
      <x:c r="N1581" s="84" t="str">
        <x:f>IFERROR(VLOOKUP(L1581,'Reference Data'!$A$5:$F$40,3,FALSE),"Unknown")</x:f>
        <x:v>Personal Care</x:v>
      </x:c>
      <x:c r="O1581" s="84" t="str">
        <x:f>IFERROR(VLOOKUP(L1581,'Reference Data'!$A$5:$F$40,4,FALSE),"Unknown")</x:f>
        <x:v>Oral Care</x:v>
      </x:c>
      <x:c r="P1581" s="92" t="n">
        <x:f>IFERROR(VLOOKUP(L1581,'Reference Data'!$A$5:$F$40,5,FALSE),0)</x:f>
        <x:v>69</x:v>
      </x:c>
      <x:c r="Q1581" s="92" t="n">
        <x:f>IFERROR(VLOOKUP(L1581,'Reference Data'!$A$5:$F$40,6,FALSE),0)</x:f>
        <x:v>31</x:v>
      </x:c>
      <x:c r="R1581" s="84" t="n">
        <x:f>'Raw Sales'!J1581</x:f>
        <x:v>2</x:v>
      </x:c>
      <x:c r="S1581" s="87" t="n">
        <x:f>'Raw Sales'!K1581</x:f>
        <x:v>0</x:v>
      </x:c>
      <x:c r="T1581" s="93" t="n">
        <x:f>P1581*R1581</x:f>
        <x:v>138</x:v>
      </x:c>
      <x:c r="U1581" s="93" t="n">
        <x:f>T1581*S1581</x:f>
        <x:v>0</x:v>
      </x:c>
      <x:c r="V1581" s="93" t="str">
        <x:f>PROPER(TRIM('Raw Sales'!L1581))</x:f>
        <x:v>Returned</x:v>
      </x:c>
      <x:c r="W1581" s="93" t="n">
        <x:f>IF(V1581="Returned",0,T1581-U1581)</x:f>
        <x:v>0</x:v>
      </x:c>
      <x:c r="X1581" s="93" t="n">
        <x:f>IF(V1581="Returned",Q1581*R1581*10%,Q1581*R1581)</x:f>
        <x:v>6.2</x:v>
      </x:c>
      <x:c r="Y1581" s="93" t="n">
        <x:f>W1581-X1581</x:f>
        <x:v>-6.2</x:v>
      </x:c>
      <x:c r="Z1581" s="94" t="n">
        <x:f>IFERROR(Y1581/W1581,0)</x:f>
        <x:v>0</x:v>
      </x:c>
      <x:c r="AA1581" s="84" t="str">
        <x:f>PROPER(TRIM('Raw Sales'!M1581))</x:f>
        <x:v>Debit Card</x:v>
      </x:c>
      <x:c r="AB1581" s="84" t="str">
        <x:f>PROPER(TRIM('Raw Sales'!N1581))</x:f>
        <x:v>Sofia Bennett</x:v>
      </x:c>
      <x:c r="AC1581" s="85" t="n">
        <x:f>'Raw Sales'!O1581</x:f>
        <x:v>45814</x:v>
      </x:c>
      <x:c r="AD1581" s="84" t="n">
        <x:f>AC1581-B1581</x:f>
        <x:v>0</x:v>
      </x:c>
      <x:c r="AE1581" s="84" t="str">
        <x:f>IF(COUNTIF($A$5:A1581,A1581)&gt;1,"Duplicate","Keep")</x:f>
        <x:v>Keep</x:v>
      </x:c>
      <x:c r="AF1581" s="84" t="str">
        <x:f>IF(OR(R1581&lt;=0,AC1581&lt;B1581,H1581="Unknown",M1581="Unknown Product"),"Review","Valid")</x:f>
        <x:v>Valid</x:v>
      </x:c>
      <x:c r="AG1581" s="84" t="n">
        <x:f>IF(AND(AE1581="Keep",AF1581="Valid"),1,0)</x:f>
        <x:v>1</x:v>
      </x:c>
      <x:c r="AH1581" s="84" t="n">
        <x:f>IF(AND(AG1581=1,OR('Dashboard'!$B$4="All",I1581='Dashboard'!$B$4),OR('Dashboard'!$E$4="All",N1581='Dashboard'!$E$4),OR('Dashboard'!$H$4="All",K1581='Dashboard'!$H$4),OR('Dashboard'!$K$4="All",C1581='Dashboard'!$K$4)),1,0)</x:f>
        <x:v>1</x:v>
      </x:c>
      <x:c r="AI1581" s="84" t="n">
        <x:f>IF(AND(AG1581=1,OR('Dashboard'!$B$4="All",I1581='Dashboard'!$B$4),OR('Dashboard'!$E$4="All",N1581='Dashboard'!$E$4),OR('Dashboard'!$H$4="All",K1581='Dashboard'!$H$4)),1,0)</x:f>
        <x:v>1</x:v>
      </x:c>
    </x:row>
    <x:row r="1582">
      <x:c r="A1582" s="84" t="str">
        <x:f>'Raw Sales'!A1582</x:f>
        <x:v>ORD-2025-01426</x:v>
      </x:c>
      <x:c r="B1582" s="85" t="n">
        <x:f>'Raw Sales'!B1582</x:f>
        <x:v>45814</x:v>
      </x:c>
      <x:c r="C1582" s="84" t="n">
        <x:f>YEAR(B1582)</x:f>
        <x:v>2025</x:v>
      </x:c>
      <x:c r="D1582" s="91" t="n">
        <x:f>DATE(YEAR(B1582),MONTH(B1582),1)</x:f>
        <x:v>45809</x:v>
      </x:c>
      <x:c r="E1582" s="84" t="str">
        <x:f>TEXT(B1582,"mmm")</x:f>
        <x:v>Jun</x:v>
      </x:c>
      <x:c r="F1582" s="84" t="str">
        <x:f>'Raw Sales'!C1582</x:f>
        <x:v>CUST-0591</x:v>
      </x:c>
      <x:c r="G1582" s="84" t="str">
        <x:f>PROPER(TRIM('Raw Sales'!D1582))</x:f>
        <x:v>Grace Quinn</x:v>
      </x:c>
      <x:c r="H1582" s="84" t="str">
        <x:f>IF(TRIM('Raw Sales'!E1582)="","Unknown",PROPER(TRIM('Raw Sales'!E1582)))</x:f>
        <x:v>Consumer</x:v>
      </x:c>
      <x:c r="I1582" s="84" t="str">
        <x:f>PROPER(TRIM('Raw Sales'!F1582))</x:f>
        <x:v>Northeast</x:v>
      </x:c>
      <x:c r="J1582" s="84" t="str">
        <x:f>PROPER(TRIM('Raw Sales'!G1582))</x:f>
        <x:v>Philadelphia</x:v>
      </x:c>
      <x:c r="K1582" s="84" t="str">
        <x:f>PROPER(TRIM('Raw Sales'!H1582))</x:f>
        <x:v>Online</x:v>
      </x:c>
      <x:c r="L1582" s="84" t="str">
        <x:f>'Raw Sales'!I1582</x:f>
        <x:v>ELEC-002</x:v>
      </x:c>
      <x:c r="M1582" s="84" t="str">
        <x:f>IFERROR(VLOOKUP(L1582,'Reference Data'!$A$5:$F$40,2,FALSE),"Unknown Product")</x:f>
        <x:v>Smartwatch</x:v>
      </x:c>
      <x:c r="N1582" s="84" t="str">
        <x:f>IFERROR(VLOOKUP(L1582,'Reference Data'!$A$5:$F$40,3,FALSE),"Unknown")</x:f>
        <x:v>Electronics</x:v>
      </x:c>
      <x:c r="O1582" s="84" t="str">
        <x:f>IFERROR(VLOOKUP(L1582,'Reference Data'!$A$5:$F$40,4,FALSE),"Unknown")</x:f>
        <x:v>Wearables</x:v>
      </x:c>
      <x:c r="P1582" s="92" t="n">
        <x:f>IFERROR(VLOOKUP(L1582,'Reference Data'!$A$5:$F$40,5,FALSE),0)</x:f>
        <x:v>159</x:v>
      </x:c>
      <x:c r="Q1582" s="92" t="n">
        <x:f>IFERROR(VLOOKUP(L1582,'Reference Data'!$A$5:$F$40,6,FALSE),0)</x:f>
        <x:v>92</x:v>
      </x:c>
      <x:c r="R1582" s="84" t="n">
        <x:f>'Raw Sales'!J1582</x:f>
        <x:v>4</x:v>
      </x:c>
      <x:c r="S1582" s="87" t="n">
        <x:f>'Raw Sales'!K1582</x:f>
        <x:v>0</x:v>
      </x:c>
      <x:c r="T1582" s="93" t="n">
        <x:f>P1582*R1582</x:f>
        <x:v>636</x:v>
      </x:c>
      <x:c r="U1582" s="93" t="n">
        <x:f>T1582*S1582</x:f>
        <x:v>0</x:v>
      </x:c>
      <x:c r="V1582" s="93" t="str">
        <x:f>PROPER(TRIM('Raw Sales'!L1582))</x:f>
        <x:v>Completed</x:v>
      </x:c>
      <x:c r="W1582" s="93" t="n">
        <x:f>IF(V1582="Returned",0,T1582-U1582)</x:f>
        <x:v>636</x:v>
      </x:c>
      <x:c r="X1582" s="93" t="n">
        <x:f>IF(V1582="Returned",Q1582*R1582*10%,Q1582*R1582)</x:f>
        <x:v>368</x:v>
      </x:c>
      <x:c r="Y1582" s="93" t="n">
        <x:f>W1582-X1582</x:f>
        <x:v>268</x:v>
      </x:c>
      <x:c r="Z1582" s="94" t="n">
        <x:f>IFERROR(Y1582/W1582,0)</x:f>
        <x:v>0.42138364779874216</x:v>
      </x:c>
      <x:c r="AA1582" s="84" t="str">
        <x:f>PROPER(TRIM('Raw Sales'!M1582))</x:f>
        <x:v>Debit Card</x:v>
      </x:c>
      <x:c r="AB1582" s="84" t="str">
        <x:f>PROPER(TRIM('Raw Sales'!N1582))</x:f>
        <x:v>Sofia Bennett</x:v>
      </x:c>
      <x:c r="AC1582" s="85" t="n">
        <x:f>'Raw Sales'!O1582</x:f>
        <x:v>45818</x:v>
      </x:c>
      <x:c r="AD1582" s="84" t="n">
        <x:f>AC1582-B1582</x:f>
        <x:v>4</x:v>
      </x:c>
      <x:c r="AE1582" s="84" t="str">
        <x:f>IF(COUNTIF($A$5:A1582,A1582)&gt;1,"Duplicate","Keep")</x:f>
        <x:v>Keep</x:v>
      </x:c>
      <x:c r="AF1582" s="84" t="str">
        <x:f>IF(OR(R1582&lt;=0,AC1582&lt;B1582,H1582="Unknown",M1582="Unknown Product"),"Review","Valid")</x:f>
        <x:v>Valid</x:v>
      </x:c>
      <x:c r="AG1582" s="84" t="n">
        <x:f>IF(AND(AE1582="Keep",AF1582="Valid"),1,0)</x:f>
        <x:v>1</x:v>
      </x:c>
      <x:c r="AH1582" s="84" t="n">
        <x:f>IF(AND(AG1582=1,OR('Dashboard'!$B$4="All",I1582='Dashboard'!$B$4),OR('Dashboard'!$E$4="All",N1582='Dashboard'!$E$4),OR('Dashboard'!$H$4="All",K1582='Dashboard'!$H$4),OR('Dashboard'!$K$4="All",C1582='Dashboard'!$K$4)),1,0)</x:f>
        <x:v>1</x:v>
      </x:c>
      <x:c r="AI1582" s="84" t="n">
        <x:f>IF(AND(AG1582=1,OR('Dashboard'!$B$4="All",I1582='Dashboard'!$B$4),OR('Dashboard'!$E$4="All",N1582='Dashboard'!$E$4),OR('Dashboard'!$H$4="All",K1582='Dashboard'!$H$4)),1,0)</x:f>
        <x:v>1</x:v>
      </x:c>
    </x:row>
    <x:row r="1583">
      <x:c r="A1583" s="84" t="str">
        <x:f>'Raw Sales'!A1583</x:f>
        <x:v>ORD-2025-01885</x:v>
      </x:c>
      <x:c r="B1583" s="85" t="n">
        <x:f>'Raw Sales'!B1583</x:f>
        <x:v>45814</x:v>
      </x:c>
      <x:c r="C1583" s="84" t="n">
        <x:f>YEAR(B1583)</x:f>
        <x:v>2025</x:v>
      </x:c>
      <x:c r="D1583" s="91" t="n">
        <x:f>DATE(YEAR(B1583),MONTH(B1583),1)</x:f>
        <x:v>45809</x:v>
      </x:c>
      <x:c r="E1583" s="84" t="str">
        <x:f>TEXT(B1583,"mmm")</x:f>
        <x:v>Jun</x:v>
      </x:c>
      <x:c r="F1583" s="84" t="str">
        <x:f>'Raw Sales'!C1583</x:f>
        <x:v>CUST-0081</x:v>
      </x:c>
      <x:c r="G1583" s="84" t="str">
        <x:f>PROPER(TRIM('Raw Sales'!D1583))</x:f>
        <x:v>Grace Young</x:v>
      </x:c>
      <x:c r="H1583" s="84" t="str">
        <x:f>IF(TRIM('Raw Sales'!E1583)="","Unknown",PROPER(TRIM('Raw Sales'!E1583)))</x:f>
        <x:v>Small Business</x:v>
      </x:c>
      <x:c r="I1583" s="84" t="str">
        <x:f>PROPER(TRIM('Raw Sales'!F1583))</x:f>
        <x:v>Northeast</x:v>
      </x:c>
      <x:c r="J1583" s="84" t="str">
        <x:f>PROPER(TRIM('Raw Sales'!G1583))</x:f>
        <x:v>New York</x:v>
      </x:c>
      <x:c r="K1583" s="84" t="str">
        <x:f>PROPER(TRIM('Raw Sales'!H1583))</x:f>
        <x:v>Retail Store</x:v>
      </x:c>
      <x:c r="L1583" s="84" t="str">
        <x:f>'Raw Sales'!I1583</x:f>
        <x:v>CARE-003</x:v>
      </x:c>
      <x:c r="M1583" s="84" t="str">
        <x:f>IFERROR(VLOOKUP(L1583,'Reference Data'!$A$5:$F$40,2,FALSE),"Unknown Product")</x:f>
        <x:v>Facial Cleanser</x:v>
      </x:c>
      <x:c r="N1583" s="84" t="str">
        <x:f>IFERROR(VLOOKUP(L1583,'Reference Data'!$A$5:$F$40,3,FALSE),"Unknown")</x:f>
        <x:v>Personal Care</x:v>
      </x:c>
      <x:c r="O1583" s="84" t="str">
        <x:f>IFERROR(VLOOKUP(L1583,'Reference Data'!$A$5:$F$40,4,FALSE),"Unknown")</x:f>
        <x:v>Skin Care</x:v>
      </x:c>
      <x:c r="P1583" s="92" t="n">
        <x:f>IFERROR(VLOOKUP(L1583,'Reference Data'!$A$5:$F$40,5,FALSE),0)</x:f>
        <x:v>18</x:v>
      </x:c>
      <x:c r="Q1583" s="92" t="n">
        <x:f>IFERROR(VLOOKUP(L1583,'Reference Data'!$A$5:$F$40,6,FALSE),0)</x:f>
        <x:v>6</x:v>
      </x:c>
      <x:c r="R1583" s="84" t="n">
        <x:f>'Raw Sales'!J1583</x:f>
        <x:v>1</x:v>
      </x:c>
      <x:c r="S1583" s="87" t="n">
        <x:f>'Raw Sales'!K1583</x:f>
        <x:v>0.1</x:v>
      </x:c>
      <x:c r="T1583" s="93" t="n">
        <x:f>P1583*R1583</x:f>
        <x:v>18</x:v>
      </x:c>
      <x:c r="U1583" s="93" t="n">
        <x:f>T1583*S1583</x:f>
        <x:v>1.8</x:v>
      </x:c>
      <x:c r="V1583" s="93" t="str">
        <x:f>PROPER(TRIM('Raw Sales'!L1583))</x:f>
        <x:v>Completed</x:v>
      </x:c>
      <x:c r="W1583" s="93" t="n">
        <x:f>IF(V1583="Returned",0,T1583-U1583)</x:f>
        <x:v>16.2</x:v>
      </x:c>
      <x:c r="X1583" s="93" t="n">
        <x:f>IF(V1583="Returned",Q1583*R1583*10%,Q1583*R1583)</x:f>
        <x:v>6</x:v>
      </x:c>
      <x:c r="Y1583" s="93" t="n">
        <x:f>W1583-X1583</x:f>
        <x:v>10.2</x:v>
      </x:c>
      <x:c r="Z1583" s="94" t="n">
        <x:f>IFERROR(Y1583/W1583,0)</x:f>
        <x:v>0.6296296296296297</x:v>
      </x:c>
      <x:c r="AA1583" s="84" t="str">
        <x:f>PROPER(TRIM('Raw Sales'!M1583))</x:f>
        <x:v>Debit Card</x:v>
      </x:c>
      <x:c r="AB1583" s="84" t="str">
        <x:f>PROPER(TRIM('Raw Sales'!N1583))</x:f>
        <x:v>Ethan Cole</x:v>
      </x:c>
      <x:c r="AC1583" s="85" t="n">
        <x:f>'Raw Sales'!O1583</x:f>
        <x:v>45815</x:v>
      </x:c>
      <x:c r="AD1583" s="84" t="n">
        <x:f>AC1583-B1583</x:f>
        <x:v>1</x:v>
      </x:c>
      <x:c r="AE1583" s="84" t="str">
        <x:f>IF(COUNTIF($A$5:A1583,A1583)&gt;1,"Duplicate","Keep")</x:f>
        <x:v>Keep</x:v>
      </x:c>
      <x:c r="AF1583" s="84" t="str">
        <x:f>IF(OR(R1583&lt;=0,AC1583&lt;B1583,H1583="Unknown",M1583="Unknown Product"),"Review","Valid")</x:f>
        <x:v>Valid</x:v>
      </x:c>
      <x:c r="AG1583" s="84" t="n">
        <x:f>IF(AND(AE1583="Keep",AF1583="Valid"),1,0)</x:f>
        <x:v>1</x:v>
      </x:c>
      <x:c r="AH1583" s="84" t="n">
        <x:f>IF(AND(AG1583=1,OR('Dashboard'!$B$4="All",I1583='Dashboard'!$B$4),OR('Dashboard'!$E$4="All",N1583='Dashboard'!$E$4),OR('Dashboard'!$H$4="All",K1583='Dashboard'!$H$4),OR('Dashboard'!$K$4="All",C1583='Dashboard'!$K$4)),1,0)</x:f>
        <x:v>1</x:v>
      </x:c>
      <x:c r="AI1583" s="84" t="n">
        <x:f>IF(AND(AG1583=1,OR('Dashboard'!$B$4="All",I1583='Dashboard'!$B$4),OR('Dashboard'!$E$4="All",N1583='Dashboard'!$E$4),OR('Dashboard'!$H$4="All",K1583='Dashboard'!$H$4)),1,0)</x:f>
        <x:v>1</x:v>
      </x:c>
    </x:row>
    <x:row r="1584">
      <x:c r="A1584" s="84" t="str">
        <x:f>'Raw Sales'!A1584</x:f>
        <x:v>ORD-2025-01885</x:v>
      </x:c>
      <x:c r="B1584" s="85" t="n">
        <x:f>'Raw Sales'!B1584</x:f>
        <x:v>45814</x:v>
      </x:c>
      <x:c r="C1584" s="84" t="n">
        <x:f>YEAR(B1584)</x:f>
        <x:v>2025</x:v>
      </x:c>
      <x:c r="D1584" s="91" t="n">
        <x:f>DATE(YEAR(B1584),MONTH(B1584),1)</x:f>
        <x:v>45809</x:v>
      </x:c>
      <x:c r="E1584" s="84" t="str">
        <x:f>TEXT(B1584,"mmm")</x:f>
        <x:v>Jun</x:v>
      </x:c>
      <x:c r="F1584" s="84" t="str">
        <x:f>'Raw Sales'!C1584</x:f>
        <x:v>CUST-0081</x:v>
      </x:c>
      <x:c r="G1584" s="84" t="str">
        <x:f>PROPER(TRIM('Raw Sales'!D1584))</x:f>
        <x:v>Grace Young</x:v>
      </x:c>
      <x:c r="H1584" s="84" t="str">
        <x:f>IF(TRIM('Raw Sales'!E1584)="","Unknown",PROPER(TRIM('Raw Sales'!E1584)))</x:f>
        <x:v>Small Business</x:v>
      </x:c>
      <x:c r="I1584" s="84" t="str">
        <x:f>PROPER(TRIM('Raw Sales'!F1584))</x:f>
        <x:v>Northeast</x:v>
      </x:c>
      <x:c r="J1584" s="84" t="str">
        <x:f>PROPER(TRIM('Raw Sales'!G1584))</x:f>
        <x:v>New York</x:v>
      </x:c>
      <x:c r="K1584" s="84" t="str">
        <x:f>PROPER(TRIM('Raw Sales'!H1584))</x:f>
        <x:v>Retail Store</x:v>
      </x:c>
      <x:c r="L1584" s="84" t="str">
        <x:f>'Raw Sales'!I1584</x:f>
        <x:v>CARE-003</x:v>
      </x:c>
      <x:c r="M1584" s="84" t="str">
        <x:f>IFERROR(VLOOKUP(L1584,'Reference Data'!$A$5:$F$40,2,FALSE),"Unknown Product")</x:f>
        <x:v>Facial Cleanser</x:v>
      </x:c>
      <x:c r="N1584" s="84" t="str">
        <x:f>IFERROR(VLOOKUP(L1584,'Reference Data'!$A$5:$F$40,3,FALSE),"Unknown")</x:f>
        <x:v>Personal Care</x:v>
      </x:c>
      <x:c r="O1584" s="84" t="str">
        <x:f>IFERROR(VLOOKUP(L1584,'Reference Data'!$A$5:$F$40,4,FALSE),"Unknown")</x:f>
        <x:v>Skin Care</x:v>
      </x:c>
      <x:c r="P1584" s="92" t="n">
        <x:f>IFERROR(VLOOKUP(L1584,'Reference Data'!$A$5:$F$40,5,FALSE),0)</x:f>
        <x:v>18</x:v>
      </x:c>
      <x:c r="Q1584" s="92" t="n">
        <x:f>IFERROR(VLOOKUP(L1584,'Reference Data'!$A$5:$F$40,6,FALSE),0)</x:f>
        <x:v>6</x:v>
      </x:c>
      <x:c r="R1584" s="84" t="n">
        <x:f>'Raw Sales'!J1584</x:f>
        <x:v>1</x:v>
      </x:c>
      <x:c r="S1584" s="87" t="n">
        <x:f>'Raw Sales'!K1584</x:f>
        <x:v>0.1</x:v>
      </x:c>
      <x:c r="T1584" s="93" t="n">
        <x:f>P1584*R1584</x:f>
        <x:v>18</x:v>
      </x:c>
      <x:c r="U1584" s="93" t="n">
        <x:f>T1584*S1584</x:f>
        <x:v>1.8</x:v>
      </x:c>
      <x:c r="V1584" s="93" t="str">
        <x:f>PROPER(TRIM('Raw Sales'!L1584))</x:f>
        <x:v>Completed</x:v>
      </x:c>
      <x:c r="W1584" s="93" t="n">
        <x:f>IF(V1584="Returned",0,T1584-U1584)</x:f>
        <x:v>16.2</x:v>
      </x:c>
      <x:c r="X1584" s="93" t="n">
        <x:f>IF(V1584="Returned",Q1584*R1584*10%,Q1584*R1584)</x:f>
        <x:v>6</x:v>
      </x:c>
      <x:c r="Y1584" s="93" t="n">
        <x:f>W1584-X1584</x:f>
        <x:v>10.2</x:v>
      </x:c>
      <x:c r="Z1584" s="94" t="n">
        <x:f>IFERROR(Y1584/W1584,0)</x:f>
        <x:v>0.6296296296296297</x:v>
      </x:c>
      <x:c r="AA1584" s="84" t="str">
        <x:f>PROPER(TRIM('Raw Sales'!M1584))</x:f>
        <x:v>Debit Card</x:v>
      </x:c>
      <x:c r="AB1584" s="84" t="str">
        <x:f>PROPER(TRIM('Raw Sales'!N1584))</x:f>
        <x:v>Ethan Cole</x:v>
      </x:c>
      <x:c r="AC1584" s="85" t="n">
        <x:f>'Raw Sales'!O1584</x:f>
        <x:v>45815</x:v>
      </x:c>
      <x:c r="AD1584" s="84" t="n">
        <x:f>AC1584-B1584</x:f>
        <x:v>1</x:v>
      </x:c>
      <x:c r="AE1584" s="84" t="str">
        <x:f>IF(COUNTIF($A$5:A1584,A1584)&gt;1,"Duplicate","Keep")</x:f>
        <x:v>Duplicate</x:v>
      </x:c>
      <x:c r="AF1584" s="84" t="str">
        <x:f>IF(OR(R1584&lt;=0,AC1584&lt;B1584,H1584="Unknown",M1584="Unknown Product"),"Review","Valid")</x:f>
        <x:v>Valid</x:v>
      </x:c>
      <x:c r="AG1584" s="84" t="n">
        <x:f>IF(AND(AE1584="Keep",AF1584="Valid"),1,0)</x:f>
        <x:v>0</x:v>
      </x:c>
      <x:c r="AH1584" s="84" t="n">
        <x:f>IF(AND(AG1584=1,OR('Dashboard'!$B$4="All",I1584='Dashboard'!$B$4),OR('Dashboard'!$E$4="All",N1584='Dashboard'!$E$4),OR('Dashboard'!$H$4="All",K1584='Dashboard'!$H$4),OR('Dashboard'!$K$4="All",C1584='Dashboard'!$K$4)),1,0)</x:f>
        <x:v>0</x:v>
      </x:c>
      <x:c r="AI1584" s="84" t="n">
        <x:f>IF(AND(AG1584=1,OR('Dashboard'!$B$4="All",I1584='Dashboard'!$B$4),OR('Dashboard'!$E$4="All",N1584='Dashboard'!$E$4),OR('Dashboard'!$H$4="All",K1584='Dashboard'!$H$4)),1,0)</x:f>
        <x:v>0</x:v>
      </x:c>
    </x:row>
    <x:row r="1585">
      <x:c r="A1585" s="84" t="str">
        <x:f>'Raw Sales'!A1585</x:f>
        <x:v>ORD-2025-01066</x:v>
      </x:c>
      <x:c r="B1585" s="85" t="n">
        <x:f>'Raw Sales'!B1585</x:f>
        <x:v>45815</x:v>
      </x:c>
      <x:c r="C1585" s="84" t="n">
        <x:f>YEAR(B1585)</x:f>
        <x:v>2025</x:v>
      </x:c>
      <x:c r="D1585" s="91" t="n">
        <x:f>DATE(YEAR(B1585),MONTH(B1585),1)</x:f>
        <x:v>45809</x:v>
      </x:c>
      <x:c r="E1585" s="84" t="str">
        <x:f>TEXT(B1585,"mmm")</x:f>
        <x:v>Jun</x:v>
      </x:c>
      <x:c r="F1585" s="84" t="str">
        <x:f>'Raw Sales'!C1585</x:f>
        <x:v>CUST-0127</x:v>
      </x:c>
      <x:c r="G1585" s="84" t="str">
        <x:f>PROPER(TRIM('Raw Sales'!D1585))</x:f>
        <x:v>Elias Nelson</x:v>
      </x:c>
      <x:c r="H1585" s="84" t="str">
        <x:f>IF(TRIM('Raw Sales'!E1585)="","Unknown",PROPER(TRIM('Raw Sales'!E1585)))</x:f>
        <x:v>Corporate</x:v>
      </x:c>
      <x:c r="I1585" s="84" t="str">
        <x:f>PROPER(TRIM('Raw Sales'!F1585))</x:f>
        <x:v>West</x:v>
      </x:c>
      <x:c r="J1585" s="84" t="str">
        <x:f>PROPER(TRIM('Raw Sales'!G1585))</x:f>
        <x:v>Seattle</x:v>
      </x:c>
      <x:c r="K1585" s="84" t="str">
        <x:f>PROPER(TRIM('Raw Sales'!H1585))</x:f>
        <x:v>Retail Store</x:v>
      </x:c>
      <x:c r="L1585" s="84" t="str">
        <x:f>'Raw Sales'!I1585</x:f>
        <x:v>ELEC-006</x:v>
      </x:c>
      <x:c r="M1585" s="84" t="str">
        <x:f>IFERROR(VLOOKUP(L1585,'Reference Data'!$A$5:$F$40,2,FALSE),"Unknown Product")</x:f>
        <x:v>Portable SSD</x:v>
      </x:c>
      <x:c r="N1585" s="84" t="str">
        <x:f>IFERROR(VLOOKUP(L1585,'Reference Data'!$A$5:$F$40,3,FALSE),"Unknown")</x:f>
        <x:v>Electronics</x:v>
      </x:c>
      <x:c r="O1585" s="84" t="str">
        <x:f>IFERROR(VLOOKUP(L1585,'Reference Data'!$A$5:$F$40,4,FALSE),"Unknown")</x:f>
        <x:v>Storage</x:v>
      </x:c>
      <x:c r="P1585" s="92" t="n">
        <x:f>IFERROR(VLOOKUP(L1585,'Reference Data'!$A$5:$F$40,5,FALSE),0)</x:f>
        <x:v>129</x:v>
      </x:c>
      <x:c r="Q1585" s="92" t="n">
        <x:f>IFERROR(VLOOKUP(L1585,'Reference Data'!$A$5:$F$40,6,FALSE),0)</x:f>
        <x:v>75</x:v>
      </x:c>
      <x:c r="R1585" s="84" t="n">
        <x:f>'Raw Sales'!J1585</x:f>
        <x:v>3</x:v>
      </x:c>
      <x:c r="S1585" s="87" t="n">
        <x:f>'Raw Sales'!K1585</x:f>
        <x:v>0.05</x:v>
      </x:c>
      <x:c r="T1585" s="93" t="n">
        <x:f>P1585*R1585</x:f>
        <x:v>387</x:v>
      </x:c>
      <x:c r="U1585" s="93" t="n">
        <x:f>T1585*S1585</x:f>
        <x:v>19.35</x:v>
      </x:c>
      <x:c r="V1585" s="93" t="str">
        <x:f>PROPER(TRIM('Raw Sales'!L1585))</x:f>
        <x:v>Completed</x:v>
      </x:c>
      <x:c r="W1585" s="93" t="n">
        <x:f>IF(V1585="Returned",0,T1585-U1585)</x:f>
        <x:v>367.65</x:v>
      </x:c>
      <x:c r="X1585" s="93" t="n">
        <x:f>IF(V1585="Returned",Q1585*R1585*10%,Q1585*R1585)</x:f>
        <x:v>225</x:v>
      </x:c>
      <x:c r="Y1585" s="93" t="n">
        <x:f>W1585-X1585</x:f>
        <x:v>142.64999999999998</x:v>
      </x:c>
      <x:c r="Z1585" s="94" t="n">
        <x:f>IFERROR(Y1585/W1585,0)</x:f>
        <x:v>0.38800489596083226</x:v>
      </x:c>
      <x:c r="AA1585" s="84" t="str">
        <x:f>PROPER(TRIM('Raw Sales'!M1585))</x:f>
        <x:v>Credit Card</x:v>
      </x:c>
      <x:c r="AB1585" s="84" t="str">
        <x:f>PROPER(TRIM('Raw Sales'!N1585))</x:f>
        <x:v>Mia Chen</x:v>
      </x:c>
      <x:c r="AC1585" s="85" t="n">
        <x:f>'Raw Sales'!O1585</x:f>
        <x:v>45815</x:v>
      </x:c>
      <x:c r="AD1585" s="84" t="n">
        <x:f>AC1585-B1585</x:f>
        <x:v>0</x:v>
      </x:c>
      <x:c r="AE1585" s="84" t="str">
        <x:f>IF(COUNTIF($A$5:A1585,A1585)&gt;1,"Duplicate","Keep")</x:f>
        <x:v>Keep</x:v>
      </x:c>
      <x:c r="AF1585" s="84" t="str">
        <x:f>IF(OR(R1585&lt;=0,AC1585&lt;B1585,H1585="Unknown",M1585="Unknown Product"),"Review","Valid")</x:f>
        <x:v>Valid</x:v>
      </x:c>
      <x:c r="AG1585" s="84" t="n">
        <x:f>IF(AND(AE1585="Keep",AF1585="Valid"),1,0)</x:f>
        <x:v>1</x:v>
      </x:c>
      <x:c r="AH1585" s="84" t="n">
        <x:f>IF(AND(AG1585=1,OR('Dashboard'!$B$4="All",I1585='Dashboard'!$B$4),OR('Dashboard'!$E$4="All",N1585='Dashboard'!$E$4),OR('Dashboard'!$H$4="All",K1585='Dashboard'!$H$4),OR('Dashboard'!$K$4="All",C1585='Dashboard'!$K$4)),1,0)</x:f>
        <x:v>1</x:v>
      </x:c>
      <x:c r="AI1585" s="84" t="n">
        <x:f>IF(AND(AG1585=1,OR('Dashboard'!$B$4="All",I1585='Dashboard'!$B$4),OR('Dashboard'!$E$4="All",N1585='Dashboard'!$E$4),OR('Dashboard'!$H$4="All",K1585='Dashboard'!$H$4)),1,0)</x:f>
        <x:v>1</x:v>
      </x:c>
    </x:row>
    <x:row r="1586">
      <x:c r="A1586" s="84" t="str">
        <x:f>'Raw Sales'!A1586</x:f>
        <x:v>ORD-2025-01974</x:v>
      </x:c>
      <x:c r="B1586" s="85" t="n">
        <x:f>'Raw Sales'!B1586</x:f>
        <x:v>45815</x:v>
      </x:c>
      <x:c r="C1586" s="84" t="n">
        <x:f>YEAR(B1586)</x:f>
        <x:v>2025</x:v>
      </x:c>
      <x:c r="D1586" s="91" t="n">
        <x:f>DATE(YEAR(B1586),MONTH(B1586),1)</x:f>
        <x:v>45809</x:v>
      </x:c>
      <x:c r="E1586" s="84" t="str">
        <x:f>TEXT(B1586,"mmm")</x:f>
        <x:v>Jun</x:v>
      </x:c>
      <x:c r="F1586" s="84" t="str">
        <x:f>'Raw Sales'!C1586</x:f>
        <x:v>CUST-0174</x:v>
      </x:c>
      <x:c r="G1586" s="84" t="str">
        <x:f>PROPER(TRIM('Raw Sales'!D1586))</x:f>
        <x:v>Victoria Walker</x:v>
      </x:c>
      <x:c r="H1586" s="84" t="str">
        <x:f>IF(TRIM('Raw Sales'!E1586)="","Unknown",PROPER(TRIM('Raw Sales'!E1586)))</x:f>
        <x:v>Small Business</x:v>
      </x:c>
      <x:c r="I1586" s="84" t="str">
        <x:f>PROPER(TRIM('Raw Sales'!F1586))</x:f>
        <x:v>Northeast</x:v>
      </x:c>
      <x:c r="J1586" s="84" t="str">
        <x:f>PROPER(TRIM('Raw Sales'!G1586))</x:f>
        <x:v>New York</x:v>
      </x:c>
      <x:c r="K1586" s="84" t="str">
        <x:f>PROPER(TRIM('Raw Sales'!H1586))</x:f>
        <x:v>Marketplace</x:v>
      </x:c>
      <x:c r="L1586" s="84" t="str">
        <x:f>'Raw Sales'!I1586</x:f>
        <x:v>FITN-004</x:v>
      </x:c>
      <x:c r="M1586" s="84" t="str">
        <x:f>IFERROR(VLOOKUP(L1586,'Reference Data'!$A$5:$F$40,2,FALSE),"Unknown Product")</x:f>
        <x:v>Fitness Tracker</x:v>
      </x:c>
      <x:c r="N1586" s="84" t="str">
        <x:f>IFERROR(VLOOKUP(L1586,'Reference Data'!$A$5:$F$40,3,FALSE),"Unknown")</x:f>
        <x:v>Fitness</x:v>
      </x:c>
      <x:c r="O1586" s="84" t="str">
        <x:f>IFERROR(VLOOKUP(L1586,'Reference Data'!$A$5:$F$40,4,FALSE),"Unknown")</x:f>
        <x:v>Wearables</x:v>
      </x:c>
      <x:c r="P1586" s="92" t="n">
        <x:f>IFERROR(VLOOKUP(L1586,'Reference Data'!$A$5:$F$40,5,FALSE),0)</x:f>
        <x:v>89</x:v>
      </x:c>
      <x:c r="Q1586" s="92" t="n">
        <x:f>IFERROR(VLOOKUP(L1586,'Reference Data'!$A$5:$F$40,6,FALSE),0)</x:f>
        <x:v>44</x:v>
      </x:c>
      <x:c r="R1586" s="84" t="n">
        <x:f>'Raw Sales'!J1586</x:f>
        <x:v>3</x:v>
      </x:c>
      <x:c r="S1586" s="87" t="n">
        <x:f>'Raw Sales'!K1586</x:f>
        <x:v>0</x:v>
      </x:c>
      <x:c r="T1586" s="93" t="n">
        <x:f>P1586*R1586</x:f>
        <x:v>267</x:v>
      </x:c>
      <x:c r="U1586" s="93" t="n">
        <x:f>T1586*S1586</x:f>
        <x:v>0</x:v>
      </x:c>
      <x:c r="V1586" s="93" t="str">
        <x:f>PROPER(TRIM('Raw Sales'!L1586))</x:f>
        <x:v>Completed</x:v>
      </x:c>
      <x:c r="W1586" s="93" t="n">
        <x:f>IF(V1586="Returned",0,T1586-U1586)</x:f>
        <x:v>267</x:v>
      </x:c>
      <x:c r="X1586" s="93" t="n">
        <x:f>IF(V1586="Returned",Q1586*R1586*10%,Q1586*R1586)</x:f>
        <x:v>132</x:v>
      </x:c>
      <x:c r="Y1586" s="93" t="n">
        <x:f>W1586-X1586</x:f>
        <x:v>135</x:v>
      </x:c>
      <x:c r="Z1586" s="94" t="n">
        <x:f>IFERROR(Y1586/W1586,0)</x:f>
        <x:v>0.5056179775280899</x:v>
      </x:c>
      <x:c r="AA1586" s="84" t="str">
        <x:f>PROPER(TRIM('Raw Sales'!M1586))</x:f>
        <x:v>Credit Card</x:v>
      </x:c>
      <x:c r="AB1586" s="84" t="str">
        <x:f>PROPER(TRIM('Raw Sales'!N1586))</x:f>
        <x:v>Ethan Cole</x:v>
      </x:c>
      <x:c r="AC1586" s="85" t="n">
        <x:f>'Raw Sales'!O1586</x:f>
        <x:v>45821</x:v>
      </x:c>
      <x:c r="AD1586" s="84" t="n">
        <x:f>AC1586-B1586</x:f>
        <x:v>6</x:v>
      </x:c>
      <x:c r="AE1586" s="84" t="str">
        <x:f>IF(COUNTIF($A$5:A1586,A1586)&gt;1,"Duplicate","Keep")</x:f>
        <x:v>Keep</x:v>
      </x:c>
      <x:c r="AF1586" s="84" t="str">
        <x:f>IF(OR(R1586&lt;=0,AC1586&lt;B1586,H1586="Unknown",M1586="Unknown Product"),"Review","Valid")</x:f>
        <x:v>Valid</x:v>
      </x:c>
      <x:c r="AG1586" s="84" t="n">
        <x:f>IF(AND(AE1586="Keep",AF1586="Valid"),1,0)</x:f>
        <x:v>1</x:v>
      </x:c>
      <x:c r="AH1586" s="84" t="n">
        <x:f>IF(AND(AG1586=1,OR('Dashboard'!$B$4="All",I1586='Dashboard'!$B$4),OR('Dashboard'!$E$4="All",N1586='Dashboard'!$E$4),OR('Dashboard'!$H$4="All",K1586='Dashboard'!$H$4),OR('Dashboard'!$K$4="All",C1586='Dashboard'!$K$4)),1,0)</x:f>
        <x:v>1</x:v>
      </x:c>
      <x:c r="AI1586" s="84" t="n">
        <x:f>IF(AND(AG1586=1,OR('Dashboard'!$B$4="All",I1586='Dashboard'!$B$4),OR('Dashboard'!$E$4="All",N1586='Dashboard'!$E$4),OR('Dashboard'!$H$4="All",K1586='Dashboard'!$H$4)),1,0)</x:f>
        <x:v>1</x:v>
      </x:c>
    </x:row>
    <x:row r="1587">
      <x:c r="A1587" s="84" t="str">
        <x:f>'Raw Sales'!A1587</x:f>
        <x:v>ORD-2025-02073</x:v>
      </x:c>
      <x:c r="B1587" s="85" t="n">
        <x:f>'Raw Sales'!B1587</x:f>
        <x:v>45815</x:v>
      </x:c>
      <x:c r="C1587" s="84" t="n">
        <x:f>YEAR(B1587)</x:f>
        <x:v>2025</x:v>
      </x:c>
      <x:c r="D1587" s="91" t="n">
        <x:f>DATE(YEAR(B1587),MONTH(B1587),1)</x:f>
        <x:v>45809</x:v>
      </x:c>
      <x:c r="E1587" s="84" t="str">
        <x:f>TEXT(B1587,"mmm")</x:f>
        <x:v>Jun</x:v>
      </x:c>
      <x:c r="F1587" s="84" t="str">
        <x:f>'Raw Sales'!C1587</x:f>
        <x:v>CUST-0263</x:v>
      </x:c>
      <x:c r="G1587" s="84" t="str">
        <x:f>PROPER(TRIM('Raw Sales'!D1587))</x:f>
        <x:v>Theo Smith</x:v>
      </x:c>
      <x:c r="H1587" s="84" t="str">
        <x:f>IF(TRIM('Raw Sales'!E1587)="","Unknown",PROPER(TRIM('Raw Sales'!E1587)))</x:f>
        <x:v>Consumer</x:v>
      </x:c>
      <x:c r="I1587" s="84" t="str">
        <x:f>PROPER(TRIM('Raw Sales'!F1587))</x:f>
        <x:v>West</x:v>
      </x:c>
      <x:c r="J1587" s="84" t="str">
        <x:f>PROPER(TRIM('Raw Sales'!G1587))</x:f>
        <x:v>Seattle</x:v>
      </x:c>
      <x:c r="K1587" s="84" t="str">
        <x:f>PROPER(TRIM('Raw Sales'!H1587))</x:f>
        <x:v>Retail Store</x:v>
      </x:c>
      <x:c r="L1587" s="84" t="str">
        <x:f>'Raw Sales'!I1587</x:f>
        <x:v>HOME-005</x:v>
      </x:c>
      <x:c r="M1587" s="84" t="str">
        <x:f>IFERROR(VLOOKUP(L1587,'Reference Data'!$A$5:$F$40,2,FALSE),"Unknown Product")</x:f>
        <x:v>Cordless Vacuum</x:v>
      </x:c>
      <x:c r="N1587" s="84" t="str">
        <x:f>IFERROR(VLOOKUP(L1587,'Reference Data'!$A$5:$F$40,3,FALSE),"Unknown")</x:f>
        <x:v>Home &amp; Kitchen</x:v>
      </x:c>
      <x:c r="O1587" s="84" t="str">
        <x:f>IFERROR(VLOOKUP(L1587,'Reference Data'!$A$5:$F$40,4,FALSE),"Unknown")</x:f>
        <x:v>Cleaning</x:v>
      </x:c>
      <x:c r="P1587" s="92" t="n">
        <x:f>IFERROR(VLOOKUP(L1587,'Reference Data'!$A$5:$F$40,5,FALSE),0)</x:f>
        <x:v>179</x:v>
      </x:c>
      <x:c r="Q1587" s="92" t="n">
        <x:f>IFERROR(VLOOKUP(L1587,'Reference Data'!$A$5:$F$40,6,FALSE),0)</x:f>
        <x:v>102</x:v>
      </x:c>
      <x:c r="R1587" s="84" t="n">
        <x:f>'Raw Sales'!J1587</x:f>
        <x:v>1</x:v>
      </x:c>
      <x:c r="S1587" s="87" t="n">
        <x:f>'Raw Sales'!K1587</x:f>
        <x:v>0.1</x:v>
      </x:c>
      <x:c r="T1587" s="93" t="n">
        <x:f>P1587*R1587</x:f>
        <x:v>179</x:v>
      </x:c>
      <x:c r="U1587" s="93" t="n">
        <x:f>T1587*S1587</x:f>
        <x:v>17.900000000000002</x:v>
      </x:c>
      <x:c r="V1587" s="93" t="str">
        <x:f>PROPER(TRIM('Raw Sales'!L1587))</x:f>
        <x:v>Completed</x:v>
      </x:c>
      <x:c r="W1587" s="93" t="n">
        <x:f>IF(V1587="Returned",0,T1587-U1587)</x:f>
        <x:v>161.1</x:v>
      </x:c>
      <x:c r="X1587" s="93" t="n">
        <x:f>IF(V1587="Returned",Q1587*R1587*10%,Q1587*R1587)</x:f>
        <x:v>102</x:v>
      </x:c>
      <x:c r="Y1587" s="93" t="n">
        <x:f>W1587-X1587</x:f>
        <x:v>59.099999999999994</x:v>
      </x:c>
      <x:c r="Z1587" s="94" t="n">
        <x:f>IFERROR(Y1587/W1587,0)</x:f>
        <x:v>0.36685288640595903</x:v>
      </x:c>
      <x:c r="AA1587" s="84" t="str">
        <x:f>PROPER(TRIM('Raw Sales'!M1587))</x:f>
        <x:v>Mobile Wallet</x:v>
      </x:c>
      <x:c r="AB1587" s="84" t="str">
        <x:f>PROPER(TRIM('Raw Sales'!N1587))</x:f>
        <x:v>Nora Kim</x:v>
      </x:c>
      <x:c r="AC1587" s="85" t="n">
        <x:f>'Raw Sales'!O1587</x:f>
        <x:v>45816</x:v>
      </x:c>
      <x:c r="AD1587" s="84" t="n">
        <x:f>AC1587-B1587</x:f>
        <x:v>1</x:v>
      </x:c>
      <x:c r="AE1587" s="84" t="str">
        <x:f>IF(COUNTIF($A$5:A1587,A1587)&gt;1,"Duplicate","Keep")</x:f>
        <x:v>Keep</x:v>
      </x:c>
      <x:c r="AF1587" s="84" t="str">
        <x:f>IF(OR(R1587&lt;=0,AC1587&lt;B1587,H1587="Unknown",M1587="Unknown Product"),"Review","Valid")</x:f>
        <x:v>Valid</x:v>
      </x:c>
      <x:c r="AG1587" s="84" t="n">
        <x:f>IF(AND(AE1587="Keep",AF1587="Valid"),1,0)</x:f>
        <x:v>1</x:v>
      </x:c>
      <x:c r="AH1587" s="84" t="n">
        <x:f>IF(AND(AG1587=1,OR('Dashboard'!$B$4="All",I1587='Dashboard'!$B$4),OR('Dashboard'!$E$4="All",N1587='Dashboard'!$E$4),OR('Dashboard'!$H$4="All",K1587='Dashboard'!$H$4),OR('Dashboard'!$K$4="All",C1587='Dashboard'!$K$4)),1,0)</x:f>
        <x:v>1</x:v>
      </x:c>
      <x:c r="AI1587" s="84" t="n">
        <x:f>IF(AND(AG1587=1,OR('Dashboard'!$B$4="All",I1587='Dashboard'!$B$4),OR('Dashboard'!$E$4="All",N1587='Dashboard'!$E$4),OR('Dashboard'!$H$4="All",K1587='Dashboard'!$H$4)),1,0)</x:f>
        <x:v>1</x:v>
      </x:c>
    </x:row>
    <x:row r="1588">
      <x:c r="A1588" s="84" t="str">
        <x:f>'Raw Sales'!A1588</x:f>
        <x:v>ORD-2025-00549</x:v>
      </x:c>
      <x:c r="B1588" s="85" t="n">
        <x:f>'Raw Sales'!B1588</x:f>
        <x:v>45816</x:v>
      </x:c>
      <x:c r="C1588" s="84" t="n">
        <x:f>YEAR(B1588)</x:f>
        <x:v>2025</x:v>
      </x:c>
      <x:c r="D1588" s="91" t="n">
        <x:f>DATE(YEAR(B1588),MONTH(B1588),1)</x:f>
        <x:v>45809</x:v>
      </x:c>
      <x:c r="E1588" s="84" t="str">
        <x:f>TEXT(B1588,"mmm")</x:f>
        <x:v>Jun</x:v>
      </x:c>
      <x:c r="F1588" s="84" t="str">
        <x:f>'Raw Sales'!C1588</x:f>
        <x:v>CUST-0442</x:v>
      </x:c>
      <x:c r="G1588" s="84" t="str">
        <x:f>PROPER(TRIM('Raw Sales'!D1588))</x:f>
        <x:v>Elena Irwin</x:v>
      </x:c>
      <x:c r="H1588" s="84" t="str">
        <x:f>IF(TRIM('Raw Sales'!E1588)="","Unknown",PROPER(TRIM('Raw Sales'!E1588)))</x:f>
        <x:v>Unknown</x:v>
      </x:c>
      <x:c r="I1588" s="84" t="str">
        <x:f>PROPER(TRIM('Raw Sales'!F1588))</x:f>
        <x:v>Northeast</x:v>
      </x:c>
      <x:c r="J1588" s="84" t="str">
        <x:f>PROPER(TRIM('Raw Sales'!G1588))</x:f>
        <x:v>Boston</x:v>
      </x:c>
      <x:c r="K1588" s="84" t="str">
        <x:f>PROPER(TRIM('Raw Sales'!H1588))</x:f>
        <x:v>Online</x:v>
      </x:c>
      <x:c r="L1588" s="84" t="str">
        <x:f>'Raw Sales'!I1588</x:f>
        <x:v>ACCS-001</x:v>
      </x:c>
      <x:c r="M1588" s="84" t="str">
        <x:f>IFERROR(VLOOKUP(L1588,'Reference Data'!$A$5:$F$40,2,FALSE),"Unknown Product")</x:f>
        <x:v>Canvas Tote Bag</x:v>
      </x:c>
      <x:c r="N1588" s="84" t="str">
        <x:f>IFERROR(VLOOKUP(L1588,'Reference Data'!$A$5:$F$40,3,FALSE),"Unknown")</x:f>
        <x:v>Accessories</x:v>
      </x:c>
      <x:c r="O1588" s="84" t="str">
        <x:f>IFERROR(VLOOKUP(L1588,'Reference Data'!$A$5:$F$40,4,FALSE),"Unknown")</x:f>
        <x:v>Bags</x:v>
      </x:c>
      <x:c r="P1588" s="92" t="n">
        <x:f>IFERROR(VLOOKUP(L1588,'Reference Data'!$A$5:$F$40,5,FALSE),0)</x:f>
        <x:v>39</x:v>
      </x:c>
      <x:c r="Q1588" s="92" t="n">
        <x:f>IFERROR(VLOOKUP(L1588,'Reference Data'!$A$5:$F$40,6,FALSE),0)</x:f>
        <x:v>14</x:v>
      </x:c>
      <x:c r="R1588" s="84" t="n">
        <x:f>'Raw Sales'!J1588</x:f>
        <x:v>2</x:v>
      </x:c>
      <x:c r="S1588" s="87" t="n">
        <x:f>'Raw Sales'!K1588</x:f>
        <x:v>0.1</x:v>
      </x:c>
      <x:c r="T1588" s="93" t="n">
        <x:f>P1588*R1588</x:f>
        <x:v>78</x:v>
      </x:c>
      <x:c r="U1588" s="93" t="n">
        <x:f>T1588*S1588</x:f>
        <x:v>7.800000000000001</x:v>
      </x:c>
      <x:c r="V1588" s="93" t="str">
        <x:f>PROPER(TRIM('Raw Sales'!L1588))</x:f>
        <x:v>Completed</x:v>
      </x:c>
      <x:c r="W1588" s="93" t="n">
        <x:f>IF(V1588="Returned",0,T1588-U1588)</x:f>
        <x:v>70.2</x:v>
      </x:c>
      <x:c r="X1588" s="93" t="n">
        <x:f>IF(V1588="Returned",Q1588*R1588*10%,Q1588*R1588)</x:f>
        <x:v>28</x:v>
      </x:c>
      <x:c r="Y1588" s="93" t="n">
        <x:f>W1588-X1588</x:f>
        <x:v>42.2</x:v>
      </x:c>
      <x:c r="Z1588" s="94" t="n">
        <x:f>IFERROR(Y1588/W1588,0)</x:f>
        <x:v>0.6011396011396012</x:v>
      </x:c>
      <x:c r="AA1588" s="84" t="str">
        <x:f>PROPER(TRIM('Raw Sales'!M1588))</x:f>
        <x:v>Debit Card</x:v>
      </x:c>
      <x:c r="AB1588" s="84" t="str">
        <x:f>PROPER(TRIM('Raw Sales'!N1588))</x:f>
        <x:v>Maya Brooks</x:v>
      </x:c>
      <x:c r="AC1588" s="85" t="n">
        <x:f>'Raw Sales'!O1588</x:f>
        <x:v>45820</x:v>
      </x:c>
      <x:c r="AD1588" s="84" t="n">
        <x:f>AC1588-B1588</x:f>
        <x:v>4</x:v>
      </x:c>
      <x:c r="AE1588" s="84" t="str">
        <x:f>IF(COUNTIF($A$5:A1588,A1588)&gt;1,"Duplicate","Keep")</x:f>
        <x:v>Keep</x:v>
      </x:c>
      <x:c r="AF1588" s="84" t="str">
        <x:f>IF(OR(R1588&lt;=0,AC1588&lt;B1588,H1588="Unknown",M1588="Unknown Product"),"Review","Valid")</x:f>
        <x:v>Review</x:v>
      </x:c>
      <x:c r="AG1588" s="84" t="n">
        <x:f>IF(AND(AE1588="Keep",AF1588="Valid"),1,0)</x:f>
        <x:v>0</x:v>
      </x:c>
      <x:c r="AH1588" s="84" t="n">
        <x:f>IF(AND(AG1588=1,OR('Dashboard'!$B$4="All",I1588='Dashboard'!$B$4),OR('Dashboard'!$E$4="All",N1588='Dashboard'!$E$4),OR('Dashboard'!$H$4="All",K1588='Dashboard'!$H$4),OR('Dashboard'!$K$4="All",C1588='Dashboard'!$K$4)),1,0)</x:f>
        <x:v>0</x:v>
      </x:c>
      <x:c r="AI1588" s="84" t="n">
        <x:f>IF(AND(AG1588=1,OR('Dashboard'!$B$4="All",I1588='Dashboard'!$B$4),OR('Dashboard'!$E$4="All",N1588='Dashboard'!$E$4),OR('Dashboard'!$H$4="All",K1588='Dashboard'!$H$4)),1,0)</x:f>
        <x:v>0</x:v>
      </x:c>
    </x:row>
    <x:row r="1589">
      <x:c r="A1589" s="84" t="str">
        <x:f>'Raw Sales'!A1589</x:f>
        <x:v>ORD-2025-01250</x:v>
      </x:c>
      <x:c r="B1589" s="85" t="n">
        <x:f>'Raw Sales'!B1589</x:f>
        <x:v>45816</x:v>
      </x:c>
      <x:c r="C1589" s="84" t="n">
        <x:f>YEAR(B1589)</x:f>
        <x:v>2025</x:v>
      </x:c>
      <x:c r="D1589" s="91" t="n">
        <x:f>DATE(YEAR(B1589),MONTH(B1589),1)</x:f>
        <x:v>45809</x:v>
      </x:c>
      <x:c r="E1589" s="84" t="str">
        <x:f>TEXT(B1589,"mmm")</x:f>
        <x:v>Jun</x:v>
      </x:c>
      <x:c r="F1589" s="84" t="str">
        <x:f>'Raw Sales'!C1589</x:f>
        <x:v>CUST-0493</x:v>
      </x:c>
      <x:c r="G1589" s="84" t="str">
        <x:f>PROPER(TRIM('Raw Sales'!D1589))</x:f>
        <x:v>Nina Evans</x:v>
      </x:c>
      <x:c r="H1589" s="84" t="str">
        <x:f>IF(TRIM('Raw Sales'!E1589)="","Unknown",PROPER(TRIM('Raw Sales'!E1589)))</x:f>
        <x:v>Corporate</x:v>
      </x:c>
      <x:c r="I1589" s="84" t="str">
        <x:f>PROPER(TRIM('Raw Sales'!F1589))</x:f>
        <x:v>West</x:v>
      </x:c>
      <x:c r="J1589" s="84" t="str">
        <x:f>PROPER(TRIM('Raw Sales'!G1589))</x:f>
        <x:v>Denver</x:v>
      </x:c>
      <x:c r="K1589" s="84" t="str">
        <x:f>PROPER(TRIM('Raw Sales'!H1589))</x:f>
        <x:v>Retail Store</x:v>
      </x:c>
      <x:c r="L1589" s="84" t="str">
        <x:f>'Raw Sales'!I1589</x:f>
        <x:v>FITN-002</x:v>
      </x:c>
      <x:c r="M1589" s="84" t="str">
        <x:f>IFERROR(VLOOKUP(L1589,'Reference Data'!$A$5:$F$40,2,FALSE),"Unknown Product")</x:f>
        <x:v>Adjustable Dumbbell Set</x:v>
      </x:c>
      <x:c r="N1589" s="84" t="str">
        <x:f>IFERROR(VLOOKUP(L1589,'Reference Data'!$A$5:$F$40,3,FALSE),"Unknown")</x:f>
        <x:v>Fitness</x:v>
      </x:c>
      <x:c r="O1589" s="84" t="str">
        <x:f>IFERROR(VLOOKUP(L1589,'Reference Data'!$A$5:$F$40,4,FALSE),"Unknown")</x:f>
        <x:v>Strength</x:v>
      </x:c>
      <x:c r="P1589" s="92" t="n">
        <x:f>IFERROR(VLOOKUP(L1589,'Reference Data'!$A$5:$F$40,5,FALSE),0)</x:f>
        <x:v>99</x:v>
      </x:c>
      <x:c r="Q1589" s="92" t="n">
        <x:f>IFERROR(VLOOKUP(L1589,'Reference Data'!$A$5:$F$40,6,FALSE),0)</x:f>
        <x:v>57</x:v>
      </x:c>
      <x:c r="R1589" s="84" t="n">
        <x:f>'Raw Sales'!J1589</x:f>
        <x:v>1</x:v>
      </x:c>
      <x:c r="S1589" s="87" t="n">
        <x:f>'Raw Sales'!K1589</x:f>
        <x:v>0</x:v>
      </x:c>
      <x:c r="T1589" s="93" t="n">
        <x:f>P1589*R1589</x:f>
        <x:v>99</x:v>
      </x:c>
      <x:c r="U1589" s="93" t="n">
        <x:f>T1589*S1589</x:f>
        <x:v>0</x:v>
      </x:c>
      <x:c r="V1589" s="93" t="str">
        <x:f>PROPER(TRIM('Raw Sales'!L1589))</x:f>
        <x:v>Completed</x:v>
      </x:c>
      <x:c r="W1589" s="93" t="n">
        <x:f>IF(V1589="Returned",0,T1589-U1589)</x:f>
        <x:v>99</x:v>
      </x:c>
      <x:c r="X1589" s="93" t="n">
        <x:f>IF(V1589="Returned",Q1589*R1589*10%,Q1589*R1589)</x:f>
        <x:v>57</x:v>
      </x:c>
      <x:c r="Y1589" s="93" t="n">
        <x:f>W1589-X1589</x:f>
        <x:v>42</x:v>
      </x:c>
      <x:c r="Z1589" s="94" t="n">
        <x:f>IFERROR(Y1589/W1589,0)</x:f>
        <x:v>0.42424242424242425</x:v>
      </x:c>
      <x:c r="AA1589" s="84" t="str">
        <x:f>PROPER(TRIM('Raw Sales'!M1589))</x:f>
        <x:v>Credit Card</x:v>
      </x:c>
      <x:c r="AB1589" s="84" t="str">
        <x:f>PROPER(TRIM('Raw Sales'!N1589))</x:f>
        <x:v>Nora Kim</x:v>
      </x:c>
      <x:c r="AC1589" s="85" t="n">
        <x:f>'Raw Sales'!O1589</x:f>
        <x:v>45816</x:v>
      </x:c>
      <x:c r="AD1589" s="84" t="n">
        <x:f>AC1589-B1589</x:f>
        <x:v>0</x:v>
      </x:c>
      <x:c r="AE1589" s="84" t="str">
        <x:f>IF(COUNTIF($A$5:A1589,A1589)&gt;1,"Duplicate","Keep")</x:f>
        <x:v>Keep</x:v>
      </x:c>
      <x:c r="AF1589" s="84" t="str">
        <x:f>IF(OR(R1589&lt;=0,AC1589&lt;B1589,H1589="Unknown",M1589="Unknown Product"),"Review","Valid")</x:f>
        <x:v>Valid</x:v>
      </x:c>
      <x:c r="AG1589" s="84" t="n">
        <x:f>IF(AND(AE1589="Keep",AF1589="Valid"),1,0)</x:f>
        <x:v>1</x:v>
      </x:c>
      <x:c r="AH1589" s="84" t="n">
        <x:f>IF(AND(AG1589=1,OR('Dashboard'!$B$4="All",I1589='Dashboard'!$B$4),OR('Dashboard'!$E$4="All",N1589='Dashboard'!$E$4),OR('Dashboard'!$H$4="All",K1589='Dashboard'!$H$4),OR('Dashboard'!$K$4="All",C1589='Dashboard'!$K$4)),1,0)</x:f>
        <x:v>1</x:v>
      </x:c>
      <x:c r="AI1589" s="84" t="n">
        <x:f>IF(AND(AG1589=1,OR('Dashboard'!$B$4="All",I1589='Dashboard'!$B$4),OR('Dashboard'!$E$4="All",N1589='Dashboard'!$E$4),OR('Dashboard'!$H$4="All",K1589='Dashboard'!$H$4)),1,0)</x:f>
        <x:v>1</x:v>
      </x:c>
    </x:row>
    <x:row r="1590">
      <x:c r="A1590" s="84" t="str">
        <x:f>'Raw Sales'!A1590</x:f>
        <x:v>ORD-2025-01629</x:v>
      </x:c>
      <x:c r="B1590" s="85" t="n">
        <x:f>'Raw Sales'!B1590</x:f>
        <x:v>45816</x:v>
      </x:c>
      <x:c r="C1590" s="84" t="n">
        <x:f>YEAR(B1590)</x:f>
        <x:v>2025</x:v>
      </x:c>
      <x:c r="D1590" s="91" t="n">
        <x:f>DATE(YEAR(B1590),MONTH(B1590),1)</x:f>
        <x:v>45809</x:v>
      </x:c>
      <x:c r="E1590" s="84" t="str">
        <x:f>TEXT(B1590,"mmm")</x:f>
        <x:v>Jun</x:v>
      </x:c>
      <x:c r="F1590" s="84" t="str">
        <x:f>'Raw Sales'!C1590</x:f>
        <x:v>CUST-0402</x:v>
      </x:c>
      <x:c r="G1590" s="84" t="str">
        <x:f>PROPER(TRIM('Raw Sales'!D1590))</x:f>
        <x:v>Zara Carter</x:v>
      </x:c>
      <x:c r="H1590" s="84" t="str">
        <x:f>IF(TRIM('Raw Sales'!E1590)="","Unknown",PROPER(TRIM('Raw Sales'!E1590)))</x:f>
        <x:v>Small Business</x:v>
      </x:c>
      <x:c r="I1590" s="84" t="str">
        <x:f>PROPER(TRIM('Raw Sales'!F1590))</x:f>
        <x:v>Northeast</x:v>
      </x:c>
      <x:c r="J1590" s="84" t="str">
        <x:f>PROPER(TRIM('Raw Sales'!G1590))</x:f>
        <x:v>Philadelphia</x:v>
      </x:c>
      <x:c r="K1590" s="84" t="str">
        <x:f>PROPER(TRIM('Raw Sales'!H1590))</x:f>
        <x:v>Retail Store</x:v>
      </x:c>
      <x:c r="L1590" s="84" t="str">
        <x:f>'Raw Sales'!I1590</x:f>
        <x:v>HOME-001</x:v>
      </x:c>
      <x:c r="M1590" s="84" t="str">
        <x:f>IFERROR(VLOOKUP(L1590,'Reference Data'!$A$5:$F$40,2,FALSE),"Unknown Product")</x:f>
        <x:v>Air Fryer</x:v>
      </x:c>
      <x:c r="N1590" s="84" t="str">
        <x:f>IFERROR(VLOOKUP(L1590,'Reference Data'!$A$5:$F$40,3,FALSE),"Unknown")</x:f>
        <x:v>Home &amp; Kitchen</x:v>
      </x:c>
      <x:c r="O1590" s="84" t="str">
        <x:f>IFERROR(VLOOKUP(L1590,'Reference Data'!$A$5:$F$40,4,FALSE),"Unknown")</x:f>
        <x:v>Small Appliances</x:v>
      </x:c>
      <x:c r="P1590" s="92" t="n">
        <x:f>IFERROR(VLOOKUP(L1590,'Reference Data'!$A$5:$F$40,5,FALSE),0)</x:f>
        <x:v>119</x:v>
      </x:c>
      <x:c r="Q1590" s="92" t="n">
        <x:f>IFERROR(VLOOKUP(L1590,'Reference Data'!$A$5:$F$40,6,FALSE),0)</x:f>
        <x:v>68</x:v>
      </x:c>
      <x:c r="R1590" s="84" t="n">
        <x:f>'Raw Sales'!J1590</x:f>
        <x:v>1</x:v>
      </x:c>
      <x:c r="S1590" s="87" t="n">
        <x:f>'Raw Sales'!K1590</x:f>
        <x:v>0.1</x:v>
      </x:c>
      <x:c r="T1590" s="93" t="n">
        <x:f>P1590*R1590</x:f>
        <x:v>119</x:v>
      </x:c>
      <x:c r="U1590" s="93" t="n">
        <x:f>T1590*S1590</x:f>
        <x:v>11.9</x:v>
      </x:c>
      <x:c r="V1590" s="93" t="str">
        <x:f>PROPER(TRIM('Raw Sales'!L1590))</x:f>
        <x:v>Completed</x:v>
      </x:c>
      <x:c r="W1590" s="93" t="n">
        <x:f>IF(V1590="Returned",0,T1590-U1590)</x:f>
        <x:v>107.1</x:v>
      </x:c>
      <x:c r="X1590" s="93" t="n">
        <x:f>IF(V1590="Returned",Q1590*R1590*10%,Q1590*R1590)</x:f>
        <x:v>68</x:v>
      </x:c>
      <x:c r="Y1590" s="93" t="n">
        <x:f>W1590-X1590</x:f>
        <x:v>39.099999999999994</x:v>
      </x:c>
      <x:c r="Z1590" s="94" t="n">
        <x:f>IFERROR(Y1590/W1590,0)</x:f>
        <x:v>0.36507936507936506</x:v>
      </x:c>
      <x:c r="AA1590" s="84" t="str">
        <x:f>PROPER(TRIM('Raw Sales'!M1590))</x:f>
        <x:v>Credit Card</x:v>
      </x:c>
      <x:c r="AB1590" s="84" t="str">
        <x:f>PROPER(TRIM('Raw Sales'!N1590))</x:f>
        <x:v>Maya Brooks</x:v>
      </x:c>
      <x:c r="AC1590" s="85" t="n">
        <x:f>'Raw Sales'!O1590</x:f>
        <x:v>45817</x:v>
      </x:c>
      <x:c r="AD1590" s="84" t="n">
        <x:f>AC1590-B1590</x:f>
        <x:v>1</x:v>
      </x:c>
      <x:c r="AE1590" s="84" t="str">
        <x:f>IF(COUNTIF($A$5:A1590,A1590)&gt;1,"Duplicate","Keep")</x:f>
        <x:v>Keep</x:v>
      </x:c>
      <x:c r="AF1590" s="84" t="str">
        <x:f>IF(OR(R1590&lt;=0,AC1590&lt;B1590,H1590="Unknown",M1590="Unknown Product"),"Review","Valid")</x:f>
        <x:v>Valid</x:v>
      </x:c>
      <x:c r="AG1590" s="84" t="n">
        <x:f>IF(AND(AE1590="Keep",AF1590="Valid"),1,0)</x:f>
        <x:v>1</x:v>
      </x:c>
      <x:c r="AH1590" s="84" t="n">
        <x:f>IF(AND(AG1590=1,OR('Dashboard'!$B$4="All",I1590='Dashboard'!$B$4),OR('Dashboard'!$E$4="All",N1590='Dashboard'!$E$4),OR('Dashboard'!$H$4="All",K1590='Dashboard'!$H$4),OR('Dashboard'!$K$4="All",C1590='Dashboard'!$K$4)),1,0)</x:f>
        <x:v>1</x:v>
      </x:c>
      <x:c r="AI1590" s="84" t="n">
        <x:f>IF(AND(AG1590=1,OR('Dashboard'!$B$4="All",I1590='Dashboard'!$B$4),OR('Dashboard'!$E$4="All",N1590='Dashboard'!$E$4),OR('Dashboard'!$H$4="All",K1590='Dashboard'!$H$4)),1,0)</x:f>
        <x:v>1</x:v>
      </x:c>
    </x:row>
    <x:row r="1591">
      <x:c r="A1591" s="84" t="str">
        <x:f>'Raw Sales'!A1591</x:f>
        <x:v>ORD-2025-00497</x:v>
      </x:c>
      <x:c r="B1591" s="85" t="n">
        <x:f>'Raw Sales'!B1591</x:f>
        <x:v>45817</x:v>
      </x:c>
      <x:c r="C1591" s="84" t="n">
        <x:f>YEAR(B1591)</x:f>
        <x:v>2025</x:v>
      </x:c>
      <x:c r="D1591" s="91" t="n">
        <x:f>DATE(YEAR(B1591),MONTH(B1591),1)</x:f>
        <x:v>45809</x:v>
      </x:c>
      <x:c r="E1591" s="84" t="str">
        <x:f>TEXT(B1591,"mmm")</x:f>
        <x:v>Jun</x:v>
      </x:c>
      <x:c r="F1591" s="84" t="str">
        <x:f>'Raw Sales'!C1591</x:f>
        <x:v>CUST-0069</x:v>
      </x:c>
      <x:c r="G1591" s="84" t="str">
        <x:f>PROPER(TRIM('Raw Sales'!D1591))</x:f>
        <x:v>Nina Ortiz</x:v>
      </x:c>
      <x:c r="H1591" s="84" t="str">
        <x:f>IF(TRIM('Raw Sales'!E1591)="","Unknown",PROPER(TRIM('Raw Sales'!E1591)))</x:f>
        <x:v>Corporate</x:v>
      </x:c>
      <x:c r="I1591" s="84" t="str">
        <x:f>PROPER(TRIM('Raw Sales'!F1591))</x:f>
        <x:v>Midwest</x:v>
      </x:c>
      <x:c r="J1591" s="84" t="str">
        <x:f>PROPER(TRIM('Raw Sales'!G1591))</x:f>
        <x:v>Minneapolis</x:v>
      </x:c>
      <x:c r="K1591" s="84" t="str">
        <x:f>PROPER(TRIM('Raw Sales'!H1591))</x:f>
        <x:v>Marketplace</x:v>
      </x:c>
      <x:c r="L1591" s="84" t="str">
        <x:f>'Raw Sales'!I1591</x:f>
        <x:v>OFFC-003</x:v>
      </x:c>
      <x:c r="M1591" s="84" t="str">
        <x:f>IFERROR(VLOOKUP(L1591,'Reference Data'!$A$5:$F$40,2,FALSE),"Unknown Product")</x:f>
        <x:v>LED Desk Lamp</x:v>
      </x:c>
      <x:c r="N1591" s="84" t="str">
        <x:f>IFERROR(VLOOKUP(L1591,'Reference Data'!$A$5:$F$40,3,FALSE),"Unknown")</x:f>
        <x:v>Office</x:v>
      </x:c>
      <x:c r="O1591" s="84" t="str">
        <x:f>IFERROR(VLOOKUP(L1591,'Reference Data'!$A$5:$F$40,4,FALSE),"Unknown")</x:f>
        <x:v>Desk Accessories</x:v>
      </x:c>
      <x:c r="P1591" s="92" t="n">
        <x:f>IFERROR(VLOOKUP(L1591,'Reference Data'!$A$5:$F$40,5,FALSE),0)</x:f>
        <x:v>45</x:v>
      </x:c>
      <x:c r="Q1591" s="92" t="n">
        <x:f>IFERROR(VLOOKUP(L1591,'Reference Data'!$A$5:$F$40,6,FALSE),0)</x:f>
        <x:v>20</x:v>
      </x:c>
      <x:c r="R1591" s="84" t="n">
        <x:f>'Raw Sales'!J1591</x:f>
        <x:v>4</x:v>
      </x:c>
      <x:c r="S1591" s="87" t="n">
        <x:f>'Raw Sales'!K1591</x:f>
        <x:v>0</x:v>
      </x:c>
      <x:c r="T1591" s="93" t="n">
        <x:f>P1591*R1591</x:f>
        <x:v>180</x:v>
      </x:c>
      <x:c r="U1591" s="93" t="n">
        <x:f>T1591*S1591</x:f>
        <x:v>0</x:v>
      </x:c>
      <x:c r="V1591" s="93" t="str">
        <x:f>PROPER(TRIM('Raw Sales'!L1591))</x:f>
        <x:v>Completed</x:v>
      </x:c>
      <x:c r="W1591" s="93" t="n">
        <x:f>IF(V1591="Returned",0,T1591-U1591)</x:f>
        <x:v>180</x:v>
      </x:c>
      <x:c r="X1591" s="93" t="n">
        <x:f>IF(V1591="Returned",Q1591*R1591*10%,Q1591*R1591)</x:f>
        <x:v>80</x:v>
      </x:c>
      <x:c r="Y1591" s="93" t="n">
        <x:f>W1591-X1591</x:f>
        <x:v>100</x:v>
      </x:c>
      <x:c r="Z1591" s="94" t="n">
        <x:f>IFERROR(Y1591/W1591,0)</x:f>
        <x:v>0.5555555555555556</x:v>
      </x:c>
      <x:c r="AA1591" s="84" t="str">
        <x:f>PROPER(TRIM('Raw Sales'!M1591))</x:f>
        <x:v>Credit Card</x:v>
      </x:c>
      <x:c r="AB1591" s="84" t="str">
        <x:f>PROPER(TRIM('Raw Sales'!N1591))</x:f>
        <x:v>Emma Hayes</x:v>
      </x:c>
      <x:c r="AC1591" s="85" t="n">
        <x:f>'Raw Sales'!O1591</x:f>
        <x:v>45823</x:v>
      </x:c>
      <x:c r="AD1591" s="84" t="n">
        <x:f>AC1591-B1591</x:f>
        <x:v>6</x:v>
      </x:c>
      <x:c r="AE1591" s="84" t="str">
        <x:f>IF(COUNTIF($A$5:A1591,A1591)&gt;1,"Duplicate","Keep")</x:f>
        <x:v>Keep</x:v>
      </x:c>
      <x:c r="AF1591" s="84" t="str">
        <x:f>IF(OR(R1591&lt;=0,AC1591&lt;B1591,H1591="Unknown",M1591="Unknown Product"),"Review","Valid")</x:f>
        <x:v>Valid</x:v>
      </x:c>
      <x:c r="AG1591" s="84" t="n">
        <x:f>IF(AND(AE1591="Keep",AF1591="Valid"),1,0)</x:f>
        <x:v>1</x:v>
      </x:c>
      <x:c r="AH1591" s="84" t="n">
        <x:f>IF(AND(AG1591=1,OR('Dashboard'!$B$4="All",I1591='Dashboard'!$B$4),OR('Dashboard'!$E$4="All",N1591='Dashboard'!$E$4),OR('Dashboard'!$H$4="All",K1591='Dashboard'!$H$4),OR('Dashboard'!$K$4="All",C1591='Dashboard'!$K$4)),1,0)</x:f>
        <x:v>1</x:v>
      </x:c>
      <x:c r="AI1591" s="84" t="n">
        <x:f>IF(AND(AG1591=1,OR('Dashboard'!$B$4="All",I1591='Dashboard'!$B$4),OR('Dashboard'!$E$4="All",N1591='Dashboard'!$E$4),OR('Dashboard'!$H$4="All",K1591='Dashboard'!$H$4)),1,0)</x:f>
        <x:v>1</x:v>
      </x:c>
    </x:row>
    <x:row r="1592">
      <x:c r="A1592" s="84" t="str">
        <x:f>'Raw Sales'!A1592</x:f>
        <x:v>ORD-2025-00521</x:v>
      </x:c>
      <x:c r="B1592" s="85" t="n">
        <x:f>'Raw Sales'!B1592</x:f>
        <x:v>45817</x:v>
      </x:c>
      <x:c r="C1592" s="84" t="n">
        <x:f>YEAR(B1592)</x:f>
        <x:v>2025</x:v>
      </x:c>
      <x:c r="D1592" s="91" t="n">
        <x:f>DATE(YEAR(B1592),MONTH(B1592),1)</x:f>
        <x:v>45809</x:v>
      </x:c>
      <x:c r="E1592" s="84" t="str">
        <x:f>TEXT(B1592,"mmm")</x:f>
        <x:v>Jun</x:v>
      </x:c>
      <x:c r="F1592" s="84" t="str">
        <x:f>'Raw Sales'!C1592</x:f>
        <x:v>CUST-0127</x:v>
      </x:c>
      <x:c r="G1592" s="84" t="str">
        <x:f>PROPER(TRIM('Raw Sales'!D1592))</x:f>
        <x:v>Elias Nelson</x:v>
      </x:c>
      <x:c r="H1592" s="84" t="str">
        <x:f>IF(TRIM('Raw Sales'!E1592)="","Unknown",PROPER(TRIM('Raw Sales'!E1592)))</x:f>
        <x:v>Corporate</x:v>
      </x:c>
      <x:c r="I1592" s="84" t="str">
        <x:f>PROPER(TRIM('Raw Sales'!F1592))</x:f>
        <x:v>West</x:v>
      </x:c>
      <x:c r="J1592" s="84" t="str">
        <x:f>PROPER(TRIM('Raw Sales'!G1592))</x:f>
        <x:v>Seattle</x:v>
      </x:c>
      <x:c r="K1592" s="84" t="str">
        <x:f>PROPER(TRIM('Raw Sales'!H1592))</x:f>
        <x:v>Retail Store</x:v>
      </x:c>
      <x:c r="L1592" s="84" t="str">
        <x:f>'Raw Sales'!I1592</x:f>
        <x:v>ELEC-006</x:v>
      </x:c>
      <x:c r="M1592" s="84" t="str">
        <x:f>IFERROR(VLOOKUP(L1592,'Reference Data'!$A$5:$F$40,2,FALSE),"Unknown Product")</x:f>
        <x:v>Portable SSD</x:v>
      </x:c>
      <x:c r="N1592" s="84" t="str">
        <x:f>IFERROR(VLOOKUP(L1592,'Reference Data'!$A$5:$F$40,3,FALSE),"Unknown")</x:f>
        <x:v>Electronics</x:v>
      </x:c>
      <x:c r="O1592" s="84" t="str">
        <x:f>IFERROR(VLOOKUP(L1592,'Reference Data'!$A$5:$F$40,4,FALSE),"Unknown")</x:f>
        <x:v>Storage</x:v>
      </x:c>
      <x:c r="P1592" s="92" t="n">
        <x:f>IFERROR(VLOOKUP(L1592,'Reference Data'!$A$5:$F$40,5,FALSE),0)</x:f>
        <x:v>129</x:v>
      </x:c>
      <x:c r="Q1592" s="92" t="n">
        <x:f>IFERROR(VLOOKUP(L1592,'Reference Data'!$A$5:$F$40,6,FALSE),0)</x:f>
        <x:v>75</x:v>
      </x:c>
      <x:c r="R1592" s="84" t="n">
        <x:f>'Raw Sales'!J1592</x:f>
        <x:v>4</x:v>
      </x:c>
      <x:c r="S1592" s="87" t="n">
        <x:f>'Raw Sales'!K1592</x:f>
        <x:v>0</x:v>
      </x:c>
      <x:c r="T1592" s="93" t="n">
        <x:f>P1592*R1592</x:f>
        <x:v>516</x:v>
      </x:c>
      <x:c r="U1592" s="93" t="n">
        <x:f>T1592*S1592</x:f>
        <x:v>0</x:v>
      </x:c>
      <x:c r="V1592" s="93" t="str">
        <x:f>PROPER(TRIM('Raw Sales'!L1592))</x:f>
        <x:v>Completed</x:v>
      </x:c>
      <x:c r="W1592" s="93" t="n">
        <x:f>IF(V1592="Returned",0,T1592-U1592)</x:f>
        <x:v>516</x:v>
      </x:c>
      <x:c r="X1592" s="93" t="n">
        <x:f>IF(V1592="Returned",Q1592*R1592*10%,Q1592*R1592)</x:f>
        <x:v>300</x:v>
      </x:c>
      <x:c r="Y1592" s="93" t="n">
        <x:f>W1592-X1592</x:f>
        <x:v>216</x:v>
      </x:c>
      <x:c r="Z1592" s="94" t="n">
        <x:f>IFERROR(Y1592/W1592,0)</x:f>
        <x:v>0.4186046511627907</x:v>
      </x:c>
      <x:c r="AA1592" s="84" t="str">
        <x:f>PROPER(TRIM('Raw Sales'!M1592))</x:f>
        <x:v>Mobile Wallet</x:v>
      </x:c>
      <x:c r="AB1592" s="84" t="str">
        <x:f>PROPER(TRIM('Raw Sales'!N1592))</x:f>
        <x:v>Nora Kim</x:v>
      </x:c>
      <x:c r="AC1592" s="85" t="n">
        <x:f>'Raw Sales'!O1592</x:f>
        <x:v>45818</x:v>
      </x:c>
      <x:c r="AD1592" s="84" t="n">
        <x:f>AC1592-B1592</x:f>
        <x:v>1</x:v>
      </x:c>
      <x:c r="AE1592" s="84" t="str">
        <x:f>IF(COUNTIF($A$5:A1592,A1592)&gt;1,"Duplicate","Keep")</x:f>
        <x:v>Keep</x:v>
      </x:c>
      <x:c r="AF1592" s="84" t="str">
        <x:f>IF(OR(R1592&lt;=0,AC1592&lt;B1592,H1592="Unknown",M1592="Unknown Product"),"Review","Valid")</x:f>
        <x:v>Valid</x:v>
      </x:c>
      <x:c r="AG1592" s="84" t="n">
        <x:f>IF(AND(AE1592="Keep",AF1592="Valid"),1,0)</x:f>
        <x:v>1</x:v>
      </x:c>
      <x:c r="AH1592" s="84" t="n">
        <x:f>IF(AND(AG1592=1,OR('Dashboard'!$B$4="All",I1592='Dashboard'!$B$4),OR('Dashboard'!$E$4="All",N1592='Dashboard'!$E$4),OR('Dashboard'!$H$4="All",K1592='Dashboard'!$H$4),OR('Dashboard'!$K$4="All",C1592='Dashboard'!$K$4)),1,0)</x:f>
        <x:v>1</x:v>
      </x:c>
      <x:c r="AI1592" s="84" t="n">
        <x:f>IF(AND(AG1592=1,OR('Dashboard'!$B$4="All",I1592='Dashboard'!$B$4),OR('Dashboard'!$E$4="All",N1592='Dashboard'!$E$4),OR('Dashboard'!$H$4="All",K1592='Dashboard'!$H$4)),1,0)</x:f>
        <x:v>1</x:v>
      </x:c>
    </x:row>
    <x:row r="1593">
      <x:c r="A1593" s="84" t="str">
        <x:f>'Raw Sales'!A1593</x:f>
        <x:v>ORD-2025-02022</x:v>
      </x:c>
      <x:c r="B1593" s="85" t="n">
        <x:f>'Raw Sales'!B1593</x:f>
        <x:v>45817</x:v>
      </x:c>
      <x:c r="C1593" s="84" t="n">
        <x:f>YEAR(B1593)</x:f>
        <x:v>2025</x:v>
      </x:c>
      <x:c r="D1593" s="91" t="n">
        <x:f>DATE(YEAR(B1593),MONTH(B1593),1)</x:f>
        <x:v>45809</x:v>
      </x:c>
      <x:c r="E1593" s="84" t="str">
        <x:f>TEXT(B1593,"mmm")</x:f>
        <x:v>Jun</x:v>
      </x:c>
      <x:c r="F1593" s="84" t="str">
        <x:f>'Raw Sales'!C1593</x:f>
        <x:v>CUST-0071</x:v>
      </x:c>
      <x:c r="G1593" s="84" t="str">
        <x:f>PROPER(TRIM('Raw Sales'!D1593))</x:f>
        <x:v>Owen Foster</x:v>
      </x:c>
      <x:c r="H1593" s="84" t="str">
        <x:f>IF(TRIM('Raw Sales'!E1593)="","Unknown",PROPER(TRIM('Raw Sales'!E1593)))</x:f>
        <x:v>Consumer</x:v>
      </x:c>
      <x:c r="I1593" s="84" t="str">
        <x:f>PROPER(TRIM('Raw Sales'!F1593))</x:f>
        <x:v>Midwest</x:v>
      </x:c>
      <x:c r="J1593" s="84" t="str">
        <x:f>PROPER(TRIM('Raw Sales'!G1593))</x:f>
        <x:v>Detroit</x:v>
      </x:c>
      <x:c r="K1593" s="84" t="str">
        <x:f>PROPER(TRIM('Raw Sales'!H1593))</x:f>
        <x:v>Online</x:v>
      </x:c>
      <x:c r="L1593" s="84" t="str">
        <x:f>'Raw Sales'!I1593</x:f>
        <x:v>HOME-002</x:v>
      </x:c>
      <x:c r="M1593" s="84" t="str">
        <x:f>IFERROR(VLOOKUP(L1593,'Reference Data'!$A$5:$F$40,2,FALSE),"Unknown Product")</x:f>
        <x:v>Electric Kettle</x:v>
      </x:c>
      <x:c r="N1593" s="84" t="str">
        <x:f>IFERROR(VLOOKUP(L1593,'Reference Data'!$A$5:$F$40,3,FALSE),"Unknown")</x:f>
        <x:v>Home &amp; Kitchen</x:v>
      </x:c>
      <x:c r="O1593" s="84" t="str">
        <x:f>IFERROR(VLOOKUP(L1593,'Reference Data'!$A$5:$F$40,4,FALSE),"Unknown")</x:f>
        <x:v>Small Appliances</x:v>
      </x:c>
      <x:c r="P1593" s="92" t="n">
        <x:f>IFERROR(VLOOKUP(L1593,'Reference Data'!$A$5:$F$40,5,FALSE),0)</x:f>
        <x:v>49</x:v>
      </x:c>
      <x:c r="Q1593" s="92" t="n">
        <x:f>IFERROR(VLOOKUP(L1593,'Reference Data'!$A$5:$F$40,6,FALSE),0)</x:f>
        <x:v>23</x:v>
      </x:c>
      <x:c r="R1593" s="84" t="n">
        <x:f>'Raw Sales'!J1593</x:f>
        <x:v>2</x:v>
      </x:c>
      <x:c r="S1593" s="87" t="n">
        <x:f>'Raw Sales'!K1593</x:f>
        <x:v>0</x:v>
      </x:c>
      <x:c r="T1593" s="93" t="n">
        <x:f>P1593*R1593</x:f>
        <x:v>98</x:v>
      </x:c>
      <x:c r="U1593" s="93" t="n">
        <x:f>T1593*S1593</x:f>
        <x:v>0</x:v>
      </x:c>
      <x:c r="V1593" s="93" t="str">
        <x:f>PROPER(TRIM('Raw Sales'!L1593))</x:f>
        <x:v>Completed</x:v>
      </x:c>
      <x:c r="W1593" s="93" t="n">
        <x:f>IF(V1593="Returned",0,T1593-U1593)</x:f>
        <x:v>98</x:v>
      </x:c>
      <x:c r="X1593" s="93" t="n">
        <x:f>IF(V1593="Returned",Q1593*R1593*10%,Q1593*R1593)</x:f>
        <x:v>46</x:v>
      </x:c>
      <x:c r="Y1593" s="93" t="n">
        <x:f>W1593-X1593</x:f>
        <x:v>52</x:v>
      </x:c>
      <x:c r="Z1593" s="94" t="n">
        <x:f>IFERROR(Y1593/W1593,0)</x:f>
        <x:v>0.5306122448979592</x:v>
      </x:c>
      <x:c r="AA1593" s="84" t="str">
        <x:f>PROPER(TRIM('Raw Sales'!M1593))</x:f>
        <x:v>Paypal</x:v>
      </x:c>
      <x:c r="AB1593" s="84" t="str">
        <x:f>PROPER(TRIM('Raw Sales'!N1593))</x:f>
        <x:v>Lucas Grant</x:v>
      </x:c>
      <x:c r="AC1593" s="85" t="n">
        <x:f>'Raw Sales'!O1593</x:f>
        <x:v>45821</x:v>
      </x:c>
      <x:c r="AD1593" s="84" t="n">
        <x:f>AC1593-B1593</x:f>
        <x:v>4</x:v>
      </x:c>
      <x:c r="AE1593" s="84" t="str">
        <x:f>IF(COUNTIF($A$5:A1593,A1593)&gt;1,"Duplicate","Keep")</x:f>
        <x:v>Keep</x:v>
      </x:c>
      <x:c r="AF1593" s="84" t="str">
        <x:f>IF(OR(R1593&lt;=0,AC1593&lt;B1593,H1593="Unknown",M1593="Unknown Product"),"Review","Valid")</x:f>
        <x:v>Valid</x:v>
      </x:c>
      <x:c r="AG1593" s="84" t="n">
        <x:f>IF(AND(AE1593="Keep",AF1593="Valid"),1,0)</x:f>
        <x:v>1</x:v>
      </x:c>
      <x:c r="AH1593" s="84" t="n">
        <x:f>IF(AND(AG1593=1,OR('Dashboard'!$B$4="All",I1593='Dashboard'!$B$4),OR('Dashboard'!$E$4="All",N1593='Dashboard'!$E$4),OR('Dashboard'!$H$4="All",K1593='Dashboard'!$H$4),OR('Dashboard'!$K$4="All",C1593='Dashboard'!$K$4)),1,0)</x:f>
        <x:v>1</x:v>
      </x:c>
      <x:c r="AI1593" s="84" t="n">
        <x:f>IF(AND(AG1593=1,OR('Dashboard'!$B$4="All",I1593='Dashboard'!$B$4),OR('Dashboard'!$E$4="All",N1593='Dashboard'!$E$4),OR('Dashboard'!$H$4="All",K1593='Dashboard'!$H$4)),1,0)</x:f>
        <x:v>1</x:v>
      </x:c>
    </x:row>
    <x:row r="1594">
      <x:c r="A1594" s="84" t="str">
        <x:f>'Raw Sales'!A1594</x:f>
        <x:v>ORD-2025-02007</x:v>
      </x:c>
      <x:c r="B1594" s="85" t="n">
        <x:f>'Raw Sales'!B1594</x:f>
        <x:v>45818</x:v>
      </x:c>
      <x:c r="C1594" s="84" t="n">
        <x:f>YEAR(B1594)</x:f>
        <x:v>2025</x:v>
      </x:c>
      <x:c r="D1594" s="91" t="n">
        <x:f>DATE(YEAR(B1594),MONTH(B1594),1)</x:f>
        <x:v>45809</x:v>
      </x:c>
      <x:c r="E1594" s="84" t="str">
        <x:f>TEXT(B1594,"mmm")</x:f>
        <x:v>Jun</x:v>
      </x:c>
      <x:c r="F1594" s="84" t="str">
        <x:f>'Raw Sales'!C1594</x:f>
        <x:v>CUST-0402</x:v>
      </x:c>
      <x:c r="G1594" s="84" t="str">
        <x:f>PROPER(TRIM('Raw Sales'!D1594))</x:f>
        <x:v>Zara Carter</x:v>
      </x:c>
      <x:c r="H1594" s="84" t="str">
        <x:f>IF(TRIM('Raw Sales'!E1594)="","Unknown",PROPER(TRIM('Raw Sales'!E1594)))</x:f>
        <x:v>Small Business</x:v>
      </x:c>
      <x:c r="I1594" s="84" t="str">
        <x:f>PROPER(TRIM('Raw Sales'!F1594))</x:f>
        <x:v>Northeast</x:v>
      </x:c>
      <x:c r="J1594" s="84" t="str">
        <x:f>PROPER(TRIM('Raw Sales'!G1594))</x:f>
        <x:v>Philadelphia</x:v>
      </x:c>
      <x:c r="K1594" s="84" t="str">
        <x:f>PROPER(TRIM('Raw Sales'!H1594))</x:f>
        <x:v>Marketplace</x:v>
      </x:c>
      <x:c r="L1594" s="84" t="str">
        <x:f>'Raw Sales'!I1594</x:f>
        <x:v>CARE-002</x:v>
      </x:c>
      <x:c r="M1594" s="84" t="str">
        <x:f>IFERROR(VLOOKUP(L1594,'Reference Data'!$A$5:$F$40,2,FALSE),"Unknown Product")</x:f>
        <x:v>Rechargeable Trimmer</x:v>
      </x:c>
      <x:c r="N1594" s="84" t="str">
        <x:f>IFERROR(VLOOKUP(L1594,'Reference Data'!$A$5:$F$40,3,FALSE),"Unknown")</x:f>
        <x:v>Personal Care</x:v>
      </x:c>
      <x:c r="O1594" s="84" t="str">
        <x:f>IFERROR(VLOOKUP(L1594,'Reference Data'!$A$5:$F$40,4,FALSE),"Unknown")</x:f>
        <x:v>Grooming</x:v>
      </x:c>
      <x:c r="P1594" s="92" t="n">
        <x:f>IFERROR(VLOOKUP(L1594,'Reference Data'!$A$5:$F$40,5,FALSE),0)</x:f>
        <x:v>45</x:v>
      </x:c>
      <x:c r="Q1594" s="92" t="n">
        <x:f>IFERROR(VLOOKUP(L1594,'Reference Data'!$A$5:$F$40,6,FALSE),0)</x:f>
        <x:v>19</x:v>
      </x:c>
      <x:c r="R1594" s="84" t="n">
        <x:f>'Raw Sales'!J1594</x:f>
        <x:v>1</x:v>
      </x:c>
      <x:c r="S1594" s="87" t="n">
        <x:f>'Raw Sales'!K1594</x:f>
        <x:v>0.1</x:v>
      </x:c>
      <x:c r="T1594" s="93" t="n">
        <x:f>P1594*R1594</x:f>
        <x:v>45</x:v>
      </x:c>
      <x:c r="U1594" s="93" t="n">
        <x:f>T1594*S1594</x:f>
        <x:v>4.5</x:v>
      </x:c>
      <x:c r="V1594" s="93" t="str">
        <x:f>PROPER(TRIM('Raw Sales'!L1594))</x:f>
        <x:v>Completed</x:v>
      </x:c>
      <x:c r="W1594" s="93" t="n">
        <x:f>IF(V1594="Returned",0,T1594-U1594)</x:f>
        <x:v>40.5</x:v>
      </x:c>
      <x:c r="X1594" s="93" t="n">
        <x:f>IF(V1594="Returned",Q1594*R1594*10%,Q1594*R1594)</x:f>
        <x:v>19</x:v>
      </x:c>
      <x:c r="Y1594" s="93" t="n">
        <x:f>W1594-X1594</x:f>
        <x:v>21.5</x:v>
      </x:c>
      <x:c r="Z1594" s="94" t="n">
        <x:f>IFERROR(Y1594/W1594,0)</x:f>
        <x:v>0.5308641975308642</x:v>
      </x:c>
      <x:c r="AA1594" s="84" t="str">
        <x:f>PROPER(TRIM('Raw Sales'!M1594))</x:f>
        <x:v>Paypal</x:v>
      </x:c>
      <x:c r="AB1594" s="84" t="str">
        <x:f>PROPER(TRIM('Raw Sales'!N1594))</x:f>
        <x:v>Ethan Cole</x:v>
      </x:c>
      <x:c r="AC1594" s="85" t="n">
        <x:f>'Raw Sales'!O1594</x:f>
        <x:v>45822</x:v>
      </x:c>
      <x:c r="AD1594" s="84" t="n">
        <x:f>AC1594-B1594</x:f>
        <x:v>4</x:v>
      </x:c>
      <x:c r="AE1594" s="84" t="str">
        <x:f>IF(COUNTIF($A$5:A1594,A1594)&gt;1,"Duplicate","Keep")</x:f>
        <x:v>Keep</x:v>
      </x:c>
      <x:c r="AF1594" s="84" t="str">
        <x:f>IF(OR(R1594&lt;=0,AC1594&lt;B1594,H1594="Unknown",M1594="Unknown Product"),"Review","Valid")</x:f>
        <x:v>Valid</x:v>
      </x:c>
      <x:c r="AG1594" s="84" t="n">
        <x:f>IF(AND(AE1594="Keep",AF1594="Valid"),1,0)</x:f>
        <x:v>1</x:v>
      </x:c>
      <x:c r="AH1594" s="84" t="n">
        <x:f>IF(AND(AG1594=1,OR('Dashboard'!$B$4="All",I1594='Dashboard'!$B$4),OR('Dashboard'!$E$4="All",N1594='Dashboard'!$E$4),OR('Dashboard'!$H$4="All",K1594='Dashboard'!$H$4),OR('Dashboard'!$K$4="All",C1594='Dashboard'!$K$4)),1,0)</x:f>
        <x:v>1</x:v>
      </x:c>
      <x:c r="AI1594" s="84" t="n">
        <x:f>IF(AND(AG1594=1,OR('Dashboard'!$B$4="All",I1594='Dashboard'!$B$4),OR('Dashboard'!$E$4="All",N1594='Dashboard'!$E$4),OR('Dashboard'!$H$4="All",K1594='Dashboard'!$H$4)),1,0)</x:f>
        <x:v>1</x:v>
      </x:c>
    </x:row>
    <x:row r="1595">
      <x:c r="A1595" s="84" t="str">
        <x:f>'Raw Sales'!A1595</x:f>
        <x:v>ORD-2025-02211</x:v>
      </x:c>
      <x:c r="B1595" s="85" t="n">
        <x:f>'Raw Sales'!B1595</x:f>
        <x:v>45818</x:v>
      </x:c>
      <x:c r="C1595" s="84" t="n">
        <x:f>YEAR(B1595)</x:f>
        <x:v>2025</x:v>
      </x:c>
      <x:c r="D1595" s="91" t="n">
        <x:f>DATE(YEAR(B1595),MONTH(B1595),1)</x:f>
        <x:v>45809</x:v>
      </x:c>
      <x:c r="E1595" s="84" t="str">
        <x:f>TEXT(B1595,"mmm")</x:f>
        <x:v>Jun</x:v>
      </x:c>
      <x:c r="F1595" s="84" t="str">
        <x:f>'Raw Sales'!C1595</x:f>
        <x:v>CUST-0254</x:v>
      </x:c>
      <x:c r="G1595" s="84" t="str">
        <x:f>PROPER(TRIM('Raw Sales'!D1595))</x:f>
        <x:v>Marcus Carter</x:v>
      </x:c>
      <x:c r="H1595" s="84" t="str">
        <x:f>IF(TRIM('Raw Sales'!E1595)="","Unknown",PROPER(TRIM('Raw Sales'!E1595)))</x:f>
        <x:v>Consumer</x:v>
      </x:c>
      <x:c r="I1595" s="84" t="str">
        <x:f>PROPER(TRIM('Raw Sales'!F1595))</x:f>
        <x:v>Northeast</x:v>
      </x:c>
      <x:c r="J1595" s="84" t="str">
        <x:f>PROPER(TRIM('Raw Sales'!G1595))</x:f>
        <x:v>Boston</x:v>
      </x:c>
      <x:c r="K1595" s="84" t="str">
        <x:f>PROPER(TRIM('Raw Sales'!H1595))</x:f>
        <x:v>Retail Store</x:v>
      </x:c>
      <x:c r="L1595" s="84" t="str">
        <x:f>'Raw Sales'!I1595</x:f>
        <x:v>HOME-003</x:v>
      </x:c>
      <x:c r="M1595" s="84" t="str">
        <x:f>IFERROR(VLOOKUP(L1595,'Reference Data'!$A$5:$F$40,2,FALSE),"Unknown Product")</x:f>
        <x:v>Countertop Blender</x:v>
      </x:c>
      <x:c r="N1595" s="84" t="str">
        <x:f>IFERROR(VLOOKUP(L1595,'Reference Data'!$A$5:$F$40,3,FALSE),"Unknown")</x:f>
        <x:v>Home &amp; Kitchen</x:v>
      </x:c>
      <x:c r="O1595" s="84" t="str">
        <x:f>IFERROR(VLOOKUP(L1595,'Reference Data'!$A$5:$F$40,4,FALSE),"Unknown")</x:f>
        <x:v>Small Appliances</x:v>
      </x:c>
      <x:c r="P1595" s="92" t="n">
        <x:f>IFERROR(VLOOKUP(L1595,'Reference Data'!$A$5:$F$40,5,FALSE),0)</x:f>
        <x:v>89</x:v>
      </x:c>
      <x:c r="Q1595" s="92" t="n">
        <x:f>IFERROR(VLOOKUP(L1595,'Reference Data'!$A$5:$F$40,6,FALSE),0)</x:f>
        <x:v>46</x:v>
      </x:c>
      <x:c r="R1595" s="84" t="n">
        <x:f>'Raw Sales'!J1595</x:f>
        <x:v>1</x:v>
      </x:c>
      <x:c r="S1595" s="87" t="n">
        <x:f>'Raw Sales'!K1595</x:f>
        <x:v>0.05</x:v>
      </x:c>
      <x:c r="T1595" s="93" t="n">
        <x:f>P1595*R1595</x:f>
        <x:v>89</x:v>
      </x:c>
      <x:c r="U1595" s="93" t="n">
        <x:f>T1595*S1595</x:f>
        <x:v>4.45</x:v>
      </x:c>
      <x:c r="V1595" s="93" t="str">
        <x:f>PROPER(TRIM('Raw Sales'!L1595))</x:f>
        <x:v>Completed</x:v>
      </x:c>
      <x:c r="W1595" s="93" t="n">
        <x:f>IF(V1595="Returned",0,T1595-U1595)</x:f>
        <x:v>84.55</x:v>
      </x:c>
      <x:c r="X1595" s="93" t="n">
        <x:f>IF(V1595="Returned",Q1595*R1595*10%,Q1595*R1595)</x:f>
        <x:v>46</x:v>
      </x:c>
      <x:c r="Y1595" s="93" t="n">
        <x:f>W1595-X1595</x:f>
        <x:v>38.55</x:v>
      </x:c>
      <x:c r="Z1595" s="94" t="n">
        <x:f>IFERROR(Y1595/W1595,0)</x:f>
        <x:v>0.4559432288586635</x:v>
      </x:c>
      <x:c r="AA1595" s="84" t="str">
        <x:f>PROPER(TRIM('Raw Sales'!M1595))</x:f>
        <x:v>Debit Card</x:v>
      </x:c>
      <x:c r="AB1595" s="84" t="str">
        <x:f>PROPER(TRIM('Raw Sales'!N1595))</x:f>
        <x:v>Ethan Cole</x:v>
      </x:c>
      <x:c r="AC1595" s="85" t="n">
        <x:f>'Raw Sales'!O1595</x:f>
        <x:v>45818</x:v>
      </x:c>
      <x:c r="AD1595" s="84" t="n">
        <x:f>AC1595-B1595</x:f>
        <x:v>0</x:v>
      </x:c>
      <x:c r="AE1595" s="84" t="str">
        <x:f>IF(COUNTIF($A$5:A1595,A1595)&gt;1,"Duplicate","Keep")</x:f>
        <x:v>Keep</x:v>
      </x:c>
      <x:c r="AF1595" s="84" t="str">
        <x:f>IF(OR(R1595&lt;=0,AC1595&lt;B1595,H1595="Unknown",M1595="Unknown Product"),"Review","Valid")</x:f>
        <x:v>Valid</x:v>
      </x:c>
      <x:c r="AG1595" s="84" t="n">
        <x:f>IF(AND(AE1595="Keep",AF1595="Valid"),1,0)</x:f>
        <x:v>1</x:v>
      </x:c>
      <x:c r="AH1595" s="84" t="n">
        <x:f>IF(AND(AG1595=1,OR('Dashboard'!$B$4="All",I1595='Dashboard'!$B$4),OR('Dashboard'!$E$4="All",N1595='Dashboard'!$E$4),OR('Dashboard'!$H$4="All",K1595='Dashboard'!$H$4),OR('Dashboard'!$K$4="All",C1595='Dashboard'!$K$4)),1,0)</x:f>
        <x:v>1</x:v>
      </x:c>
      <x:c r="AI1595" s="84" t="n">
        <x:f>IF(AND(AG1595=1,OR('Dashboard'!$B$4="All",I1595='Dashboard'!$B$4),OR('Dashboard'!$E$4="All",N1595='Dashboard'!$E$4),OR('Dashboard'!$H$4="All",K1595='Dashboard'!$H$4)),1,0)</x:f>
        <x:v>1</x:v>
      </x:c>
    </x:row>
    <x:row r="1596">
      <x:c r="A1596" s="84" t="str">
        <x:f>'Raw Sales'!A1596</x:f>
        <x:v>ORD-2025-00272</x:v>
      </x:c>
      <x:c r="B1596" s="85" t="n">
        <x:f>'Raw Sales'!B1596</x:f>
        <x:v>45819</x:v>
      </x:c>
      <x:c r="C1596" s="84" t="n">
        <x:f>YEAR(B1596)</x:f>
        <x:v>2025</x:v>
      </x:c>
      <x:c r="D1596" s="91" t="n">
        <x:f>DATE(YEAR(B1596),MONTH(B1596),1)</x:f>
        <x:v>45809</x:v>
      </x:c>
      <x:c r="E1596" s="84" t="str">
        <x:f>TEXT(B1596,"mmm")</x:f>
        <x:v>Jun</x:v>
      </x:c>
      <x:c r="F1596" s="84" t="str">
        <x:f>'Raw Sales'!C1596</x:f>
        <x:v>CUST-0054</x:v>
      </x:c>
      <x:c r="G1596" s="84" t="str">
        <x:f>PROPER(TRIM('Raw Sales'!D1596))</x:f>
        <x:v>Priya Roberts</x:v>
      </x:c>
      <x:c r="H1596" s="84" t="str">
        <x:f>IF(TRIM('Raw Sales'!E1596)="","Unknown",PROPER(TRIM('Raw Sales'!E1596)))</x:f>
        <x:v>Consumer</x:v>
      </x:c>
      <x:c r="I1596" s="84" t="str">
        <x:f>PROPER(TRIM('Raw Sales'!F1596))</x:f>
        <x:v>West</x:v>
      </x:c>
      <x:c r="J1596" s="84" t="str">
        <x:f>PROPER(TRIM('Raw Sales'!G1596))</x:f>
        <x:v>Phoenix</x:v>
      </x:c>
      <x:c r="K1596" s="84" t="str">
        <x:f>PROPER(TRIM('Raw Sales'!H1596))</x:f>
        <x:v>Online</x:v>
      </x:c>
      <x:c r="L1596" s="84" t="str">
        <x:f>'Raw Sales'!I1596</x:f>
        <x:v>ELEC-003</x:v>
      </x:c>
      <x:c r="M1596" s="84" t="str">
        <x:f>IFERROR(VLOOKUP(L1596,'Reference Data'!$A$5:$F$40,2,FALSE),"Unknown Product")</x:f>
        <x:v>Bluetooth Speaker</x:v>
      </x:c>
      <x:c r="N1596" s="84" t="str">
        <x:f>IFERROR(VLOOKUP(L1596,'Reference Data'!$A$5:$F$40,3,FALSE),"Unknown")</x:f>
        <x:v>Electronics</x:v>
      </x:c>
      <x:c r="O1596" s="84" t="str">
        <x:f>IFERROR(VLOOKUP(L1596,'Reference Data'!$A$5:$F$40,4,FALSE),"Unknown")</x:f>
        <x:v>Audio</x:v>
      </x:c>
      <x:c r="P1596" s="92" t="n">
        <x:f>IFERROR(VLOOKUP(L1596,'Reference Data'!$A$5:$F$40,5,FALSE),0)</x:f>
        <x:v>89</x:v>
      </x:c>
      <x:c r="Q1596" s="92" t="n">
        <x:f>IFERROR(VLOOKUP(L1596,'Reference Data'!$A$5:$F$40,6,FALSE),0)</x:f>
        <x:v>44</x:v>
      </x:c>
      <x:c r="R1596" s="84" t="n">
        <x:f>'Raw Sales'!J1596</x:f>
        <x:v>2</x:v>
      </x:c>
      <x:c r="S1596" s="87" t="n">
        <x:f>'Raw Sales'!K1596</x:f>
        <x:v>0.2</x:v>
      </x:c>
      <x:c r="T1596" s="93" t="n">
        <x:f>P1596*R1596</x:f>
        <x:v>178</x:v>
      </x:c>
      <x:c r="U1596" s="93" t="n">
        <x:f>T1596*S1596</x:f>
        <x:v>35.6</x:v>
      </x:c>
      <x:c r="V1596" s="93" t="str">
        <x:f>PROPER(TRIM('Raw Sales'!L1596))</x:f>
        <x:v>Completed</x:v>
      </x:c>
      <x:c r="W1596" s="93" t="n">
        <x:f>IF(V1596="Returned",0,T1596-U1596)</x:f>
        <x:v>142.4</x:v>
      </x:c>
      <x:c r="X1596" s="93" t="n">
        <x:f>IF(V1596="Returned",Q1596*R1596*10%,Q1596*R1596)</x:f>
        <x:v>88</x:v>
      </x:c>
      <x:c r="Y1596" s="93" t="n">
        <x:f>W1596-X1596</x:f>
        <x:v>54.400000000000006</x:v>
      </x:c>
      <x:c r="Z1596" s="94" t="n">
        <x:f>IFERROR(Y1596/W1596,0)</x:f>
        <x:v>0.3820224719101124</x:v>
      </x:c>
      <x:c r="AA1596" s="84" t="str">
        <x:f>PROPER(TRIM('Raw Sales'!M1596))</x:f>
        <x:v>Credit Card</x:v>
      </x:c>
      <x:c r="AB1596" s="84" t="str">
        <x:f>PROPER(TRIM('Raw Sales'!N1596))</x:f>
        <x:v>Nora Kim</x:v>
      </x:c>
      <x:c r="AC1596" s="85" t="n">
        <x:f>'Raw Sales'!O1596</x:f>
        <x:v>45822</x:v>
      </x:c>
      <x:c r="AD1596" s="84" t="n">
        <x:f>AC1596-B1596</x:f>
        <x:v>3</x:v>
      </x:c>
      <x:c r="AE1596" s="84" t="str">
        <x:f>IF(COUNTIF($A$5:A1596,A1596)&gt;1,"Duplicate","Keep")</x:f>
        <x:v>Keep</x:v>
      </x:c>
      <x:c r="AF1596" s="84" t="str">
        <x:f>IF(OR(R1596&lt;=0,AC1596&lt;B1596,H1596="Unknown",M1596="Unknown Product"),"Review","Valid")</x:f>
        <x:v>Valid</x:v>
      </x:c>
      <x:c r="AG1596" s="84" t="n">
        <x:f>IF(AND(AE1596="Keep",AF1596="Valid"),1,0)</x:f>
        <x:v>1</x:v>
      </x:c>
      <x:c r="AH1596" s="84" t="n">
        <x:f>IF(AND(AG1596=1,OR('Dashboard'!$B$4="All",I1596='Dashboard'!$B$4),OR('Dashboard'!$E$4="All",N1596='Dashboard'!$E$4),OR('Dashboard'!$H$4="All",K1596='Dashboard'!$H$4),OR('Dashboard'!$K$4="All",C1596='Dashboard'!$K$4)),1,0)</x:f>
        <x:v>1</x:v>
      </x:c>
      <x:c r="AI1596" s="84" t="n">
        <x:f>IF(AND(AG1596=1,OR('Dashboard'!$B$4="All",I1596='Dashboard'!$B$4),OR('Dashboard'!$E$4="All",N1596='Dashboard'!$E$4),OR('Dashboard'!$H$4="All",K1596='Dashboard'!$H$4)),1,0)</x:f>
        <x:v>1</x:v>
      </x:c>
    </x:row>
    <x:row r="1597">
      <x:c r="A1597" s="84" t="str">
        <x:f>'Raw Sales'!A1597</x:f>
        <x:v>ORD-2025-00890</x:v>
      </x:c>
      <x:c r="B1597" s="85" t="n">
        <x:f>'Raw Sales'!B1597</x:f>
        <x:v>45819</x:v>
      </x:c>
      <x:c r="C1597" s="84" t="n">
        <x:f>YEAR(B1597)</x:f>
        <x:v>2025</x:v>
      </x:c>
      <x:c r="D1597" s="91" t="n">
        <x:f>DATE(YEAR(B1597),MONTH(B1597),1)</x:f>
        <x:v>45809</x:v>
      </x:c>
      <x:c r="E1597" s="84" t="str">
        <x:f>TEXT(B1597,"mmm")</x:f>
        <x:v>Jun</x:v>
      </x:c>
      <x:c r="F1597" s="84" t="str">
        <x:f>'Raw Sales'!C1597</x:f>
        <x:v>CUST-0582</x:v>
      </x:c>
      <x:c r="G1597" s="84" t="str">
        <x:f>PROPER(TRIM('Raw Sales'!D1597))</x:f>
        <x:v>Maya Lewis</x:v>
      </x:c>
      <x:c r="H1597" s="84" t="str">
        <x:f>IF(TRIM('Raw Sales'!E1597)="","Unknown",PROPER(TRIM('Raw Sales'!E1597)))</x:f>
        <x:v>Consumer</x:v>
      </x:c>
      <x:c r="I1597" s="84" t="str">
        <x:f>PROPER(TRIM('Raw Sales'!F1597))</x:f>
        <x:v>Midwest</x:v>
      </x:c>
      <x:c r="J1597" s="84" t="str">
        <x:f>PROPER(TRIM('Raw Sales'!G1597))</x:f>
        <x:v>Columbus</x:v>
      </x:c>
      <x:c r="K1597" s="84" t="str">
        <x:f>PROPER(TRIM('Raw Sales'!H1597))</x:f>
        <x:v>Retail Store</x:v>
      </x:c>
      <x:c r="L1597" s="84" t="str">
        <x:f>'Raw Sales'!I1597</x:f>
        <x:v>FITN-001</x:v>
      </x:c>
      <x:c r="M1597" s="84" t="str">
        <x:f>IFERROR(VLOOKUP(L1597,'Reference Data'!$A$5:$F$40,2,FALSE),"Unknown Product")</x:f>
        <x:v>Yoga Mat</x:v>
      </x:c>
      <x:c r="N1597" s="84" t="str">
        <x:f>IFERROR(VLOOKUP(L1597,'Reference Data'!$A$5:$F$40,3,FALSE),"Unknown")</x:f>
        <x:v>Fitness</x:v>
      </x:c>
      <x:c r="O1597" s="84" t="str">
        <x:f>IFERROR(VLOOKUP(L1597,'Reference Data'!$A$5:$F$40,4,FALSE),"Unknown")</x:f>
        <x:v>Yoga</x:v>
      </x:c>
      <x:c r="P1597" s="92" t="n">
        <x:f>IFERROR(VLOOKUP(L1597,'Reference Data'!$A$5:$F$40,5,FALSE),0)</x:f>
        <x:v>35</x:v>
      </x:c>
      <x:c r="Q1597" s="92" t="n">
        <x:f>IFERROR(VLOOKUP(L1597,'Reference Data'!$A$5:$F$40,6,FALSE),0)</x:f>
        <x:v>13</x:v>
      </x:c>
      <x:c r="R1597" s="84" t="n">
        <x:f>'Raw Sales'!J1597</x:f>
        <x:v>2</x:v>
      </x:c>
      <x:c r="S1597" s="87" t="n">
        <x:f>'Raw Sales'!K1597</x:f>
        <x:v>0.1</x:v>
      </x:c>
      <x:c r="T1597" s="93" t="n">
        <x:f>P1597*R1597</x:f>
        <x:v>70</x:v>
      </x:c>
      <x:c r="U1597" s="93" t="n">
        <x:f>T1597*S1597</x:f>
        <x:v>7</x:v>
      </x:c>
      <x:c r="V1597" s="93" t="str">
        <x:f>PROPER(TRIM('Raw Sales'!L1597))</x:f>
        <x:v>Completed</x:v>
      </x:c>
      <x:c r="W1597" s="93" t="n">
        <x:f>IF(V1597="Returned",0,T1597-U1597)</x:f>
        <x:v>63</x:v>
      </x:c>
      <x:c r="X1597" s="93" t="n">
        <x:f>IF(V1597="Returned",Q1597*R1597*10%,Q1597*R1597)</x:f>
        <x:v>26</x:v>
      </x:c>
      <x:c r="Y1597" s="93" t="n">
        <x:f>W1597-X1597</x:f>
        <x:v>37</x:v>
      </x:c>
      <x:c r="Z1597" s="94" t="n">
        <x:f>IFERROR(Y1597/W1597,0)</x:f>
        <x:v>0.5873015873015873</x:v>
      </x:c>
      <x:c r="AA1597" s="84" t="str">
        <x:f>PROPER(TRIM('Raw Sales'!M1597))</x:f>
        <x:v>Credit Card</x:v>
      </x:c>
      <x:c r="AB1597" s="84" t="str">
        <x:f>PROPER(TRIM('Raw Sales'!N1597))</x:f>
        <x:v>Lucas Grant</x:v>
      </x:c>
      <x:c r="AC1597" s="85" t="n">
        <x:f>'Raw Sales'!O1597</x:f>
        <x:v>45820</x:v>
      </x:c>
      <x:c r="AD1597" s="84" t="n">
        <x:f>AC1597-B1597</x:f>
        <x:v>1</x:v>
      </x:c>
      <x:c r="AE1597" s="84" t="str">
        <x:f>IF(COUNTIF($A$5:A1597,A1597)&gt;1,"Duplicate","Keep")</x:f>
        <x:v>Keep</x:v>
      </x:c>
      <x:c r="AF1597" s="84" t="str">
        <x:f>IF(OR(R1597&lt;=0,AC1597&lt;B1597,H1597="Unknown",M1597="Unknown Product"),"Review","Valid")</x:f>
        <x:v>Valid</x:v>
      </x:c>
      <x:c r="AG1597" s="84" t="n">
        <x:f>IF(AND(AE1597="Keep",AF1597="Valid"),1,0)</x:f>
        <x:v>1</x:v>
      </x:c>
      <x:c r="AH1597" s="84" t="n">
        <x:f>IF(AND(AG1597=1,OR('Dashboard'!$B$4="All",I1597='Dashboard'!$B$4),OR('Dashboard'!$E$4="All",N1597='Dashboard'!$E$4),OR('Dashboard'!$H$4="All",K1597='Dashboard'!$H$4),OR('Dashboard'!$K$4="All",C1597='Dashboard'!$K$4)),1,0)</x:f>
        <x:v>1</x:v>
      </x:c>
      <x:c r="AI1597" s="84" t="n">
        <x:f>IF(AND(AG1597=1,OR('Dashboard'!$B$4="All",I1597='Dashboard'!$B$4),OR('Dashboard'!$E$4="All",N1597='Dashboard'!$E$4),OR('Dashboard'!$H$4="All",K1597='Dashboard'!$H$4)),1,0)</x:f>
        <x:v>1</x:v>
      </x:c>
    </x:row>
    <x:row r="1598">
      <x:c r="A1598" s="84" t="str">
        <x:f>'Raw Sales'!A1598</x:f>
        <x:v>ORD-2025-01076</x:v>
      </x:c>
      <x:c r="B1598" s="85" t="n">
        <x:f>'Raw Sales'!B1598</x:f>
        <x:v>45819</x:v>
      </x:c>
      <x:c r="C1598" s="84" t="n">
        <x:f>YEAR(B1598)</x:f>
        <x:v>2025</x:v>
      </x:c>
      <x:c r="D1598" s="91" t="n">
        <x:f>DATE(YEAR(B1598),MONTH(B1598),1)</x:f>
        <x:v>45809</x:v>
      </x:c>
      <x:c r="E1598" s="84" t="str">
        <x:f>TEXT(B1598,"mmm")</x:f>
        <x:v>Jun</x:v>
      </x:c>
      <x:c r="F1598" s="84" t="str">
        <x:f>'Raw Sales'!C1598</x:f>
        <x:v>CUST-0438</x:v>
      </x:c>
      <x:c r="G1598" s="84" t="str">
        <x:f>PROPER(TRIM('Raw Sales'!D1598))</x:f>
        <x:v>Isaac Ortiz</x:v>
      </x:c>
      <x:c r="H1598" s="84" t="str">
        <x:f>IF(TRIM('Raw Sales'!E1598)="","Unknown",PROPER(TRIM('Raw Sales'!E1598)))</x:f>
        <x:v>Consumer</x:v>
      </x:c>
      <x:c r="I1598" s="84" t="str">
        <x:f>PROPER(TRIM('Raw Sales'!F1598))</x:f>
        <x:v>Midwest</x:v>
      </x:c>
      <x:c r="J1598" s="84" t="str">
        <x:f>PROPER(TRIM('Raw Sales'!G1598))</x:f>
        <x:v>Columbus</x:v>
      </x:c>
      <x:c r="K1598" s="84" t="str">
        <x:f>PROPER(TRIM('Raw Sales'!H1598))</x:f>
        <x:v>Retail Store</x:v>
      </x:c>
      <x:c r="L1598" s="84" t="str">
        <x:f>'Raw Sales'!I1598</x:f>
        <x:v>FITN-005</x:v>
      </x:c>
      <x:c r="M1598" s="84" t="str">
        <x:f>IFERROR(VLOOKUP(L1598,'Reference Data'!$A$5:$F$40,2,FALSE),"Unknown Product")</x:f>
        <x:v>Sports Water Bottle</x:v>
      </x:c>
      <x:c r="N1598" s="84" t="str">
        <x:f>IFERROR(VLOOKUP(L1598,'Reference Data'!$A$5:$F$40,3,FALSE),"Unknown")</x:f>
        <x:v>Fitness</x:v>
      </x:c>
      <x:c r="O1598" s="84" t="str">
        <x:f>IFERROR(VLOOKUP(L1598,'Reference Data'!$A$5:$F$40,4,FALSE),"Unknown")</x:f>
        <x:v>Accessories</x:v>
      </x:c>
      <x:c r="P1598" s="92" t="n">
        <x:f>IFERROR(VLOOKUP(L1598,'Reference Data'!$A$5:$F$40,5,FALSE),0)</x:f>
        <x:v>22</x:v>
      </x:c>
      <x:c r="Q1598" s="92" t="n">
        <x:f>IFERROR(VLOOKUP(L1598,'Reference Data'!$A$5:$F$40,6,FALSE),0)</x:f>
        <x:v>7</x:v>
      </x:c>
      <x:c r="R1598" s="84" t="n">
        <x:f>'Raw Sales'!J1598</x:f>
        <x:v>1</x:v>
      </x:c>
      <x:c r="S1598" s="87" t="n">
        <x:f>'Raw Sales'!K1598</x:f>
        <x:v>0</x:v>
      </x:c>
      <x:c r="T1598" s="93" t="n">
        <x:f>P1598*R1598</x:f>
        <x:v>22</x:v>
      </x:c>
      <x:c r="U1598" s="93" t="n">
        <x:f>T1598*S1598</x:f>
        <x:v>0</x:v>
      </x:c>
      <x:c r="V1598" s="93" t="str">
        <x:f>PROPER(TRIM('Raw Sales'!L1598))</x:f>
        <x:v>Completed</x:v>
      </x:c>
      <x:c r="W1598" s="93" t="n">
        <x:f>IF(V1598="Returned",0,T1598-U1598)</x:f>
        <x:v>22</x:v>
      </x:c>
      <x:c r="X1598" s="93" t="n">
        <x:f>IF(V1598="Returned",Q1598*R1598*10%,Q1598*R1598)</x:f>
        <x:v>7</x:v>
      </x:c>
      <x:c r="Y1598" s="93" t="n">
        <x:f>W1598-X1598</x:f>
        <x:v>15</x:v>
      </x:c>
      <x:c r="Z1598" s="94" t="n">
        <x:f>IFERROR(Y1598/W1598,0)</x:f>
        <x:v>0.6818181818181818</x:v>
      </x:c>
      <x:c r="AA1598" s="84" t="str">
        <x:f>PROPER(TRIM('Raw Sales'!M1598))</x:f>
        <x:v>Mobile Wallet</x:v>
      </x:c>
      <x:c r="AB1598" s="84" t="str">
        <x:f>PROPER(TRIM('Raw Sales'!N1598))</x:f>
        <x:v>Zoe Turner</x:v>
      </x:c>
      <x:c r="AC1598" s="85" t="n">
        <x:f>'Raw Sales'!O1598</x:f>
        <x:v>45819</x:v>
      </x:c>
      <x:c r="AD1598" s="84" t="n">
        <x:f>AC1598-B1598</x:f>
        <x:v>0</x:v>
      </x:c>
      <x:c r="AE1598" s="84" t="str">
        <x:f>IF(COUNTIF($A$5:A1598,A1598)&gt;1,"Duplicate","Keep")</x:f>
        <x:v>Keep</x:v>
      </x:c>
      <x:c r="AF1598" s="84" t="str">
        <x:f>IF(OR(R1598&lt;=0,AC1598&lt;B1598,H1598="Unknown",M1598="Unknown Product"),"Review","Valid")</x:f>
        <x:v>Valid</x:v>
      </x:c>
      <x:c r="AG1598" s="84" t="n">
        <x:f>IF(AND(AE1598="Keep",AF1598="Valid"),1,0)</x:f>
        <x:v>1</x:v>
      </x:c>
      <x:c r="AH1598" s="84" t="n">
        <x:f>IF(AND(AG1598=1,OR('Dashboard'!$B$4="All",I1598='Dashboard'!$B$4),OR('Dashboard'!$E$4="All",N1598='Dashboard'!$E$4),OR('Dashboard'!$H$4="All",K1598='Dashboard'!$H$4),OR('Dashboard'!$K$4="All",C1598='Dashboard'!$K$4)),1,0)</x:f>
        <x:v>1</x:v>
      </x:c>
      <x:c r="AI1598" s="84" t="n">
        <x:f>IF(AND(AG1598=1,OR('Dashboard'!$B$4="All",I1598='Dashboard'!$B$4),OR('Dashboard'!$E$4="All",N1598='Dashboard'!$E$4),OR('Dashboard'!$H$4="All",K1598='Dashboard'!$H$4)),1,0)</x:f>
        <x:v>1</x:v>
      </x:c>
    </x:row>
    <x:row r="1599">
      <x:c r="A1599" s="84" t="str">
        <x:f>'Raw Sales'!A1599</x:f>
        <x:v>ORD-2025-01580</x:v>
      </x:c>
      <x:c r="B1599" s="85" t="n">
        <x:f>'Raw Sales'!B1599</x:f>
        <x:v>45819</x:v>
      </x:c>
      <x:c r="C1599" s="84" t="n">
        <x:f>YEAR(B1599)</x:f>
        <x:v>2025</x:v>
      </x:c>
      <x:c r="D1599" s="91" t="n">
        <x:f>DATE(YEAR(B1599),MONTH(B1599),1)</x:f>
        <x:v>45809</x:v>
      </x:c>
      <x:c r="E1599" s="84" t="str">
        <x:f>TEXT(B1599,"mmm")</x:f>
        <x:v>Jun</x:v>
      </x:c>
      <x:c r="F1599" s="84" t="str">
        <x:f>'Raw Sales'!C1599</x:f>
        <x:v>CUST-0141</x:v>
      </x:c>
      <x:c r="G1599" s="84" t="str">
        <x:f>PROPER(TRIM('Raw Sales'!D1599))</x:f>
        <x:v>Victoria Taylor</x:v>
      </x:c>
      <x:c r="H1599" s="84" t="str">
        <x:f>IF(TRIM('Raw Sales'!E1599)="","Unknown",PROPER(TRIM('Raw Sales'!E1599)))</x:f>
        <x:v>Consumer</x:v>
      </x:c>
      <x:c r="I1599" s="84" t="str">
        <x:f>PROPER(TRIM('Raw Sales'!F1599))</x:f>
        <x:v>Midwest</x:v>
      </x:c>
      <x:c r="J1599" s="84" t="str">
        <x:f>PROPER(TRIM('Raw Sales'!G1599))</x:f>
        <x:v>Minneapolis</x:v>
      </x:c>
      <x:c r="K1599" s="84" t="str">
        <x:f>PROPER(TRIM('Raw Sales'!H1599))</x:f>
        <x:v>Marketplace</x:v>
      </x:c>
      <x:c r="L1599" s="84" t="str">
        <x:f>'Raw Sales'!I1599</x:f>
        <x:v>ELEC-004</x:v>
      </x:c>
      <x:c r="M1599" s="84" t="str">
        <x:f>IFERROR(VLOOKUP(L1599,'Reference Data'!$A$5:$F$40,2,FALSE),"Unknown Product")</x:f>
        <x:v>Power Bank</x:v>
      </x:c>
      <x:c r="N1599" s="84" t="str">
        <x:f>IFERROR(VLOOKUP(L1599,'Reference Data'!$A$5:$F$40,3,FALSE),"Unknown")</x:f>
        <x:v>Electronics</x:v>
      </x:c>
      <x:c r="O1599" s="84" t="str">
        <x:f>IFERROR(VLOOKUP(L1599,'Reference Data'!$A$5:$F$40,4,FALSE),"Unknown")</x:f>
        <x:v>Mobile Accessories</x:v>
      </x:c>
      <x:c r="P1599" s="92" t="n">
        <x:f>IFERROR(VLOOKUP(L1599,'Reference Data'!$A$5:$F$40,5,FALSE),0)</x:f>
        <x:v>39</x:v>
      </x:c>
      <x:c r="Q1599" s="92" t="n">
        <x:f>IFERROR(VLOOKUP(L1599,'Reference Data'!$A$5:$F$40,6,FALSE),0)</x:f>
        <x:v>18</x:v>
      </x:c>
      <x:c r="R1599" s="84" t="n">
        <x:f>'Raw Sales'!J1599</x:f>
        <x:v>2</x:v>
      </x:c>
      <x:c r="S1599" s="87" t="n">
        <x:f>'Raw Sales'!K1599</x:f>
        <x:v>0.15</x:v>
      </x:c>
      <x:c r="T1599" s="93" t="n">
        <x:f>P1599*R1599</x:f>
        <x:v>78</x:v>
      </x:c>
      <x:c r="U1599" s="93" t="n">
        <x:f>T1599*S1599</x:f>
        <x:v>11.7</x:v>
      </x:c>
      <x:c r="V1599" s="93" t="str">
        <x:f>PROPER(TRIM('Raw Sales'!L1599))</x:f>
        <x:v>Completed</x:v>
      </x:c>
      <x:c r="W1599" s="93" t="n">
        <x:f>IF(V1599="Returned",0,T1599-U1599)</x:f>
        <x:v>66.3</x:v>
      </x:c>
      <x:c r="X1599" s="93" t="n">
        <x:f>IF(V1599="Returned",Q1599*R1599*10%,Q1599*R1599)</x:f>
        <x:v>36</x:v>
      </x:c>
      <x:c r="Y1599" s="93" t="n">
        <x:f>W1599-X1599</x:f>
        <x:v>30.299999999999997</x:v>
      </x:c>
      <x:c r="Z1599" s="94" t="n">
        <x:f>IFERROR(Y1599/W1599,0)</x:f>
        <x:v>0.45701357466063347</x:v>
      </x:c>
      <x:c r="AA1599" s="84" t="str">
        <x:f>PROPER(TRIM('Raw Sales'!M1599))</x:f>
        <x:v>Credit Card</x:v>
      </x:c>
      <x:c r="AB1599" s="84" t="str">
        <x:f>PROPER(TRIM('Raw Sales'!N1599))</x:f>
        <x:v>Emma Hayes</x:v>
      </x:c>
      <x:c r="AC1599" s="85" t="n">
        <x:f>'Raw Sales'!O1599</x:f>
        <x:v>45822</x:v>
      </x:c>
      <x:c r="AD1599" s="84" t="n">
        <x:f>AC1599-B1599</x:f>
        <x:v>3</x:v>
      </x:c>
      <x:c r="AE1599" s="84" t="str">
        <x:f>IF(COUNTIF($A$5:A1599,A1599)&gt;1,"Duplicate","Keep")</x:f>
        <x:v>Keep</x:v>
      </x:c>
      <x:c r="AF1599" s="84" t="str">
        <x:f>IF(OR(R1599&lt;=0,AC1599&lt;B1599,H1599="Unknown",M1599="Unknown Product"),"Review","Valid")</x:f>
        <x:v>Valid</x:v>
      </x:c>
      <x:c r="AG1599" s="84" t="n">
        <x:f>IF(AND(AE1599="Keep",AF1599="Valid"),1,0)</x:f>
        <x:v>1</x:v>
      </x:c>
      <x:c r="AH1599" s="84" t="n">
        <x:f>IF(AND(AG1599=1,OR('Dashboard'!$B$4="All",I1599='Dashboard'!$B$4),OR('Dashboard'!$E$4="All",N1599='Dashboard'!$E$4),OR('Dashboard'!$H$4="All",K1599='Dashboard'!$H$4),OR('Dashboard'!$K$4="All",C1599='Dashboard'!$K$4)),1,0)</x:f>
        <x:v>1</x:v>
      </x:c>
      <x:c r="AI1599" s="84" t="n">
        <x:f>IF(AND(AG1599=1,OR('Dashboard'!$B$4="All",I1599='Dashboard'!$B$4),OR('Dashboard'!$E$4="All",N1599='Dashboard'!$E$4),OR('Dashboard'!$H$4="All",K1599='Dashboard'!$H$4)),1,0)</x:f>
        <x:v>1</x:v>
      </x:c>
    </x:row>
    <x:row r="1600">
      <x:c r="A1600" s="84" t="str">
        <x:f>'Raw Sales'!A1600</x:f>
        <x:v>ORD-2025-02136</x:v>
      </x:c>
      <x:c r="B1600" s="85" t="n">
        <x:f>'Raw Sales'!B1600</x:f>
        <x:v>45819</x:v>
      </x:c>
      <x:c r="C1600" s="84" t="n">
        <x:f>YEAR(B1600)</x:f>
        <x:v>2025</x:v>
      </x:c>
      <x:c r="D1600" s="91" t="n">
        <x:f>DATE(YEAR(B1600),MONTH(B1600),1)</x:f>
        <x:v>45809</x:v>
      </x:c>
      <x:c r="E1600" s="84" t="str">
        <x:f>TEXT(B1600,"mmm")</x:f>
        <x:v>Jun</x:v>
      </x:c>
      <x:c r="F1600" s="84" t="str">
        <x:f>'Raw Sales'!C1600</x:f>
        <x:v>CUST-0117</x:v>
      </x:c>
      <x:c r="G1600" s="84" t="str">
        <x:f>PROPER(TRIM('Raw Sales'!D1600))</x:f>
        <x:v>Caleb Evans</x:v>
      </x:c>
      <x:c r="H1600" s="84" t="str">
        <x:f>IF(TRIM('Raw Sales'!E1600)="","Unknown",PROPER(TRIM('Raw Sales'!E1600)))</x:f>
        <x:v>Consumer</x:v>
      </x:c>
      <x:c r="I1600" s="84" t="str">
        <x:f>PROPER(TRIM('Raw Sales'!F1600))</x:f>
        <x:v>Northeast</x:v>
      </x:c>
      <x:c r="J1600" s="84" t="str">
        <x:f>PROPER(TRIM('Raw Sales'!G1600))</x:f>
        <x:v>Newark</x:v>
      </x:c>
      <x:c r="K1600" s="84" t="str">
        <x:f>PROPER(TRIM('Raw Sales'!H1600))</x:f>
        <x:v>Retail Store</x:v>
      </x:c>
      <x:c r="L1600" s="84" t="str">
        <x:f>'Raw Sales'!I1600</x:f>
        <x:v>HOME-001</x:v>
      </x:c>
      <x:c r="M1600" s="84" t="str">
        <x:f>IFERROR(VLOOKUP(L1600,'Reference Data'!$A$5:$F$40,2,FALSE),"Unknown Product")</x:f>
        <x:v>Air Fryer</x:v>
      </x:c>
      <x:c r="N1600" s="84" t="str">
        <x:f>IFERROR(VLOOKUP(L1600,'Reference Data'!$A$5:$F$40,3,FALSE),"Unknown")</x:f>
        <x:v>Home &amp; Kitchen</x:v>
      </x:c>
      <x:c r="O1600" s="84" t="str">
        <x:f>IFERROR(VLOOKUP(L1600,'Reference Data'!$A$5:$F$40,4,FALSE),"Unknown")</x:f>
        <x:v>Small Appliances</x:v>
      </x:c>
      <x:c r="P1600" s="92" t="n">
        <x:f>IFERROR(VLOOKUP(L1600,'Reference Data'!$A$5:$F$40,5,FALSE),0)</x:f>
        <x:v>119</x:v>
      </x:c>
      <x:c r="Q1600" s="92" t="n">
        <x:f>IFERROR(VLOOKUP(L1600,'Reference Data'!$A$5:$F$40,6,FALSE),0)</x:f>
        <x:v>68</x:v>
      </x:c>
      <x:c r="R1600" s="84" t="n">
        <x:f>'Raw Sales'!J1600</x:f>
        <x:v>1</x:v>
      </x:c>
      <x:c r="S1600" s="87" t="n">
        <x:f>'Raw Sales'!K1600</x:f>
        <x:v>0.1</x:v>
      </x:c>
      <x:c r="T1600" s="93" t="n">
        <x:f>P1600*R1600</x:f>
        <x:v>119</x:v>
      </x:c>
      <x:c r="U1600" s="93" t="n">
        <x:f>T1600*S1600</x:f>
        <x:v>11.9</x:v>
      </x:c>
      <x:c r="V1600" s="93" t="str">
        <x:f>PROPER(TRIM('Raw Sales'!L1600))</x:f>
        <x:v>Completed</x:v>
      </x:c>
      <x:c r="W1600" s="93" t="n">
        <x:f>IF(V1600="Returned",0,T1600-U1600)</x:f>
        <x:v>107.1</x:v>
      </x:c>
      <x:c r="X1600" s="93" t="n">
        <x:f>IF(V1600="Returned",Q1600*R1600*10%,Q1600*R1600)</x:f>
        <x:v>68</x:v>
      </x:c>
      <x:c r="Y1600" s="93" t="n">
        <x:f>W1600-X1600</x:f>
        <x:v>39.099999999999994</x:v>
      </x:c>
      <x:c r="Z1600" s="94" t="n">
        <x:f>IFERROR(Y1600/W1600,0)</x:f>
        <x:v>0.36507936507936506</x:v>
      </x:c>
      <x:c r="AA1600" s="84" t="str">
        <x:f>PROPER(TRIM('Raw Sales'!M1600))</x:f>
        <x:v>Debit Card</x:v>
      </x:c>
      <x:c r="AB1600" s="84" t="str">
        <x:f>PROPER(TRIM('Raw Sales'!N1600))</x:f>
        <x:v>Sofia Bennett</x:v>
      </x:c>
      <x:c r="AC1600" s="85" t="n">
        <x:f>'Raw Sales'!O1600</x:f>
        <x:v>45819</x:v>
      </x:c>
      <x:c r="AD1600" s="84" t="n">
        <x:f>AC1600-B1600</x:f>
        <x:v>0</x:v>
      </x:c>
      <x:c r="AE1600" s="84" t="str">
        <x:f>IF(COUNTIF($A$5:A1600,A1600)&gt;1,"Duplicate","Keep")</x:f>
        <x:v>Keep</x:v>
      </x:c>
      <x:c r="AF1600" s="84" t="str">
        <x:f>IF(OR(R1600&lt;=0,AC1600&lt;B1600,H1600="Unknown",M1600="Unknown Product"),"Review","Valid")</x:f>
        <x:v>Valid</x:v>
      </x:c>
      <x:c r="AG1600" s="84" t="n">
        <x:f>IF(AND(AE1600="Keep",AF1600="Valid"),1,0)</x:f>
        <x:v>1</x:v>
      </x:c>
      <x:c r="AH1600" s="84" t="n">
        <x:f>IF(AND(AG1600=1,OR('Dashboard'!$B$4="All",I1600='Dashboard'!$B$4),OR('Dashboard'!$E$4="All",N1600='Dashboard'!$E$4),OR('Dashboard'!$H$4="All",K1600='Dashboard'!$H$4),OR('Dashboard'!$K$4="All",C1600='Dashboard'!$K$4)),1,0)</x:f>
        <x:v>1</x:v>
      </x:c>
      <x:c r="AI1600" s="84" t="n">
        <x:f>IF(AND(AG1600=1,OR('Dashboard'!$B$4="All",I1600='Dashboard'!$B$4),OR('Dashboard'!$E$4="All",N1600='Dashboard'!$E$4),OR('Dashboard'!$H$4="All",K1600='Dashboard'!$H$4)),1,0)</x:f>
        <x:v>1</x:v>
      </x:c>
    </x:row>
    <x:row r="1601">
      <x:c r="A1601" s="84" t="str">
        <x:f>'Raw Sales'!A1601</x:f>
        <x:v>ORD-2025-00530</x:v>
      </x:c>
      <x:c r="B1601" s="85" t="n">
        <x:f>'Raw Sales'!B1601</x:f>
        <x:v>45820</x:v>
      </x:c>
      <x:c r="C1601" s="84" t="n">
        <x:f>YEAR(B1601)</x:f>
        <x:v>2025</x:v>
      </x:c>
      <x:c r="D1601" s="91" t="n">
        <x:f>DATE(YEAR(B1601),MONTH(B1601),1)</x:f>
        <x:v>45809</x:v>
      </x:c>
      <x:c r="E1601" s="84" t="str">
        <x:f>TEXT(B1601,"mmm")</x:f>
        <x:v>Jun</x:v>
      </x:c>
      <x:c r="F1601" s="84" t="str">
        <x:f>'Raw Sales'!C1601</x:f>
        <x:v>CUST-0625</x:v>
      </x:c>
      <x:c r="G1601" s="84" t="str">
        <x:f>PROPER(TRIM('Raw Sales'!D1601))</x:f>
        <x:v>Daniel Patel</x:v>
      </x:c>
      <x:c r="H1601" s="84" t="str">
        <x:f>IF(TRIM('Raw Sales'!E1601)="","Unknown",PROPER(TRIM('Raw Sales'!E1601)))</x:f>
        <x:v>Small Business</x:v>
      </x:c>
      <x:c r="I1601" s="84" t="str">
        <x:f>PROPER(TRIM('Raw Sales'!F1601))</x:f>
        <x:v>West</x:v>
      </x:c>
      <x:c r="J1601" s="84" t="str">
        <x:f>PROPER(TRIM('Raw Sales'!G1601))</x:f>
        <x:v>Phoenix</x:v>
      </x:c>
      <x:c r="K1601" s="84" t="str">
        <x:f>PROPER(TRIM('Raw Sales'!H1601))</x:f>
        <x:v>Marketplace</x:v>
      </x:c>
      <x:c r="L1601" s="84" t="str">
        <x:f>'Raw Sales'!I1601</x:f>
        <x:v>OFFC-002</x:v>
      </x:c>
      <x:c r="M1601" s="84" t="str">
        <x:f>IFERROR(VLOOKUP(L1601,'Reference Data'!$A$5:$F$40,2,FALSE),"Unknown Product")</x:f>
        <x:v>Standing Desk</x:v>
      </x:c>
      <x:c r="N1601" s="84" t="str">
        <x:f>IFERROR(VLOOKUP(L1601,'Reference Data'!$A$5:$F$40,3,FALSE),"Unknown")</x:f>
        <x:v>Office</x:v>
      </x:c>
      <x:c r="O1601" s="84" t="str">
        <x:f>IFERROR(VLOOKUP(L1601,'Reference Data'!$A$5:$F$40,4,FALSE),"Unknown")</x:f>
        <x:v>Furniture</x:v>
      </x:c>
      <x:c r="P1601" s="92" t="n">
        <x:f>IFERROR(VLOOKUP(L1601,'Reference Data'!$A$5:$F$40,5,FALSE),0)</x:f>
        <x:v>399</x:v>
      </x:c>
      <x:c r="Q1601" s="92" t="n">
        <x:f>IFERROR(VLOOKUP(L1601,'Reference Data'!$A$5:$F$40,6,FALSE),0)</x:f>
        <x:v>235</x:v>
      </x:c>
      <x:c r="R1601" s="84" t="n">
        <x:f>'Raw Sales'!J1601</x:f>
        <x:v>1</x:v>
      </x:c>
      <x:c r="S1601" s="87" t="n">
        <x:f>'Raw Sales'!K1601</x:f>
        <x:v>0.2</x:v>
      </x:c>
      <x:c r="T1601" s="93" t="n">
        <x:f>P1601*R1601</x:f>
        <x:v>399</x:v>
      </x:c>
      <x:c r="U1601" s="93" t="n">
        <x:f>T1601*S1601</x:f>
        <x:v>79.80000000000001</x:v>
      </x:c>
      <x:c r="V1601" s="93" t="str">
        <x:f>PROPER(TRIM('Raw Sales'!L1601))</x:f>
        <x:v>Completed</x:v>
      </x:c>
      <x:c r="W1601" s="93" t="n">
        <x:f>IF(V1601="Returned",0,T1601-U1601)</x:f>
        <x:v>319.2</x:v>
      </x:c>
      <x:c r="X1601" s="93" t="n">
        <x:f>IF(V1601="Returned",Q1601*R1601*10%,Q1601*R1601)</x:f>
        <x:v>235</x:v>
      </x:c>
      <x:c r="Y1601" s="93" t="n">
        <x:f>W1601-X1601</x:f>
        <x:v>84.19999999999999</x:v>
      </x:c>
      <x:c r="Z1601" s="94" t="n">
        <x:f>IFERROR(Y1601/W1601,0)</x:f>
        <x:v>0.2637844611528822</x:v>
      </x:c>
      <x:c r="AA1601" s="84" t="str">
        <x:f>PROPER(TRIM('Raw Sales'!M1601))</x:f>
        <x:v>Mobile Wallet</x:v>
      </x:c>
      <x:c r="AB1601" s="84" t="str">
        <x:f>PROPER(TRIM('Raw Sales'!N1601))</x:f>
        <x:v>Leo Martinez</x:v>
      </x:c>
      <x:c r="AC1601" s="85" t="n">
        <x:f>'Raw Sales'!O1601</x:f>
        <x:v>45823</x:v>
      </x:c>
      <x:c r="AD1601" s="84" t="n">
        <x:f>AC1601-B1601</x:f>
        <x:v>3</x:v>
      </x:c>
      <x:c r="AE1601" s="84" t="str">
        <x:f>IF(COUNTIF($A$5:A1601,A1601)&gt;1,"Duplicate","Keep")</x:f>
        <x:v>Keep</x:v>
      </x:c>
      <x:c r="AF1601" s="84" t="str">
        <x:f>IF(OR(R1601&lt;=0,AC1601&lt;B1601,H1601="Unknown",M1601="Unknown Product"),"Review","Valid")</x:f>
        <x:v>Valid</x:v>
      </x:c>
      <x:c r="AG1601" s="84" t="n">
        <x:f>IF(AND(AE1601="Keep",AF1601="Valid"),1,0)</x:f>
        <x:v>1</x:v>
      </x:c>
      <x:c r="AH1601" s="84" t="n">
        <x:f>IF(AND(AG1601=1,OR('Dashboard'!$B$4="All",I1601='Dashboard'!$B$4),OR('Dashboard'!$E$4="All",N1601='Dashboard'!$E$4),OR('Dashboard'!$H$4="All",K1601='Dashboard'!$H$4),OR('Dashboard'!$K$4="All",C1601='Dashboard'!$K$4)),1,0)</x:f>
        <x:v>1</x:v>
      </x:c>
      <x:c r="AI1601" s="84" t="n">
        <x:f>IF(AND(AG1601=1,OR('Dashboard'!$B$4="All",I1601='Dashboard'!$B$4),OR('Dashboard'!$E$4="All",N1601='Dashboard'!$E$4),OR('Dashboard'!$H$4="All",K1601='Dashboard'!$H$4)),1,0)</x:f>
        <x:v>1</x:v>
      </x:c>
    </x:row>
    <x:row r="1602">
      <x:c r="A1602" s="84" t="str">
        <x:f>'Raw Sales'!A1602</x:f>
        <x:v>ORD-2025-01000</x:v>
      </x:c>
      <x:c r="B1602" s="85" t="n">
        <x:f>'Raw Sales'!B1602</x:f>
        <x:v>45820</x:v>
      </x:c>
      <x:c r="C1602" s="84" t="n">
        <x:f>YEAR(B1602)</x:f>
        <x:v>2025</x:v>
      </x:c>
      <x:c r="D1602" s="91" t="n">
        <x:f>DATE(YEAR(B1602),MONTH(B1602),1)</x:f>
        <x:v>45809</x:v>
      </x:c>
      <x:c r="E1602" s="84" t="str">
        <x:f>TEXT(B1602,"mmm")</x:f>
        <x:v>Jun</x:v>
      </x:c>
      <x:c r="F1602" s="84" t="str">
        <x:f>'Raw Sales'!C1602</x:f>
        <x:v>CUST-0501</x:v>
      </x:c>
      <x:c r="G1602" s="84" t="str">
        <x:f>PROPER(TRIM('Raw Sales'!D1602))</x:f>
        <x:v>Priya Garcia</x:v>
      </x:c>
      <x:c r="H1602" s="84" t="str">
        <x:f>IF(TRIM('Raw Sales'!E1602)="","Unknown",PROPER(TRIM('Raw Sales'!E1602)))</x:f>
        <x:v>Consumer</x:v>
      </x:c>
      <x:c r="I1602" s="84" t="str">
        <x:f>PROPER(TRIM('Raw Sales'!F1602))</x:f>
        <x:v>Northeast</x:v>
      </x:c>
      <x:c r="J1602" s="84" t="str">
        <x:f>PROPER(TRIM('Raw Sales'!G1602))</x:f>
        <x:v>Boston</x:v>
      </x:c>
      <x:c r="K1602" s="84" t="str">
        <x:f>PROPER(TRIM('Raw Sales'!H1602))</x:f>
        <x:v>Retail Store</x:v>
      </x:c>
      <x:c r="L1602" s="84" t="str">
        <x:f>'Raw Sales'!I1602</x:f>
        <x:v>FITN-004</x:v>
      </x:c>
      <x:c r="M1602" s="84" t="str">
        <x:f>IFERROR(VLOOKUP(L1602,'Reference Data'!$A$5:$F$40,2,FALSE),"Unknown Product")</x:f>
        <x:v>Fitness Tracker</x:v>
      </x:c>
      <x:c r="N1602" s="84" t="str">
        <x:f>IFERROR(VLOOKUP(L1602,'Reference Data'!$A$5:$F$40,3,FALSE),"Unknown")</x:f>
        <x:v>Fitness</x:v>
      </x:c>
      <x:c r="O1602" s="84" t="str">
        <x:f>IFERROR(VLOOKUP(L1602,'Reference Data'!$A$5:$F$40,4,FALSE),"Unknown")</x:f>
        <x:v>Wearables</x:v>
      </x:c>
      <x:c r="P1602" s="92" t="n">
        <x:f>IFERROR(VLOOKUP(L1602,'Reference Data'!$A$5:$F$40,5,FALSE),0)</x:f>
        <x:v>89</x:v>
      </x:c>
      <x:c r="Q1602" s="92" t="n">
        <x:f>IFERROR(VLOOKUP(L1602,'Reference Data'!$A$5:$F$40,6,FALSE),0)</x:f>
        <x:v>44</x:v>
      </x:c>
      <x:c r="R1602" s="84" t="n">
        <x:f>'Raw Sales'!J1602</x:f>
        <x:v>1</x:v>
      </x:c>
      <x:c r="S1602" s="87" t="n">
        <x:f>'Raw Sales'!K1602</x:f>
        <x:v>0.05</x:v>
      </x:c>
      <x:c r="T1602" s="93" t="n">
        <x:f>P1602*R1602</x:f>
        <x:v>89</x:v>
      </x:c>
      <x:c r="U1602" s="93" t="n">
        <x:f>T1602*S1602</x:f>
        <x:v>4.45</x:v>
      </x:c>
      <x:c r="V1602" s="93" t="str">
        <x:f>PROPER(TRIM('Raw Sales'!L1602))</x:f>
        <x:v>Completed</x:v>
      </x:c>
      <x:c r="W1602" s="93" t="n">
        <x:f>IF(V1602="Returned",0,T1602-U1602)</x:f>
        <x:v>84.55</x:v>
      </x:c>
      <x:c r="X1602" s="93" t="n">
        <x:f>IF(V1602="Returned",Q1602*R1602*10%,Q1602*R1602)</x:f>
        <x:v>44</x:v>
      </x:c>
      <x:c r="Y1602" s="93" t="n">
        <x:f>W1602-X1602</x:f>
        <x:v>40.55</x:v>
      </x:c>
      <x:c r="Z1602" s="94" t="n">
        <x:f>IFERROR(Y1602/W1602,0)</x:f>
        <x:v>0.47959787108219987</x:v>
      </x:c>
      <x:c r="AA1602" s="84" t="str">
        <x:f>PROPER(TRIM('Raw Sales'!M1602))</x:f>
        <x:v>Mobile Wallet</x:v>
      </x:c>
      <x:c r="AB1602" s="84" t="str">
        <x:f>PROPER(TRIM('Raw Sales'!N1602))</x:f>
        <x:v>Maya Brooks</x:v>
      </x:c>
      <x:c r="AC1602" s="85" t="n">
        <x:f>'Raw Sales'!O1602</x:f>
        <x:v>45820</x:v>
      </x:c>
      <x:c r="AD1602" s="84" t="n">
        <x:f>AC1602-B1602</x:f>
        <x:v>0</x:v>
      </x:c>
      <x:c r="AE1602" s="84" t="str">
        <x:f>IF(COUNTIF($A$5:A1602,A1602)&gt;1,"Duplicate","Keep")</x:f>
        <x:v>Keep</x:v>
      </x:c>
      <x:c r="AF1602" s="84" t="str">
        <x:f>IF(OR(R1602&lt;=0,AC1602&lt;B1602,H1602="Unknown",M1602="Unknown Product"),"Review","Valid")</x:f>
        <x:v>Valid</x:v>
      </x:c>
      <x:c r="AG1602" s="84" t="n">
        <x:f>IF(AND(AE1602="Keep",AF1602="Valid"),1,0)</x:f>
        <x:v>1</x:v>
      </x:c>
      <x:c r="AH1602" s="84" t="n">
        <x:f>IF(AND(AG1602=1,OR('Dashboard'!$B$4="All",I1602='Dashboard'!$B$4),OR('Dashboard'!$E$4="All",N1602='Dashboard'!$E$4),OR('Dashboard'!$H$4="All",K1602='Dashboard'!$H$4),OR('Dashboard'!$K$4="All",C1602='Dashboard'!$K$4)),1,0)</x:f>
        <x:v>1</x:v>
      </x:c>
      <x:c r="AI1602" s="84" t="n">
        <x:f>IF(AND(AG1602=1,OR('Dashboard'!$B$4="All",I1602='Dashboard'!$B$4),OR('Dashboard'!$E$4="All",N1602='Dashboard'!$E$4),OR('Dashboard'!$H$4="All",K1602='Dashboard'!$H$4)),1,0)</x:f>
        <x:v>1</x:v>
      </x:c>
    </x:row>
    <x:row r="1603">
      <x:c r="A1603" s="84" t="str">
        <x:f>'Raw Sales'!A1603</x:f>
        <x:v>ORD-2025-01886</x:v>
      </x:c>
      <x:c r="B1603" s="85" t="n">
        <x:f>'Raw Sales'!B1603</x:f>
        <x:v>45820</x:v>
      </x:c>
      <x:c r="C1603" s="84" t="n">
        <x:f>YEAR(B1603)</x:f>
        <x:v>2025</x:v>
      </x:c>
      <x:c r="D1603" s="91" t="n">
        <x:f>DATE(YEAR(B1603),MONTH(B1603),1)</x:f>
        <x:v>45809</x:v>
      </x:c>
      <x:c r="E1603" s="84" t="str">
        <x:f>TEXT(B1603,"mmm")</x:f>
        <x:v>Jun</x:v>
      </x:c>
      <x:c r="F1603" s="84" t="str">
        <x:f>'Raw Sales'!C1603</x:f>
        <x:v>CUST-0457</x:v>
      </x:c>
      <x:c r="G1603" s="84" t="str">
        <x:f>PROPER(TRIM('Raw Sales'!D1603))</x:f>
        <x:v>Amelia Carter</x:v>
      </x:c>
      <x:c r="H1603" s="84" t="str">
        <x:f>IF(TRIM('Raw Sales'!E1603)="","Unknown",PROPER(TRIM('Raw Sales'!E1603)))</x:f>
        <x:v>Small Business</x:v>
      </x:c>
      <x:c r="I1603" s="84" t="str">
        <x:f>PROPER(TRIM('Raw Sales'!F1603))</x:f>
        <x:v>Midwest</x:v>
      </x:c>
      <x:c r="J1603" s="84" t="str">
        <x:f>PROPER(TRIM('Raw Sales'!G1603))</x:f>
        <x:v>Columbus</x:v>
      </x:c>
      <x:c r="K1603" s="84" t="str">
        <x:f>PROPER(TRIM('Raw Sales'!H1603))</x:f>
        <x:v>Retail Store</x:v>
      </x:c>
      <x:c r="L1603" s="84" t="str">
        <x:f>'Raw Sales'!I1603</x:f>
        <x:v>OFFC-001</x:v>
      </x:c>
      <x:c r="M1603" s="84" t="str">
        <x:f>IFERROR(VLOOKUP(L1603,'Reference Data'!$A$5:$F$40,2,FALSE),"Unknown Product")</x:f>
        <x:v>Ergonomic Chair</x:v>
      </x:c>
      <x:c r="N1603" s="84" t="str">
        <x:f>IFERROR(VLOOKUP(L1603,'Reference Data'!$A$5:$F$40,3,FALSE),"Unknown")</x:f>
        <x:v>Office</x:v>
      </x:c>
      <x:c r="O1603" s="84" t="str">
        <x:f>IFERROR(VLOOKUP(L1603,'Reference Data'!$A$5:$F$40,4,FALSE),"Unknown")</x:f>
        <x:v>Furniture</x:v>
      </x:c>
      <x:c r="P1603" s="92" t="n">
        <x:f>IFERROR(VLOOKUP(L1603,'Reference Data'!$A$5:$F$40,5,FALSE),0)</x:f>
        <x:v>249</x:v>
      </x:c>
      <x:c r="Q1603" s="92" t="n">
        <x:f>IFERROR(VLOOKUP(L1603,'Reference Data'!$A$5:$F$40,6,FALSE),0)</x:f>
        <x:v>145</x:v>
      </x:c>
      <x:c r="R1603" s="84" t="n">
        <x:f>'Raw Sales'!J1603</x:f>
        <x:v>1</x:v>
      </x:c>
      <x:c r="S1603" s="87" t="n">
        <x:f>'Raw Sales'!K1603</x:f>
        <x:v>0.05</x:v>
      </x:c>
      <x:c r="T1603" s="93" t="n">
        <x:f>P1603*R1603</x:f>
        <x:v>249</x:v>
      </x:c>
      <x:c r="U1603" s="93" t="n">
        <x:f>T1603*S1603</x:f>
        <x:v>12.450000000000001</x:v>
      </x:c>
      <x:c r="V1603" s="93" t="str">
        <x:f>PROPER(TRIM('Raw Sales'!L1603))</x:f>
        <x:v>Completed</x:v>
      </x:c>
      <x:c r="W1603" s="93" t="n">
        <x:f>IF(V1603="Returned",0,T1603-U1603)</x:f>
        <x:v>236.55</x:v>
      </x:c>
      <x:c r="X1603" s="93" t="n">
        <x:f>IF(V1603="Returned",Q1603*R1603*10%,Q1603*R1603)</x:f>
        <x:v>145</x:v>
      </x:c>
      <x:c r="Y1603" s="93" t="n">
        <x:f>W1603-X1603</x:f>
        <x:v>91.55000000000001</x:v>
      </x:c>
      <x:c r="Z1603" s="94" t="n">
        <x:f>IFERROR(Y1603/W1603,0)</x:f>
        <x:v>0.3870217712957092</x:v>
      </x:c>
      <x:c r="AA1603" s="84" t="str">
        <x:f>PROPER(TRIM('Raw Sales'!M1603))</x:f>
        <x:v>Credit Card</x:v>
      </x:c>
      <x:c r="AB1603" s="84" t="str">
        <x:f>PROPER(TRIM('Raw Sales'!N1603))</x:f>
        <x:v>Lucas Grant</x:v>
      </x:c>
      <x:c r="AC1603" s="85" t="n">
        <x:f>'Raw Sales'!O1603</x:f>
        <x:v>45820</x:v>
      </x:c>
      <x:c r="AD1603" s="84" t="n">
        <x:f>AC1603-B1603</x:f>
        <x:v>0</x:v>
      </x:c>
      <x:c r="AE1603" s="84" t="str">
        <x:f>IF(COUNTIF($A$5:A1603,A1603)&gt;1,"Duplicate","Keep")</x:f>
        <x:v>Keep</x:v>
      </x:c>
      <x:c r="AF1603" s="84" t="str">
        <x:f>IF(OR(R1603&lt;=0,AC1603&lt;B1603,H1603="Unknown",M1603="Unknown Product"),"Review","Valid")</x:f>
        <x:v>Valid</x:v>
      </x:c>
      <x:c r="AG1603" s="84" t="n">
        <x:f>IF(AND(AE1603="Keep",AF1603="Valid"),1,0)</x:f>
        <x:v>1</x:v>
      </x:c>
      <x:c r="AH1603" s="84" t="n">
        <x:f>IF(AND(AG1603=1,OR('Dashboard'!$B$4="All",I1603='Dashboard'!$B$4),OR('Dashboard'!$E$4="All",N1603='Dashboard'!$E$4),OR('Dashboard'!$H$4="All",K1603='Dashboard'!$H$4),OR('Dashboard'!$K$4="All",C1603='Dashboard'!$K$4)),1,0)</x:f>
        <x:v>1</x:v>
      </x:c>
      <x:c r="AI1603" s="84" t="n">
        <x:f>IF(AND(AG1603=1,OR('Dashboard'!$B$4="All",I1603='Dashboard'!$B$4),OR('Dashboard'!$E$4="All",N1603='Dashboard'!$E$4),OR('Dashboard'!$H$4="All",K1603='Dashboard'!$H$4)),1,0)</x:f>
        <x:v>1</x:v>
      </x:c>
    </x:row>
    <x:row r="1604">
      <x:c r="A1604" s="84" t="str">
        <x:f>'Raw Sales'!A1604</x:f>
        <x:v>ORD-2025-00164</x:v>
      </x:c>
      <x:c r="B1604" s="85" t="n">
        <x:f>'Raw Sales'!B1604</x:f>
        <x:v>45821</x:v>
      </x:c>
      <x:c r="C1604" s="84" t="n">
        <x:f>YEAR(B1604)</x:f>
        <x:v>2025</x:v>
      </x:c>
      <x:c r="D1604" s="91" t="n">
        <x:f>DATE(YEAR(B1604),MONTH(B1604),1)</x:f>
        <x:v>45809</x:v>
      </x:c>
      <x:c r="E1604" s="84" t="str">
        <x:f>TEXT(B1604,"mmm")</x:f>
        <x:v>Jun</x:v>
      </x:c>
      <x:c r="F1604" s="84" t="str">
        <x:f>'Raw Sales'!C1604</x:f>
        <x:v>CUST-0121</x:v>
      </x:c>
      <x:c r="G1604" s="84" t="str">
        <x:f>PROPER(TRIM('Raw Sales'!D1604))</x:f>
        <x:v>Zara Patel</x:v>
      </x:c>
      <x:c r="H1604" s="84" t="str">
        <x:f>IF(TRIM('Raw Sales'!E1604)="","Unknown",PROPER(TRIM('Raw Sales'!E1604)))</x:f>
        <x:v>Corporate</x:v>
      </x:c>
      <x:c r="I1604" s="84" t="str">
        <x:f>PROPER(TRIM('Raw Sales'!F1604))</x:f>
        <x:v>West</x:v>
      </x:c>
      <x:c r="J1604" s="84" t="str">
        <x:f>PROPER(TRIM('Raw Sales'!G1604))</x:f>
        <x:v>Denver</x:v>
      </x:c>
      <x:c r="K1604" s="84" t="str">
        <x:f>PROPER(TRIM('Raw Sales'!H1604))</x:f>
        <x:v>Retail Store</x:v>
      </x:c>
      <x:c r="L1604" s="84" t="str">
        <x:f>'Raw Sales'!I1604</x:f>
        <x:v>ACCS-004</x:v>
      </x:c>
      <x:c r="M1604" s="84" t="str">
        <x:f>IFERROR(VLOOKUP(L1604,'Reference Data'!$A$5:$F$40,2,FALSE),"Unknown Product")</x:f>
        <x:v>Leather Wallet</x:v>
      </x:c>
      <x:c r="N1604" s="84" t="str">
        <x:f>IFERROR(VLOOKUP(L1604,'Reference Data'!$A$5:$F$40,3,FALSE),"Unknown")</x:f>
        <x:v>Accessories</x:v>
      </x:c>
      <x:c r="O1604" s="84" t="str">
        <x:f>IFERROR(VLOOKUP(L1604,'Reference Data'!$A$5:$F$40,4,FALSE),"Unknown")</x:f>
        <x:v>Wallets</x:v>
      </x:c>
      <x:c r="P1604" s="92" t="n">
        <x:f>IFERROR(VLOOKUP(L1604,'Reference Data'!$A$5:$F$40,5,FALSE),0)</x:f>
        <x:v>49</x:v>
      </x:c>
      <x:c r="Q1604" s="92" t="n">
        <x:f>IFERROR(VLOOKUP(L1604,'Reference Data'!$A$5:$F$40,6,FALSE),0)</x:f>
        <x:v>18</x:v>
      </x:c>
      <x:c r="R1604" s="84" t="n">
        <x:f>'Raw Sales'!J1604</x:f>
        <x:v>1</x:v>
      </x:c>
      <x:c r="S1604" s="87" t="n">
        <x:f>'Raw Sales'!K1604</x:f>
        <x:v>0.05</x:v>
      </x:c>
      <x:c r="T1604" s="93" t="n">
        <x:f>P1604*R1604</x:f>
        <x:v>49</x:v>
      </x:c>
      <x:c r="U1604" s="93" t="n">
        <x:f>T1604*S1604</x:f>
        <x:v>2.45</x:v>
      </x:c>
      <x:c r="V1604" s="93" t="str">
        <x:f>PROPER(TRIM('Raw Sales'!L1604))</x:f>
        <x:v>Completed</x:v>
      </x:c>
      <x:c r="W1604" s="93" t="n">
        <x:f>IF(V1604="Returned",0,T1604-U1604)</x:f>
        <x:v>46.55</x:v>
      </x:c>
      <x:c r="X1604" s="93" t="n">
        <x:f>IF(V1604="Returned",Q1604*R1604*10%,Q1604*R1604)</x:f>
        <x:v>18</x:v>
      </x:c>
      <x:c r="Y1604" s="93" t="n">
        <x:f>W1604-X1604</x:f>
        <x:v>28.549999999999997</x:v>
      </x:c>
      <x:c r="Z1604" s="94" t="n">
        <x:f>IFERROR(Y1604/W1604,0)</x:f>
        <x:v>0.6133190118152524</x:v>
      </x:c>
      <x:c r="AA1604" s="84" t="str">
        <x:f>PROPER(TRIM('Raw Sales'!M1604))</x:f>
        <x:v>Credit Card</x:v>
      </x:c>
      <x:c r="AB1604" s="84" t="str">
        <x:f>PROPER(TRIM('Raw Sales'!N1604))</x:f>
        <x:v>Mia Chen</x:v>
      </x:c>
      <x:c r="AC1604" s="85" t="n">
        <x:f>'Raw Sales'!O1604</x:f>
        <x:v>45821</x:v>
      </x:c>
      <x:c r="AD1604" s="84" t="n">
        <x:f>AC1604-B1604</x:f>
        <x:v>0</x:v>
      </x:c>
      <x:c r="AE1604" s="84" t="str">
        <x:f>IF(COUNTIF($A$5:A1604,A1604)&gt;1,"Duplicate","Keep")</x:f>
        <x:v>Keep</x:v>
      </x:c>
      <x:c r="AF1604" s="84" t="str">
        <x:f>IF(OR(R1604&lt;=0,AC1604&lt;B1604,H1604="Unknown",M1604="Unknown Product"),"Review","Valid")</x:f>
        <x:v>Valid</x:v>
      </x:c>
      <x:c r="AG1604" s="84" t="n">
        <x:f>IF(AND(AE1604="Keep",AF1604="Valid"),1,0)</x:f>
        <x:v>1</x:v>
      </x:c>
      <x:c r="AH1604" s="84" t="n">
        <x:f>IF(AND(AG1604=1,OR('Dashboard'!$B$4="All",I1604='Dashboard'!$B$4),OR('Dashboard'!$E$4="All",N1604='Dashboard'!$E$4),OR('Dashboard'!$H$4="All",K1604='Dashboard'!$H$4),OR('Dashboard'!$K$4="All",C1604='Dashboard'!$K$4)),1,0)</x:f>
        <x:v>1</x:v>
      </x:c>
      <x:c r="AI1604" s="84" t="n">
        <x:f>IF(AND(AG1604=1,OR('Dashboard'!$B$4="All",I1604='Dashboard'!$B$4),OR('Dashboard'!$E$4="All",N1604='Dashboard'!$E$4),OR('Dashboard'!$H$4="All",K1604='Dashboard'!$H$4)),1,0)</x:f>
        <x:v>1</x:v>
      </x:c>
    </x:row>
    <x:row r="1605">
      <x:c r="A1605" s="84" t="str">
        <x:f>'Raw Sales'!A1605</x:f>
        <x:v>ORD-2025-00649</x:v>
      </x:c>
      <x:c r="B1605" s="85" t="n">
        <x:f>'Raw Sales'!B1605</x:f>
        <x:v>45822</x:v>
      </x:c>
      <x:c r="C1605" s="84" t="n">
        <x:f>YEAR(B1605)</x:f>
        <x:v>2025</x:v>
      </x:c>
      <x:c r="D1605" s="91" t="n">
        <x:f>DATE(YEAR(B1605),MONTH(B1605),1)</x:f>
        <x:v>45809</x:v>
      </x:c>
      <x:c r="E1605" s="84" t="str">
        <x:f>TEXT(B1605,"mmm")</x:f>
        <x:v>Jun</x:v>
      </x:c>
      <x:c r="F1605" s="84" t="str">
        <x:f>'Raw Sales'!C1605</x:f>
        <x:v>CUST-0020</x:v>
      </x:c>
      <x:c r="G1605" s="84" t="str">
        <x:f>PROPER(TRIM('Raw Sales'!D1605))</x:f>
        <x:v>Elias Ortiz</x:v>
      </x:c>
      <x:c r="H1605" s="84" t="str">
        <x:f>IF(TRIM('Raw Sales'!E1605)="","Unknown",PROPER(TRIM('Raw Sales'!E1605)))</x:f>
        <x:v>Consumer</x:v>
      </x:c>
      <x:c r="I1605" s="84" t="str">
        <x:f>PROPER(TRIM('Raw Sales'!F1605))</x:f>
        <x:v>Southeast</x:v>
      </x:c>
      <x:c r="J1605" s="84" t="str">
        <x:f>PROPER(TRIM('Raw Sales'!G1605))</x:f>
        <x:v>Miami</x:v>
      </x:c>
      <x:c r="K1605" s="84" t="str">
        <x:f>PROPER(TRIM('Raw Sales'!H1605))</x:f>
        <x:v>Online</x:v>
      </x:c>
      <x:c r="L1605" s="84" t="str">
        <x:f>'Raw Sales'!I1605</x:f>
        <x:v>OFFC-004</x:v>
      </x:c>
      <x:c r="M1605" s="84" t="str">
        <x:f>IFERROR(VLOOKUP(L1605,'Reference Data'!$A$5:$F$40,2,FALSE),"Unknown Product")</x:f>
        <x:v>Premium Notebook Pack</x:v>
      </x:c>
      <x:c r="N1605" s="84" t="str">
        <x:f>IFERROR(VLOOKUP(L1605,'Reference Data'!$A$5:$F$40,3,FALSE),"Unknown")</x:f>
        <x:v>Office</x:v>
      </x:c>
      <x:c r="O1605" s="84" t="str">
        <x:f>IFERROR(VLOOKUP(L1605,'Reference Data'!$A$5:$F$40,4,FALSE),"Unknown")</x:f>
        <x:v>Stationery</x:v>
      </x:c>
      <x:c r="P1605" s="92" t="n">
        <x:f>IFERROR(VLOOKUP(L1605,'Reference Data'!$A$5:$F$40,5,FALSE),0)</x:f>
        <x:v>18</x:v>
      </x:c>
      <x:c r="Q1605" s="92" t="n">
        <x:f>IFERROR(VLOOKUP(L1605,'Reference Data'!$A$5:$F$40,6,FALSE),0)</x:f>
        <x:v>6.5</x:v>
      </x:c>
      <x:c r="R1605" s="84" t="n">
        <x:f>'Raw Sales'!J1605</x:f>
        <x:v>3</x:v>
      </x:c>
      <x:c r="S1605" s="87" t="n">
        <x:f>'Raw Sales'!K1605</x:f>
        <x:v>0</x:v>
      </x:c>
      <x:c r="T1605" s="93" t="n">
        <x:f>P1605*R1605</x:f>
        <x:v>54</x:v>
      </x:c>
      <x:c r="U1605" s="93" t="n">
        <x:f>T1605*S1605</x:f>
        <x:v>0</x:v>
      </x:c>
      <x:c r="V1605" s="93" t="str">
        <x:f>PROPER(TRIM('Raw Sales'!L1605))</x:f>
        <x:v>Completed</x:v>
      </x:c>
      <x:c r="W1605" s="93" t="n">
        <x:f>IF(V1605="Returned",0,T1605-U1605)</x:f>
        <x:v>54</x:v>
      </x:c>
      <x:c r="X1605" s="93" t="n">
        <x:f>IF(V1605="Returned",Q1605*R1605*10%,Q1605*R1605)</x:f>
        <x:v>19.5</x:v>
      </x:c>
      <x:c r="Y1605" s="93" t="n">
        <x:f>W1605-X1605</x:f>
        <x:v>34.5</x:v>
      </x:c>
      <x:c r="Z1605" s="94" t="n">
        <x:f>IFERROR(Y1605/W1605,0)</x:f>
        <x:v>0.6388888888888888</x:v>
      </x:c>
      <x:c r="AA1605" s="84" t="str">
        <x:f>PROPER(TRIM('Raw Sales'!M1605))</x:f>
        <x:v>Credit Card</x:v>
      </x:c>
      <x:c r="AB1605" s="84" t="str">
        <x:f>PROPER(TRIM('Raw Sales'!N1605))</x:f>
        <x:v>Liam Parker</x:v>
      </x:c>
      <x:c r="AC1605" s="85" t="n">
        <x:f>'Raw Sales'!O1605</x:f>
        <x:v>45828</x:v>
      </x:c>
      <x:c r="AD1605" s="84" t="n">
        <x:f>AC1605-B1605</x:f>
        <x:v>6</x:v>
      </x:c>
      <x:c r="AE1605" s="84" t="str">
        <x:f>IF(COUNTIF($A$5:A1605,A1605)&gt;1,"Duplicate","Keep")</x:f>
        <x:v>Keep</x:v>
      </x:c>
      <x:c r="AF1605" s="84" t="str">
        <x:f>IF(OR(R1605&lt;=0,AC1605&lt;B1605,H1605="Unknown",M1605="Unknown Product"),"Review","Valid")</x:f>
        <x:v>Valid</x:v>
      </x:c>
      <x:c r="AG1605" s="84" t="n">
        <x:f>IF(AND(AE1605="Keep",AF1605="Valid"),1,0)</x:f>
        <x:v>1</x:v>
      </x:c>
      <x:c r="AH1605" s="84" t="n">
        <x:f>IF(AND(AG1605=1,OR('Dashboard'!$B$4="All",I1605='Dashboard'!$B$4),OR('Dashboard'!$E$4="All",N1605='Dashboard'!$E$4),OR('Dashboard'!$H$4="All",K1605='Dashboard'!$H$4),OR('Dashboard'!$K$4="All",C1605='Dashboard'!$K$4)),1,0)</x:f>
        <x:v>1</x:v>
      </x:c>
      <x:c r="AI1605" s="84" t="n">
        <x:f>IF(AND(AG1605=1,OR('Dashboard'!$B$4="All",I1605='Dashboard'!$B$4),OR('Dashboard'!$E$4="All",N1605='Dashboard'!$E$4),OR('Dashboard'!$H$4="All",K1605='Dashboard'!$H$4)),1,0)</x:f>
        <x:v>1</x:v>
      </x:c>
    </x:row>
    <x:row r="1606">
      <x:c r="A1606" s="84" t="str">
        <x:f>'Raw Sales'!A1606</x:f>
        <x:v>ORD-2025-01994</x:v>
      </x:c>
      <x:c r="B1606" s="85" t="n">
        <x:f>'Raw Sales'!B1606</x:f>
        <x:v>45822</x:v>
      </x:c>
      <x:c r="C1606" s="84" t="n">
        <x:f>YEAR(B1606)</x:f>
        <x:v>2025</x:v>
      </x:c>
      <x:c r="D1606" s="91" t="n">
        <x:f>DATE(YEAR(B1606),MONTH(B1606),1)</x:f>
        <x:v>45809</x:v>
      </x:c>
      <x:c r="E1606" s="84" t="str">
        <x:f>TEXT(B1606,"mmm")</x:f>
        <x:v>Jun</x:v>
      </x:c>
      <x:c r="F1606" s="84" t="str">
        <x:f>'Raw Sales'!C1606</x:f>
        <x:v>CUST-0301</x:v>
      </x:c>
      <x:c r="G1606" s="84" t="str">
        <x:f>PROPER(TRIM('Raw Sales'!D1606))</x:f>
        <x:v>Elias Smith</x:v>
      </x:c>
      <x:c r="H1606" s="84" t="str">
        <x:f>IF(TRIM('Raw Sales'!E1606)="","Unknown",PROPER(TRIM('Raw Sales'!E1606)))</x:f>
        <x:v>Consumer</x:v>
      </x:c>
      <x:c r="I1606" s="84" t="str">
        <x:f>PROPER(TRIM('Raw Sales'!F1606))</x:f>
        <x:v>Southeast</x:v>
      </x:c>
      <x:c r="J1606" s="84" t="str">
        <x:f>PROPER(TRIM('Raw Sales'!G1606))</x:f>
        <x:v>Charlotte</x:v>
      </x:c>
      <x:c r="K1606" s="84" t="str">
        <x:f>PROPER(TRIM('Raw Sales'!H1606))</x:f>
        <x:v>Online</x:v>
      </x:c>
      <x:c r="L1606" s="84" t="str">
        <x:f>'Raw Sales'!I1606</x:f>
        <x:v>FITN-002</x:v>
      </x:c>
      <x:c r="M1606" s="84" t="str">
        <x:f>IFERROR(VLOOKUP(L1606,'Reference Data'!$A$5:$F$40,2,FALSE),"Unknown Product")</x:f>
        <x:v>Adjustable Dumbbell Set</x:v>
      </x:c>
      <x:c r="N1606" s="84" t="str">
        <x:f>IFERROR(VLOOKUP(L1606,'Reference Data'!$A$5:$F$40,3,FALSE),"Unknown")</x:f>
        <x:v>Fitness</x:v>
      </x:c>
      <x:c r="O1606" s="84" t="str">
        <x:f>IFERROR(VLOOKUP(L1606,'Reference Data'!$A$5:$F$40,4,FALSE),"Unknown")</x:f>
        <x:v>Strength</x:v>
      </x:c>
      <x:c r="P1606" s="92" t="n">
        <x:f>IFERROR(VLOOKUP(L1606,'Reference Data'!$A$5:$F$40,5,FALSE),0)</x:f>
        <x:v>99</x:v>
      </x:c>
      <x:c r="Q1606" s="92" t="n">
        <x:f>IFERROR(VLOOKUP(L1606,'Reference Data'!$A$5:$F$40,6,FALSE),0)</x:f>
        <x:v>57</x:v>
      </x:c>
      <x:c r="R1606" s="84" t="n">
        <x:f>'Raw Sales'!J1606</x:f>
        <x:v>3</x:v>
      </x:c>
      <x:c r="S1606" s="87" t="n">
        <x:f>'Raw Sales'!K1606</x:f>
        <x:v>0.05</x:v>
      </x:c>
      <x:c r="T1606" s="93" t="n">
        <x:f>P1606*R1606</x:f>
        <x:v>297</x:v>
      </x:c>
      <x:c r="U1606" s="93" t="n">
        <x:f>T1606*S1606</x:f>
        <x:v>14.850000000000001</x:v>
      </x:c>
      <x:c r="V1606" s="93" t="str">
        <x:f>PROPER(TRIM('Raw Sales'!L1606))</x:f>
        <x:v>Completed</x:v>
      </x:c>
      <x:c r="W1606" s="93" t="n">
        <x:f>IF(V1606="Returned",0,T1606-U1606)</x:f>
        <x:v>282.15</x:v>
      </x:c>
      <x:c r="X1606" s="93" t="n">
        <x:f>IF(V1606="Returned",Q1606*R1606*10%,Q1606*R1606)</x:f>
        <x:v>171</x:v>
      </x:c>
      <x:c r="Y1606" s="93" t="n">
        <x:f>W1606-X1606</x:f>
        <x:v>111.14999999999998</x:v>
      </x:c>
      <x:c r="Z1606" s="94" t="n">
        <x:f>IFERROR(Y1606/W1606,0)</x:f>
        <x:v>0.39393939393939387</x:v>
      </x:c>
      <x:c r="AA1606" s="84" t="str">
        <x:f>PROPER(TRIM('Raw Sales'!M1606))</x:f>
        <x:v>Credit Card</x:v>
      </x:c>
      <x:c r="AB1606" s="84" t="str">
        <x:f>PROPER(TRIM('Raw Sales'!N1606))</x:f>
        <x:v>Ava Mitchell</x:v>
      </x:c>
      <x:c r="AC1606" s="85" t="n">
        <x:f>'Raw Sales'!O1606</x:f>
        <x:v>45826</x:v>
      </x:c>
      <x:c r="AD1606" s="84" t="n">
        <x:f>AC1606-B1606</x:f>
        <x:v>4</x:v>
      </x:c>
      <x:c r="AE1606" s="84" t="str">
        <x:f>IF(COUNTIF($A$5:A1606,A1606)&gt;1,"Duplicate","Keep")</x:f>
        <x:v>Keep</x:v>
      </x:c>
      <x:c r="AF1606" s="84" t="str">
        <x:f>IF(OR(R1606&lt;=0,AC1606&lt;B1606,H1606="Unknown",M1606="Unknown Product"),"Review","Valid")</x:f>
        <x:v>Valid</x:v>
      </x:c>
      <x:c r="AG1606" s="84" t="n">
        <x:f>IF(AND(AE1606="Keep",AF1606="Valid"),1,0)</x:f>
        <x:v>1</x:v>
      </x:c>
      <x:c r="AH1606" s="84" t="n">
        <x:f>IF(AND(AG1606=1,OR('Dashboard'!$B$4="All",I1606='Dashboard'!$B$4),OR('Dashboard'!$E$4="All",N1606='Dashboard'!$E$4),OR('Dashboard'!$H$4="All",K1606='Dashboard'!$H$4),OR('Dashboard'!$K$4="All",C1606='Dashboard'!$K$4)),1,0)</x:f>
        <x:v>1</x:v>
      </x:c>
      <x:c r="AI1606" s="84" t="n">
        <x:f>IF(AND(AG1606=1,OR('Dashboard'!$B$4="All",I1606='Dashboard'!$B$4),OR('Dashboard'!$E$4="All",N1606='Dashboard'!$E$4),OR('Dashboard'!$H$4="All",K1606='Dashboard'!$H$4)),1,0)</x:f>
        <x:v>1</x:v>
      </x:c>
    </x:row>
    <x:row r="1607">
      <x:c r="A1607" s="84" t="str">
        <x:f>'Raw Sales'!A1607</x:f>
        <x:v>ORD-2025-02312</x:v>
      </x:c>
      <x:c r="B1607" s="85" t="n">
        <x:f>'Raw Sales'!B1607</x:f>
        <x:v>45822</x:v>
      </x:c>
      <x:c r="C1607" s="84" t="n">
        <x:f>YEAR(B1607)</x:f>
        <x:v>2025</x:v>
      </x:c>
      <x:c r="D1607" s="91" t="n">
        <x:f>DATE(YEAR(B1607),MONTH(B1607),1)</x:f>
        <x:v>45809</x:v>
      </x:c>
      <x:c r="E1607" s="84" t="str">
        <x:f>TEXT(B1607,"mmm")</x:f>
        <x:v>Jun</x:v>
      </x:c>
      <x:c r="F1607" s="84" t="str">
        <x:f>'Raw Sales'!C1607</x:f>
        <x:v>CUST-0497</x:v>
      </x:c>
      <x:c r="G1607" s="84" t="str">
        <x:f>PROPER(TRIM('Raw Sales'!D1607))</x:f>
        <x:v>Theo Foster</x:v>
      </x:c>
      <x:c r="H1607" s="84" t="str">
        <x:f>IF(TRIM('Raw Sales'!E1607)="","Unknown",PROPER(TRIM('Raw Sales'!E1607)))</x:f>
        <x:v>Consumer</x:v>
      </x:c>
      <x:c r="I1607" s="84" t="str">
        <x:f>PROPER(TRIM('Raw Sales'!F1607))</x:f>
        <x:v>Midwest</x:v>
      </x:c>
      <x:c r="J1607" s="84" t="str">
        <x:f>PROPER(TRIM('Raw Sales'!G1607))</x:f>
        <x:v>Chicago</x:v>
      </x:c>
      <x:c r="K1607" s="84" t="str">
        <x:f>PROPER(TRIM('Raw Sales'!H1607))</x:f>
        <x:v>Online</x:v>
      </x:c>
      <x:c r="L1607" s="84" t="str">
        <x:f>'Raw Sales'!I1607</x:f>
        <x:v>ELEC-002</x:v>
      </x:c>
      <x:c r="M1607" s="84" t="str">
        <x:f>IFERROR(VLOOKUP(L1607,'Reference Data'!$A$5:$F$40,2,FALSE),"Unknown Product")</x:f>
        <x:v>Smartwatch</x:v>
      </x:c>
      <x:c r="N1607" s="84" t="str">
        <x:f>IFERROR(VLOOKUP(L1607,'Reference Data'!$A$5:$F$40,3,FALSE),"Unknown")</x:f>
        <x:v>Electronics</x:v>
      </x:c>
      <x:c r="O1607" s="84" t="str">
        <x:f>IFERROR(VLOOKUP(L1607,'Reference Data'!$A$5:$F$40,4,FALSE),"Unknown")</x:f>
        <x:v>Wearables</x:v>
      </x:c>
      <x:c r="P1607" s="92" t="n">
        <x:f>IFERROR(VLOOKUP(L1607,'Reference Data'!$A$5:$F$40,5,FALSE),0)</x:f>
        <x:v>159</x:v>
      </x:c>
      <x:c r="Q1607" s="92" t="n">
        <x:f>IFERROR(VLOOKUP(L1607,'Reference Data'!$A$5:$F$40,6,FALSE),0)</x:f>
        <x:v>92</x:v>
      </x:c>
      <x:c r="R1607" s="84" t="n">
        <x:f>'Raw Sales'!J1607</x:f>
        <x:v>1</x:v>
      </x:c>
      <x:c r="S1607" s="87" t="n">
        <x:f>'Raw Sales'!K1607</x:f>
        <x:v>0.1</x:v>
      </x:c>
      <x:c r="T1607" s="93" t="n">
        <x:f>P1607*R1607</x:f>
        <x:v>159</x:v>
      </x:c>
      <x:c r="U1607" s="93" t="n">
        <x:f>T1607*S1607</x:f>
        <x:v>15.9</x:v>
      </x:c>
      <x:c r="V1607" s="93" t="str">
        <x:f>PROPER(TRIM('Raw Sales'!L1607))</x:f>
        <x:v>Completed</x:v>
      </x:c>
      <x:c r="W1607" s="93" t="n">
        <x:f>IF(V1607="Returned",0,T1607-U1607)</x:f>
        <x:v>143.1</x:v>
      </x:c>
      <x:c r="X1607" s="93" t="n">
        <x:f>IF(V1607="Returned",Q1607*R1607*10%,Q1607*R1607)</x:f>
        <x:v>92</x:v>
      </x:c>
      <x:c r="Y1607" s="93" t="n">
        <x:f>W1607-X1607</x:f>
        <x:v>51.099999999999994</x:v>
      </x:c>
      <x:c r="Z1607" s="94" t="n">
        <x:f>IFERROR(Y1607/W1607,0)</x:f>
        <x:v>0.35709294199860236</x:v>
      </x:c>
      <x:c r="AA1607" s="84" t="str">
        <x:f>PROPER(TRIM('Raw Sales'!M1607))</x:f>
        <x:v>Debit Card</x:v>
      </x:c>
      <x:c r="AB1607" s="84" t="str">
        <x:f>PROPER(TRIM('Raw Sales'!N1607))</x:f>
        <x:v>Lucas Grant</x:v>
      </x:c>
      <x:c r="AC1607" s="85" t="n">
        <x:f>'Raw Sales'!O1607</x:f>
        <x:v>45826</x:v>
      </x:c>
      <x:c r="AD1607" s="84" t="n">
        <x:f>AC1607-B1607</x:f>
        <x:v>4</x:v>
      </x:c>
      <x:c r="AE1607" s="84" t="str">
        <x:f>IF(COUNTIF($A$5:A1607,A1607)&gt;1,"Duplicate","Keep")</x:f>
        <x:v>Keep</x:v>
      </x:c>
      <x:c r="AF1607" s="84" t="str">
        <x:f>IF(OR(R1607&lt;=0,AC1607&lt;B1607,H1607="Unknown",M1607="Unknown Product"),"Review","Valid")</x:f>
        <x:v>Valid</x:v>
      </x:c>
      <x:c r="AG1607" s="84" t="n">
        <x:f>IF(AND(AE1607="Keep",AF1607="Valid"),1,0)</x:f>
        <x:v>1</x:v>
      </x:c>
      <x:c r="AH1607" s="84" t="n">
        <x:f>IF(AND(AG1607=1,OR('Dashboard'!$B$4="All",I1607='Dashboard'!$B$4),OR('Dashboard'!$E$4="All",N1607='Dashboard'!$E$4),OR('Dashboard'!$H$4="All",K1607='Dashboard'!$H$4),OR('Dashboard'!$K$4="All",C1607='Dashboard'!$K$4)),1,0)</x:f>
        <x:v>1</x:v>
      </x:c>
      <x:c r="AI1607" s="84" t="n">
        <x:f>IF(AND(AG1607=1,OR('Dashboard'!$B$4="All",I1607='Dashboard'!$B$4),OR('Dashboard'!$E$4="All",N1607='Dashboard'!$E$4),OR('Dashboard'!$H$4="All",K1607='Dashboard'!$H$4)),1,0)</x:f>
        <x:v>1</x:v>
      </x:c>
    </x:row>
    <x:row r="1608">
      <x:c r="A1608" s="84" t="str">
        <x:f>'Raw Sales'!A1608</x:f>
        <x:v>ORD-2025-02312</x:v>
      </x:c>
      <x:c r="B1608" s="85" t="n">
        <x:f>'Raw Sales'!B1608</x:f>
        <x:v>45822</x:v>
      </x:c>
      <x:c r="C1608" s="84" t="n">
        <x:f>YEAR(B1608)</x:f>
        <x:v>2025</x:v>
      </x:c>
      <x:c r="D1608" s="91" t="n">
        <x:f>DATE(YEAR(B1608),MONTH(B1608),1)</x:f>
        <x:v>45809</x:v>
      </x:c>
      <x:c r="E1608" s="84" t="str">
        <x:f>TEXT(B1608,"mmm")</x:f>
        <x:v>Jun</x:v>
      </x:c>
      <x:c r="F1608" s="84" t="str">
        <x:f>'Raw Sales'!C1608</x:f>
        <x:v>CUST-0497</x:v>
      </x:c>
      <x:c r="G1608" s="84" t="str">
        <x:f>PROPER(TRIM('Raw Sales'!D1608))</x:f>
        <x:v>Theo Foster</x:v>
      </x:c>
      <x:c r="H1608" s="84" t="str">
        <x:f>IF(TRIM('Raw Sales'!E1608)="","Unknown",PROPER(TRIM('Raw Sales'!E1608)))</x:f>
        <x:v>Consumer</x:v>
      </x:c>
      <x:c r="I1608" s="84" t="str">
        <x:f>PROPER(TRIM('Raw Sales'!F1608))</x:f>
        <x:v>Midwest</x:v>
      </x:c>
      <x:c r="J1608" s="84" t="str">
        <x:f>PROPER(TRIM('Raw Sales'!G1608))</x:f>
        <x:v>Chicago</x:v>
      </x:c>
      <x:c r="K1608" s="84" t="str">
        <x:f>PROPER(TRIM('Raw Sales'!H1608))</x:f>
        <x:v>Online</x:v>
      </x:c>
      <x:c r="L1608" s="84" t="str">
        <x:f>'Raw Sales'!I1608</x:f>
        <x:v>ELEC-002</x:v>
      </x:c>
      <x:c r="M1608" s="84" t="str">
        <x:f>IFERROR(VLOOKUP(L1608,'Reference Data'!$A$5:$F$40,2,FALSE),"Unknown Product")</x:f>
        <x:v>Smartwatch</x:v>
      </x:c>
      <x:c r="N1608" s="84" t="str">
        <x:f>IFERROR(VLOOKUP(L1608,'Reference Data'!$A$5:$F$40,3,FALSE),"Unknown")</x:f>
        <x:v>Electronics</x:v>
      </x:c>
      <x:c r="O1608" s="84" t="str">
        <x:f>IFERROR(VLOOKUP(L1608,'Reference Data'!$A$5:$F$40,4,FALSE),"Unknown")</x:f>
        <x:v>Wearables</x:v>
      </x:c>
      <x:c r="P1608" s="92" t="n">
        <x:f>IFERROR(VLOOKUP(L1608,'Reference Data'!$A$5:$F$40,5,FALSE),0)</x:f>
        <x:v>159</x:v>
      </x:c>
      <x:c r="Q1608" s="92" t="n">
        <x:f>IFERROR(VLOOKUP(L1608,'Reference Data'!$A$5:$F$40,6,FALSE),0)</x:f>
        <x:v>92</x:v>
      </x:c>
      <x:c r="R1608" s="84" t="n">
        <x:f>'Raw Sales'!J1608</x:f>
        <x:v>1</x:v>
      </x:c>
      <x:c r="S1608" s="87" t="n">
        <x:f>'Raw Sales'!K1608</x:f>
        <x:v>0.1</x:v>
      </x:c>
      <x:c r="T1608" s="93" t="n">
        <x:f>P1608*R1608</x:f>
        <x:v>159</x:v>
      </x:c>
      <x:c r="U1608" s="93" t="n">
        <x:f>T1608*S1608</x:f>
        <x:v>15.9</x:v>
      </x:c>
      <x:c r="V1608" s="93" t="str">
        <x:f>PROPER(TRIM('Raw Sales'!L1608))</x:f>
        <x:v>Completed</x:v>
      </x:c>
      <x:c r="W1608" s="93" t="n">
        <x:f>IF(V1608="Returned",0,T1608-U1608)</x:f>
        <x:v>143.1</x:v>
      </x:c>
      <x:c r="X1608" s="93" t="n">
        <x:f>IF(V1608="Returned",Q1608*R1608*10%,Q1608*R1608)</x:f>
        <x:v>92</x:v>
      </x:c>
      <x:c r="Y1608" s="93" t="n">
        <x:f>W1608-X1608</x:f>
        <x:v>51.099999999999994</x:v>
      </x:c>
      <x:c r="Z1608" s="94" t="n">
        <x:f>IFERROR(Y1608/W1608,0)</x:f>
        <x:v>0.35709294199860236</x:v>
      </x:c>
      <x:c r="AA1608" s="84" t="str">
        <x:f>PROPER(TRIM('Raw Sales'!M1608))</x:f>
        <x:v>Debit Card</x:v>
      </x:c>
      <x:c r="AB1608" s="84" t="str">
        <x:f>PROPER(TRIM('Raw Sales'!N1608))</x:f>
        <x:v>Lucas Grant</x:v>
      </x:c>
      <x:c r="AC1608" s="85" t="n">
        <x:f>'Raw Sales'!O1608</x:f>
        <x:v>45826</x:v>
      </x:c>
      <x:c r="AD1608" s="84" t="n">
        <x:f>AC1608-B1608</x:f>
        <x:v>4</x:v>
      </x:c>
      <x:c r="AE1608" s="84" t="str">
        <x:f>IF(COUNTIF($A$5:A1608,A1608)&gt;1,"Duplicate","Keep")</x:f>
        <x:v>Duplicate</x:v>
      </x:c>
      <x:c r="AF1608" s="84" t="str">
        <x:f>IF(OR(R1608&lt;=0,AC1608&lt;B1608,H1608="Unknown",M1608="Unknown Product"),"Review","Valid")</x:f>
        <x:v>Valid</x:v>
      </x:c>
      <x:c r="AG1608" s="84" t="n">
        <x:f>IF(AND(AE1608="Keep",AF1608="Valid"),1,0)</x:f>
        <x:v>0</x:v>
      </x:c>
      <x:c r="AH1608" s="84" t="n">
        <x:f>IF(AND(AG1608=1,OR('Dashboard'!$B$4="All",I1608='Dashboard'!$B$4),OR('Dashboard'!$E$4="All",N1608='Dashboard'!$E$4),OR('Dashboard'!$H$4="All",K1608='Dashboard'!$H$4),OR('Dashboard'!$K$4="All",C1608='Dashboard'!$K$4)),1,0)</x:f>
        <x:v>0</x:v>
      </x:c>
      <x:c r="AI1608" s="84" t="n">
        <x:f>IF(AND(AG1608=1,OR('Dashboard'!$B$4="All",I1608='Dashboard'!$B$4),OR('Dashboard'!$E$4="All",N1608='Dashboard'!$E$4),OR('Dashboard'!$H$4="All",K1608='Dashboard'!$H$4)),1,0)</x:f>
        <x:v>0</x:v>
      </x:c>
    </x:row>
    <x:row r="1609">
      <x:c r="A1609" s="84" t="str">
        <x:f>'Raw Sales'!A1609</x:f>
        <x:v>ORD-2025-00316</x:v>
      </x:c>
      <x:c r="B1609" s="85" t="n">
        <x:f>'Raw Sales'!B1609</x:f>
        <x:v>45823</x:v>
      </x:c>
      <x:c r="C1609" s="84" t="n">
        <x:f>YEAR(B1609)</x:f>
        <x:v>2025</x:v>
      </x:c>
      <x:c r="D1609" s="91" t="n">
        <x:f>DATE(YEAR(B1609),MONTH(B1609),1)</x:f>
        <x:v>45809</x:v>
      </x:c>
      <x:c r="E1609" s="84" t="str">
        <x:f>TEXT(B1609,"mmm")</x:f>
        <x:v>Jun</x:v>
      </x:c>
      <x:c r="F1609" s="84" t="str">
        <x:f>'Raw Sales'!C1609</x:f>
        <x:v>CUST-0631</x:v>
      </x:c>
      <x:c r="G1609" s="84" t="str">
        <x:f>PROPER(TRIM('Raw Sales'!D1609))</x:f>
        <x:v>Amelia Adams</x:v>
      </x:c>
      <x:c r="H1609" s="84" t="str">
        <x:f>IF(TRIM('Raw Sales'!E1609)="","Unknown",PROPER(TRIM('Raw Sales'!E1609)))</x:f>
        <x:v>Consumer</x:v>
      </x:c>
      <x:c r="I1609" s="84" t="str">
        <x:f>PROPER(TRIM('Raw Sales'!F1609))</x:f>
        <x:v>Midwest</x:v>
      </x:c>
      <x:c r="J1609" s="84" t="str">
        <x:f>PROPER(TRIM('Raw Sales'!G1609))</x:f>
        <x:v>Minneapolis</x:v>
      </x:c>
      <x:c r="K1609" s="84" t="str">
        <x:f>PROPER(TRIM('Raw Sales'!H1609))</x:f>
        <x:v>Retail Store</x:v>
      </x:c>
      <x:c r="L1609" s="84" t="str">
        <x:f>'Raw Sales'!I1609</x:f>
        <x:v>ACCS-003</x:v>
      </x:c>
      <x:c r="M1609" s="84" t="str">
        <x:f>IFERROR(VLOOKUP(L1609,'Reference Data'!$A$5:$F$40,2,FALSE),"Unknown Product")</x:f>
        <x:v>Polarized Sunglasses</x:v>
      </x:c>
      <x:c r="N1609" s="84" t="str">
        <x:f>IFERROR(VLOOKUP(L1609,'Reference Data'!$A$5:$F$40,3,FALSE),"Unknown")</x:f>
        <x:v>Accessories</x:v>
      </x:c>
      <x:c r="O1609" s="84" t="str">
        <x:f>IFERROR(VLOOKUP(L1609,'Reference Data'!$A$5:$F$40,4,FALSE),"Unknown")</x:f>
        <x:v>Eyewear</x:v>
      </x:c>
      <x:c r="P1609" s="92" t="n">
        <x:f>IFERROR(VLOOKUP(L1609,'Reference Data'!$A$5:$F$40,5,FALSE),0)</x:f>
        <x:v>59</x:v>
      </x:c>
      <x:c r="Q1609" s="92" t="n">
        <x:f>IFERROR(VLOOKUP(L1609,'Reference Data'!$A$5:$F$40,6,FALSE),0)</x:f>
        <x:v>17</x:v>
      </x:c>
      <x:c r="R1609" s="84" t="n">
        <x:f>'Raw Sales'!J1609</x:f>
        <x:v>2</x:v>
      </x:c>
      <x:c r="S1609" s="87" t="n">
        <x:f>'Raw Sales'!K1609</x:f>
        <x:v>0</x:v>
      </x:c>
      <x:c r="T1609" s="93" t="n">
        <x:f>P1609*R1609</x:f>
        <x:v>118</x:v>
      </x:c>
      <x:c r="U1609" s="93" t="n">
        <x:f>T1609*S1609</x:f>
        <x:v>0</x:v>
      </x:c>
      <x:c r="V1609" s="93" t="str">
        <x:f>PROPER(TRIM('Raw Sales'!L1609))</x:f>
        <x:v>Completed</x:v>
      </x:c>
      <x:c r="W1609" s="93" t="n">
        <x:f>IF(V1609="Returned",0,T1609-U1609)</x:f>
        <x:v>118</x:v>
      </x:c>
      <x:c r="X1609" s="93" t="n">
        <x:f>IF(V1609="Returned",Q1609*R1609*10%,Q1609*R1609)</x:f>
        <x:v>34</x:v>
      </x:c>
      <x:c r="Y1609" s="93" t="n">
        <x:f>W1609-X1609</x:f>
        <x:v>84</x:v>
      </x:c>
      <x:c r="Z1609" s="94" t="n">
        <x:f>IFERROR(Y1609/W1609,0)</x:f>
        <x:v>0.711864406779661</x:v>
      </x:c>
      <x:c r="AA1609" s="84" t="str">
        <x:f>PROPER(TRIM('Raw Sales'!M1609))</x:f>
        <x:v>Debit Card</x:v>
      </x:c>
      <x:c r="AB1609" s="84" t="str">
        <x:f>PROPER(TRIM('Raw Sales'!N1609))</x:f>
        <x:v>Lucas Grant</x:v>
      </x:c>
      <x:c r="AC1609" s="85" t="n">
        <x:f>'Raw Sales'!O1609</x:f>
        <x:v>45823</x:v>
      </x:c>
      <x:c r="AD1609" s="84" t="n">
        <x:f>AC1609-B1609</x:f>
        <x:v>0</x:v>
      </x:c>
      <x:c r="AE1609" s="84" t="str">
        <x:f>IF(COUNTIF($A$5:A1609,A1609)&gt;1,"Duplicate","Keep")</x:f>
        <x:v>Keep</x:v>
      </x:c>
      <x:c r="AF1609" s="84" t="str">
        <x:f>IF(OR(R1609&lt;=0,AC1609&lt;B1609,H1609="Unknown",M1609="Unknown Product"),"Review","Valid")</x:f>
        <x:v>Valid</x:v>
      </x:c>
      <x:c r="AG1609" s="84" t="n">
        <x:f>IF(AND(AE1609="Keep",AF1609="Valid"),1,0)</x:f>
        <x:v>1</x:v>
      </x:c>
      <x:c r="AH1609" s="84" t="n">
        <x:f>IF(AND(AG1609=1,OR('Dashboard'!$B$4="All",I1609='Dashboard'!$B$4),OR('Dashboard'!$E$4="All",N1609='Dashboard'!$E$4),OR('Dashboard'!$H$4="All",K1609='Dashboard'!$H$4),OR('Dashboard'!$K$4="All",C1609='Dashboard'!$K$4)),1,0)</x:f>
        <x:v>1</x:v>
      </x:c>
      <x:c r="AI1609" s="84" t="n">
        <x:f>IF(AND(AG1609=1,OR('Dashboard'!$B$4="All",I1609='Dashboard'!$B$4),OR('Dashboard'!$E$4="All",N1609='Dashboard'!$E$4),OR('Dashboard'!$H$4="All",K1609='Dashboard'!$H$4)),1,0)</x:f>
        <x:v>1</x:v>
      </x:c>
    </x:row>
    <x:row r="1610">
      <x:c r="A1610" s="84" t="str">
        <x:f>'Raw Sales'!A1610</x:f>
        <x:v>ORD-2025-00316</x:v>
      </x:c>
      <x:c r="B1610" s="85" t="n">
        <x:f>'Raw Sales'!B1610</x:f>
        <x:v>45823</x:v>
      </x:c>
      <x:c r="C1610" s="84" t="n">
        <x:f>YEAR(B1610)</x:f>
        <x:v>2025</x:v>
      </x:c>
      <x:c r="D1610" s="91" t="n">
        <x:f>DATE(YEAR(B1610),MONTH(B1610),1)</x:f>
        <x:v>45809</x:v>
      </x:c>
      <x:c r="E1610" s="84" t="str">
        <x:f>TEXT(B1610,"mmm")</x:f>
        <x:v>Jun</x:v>
      </x:c>
      <x:c r="F1610" s="84" t="str">
        <x:f>'Raw Sales'!C1610</x:f>
        <x:v>CUST-0631</x:v>
      </x:c>
      <x:c r="G1610" s="84" t="str">
        <x:f>PROPER(TRIM('Raw Sales'!D1610))</x:f>
        <x:v>Amelia Adams</x:v>
      </x:c>
      <x:c r="H1610" s="84" t="str">
        <x:f>IF(TRIM('Raw Sales'!E1610)="","Unknown",PROPER(TRIM('Raw Sales'!E1610)))</x:f>
        <x:v>Consumer</x:v>
      </x:c>
      <x:c r="I1610" s="84" t="str">
        <x:f>PROPER(TRIM('Raw Sales'!F1610))</x:f>
        <x:v>Midwest</x:v>
      </x:c>
      <x:c r="J1610" s="84" t="str">
        <x:f>PROPER(TRIM('Raw Sales'!G1610))</x:f>
        <x:v>Minneapolis</x:v>
      </x:c>
      <x:c r="K1610" s="84" t="str">
        <x:f>PROPER(TRIM('Raw Sales'!H1610))</x:f>
        <x:v>Retail Store</x:v>
      </x:c>
      <x:c r="L1610" s="84" t="str">
        <x:f>'Raw Sales'!I1610</x:f>
        <x:v>ACCS-003</x:v>
      </x:c>
      <x:c r="M1610" s="84" t="str">
        <x:f>IFERROR(VLOOKUP(L1610,'Reference Data'!$A$5:$F$40,2,FALSE),"Unknown Product")</x:f>
        <x:v>Polarized Sunglasses</x:v>
      </x:c>
      <x:c r="N1610" s="84" t="str">
        <x:f>IFERROR(VLOOKUP(L1610,'Reference Data'!$A$5:$F$40,3,FALSE),"Unknown")</x:f>
        <x:v>Accessories</x:v>
      </x:c>
      <x:c r="O1610" s="84" t="str">
        <x:f>IFERROR(VLOOKUP(L1610,'Reference Data'!$A$5:$F$40,4,FALSE),"Unknown")</x:f>
        <x:v>Eyewear</x:v>
      </x:c>
      <x:c r="P1610" s="92" t="n">
        <x:f>IFERROR(VLOOKUP(L1610,'Reference Data'!$A$5:$F$40,5,FALSE),0)</x:f>
        <x:v>59</x:v>
      </x:c>
      <x:c r="Q1610" s="92" t="n">
        <x:f>IFERROR(VLOOKUP(L1610,'Reference Data'!$A$5:$F$40,6,FALSE),0)</x:f>
        <x:v>17</x:v>
      </x:c>
      <x:c r="R1610" s="84" t="n">
        <x:f>'Raw Sales'!J1610</x:f>
        <x:v>2</x:v>
      </x:c>
      <x:c r="S1610" s="87" t="n">
        <x:f>'Raw Sales'!K1610</x:f>
        <x:v>0</x:v>
      </x:c>
      <x:c r="T1610" s="93" t="n">
        <x:f>P1610*R1610</x:f>
        <x:v>118</x:v>
      </x:c>
      <x:c r="U1610" s="93" t="n">
        <x:f>T1610*S1610</x:f>
        <x:v>0</x:v>
      </x:c>
      <x:c r="V1610" s="93" t="str">
        <x:f>PROPER(TRIM('Raw Sales'!L1610))</x:f>
        <x:v>Completed</x:v>
      </x:c>
      <x:c r="W1610" s="93" t="n">
        <x:f>IF(V1610="Returned",0,T1610-U1610)</x:f>
        <x:v>118</x:v>
      </x:c>
      <x:c r="X1610" s="93" t="n">
        <x:f>IF(V1610="Returned",Q1610*R1610*10%,Q1610*R1610)</x:f>
        <x:v>34</x:v>
      </x:c>
      <x:c r="Y1610" s="93" t="n">
        <x:f>W1610-X1610</x:f>
        <x:v>84</x:v>
      </x:c>
      <x:c r="Z1610" s="94" t="n">
        <x:f>IFERROR(Y1610/W1610,0)</x:f>
        <x:v>0.711864406779661</x:v>
      </x:c>
      <x:c r="AA1610" s="84" t="str">
        <x:f>PROPER(TRIM('Raw Sales'!M1610))</x:f>
        <x:v>Debit Card</x:v>
      </x:c>
      <x:c r="AB1610" s="84" t="str">
        <x:f>PROPER(TRIM('Raw Sales'!N1610))</x:f>
        <x:v>Lucas Grant</x:v>
      </x:c>
      <x:c r="AC1610" s="85" t="n">
        <x:f>'Raw Sales'!O1610</x:f>
        <x:v>45823</x:v>
      </x:c>
      <x:c r="AD1610" s="84" t="n">
        <x:f>AC1610-B1610</x:f>
        <x:v>0</x:v>
      </x:c>
      <x:c r="AE1610" s="84" t="str">
        <x:f>IF(COUNTIF($A$5:A1610,A1610)&gt;1,"Duplicate","Keep")</x:f>
        <x:v>Duplicate</x:v>
      </x:c>
      <x:c r="AF1610" s="84" t="str">
        <x:f>IF(OR(R1610&lt;=0,AC1610&lt;B1610,H1610="Unknown",M1610="Unknown Product"),"Review","Valid")</x:f>
        <x:v>Valid</x:v>
      </x:c>
      <x:c r="AG1610" s="84" t="n">
        <x:f>IF(AND(AE1610="Keep",AF1610="Valid"),1,0)</x:f>
        <x:v>0</x:v>
      </x:c>
      <x:c r="AH1610" s="84" t="n">
        <x:f>IF(AND(AG1610=1,OR('Dashboard'!$B$4="All",I1610='Dashboard'!$B$4),OR('Dashboard'!$E$4="All",N1610='Dashboard'!$E$4),OR('Dashboard'!$H$4="All",K1610='Dashboard'!$H$4),OR('Dashboard'!$K$4="All",C1610='Dashboard'!$K$4)),1,0)</x:f>
        <x:v>0</x:v>
      </x:c>
      <x:c r="AI1610" s="84" t="n">
        <x:f>IF(AND(AG1610=1,OR('Dashboard'!$B$4="All",I1610='Dashboard'!$B$4),OR('Dashboard'!$E$4="All",N1610='Dashboard'!$E$4),OR('Dashboard'!$H$4="All",K1610='Dashboard'!$H$4)),1,0)</x:f>
        <x:v>0</x:v>
      </x:c>
    </x:row>
    <x:row r="1611">
      <x:c r="A1611" s="84" t="str">
        <x:f>'Raw Sales'!A1611</x:f>
        <x:v>ORD-2025-00427</x:v>
      </x:c>
      <x:c r="B1611" s="85" t="n">
        <x:f>'Raw Sales'!B1611</x:f>
        <x:v>45823</x:v>
      </x:c>
      <x:c r="C1611" s="84" t="n">
        <x:f>YEAR(B1611)</x:f>
        <x:v>2025</x:v>
      </x:c>
      <x:c r="D1611" s="91" t="n">
        <x:f>DATE(YEAR(B1611),MONTH(B1611),1)</x:f>
        <x:v>45809</x:v>
      </x:c>
      <x:c r="E1611" s="84" t="str">
        <x:f>TEXT(B1611,"mmm")</x:f>
        <x:v>Jun</x:v>
      </x:c>
      <x:c r="F1611" s="84" t="str">
        <x:f>'Raw Sales'!C1611</x:f>
        <x:v>CUST-0349</x:v>
      </x:c>
      <x:c r="G1611" s="84" t="str">
        <x:f>PROPER(TRIM('Raw Sales'!D1611))</x:f>
        <x:v>Amelia Lewis</x:v>
      </x:c>
      <x:c r="H1611" s="84" t="str">
        <x:f>IF(TRIM('Raw Sales'!E1611)="","Unknown",PROPER(TRIM('Raw Sales'!E1611)))</x:f>
        <x:v>Unknown</x:v>
      </x:c>
      <x:c r="I1611" s="84" t="str">
        <x:f>PROPER(TRIM('Raw Sales'!F1611))</x:f>
        <x:v>Southeast</x:v>
      </x:c>
      <x:c r="J1611" s="84" t="str">
        <x:f>PROPER(TRIM('Raw Sales'!G1611))</x:f>
        <x:v>Miami</x:v>
      </x:c>
      <x:c r="K1611" s="84" t="str">
        <x:f>PROPER(TRIM('Raw Sales'!H1611))</x:f>
        <x:v>Online</x:v>
      </x:c>
      <x:c r="L1611" s="84" t="str">
        <x:f>'Raw Sales'!I1611</x:f>
        <x:v>CARE-003</x:v>
      </x:c>
      <x:c r="M1611" s="84" t="str">
        <x:f>IFERROR(VLOOKUP(L1611,'Reference Data'!$A$5:$F$40,2,FALSE),"Unknown Product")</x:f>
        <x:v>Facial Cleanser</x:v>
      </x:c>
      <x:c r="N1611" s="84" t="str">
        <x:f>IFERROR(VLOOKUP(L1611,'Reference Data'!$A$5:$F$40,3,FALSE),"Unknown")</x:f>
        <x:v>Personal Care</x:v>
      </x:c>
      <x:c r="O1611" s="84" t="str">
        <x:f>IFERROR(VLOOKUP(L1611,'Reference Data'!$A$5:$F$40,4,FALSE),"Unknown")</x:f>
        <x:v>Skin Care</x:v>
      </x:c>
      <x:c r="P1611" s="92" t="n">
        <x:f>IFERROR(VLOOKUP(L1611,'Reference Data'!$A$5:$F$40,5,FALSE),0)</x:f>
        <x:v>18</x:v>
      </x:c>
      <x:c r="Q1611" s="92" t="n">
        <x:f>IFERROR(VLOOKUP(L1611,'Reference Data'!$A$5:$F$40,6,FALSE),0)</x:f>
        <x:v>6</x:v>
      </x:c>
      <x:c r="R1611" s="84" t="n">
        <x:f>'Raw Sales'!J1611</x:f>
        <x:v>1</x:v>
      </x:c>
      <x:c r="S1611" s="87" t="n">
        <x:f>'Raw Sales'!K1611</x:f>
        <x:v>0</x:v>
      </x:c>
      <x:c r="T1611" s="93" t="n">
        <x:f>P1611*R1611</x:f>
        <x:v>18</x:v>
      </x:c>
      <x:c r="U1611" s="93" t="n">
        <x:f>T1611*S1611</x:f>
        <x:v>0</x:v>
      </x:c>
      <x:c r="V1611" s="93" t="str">
        <x:f>PROPER(TRIM('Raw Sales'!L1611))</x:f>
        <x:v>Completed</x:v>
      </x:c>
      <x:c r="W1611" s="93" t="n">
        <x:f>IF(V1611="Returned",0,T1611-U1611)</x:f>
        <x:v>18</x:v>
      </x:c>
      <x:c r="X1611" s="93" t="n">
        <x:f>IF(V1611="Returned",Q1611*R1611*10%,Q1611*R1611)</x:f>
        <x:v>6</x:v>
      </x:c>
      <x:c r="Y1611" s="93" t="n">
        <x:f>W1611-X1611</x:f>
        <x:v>12</x:v>
      </x:c>
      <x:c r="Z1611" s="94" t="n">
        <x:f>IFERROR(Y1611/W1611,0)</x:f>
        <x:v>0.6666666666666666</x:v>
      </x:c>
      <x:c r="AA1611" s="84" t="str">
        <x:f>PROPER(TRIM('Raw Sales'!M1611))</x:f>
        <x:v>Mobile Wallet</x:v>
      </x:c>
      <x:c r="AB1611" s="84" t="str">
        <x:f>PROPER(TRIM('Raw Sales'!N1611))</x:f>
        <x:v>Liam Parker</x:v>
      </x:c>
      <x:c r="AC1611" s="85" t="n">
        <x:f>'Raw Sales'!O1611</x:f>
        <x:v>45827</x:v>
      </x:c>
      <x:c r="AD1611" s="84" t="n">
        <x:f>AC1611-B1611</x:f>
        <x:v>4</x:v>
      </x:c>
      <x:c r="AE1611" s="84" t="str">
        <x:f>IF(COUNTIF($A$5:A1611,A1611)&gt;1,"Duplicate","Keep")</x:f>
        <x:v>Keep</x:v>
      </x:c>
      <x:c r="AF1611" s="84" t="str">
        <x:f>IF(OR(R1611&lt;=0,AC1611&lt;B1611,H1611="Unknown",M1611="Unknown Product"),"Review","Valid")</x:f>
        <x:v>Review</x:v>
      </x:c>
      <x:c r="AG1611" s="84" t="n">
        <x:f>IF(AND(AE1611="Keep",AF1611="Valid"),1,0)</x:f>
        <x:v>0</x:v>
      </x:c>
      <x:c r="AH1611" s="84" t="n">
        <x:f>IF(AND(AG1611=1,OR('Dashboard'!$B$4="All",I1611='Dashboard'!$B$4),OR('Dashboard'!$E$4="All",N1611='Dashboard'!$E$4),OR('Dashboard'!$H$4="All",K1611='Dashboard'!$H$4),OR('Dashboard'!$K$4="All",C1611='Dashboard'!$K$4)),1,0)</x:f>
        <x:v>0</x:v>
      </x:c>
      <x:c r="AI1611" s="84" t="n">
        <x:f>IF(AND(AG1611=1,OR('Dashboard'!$B$4="All",I1611='Dashboard'!$B$4),OR('Dashboard'!$E$4="All",N1611='Dashboard'!$E$4),OR('Dashboard'!$H$4="All",K1611='Dashboard'!$H$4)),1,0)</x:f>
        <x:v>0</x:v>
      </x:c>
    </x:row>
    <x:row r="1612">
      <x:c r="A1612" s="84" t="str">
        <x:f>'Raw Sales'!A1612</x:f>
        <x:v>ORD-2025-02065</x:v>
      </x:c>
      <x:c r="B1612" s="85" t="n">
        <x:f>'Raw Sales'!B1612</x:f>
        <x:v>45823</x:v>
      </x:c>
      <x:c r="C1612" s="84" t="n">
        <x:f>YEAR(B1612)</x:f>
        <x:v>2025</x:v>
      </x:c>
      <x:c r="D1612" s="91" t="n">
        <x:f>DATE(YEAR(B1612),MONTH(B1612),1)</x:f>
        <x:v>45809</x:v>
      </x:c>
      <x:c r="E1612" s="84" t="str">
        <x:f>TEXT(B1612,"mmm")</x:f>
        <x:v>Jun</x:v>
      </x:c>
      <x:c r="F1612" s="84" t="str">
        <x:f>'Raw Sales'!C1612</x:f>
        <x:v>CUST-0013</x:v>
      </x:c>
      <x:c r="G1612" s="84" t="str">
        <x:f>PROPER(TRIM('Raw Sales'!D1612))</x:f>
        <x:v>Marcus Moore</x:v>
      </x:c>
      <x:c r="H1612" s="84" t="str">
        <x:f>IF(TRIM('Raw Sales'!E1612)="","Unknown",PROPER(TRIM('Raw Sales'!E1612)))</x:f>
        <x:v>Consumer</x:v>
      </x:c>
      <x:c r="I1612" s="84" t="str">
        <x:f>PROPER(TRIM('Raw Sales'!F1612))</x:f>
        <x:v>Midwest</x:v>
      </x:c>
      <x:c r="J1612" s="84" t="str">
        <x:f>PROPER(TRIM('Raw Sales'!G1612))</x:f>
        <x:v>Columbus</x:v>
      </x:c>
      <x:c r="K1612" s="84" t="str">
        <x:f>PROPER(TRIM('Raw Sales'!H1612))</x:f>
        <x:v>Online</x:v>
      </x:c>
      <x:c r="L1612" s="84" t="str">
        <x:f>'Raw Sales'!I1612</x:f>
        <x:v>OFFC-003</x:v>
      </x:c>
      <x:c r="M1612" s="84" t="str">
        <x:f>IFERROR(VLOOKUP(L1612,'Reference Data'!$A$5:$F$40,2,FALSE),"Unknown Product")</x:f>
        <x:v>LED Desk Lamp</x:v>
      </x:c>
      <x:c r="N1612" s="84" t="str">
        <x:f>IFERROR(VLOOKUP(L1612,'Reference Data'!$A$5:$F$40,3,FALSE),"Unknown")</x:f>
        <x:v>Office</x:v>
      </x:c>
      <x:c r="O1612" s="84" t="str">
        <x:f>IFERROR(VLOOKUP(L1612,'Reference Data'!$A$5:$F$40,4,FALSE),"Unknown")</x:f>
        <x:v>Desk Accessories</x:v>
      </x:c>
      <x:c r="P1612" s="92" t="n">
        <x:f>IFERROR(VLOOKUP(L1612,'Reference Data'!$A$5:$F$40,5,FALSE),0)</x:f>
        <x:v>45</x:v>
      </x:c>
      <x:c r="Q1612" s="92" t="n">
        <x:f>IFERROR(VLOOKUP(L1612,'Reference Data'!$A$5:$F$40,6,FALSE),0)</x:f>
        <x:v>20</x:v>
      </x:c>
      <x:c r="R1612" s="84" t="n">
        <x:f>'Raw Sales'!J1612</x:f>
        <x:v>1</x:v>
      </x:c>
      <x:c r="S1612" s="87" t="n">
        <x:f>'Raw Sales'!K1612</x:f>
        <x:v>0</x:v>
      </x:c>
      <x:c r="T1612" s="93" t="n">
        <x:f>P1612*R1612</x:f>
        <x:v>45</x:v>
      </x:c>
      <x:c r="U1612" s="93" t="n">
        <x:f>T1612*S1612</x:f>
        <x:v>0</x:v>
      </x:c>
      <x:c r="V1612" s="93" t="str">
        <x:f>PROPER(TRIM('Raw Sales'!L1612))</x:f>
        <x:v>Returned</x:v>
      </x:c>
      <x:c r="W1612" s="93" t="n">
        <x:f>IF(V1612="Returned",0,T1612-U1612)</x:f>
        <x:v>0</x:v>
      </x:c>
      <x:c r="X1612" s="93" t="n">
        <x:f>IF(V1612="Returned",Q1612*R1612*10%,Q1612*R1612)</x:f>
        <x:v>2</x:v>
      </x:c>
      <x:c r="Y1612" s="93" t="n">
        <x:f>W1612-X1612</x:f>
        <x:v>-2</x:v>
      </x:c>
      <x:c r="Z1612" s="94" t="n">
        <x:f>IFERROR(Y1612/W1612,0)</x:f>
        <x:v>0</x:v>
      </x:c>
      <x:c r="AA1612" s="84" t="str">
        <x:f>PROPER(TRIM('Raw Sales'!M1612))</x:f>
        <x:v>Credit Card</x:v>
      </x:c>
      <x:c r="AB1612" s="84" t="str">
        <x:f>PROPER(TRIM('Raw Sales'!N1612))</x:f>
        <x:v>Emma Hayes</x:v>
      </x:c>
      <x:c r="AC1612" s="85" t="n">
        <x:f>'Raw Sales'!O1612</x:f>
        <x:v>45826</x:v>
      </x:c>
      <x:c r="AD1612" s="84" t="n">
        <x:f>AC1612-B1612</x:f>
        <x:v>3</x:v>
      </x:c>
      <x:c r="AE1612" s="84" t="str">
        <x:f>IF(COUNTIF($A$5:A1612,A1612)&gt;1,"Duplicate","Keep")</x:f>
        <x:v>Keep</x:v>
      </x:c>
      <x:c r="AF1612" s="84" t="str">
        <x:f>IF(OR(R1612&lt;=0,AC1612&lt;B1612,H1612="Unknown",M1612="Unknown Product"),"Review","Valid")</x:f>
        <x:v>Valid</x:v>
      </x:c>
      <x:c r="AG1612" s="84" t="n">
        <x:f>IF(AND(AE1612="Keep",AF1612="Valid"),1,0)</x:f>
        <x:v>1</x:v>
      </x:c>
      <x:c r="AH1612" s="84" t="n">
        <x:f>IF(AND(AG1612=1,OR('Dashboard'!$B$4="All",I1612='Dashboard'!$B$4),OR('Dashboard'!$E$4="All",N1612='Dashboard'!$E$4),OR('Dashboard'!$H$4="All",K1612='Dashboard'!$H$4),OR('Dashboard'!$K$4="All",C1612='Dashboard'!$K$4)),1,0)</x:f>
        <x:v>1</x:v>
      </x:c>
      <x:c r="AI1612" s="84" t="n">
        <x:f>IF(AND(AG1612=1,OR('Dashboard'!$B$4="All",I1612='Dashboard'!$B$4),OR('Dashboard'!$E$4="All",N1612='Dashboard'!$E$4),OR('Dashboard'!$H$4="All",K1612='Dashboard'!$H$4)),1,0)</x:f>
        <x:v>1</x:v>
      </x:c>
    </x:row>
    <x:row r="1613">
      <x:c r="A1613" s="84" t="str">
        <x:f>'Raw Sales'!A1613</x:f>
        <x:v>ORD-2025-02214</x:v>
      </x:c>
      <x:c r="B1613" s="85" t="n">
        <x:f>'Raw Sales'!B1613</x:f>
        <x:v>45823</x:v>
      </x:c>
      <x:c r="C1613" s="84" t="n">
        <x:f>YEAR(B1613)</x:f>
        <x:v>2025</x:v>
      </x:c>
      <x:c r="D1613" s="91" t="n">
        <x:f>DATE(YEAR(B1613),MONTH(B1613),1)</x:f>
        <x:v>45809</x:v>
      </x:c>
      <x:c r="E1613" s="84" t="str">
        <x:f>TEXT(B1613,"mmm")</x:f>
        <x:v>Jun</x:v>
      </x:c>
      <x:c r="F1613" s="84" t="str">
        <x:f>'Raw Sales'!C1613</x:f>
        <x:v>CUST-0456</x:v>
      </x:c>
      <x:c r="G1613" s="84" t="str">
        <x:f>PROPER(TRIM('Raw Sales'!D1613))</x:f>
        <x:v>Elias Carter</x:v>
      </x:c>
      <x:c r="H1613" s="84" t="str">
        <x:f>IF(TRIM('Raw Sales'!E1613)="","Unknown",PROPER(TRIM('Raw Sales'!E1613)))</x:f>
        <x:v>Consumer</x:v>
      </x:c>
      <x:c r="I1613" s="84" t="str">
        <x:f>PROPER(TRIM('Raw Sales'!F1613))</x:f>
        <x:v>Northeast</x:v>
      </x:c>
      <x:c r="J1613" s="84" t="str">
        <x:f>PROPER(TRIM('Raw Sales'!G1613))</x:f>
        <x:v>Boston</x:v>
      </x:c>
      <x:c r="K1613" s="84" t="str">
        <x:f>PROPER(TRIM('Raw Sales'!H1613))</x:f>
        <x:v>Online</x:v>
      </x:c>
      <x:c r="L1613" s="84" t="str">
        <x:f>'Raw Sales'!I1613</x:f>
        <x:v>CARE-004</x:v>
      </x:c>
      <x:c r="M1613" s="84" t="str">
        <x:f>IFERROR(VLOOKUP(L1613,'Reference Data'!$A$5:$F$40,2,FALSE),"Unknown Product")</x:f>
        <x:v>Electric Toothbrush</x:v>
      </x:c>
      <x:c r="N1613" s="84" t="str">
        <x:f>IFERROR(VLOOKUP(L1613,'Reference Data'!$A$5:$F$40,3,FALSE),"Unknown")</x:f>
        <x:v>Personal Care</x:v>
      </x:c>
      <x:c r="O1613" s="84" t="str">
        <x:f>IFERROR(VLOOKUP(L1613,'Reference Data'!$A$5:$F$40,4,FALSE),"Unknown")</x:f>
        <x:v>Oral Care</x:v>
      </x:c>
      <x:c r="P1613" s="92" t="n">
        <x:f>IFERROR(VLOOKUP(L1613,'Reference Data'!$A$5:$F$40,5,FALSE),0)</x:f>
        <x:v>69</x:v>
      </x:c>
      <x:c r="Q1613" s="92" t="n">
        <x:f>IFERROR(VLOOKUP(L1613,'Reference Data'!$A$5:$F$40,6,FALSE),0)</x:f>
        <x:v>31</x:v>
      </x:c>
      <x:c r="R1613" s="84" t="n">
        <x:f>'Raw Sales'!J1613</x:f>
        <x:v>0</x:v>
      </x:c>
      <x:c r="S1613" s="87" t="n">
        <x:f>'Raw Sales'!K1613</x:f>
        <x:v>0.05</x:v>
      </x:c>
      <x:c r="T1613" s="93" t="n">
        <x:f>P1613*R1613</x:f>
        <x:v>0</x:v>
      </x:c>
      <x:c r="U1613" s="93" t="n">
        <x:f>T1613*S1613</x:f>
        <x:v>0</x:v>
      </x:c>
      <x:c r="V1613" s="93" t="str">
        <x:f>PROPER(TRIM('Raw Sales'!L1613))</x:f>
        <x:v>Returned</x:v>
      </x:c>
      <x:c r="W1613" s="93" t="n">
        <x:f>IF(V1613="Returned",0,T1613-U1613)</x:f>
        <x:v>0</x:v>
      </x:c>
      <x:c r="X1613" s="93" t="n">
        <x:f>IF(V1613="Returned",Q1613*R1613*10%,Q1613*R1613)</x:f>
        <x:v>0</x:v>
      </x:c>
      <x:c r="Y1613" s="93" t="n">
        <x:f>W1613-X1613</x:f>
        <x:v>0</x:v>
      </x:c>
      <x:c r="Z1613" s="94" t="n">
        <x:f>IFERROR(Y1613/W1613,0)</x:f>
        <x:v>0</x:v>
      </x:c>
      <x:c r="AA1613" s="84" t="str">
        <x:f>PROPER(TRIM('Raw Sales'!M1613))</x:f>
        <x:v>Mobile Wallet</x:v>
      </x:c>
      <x:c r="AB1613" s="84" t="str">
        <x:f>PROPER(TRIM('Raw Sales'!N1613))</x:f>
        <x:v>Maya Brooks</x:v>
      </x:c>
      <x:c r="AC1613" s="85" t="n">
        <x:f>'Raw Sales'!O1613</x:f>
        <x:v>45827</x:v>
      </x:c>
      <x:c r="AD1613" s="84" t="n">
        <x:f>AC1613-B1613</x:f>
        <x:v>4</x:v>
      </x:c>
      <x:c r="AE1613" s="84" t="str">
        <x:f>IF(COUNTIF($A$5:A1613,A1613)&gt;1,"Duplicate","Keep")</x:f>
        <x:v>Keep</x:v>
      </x:c>
      <x:c r="AF1613" s="84" t="str">
        <x:f>IF(OR(R1613&lt;=0,AC1613&lt;B1613,H1613="Unknown",M1613="Unknown Product"),"Review","Valid")</x:f>
        <x:v>Review</x:v>
      </x:c>
      <x:c r="AG1613" s="84" t="n">
        <x:f>IF(AND(AE1613="Keep",AF1613="Valid"),1,0)</x:f>
        <x:v>0</x:v>
      </x:c>
      <x:c r="AH1613" s="84" t="n">
        <x:f>IF(AND(AG1613=1,OR('Dashboard'!$B$4="All",I1613='Dashboard'!$B$4),OR('Dashboard'!$E$4="All",N1613='Dashboard'!$E$4),OR('Dashboard'!$H$4="All",K1613='Dashboard'!$H$4),OR('Dashboard'!$K$4="All",C1613='Dashboard'!$K$4)),1,0)</x:f>
        <x:v>0</x:v>
      </x:c>
      <x:c r="AI1613" s="84" t="n">
        <x:f>IF(AND(AG1613=1,OR('Dashboard'!$B$4="All",I1613='Dashboard'!$B$4),OR('Dashboard'!$E$4="All",N1613='Dashboard'!$E$4),OR('Dashboard'!$H$4="All",K1613='Dashboard'!$H$4)),1,0)</x:f>
        <x:v>0</x:v>
      </x:c>
    </x:row>
    <x:row r="1614">
      <x:c r="A1614" s="84" t="str">
        <x:f>'Raw Sales'!A1614</x:f>
        <x:v>ORD-2025-00074</x:v>
      </x:c>
      <x:c r="B1614" s="85" t="n">
        <x:f>'Raw Sales'!B1614</x:f>
        <x:v>45824</x:v>
      </x:c>
      <x:c r="C1614" s="84" t="n">
        <x:f>YEAR(B1614)</x:f>
        <x:v>2025</x:v>
      </x:c>
      <x:c r="D1614" s="91" t="n">
        <x:f>DATE(YEAR(B1614),MONTH(B1614),1)</x:f>
        <x:v>45809</x:v>
      </x:c>
      <x:c r="E1614" s="84" t="str">
        <x:f>TEXT(B1614,"mmm")</x:f>
        <x:v>Jun</x:v>
      </x:c>
      <x:c r="F1614" s="84" t="str">
        <x:f>'Raw Sales'!C1614</x:f>
        <x:v>CUST-0211</x:v>
      </x:c>
      <x:c r="G1614" s="84" t="str">
        <x:f>PROPER(TRIM('Raw Sales'!D1614))</x:f>
        <x:v>Caleb Roberts</x:v>
      </x:c>
      <x:c r="H1614" s="84" t="str">
        <x:f>IF(TRIM('Raw Sales'!E1614)="","Unknown",PROPER(TRIM('Raw Sales'!E1614)))</x:f>
        <x:v>Consumer</x:v>
      </x:c>
      <x:c r="I1614" s="84" t="str">
        <x:f>PROPER(TRIM('Raw Sales'!F1614))</x:f>
        <x:v>Northeast</x:v>
      </x:c>
      <x:c r="J1614" s="84" t="str">
        <x:f>PROPER(TRIM('Raw Sales'!G1614))</x:f>
        <x:v>New York</x:v>
      </x:c>
      <x:c r="K1614" s="84" t="str">
        <x:f>PROPER(TRIM('Raw Sales'!H1614))</x:f>
        <x:v>Online</x:v>
      </x:c>
      <x:c r="L1614" s="84" t="str">
        <x:f>'Raw Sales'!I1614</x:f>
        <x:v>FITN-004</x:v>
      </x:c>
      <x:c r="M1614" s="84" t="str">
        <x:f>IFERROR(VLOOKUP(L1614,'Reference Data'!$A$5:$F$40,2,FALSE),"Unknown Product")</x:f>
        <x:v>Fitness Tracker</x:v>
      </x:c>
      <x:c r="N1614" s="84" t="str">
        <x:f>IFERROR(VLOOKUP(L1614,'Reference Data'!$A$5:$F$40,3,FALSE),"Unknown")</x:f>
        <x:v>Fitness</x:v>
      </x:c>
      <x:c r="O1614" s="84" t="str">
        <x:f>IFERROR(VLOOKUP(L1614,'Reference Data'!$A$5:$F$40,4,FALSE),"Unknown")</x:f>
        <x:v>Wearables</x:v>
      </x:c>
      <x:c r="P1614" s="92" t="n">
        <x:f>IFERROR(VLOOKUP(L1614,'Reference Data'!$A$5:$F$40,5,FALSE),0)</x:f>
        <x:v>89</x:v>
      </x:c>
      <x:c r="Q1614" s="92" t="n">
        <x:f>IFERROR(VLOOKUP(L1614,'Reference Data'!$A$5:$F$40,6,FALSE),0)</x:f>
        <x:v>44</x:v>
      </x:c>
      <x:c r="R1614" s="84" t="n">
        <x:f>'Raw Sales'!J1614</x:f>
        <x:v>1</x:v>
      </x:c>
      <x:c r="S1614" s="87" t="n">
        <x:f>'Raw Sales'!K1614</x:f>
        <x:v>0.05</x:v>
      </x:c>
      <x:c r="T1614" s="93" t="n">
        <x:f>P1614*R1614</x:f>
        <x:v>89</x:v>
      </x:c>
      <x:c r="U1614" s="93" t="n">
        <x:f>T1614*S1614</x:f>
        <x:v>4.45</x:v>
      </x:c>
      <x:c r="V1614" s="93" t="str">
        <x:f>PROPER(TRIM('Raw Sales'!L1614))</x:f>
        <x:v>Completed</x:v>
      </x:c>
      <x:c r="W1614" s="93" t="n">
        <x:f>IF(V1614="Returned",0,T1614-U1614)</x:f>
        <x:v>84.55</x:v>
      </x:c>
      <x:c r="X1614" s="93" t="n">
        <x:f>IF(V1614="Returned",Q1614*R1614*10%,Q1614*R1614)</x:f>
        <x:v>44</x:v>
      </x:c>
      <x:c r="Y1614" s="93" t="n">
        <x:f>W1614-X1614</x:f>
        <x:v>40.55</x:v>
      </x:c>
      <x:c r="Z1614" s="94" t="n">
        <x:f>IFERROR(Y1614/W1614,0)</x:f>
        <x:v>0.47959787108219987</x:v>
      </x:c>
      <x:c r="AA1614" s="84" t="str">
        <x:f>PROPER(TRIM('Raw Sales'!M1614))</x:f>
        <x:v>Credit Card</x:v>
      </x:c>
      <x:c r="AB1614" s="84" t="str">
        <x:f>PROPER(TRIM('Raw Sales'!N1614))</x:f>
        <x:v>Sofia Bennett</x:v>
      </x:c>
      <x:c r="AC1614" s="85" t="n">
        <x:f>'Raw Sales'!O1614</x:f>
        <x:v>45827</x:v>
      </x:c>
      <x:c r="AD1614" s="84" t="n">
        <x:f>AC1614-B1614</x:f>
        <x:v>3</x:v>
      </x:c>
      <x:c r="AE1614" s="84" t="str">
        <x:f>IF(COUNTIF($A$5:A1614,A1614)&gt;1,"Duplicate","Keep")</x:f>
        <x:v>Keep</x:v>
      </x:c>
      <x:c r="AF1614" s="84" t="str">
        <x:f>IF(OR(R1614&lt;=0,AC1614&lt;B1614,H1614="Unknown",M1614="Unknown Product"),"Review","Valid")</x:f>
        <x:v>Valid</x:v>
      </x:c>
      <x:c r="AG1614" s="84" t="n">
        <x:f>IF(AND(AE1614="Keep",AF1614="Valid"),1,0)</x:f>
        <x:v>1</x:v>
      </x:c>
      <x:c r="AH1614" s="84" t="n">
        <x:f>IF(AND(AG1614=1,OR('Dashboard'!$B$4="All",I1614='Dashboard'!$B$4),OR('Dashboard'!$E$4="All",N1614='Dashboard'!$E$4),OR('Dashboard'!$H$4="All",K1614='Dashboard'!$H$4),OR('Dashboard'!$K$4="All",C1614='Dashboard'!$K$4)),1,0)</x:f>
        <x:v>1</x:v>
      </x:c>
      <x:c r="AI1614" s="84" t="n">
        <x:f>IF(AND(AG1614=1,OR('Dashboard'!$B$4="All",I1614='Dashboard'!$B$4),OR('Dashboard'!$E$4="All",N1614='Dashboard'!$E$4),OR('Dashboard'!$H$4="All",K1614='Dashboard'!$H$4)),1,0)</x:f>
        <x:v>1</x:v>
      </x:c>
    </x:row>
    <x:row r="1615">
      <x:c r="A1615" s="84" t="str">
        <x:f>'Raw Sales'!A1615</x:f>
        <x:v>ORD-2025-00369</x:v>
      </x:c>
      <x:c r="B1615" s="85" t="n">
        <x:f>'Raw Sales'!B1615</x:f>
        <x:v>45824</x:v>
      </x:c>
      <x:c r="C1615" s="84" t="n">
        <x:f>YEAR(B1615)</x:f>
        <x:v>2025</x:v>
      </x:c>
      <x:c r="D1615" s="91" t="n">
        <x:f>DATE(YEAR(B1615),MONTH(B1615),1)</x:f>
        <x:v>45809</x:v>
      </x:c>
      <x:c r="E1615" s="84" t="str">
        <x:f>TEXT(B1615,"mmm")</x:f>
        <x:v>Jun</x:v>
      </x:c>
      <x:c r="F1615" s="84" t="str">
        <x:f>'Raw Sales'!C1615</x:f>
        <x:v>CUST-0001</x:v>
      </x:c>
      <x:c r="G1615" s="84" t="str">
        <x:f>PROPER(TRIM('Raw Sales'!D1615))</x:f>
        <x:v>Elena Walker</x:v>
      </x:c>
      <x:c r="H1615" s="84" t="str">
        <x:f>IF(TRIM('Raw Sales'!E1615)="","Unknown",PROPER(TRIM('Raw Sales'!E1615)))</x:f>
        <x:v>Corporate</x:v>
      </x:c>
      <x:c r="I1615" s="84" t="str">
        <x:f>PROPER(TRIM('Raw Sales'!F1615))</x:f>
        <x:v>Southeast</x:v>
      </x:c>
      <x:c r="J1615" s="84" t="str">
        <x:f>PROPER(TRIM('Raw Sales'!G1615))</x:f>
        <x:v>Miami</x:v>
      </x:c>
      <x:c r="K1615" s="84" t="str">
        <x:f>PROPER(TRIM('Raw Sales'!H1615))</x:f>
        <x:v>Retail Store</x:v>
      </x:c>
      <x:c r="L1615" s="84" t="str">
        <x:f>'Raw Sales'!I1615</x:f>
        <x:v>OFFC-001</x:v>
      </x:c>
      <x:c r="M1615" s="84" t="str">
        <x:f>IFERROR(VLOOKUP(L1615,'Reference Data'!$A$5:$F$40,2,FALSE),"Unknown Product")</x:f>
        <x:v>Ergonomic Chair</x:v>
      </x:c>
      <x:c r="N1615" s="84" t="str">
        <x:f>IFERROR(VLOOKUP(L1615,'Reference Data'!$A$5:$F$40,3,FALSE),"Unknown")</x:f>
        <x:v>Office</x:v>
      </x:c>
      <x:c r="O1615" s="84" t="str">
        <x:f>IFERROR(VLOOKUP(L1615,'Reference Data'!$A$5:$F$40,4,FALSE),"Unknown")</x:f>
        <x:v>Furniture</x:v>
      </x:c>
      <x:c r="P1615" s="92" t="n">
        <x:f>IFERROR(VLOOKUP(L1615,'Reference Data'!$A$5:$F$40,5,FALSE),0)</x:f>
        <x:v>249</x:v>
      </x:c>
      <x:c r="Q1615" s="92" t="n">
        <x:f>IFERROR(VLOOKUP(L1615,'Reference Data'!$A$5:$F$40,6,FALSE),0)</x:f>
        <x:v>145</x:v>
      </x:c>
      <x:c r="R1615" s="84" t="n">
        <x:f>'Raw Sales'!J1615</x:f>
        <x:v>2</x:v>
      </x:c>
      <x:c r="S1615" s="87" t="n">
        <x:f>'Raw Sales'!K1615</x:f>
        <x:v>0</x:v>
      </x:c>
      <x:c r="T1615" s="93" t="n">
        <x:f>P1615*R1615</x:f>
        <x:v>498</x:v>
      </x:c>
      <x:c r="U1615" s="93" t="n">
        <x:f>T1615*S1615</x:f>
        <x:v>0</x:v>
      </x:c>
      <x:c r="V1615" s="93" t="str">
        <x:f>PROPER(TRIM('Raw Sales'!L1615))</x:f>
        <x:v>Completed</x:v>
      </x:c>
      <x:c r="W1615" s="93" t="n">
        <x:f>IF(V1615="Returned",0,T1615-U1615)</x:f>
        <x:v>498</x:v>
      </x:c>
      <x:c r="X1615" s="93" t="n">
        <x:f>IF(V1615="Returned",Q1615*R1615*10%,Q1615*R1615)</x:f>
        <x:v>290</x:v>
      </x:c>
      <x:c r="Y1615" s="93" t="n">
        <x:f>W1615-X1615</x:f>
        <x:v>208</x:v>
      </x:c>
      <x:c r="Z1615" s="94" t="n">
        <x:f>IFERROR(Y1615/W1615,0)</x:f>
        <x:v>0.41767068273092367</x:v>
      </x:c>
      <x:c r="AA1615" s="84" t="str">
        <x:f>PROPER(TRIM('Raw Sales'!M1615))</x:f>
        <x:v>Cash</x:v>
      </x:c>
      <x:c r="AB1615" s="84" t="str">
        <x:f>PROPER(TRIM('Raw Sales'!N1615))</x:f>
        <x:v>Liam Parker</x:v>
      </x:c>
      <x:c r="AC1615" s="85" t="n">
        <x:f>'Raw Sales'!O1615</x:f>
        <x:v>45824</x:v>
      </x:c>
      <x:c r="AD1615" s="84" t="n">
        <x:f>AC1615-B1615</x:f>
        <x:v>0</x:v>
      </x:c>
      <x:c r="AE1615" s="84" t="str">
        <x:f>IF(COUNTIF($A$5:A1615,A1615)&gt;1,"Duplicate","Keep")</x:f>
        <x:v>Keep</x:v>
      </x:c>
      <x:c r="AF1615" s="84" t="str">
        <x:f>IF(OR(R1615&lt;=0,AC1615&lt;B1615,H1615="Unknown",M1615="Unknown Product"),"Review","Valid")</x:f>
        <x:v>Valid</x:v>
      </x:c>
      <x:c r="AG1615" s="84" t="n">
        <x:f>IF(AND(AE1615="Keep",AF1615="Valid"),1,0)</x:f>
        <x:v>1</x:v>
      </x:c>
      <x:c r="AH1615" s="84" t="n">
        <x:f>IF(AND(AG1615=1,OR('Dashboard'!$B$4="All",I1615='Dashboard'!$B$4),OR('Dashboard'!$E$4="All",N1615='Dashboard'!$E$4),OR('Dashboard'!$H$4="All",K1615='Dashboard'!$H$4),OR('Dashboard'!$K$4="All",C1615='Dashboard'!$K$4)),1,0)</x:f>
        <x:v>1</x:v>
      </x:c>
      <x:c r="AI1615" s="84" t="n">
        <x:f>IF(AND(AG1615=1,OR('Dashboard'!$B$4="All",I1615='Dashboard'!$B$4),OR('Dashboard'!$E$4="All",N1615='Dashboard'!$E$4),OR('Dashboard'!$H$4="All",K1615='Dashboard'!$H$4)),1,0)</x:f>
        <x:v>1</x:v>
      </x:c>
    </x:row>
    <x:row r="1616">
      <x:c r="A1616" s="84" t="str">
        <x:f>'Raw Sales'!A1616</x:f>
        <x:v>ORD-2025-00379</x:v>
      </x:c>
      <x:c r="B1616" s="85" t="n">
        <x:f>'Raw Sales'!B1616</x:f>
        <x:v>45824</x:v>
      </x:c>
      <x:c r="C1616" s="84" t="n">
        <x:f>YEAR(B1616)</x:f>
        <x:v>2025</x:v>
      </x:c>
      <x:c r="D1616" s="91" t="n">
        <x:f>DATE(YEAR(B1616),MONTH(B1616),1)</x:f>
        <x:v>45809</x:v>
      </x:c>
      <x:c r="E1616" s="84" t="str">
        <x:f>TEXT(B1616,"mmm")</x:f>
        <x:v>Jun</x:v>
      </x:c>
      <x:c r="F1616" s="84" t="str">
        <x:f>'Raw Sales'!C1616</x:f>
        <x:v>CUST-0084</x:v>
      </x:c>
      <x:c r="G1616" s="84" t="str">
        <x:f>PROPER(TRIM('Raw Sales'!D1616))</x:f>
        <x:v>Marcus Davis</x:v>
      </x:c>
      <x:c r="H1616" s="84" t="str">
        <x:f>IF(TRIM('Raw Sales'!E1616)="","Unknown",PROPER(TRIM('Raw Sales'!E1616)))</x:f>
        <x:v>Corporate</x:v>
      </x:c>
      <x:c r="I1616" s="84" t="str">
        <x:f>PROPER(TRIM('Raw Sales'!F1616))</x:f>
        <x:v>Southeast</x:v>
      </x:c>
      <x:c r="J1616" s="84" t="str">
        <x:f>PROPER(TRIM('Raw Sales'!G1616))</x:f>
        <x:v>Miami</x:v>
      </x:c>
      <x:c r="K1616" s="84" t="str">
        <x:f>PROPER(TRIM('Raw Sales'!H1616))</x:f>
        <x:v>Online</x:v>
      </x:c>
      <x:c r="L1616" s="84" t="str">
        <x:f>'Raw Sales'!I1616</x:f>
        <x:v>OFFC-005</x:v>
      </x:c>
      <x:c r="M1616" s="84" t="str">
        <x:f>IFERROR(VLOOKUP(L1616,'Reference Data'!$A$5:$F$40,2,FALSE),"Unknown Product")</x:f>
        <x:v>Wireless Keyboard</x:v>
      </x:c>
      <x:c r="N1616" s="84" t="str">
        <x:f>IFERROR(VLOOKUP(L1616,'Reference Data'!$A$5:$F$40,3,FALSE),"Unknown")</x:f>
        <x:v>Office</x:v>
      </x:c>
      <x:c r="O1616" s="84" t="str">
        <x:f>IFERROR(VLOOKUP(L1616,'Reference Data'!$A$5:$F$40,4,FALSE),"Unknown")</x:f>
        <x:v>Computer Accessories</x:v>
      </x:c>
      <x:c r="P1616" s="92" t="n">
        <x:f>IFERROR(VLOOKUP(L1616,'Reference Data'!$A$5:$F$40,5,FALSE),0)</x:f>
        <x:v>59</x:v>
      </x:c>
      <x:c r="Q1616" s="92" t="n">
        <x:f>IFERROR(VLOOKUP(L1616,'Reference Data'!$A$5:$F$40,6,FALSE),0)</x:f>
        <x:v>28</x:v>
      </x:c>
      <x:c r="R1616" s="84" t="n">
        <x:f>'Raw Sales'!J1616</x:f>
        <x:v>8</x:v>
      </x:c>
      <x:c r="S1616" s="87" t="n">
        <x:f>'Raw Sales'!K1616</x:f>
        <x:v>0</x:v>
      </x:c>
      <x:c r="T1616" s="93" t="n">
        <x:f>P1616*R1616</x:f>
        <x:v>472</x:v>
      </x:c>
      <x:c r="U1616" s="93" t="n">
        <x:f>T1616*S1616</x:f>
        <x:v>0</x:v>
      </x:c>
      <x:c r="V1616" s="93" t="str">
        <x:f>PROPER(TRIM('Raw Sales'!L1616))</x:f>
        <x:v>Completed</x:v>
      </x:c>
      <x:c r="W1616" s="93" t="n">
        <x:f>IF(V1616="Returned",0,T1616-U1616)</x:f>
        <x:v>472</x:v>
      </x:c>
      <x:c r="X1616" s="93" t="n">
        <x:f>IF(V1616="Returned",Q1616*R1616*10%,Q1616*R1616)</x:f>
        <x:v>224</x:v>
      </x:c>
      <x:c r="Y1616" s="93" t="n">
        <x:f>W1616-X1616</x:f>
        <x:v>248</x:v>
      </x:c>
      <x:c r="Z1616" s="94" t="n">
        <x:f>IFERROR(Y1616/W1616,0)</x:f>
        <x:v>0.5254237288135594</x:v>
      </x:c>
      <x:c r="AA1616" s="84" t="str">
        <x:f>PROPER(TRIM('Raw Sales'!M1616))</x:f>
        <x:v>Debit Card</x:v>
      </x:c>
      <x:c r="AB1616" s="84" t="str">
        <x:f>PROPER(TRIM('Raw Sales'!N1616))</x:f>
        <x:v>Liam Parker</x:v>
      </x:c>
      <x:c r="AC1616" s="85" t="n">
        <x:f>'Raw Sales'!O1616</x:f>
        <x:v>45828</x:v>
      </x:c>
      <x:c r="AD1616" s="84" t="n">
        <x:f>AC1616-B1616</x:f>
        <x:v>4</x:v>
      </x:c>
      <x:c r="AE1616" s="84" t="str">
        <x:f>IF(COUNTIF($A$5:A1616,A1616)&gt;1,"Duplicate","Keep")</x:f>
        <x:v>Keep</x:v>
      </x:c>
      <x:c r="AF1616" s="84" t="str">
        <x:f>IF(OR(R1616&lt;=0,AC1616&lt;B1616,H1616="Unknown",M1616="Unknown Product"),"Review","Valid")</x:f>
        <x:v>Valid</x:v>
      </x:c>
      <x:c r="AG1616" s="84" t="n">
        <x:f>IF(AND(AE1616="Keep",AF1616="Valid"),1,0)</x:f>
        <x:v>1</x:v>
      </x:c>
      <x:c r="AH1616" s="84" t="n">
        <x:f>IF(AND(AG1616=1,OR('Dashboard'!$B$4="All",I1616='Dashboard'!$B$4),OR('Dashboard'!$E$4="All",N1616='Dashboard'!$E$4),OR('Dashboard'!$H$4="All",K1616='Dashboard'!$H$4),OR('Dashboard'!$K$4="All",C1616='Dashboard'!$K$4)),1,0)</x:f>
        <x:v>1</x:v>
      </x:c>
      <x:c r="AI1616" s="84" t="n">
        <x:f>IF(AND(AG1616=1,OR('Dashboard'!$B$4="All",I1616='Dashboard'!$B$4),OR('Dashboard'!$E$4="All",N1616='Dashboard'!$E$4),OR('Dashboard'!$H$4="All",K1616='Dashboard'!$H$4)),1,0)</x:f>
        <x:v>1</x:v>
      </x:c>
    </x:row>
    <x:row r="1617">
      <x:c r="A1617" s="84" t="str">
        <x:f>'Raw Sales'!A1617</x:f>
        <x:v>ORD-2025-01178</x:v>
      </x:c>
      <x:c r="B1617" s="85" t="n">
        <x:f>'Raw Sales'!B1617</x:f>
        <x:v>45824</x:v>
      </x:c>
      <x:c r="C1617" s="84" t="n">
        <x:f>YEAR(B1617)</x:f>
        <x:v>2025</x:v>
      </x:c>
      <x:c r="D1617" s="91" t="n">
        <x:f>DATE(YEAR(B1617),MONTH(B1617),1)</x:f>
        <x:v>45809</x:v>
      </x:c>
      <x:c r="E1617" s="84" t="str">
        <x:f>TEXT(B1617,"mmm")</x:f>
        <x:v>Jun</x:v>
      </x:c>
      <x:c r="F1617" s="84" t="str">
        <x:f>'Raw Sales'!C1617</x:f>
        <x:v>CUST-0079</x:v>
      </x:c>
      <x:c r="G1617" s="84" t="str">
        <x:f>PROPER(TRIM('Raw Sales'!D1617))</x:f>
        <x:v>Isaac Foster</x:v>
      </x:c>
      <x:c r="H1617" s="84" t="str">
        <x:f>IF(TRIM('Raw Sales'!E1617)="","Unknown",PROPER(TRIM('Raw Sales'!E1617)))</x:f>
        <x:v>Consumer</x:v>
      </x:c>
      <x:c r="I1617" s="84" t="str">
        <x:f>PROPER(TRIM('Raw Sales'!F1617))</x:f>
        <x:v>Midwest</x:v>
      </x:c>
      <x:c r="J1617" s="84" t="str">
        <x:f>PROPER(TRIM('Raw Sales'!G1617))</x:f>
        <x:v>Minneapolis</x:v>
      </x:c>
      <x:c r="K1617" s="84" t="str">
        <x:f>PROPER(TRIM('Raw Sales'!H1617))</x:f>
        <x:v>Marketplace</x:v>
      </x:c>
      <x:c r="L1617" s="84" t="str">
        <x:f>'Raw Sales'!I1617</x:f>
        <x:v>OFFC-002</x:v>
      </x:c>
      <x:c r="M1617" s="84" t="str">
        <x:f>IFERROR(VLOOKUP(L1617,'Reference Data'!$A$5:$F$40,2,FALSE),"Unknown Product")</x:f>
        <x:v>Standing Desk</x:v>
      </x:c>
      <x:c r="N1617" s="84" t="str">
        <x:f>IFERROR(VLOOKUP(L1617,'Reference Data'!$A$5:$F$40,3,FALSE),"Unknown")</x:f>
        <x:v>Office</x:v>
      </x:c>
      <x:c r="O1617" s="84" t="str">
        <x:f>IFERROR(VLOOKUP(L1617,'Reference Data'!$A$5:$F$40,4,FALSE),"Unknown")</x:f>
        <x:v>Furniture</x:v>
      </x:c>
      <x:c r="P1617" s="92" t="n">
        <x:f>IFERROR(VLOOKUP(L1617,'Reference Data'!$A$5:$F$40,5,FALSE),0)</x:f>
        <x:v>399</x:v>
      </x:c>
      <x:c r="Q1617" s="92" t="n">
        <x:f>IFERROR(VLOOKUP(L1617,'Reference Data'!$A$5:$F$40,6,FALSE),0)</x:f>
        <x:v>235</x:v>
      </x:c>
      <x:c r="R1617" s="84" t="n">
        <x:f>'Raw Sales'!J1617</x:f>
        <x:v>1</x:v>
      </x:c>
      <x:c r="S1617" s="87" t="n">
        <x:f>'Raw Sales'!K1617</x:f>
        <x:v>0</x:v>
      </x:c>
      <x:c r="T1617" s="93" t="n">
        <x:f>P1617*R1617</x:f>
        <x:v>399</x:v>
      </x:c>
      <x:c r="U1617" s="93" t="n">
        <x:f>T1617*S1617</x:f>
        <x:v>0</x:v>
      </x:c>
      <x:c r="V1617" s="93" t="str">
        <x:f>PROPER(TRIM('Raw Sales'!L1617))</x:f>
        <x:v>Completed</x:v>
      </x:c>
      <x:c r="W1617" s="93" t="n">
        <x:f>IF(V1617="Returned",0,T1617-U1617)</x:f>
        <x:v>399</x:v>
      </x:c>
      <x:c r="X1617" s="93" t="n">
        <x:f>IF(V1617="Returned",Q1617*R1617*10%,Q1617*R1617)</x:f>
        <x:v>235</x:v>
      </x:c>
      <x:c r="Y1617" s="93" t="n">
        <x:f>W1617-X1617</x:f>
        <x:v>164</x:v>
      </x:c>
      <x:c r="Z1617" s="94" t="n">
        <x:f>IFERROR(Y1617/W1617,0)</x:f>
        <x:v>0.41102756892230574</x:v>
      </x:c>
      <x:c r="AA1617" s="84" t="str">
        <x:f>PROPER(TRIM('Raw Sales'!M1617))</x:f>
        <x:v>Credit Card</x:v>
      </x:c>
      <x:c r="AB1617" s="84" t="str">
        <x:f>PROPER(TRIM('Raw Sales'!N1617))</x:f>
        <x:v>Emma Hayes</x:v>
      </x:c>
      <x:c r="AC1617" s="85" t="n">
        <x:f>'Raw Sales'!O1617</x:f>
        <x:v>45830</x:v>
      </x:c>
      <x:c r="AD1617" s="84" t="n">
        <x:f>AC1617-B1617</x:f>
        <x:v>6</x:v>
      </x:c>
      <x:c r="AE1617" s="84" t="str">
        <x:f>IF(COUNTIF($A$5:A1617,A1617)&gt;1,"Duplicate","Keep")</x:f>
        <x:v>Keep</x:v>
      </x:c>
      <x:c r="AF1617" s="84" t="str">
        <x:f>IF(OR(R1617&lt;=0,AC1617&lt;B1617,H1617="Unknown",M1617="Unknown Product"),"Review","Valid")</x:f>
        <x:v>Valid</x:v>
      </x:c>
      <x:c r="AG1617" s="84" t="n">
        <x:f>IF(AND(AE1617="Keep",AF1617="Valid"),1,0)</x:f>
        <x:v>1</x:v>
      </x:c>
      <x:c r="AH1617" s="84" t="n">
        <x:f>IF(AND(AG1617=1,OR('Dashboard'!$B$4="All",I1617='Dashboard'!$B$4),OR('Dashboard'!$E$4="All",N1617='Dashboard'!$E$4),OR('Dashboard'!$H$4="All",K1617='Dashboard'!$H$4),OR('Dashboard'!$K$4="All",C1617='Dashboard'!$K$4)),1,0)</x:f>
        <x:v>1</x:v>
      </x:c>
      <x:c r="AI1617" s="84" t="n">
        <x:f>IF(AND(AG1617=1,OR('Dashboard'!$B$4="All",I1617='Dashboard'!$B$4),OR('Dashboard'!$E$4="All",N1617='Dashboard'!$E$4),OR('Dashboard'!$H$4="All",K1617='Dashboard'!$H$4)),1,0)</x:f>
        <x:v>1</x:v>
      </x:c>
    </x:row>
    <x:row r="1618">
      <x:c r="A1618" s="84" t="str">
        <x:f>'Raw Sales'!A1618</x:f>
        <x:v>ORD-2025-01842</x:v>
      </x:c>
      <x:c r="B1618" s="85" t="n">
        <x:f>'Raw Sales'!B1618</x:f>
        <x:v>45824</x:v>
      </x:c>
      <x:c r="C1618" s="84" t="n">
        <x:f>YEAR(B1618)</x:f>
        <x:v>2025</x:v>
      </x:c>
      <x:c r="D1618" s="91" t="n">
        <x:f>DATE(YEAR(B1618),MONTH(B1618),1)</x:f>
        <x:v>45809</x:v>
      </x:c>
      <x:c r="E1618" s="84" t="str">
        <x:f>TEXT(B1618,"mmm")</x:f>
        <x:v>Jun</x:v>
      </x:c>
      <x:c r="F1618" s="84" t="str">
        <x:f>'Raw Sales'!C1618</x:f>
        <x:v>CUST-0232</x:v>
      </x:c>
      <x:c r="G1618" s="84" t="str">
        <x:f>PROPER(TRIM('Raw Sales'!D1618))</x:f>
        <x:v>Layla Smith</x:v>
      </x:c>
      <x:c r="H1618" s="84" t="str">
        <x:f>IF(TRIM('Raw Sales'!E1618)="","Unknown",PROPER(TRIM('Raw Sales'!E1618)))</x:f>
        <x:v>Consumer</x:v>
      </x:c>
      <x:c r="I1618" s="84" t="str">
        <x:f>PROPER(TRIM('Raw Sales'!F1618))</x:f>
        <x:v>Southeast</x:v>
      </x:c>
      <x:c r="J1618" s="84" t="str">
        <x:f>PROPER(TRIM('Raw Sales'!G1618))</x:f>
        <x:v>Atlanta</x:v>
      </x:c>
      <x:c r="K1618" s="84" t="str">
        <x:f>PROPER(TRIM('Raw Sales'!H1618))</x:f>
        <x:v>Marketplace</x:v>
      </x:c>
      <x:c r="L1618" s="84" t="str">
        <x:f>'Raw Sales'!I1618</x:f>
        <x:v>HOME-003</x:v>
      </x:c>
      <x:c r="M1618" s="84" t="str">
        <x:f>IFERROR(VLOOKUP(L1618,'Reference Data'!$A$5:$F$40,2,FALSE),"Unknown Product")</x:f>
        <x:v>Countertop Blender</x:v>
      </x:c>
      <x:c r="N1618" s="84" t="str">
        <x:f>IFERROR(VLOOKUP(L1618,'Reference Data'!$A$5:$F$40,3,FALSE),"Unknown")</x:f>
        <x:v>Home &amp; Kitchen</x:v>
      </x:c>
      <x:c r="O1618" s="84" t="str">
        <x:f>IFERROR(VLOOKUP(L1618,'Reference Data'!$A$5:$F$40,4,FALSE),"Unknown")</x:f>
        <x:v>Small Appliances</x:v>
      </x:c>
      <x:c r="P1618" s="92" t="n">
        <x:f>IFERROR(VLOOKUP(L1618,'Reference Data'!$A$5:$F$40,5,FALSE),0)</x:f>
        <x:v>89</x:v>
      </x:c>
      <x:c r="Q1618" s="92" t="n">
        <x:f>IFERROR(VLOOKUP(L1618,'Reference Data'!$A$5:$F$40,6,FALSE),0)</x:f>
        <x:v>46</x:v>
      </x:c>
      <x:c r="R1618" s="84" t="n">
        <x:f>'Raw Sales'!J1618</x:f>
        <x:v>1</x:v>
      </x:c>
      <x:c r="S1618" s="87" t="n">
        <x:f>'Raw Sales'!K1618</x:f>
        <x:v>0.1</x:v>
      </x:c>
      <x:c r="T1618" s="93" t="n">
        <x:f>P1618*R1618</x:f>
        <x:v>89</x:v>
      </x:c>
      <x:c r="U1618" s="93" t="n">
        <x:f>T1618*S1618</x:f>
        <x:v>8.9</x:v>
      </x:c>
      <x:c r="V1618" s="93" t="str">
        <x:f>PROPER(TRIM('Raw Sales'!L1618))</x:f>
        <x:v>Completed</x:v>
      </x:c>
      <x:c r="W1618" s="93" t="n">
        <x:f>IF(V1618="Returned",0,T1618-U1618)</x:f>
        <x:v>80.1</x:v>
      </x:c>
      <x:c r="X1618" s="93" t="n">
        <x:f>IF(V1618="Returned",Q1618*R1618*10%,Q1618*R1618)</x:f>
        <x:v>46</x:v>
      </x:c>
      <x:c r="Y1618" s="93" t="n">
        <x:f>W1618-X1618</x:f>
        <x:v>34.099999999999994</x:v>
      </x:c>
      <x:c r="Z1618" s="94" t="n">
        <x:f>IFERROR(Y1618/W1618,0)</x:f>
        <x:v>0.4257178526841448</x:v>
      </x:c>
      <x:c r="AA1618" s="84" t="str">
        <x:f>PROPER(TRIM('Raw Sales'!M1618))</x:f>
        <x:v>Credit Card</x:v>
      </x:c>
      <x:c r="AB1618" s="84" t="str">
        <x:f>PROPER(TRIM('Raw Sales'!N1618))</x:f>
        <x:v>Noah Reed</x:v>
      </x:c>
      <x:c r="AC1618" s="85" t="n">
        <x:f>'Raw Sales'!O1618</x:f>
        <x:v>45828</x:v>
      </x:c>
      <x:c r="AD1618" s="84" t="n">
        <x:f>AC1618-B1618</x:f>
        <x:v>4</x:v>
      </x:c>
      <x:c r="AE1618" s="84" t="str">
        <x:f>IF(COUNTIF($A$5:A1618,A1618)&gt;1,"Duplicate","Keep")</x:f>
        <x:v>Keep</x:v>
      </x:c>
      <x:c r="AF1618" s="84" t="str">
        <x:f>IF(OR(R1618&lt;=0,AC1618&lt;B1618,H1618="Unknown",M1618="Unknown Product"),"Review","Valid")</x:f>
        <x:v>Valid</x:v>
      </x:c>
      <x:c r="AG1618" s="84" t="n">
        <x:f>IF(AND(AE1618="Keep",AF1618="Valid"),1,0)</x:f>
        <x:v>1</x:v>
      </x:c>
      <x:c r="AH1618" s="84" t="n">
        <x:f>IF(AND(AG1618=1,OR('Dashboard'!$B$4="All",I1618='Dashboard'!$B$4),OR('Dashboard'!$E$4="All",N1618='Dashboard'!$E$4),OR('Dashboard'!$H$4="All",K1618='Dashboard'!$H$4),OR('Dashboard'!$K$4="All",C1618='Dashboard'!$K$4)),1,0)</x:f>
        <x:v>1</x:v>
      </x:c>
      <x:c r="AI1618" s="84" t="n">
        <x:f>IF(AND(AG1618=1,OR('Dashboard'!$B$4="All",I1618='Dashboard'!$B$4),OR('Dashboard'!$E$4="All",N1618='Dashboard'!$E$4),OR('Dashboard'!$H$4="All",K1618='Dashboard'!$H$4)),1,0)</x:f>
        <x:v>1</x:v>
      </x:c>
    </x:row>
    <x:row r="1619">
      <x:c r="A1619" s="84" t="str">
        <x:f>'Raw Sales'!A1619</x:f>
        <x:v>ORD-2025-01942</x:v>
      </x:c>
      <x:c r="B1619" s="85" t="n">
        <x:f>'Raw Sales'!B1619</x:f>
        <x:v>45824</x:v>
      </x:c>
      <x:c r="C1619" s="84" t="n">
        <x:f>YEAR(B1619)</x:f>
        <x:v>2025</x:v>
      </x:c>
      <x:c r="D1619" s="91" t="n">
        <x:f>DATE(YEAR(B1619),MONTH(B1619),1)</x:f>
        <x:v>45809</x:v>
      </x:c>
      <x:c r="E1619" s="84" t="str">
        <x:f>TEXT(B1619,"mmm")</x:f>
        <x:v>Jun</x:v>
      </x:c>
      <x:c r="F1619" s="84" t="str">
        <x:f>'Raw Sales'!C1619</x:f>
        <x:v>CUST-0160</x:v>
      </x:c>
      <x:c r="G1619" s="84" t="str">
        <x:f>PROPER(TRIM('Raw Sales'!D1619))</x:f>
        <x:v>Amelia Adams</x:v>
      </x:c>
      <x:c r="H1619" s="84" t="str">
        <x:f>IF(TRIM('Raw Sales'!E1619)="","Unknown",PROPER(TRIM('Raw Sales'!E1619)))</x:f>
        <x:v>Consumer</x:v>
      </x:c>
      <x:c r="I1619" s="84" t="str">
        <x:f>PROPER(TRIM('Raw Sales'!F1619))</x:f>
        <x:v>Southeast</x:v>
      </x:c>
      <x:c r="J1619" s="84" t="str">
        <x:f>PROPER(TRIM('Raw Sales'!G1619))</x:f>
        <x:v>Atlanta</x:v>
      </x:c>
      <x:c r="K1619" s="84" t="str">
        <x:f>PROPER(TRIM('Raw Sales'!H1619))</x:f>
        <x:v>Online</x:v>
      </x:c>
      <x:c r="L1619" s="84" t="str">
        <x:f>'Raw Sales'!I1619</x:f>
        <x:v>ACCS-004</x:v>
      </x:c>
      <x:c r="M1619" s="84" t="str">
        <x:f>IFERROR(VLOOKUP(L1619,'Reference Data'!$A$5:$F$40,2,FALSE),"Unknown Product")</x:f>
        <x:v>Leather Wallet</x:v>
      </x:c>
      <x:c r="N1619" s="84" t="str">
        <x:f>IFERROR(VLOOKUP(L1619,'Reference Data'!$A$5:$F$40,3,FALSE),"Unknown")</x:f>
        <x:v>Accessories</x:v>
      </x:c>
      <x:c r="O1619" s="84" t="str">
        <x:f>IFERROR(VLOOKUP(L1619,'Reference Data'!$A$5:$F$40,4,FALSE),"Unknown")</x:f>
        <x:v>Wallets</x:v>
      </x:c>
      <x:c r="P1619" s="92" t="n">
        <x:f>IFERROR(VLOOKUP(L1619,'Reference Data'!$A$5:$F$40,5,FALSE),0)</x:f>
        <x:v>49</x:v>
      </x:c>
      <x:c r="Q1619" s="92" t="n">
        <x:f>IFERROR(VLOOKUP(L1619,'Reference Data'!$A$5:$F$40,6,FALSE),0)</x:f>
        <x:v>18</x:v>
      </x:c>
      <x:c r="R1619" s="84" t="n">
        <x:f>'Raw Sales'!J1619</x:f>
        <x:v>1</x:v>
      </x:c>
      <x:c r="S1619" s="87" t="n">
        <x:f>'Raw Sales'!K1619</x:f>
        <x:v>0.05</x:v>
      </x:c>
      <x:c r="T1619" s="93" t="n">
        <x:f>P1619*R1619</x:f>
        <x:v>49</x:v>
      </x:c>
      <x:c r="U1619" s="93" t="n">
        <x:f>T1619*S1619</x:f>
        <x:v>2.45</x:v>
      </x:c>
      <x:c r="V1619" s="93" t="str">
        <x:f>PROPER(TRIM('Raw Sales'!L1619))</x:f>
        <x:v>Completed</x:v>
      </x:c>
      <x:c r="W1619" s="93" t="n">
        <x:f>IF(V1619="Returned",0,T1619-U1619)</x:f>
        <x:v>46.55</x:v>
      </x:c>
      <x:c r="X1619" s="93" t="n">
        <x:f>IF(V1619="Returned",Q1619*R1619*10%,Q1619*R1619)</x:f>
        <x:v>18</x:v>
      </x:c>
      <x:c r="Y1619" s="93" t="n">
        <x:f>W1619-X1619</x:f>
        <x:v>28.549999999999997</x:v>
      </x:c>
      <x:c r="Z1619" s="94" t="n">
        <x:f>IFERROR(Y1619/W1619,0)</x:f>
        <x:v>0.6133190118152524</x:v>
      </x:c>
      <x:c r="AA1619" s="84" t="str">
        <x:f>PROPER(TRIM('Raw Sales'!M1619))</x:f>
        <x:v>Credit Card</x:v>
      </x:c>
      <x:c r="AB1619" s="84" t="str">
        <x:f>PROPER(TRIM('Raw Sales'!N1619))</x:f>
        <x:v>Ava Mitchell</x:v>
      </x:c>
      <x:c r="AC1619" s="85" t="n">
        <x:f>'Raw Sales'!O1619</x:f>
        <x:v>45828</x:v>
      </x:c>
      <x:c r="AD1619" s="84" t="n">
        <x:f>AC1619-B1619</x:f>
        <x:v>4</x:v>
      </x:c>
      <x:c r="AE1619" s="84" t="str">
        <x:f>IF(COUNTIF($A$5:A1619,A1619)&gt;1,"Duplicate","Keep")</x:f>
        <x:v>Keep</x:v>
      </x:c>
      <x:c r="AF1619" s="84" t="str">
        <x:f>IF(OR(R1619&lt;=0,AC1619&lt;B1619,H1619="Unknown",M1619="Unknown Product"),"Review","Valid")</x:f>
        <x:v>Valid</x:v>
      </x:c>
      <x:c r="AG1619" s="84" t="n">
        <x:f>IF(AND(AE1619="Keep",AF1619="Valid"),1,0)</x:f>
        <x:v>1</x:v>
      </x:c>
      <x:c r="AH1619" s="84" t="n">
        <x:f>IF(AND(AG1619=1,OR('Dashboard'!$B$4="All",I1619='Dashboard'!$B$4),OR('Dashboard'!$E$4="All",N1619='Dashboard'!$E$4),OR('Dashboard'!$H$4="All",K1619='Dashboard'!$H$4),OR('Dashboard'!$K$4="All",C1619='Dashboard'!$K$4)),1,0)</x:f>
        <x:v>1</x:v>
      </x:c>
      <x:c r="AI1619" s="84" t="n">
        <x:f>IF(AND(AG1619=1,OR('Dashboard'!$B$4="All",I1619='Dashboard'!$B$4),OR('Dashboard'!$E$4="All",N1619='Dashboard'!$E$4),OR('Dashboard'!$H$4="All",K1619='Dashboard'!$H$4)),1,0)</x:f>
        <x:v>1</x:v>
      </x:c>
    </x:row>
    <x:row r="1620">
      <x:c r="A1620" s="84" t="str">
        <x:f>'Raw Sales'!A1620</x:f>
        <x:v>ORD-2025-00632</x:v>
      </x:c>
      <x:c r="B1620" s="85" t="n">
        <x:f>'Raw Sales'!B1620</x:f>
        <x:v>45825</x:v>
      </x:c>
      <x:c r="C1620" s="84" t="n">
        <x:f>YEAR(B1620)</x:f>
        <x:v>2025</x:v>
      </x:c>
      <x:c r="D1620" s="91" t="n">
        <x:f>DATE(YEAR(B1620),MONTH(B1620),1)</x:f>
        <x:v>45809</x:v>
      </x:c>
      <x:c r="E1620" s="84" t="str">
        <x:f>TEXT(B1620,"mmm")</x:f>
        <x:v>Jun</x:v>
      </x:c>
      <x:c r="F1620" s="84" t="str">
        <x:f>'Raw Sales'!C1620</x:f>
        <x:v>CUST-0259</x:v>
      </x:c>
      <x:c r="G1620" s="84" t="str">
        <x:f>PROPER(TRIM('Raw Sales'!D1620))</x:f>
        <x:v>Caleb Foster</x:v>
      </x:c>
      <x:c r="H1620" s="84" t="str">
        <x:f>IF(TRIM('Raw Sales'!E1620)="","Unknown",PROPER(TRIM('Raw Sales'!E1620)))</x:f>
        <x:v>Consumer</x:v>
      </x:c>
      <x:c r="I1620" s="84" t="str">
        <x:f>PROPER(TRIM('Raw Sales'!F1620))</x:f>
        <x:v>Northeast</x:v>
      </x:c>
      <x:c r="J1620" s="84" t="str">
        <x:f>PROPER(TRIM('Raw Sales'!G1620))</x:f>
        <x:v>New York</x:v>
      </x:c>
      <x:c r="K1620" s="84" t="str">
        <x:f>PROPER(TRIM('Raw Sales'!H1620))</x:f>
        <x:v>Marketplace</x:v>
      </x:c>
      <x:c r="L1620" s="84" t="str">
        <x:f>'Raw Sales'!I1620</x:f>
        <x:v>FITN-004</x:v>
      </x:c>
      <x:c r="M1620" s="84" t="str">
        <x:f>IFERROR(VLOOKUP(L1620,'Reference Data'!$A$5:$F$40,2,FALSE),"Unknown Product")</x:f>
        <x:v>Fitness Tracker</x:v>
      </x:c>
      <x:c r="N1620" s="84" t="str">
        <x:f>IFERROR(VLOOKUP(L1620,'Reference Data'!$A$5:$F$40,3,FALSE),"Unknown")</x:f>
        <x:v>Fitness</x:v>
      </x:c>
      <x:c r="O1620" s="84" t="str">
        <x:f>IFERROR(VLOOKUP(L1620,'Reference Data'!$A$5:$F$40,4,FALSE),"Unknown")</x:f>
        <x:v>Wearables</x:v>
      </x:c>
      <x:c r="P1620" s="92" t="n">
        <x:f>IFERROR(VLOOKUP(L1620,'Reference Data'!$A$5:$F$40,5,FALSE),0)</x:f>
        <x:v>89</x:v>
      </x:c>
      <x:c r="Q1620" s="92" t="n">
        <x:f>IFERROR(VLOOKUP(L1620,'Reference Data'!$A$5:$F$40,6,FALSE),0)</x:f>
        <x:v>44</x:v>
      </x:c>
      <x:c r="R1620" s="84" t="n">
        <x:f>'Raw Sales'!J1620</x:f>
        <x:v>1</x:v>
      </x:c>
      <x:c r="S1620" s="87" t="n">
        <x:f>'Raw Sales'!K1620</x:f>
        <x:v>0</x:v>
      </x:c>
      <x:c r="T1620" s="93" t="n">
        <x:f>P1620*R1620</x:f>
        <x:v>89</x:v>
      </x:c>
      <x:c r="U1620" s="93" t="n">
        <x:f>T1620*S1620</x:f>
        <x:v>0</x:v>
      </x:c>
      <x:c r="V1620" s="93" t="str">
        <x:f>PROPER(TRIM('Raw Sales'!L1620))</x:f>
        <x:v>Completed</x:v>
      </x:c>
      <x:c r="W1620" s="93" t="n">
        <x:f>IF(V1620="Returned",0,T1620-U1620)</x:f>
        <x:v>89</x:v>
      </x:c>
      <x:c r="X1620" s="93" t="n">
        <x:f>IF(V1620="Returned",Q1620*R1620*10%,Q1620*R1620)</x:f>
        <x:v>44</x:v>
      </x:c>
      <x:c r="Y1620" s="93" t="n">
        <x:f>W1620-X1620</x:f>
        <x:v>45</x:v>
      </x:c>
      <x:c r="Z1620" s="94" t="n">
        <x:f>IFERROR(Y1620/W1620,0)</x:f>
        <x:v>0.5056179775280899</x:v>
      </x:c>
      <x:c r="AA1620" s="84" t="str">
        <x:f>PROPER(TRIM('Raw Sales'!M1620))</x:f>
        <x:v>Debit Card</x:v>
      </x:c>
      <x:c r="AB1620" s="84" t="str">
        <x:f>PROPER(TRIM('Raw Sales'!N1620))</x:f>
        <x:v>Ethan Cole</x:v>
      </x:c>
      <x:c r="AC1620" s="85" t="n">
        <x:f>'Raw Sales'!O1620</x:f>
        <x:v>45828</x:v>
      </x:c>
      <x:c r="AD1620" s="84" t="n">
        <x:f>AC1620-B1620</x:f>
        <x:v>3</x:v>
      </x:c>
      <x:c r="AE1620" s="84" t="str">
        <x:f>IF(COUNTIF($A$5:A1620,A1620)&gt;1,"Duplicate","Keep")</x:f>
        <x:v>Keep</x:v>
      </x:c>
      <x:c r="AF1620" s="84" t="str">
        <x:f>IF(OR(R1620&lt;=0,AC1620&lt;B1620,H1620="Unknown",M1620="Unknown Product"),"Review","Valid")</x:f>
        <x:v>Valid</x:v>
      </x:c>
      <x:c r="AG1620" s="84" t="n">
        <x:f>IF(AND(AE1620="Keep",AF1620="Valid"),1,0)</x:f>
        <x:v>1</x:v>
      </x:c>
      <x:c r="AH1620" s="84" t="n">
        <x:f>IF(AND(AG1620=1,OR('Dashboard'!$B$4="All",I1620='Dashboard'!$B$4),OR('Dashboard'!$E$4="All",N1620='Dashboard'!$E$4),OR('Dashboard'!$H$4="All",K1620='Dashboard'!$H$4),OR('Dashboard'!$K$4="All",C1620='Dashboard'!$K$4)),1,0)</x:f>
        <x:v>1</x:v>
      </x:c>
      <x:c r="AI1620" s="84" t="n">
        <x:f>IF(AND(AG1620=1,OR('Dashboard'!$B$4="All",I1620='Dashboard'!$B$4),OR('Dashboard'!$E$4="All",N1620='Dashboard'!$E$4),OR('Dashboard'!$H$4="All",K1620='Dashboard'!$H$4)),1,0)</x:f>
        <x:v>1</x:v>
      </x:c>
    </x:row>
    <x:row r="1621">
      <x:c r="A1621" s="84" t="str">
        <x:f>'Raw Sales'!A1621</x:f>
        <x:v>ORD-2025-01482</x:v>
      </x:c>
      <x:c r="B1621" s="85" t="n">
        <x:f>'Raw Sales'!B1621</x:f>
        <x:v>45825</x:v>
      </x:c>
      <x:c r="C1621" s="84" t="n">
        <x:f>YEAR(B1621)</x:f>
        <x:v>2025</x:v>
      </x:c>
      <x:c r="D1621" s="91" t="n">
        <x:f>DATE(YEAR(B1621),MONTH(B1621),1)</x:f>
        <x:v>45809</x:v>
      </x:c>
      <x:c r="E1621" s="84" t="str">
        <x:f>TEXT(B1621,"mmm")</x:f>
        <x:v>Jun</x:v>
      </x:c>
      <x:c r="F1621" s="84" t="str">
        <x:f>'Raw Sales'!C1621</x:f>
        <x:v>CUST-0459</x:v>
      </x:c>
      <x:c r="G1621" s="84" t="str">
        <x:f>PROPER(TRIM('Raw Sales'!D1621))</x:f>
        <x:v>Theo Baker</x:v>
      </x:c>
      <x:c r="H1621" s="84" t="str">
        <x:f>IF(TRIM('Raw Sales'!E1621)="","Unknown",PROPER(TRIM('Raw Sales'!E1621)))</x:f>
        <x:v>Consumer</x:v>
      </x:c>
      <x:c r="I1621" s="84" t="str">
        <x:f>PROPER(TRIM('Raw Sales'!F1621))</x:f>
        <x:v>Southeast</x:v>
      </x:c>
      <x:c r="J1621" s="84" t="str">
        <x:f>PROPER(TRIM('Raw Sales'!G1621))</x:f>
        <x:v>Miami</x:v>
      </x:c>
      <x:c r="K1621" s="84" t="str">
        <x:f>PROPER(TRIM('Raw Sales'!H1621))</x:f>
        <x:v>Retail Store</x:v>
      </x:c>
      <x:c r="L1621" s="84" t="str">
        <x:f>'Raw Sales'!I1621</x:f>
        <x:v>HOME-004</x:v>
      </x:c>
      <x:c r="M1621" s="84" t="str">
        <x:f>IFERROR(VLOOKUP(L1621,'Reference Data'!$A$5:$F$40,2,FALSE),"Unknown Product")</x:f>
        <x:v>Coffee Maker</x:v>
      </x:c>
      <x:c r="N1621" s="84" t="str">
        <x:f>IFERROR(VLOOKUP(L1621,'Reference Data'!$A$5:$F$40,3,FALSE),"Unknown")</x:f>
        <x:v>Home &amp; Kitchen</x:v>
      </x:c>
      <x:c r="O1621" s="84" t="str">
        <x:f>IFERROR(VLOOKUP(L1621,'Reference Data'!$A$5:$F$40,4,FALSE),"Unknown")</x:f>
        <x:v>Small Appliances</x:v>
      </x:c>
      <x:c r="P1621" s="92" t="n">
        <x:f>IFERROR(VLOOKUP(L1621,'Reference Data'!$A$5:$F$40,5,FALSE),0)</x:f>
        <x:v>99</x:v>
      </x:c>
      <x:c r="Q1621" s="92" t="n">
        <x:f>IFERROR(VLOOKUP(L1621,'Reference Data'!$A$5:$F$40,6,FALSE),0)</x:f>
        <x:v>51</x:v>
      </x:c>
      <x:c r="R1621" s="84" t="n">
        <x:f>'Raw Sales'!J1621</x:f>
        <x:v>2</x:v>
      </x:c>
      <x:c r="S1621" s="87" t="n">
        <x:f>'Raw Sales'!K1621</x:f>
        <x:v>0</x:v>
      </x:c>
      <x:c r="T1621" s="93" t="n">
        <x:f>P1621*R1621</x:f>
        <x:v>198</x:v>
      </x:c>
      <x:c r="U1621" s="93" t="n">
        <x:f>T1621*S1621</x:f>
        <x:v>0</x:v>
      </x:c>
      <x:c r="V1621" s="93" t="str">
        <x:f>PROPER(TRIM('Raw Sales'!L1621))</x:f>
        <x:v>Completed</x:v>
      </x:c>
      <x:c r="W1621" s="93" t="n">
        <x:f>IF(V1621="Returned",0,T1621-U1621)</x:f>
        <x:v>198</x:v>
      </x:c>
      <x:c r="X1621" s="93" t="n">
        <x:f>IF(V1621="Returned",Q1621*R1621*10%,Q1621*R1621)</x:f>
        <x:v>102</x:v>
      </x:c>
      <x:c r="Y1621" s="93" t="n">
        <x:f>W1621-X1621</x:f>
        <x:v>96</x:v>
      </x:c>
      <x:c r="Z1621" s="94" t="n">
        <x:f>IFERROR(Y1621/W1621,0)</x:f>
        <x:v>0.48484848484848486</x:v>
      </x:c>
      <x:c r="AA1621" s="84" t="str">
        <x:f>PROPER(TRIM('Raw Sales'!M1621))</x:f>
        <x:v>Credit Card</x:v>
      </x:c>
      <x:c r="AB1621" s="84" t="str">
        <x:f>PROPER(TRIM('Raw Sales'!N1621))</x:f>
        <x:v>Ava Mitchell</x:v>
      </x:c>
      <x:c r="AC1621" s="85" t="n">
        <x:f>'Raw Sales'!O1621</x:f>
        <x:v>45825</x:v>
      </x:c>
      <x:c r="AD1621" s="84" t="n">
        <x:f>AC1621-B1621</x:f>
        <x:v>0</x:v>
      </x:c>
      <x:c r="AE1621" s="84" t="str">
        <x:f>IF(COUNTIF($A$5:A1621,A1621)&gt;1,"Duplicate","Keep")</x:f>
        <x:v>Keep</x:v>
      </x:c>
      <x:c r="AF1621" s="84" t="str">
        <x:f>IF(OR(R1621&lt;=0,AC1621&lt;B1621,H1621="Unknown",M1621="Unknown Product"),"Review","Valid")</x:f>
        <x:v>Valid</x:v>
      </x:c>
      <x:c r="AG1621" s="84" t="n">
        <x:f>IF(AND(AE1621="Keep",AF1621="Valid"),1,0)</x:f>
        <x:v>1</x:v>
      </x:c>
      <x:c r="AH1621" s="84" t="n">
        <x:f>IF(AND(AG1621=1,OR('Dashboard'!$B$4="All",I1621='Dashboard'!$B$4),OR('Dashboard'!$E$4="All",N1621='Dashboard'!$E$4),OR('Dashboard'!$H$4="All",K1621='Dashboard'!$H$4),OR('Dashboard'!$K$4="All",C1621='Dashboard'!$K$4)),1,0)</x:f>
        <x:v>1</x:v>
      </x:c>
      <x:c r="AI1621" s="84" t="n">
        <x:f>IF(AND(AG1621=1,OR('Dashboard'!$B$4="All",I1621='Dashboard'!$B$4),OR('Dashboard'!$E$4="All",N1621='Dashboard'!$E$4),OR('Dashboard'!$H$4="All",K1621='Dashboard'!$H$4)),1,0)</x:f>
        <x:v>1</x:v>
      </x:c>
    </x:row>
    <x:row r="1622">
      <x:c r="A1622" s="84" t="str">
        <x:f>'Raw Sales'!A1622</x:f>
        <x:v>ORD-2025-01662</x:v>
      </x:c>
      <x:c r="B1622" s="85" t="n">
        <x:f>'Raw Sales'!B1622</x:f>
        <x:v>45825</x:v>
      </x:c>
      <x:c r="C1622" s="84" t="n">
        <x:f>YEAR(B1622)</x:f>
        <x:v>2025</x:v>
      </x:c>
      <x:c r="D1622" s="91" t="n">
        <x:f>DATE(YEAR(B1622),MONTH(B1622),1)</x:f>
        <x:v>45809</x:v>
      </x:c>
      <x:c r="E1622" s="84" t="str">
        <x:f>TEXT(B1622,"mmm")</x:f>
        <x:v>Jun</x:v>
      </x:c>
      <x:c r="F1622" s="84" t="str">
        <x:f>'Raw Sales'!C1622</x:f>
        <x:v>CUST-0362</x:v>
      </x:c>
      <x:c r="G1622" s="84" t="str">
        <x:f>PROPER(TRIM('Raw Sales'!D1622))</x:f>
        <x:v>Samuel Moore</x:v>
      </x:c>
      <x:c r="H1622" s="84" t="str">
        <x:f>IF(TRIM('Raw Sales'!E1622)="","Unknown",PROPER(TRIM('Raw Sales'!E1622)))</x:f>
        <x:v>Corporate</x:v>
      </x:c>
      <x:c r="I1622" s="84" t="str">
        <x:f>PROPER(TRIM('Raw Sales'!F1622))</x:f>
        <x:v>West</x:v>
      </x:c>
      <x:c r="J1622" s="84" t="str">
        <x:f>PROPER(TRIM('Raw Sales'!G1622))</x:f>
        <x:v>Los Angeles</x:v>
      </x:c>
      <x:c r="K1622" s="84" t="str">
        <x:f>PROPER(TRIM('Raw Sales'!H1622))</x:f>
        <x:v>Retail Store</x:v>
      </x:c>
      <x:c r="L1622" s="84" t="str">
        <x:f>'Raw Sales'!I1622</x:f>
        <x:v>ELEC-005</x:v>
      </x:c>
      <x:c r="M1622" s="84" t="str">
        <x:f>IFERROR(VLOOKUP(L1622,'Reference Data'!$A$5:$F$40,2,FALSE),"Unknown Product")</x:f>
        <x:v>HD Webcam</x:v>
      </x:c>
      <x:c r="N1622" s="84" t="str">
        <x:f>IFERROR(VLOOKUP(L1622,'Reference Data'!$A$5:$F$40,3,FALSE),"Unknown")</x:f>
        <x:v>Electronics</x:v>
      </x:c>
      <x:c r="O1622" s="84" t="str">
        <x:f>IFERROR(VLOOKUP(L1622,'Reference Data'!$A$5:$F$40,4,FALSE),"Unknown")</x:f>
        <x:v>Computer Accessories</x:v>
      </x:c>
      <x:c r="P1622" s="92" t="n">
        <x:f>IFERROR(VLOOKUP(L1622,'Reference Data'!$A$5:$F$40,5,FALSE),0)</x:f>
        <x:v>79</x:v>
      </x:c>
      <x:c r="Q1622" s="92" t="n">
        <x:f>IFERROR(VLOOKUP(L1622,'Reference Data'!$A$5:$F$40,6,FALSE),0)</x:f>
        <x:v>37</x:v>
      </x:c>
      <x:c r="R1622" s="84" t="n">
        <x:f>'Raw Sales'!J1622</x:f>
        <x:v>2</x:v>
      </x:c>
      <x:c r="S1622" s="87" t="n">
        <x:f>'Raw Sales'!K1622</x:f>
        <x:v>0.2</x:v>
      </x:c>
      <x:c r="T1622" s="93" t="n">
        <x:f>P1622*R1622</x:f>
        <x:v>158</x:v>
      </x:c>
      <x:c r="U1622" s="93" t="n">
        <x:f>T1622*S1622</x:f>
        <x:v>31.6</x:v>
      </x:c>
      <x:c r="V1622" s="93" t="str">
        <x:f>PROPER(TRIM('Raw Sales'!L1622))</x:f>
        <x:v>Completed</x:v>
      </x:c>
      <x:c r="W1622" s="93" t="n">
        <x:f>IF(V1622="Returned",0,T1622-U1622)</x:f>
        <x:v>126.4</x:v>
      </x:c>
      <x:c r="X1622" s="93" t="n">
        <x:f>IF(V1622="Returned",Q1622*R1622*10%,Q1622*R1622)</x:f>
        <x:v>74</x:v>
      </x:c>
      <x:c r="Y1622" s="93" t="n">
        <x:f>W1622-X1622</x:f>
        <x:v>52.400000000000006</x:v>
      </x:c>
      <x:c r="Z1622" s="94" t="n">
        <x:f>IFERROR(Y1622/W1622,0)</x:f>
        <x:v>0.4145569620253165</x:v>
      </x:c>
      <x:c r="AA1622" s="84" t="str">
        <x:f>PROPER(TRIM('Raw Sales'!M1622))</x:f>
        <x:v>Cash</x:v>
      </x:c>
      <x:c r="AB1622" s="84" t="str">
        <x:f>PROPER(TRIM('Raw Sales'!N1622))</x:f>
        <x:v>Nora Kim</x:v>
      </x:c>
      <x:c r="AC1622" s="85" t="n">
        <x:f>'Raw Sales'!O1622</x:f>
        <x:v>45825</x:v>
      </x:c>
      <x:c r="AD1622" s="84" t="n">
        <x:f>AC1622-B1622</x:f>
        <x:v>0</x:v>
      </x:c>
      <x:c r="AE1622" s="84" t="str">
        <x:f>IF(COUNTIF($A$5:A1622,A1622)&gt;1,"Duplicate","Keep")</x:f>
        <x:v>Keep</x:v>
      </x:c>
      <x:c r="AF1622" s="84" t="str">
        <x:f>IF(OR(R1622&lt;=0,AC1622&lt;B1622,H1622="Unknown",M1622="Unknown Product"),"Review","Valid")</x:f>
        <x:v>Valid</x:v>
      </x:c>
      <x:c r="AG1622" s="84" t="n">
        <x:f>IF(AND(AE1622="Keep",AF1622="Valid"),1,0)</x:f>
        <x:v>1</x:v>
      </x:c>
      <x:c r="AH1622" s="84" t="n">
        <x:f>IF(AND(AG1622=1,OR('Dashboard'!$B$4="All",I1622='Dashboard'!$B$4),OR('Dashboard'!$E$4="All",N1622='Dashboard'!$E$4),OR('Dashboard'!$H$4="All",K1622='Dashboard'!$H$4),OR('Dashboard'!$K$4="All",C1622='Dashboard'!$K$4)),1,0)</x:f>
        <x:v>1</x:v>
      </x:c>
      <x:c r="AI1622" s="84" t="n">
        <x:f>IF(AND(AG1622=1,OR('Dashboard'!$B$4="All",I1622='Dashboard'!$B$4),OR('Dashboard'!$E$4="All",N1622='Dashboard'!$E$4),OR('Dashboard'!$H$4="All",K1622='Dashboard'!$H$4)),1,0)</x:f>
        <x:v>1</x:v>
      </x:c>
    </x:row>
    <x:row r="1623">
      <x:c r="A1623" s="84" t="str">
        <x:f>'Raw Sales'!A1623</x:f>
        <x:v>ORD-2025-02139</x:v>
      </x:c>
      <x:c r="B1623" s="85" t="n">
        <x:f>'Raw Sales'!B1623</x:f>
        <x:v>45825</x:v>
      </x:c>
      <x:c r="C1623" s="84" t="n">
        <x:f>YEAR(B1623)</x:f>
        <x:v>2025</x:v>
      </x:c>
      <x:c r="D1623" s="91" t="n">
        <x:f>DATE(YEAR(B1623),MONTH(B1623),1)</x:f>
        <x:v>45809</x:v>
      </x:c>
      <x:c r="E1623" s="84" t="str">
        <x:f>TEXT(B1623,"mmm")</x:f>
        <x:v>Jun</x:v>
      </x:c>
      <x:c r="F1623" s="84" t="str">
        <x:f>'Raw Sales'!C1623</x:f>
        <x:v>CUST-0413</x:v>
      </x:c>
      <x:c r="G1623" s="84" t="str">
        <x:f>PROPER(TRIM('Raw Sales'!D1623))</x:f>
        <x:v>Grace Taylor</x:v>
      </x:c>
      <x:c r="H1623" s="84" t="str">
        <x:f>IF(TRIM('Raw Sales'!E1623)="","Unknown",PROPER(TRIM('Raw Sales'!E1623)))</x:f>
        <x:v>Corporate</x:v>
      </x:c>
      <x:c r="I1623" s="84" t="str">
        <x:f>PROPER(TRIM('Raw Sales'!F1623))</x:f>
        <x:v>Northeast</x:v>
      </x:c>
      <x:c r="J1623" s="84" t="str">
        <x:f>PROPER(TRIM('Raw Sales'!G1623))</x:f>
        <x:v>Philadelphia</x:v>
      </x:c>
      <x:c r="K1623" s="84" t="str">
        <x:f>PROPER(TRIM('Raw Sales'!H1623))</x:f>
        <x:v>Retail Store</x:v>
      </x:c>
      <x:c r="L1623" s="84" t="str">
        <x:f>'Raw Sales'!I1623</x:f>
        <x:v>ACCS-001</x:v>
      </x:c>
      <x:c r="M1623" s="84" t="str">
        <x:f>IFERROR(VLOOKUP(L1623,'Reference Data'!$A$5:$F$40,2,FALSE),"Unknown Product")</x:f>
        <x:v>Canvas Tote Bag</x:v>
      </x:c>
      <x:c r="N1623" s="84" t="str">
        <x:f>IFERROR(VLOOKUP(L1623,'Reference Data'!$A$5:$F$40,3,FALSE),"Unknown")</x:f>
        <x:v>Accessories</x:v>
      </x:c>
      <x:c r="O1623" s="84" t="str">
        <x:f>IFERROR(VLOOKUP(L1623,'Reference Data'!$A$5:$F$40,4,FALSE),"Unknown")</x:f>
        <x:v>Bags</x:v>
      </x:c>
      <x:c r="P1623" s="92" t="n">
        <x:f>IFERROR(VLOOKUP(L1623,'Reference Data'!$A$5:$F$40,5,FALSE),0)</x:f>
        <x:v>39</x:v>
      </x:c>
      <x:c r="Q1623" s="92" t="n">
        <x:f>IFERROR(VLOOKUP(L1623,'Reference Data'!$A$5:$F$40,6,FALSE),0)</x:f>
        <x:v>14</x:v>
      </x:c>
      <x:c r="R1623" s="84" t="n">
        <x:f>'Raw Sales'!J1623</x:f>
        <x:v>2</x:v>
      </x:c>
      <x:c r="S1623" s="87" t="n">
        <x:f>'Raw Sales'!K1623</x:f>
        <x:v>0</x:v>
      </x:c>
      <x:c r="T1623" s="93" t="n">
        <x:f>P1623*R1623</x:f>
        <x:v>78</x:v>
      </x:c>
      <x:c r="U1623" s="93" t="n">
        <x:f>T1623*S1623</x:f>
        <x:v>0</x:v>
      </x:c>
      <x:c r="V1623" s="93" t="str">
        <x:f>PROPER(TRIM('Raw Sales'!L1623))</x:f>
        <x:v>Completed</x:v>
      </x:c>
      <x:c r="W1623" s="93" t="n">
        <x:f>IF(V1623="Returned",0,T1623-U1623)</x:f>
        <x:v>78</x:v>
      </x:c>
      <x:c r="X1623" s="93" t="n">
        <x:f>IF(V1623="Returned",Q1623*R1623*10%,Q1623*R1623)</x:f>
        <x:v>28</x:v>
      </x:c>
      <x:c r="Y1623" s="93" t="n">
        <x:f>W1623-X1623</x:f>
        <x:v>50</x:v>
      </x:c>
      <x:c r="Z1623" s="94" t="n">
        <x:f>IFERROR(Y1623/W1623,0)</x:f>
        <x:v>0.6410256410256411</x:v>
      </x:c>
      <x:c r="AA1623" s="84" t="str">
        <x:f>PROPER(TRIM('Raw Sales'!M1623))</x:f>
        <x:v>Cash</x:v>
      </x:c>
      <x:c r="AB1623" s="84" t="str">
        <x:f>PROPER(TRIM('Raw Sales'!N1623))</x:f>
        <x:v>Maya Brooks</x:v>
      </x:c>
      <x:c r="AC1623" s="85" t="n">
        <x:f>'Raw Sales'!O1623</x:f>
        <x:v>45825</x:v>
      </x:c>
      <x:c r="AD1623" s="84" t="n">
        <x:f>AC1623-B1623</x:f>
        <x:v>0</x:v>
      </x:c>
      <x:c r="AE1623" s="84" t="str">
        <x:f>IF(COUNTIF($A$5:A1623,A1623)&gt;1,"Duplicate","Keep")</x:f>
        <x:v>Keep</x:v>
      </x:c>
      <x:c r="AF1623" s="84" t="str">
        <x:f>IF(OR(R1623&lt;=0,AC1623&lt;B1623,H1623="Unknown",M1623="Unknown Product"),"Review","Valid")</x:f>
        <x:v>Valid</x:v>
      </x:c>
      <x:c r="AG1623" s="84" t="n">
        <x:f>IF(AND(AE1623="Keep",AF1623="Valid"),1,0)</x:f>
        <x:v>1</x:v>
      </x:c>
      <x:c r="AH1623" s="84" t="n">
        <x:f>IF(AND(AG1623=1,OR('Dashboard'!$B$4="All",I1623='Dashboard'!$B$4),OR('Dashboard'!$E$4="All",N1623='Dashboard'!$E$4),OR('Dashboard'!$H$4="All",K1623='Dashboard'!$H$4),OR('Dashboard'!$K$4="All",C1623='Dashboard'!$K$4)),1,0)</x:f>
        <x:v>1</x:v>
      </x:c>
      <x:c r="AI1623" s="84" t="n">
        <x:f>IF(AND(AG1623=1,OR('Dashboard'!$B$4="All",I1623='Dashboard'!$B$4),OR('Dashboard'!$E$4="All",N1623='Dashboard'!$E$4),OR('Dashboard'!$H$4="All",K1623='Dashboard'!$H$4)),1,0)</x:f>
        <x:v>1</x:v>
      </x:c>
    </x:row>
    <x:row r="1624">
      <x:c r="A1624" s="84" t="str">
        <x:f>'Raw Sales'!A1624</x:f>
        <x:v>ORD-2025-00315</x:v>
      </x:c>
      <x:c r="B1624" s="85" t="n">
        <x:f>'Raw Sales'!B1624</x:f>
        <x:v>45826</x:v>
      </x:c>
      <x:c r="C1624" s="84" t="n">
        <x:f>YEAR(B1624)</x:f>
        <x:v>2025</x:v>
      </x:c>
      <x:c r="D1624" s="91" t="n">
        <x:f>DATE(YEAR(B1624),MONTH(B1624),1)</x:f>
        <x:v>45809</x:v>
      </x:c>
      <x:c r="E1624" s="84" t="str">
        <x:f>TEXT(B1624,"mmm")</x:f>
        <x:v>Jun</x:v>
      </x:c>
      <x:c r="F1624" s="84" t="str">
        <x:f>'Raw Sales'!C1624</x:f>
        <x:v>CUST-0400</x:v>
      </x:c>
      <x:c r="G1624" s="84" t="str">
        <x:f>PROPER(TRIM('Raw Sales'!D1624))</x:f>
        <x:v>Amelia Nelson</x:v>
      </x:c>
      <x:c r="H1624" s="84" t="str">
        <x:f>IF(TRIM('Raw Sales'!E1624)="","Unknown",PROPER(TRIM('Raw Sales'!E1624)))</x:f>
        <x:v>Consumer</x:v>
      </x:c>
      <x:c r="I1624" s="84" t="str">
        <x:f>PROPER(TRIM('Raw Sales'!F1624))</x:f>
        <x:v>Southeast</x:v>
      </x:c>
      <x:c r="J1624" s="84" t="str">
        <x:f>PROPER(TRIM('Raw Sales'!G1624))</x:f>
        <x:v>Nashville</x:v>
      </x:c>
      <x:c r="K1624" s="84" t="str">
        <x:f>PROPER(TRIM('Raw Sales'!H1624))</x:f>
        <x:v>Retail Store</x:v>
      </x:c>
      <x:c r="L1624" s="84" t="str">
        <x:f>'Raw Sales'!I1624</x:f>
        <x:v>OFFC-003</x:v>
      </x:c>
      <x:c r="M1624" s="84" t="str">
        <x:f>IFERROR(VLOOKUP(L1624,'Reference Data'!$A$5:$F$40,2,FALSE),"Unknown Product")</x:f>
        <x:v>LED Desk Lamp</x:v>
      </x:c>
      <x:c r="N1624" s="84" t="str">
        <x:f>IFERROR(VLOOKUP(L1624,'Reference Data'!$A$5:$F$40,3,FALSE),"Unknown")</x:f>
        <x:v>Office</x:v>
      </x:c>
      <x:c r="O1624" s="84" t="str">
        <x:f>IFERROR(VLOOKUP(L1624,'Reference Data'!$A$5:$F$40,4,FALSE),"Unknown")</x:f>
        <x:v>Desk Accessories</x:v>
      </x:c>
      <x:c r="P1624" s="92" t="n">
        <x:f>IFERROR(VLOOKUP(L1624,'Reference Data'!$A$5:$F$40,5,FALSE),0)</x:f>
        <x:v>45</x:v>
      </x:c>
      <x:c r="Q1624" s="92" t="n">
        <x:f>IFERROR(VLOOKUP(L1624,'Reference Data'!$A$5:$F$40,6,FALSE),0)</x:f>
        <x:v>20</x:v>
      </x:c>
      <x:c r="R1624" s="84" t="n">
        <x:f>'Raw Sales'!J1624</x:f>
        <x:v>3</x:v>
      </x:c>
      <x:c r="S1624" s="87" t="n">
        <x:f>'Raw Sales'!K1624</x:f>
        <x:v>0</x:v>
      </x:c>
      <x:c r="T1624" s="93" t="n">
        <x:f>P1624*R1624</x:f>
        <x:v>135</x:v>
      </x:c>
      <x:c r="U1624" s="93" t="n">
        <x:f>T1624*S1624</x:f>
        <x:v>0</x:v>
      </x:c>
      <x:c r="V1624" s="93" t="str">
        <x:f>PROPER(TRIM('Raw Sales'!L1624))</x:f>
        <x:v>Completed</x:v>
      </x:c>
      <x:c r="W1624" s="93" t="n">
        <x:f>IF(V1624="Returned",0,T1624-U1624)</x:f>
        <x:v>135</x:v>
      </x:c>
      <x:c r="X1624" s="93" t="n">
        <x:f>IF(V1624="Returned",Q1624*R1624*10%,Q1624*R1624)</x:f>
        <x:v>60</x:v>
      </x:c>
      <x:c r="Y1624" s="93" t="n">
        <x:f>W1624-X1624</x:f>
        <x:v>75</x:v>
      </x:c>
      <x:c r="Z1624" s="94" t="n">
        <x:f>IFERROR(Y1624/W1624,0)</x:f>
        <x:v>0.5555555555555556</x:v>
      </x:c>
      <x:c r="AA1624" s="84" t="str">
        <x:f>PROPER(TRIM('Raw Sales'!M1624))</x:f>
        <x:v>Mobile Wallet</x:v>
      </x:c>
      <x:c r="AB1624" s="84" t="str">
        <x:f>PROPER(TRIM('Raw Sales'!N1624))</x:f>
        <x:v>Noah Reed</x:v>
      </x:c>
      <x:c r="AC1624" s="85" t="n">
        <x:f>'Raw Sales'!O1624</x:f>
        <x:v>45826</x:v>
      </x:c>
      <x:c r="AD1624" s="84" t="n">
        <x:f>AC1624-B1624</x:f>
        <x:v>0</x:v>
      </x:c>
      <x:c r="AE1624" s="84" t="str">
        <x:f>IF(COUNTIF($A$5:A1624,A1624)&gt;1,"Duplicate","Keep")</x:f>
        <x:v>Keep</x:v>
      </x:c>
      <x:c r="AF1624" s="84" t="str">
        <x:f>IF(OR(R1624&lt;=0,AC1624&lt;B1624,H1624="Unknown",M1624="Unknown Product"),"Review","Valid")</x:f>
        <x:v>Valid</x:v>
      </x:c>
      <x:c r="AG1624" s="84" t="n">
        <x:f>IF(AND(AE1624="Keep",AF1624="Valid"),1,0)</x:f>
        <x:v>1</x:v>
      </x:c>
      <x:c r="AH1624" s="84" t="n">
        <x:f>IF(AND(AG1624=1,OR('Dashboard'!$B$4="All",I1624='Dashboard'!$B$4),OR('Dashboard'!$E$4="All",N1624='Dashboard'!$E$4),OR('Dashboard'!$H$4="All",K1624='Dashboard'!$H$4),OR('Dashboard'!$K$4="All",C1624='Dashboard'!$K$4)),1,0)</x:f>
        <x:v>1</x:v>
      </x:c>
      <x:c r="AI1624" s="84" t="n">
        <x:f>IF(AND(AG1624=1,OR('Dashboard'!$B$4="All",I1624='Dashboard'!$B$4),OR('Dashboard'!$E$4="All",N1624='Dashboard'!$E$4),OR('Dashboard'!$H$4="All",K1624='Dashboard'!$H$4)),1,0)</x:f>
        <x:v>1</x:v>
      </x:c>
    </x:row>
    <x:row r="1625">
      <x:c r="A1625" s="84" t="str">
        <x:f>'Raw Sales'!A1625</x:f>
        <x:v>ORD-2025-00954</x:v>
      </x:c>
      <x:c r="B1625" s="85" t="n">
        <x:f>'Raw Sales'!B1625</x:f>
        <x:v>45826</x:v>
      </x:c>
      <x:c r="C1625" s="84" t="n">
        <x:f>YEAR(B1625)</x:f>
        <x:v>2025</x:v>
      </x:c>
      <x:c r="D1625" s="91" t="n">
        <x:f>DATE(YEAR(B1625),MONTH(B1625),1)</x:f>
        <x:v>45809</x:v>
      </x:c>
      <x:c r="E1625" s="84" t="str">
        <x:f>TEXT(B1625,"mmm")</x:f>
        <x:v>Jun</x:v>
      </x:c>
      <x:c r="F1625" s="84" t="str">
        <x:f>'Raw Sales'!C1625</x:f>
        <x:v>CUST-0205</x:v>
      </x:c>
      <x:c r="G1625" s="84" t="str">
        <x:f>PROPER(TRIM('Raw Sales'!D1625))</x:f>
        <x:v>Elena Young</x:v>
      </x:c>
      <x:c r="H1625" s="84" t="str">
        <x:f>IF(TRIM('Raw Sales'!E1625)="","Unknown",PROPER(TRIM('Raw Sales'!E1625)))</x:f>
        <x:v>Corporate</x:v>
      </x:c>
      <x:c r="I1625" s="84" t="str">
        <x:f>PROPER(TRIM('Raw Sales'!F1625))</x:f>
        <x:v>West</x:v>
      </x:c>
      <x:c r="J1625" s="84" t="str">
        <x:f>PROPER(TRIM('Raw Sales'!G1625))</x:f>
        <x:v>Denver</x:v>
      </x:c>
      <x:c r="K1625" s="84" t="str">
        <x:f>PROPER(TRIM('Raw Sales'!H1625))</x:f>
        <x:v>Retail Store</x:v>
      </x:c>
      <x:c r="L1625" s="84" t="str">
        <x:f>'Raw Sales'!I1625</x:f>
        <x:v>CARE-003</x:v>
      </x:c>
      <x:c r="M1625" s="84" t="str">
        <x:f>IFERROR(VLOOKUP(L1625,'Reference Data'!$A$5:$F$40,2,FALSE),"Unknown Product")</x:f>
        <x:v>Facial Cleanser</x:v>
      </x:c>
      <x:c r="N1625" s="84" t="str">
        <x:f>IFERROR(VLOOKUP(L1625,'Reference Data'!$A$5:$F$40,3,FALSE),"Unknown")</x:f>
        <x:v>Personal Care</x:v>
      </x:c>
      <x:c r="O1625" s="84" t="str">
        <x:f>IFERROR(VLOOKUP(L1625,'Reference Data'!$A$5:$F$40,4,FALSE),"Unknown")</x:f>
        <x:v>Skin Care</x:v>
      </x:c>
      <x:c r="P1625" s="92" t="n">
        <x:f>IFERROR(VLOOKUP(L1625,'Reference Data'!$A$5:$F$40,5,FALSE),0)</x:f>
        <x:v>18</x:v>
      </x:c>
      <x:c r="Q1625" s="92" t="n">
        <x:f>IFERROR(VLOOKUP(L1625,'Reference Data'!$A$5:$F$40,6,FALSE),0)</x:f>
        <x:v>6</x:v>
      </x:c>
      <x:c r="R1625" s="84" t="n">
        <x:f>'Raw Sales'!J1625</x:f>
        <x:v>5</x:v>
      </x:c>
      <x:c r="S1625" s="87" t="n">
        <x:f>'Raw Sales'!K1625</x:f>
        <x:v>0.05</x:v>
      </x:c>
      <x:c r="T1625" s="93" t="n">
        <x:f>P1625*R1625</x:f>
        <x:v>90</x:v>
      </x:c>
      <x:c r="U1625" s="93" t="n">
        <x:f>T1625*S1625</x:f>
        <x:v>4.5</x:v>
      </x:c>
      <x:c r="V1625" s="93" t="str">
        <x:f>PROPER(TRIM('Raw Sales'!L1625))</x:f>
        <x:v>Completed</x:v>
      </x:c>
      <x:c r="W1625" s="93" t="n">
        <x:f>IF(V1625="Returned",0,T1625-U1625)</x:f>
        <x:v>85.5</x:v>
      </x:c>
      <x:c r="X1625" s="93" t="n">
        <x:f>IF(V1625="Returned",Q1625*R1625*10%,Q1625*R1625)</x:f>
        <x:v>30</x:v>
      </x:c>
      <x:c r="Y1625" s="93" t="n">
        <x:f>W1625-X1625</x:f>
        <x:v>55.5</x:v>
      </x:c>
      <x:c r="Z1625" s="94" t="n">
        <x:f>IFERROR(Y1625/W1625,0)</x:f>
        <x:v>0.6491228070175439</x:v>
      </x:c>
      <x:c r="AA1625" s="84" t="str">
        <x:f>PROPER(TRIM('Raw Sales'!M1625))</x:f>
        <x:v>Credit Card</x:v>
      </x:c>
      <x:c r="AB1625" s="84" t="str">
        <x:f>PROPER(TRIM('Raw Sales'!N1625))</x:f>
        <x:v>Leo Martinez</x:v>
      </x:c>
      <x:c r="AC1625" s="85" t="n">
        <x:f>'Raw Sales'!O1625</x:f>
        <x:v>45826</x:v>
      </x:c>
      <x:c r="AD1625" s="84" t="n">
        <x:f>AC1625-B1625</x:f>
        <x:v>0</x:v>
      </x:c>
      <x:c r="AE1625" s="84" t="str">
        <x:f>IF(COUNTIF($A$5:A1625,A1625)&gt;1,"Duplicate","Keep")</x:f>
        <x:v>Keep</x:v>
      </x:c>
      <x:c r="AF1625" s="84" t="str">
        <x:f>IF(OR(R1625&lt;=0,AC1625&lt;B1625,H1625="Unknown",M1625="Unknown Product"),"Review","Valid")</x:f>
        <x:v>Valid</x:v>
      </x:c>
      <x:c r="AG1625" s="84" t="n">
        <x:f>IF(AND(AE1625="Keep",AF1625="Valid"),1,0)</x:f>
        <x:v>1</x:v>
      </x:c>
      <x:c r="AH1625" s="84" t="n">
        <x:f>IF(AND(AG1625=1,OR('Dashboard'!$B$4="All",I1625='Dashboard'!$B$4),OR('Dashboard'!$E$4="All",N1625='Dashboard'!$E$4),OR('Dashboard'!$H$4="All",K1625='Dashboard'!$H$4),OR('Dashboard'!$K$4="All",C1625='Dashboard'!$K$4)),1,0)</x:f>
        <x:v>1</x:v>
      </x:c>
      <x:c r="AI1625" s="84" t="n">
        <x:f>IF(AND(AG1625=1,OR('Dashboard'!$B$4="All",I1625='Dashboard'!$B$4),OR('Dashboard'!$E$4="All",N1625='Dashboard'!$E$4),OR('Dashboard'!$H$4="All",K1625='Dashboard'!$H$4)),1,0)</x:f>
        <x:v>1</x:v>
      </x:c>
    </x:row>
    <x:row r="1626">
      <x:c r="A1626" s="84" t="str">
        <x:f>'Raw Sales'!A1626</x:f>
        <x:v>ORD-2025-01312</x:v>
      </x:c>
      <x:c r="B1626" s="85" t="n">
        <x:f>'Raw Sales'!B1626</x:f>
        <x:v>45826</x:v>
      </x:c>
      <x:c r="C1626" s="84" t="n">
        <x:f>YEAR(B1626)</x:f>
        <x:v>2025</x:v>
      </x:c>
      <x:c r="D1626" s="91" t="n">
        <x:f>DATE(YEAR(B1626),MONTH(B1626),1)</x:f>
        <x:v>45809</x:v>
      </x:c>
      <x:c r="E1626" s="84" t="str">
        <x:f>TEXT(B1626,"mmm")</x:f>
        <x:v>Jun</x:v>
      </x:c>
      <x:c r="F1626" s="84" t="str">
        <x:f>'Raw Sales'!C1626</x:f>
        <x:v>CUST-0449</x:v>
      </x:c>
      <x:c r="G1626" s="84" t="str">
        <x:f>PROPER(TRIM('Raw Sales'!D1626))</x:f>
        <x:v>Chloe Taylor</x:v>
      </x:c>
      <x:c r="H1626" s="84" t="str">
        <x:f>IF(TRIM('Raw Sales'!E1626)="","Unknown",PROPER(TRIM('Raw Sales'!E1626)))</x:f>
        <x:v>Corporate</x:v>
      </x:c>
      <x:c r="I1626" s="84" t="str">
        <x:f>PROPER(TRIM('Raw Sales'!F1626))</x:f>
        <x:v>West</x:v>
      </x:c>
      <x:c r="J1626" s="84" t="str">
        <x:f>PROPER(TRIM('Raw Sales'!G1626))</x:f>
        <x:v>Seattle</x:v>
      </x:c>
      <x:c r="K1626" s="84" t="str">
        <x:f>PROPER(TRIM('Raw Sales'!H1626))</x:f>
        <x:v>Retail Store</x:v>
      </x:c>
      <x:c r="L1626" s="84" t="str">
        <x:f>'Raw Sales'!I1626</x:f>
        <x:v>FITN-003</x:v>
      </x:c>
      <x:c r="M1626" s="84" t="str">
        <x:f>IFERROR(VLOOKUP(L1626,'Reference Data'!$A$5:$F$40,2,FALSE),"Unknown Product")</x:f>
        <x:v>Resistance Band Set</x:v>
      </x:c>
      <x:c r="N1626" s="84" t="str">
        <x:f>IFERROR(VLOOKUP(L1626,'Reference Data'!$A$5:$F$40,3,FALSE),"Unknown")</x:f>
        <x:v>Fitness</x:v>
      </x:c>
      <x:c r="O1626" s="84" t="str">
        <x:f>IFERROR(VLOOKUP(L1626,'Reference Data'!$A$5:$F$40,4,FALSE),"Unknown")</x:f>
        <x:v>Strength</x:v>
      </x:c>
      <x:c r="P1626" s="92" t="n">
        <x:f>IFERROR(VLOOKUP(L1626,'Reference Data'!$A$5:$F$40,5,FALSE),0)</x:f>
        <x:v>24</x:v>
      </x:c>
      <x:c r="Q1626" s="92" t="n">
        <x:f>IFERROR(VLOOKUP(L1626,'Reference Data'!$A$5:$F$40,6,FALSE),0)</x:f>
        <x:v>8</x:v>
      </x:c>
      <x:c r="R1626" s="84" t="n">
        <x:f>'Raw Sales'!J1626</x:f>
        <x:v>5</x:v>
      </x:c>
      <x:c r="S1626" s="87" t="n">
        <x:f>'Raw Sales'!K1626</x:f>
        <x:v>0.05</x:v>
      </x:c>
      <x:c r="T1626" s="93" t="n">
        <x:f>P1626*R1626</x:f>
        <x:v>120</x:v>
      </x:c>
      <x:c r="U1626" s="93" t="n">
        <x:f>T1626*S1626</x:f>
        <x:v>6</x:v>
      </x:c>
      <x:c r="V1626" s="93" t="str">
        <x:f>PROPER(TRIM('Raw Sales'!L1626))</x:f>
        <x:v>Completed</x:v>
      </x:c>
      <x:c r="W1626" s="93" t="n">
        <x:f>IF(V1626="Returned",0,T1626-U1626)</x:f>
        <x:v>114</x:v>
      </x:c>
      <x:c r="X1626" s="93" t="n">
        <x:f>IF(V1626="Returned",Q1626*R1626*10%,Q1626*R1626)</x:f>
        <x:v>40</x:v>
      </x:c>
      <x:c r="Y1626" s="93" t="n">
        <x:f>W1626-X1626</x:f>
        <x:v>74</x:v>
      </x:c>
      <x:c r="Z1626" s="94" t="n">
        <x:f>IFERROR(Y1626/W1626,0)</x:f>
        <x:v>0.6491228070175439</x:v>
      </x:c>
      <x:c r="AA1626" s="84" t="str">
        <x:f>PROPER(TRIM('Raw Sales'!M1626))</x:f>
        <x:v>Debit Card</x:v>
      </x:c>
      <x:c r="AB1626" s="84" t="str">
        <x:f>PROPER(TRIM('Raw Sales'!N1626))</x:f>
        <x:v>Leo Martinez</x:v>
      </x:c>
      <x:c r="AC1626" s="85" t="n">
        <x:f>'Raw Sales'!O1626</x:f>
        <x:v>45826</x:v>
      </x:c>
      <x:c r="AD1626" s="84" t="n">
        <x:f>AC1626-B1626</x:f>
        <x:v>0</x:v>
      </x:c>
      <x:c r="AE1626" s="84" t="str">
        <x:f>IF(COUNTIF($A$5:A1626,A1626)&gt;1,"Duplicate","Keep")</x:f>
        <x:v>Keep</x:v>
      </x:c>
      <x:c r="AF1626" s="84" t="str">
        <x:f>IF(OR(R1626&lt;=0,AC1626&lt;B1626,H1626="Unknown",M1626="Unknown Product"),"Review","Valid")</x:f>
        <x:v>Valid</x:v>
      </x:c>
      <x:c r="AG1626" s="84" t="n">
        <x:f>IF(AND(AE1626="Keep",AF1626="Valid"),1,0)</x:f>
        <x:v>1</x:v>
      </x:c>
      <x:c r="AH1626" s="84" t="n">
        <x:f>IF(AND(AG1626=1,OR('Dashboard'!$B$4="All",I1626='Dashboard'!$B$4),OR('Dashboard'!$E$4="All",N1626='Dashboard'!$E$4),OR('Dashboard'!$H$4="All",K1626='Dashboard'!$H$4),OR('Dashboard'!$K$4="All",C1626='Dashboard'!$K$4)),1,0)</x:f>
        <x:v>1</x:v>
      </x:c>
      <x:c r="AI1626" s="84" t="n">
        <x:f>IF(AND(AG1626=1,OR('Dashboard'!$B$4="All",I1626='Dashboard'!$B$4),OR('Dashboard'!$E$4="All",N1626='Dashboard'!$E$4),OR('Dashboard'!$H$4="All",K1626='Dashboard'!$H$4)),1,0)</x:f>
        <x:v>1</x:v>
      </x:c>
    </x:row>
    <x:row r="1627">
      <x:c r="A1627" s="84" t="str">
        <x:f>'Raw Sales'!A1627</x:f>
        <x:v>ORD-2025-01350</x:v>
      </x:c>
      <x:c r="B1627" s="85" t="n">
        <x:f>'Raw Sales'!B1627</x:f>
        <x:v>45826</x:v>
      </x:c>
      <x:c r="C1627" s="84" t="n">
        <x:f>YEAR(B1627)</x:f>
        <x:v>2025</x:v>
      </x:c>
      <x:c r="D1627" s="91" t="n">
        <x:f>DATE(YEAR(B1627),MONTH(B1627),1)</x:f>
        <x:v>45809</x:v>
      </x:c>
      <x:c r="E1627" s="84" t="str">
        <x:f>TEXT(B1627,"mmm")</x:f>
        <x:v>Jun</x:v>
      </x:c>
      <x:c r="F1627" s="84" t="str">
        <x:f>'Raw Sales'!C1627</x:f>
        <x:v>CUST-0174</x:v>
      </x:c>
      <x:c r="G1627" s="84" t="str">
        <x:f>PROPER(TRIM('Raw Sales'!D1627))</x:f>
        <x:v>Victoria Walker</x:v>
      </x:c>
      <x:c r="H1627" s="84" t="str">
        <x:f>IF(TRIM('Raw Sales'!E1627)="","Unknown",PROPER(TRIM('Raw Sales'!E1627)))</x:f>
        <x:v>Small Business</x:v>
      </x:c>
      <x:c r="I1627" s="84" t="str">
        <x:f>PROPER(TRIM('Raw Sales'!F1627))</x:f>
        <x:v>Northeast</x:v>
      </x:c>
      <x:c r="J1627" s="84" t="str">
        <x:f>PROPER(TRIM('Raw Sales'!G1627))</x:f>
        <x:v>New York</x:v>
      </x:c>
      <x:c r="K1627" s="84" t="str">
        <x:f>PROPER(TRIM('Raw Sales'!H1627))</x:f>
        <x:v>Online</x:v>
      </x:c>
      <x:c r="L1627" s="84" t="str">
        <x:f>'Raw Sales'!I1627</x:f>
        <x:v>ACCS-003</x:v>
      </x:c>
      <x:c r="M1627" s="84" t="str">
        <x:f>IFERROR(VLOOKUP(L1627,'Reference Data'!$A$5:$F$40,2,FALSE),"Unknown Product")</x:f>
        <x:v>Polarized Sunglasses</x:v>
      </x:c>
      <x:c r="N1627" s="84" t="str">
        <x:f>IFERROR(VLOOKUP(L1627,'Reference Data'!$A$5:$F$40,3,FALSE),"Unknown")</x:f>
        <x:v>Accessories</x:v>
      </x:c>
      <x:c r="O1627" s="84" t="str">
        <x:f>IFERROR(VLOOKUP(L1627,'Reference Data'!$A$5:$F$40,4,FALSE),"Unknown")</x:f>
        <x:v>Eyewear</x:v>
      </x:c>
      <x:c r="P1627" s="92" t="n">
        <x:f>IFERROR(VLOOKUP(L1627,'Reference Data'!$A$5:$F$40,5,FALSE),0)</x:f>
        <x:v>59</x:v>
      </x:c>
      <x:c r="Q1627" s="92" t="n">
        <x:f>IFERROR(VLOOKUP(L1627,'Reference Data'!$A$5:$F$40,6,FALSE),0)</x:f>
        <x:v>17</x:v>
      </x:c>
      <x:c r="R1627" s="84" t="n">
        <x:f>'Raw Sales'!J1627</x:f>
        <x:v>1</x:v>
      </x:c>
      <x:c r="S1627" s="87" t="n">
        <x:f>'Raw Sales'!K1627</x:f>
        <x:v>0.15</x:v>
      </x:c>
      <x:c r="T1627" s="93" t="n">
        <x:f>P1627*R1627</x:f>
        <x:v>59</x:v>
      </x:c>
      <x:c r="U1627" s="93" t="n">
        <x:f>T1627*S1627</x:f>
        <x:v>8.85</x:v>
      </x:c>
      <x:c r="V1627" s="93" t="str">
        <x:f>PROPER(TRIM('Raw Sales'!L1627))</x:f>
        <x:v>Completed</x:v>
      </x:c>
      <x:c r="W1627" s="93" t="n">
        <x:f>IF(V1627="Returned",0,T1627-U1627)</x:f>
        <x:v>50.15</x:v>
      </x:c>
      <x:c r="X1627" s="93" t="n">
        <x:f>IF(V1627="Returned",Q1627*R1627*10%,Q1627*R1627)</x:f>
        <x:v>17</x:v>
      </x:c>
      <x:c r="Y1627" s="93" t="n">
        <x:f>W1627-X1627</x:f>
        <x:v>33.15</x:v>
      </x:c>
      <x:c r="Z1627" s="94" t="n">
        <x:f>IFERROR(Y1627/W1627,0)</x:f>
        <x:v>0.6610169491525424</x:v>
      </x:c>
      <x:c r="AA1627" s="84" t="str">
        <x:f>PROPER(TRIM('Raw Sales'!M1627))</x:f>
        <x:v>Debit Card</x:v>
      </x:c>
      <x:c r="AB1627" s="84" t="str">
        <x:f>PROPER(TRIM('Raw Sales'!N1627))</x:f>
        <x:v>Ethan Cole</x:v>
      </x:c>
      <x:c r="AC1627" s="85" t="n">
        <x:f>'Raw Sales'!O1627</x:f>
        <x:v>45832</x:v>
      </x:c>
      <x:c r="AD1627" s="84" t="n">
        <x:f>AC1627-B1627</x:f>
        <x:v>6</x:v>
      </x:c>
      <x:c r="AE1627" s="84" t="str">
        <x:f>IF(COUNTIF($A$5:A1627,A1627)&gt;1,"Duplicate","Keep")</x:f>
        <x:v>Keep</x:v>
      </x:c>
      <x:c r="AF1627" s="84" t="str">
        <x:f>IF(OR(R1627&lt;=0,AC1627&lt;B1627,H1627="Unknown",M1627="Unknown Product"),"Review","Valid")</x:f>
        <x:v>Valid</x:v>
      </x:c>
      <x:c r="AG1627" s="84" t="n">
        <x:f>IF(AND(AE1627="Keep",AF1627="Valid"),1,0)</x:f>
        <x:v>1</x:v>
      </x:c>
      <x:c r="AH1627" s="84" t="n">
        <x:f>IF(AND(AG1627=1,OR('Dashboard'!$B$4="All",I1627='Dashboard'!$B$4),OR('Dashboard'!$E$4="All",N1627='Dashboard'!$E$4),OR('Dashboard'!$H$4="All",K1627='Dashboard'!$H$4),OR('Dashboard'!$K$4="All",C1627='Dashboard'!$K$4)),1,0)</x:f>
        <x:v>1</x:v>
      </x:c>
      <x:c r="AI1627" s="84" t="n">
        <x:f>IF(AND(AG1627=1,OR('Dashboard'!$B$4="All",I1627='Dashboard'!$B$4),OR('Dashboard'!$E$4="All",N1627='Dashboard'!$E$4),OR('Dashboard'!$H$4="All",K1627='Dashboard'!$H$4)),1,0)</x:f>
        <x:v>1</x:v>
      </x:c>
    </x:row>
    <x:row r="1628">
      <x:c r="A1628" s="84" t="str">
        <x:f>'Raw Sales'!A1628</x:f>
        <x:v>ORD-2025-01350</x:v>
      </x:c>
      <x:c r="B1628" s="85" t="n">
        <x:f>'Raw Sales'!B1628</x:f>
        <x:v>45826</x:v>
      </x:c>
      <x:c r="C1628" s="84" t="n">
        <x:f>YEAR(B1628)</x:f>
        <x:v>2025</x:v>
      </x:c>
      <x:c r="D1628" s="91" t="n">
        <x:f>DATE(YEAR(B1628),MONTH(B1628),1)</x:f>
        <x:v>45809</x:v>
      </x:c>
      <x:c r="E1628" s="84" t="str">
        <x:f>TEXT(B1628,"mmm")</x:f>
        <x:v>Jun</x:v>
      </x:c>
      <x:c r="F1628" s="84" t="str">
        <x:f>'Raw Sales'!C1628</x:f>
        <x:v>CUST-0174</x:v>
      </x:c>
      <x:c r="G1628" s="84" t="str">
        <x:f>PROPER(TRIM('Raw Sales'!D1628))</x:f>
        <x:v>Victoria Walker</x:v>
      </x:c>
      <x:c r="H1628" s="84" t="str">
        <x:f>IF(TRIM('Raw Sales'!E1628)="","Unknown",PROPER(TRIM('Raw Sales'!E1628)))</x:f>
        <x:v>Small Business</x:v>
      </x:c>
      <x:c r="I1628" s="84" t="str">
        <x:f>PROPER(TRIM('Raw Sales'!F1628))</x:f>
        <x:v>Northeast</x:v>
      </x:c>
      <x:c r="J1628" s="84" t="str">
        <x:f>PROPER(TRIM('Raw Sales'!G1628))</x:f>
        <x:v>New York</x:v>
      </x:c>
      <x:c r="K1628" s="84" t="str">
        <x:f>PROPER(TRIM('Raw Sales'!H1628))</x:f>
        <x:v>Online</x:v>
      </x:c>
      <x:c r="L1628" s="84" t="str">
        <x:f>'Raw Sales'!I1628</x:f>
        <x:v>ACCS-003</x:v>
      </x:c>
      <x:c r="M1628" s="84" t="str">
        <x:f>IFERROR(VLOOKUP(L1628,'Reference Data'!$A$5:$F$40,2,FALSE),"Unknown Product")</x:f>
        <x:v>Polarized Sunglasses</x:v>
      </x:c>
      <x:c r="N1628" s="84" t="str">
        <x:f>IFERROR(VLOOKUP(L1628,'Reference Data'!$A$5:$F$40,3,FALSE),"Unknown")</x:f>
        <x:v>Accessories</x:v>
      </x:c>
      <x:c r="O1628" s="84" t="str">
        <x:f>IFERROR(VLOOKUP(L1628,'Reference Data'!$A$5:$F$40,4,FALSE),"Unknown")</x:f>
        <x:v>Eyewear</x:v>
      </x:c>
      <x:c r="P1628" s="92" t="n">
        <x:f>IFERROR(VLOOKUP(L1628,'Reference Data'!$A$5:$F$40,5,FALSE),0)</x:f>
        <x:v>59</x:v>
      </x:c>
      <x:c r="Q1628" s="92" t="n">
        <x:f>IFERROR(VLOOKUP(L1628,'Reference Data'!$A$5:$F$40,6,FALSE),0)</x:f>
        <x:v>17</x:v>
      </x:c>
      <x:c r="R1628" s="84" t="n">
        <x:f>'Raw Sales'!J1628</x:f>
        <x:v>1</x:v>
      </x:c>
      <x:c r="S1628" s="87" t="n">
        <x:f>'Raw Sales'!K1628</x:f>
        <x:v>0.15</x:v>
      </x:c>
      <x:c r="T1628" s="93" t="n">
        <x:f>P1628*R1628</x:f>
        <x:v>59</x:v>
      </x:c>
      <x:c r="U1628" s="93" t="n">
        <x:f>T1628*S1628</x:f>
        <x:v>8.85</x:v>
      </x:c>
      <x:c r="V1628" s="93" t="str">
        <x:f>PROPER(TRIM('Raw Sales'!L1628))</x:f>
        <x:v>Completed</x:v>
      </x:c>
      <x:c r="W1628" s="93" t="n">
        <x:f>IF(V1628="Returned",0,T1628-U1628)</x:f>
        <x:v>50.15</x:v>
      </x:c>
      <x:c r="X1628" s="93" t="n">
        <x:f>IF(V1628="Returned",Q1628*R1628*10%,Q1628*R1628)</x:f>
        <x:v>17</x:v>
      </x:c>
      <x:c r="Y1628" s="93" t="n">
        <x:f>W1628-X1628</x:f>
        <x:v>33.15</x:v>
      </x:c>
      <x:c r="Z1628" s="94" t="n">
        <x:f>IFERROR(Y1628/W1628,0)</x:f>
        <x:v>0.6610169491525424</x:v>
      </x:c>
      <x:c r="AA1628" s="84" t="str">
        <x:f>PROPER(TRIM('Raw Sales'!M1628))</x:f>
        <x:v>Debit Card</x:v>
      </x:c>
      <x:c r="AB1628" s="84" t="str">
        <x:f>PROPER(TRIM('Raw Sales'!N1628))</x:f>
        <x:v>Ethan Cole</x:v>
      </x:c>
      <x:c r="AC1628" s="85" t="n">
        <x:f>'Raw Sales'!O1628</x:f>
        <x:v>45832</x:v>
      </x:c>
      <x:c r="AD1628" s="84" t="n">
        <x:f>AC1628-B1628</x:f>
        <x:v>6</x:v>
      </x:c>
      <x:c r="AE1628" s="84" t="str">
        <x:f>IF(COUNTIF($A$5:A1628,A1628)&gt;1,"Duplicate","Keep")</x:f>
        <x:v>Duplicate</x:v>
      </x:c>
      <x:c r="AF1628" s="84" t="str">
        <x:f>IF(OR(R1628&lt;=0,AC1628&lt;B1628,H1628="Unknown",M1628="Unknown Product"),"Review","Valid")</x:f>
        <x:v>Valid</x:v>
      </x:c>
      <x:c r="AG1628" s="84" t="n">
        <x:f>IF(AND(AE1628="Keep",AF1628="Valid"),1,0)</x:f>
        <x:v>0</x:v>
      </x:c>
      <x:c r="AH1628" s="84" t="n">
        <x:f>IF(AND(AG1628=1,OR('Dashboard'!$B$4="All",I1628='Dashboard'!$B$4),OR('Dashboard'!$E$4="All",N1628='Dashboard'!$E$4),OR('Dashboard'!$H$4="All",K1628='Dashboard'!$H$4),OR('Dashboard'!$K$4="All",C1628='Dashboard'!$K$4)),1,0)</x:f>
        <x:v>0</x:v>
      </x:c>
      <x:c r="AI1628" s="84" t="n">
        <x:f>IF(AND(AG1628=1,OR('Dashboard'!$B$4="All",I1628='Dashboard'!$B$4),OR('Dashboard'!$E$4="All",N1628='Dashboard'!$E$4),OR('Dashboard'!$H$4="All",K1628='Dashboard'!$H$4)),1,0)</x:f>
        <x:v>0</x:v>
      </x:c>
    </x:row>
    <x:row r="1629">
      <x:c r="A1629" s="84" t="str">
        <x:f>'Raw Sales'!A1629</x:f>
        <x:v>ORD-2025-01605</x:v>
      </x:c>
      <x:c r="B1629" s="85" t="n">
        <x:f>'Raw Sales'!B1629</x:f>
        <x:v>45826</x:v>
      </x:c>
      <x:c r="C1629" s="84" t="n">
        <x:f>YEAR(B1629)</x:f>
        <x:v>2025</x:v>
      </x:c>
      <x:c r="D1629" s="91" t="n">
        <x:f>DATE(YEAR(B1629),MONTH(B1629),1)</x:f>
        <x:v>45809</x:v>
      </x:c>
      <x:c r="E1629" s="84" t="str">
        <x:f>TEXT(B1629,"mmm")</x:f>
        <x:v>Jun</x:v>
      </x:c>
      <x:c r="F1629" s="84" t="str">
        <x:f>'Raw Sales'!C1629</x:f>
        <x:v>CUST-0199</x:v>
      </x:c>
      <x:c r="G1629" s="84" t="str">
        <x:f>PROPER(TRIM('Raw Sales'!D1629))</x:f>
        <x:v>Theo Adams</x:v>
      </x:c>
      <x:c r="H1629" s="84" t="str">
        <x:f>IF(TRIM('Raw Sales'!E1629)="","Unknown",PROPER(TRIM('Raw Sales'!E1629)))</x:f>
        <x:v>Corporate</x:v>
      </x:c>
      <x:c r="I1629" s="84" t="str">
        <x:f>PROPER(TRIM('Raw Sales'!F1629))</x:f>
        <x:v>Northeast</x:v>
      </x:c>
      <x:c r="J1629" s="84" t="str">
        <x:f>PROPER(TRIM('Raw Sales'!G1629))</x:f>
        <x:v>Philadelphia</x:v>
      </x:c>
      <x:c r="K1629" s="84" t="str">
        <x:f>PROPER(TRIM('Raw Sales'!H1629))</x:f>
        <x:v>Retail Store</x:v>
      </x:c>
      <x:c r="L1629" s="84" t="str">
        <x:f>'Raw Sales'!I1629</x:f>
        <x:v>FITN-001</x:v>
      </x:c>
      <x:c r="M1629" s="84" t="str">
        <x:f>IFERROR(VLOOKUP(L1629,'Reference Data'!$A$5:$F$40,2,FALSE),"Unknown Product")</x:f>
        <x:v>Yoga Mat</x:v>
      </x:c>
      <x:c r="N1629" s="84" t="str">
        <x:f>IFERROR(VLOOKUP(L1629,'Reference Data'!$A$5:$F$40,3,FALSE),"Unknown")</x:f>
        <x:v>Fitness</x:v>
      </x:c>
      <x:c r="O1629" s="84" t="str">
        <x:f>IFERROR(VLOOKUP(L1629,'Reference Data'!$A$5:$F$40,4,FALSE),"Unknown")</x:f>
        <x:v>Yoga</x:v>
      </x:c>
      <x:c r="P1629" s="92" t="n">
        <x:f>IFERROR(VLOOKUP(L1629,'Reference Data'!$A$5:$F$40,5,FALSE),0)</x:f>
        <x:v>35</x:v>
      </x:c>
      <x:c r="Q1629" s="92" t="n">
        <x:f>IFERROR(VLOOKUP(L1629,'Reference Data'!$A$5:$F$40,6,FALSE),0)</x:f>
        <x:v>13</x:v>
      </x:c>
      <x:c r="R1629" s="84" t="n">
        <x:f>'Raw Sales'!J1629</x:f>
        <x:v>4</x:v>
      </x:c>
      <x:c r="S1629" s="87" t="n">
        <x:f>'Raw Sales'!K1629</x:f>
        <x:v>0.05</x:v>
      </x:c>
      <x:c r="T1629" s="93" t="n">
        <x:f>P1629*R1629</x:f>
        <x:v>140</x:v>
      </x:c>
      <x:c r="U1629" s="93" t="n">
        <x:f>T1629*S1629</x:f>
        <x:v>7</x:v>
      </x:c>
      <x:c r="V1629" s="93" t="str">
        <x:f>PROPER(TRIM('Raw Sales'!L1629))</x:f>
        <x:v>Returned</x:v>
      </x:c>
      <x:c r="W1629" s="93" t="n">
        <x:f>IF(V1629="Returned",0,T1629-U1629)</x:f>
        <x:v>0</x:v>
      </x:c>
      <x:c r="X1629" s="93" t="n">
        <x:f>IF(V1629="Returned",Q1629*R1629*10%,Q1629*R1629)</x:f>
        <x:v>5.2</x:v>
      </x:c>
      <x:c r="Y1629" s="93" t="n">
        <x:f>W1629-X1629</x:f>
        <x:v>-5.2</x:v>
      </x:c>
      <x:c r="Z1629" s="94" t="n">
        <x:f>IFERROR(Y1629/W1629,0)</x:f>
        <x:v>0</x:v>
      </x:c>
      <x:c r="AA1629" s="84" t="str">
        <x:f>PROPER(TRIM('Raw Sales'!M1629))</x:f>
        <x:v>Cash</x:v>
      </x:c>
      <x:c r="AB1629" s="84" t="str">
        <x:f>PROPER(TRIM('Raw Sales'!N1629))</x:f>
        <x:v>Maya Brooks</x:v>
      </x:c>
      <x:c r="AC1629" s="85" t="n">
        <x:f>'Raw Sales'!O1629</x:f>
        <x:v>45826</x:v>
      </x:c>
      <x:c r="AD1629" s="84" t="n">
        <x:f>AC1629-B1629</x:f>
        <x:v>0</x:v>
      </x:c>
      <x:c r="AE1629" s="84" t="str">
        <x:f>IF(COUNTIF($A$5:A1629,A1629)&gt;1,"Duplicate","Keep")</x:f>
        <x:v>Keep</x:v>
      </x:c>
      <x:c r="AF1629" s="84" t="str">
        <x:f>IF(OR(R1629&lt;=0,AC1629&lt;B1629,H1629="Unknown",M1629="Unknown Product"),"Review","Valid")</x:f>
        <x:v>Valid</x:v>
      </x:c>
      <x:c r="AG1629" s="84" t="n">
        <x:f>IF(AND(AE1629="Keep",AF1629="Valid"),1,0)</x:f>
        <x:v>1</x:v>
      </x:c>
      <x:c r="AH1629" s="84" t="n">
        <x:f>IF(AND(AG1629=1,OR('Dashboard'!$B$4="All",I1629='Dashboard'!$B$4),OR('Dashboard'!$E$4="All",N1629='Dashboard'!$E$4),OR('Dashboard'!$H$4="All",K1629='Dashboard'!$H$4),OR('Dashboard'!$K$4="All",C1629='Dashboard'!$K$4)),1,0)</x:f>
        <x:v>1</x:v>
      </x:c>
      <x:c r="AI1629" s="84" t="n">
        <x:f>IF(AND(AG1629=1,OR('Dashboard'!$B$4="All",I1629='Dashboard'!$B$4),OR('Dashboard'!$E$4="All",N1629='Dashboard'!$E$4),OR('Dashboard'!$H$4="All",K1629='Dashboard'!$H$4)),1,0)</x:f>
        <x:v>1</x:v>
      </x:c>
    </x:row>
    <x:row r="1630">
      <x:c r="A1630" s="84" t="str">
        <x:f>'Raw Sales'!A1630</x:f>
        <x:v>ORD-2025-01795</x:v>
      </x:c>
      <x:c r="B1630" s="85" t="n">
        <x:f>'Raw Sales'!B1630</x:f>
        <x:v>45826</x:v>
      </x:c>
      <x:c r="C1630" s="84" t="n">
        <x:f>YEAR(B1630)</x:f>
        <x:v>2025</x:v>
      </x:c>
      <x:c r="D1630" s="91" t="n">
        <x:f>DATE(YEAR(B1630),MONTH(B1630),1)</x:f>
        <x:v>45809</x:v>
      </x:c>
      <x:c r="E1630" s="84" t="str">
        <x:f>TEXT(B1630,"mmm")</x:f>
        <x:v>Jun</x:v>
      </x:c>
      <x:c r="F1630" s="84" t="str">
        <x:f>'Raw Sales'!C1630</x:f>
        <x:v>CUST-0012</x:v>
      </x:c>
      <x:c r="G1630" s="84" t="str">
        <x:f>PROPER(TRIM('Raw Sales'!D1630))</x:f>
        <x:v>William Lewis</x:v>
      </x:c>
      <x:c r="H1630" s="84" t="str">
        <x:f>IF(TRIM('Raw Sales'!E1630)="","Unknown",PROPER(TRIM('Raw Sales'!E1630)))</x:f>
        <x:v>Consumer</x:v>
      </x:c>
      <x:c r="I1630" s="84" t="str">
        <x:f>PROPER(TRIM('Raw Sales'!F1630))</x:f>
        <x:v>West</x:v>
      </x:c>
      <x:c r="J1630" s="84" t="str">
        <x:f>PROPER(TRIM('Raw Sales'!G1630))</x:f>
        <x:v>Denver</x:v>
      </x:c>
      <x:c r="K1630" s="84" t="str">
        <x:f>PROPER(TRIM('Raw Sales'!H1630))</x:f>
        <x:v>Online</x:v>
      </x:c>
      <x:c r="L1630" s="84" t="str">
        <x:f>'Raw Sales'!I1630</x:f>
        <x:v>OFFC-005</x:v>
      </x:c>
      <x:c r="M1630" s="84" t="str">
        <x:f>IFERROR(VLOOKUP(L1630,'Reference Data'!$A$5:$F$40,2,FALSE),"Unknown Product")</x:f>
        <x:v>Wireless Keyboard</x:v>
      </x:c>
      <x:c r="N1630" s="84" t="str">
        <x:f>IFERROR(VLOOKUP(L1630,'Reference Data'!$A$5:$F$40,3,FALSE),"Unknown")</x:f>
        <x:v>Office</x:v>
      </x:c>
      <x:c r="O1630" s="84" t="str">
        <x:f>IFERROR(VLOOKUP(L1630,'Reference Data'!$A$5:$F$40,4,FALSE),"Unknown")</x:f>
        <x:v>Computer Accessories</x:v>
      </x:c>
      <x:c r="P1630" s="92" t="n">
        <x:f>IFERROR(VLOOKUP(L1630,'Reference Data'!$A$5:$F$40,5,FALSE),0)</x:f>
        <x:v>59</x:v>
      </x:c>
      <x:c r="Q1630" s="92" t="n">
        <x:f>IFERROR(VLOOKUP(L1630,'Reference Data'!$A$5:$F$40,6,FALSE),0)</x:f>
        <x:v>28</x:v>
      </x:c>
      <x:c r="R1630" s="84" t="n">
        <x:f>'Raw Sales'!J1630</x:f>
        <x:v>2</x:v>
      </x:c>
      <x:c r="S1630" s="87" t="n">
        <x:f>'Raw Sales'!K1630</x:f>
        <x:v>0</x:v>
      </x:c>
      <x:c r="T1630" s="93" t="n">
        <x:f>P1630*R1630</x:f>
        <x:v>118</x:v>
      </x:c>
      <x:c r="U1630" s="93" t="n">
        <x:f>T1630*S1630</x:f>
        <x:v>0</x:v>
      </x:c>
      <x:c r="V1630" s="93" t="str">
        <x:f>PROPER(TRIM('Raw Sales'!L1630))</x:f>
        <x:v>Completed</x:v>
      </x:c>
      <x:c r="W1630" s="93" t="n">
        <x:f>IF(V1630="Returned",0,T1630-U1630)</x:f>
        <x:v>118</x:v>
      </x:c>
      <x:c r="X1630" s="93" t="n">
        <x:f>IF(V1630="Returned",Q1630*R1630*10%,Q1630*R1630)</x:f>
        <x:v>56</x:v>
      </x:c>
      <x:c r="Y1630" s="93" t="n">
        <x:f>W1630-X1630</x:f>
        <x:v>62</x:v>
      </x:c>
      <x:c r="Z1630" s="94" t="n">
        <x:f>IFERROR(Y1630/W1630,0)</x:f>
        <x:v>0.5254237288135594</x:v>
      </x:c>
      <x:c r="AA1630" s="84" t="str">
        <x:f>PROPER(TRIM('Raw Sales'!M1630))</x:f>
        <x:v>Debit Card</x:v>
      </x:c>
      <x:c r="AB1630" s="84" t="str">
        <x:f>PROPER(TRIM('Raw Sales'!N1630))</x:f>
        <x:v>Nora Kim</x:v>
      </x:c>
      <x:c r="AC1630" s="85" t="n">
        <x:f>'Raw Sales'!O1630</x:f>
        <x:v>45831</x:v>
      </x:c>
      <x:c r="AD1630" s="84" t="n">
        <x:f>AC1630-B1630</x:f>
        <x:v>5</x:v>
      </x:c>
      <x:c r="AE1630" s="84" t="str">
        <x:f>IF(COUNTIF($A$5:A1630,A1630)&gt;1,"Duplicate","Keep")</x:f>
        <x:v>Keep</x:v>
      </x:c>
      <x:c r="AF1630" s="84" t="str">
        <x:f>IF(OR(R1630&lt;=0,AC1630&lt;B1630,H1630="Unknown",M1630="Unknown Product"),"Review","Valid")</x:f>
        <x:v>Valid</x:v>
      </x:c>
      <x:c r="AG1630" s="84" t="n">
        <x:f>IF(AND(AE1630="Keep",AF1630="Valid"),1,0)</x:f>
        <x:v>1</x:v>
      </x:c>
      <x:c r="AH1630" s="84" t="n">
        <x:f>IF(AND(AG1630=1,OR('Dashboard'!$B$4="All",I1630='Dashboard'!$B$4),OR('Dashboard'!$E$4="All",N1630='Dashboard'!$E$4),OR('Dashboard'!$H$4="All",K1630='Dashboard'!$H$4),OR('Dashboard'!$K$4="All",C1630='Dashboard'!$K$4)),1,0)</x:f>
        <x:v>1</x:v>
      </x:c>
      <x:c r="AI1630" s="84" t="n">
        <x:f>IF(AND(AG1630=1,OR('Dashboard'!$B$4="All",I1630='Dashboard'!$B$4),OR('Dashboard'!$E$4="All",N1630='Dashboard'!$E$4),OR('Dashboard'!$H$4="All",K1630='Dashboard'!$H$4)),1,0)</x:f>
        <x:v>1</x:v>
      </x:c>
    </x:row>
    <x:row r="1631">
      <x:c r="A1631" s="84" t="str">
        <x:f>'Raw Sales'!A1631</x:f>
        <x:v>ORD-2025-02265</x:v>
      </x:c>
      <x:c r="B1631" s="85" t="n">
        <x:f>'Raw Sales'!B1631</x:f>
        <x:v>45826</x:v>
      </x:c>
      <x:c r="C1631" s="84" t="n">
        <x:f>YEAR(B1631)</x:f>
        <x:v>2025</x:v>
      </x:c>
      <x:c r="D1631" s="91" t="n">
        <x:f>DATE(YEAR(B1631),MONTH(B1631),1)</x:f>
        <x:v>45809</x:v>
      </x:c>
      <x:c r="E1631" s="84" t="str">
        <x:f>TEXT(B1631,"mmm")</x:f>
        <x:v>Jun</x:v>
      </x:c>
      <x:c r="F1631" s="84" t="str">
        <x:f>'Raw Sales'!C1631</x:f>
        <x:v>CUST-0428</x:v>
      </x:c>
      <x:c r="G1631" s="84" t="str">
        <x:f>PROPER(TRIM('Raw Sales'!D1631))</x:f>
        <x:v>Theo Taylor</x:v>
      </x:c>
      <x:c r="H1631" s="84" t="str">
        <x:f>IF(TRIM('Raw Sales'!E1631)="","Unknown",PROPER(TRIM('Raw Sales'!E1631)))</x:f>
        <x:v>Consumer</x:v>
      </x:c>
      <x:c r="I1631" s="84" t="str">
        <x:f>PROPER(TRIM('Raw Sales'!F1631))</x:f>
        <x:v>Midwest</x:v>
      </x:c>
      <x:c r="J1631" s="84" t="str">
        <x:f>PROPER(TRIM('Raw Sales'!G1631))</x:f>
        <x:v>Chicago</x:v>
      </x:c>
      <x:c r="K1631" s="84" t="str">
        <x:f>PROPER(TRIM('Raw Sales'!H1631))</x:f>
        <x:v>Marketplace</x:v>
      </x:c>
      <x:c r="L1631" s="84" t="str">
        <x:f>'Raw Sales'!I1631</x:f>
        <x:v>HOME-003</x:v>
      </x:c>
      <x:c r="M1631" s="84" t="str">
        <x:f>IFERROR(VLOOKUP(L1631,'Reference Data'!$A$5:$F$40,2,FALSE),"Unknown Product")</x:f>
        <x:v>Countertop Blender</x:v>
      </x:c>
      <x:c r="N1631" s="84" t="str">
        <x:f>IFERROR(VLOOKUP(L1631,'Reference Data'!$A$5:$F$40,3,FALSE),"Unknown")</x:f>
        <x:v>Home &amp; Kitchen</x:v>
      </x:c>
      <x:c r="O1631" s="84" t="str">
        <x:f>IFERROR(VLOOKUP(L1631,'Reference Data'!$A$5:$F$40,4,FALSE),"Unknown")</x:f>
        <x:v>Small Appliances</x:v>
      </x:c>
      <x:c r="P1631" s="92" t="n">
        <x:f>IFERROR(VLOOKUP(L1631,'Reference Data'!$A$5:$F$40,5,FALSE),0)</x:f>
        <x:v>89</x:v>
      </x:c>
      <x:c r="Q1631" s="92" t="n">
        <x:f>IFERROR(VLOOKUP(L1631,'Reference Data'!$A$5:$F$40,6,FALSE),0)</x:f>
        <x:v>46</x:v>
      </x:c>
      <x:c r="R1631" s="84" t="n">
        <x:f>'Raw Sales'!J1631</x:f>
        <x:v>1</x:v>
      </x:c>
      <x:c r="S1631" s="87" t="n">
        <x:f>'Raw Sales'!K1631</x:f>
        <x:v>0.1</x:v>
      </x:c>
      <x:c r="T1631" s="93" t="n">
        <x:f>P1631*R1631</x:f>
        <x:v>89</x:v>
      </x:c>
      <x:c r="U1631" s="93" t="n">
        <x:f>T1631*S1631</x:f>
        <x:v>8.9</x:v>
      </x:c>
      <x:c r="V1631" s="93" t="str">
        <x:f>PROPER(TRIM('Raw Sales'!L1631))</x:f>
        <x:v>Completed</x:v>
      </x:c>
      <x:c r="W1631" s="93" t="n">
        <x:f>IF(V1631="Returned",0,T1631-U1631)</x:f>
        <x:v>80.1</x:v>
      </x:c>
      <x:c r="X1631" s="93" t="n">
        <x:f>IF(V1631="Returned",Q1631*R1631*10%,Q1631*R1631)</x:f>
        <x:v>46</x:v>
      </x:c>
      <x:c r="Y1631" s="93" t="n">
        <x:f>W1631-X1631</x:f>
        <x:v>34.099999999999994</x:v>
      </x:c>
      <x:c r="Z1631" s="94" t="n">
        <x:f>IFERROR(Y1631/W1631,0)</x:f>
        <x:v>0.4257178526841448</x:v>
      </x:c>
      <x:c r="AA1631" s="84" t="str">
        <x:f>PROPER(TRIM('Raw Sales'!M1631))</x:f>
        <x:v>Credit Card</x:v>
      </x:c>
      <x:c r="AB1631" s="84" t="str">
        <x:f>PROPER(TRIM('Raw Sales'!N1631))</x:f>
        <x:v>Emma Hayes</x:v>
      </x:c>
      <x:c r="AC1631" s="85" t="n">
        <x:f>'Raw Sales'!O1631</x:f>
        <x:v>45832</x:v>
      </x:c>
      <x:c r="AD1631" s="84" t="n">
        <x:f>AC1631-B1631</x:f>
        <x:v>6</x:v>
      </x:c>
      <x:c r="AE1631" s="84" t="str">
        <x:f>IF(COUNTIF($A$5:A1631,A1631)&gt;1,"Duplicate","Keep")</x:f>
        <x:v>Keep</x:v>
      </x:c>
      <x:c r="AF1631" s="84" t="str">
        <x:f>IF(OR(R1631&lt;=0,AC1631&lt;B1631,H1631="Unknown",M1631="Unknown Product"),"Review","Valid")</x:f>
        <x:v>Valid</x:v>
      </x:c>
      <x:c r="AG1631" s="84" t="n">
        <x:f>IF(AND(AE1631="Keep",AF1631="Valid"),1,0)</x:f>
        <x:v>1</x:v>
      </x:c>
      <x:c r="AH1631" s="84" t="n">
        <x:f>IF(AND(AG1631=1,OR('Dashboard'!$B$4="All",I1631='Dashboard'!$B$4),OR('Dashboard'!$E$4="All",N1631='Dashboard'!$E$4),OR('Dashboard'!$H$4="All",K1631='Dashboard'!$H$4),OR('Dashboard'!$K$4="All",C1631='Dashboard'!$K$4)),1,0)</x:f>
        <x:v>1</x:v>
      </x:c>
      <x:c r="AI1631" s="84" t="n">
        <x:f>IF(AND(AG1631=1,OR('Dashboard'!$B$4="All",I1631='Dashboard'!$B$4),OR('Dashboard'!$E$4="All",N1631='Dashboard'!$E$4),OR('Dashboard'!$H$4="All",K1631='Dashboard'!$H$4)),1,0)</x:f>
        <x:v>1</x:v>
      </x:c>
    </x:row>
    <x:row r="1632">
      <x:c r="A1632" s="84" t="str">
        <x:f>'Raw Sales'!A1632</x:f>
        <x:v>ORD-2025-00603</x:v>
      </x:c>
      <x:c r="B1632" s="85" t="n">
        <x:f>'Raw Sales'!B1632</x:f>
        <x:v>45827</x:v>
      </x:c>
      <x:c r="C1632" s="84" t="n">
        <x:f>YEAR(B1632)</x:f>
        <x:v>2025</x:v>
      </x:c>
      <x:c r="D1632" s="91" t="n">
        <x:f>DATE(YEAR(B1632),MONTH(B1632),1)</x:f>
        <x:v>45809</x:v>
      </x:c>
      <x:c r="E1632" s="84" t="str">
        <x:f>TEXT(B1632,"mmm")</x:f>
        <x:v>Jun</x:v>
      </x:c>
      <x:c r="F1632" s="84" t="str">
        <x:f>'Raw Sales'!C1632</x:f>
        <x:v>CUST-0405</x:v>
      </x:c>
      <x:c r="G1632" s="84" t="str">
        <x:f>PROPER(TRIM('Raw Sales'!D1632))</x:f>
        <x:v>Daniel Irwin</x:v>
      </x:c>
      <x:c r="H1632" s="84" t="str">
        <x:f>IF(TRIM('Raw Sales'!E1632)="","Unknown",PROPER(TRIM('Raw Sales'!E1632)))</x:f>
        <x:v>Corporate</x:v>
      </x:c>
      <x:c r="I1632" s="84" t="str">
        <x:f>PROPER(TRIM('Raw Sales'!F1632))</x:f>
        <x:v>West</x:v>
      </x:c>
      <x:c r="J1632" s="84" t="str">
        <x:f>PROPER(TRIM('Raw Sales'!G1632))</x:f>
        <x:v>Seattle</x:v>
      </x:c>
      <x:c r="K1632" s="84" t="str">
        <x:f>PROPER(TRIM('Raw Sales'!H1632))</x:f>
        <x:v>Online</x:v>
      </x:c>
      <x:c r="L1632" s="84" t="str">
        <x:f>'Raw Sales'!I1632</x:f>
        <x:v>ELEC-002</x:v>
      </x:c>
      <x:c r="M1632" s="84" t="str">
        <x:f>IFERROR(VLOOKUP(L1632,'Reference Data'!$A$5:$F$40,2,FALSE),"Unknown Product")</x:f>
        <x:v>Smartwatch</x:v>
      </x:c>
      <x:c r="N1632" s="84" t="str">
        <x:f>IFERROR(VLOOKUP(L1632,'Reference Data'!$A$5:$F$40,3,FALSE),"Unknown")</x:f>
        <x:v>Electronics</x:v>
      </x:c>
      <x:c r="O1632" s="84" t="str">
        <x:f>IFERROR(VLOOKUP(L1632,'Reference Data'!$A$5:$F$40,4,FALSE),"Unknown")</x:f>
        <x:v>Wearables</x:v>
      </x:c>
      <x:c r="P1632" s="92" t="n">
        <x:f>IFERROR(VLOOKUP(L1632,'Reference Data'!$A$5:$F$40,5,FALSE),0)</x:f>
        <x:v>159</x:v>
      </x:c>
      <x:c r="Q1632" s="92" t="n">
        <x:f>IFERROR(VLOOKUP(L1632,'Reference Data'!$A$5:$F$40,6,FALSE),0)</x:f>
        <x:v>92</x:v>
      </x:c>
      <x:c r="R1632" s="84" t="n">
        <x:f>'Raw Sales'!J1632</x:f>
        <x:v>2</x:v>
      </x:c>
      <x:c r="S1632" s="87" t="n">
        <x:f>'Raw Sales'!K1632</x:f>
        <x:v>0.1</x:v>
      </x:c>
      <x:c r="T1632" s="93" t="n">
        <x:f>P1632*R1632</x:f>
        <x:v>318</x:v>
      </x:c>
      <x:c r="U1632" s="93" t="n">
        <x:f>T1632*S1632</x:f>
        <x:v>31.8</x:v>
      </x:c>
      <x:c r="V1632" s="93" t="str">
        <x:f>PROPER(TRIM('Raw Sales'!L1632))</x:f>
        <x:v>Completed</x:v>
      </x:c>
      <x:c r="W1632" s="93" t="n">
        <x:f>IF(V1632="Returned",0,T1632-U1632)</x:f>
        <x:v>286.2</x:v>
      </x:c>
      <x:c r="X1632" s="93" t="n">
        <x:f>IF(V1632="Returned",Q1632*R1632*10%,Q1632*R1632)</x:f>
        <x:v>184</x:v>
      </x:c>
      <x:c r="Y1632" s="93" t="n">
        <x:f>W1632-X1632</x:f>
        <x:v>102.19999999999999</x:v>
      </x:c>
      <x:c r="Z1632" s="94" t="n">
        <x:f>IFERROR(Y1632/W1632,0)</x:f>
        <x:v>0.35709294199860236</x:v>
      </x:c>
      <x:c r="AA1632" s="84" t="str">
        <x:f>PROPER(TRIM('Raw Sales'!M1632))</x:f>
        <x:v>Credit Card</x:v>
      </x:c>
      <x:c r="AB1632" s="84" t="str">
        <x:f>PROPER(TRIM('Raw Sales'!N1632))</x:f>
        <x:v>Mia Chen</x:v>
      </x:c>
      <x:c r="AC1632" s="85" t="n">
        <x:f>'Raw Sales'!O1632</x:f>
        <x:v>45830</x:v>
      </x:c>
      <x:c r="AD1632" s="84" t="n">
        <x:f>AC1632-B1632</x:f>
        <x:v>3</x:v>
      </x:c>
      <x:c r="AE1632" s="84" t="str">
        <x:f>IF(COUNTIF($A$5:A1632,A1632)&gt;1,"Duplicate","Keep")</x:f>
        <x:v>Keep</x:v>
      </x:c>
      <x:c r="AF1632" s="84" t="str">
        <x:f>IF(OR(R1632&lt;=0,AC1632&lt;B1632,H1632="Unknown",M1632="Unknown Product"),"Review","Valid")</x:f>
        <x:v>Valid</x:v>
      </x:c>
      <x:c r="AG1632" s="84" t="n">
        <x:f>IF(AND(AE1632="Keep",AF1632="Valid"),1,0)</x:f>
        <x:v>1</x:v>
      </x:c>
      <x:c r="AH1632" s="84" t="n">
        <x:f>IF(AND(AG1632=1,OR('Dashboard'!$B$4="All",I1632='Dashboard'!$B$4),OR('Dashboard'!$E$4="All",N1632='Dashboard'!$E$4),OR('Dashboard'!$H$4="All",K1632='Dashboard'!$H$4),OR('Dashboard'!$K$4="All",C1632='Dashboard'!$K$4)),1,0)</x:f>
        <x:v>1</x:v>
      </x:c>
      <x:c r="AI1632" s="84" t="n">
        <x:f>IF(AND(AG1632=1,OR('Dashboard'!$B$4="All",I1632='Dashboard'!$B$4),OR('Dashboard'!$E$4="All",N1632='Dashboard'!$E$4),OR('Dashboard'!$H$4="All",K1632='Dashboard'!$H$4)),1,0)</x:f>
        <x:v>1</x:v>
      </x:c>
    </x:row>
    <x:row r="1633">
      <x:c r="A1633" s="84" t="str">
        <x:f>'Raw Sales'!A1633</x:f>
        <x:v>ORD-2025-00907</x:v>
      </x:c>
      <x:c r="B1633" s="85" t="n">
        <x:f>'Raw Sales'!B1633</x:f>
        <x:v>45827</x:v>
      </x:c>
      <x:c r="C1633" s="84" t="n">
        <x:f>YEAR(B1633)</x:f>
        <x:v>2025</x:v>
      </x:c>
      <x:c r="D1633" s="91" t="n">
        <x:f>DATE(YEAR(B1633),MONTH(B1633),1)</x:f>
        <x:v>45809</x:v>
      </x:c>
      <x:c r="E1633" s="84" t="str">
        <x:f>TEXT(B1633,"mmm")</x:f>
        <x:v>Jun</x:v>
      </x:c>
      <x:c r="F1633" s="84" t="str">
        <x:f>'Raw Sales'!C1633</x:f>
        <x:v>CUST-0202</x:v>
      </x:c>
      <x:c r="G1633" s="84" t="str">
        <x:f>PROPER(TRIM('Raw Sales'!D1633))</x:f>
        <x:v>Jasmine Garcia</x:v>
      </x:c>
      <x:c r="H1633" s="84" t="str">
        <x:f>IF(TRIM('Raw Sales'!E1633)="","Unknown",PROPER(TRIM('Raw Sales'!E1633)))</x:f>
        <x:v>Small Business</x:v>
      </x:c>
      <x:c r="I1633" s="84" t="str">
        <x:f>PROPER(TRIM('Raw Sales'!F1633))</x:f>
        <x:v>Midwest</x:v>
      </x:c>
      <x:c r="J1633" s="84" t="str">
        <x:f>PROPER(TRIM('Raw Sales'!G1633))</x:f>
        <x:v>Detroit</x:v>
      </x:c>
      <x:c r="K1633" s="84" t="str">
        <x:f>PROPER(TRIM('Raw Sales'!H1633))</x:f>
        <x:v>Retail Store</x:v>
      </x:c>
      <x:c r="L1633" s="84" t="str">
        <x:f>'Raw Sales'!I1633</x:f>
        <x:v>HOME-004</x:v>
      </x:c>
      <x:c r="M1633" s="84" t="str">
        <x:f>IFERROR(VLOOKUP(L1633,'Reference Data'!$A$5:$F$40,2,FALSE),"Unknown Product")</x:f>
        <x:v>Coffee Maker</x:v>
      </x:c>
      <x:c r="N1633" s="84" t="str">
        <x:f>IFERROR(VLOOKUP(L1633,'Reference Data'!$A$5:$F$40,3,FALSE),"Unknown")</x:f>
        <x:v>Home &amp; Kitchen</x:v>
      </x:c>
      <x:c r="O1633" s="84" t="str">
        <x:f>IFERROR(VLOOKUP(L1633,'Reference Data'!$A$5:$F$40,4,FALSE),"Unknown")</x:f>
        <x:v>Small Appliances</x:v>
      </x:c>
      <x:c r="P1633" s="92" t="n">
        <x:f>IFERROR(VLOOKUP(L1633,'Reference Data'!$A$5:$F$40,5,FALSE),0)</x:f>
        <x:v>99</x:v>
      </x:c>
      <x:c r="Q1633" s="92" t="n">
        <x:f>IFERROR(VLOOKUP(L1633,'Reference Data'!$A$5:$F$40,6,FALSE),0)</x:f>
        <x:v>51</x:v>
      </x:c>
      <x:c r="R1633" s="84" t="n">
        <x:f>'Raw Sales'!J1633</x:f>
        <x:v>1</x:v>
      </x:c>
      <x:c r="S1633" s="87" t="n">
        <x:f>'Raw Sales'!K1633</x:f>
        <x:v>0.1</x:v>
      </x:c>
      <x:c r="T1633" s="93" t="n">
        <x:f>P1633*R1633</x:f>
        <x:v>99</x:v>
      </x:c>
      <x:c r="U1633" s="93" t="n">
        <x:f>T1633*S1633</x:f>
        <x:v>9.9</x:v>
      </x:c>
      <x:c r="V1633" s="93" t="str">
        <x:f>PROPER(TRIM('Raw Sales'!L1633))</x:f>
        <x:v>Completed</x:v>
      </x:c>
      <x:c r="W1633" s="93" t="n">
        <x:f>IF(V1633="Returned",0,T1633-U1633)</x:f>
        <x:v>89.1</x:v>
      </x:c>
      <x:c r="X1633" s="93" t="n">
        <x:f>IF(V1633="Returned",Q1633*R1633*10%,Q1633*R1633)</x:f>
        <x:v>51</x:v>
      </x:c>
      <x:c r="Y1633" s="93" t="n">
        <x:f>W1633-X1633</x:f>
        <x:v>38.099999999999994</x:v>
      </x:c>
      <x:c r="Z1633" s="94" t="n">
        <x:f>IFERROR(Y1633/W1633,0)</x:f>
        <x:v>0.42760942760942755</x:v>
      </x:c>
      <x:c r="AA1633" s="84" t="str">
        <x:f>PROPER(TRIM('Raw Sales'!M1633))</x:f>
        <x:v>Cash</x:v>
      </x:c>
      <x:c r="AB1633" s="84" t="str">
        <x:f>PROPER(TRIM('Raw Sales'!N1633))</x:f>
        <x:v>Emma Hayes</x:v>
      </x:c>
      <x:c r="AC1633" s="85" t="n">
        <x:f>'Raw Sales'!O1633</x:f>
        <x:v>45827</x:v>
      </x:c>
      <x:c r="AD1633" s="84" t="n">
        <x:f>AC1633-B1633</x:f>
        <x:v>0</x:v>
      </x:c>
      <x:c r="AE1633" s="84" t="str">
        <x:f>IF(COUNTIF($A$5:A1633,A1633)&gt;1,"Duplicate","Keep")</x:f>
        <x:v>Keep</x:v>
      </x:c>
      <x:c r="AF1633" s="84" t="str">
        <x:f>IF(OR(R1633&lt;=0,AC1633&lt;B1633,H1633="Unknown",M1633="Unknown Product"),"Review","Valid")</x:f>
        <x:v>Valid</x:v>
      </x:c>
      <x:c r="AG1633" s="84" t="n">
        <x:f>IF(AND(AE1633="Keep",AF1633="Valid"),1,0)</x:f>
        <x:v>1</x:v>
      </x:c>
      <x:c r="AH1633" s="84" t="n">
        <x:f>IF(AND(AG1633=1,OR('Dashboard'!$B$4="All",I1633='Dashboard'!$B$4),OR('Dashboard'!$E$4="All",N1633='Dashboard'!$E$4),OR('Dashboard'!$H$4="All",K1633='Dashboard'!$H$4),OR('Dashboard'!$K$4="All",C1633='Dashboard'!$K$4)),1,0)</x:f>
        <x:v>1</x:v>
      </x:c>
      <x:c r="AI1633" s="84" t="n">
        <x:f>IF(AND(AG1633=1,OR('Dashboard'!$B$4="All",I1633='Dashboard'!$B$4),OR('Dashboard'!$E$4="All",N1633='Dashboard'!$E$4),OR('Dashboard'!$H$4="All",K1633='Dashboard'!$H$4)),1,0)</x:f>
        <x:v>1</x:v>
      </x:c>
    </x:row>
    <x:row r="1634">
      <x:c r="A1634" s="84" t="str">
        <x:f>'Raw Sales'!A1634</x:f>
        <x:v>ORD-2025-00018</x:v>
      </x:c>
      <x:c r="B1634" s="85" t="n">
        <x:f>'Raw Sales'!B1634</x:f>
        <x:v>45828</x:v>
      </x:c>
      <x:c r="C1634" s="84" t="n">
        <x:f>YEAR(B1634)</x:f>
        <x:v>2025</x:v>
      </x:c>
      <x:c r="D1634" s="91" t="n">
        <x:f>DATE(YEAR(B1634),MONTH(B1634),1)</x:f>
        <x:v>45809</x:v>
      </x:c>
      <x:c r="E1634" s="84" t="str">
        <x:f>TEXT(B1634,"mmm")</x:f>
        <x:v>Jun</x:v>
      </x:c>
      <x:c r="F1634" s="84" t="str">
        <x:f>'Raw Sales'!C1634</x:f>
        <x:v>CUST-0429</x:v>
      </x:c>
      <x:c r="G1634" s="84" t="str">
        <x:f>PROPER(TRIM('Raw Sales'!D1634))</x:f>
        <x:v>Maya Smith</x:v>
      </x:c>
      <x:c r="H1634" s="84" t="str">
        <x:f>IF(TRIM('Raw Sales'!E1634)="","Unknown",PROPER(TRIM('Raw Sales'!E1634)))</x:f>
        <x:v>Small Business</x:v>
      </x:c>
      <x:c r="I1634" s="84" t="str">
        <x:f>PROPER(TRIM('Raw Sales'!F1634))</x:f>
        <x:v>West</x:v>
      </x:c>
      <x:c r="J1634" s="84" t="str">
        <x:f>PROPER(TRIM('Raw Sales'!G1634))</x:f>
        <x:v>Los Angeles</x:v>
      </x:c>
      <x:c r="K1634" s="84" t="str">
        <x:f>PROPER(TRIM('Raw Sales'!H1634))</x:f>
        <x:v>Marketplace</x:v>
      </x:c>
      <x:c r="L1634" s="84" t="str">
        <x:f>'Raw Sales'!I1634</x:f>
        <x:v>HOME-003</x:v>
      </x:c>
      <x:c r="M1634" s="84" t="str">
        <x:f>IFERROR(VLOOKUP(L1634,'Reference Data'!$A$5:$F$40,2,FALSE),"Unknown Product")</x:f>
        <x:v>Countertop Blender</x:v>
      </x:c>
      <x:c r="N1634" s="84" t="str">
        <x:f>IFERROR(VLOOKUP(L1634,'Reference Data'!$A$5:$F$40,3,FALSE),"Unknown")</x:f>
        <x:v>Home &amp; Kitchen</x:v>
      </x:c>
      <x:c r="O1634" s="84" t="str">
        <x:f>IFERROR(VLOOKUP(L1634,'Reference Data'!$A$5:$F$40,4,FALSE),"Unknown")</x:f>
        <x:v>Small Appliances</x:v>
      </x:c>
      <x:c r="P1634" s="92" t="n">
        <x:f>IFERROR(VLOOKUP(L1634,'Reference Data'!$A$5:$F$40,5,FALSE),0)</x:f>
        <x:v>89</x:v>
      </x:c>
      <x:c r="Q1634" s="92" t="n">
        <x:f>IFERROR(VLOOKUP(L1634,'Reference Data'!$A$5:$F$40,6,FALSE),0)</x:f>
        <x:v>46</x:v>
      </x:c>
      <x:c r="R1634" s="84" t="n">
        <x:f>'Raw Sales'!J1634</x:f>
        <x:v>3</x:v>
      </x:c>
      <x:c r="S1634" s="87" t="n">
        <x:f>'Raw Sales'!K1634</x:f>
        <x:v>0.1</x:v>
      </x:c>
      <x:c r="T1634" s="93" t="n">
        <x:f>P1634*R1634</x:f>
        <x:v>267</x:v>
      </x:c>
      <x:c r="U1634" s="93" t="n">
        <x:f>T1634*S1634</x:f>
        <x:v>26.700000000000003</x:v>
      </x:c>
      <x:c r="V1634" s="93" t="str">
        <x:f>PROPER(TRIM('Raw Sales'!L1634))</x:f>
        <x:v>Completed</x:v>
      </x:c>
      <x:c r="W1634" s="93" t="n">
        <x:f>IF(V1634="Returned",0,T1634-U1634)</x:f>
        <x:v>240.3</x:v>
      </x:c>
      <x:c r="X1634" s="93" t="n">
        <x:f>IF(V1634="Returned",Q1634*R1634*10%,Q1634*R1634)</x:f>
        <x:v>138</x:v>
      </x:c>
      <x:c r="Y1634" s="93" t="n">
        <x:f>W1634-X1634</x:f>
        <x:v>102.30000000000001</x:v>
      </x:c>
      <x:c r="Z1634" s="94" t="n">
        <x:f>IFERROR(Y1634/W1634,0)</x:f>
        <x:v>0.42571785268414486</x:v>
      </x:c>
      <x:c r="AA1634" s="84" t="str">
        <x:f>PROPER(TRIM('Raw Sales'!M1634))</x:f>
        <x:v>Credit Card</x:v>
      </x:c>
      <x:c r="AB1634" s="84" t="str">
        <x:f>PROPER(TRIM('Raw Sales'!N1634))</x:f>
        <x:v>Mia Chen</x:v>
      </x:c>
      <x:c r="AC1634" s="85" t="n">
        <x:f>'Raw Sales'!O1634</x:f>
        <x:v>45833</x:v>
      </x:c>
      <x:c r="AD1634" s="84" t="n">
        <x:f>AC1634-B1634</x:f>
        <x:v>5</x:v>
      </x:c>
      <x:c r="AE1634" s="84" t="str">
        <x:f>IF(COUNTIF($A$5:A1634,A1634)&gt;1,"Duplicate","Keep")</x:f>
        <x:v>Keep</x:v>
      </x:c>
      <x:c r="AF1634" s="84" t="str">
        <x:f>IF(OR(R1634&lt;=0,AC1634&lt;B1634,H1634="Unknown",M1634="Unknown Product"),"Review","Valid")</x:f>
        <x:v>Valid</x:v>
      </x:c>
      <x:c r="AG1634" s="84" t="n">
        <x:f>IF(AND(AE1634="Keep",AF1634="Valid"),1,0)</x:f>
        <x:v>1</x:v>
      </x:c>
      <x:c r="AH1634" s="84" t="n">
        <x:f>IF(AND(AG1634=1,OR('Dashboard'!$B$4="All",I1634='Dashboard'!$B$4),OR('Dashboard'!$E$4="All",N1634='Dashboard'!$E$4),OR('Dashboard'!$H$4="All",K1634='Dashboard'!$H$4),OR('Dashboard'!$K$4="All",C1634='Dashboard'!$K$4)),1,0)</x:f>
        <x:v>1</x:v>
      </x:c>
      <x:c r="AI1634" s="84" t="n">
        <x:f>IF(AND(AG1634=1,OR('Dashboard'!$B$4="All",I1634='Dashboard'!$B$4),OR('Dashboard'!$E$4="All",N1634='Dashboard'!$E$4),OR('Dashboard'!$H$4="All",K1634='Dashboard'!$H$4)),1,0)</x:f>
        <x:v>1</x:v>
      </x:c>
    </x:row>
    <x:row r="1635">
      <x:c r="A1635" s="84" t="str">
        <x:f>'Raw Sales'!A1635</x:f>
        <x:v>ORD-2025-00929</x:v>
      </x:c>
      <x:c r="B1635" s="85" t="n">
        <x:f>'Raw Sales'!B1635</x:f>
        <x:v>45828</x:v>
      </x:c>
      <x:c r="C1635" s="84" t="n">
        <x:f>YEAR(B1635)</x:f>
        <x:v>2025</x:v>
      </x:c>
      <x:c r="D1635" s="91" t="n">
        <x:f>DATE(YEAR(B1635),MONTH(B1635),1)</x:f>
        <x:v>45809</x:v>
      </x:c>
      <x:c r="E1635" s="84" t="str">
        <x:f>TEXT(B1635,"mmm")</x:f>
        <x:v>Jun</x:v>
      </x:c>
      <x:c r="F1635" s="84" t="str">
        <x:f>'Raw Sales'!C1635</x:f>
        <x:v>CUST-0095</x:v>
      </x:c>
      <x:c r="G1635" s="84" t="str">
        <x:f>PROPER(TRIM('Raw Sales'!D1635))</x:f>
        <x:v>Elena Irwin</x:v>
      </x:c>
      <x:c r="H1635" s="84" t="str">
        <x:f>IF(TRIM('Raw Sales'!E1635)="","Unknown",PROPER(TRIM('Raw Sales'!E1635)))</x:f>
        <x:v>Corporate</x:v>
      </x:c>
      <x:c r="I1635" s="84" t="str">
        <x:f>PROPER(TRIM('Raw Sales'!F1635))</x:f>
        <x:v>Northeast</x:v>
      </x:c>
      <x:c r="J1635" s="84" t="str">
        <x:f>PROPER(TRIM('Raw Sales'!G1635))</x:f>
        <x:v>Newark</x:v>
      </x:c>
      <x:c r="K1635" s="84" t="str">
        <x:f>PROPER(TRIM('Raw Sales'!H1635))</x:f>
        <x:v>Retail Store</x:v>
      </x:c>
      <x:c r="L1635" s="84" t="str">
        <x:f>'Raw Sales'!I1635</x:f>
        <x:v>ELEC-004</x:v>
      </x:c>
      <x:c r="M1635" s="84" t="str">
        <x:f>IFERROR(VLOOKUP(L1635,'Reference Data'!$A$5:$F$40,2,FALSE),"Unknown Product")</x:f>
        <x:v>Power Bank</x:v>
      </x:c>
      <x:c r="N1635" s="84" t="str">
        <x:f>IFERROR(VLOOKUP(L1635,'Reference Data'!$A$5:$F$40,3,FALSE),"Unknown")</x:f>
        <x:v>Electronics</x:v>
      </x:c>
      <x:c r="O1635" s="84" t="str">
        <x:f>IFERROR(VLOOKUP(L1635,'Reference Data'!$A$5:$F$40,4,FALSE),"Unknown")</x:f>
        <x:v>Mobile Accessories</x:v>
      </x:c>
      <x:c r="P1635" s="92" t="n">
        <x:f>IFERROR(VLOOKUP(L1635,'Reference Data'!$A$5:$F$40,5,FALSE),0)</x:f>
        <x:v>39</x:v>
      </x:c>
      <x:c r="Q1635" s="92" t="n">
        <x:f>IFERROR(VLOOKUP(L1635,'Reference Data'!$A$5:$F$40,6,FALSE),0)</x:f>
        <x:v>18</x:v>
      </x:c>
      <x:c r="R1635" s="84" t="n">
        <x:f>'Raw Sales'!J1635</x:f>
        <x:v>8</x:v>
      </x:c>
      <x:c r="S1635" s="87" t="n">
        <x:f>'Raw Sales'!K1635</x:f>
        <x:v>0.2</x:v>
      </x:c>
      <x:c r="T1635" s="93" t="n">
        <x:f>P1635*R1635</x:f>
        <x:v>312</x:v>
      </x:c>
      <x:c r="U1635" s="93" t="n">
        <x:f>T1635*S1635</x:f>
        <x:v>62.400000000000006</x:v>
      </x:c>
      <x:c r="V1635" s="93" t="str">
        <x:f>PROPER(TRIM('Raw Sales'!L1635))</x:f>
        <x:v>Completed</x:v>
      </x:c>
      <x:c r="W1635" s="93" t="n">
        <x:f>IF(V1635="Returned",0,T1635-U1635)</x:f>
        <x:v>249.6</x:v>
      </x:c>
      <x:c r="X1635" s="93" t="n">
        <x:f>IF(V1635="Returned",Q1635*R1635*10%,Q1635*R1635)</x:f>
        <x:v>144</x:v>
      </x:c>
      <x:c r="Y1635" s="93" t="n">
        <x:f>W1635-X1635</x:f>
        <x:v>105.6</x:v>
      </x:c>
      <x:c r="Z1635" s="94" t="n">
        <x:f>IFERROR(Y1635/W1635,0)</x:f>
        <x:v>0.4230769230769231</x:v>
      </x:c>
      <x:c r="AA1635" s="84" t="str">
        <x:f>PROPER(TRIM('Raw Sales'!M1635))</x:f>
        <x:v>Credit Card</x:v>
      </x:c>
      <x:c r="AB1635" s="84" t="str">
        <x:f>PROPER(TRIM('Raw Sales'!N1635))</x:f>
        <x:v>Sofia Bennett</x:v>
      </x:c>
      <x:c r="AC1635" s="85" t="n">
        <x:f>'Raw Sales'!O1635</x:f>
        <x:v>45828</x:v>
      </x:c>
      <x:c r="AD1635" s="84" t="n">
        <x:f>AC1635-B1635</x:f>
        <x:v>0</x:v>
      </x:c>
      <x:c r="AE1635" s="84" t="str">
        <x:f>IF(COUNTIF($A$5:A1635,A1635)&gt;1,"Duplicate","Keep")</x:f>
        <x:v>Keep</x:v>
      </x:c>
      <x:c r="AF1635" s="84" t="str">
        <x:f>IF(OR(R1635&lt;=0,AC1635&lt;B1635,H1635="Unknown",M1635="Unknown Product"),"Review","Valid")</x:f>
        <x:v>Valid</x:v>
      </x:c>
      <x:c r="AG1635" s="84" t="n">
        <x:f>IF(AND(AE1635="Keep",AF1635="Valid"),1,0)</x:f>
        <x:v>1</x:v>
      </x:c>
      <x:c r="AH1635" s="84" t="n">
        <x:f>IF(AND(AG1635=1,OR('Dashboard'!$B$4="All",I1635='Dashboard'!$B$4),OR('Dashboard'!$E$4="All",N1635='Dashboard'!$E$4),OR('Dashboard'!$H$4="All",K1635='Dashboard'!$H$4),OR('Dashboard'!$K$4="All",C1635='Dashboard'!$K$4)),1,0)</x:f>
        <x:v>1</x:v>
      </x:c>
      <x:c r="AI1635" s="84" t="n">
        <x:f>IF(AND(AG1635=1,OR('Dashboard'!$B$4="All",I1635='Dashboard'!$B$4),OR('Dashboard'!$E$4="All",N1635='Dashboard'!$E$4),OR('Dashboard'!$H$4="All",K1635='Dashboard'!$H$4)),1,0)</x:f>
        <x:v>1</x:v>
      </x:c>
    </x:row>
    <x:row r="1636">
      <x:c r="A1636" s="84" t="str">
        <x:f>'Raw Sales'!A1636</x:f>
        <x:v>ORD-2025-00963</x:v>
      </x:c>
      <x:c r="B1636" s="85" t="n">
        <x:f>'Raw Sales'!B1636</x:f>
        <x:v>45828</x:v>
      </x:c>
      <x:c r="C1636" s="84" t="n">
        <x:f>YEAR(B1636)</x:f>
        <x:v>2025</x:v>
      </x:c>
      <x:c r="D1636" s="91" t="n">
        <x:f>DATE(YEAR(B1636),MONTH(B1636),1)</x:f>
        <x:v>45809</x:v>
      </x:c>
      <x:c r="E1636" s="84" t="str">
        <x:f>TEXT(B1636,"mmm")</x:f>
        <x:v>Jun</x:v>
      </x:c>
      <x:c r="F1636" s="84" t="str">
        <x:f>'Raw Sales'!C1636</x:f>
        <x:v>CUST-0605</x:v>
      </x:c>
      <x:c r="G1636" s="84" t="str">
        <x:f>PROPER(TRIM('Raw Sales'!D1636))</x:f>
        <x:v>Layla Adams</x:v>
      </x:c>
      <x:c r="H1636" s="84" t="str">
        <x:f>IF(TRIM('Raw Sales'!E1636)="","Unknown",PROPER(TRIM('Raw Sales'!E1636)))</x:f>
        <x:v>Consumer</x:v>
      </x:c>
      <x:c r="I1636" s="84" t="str">
        <x:f>PROPER(TRIM('Raw Sales'!F1636))</x:f>
        <x:v>Northeast</x:v>
      </x:c>
      <x:c r="J1636" s="84" t="str">
        <x:f>PROPER(TRIM('Raw Sales'!G1636))</x:f>
        <x:v>Philadelphia</x:v>
      </x:c>
      <x:c r="K1636" s="84" t="str">
        <x:f>PROPER(TRIM('Raw Sales'!H1636))</x:f>
        <x:v>Online</x:v>
      </x:c>
      <x:c r="L1636" s="84" t="str">
        <x:f>'Raw Sales'!I1636</x:f>
        <x:v>HOME-006</x:v>
      </x:c>
      <x:c r="M1636" s="84" t="str">
        <x:f>IFERROR(VLOOKUP(L1636,'Reference Data'!$A$5:$F$40,2,FALSE),"Unknown Product")</x:f>
        <x:v>Food Storage Set</x:v>
      </x:c>
      <x:c r="N1636" s="84" t="str">
        <x:f>IFERROR(VLOOKUP(L1636,'Reference Data'!$A$5:$F$40,3,FALSE),"Unknown")</x:f>
        <x:v>Home &amp; Kitchen</x:v>
      </x:c>
      <x:c r="O1636" s="84" t="str">
        <x:f>IFERROR(VLOOKUP(L1636,'Reference Data'!$A$5:$F$40,4,FALSE),"Unknown")</x:f>
        <x:v>Kitchenware</x:v>
      </x:c>
      <x:c r="P1636" s="92" t="n">
        <x:f>IFERROR(VLOOKUP(L1636,'Reference Data'!$A$5:$F$40,5,FALSE),0)</x:f>
        <x:v>34</x:v>
      </x:c>
      <x:c r="Q1636" s="92" t="n">
        <x:f>IFERROR(VLOOKUP(L1636,'Reference Data'!$A$5:$F$40,6,FALSE),0)</x:f>
        <x:v>15</x:v>
      </x:c>
      <x:c r="R1636" s="84" t="n">
        <x:f>'Raw Sales'!J1636</x:f>
        <x:v>1</x:v>
      </x:c>
      <x:c r="S1636" s="87" t="n">
        <x:f>'Raw Sales'!K1636</x:f>
        <x:v>0</x:v>
      </x:c>
      <x:c r="T1636" s="93" t="n">
        <x:f>P1636*R1636</x:f>
        <x:v>34</x:v>
      </x:c>
      <x:c r="U1636" s="93" t="n">
        <x:f>T1636*S1636</x:f>
        <x:v>0</x:v>
      </x:c>
      <x:c r="V1636" s="93" t="str">
        <x:f>PROPER(TRIM('Raw Sales'!L1636))</x:f>
        <x:v>Completed</x:v>
      </x:c>
      <x:c r="W1636" s="93" t="n">
        <x:f>IF(V1636="Returned",0,T1636-U1636)</x:f>
        <x:v>34</x:v>
      </x:c>
      <x:c r="X1636" s="93" t="n">
        <x:f>IF(V1636="Returned",Q1636*R1636*10%,Q1636*R1636)</x:f>
        <x:v>15</x:v>
      </x:c>
      <x:c r="Y1636" s="93" t="n">
        <x:f>W1636-X1636</x:f>
        <x:v>19</x:v>
      </x:c>
      <x:c r="Z1636" s="94" t="n">
        <x:f>IFERROR(Y1636/W1636,0)</x:f>
        <x:v>0.5588235294117647</x:v>
      </x:c>
      <x:c r="AA1636" s="84" t="str">
        <x:f>PROPER(TRIM('Raw Sales'!M1636))</x:f>
        <x:v>Paypal</x:v>
      </x:c>
      <x:c r="AB1636" s="84" t="str">
        <x:f>PROPER(TRIM('Raw Sales'!N1636))</x:f>
        <x:v>Sofia Bennett</x:v>
      </x:c>
      <x:c r="AC1636" s="85" t="n">
        <x:f>'Raw Sales'!O1636</x:f>
        <x:v>45831</x:v>
      </x:c>
      <x:c r="AD1636" s="84" t="n">
        <x:f>AC1636-B1636</x:f>
        <x:v>3</x:v>
      </x:c>
      <x:c r="AE1636" s="84" t="str">
        <x:f>IF(COUNTIF($A$5:A1636,A1636)&gt;1,"Duplicate","Keep")</x:f>
        <x:v>Keep</x:v>
      </x:c>
      <x:c r="AF1636" s="84" t="str">
        <x:f>IF(OR(R1636&lt;=0,AC1636&lt;B1636,H1636="Unknown",M1636="Unknown Product"),"Review","Valid")</x:f>
        <x:v>Valid</x:v>
      </x:c>
      <x:c r="AG1636" s="84" t="n">
        <x:f>IF(AND(AE1636="Keep",AF1636="Valid"),1,0)</x:f>
        <x:v>1</x:v>
      </x:c>
      <x:c r="AH1636" s="84" t="n">
        <x:f>IF(AND(AG1636=1,OR('Dashboard'!$B$4="All",I1636='Dashboard'!$B$4),OR('Dashboard'!$E$4="All",N1636='Dashboard'!$E$4),OR('Dashboard'!$H$4="All",K1636='Dashboard'!$H$4),OR('Dashboard'!$K$4="All",C1636='Dashboard'!$K$4)),1,0)</x:f>
        <x:v>1</x:v>
      </x:c>
      <x:c r="AI1636" s="84" t="n">
        <x:f>IF(AND(AG1636=1,OR('Dashboard'!$B$4="All",I1636='Dashboard'!$B$4),OR('Dashboard'!$E$4="All",N1636='Dashboard'!$E$4),OR('Dashboard'!$H$4="All",K1636='Dashboard'!$H$4)),1,0)</x:f>
        <x:v>1</x:v>
      </x:c>
    </x:row>
    <x:row r="1637">
      <x:c r="A1637" s="84" t="str">
        <x:f>'Raw Sales'!A1637</x:f>
        <x:v>ORD-2025-00386</x:v>
      </x:c>
      <x:c r="B1637" s="85" t="n">
        <x:f>'Raw Sales'!B1637</x:f>
        <x:v>45829</x:v>
      </x:c>
      <x:c r="C1637" s="84" t="n">
        <x:f>YEAR(B1637)</x:f>
        <x:v>2025</x:v>
      </x:c>
      <x:c r="D1637" s="91" t="n">
        <x:f>DATE(YEAR(B1637),MONTH(B1637),1)</x:f>
        <x:v>45809</x:v>
      </x:c>
      <x:c r="E1637" s="84" t="str">
        <x:f>TEXT(B1637,"mmm")</x:f>
        <x:v>Jun</x:v>
      </x:c>
      <x:c r="F1637" s="84" t="str">
        <x:f>'Raw Sales'!C1637</x:f>
        <x:v>CUST-0419</x:v>
      </x:c>
      <x:c r="G1637" s="84" t="str">
        <x:f>PROPER(TRIM('Raw Sales'!D1637))</x:f>
        <x:v>Isaac Nelson</x:v>
      </x:c>
      <x:c r="H1637" s="84" t="str">
        <x:f>IF(TRIM('Raw Sales'!E1637)="","Unknown",PROPER(TRIM('Raw Sales'!E1637)))</x:f>
        <x:v>Consumer</x:v>
      </x:c>
      <x:c r="I1637" s="84" t="str">
        <x:f>PROPER(TRIM('Raw Sales'!F1637))</x:f>
        <x:v>Northeast</x:v>
      </x:c>
      <x:c r="J1637" s="84" t="str">
        <x:f>PROPER(TRIM('Raw Sales'!G1637))</x:f>
        <x:v>New York</x:v>
      </x:c>
      <x:c r="K1637" s="84" t="str">
        <x:f>PROPER(TRIM('Raw Sales'!H1637))</x:f>
        <x:v>Retail Store</x:v>
      </x:c>
      <x:c r="L1637" s="84" t="str">
        <x:f>'Raw Sales'!I1637</x:f>
        <x:v>ELEC-006</x:v>
      </x:c>
      <x:c r="M1637" s="84" t="str">
        <x:f>IFERROR(VLOOKUP(L1637,'Reference Data'!$A$5:$F$40,2,FALSE),"Unknown Product")</x:f>
        <x:v>Portable SSD</x:v>
      </x:c>
      <x:c r="N1637" s="84" t="str">
        <x:f>IFERROR(VLOOKUP(L1637,'Reference Data'!$A$5:$F$40,3,FALSE),"Unknown")</x:f>
        <x:v>Electronics</x:v>
      </x:c>
      <x:c r="O1637" s="84" t="str">
        <x:f>IFERROR(VLOOKUP(L1637,'Reference Data'!$A$5:$F$40,4,FALSE),"Unknown")</x:f>
        <x:v>Storage</x:v>
      </x:c>
      <x:c r="P1637" s="92" t="n">
        <x:f>IFERROR(VLOOKUP(L1637,'Reference Data'!$A$5:$F$40,5,FALSE),0)</x:f>
        <x:v>129</x:v>
      </x:c>
      <x:c r="Q1637" s="92" t="n">
        <x:f>IFERROR(VLOOKUP(L1637,'Reference Data'!$A$5:$F$40,6,FALSE),0)</x:f>
        <x:v>75</x:v>
      </x:c>
      <x:c r="R1637" s="84" t="n">
        <x:f>'Raw Sales'!J1637</x:f>
        <x:v>1</x:v>
      </x:c>
      <x:c r="S1637" s="87" t="n">
        <x:f>'Raw Sales'!K1637</x:f>
        <x:v>0</x:v>
      </x:c>
      <x:c r="T1637" s="93" t="n">
        <x:f>P1637*R1637</x:f>
        <x:v>129</x:v>
      </x:c>
      <x:c r="U1637" s="93" t="n">
        <x:f>T1637*S1637</x:f>
        <x:v>0</x:v>
      </x:c>
      <x:c r="V1637" s="93" t="str">
        <x:f>PROPER(TRIM('Raw Sales'!L1637))</x:f>
        <x:v>Completed</x:v>
      </x:c>
      <x:c r="W1637" s="93" t="n">
        <x:f>IF(V1637="Returned",0,T1637-U1637)</x:f>
        <x:v>129</x:v>
      </x:c>
      <x:c r="X1637" s="93" t="n">
        <x:f>IF(V1637="Returned",Q1637*R1637*10%,Q1637*R1637)</x:f>
        <x:v>75</x:v>
      </x:c>
      <x:c r="Y1637" s="93" t="n">
        <x:f>W1637-X1637</x:f>
        <x:v>54</x:v>
      </x:c>
      <x:c r="Z1637" s="94" t="n">
        <x:f>IFERROR(Y1637/W1637,0)</x:f>
        <x:v>0.4186046511627907</x:v>
      </x:c>
      <x:c r="AA1637" s="84" t="str">
        <x:f>PROPER(TRIM('Raw Sales'!M1637))</x:f>
        <x:v>Credit Card</x:v>
      </x:c>
      <x:c r="AB1637" s="84" t="str">
        <x:f>PROPER(TRIM('Raw Sales'!N1637))</x:f>
        <x:v>Maya Brooks</x:v>
      </x:c>
      <x:c r="AC1637" s="85" t="n">
        <x:f>'Raw Sales'!O1637</x:f>
        <x:v>45829</x:v>
      </x:c>
      <x:c r="AD1637" s="84" t="n">
        <x:f>AC1637-B1637</x:f>
        <x:v>0</x:v>
      </x:c>
      <x:c r="AE1637" s="84" t="str">
        <x:f>IF(COUNTIF($A$5:A1637,A1637)&gt;1,"Duplicate","Keep")</x:f>
        <x:v>Keep</x:v>
      </x:c>
      <x:c r="AF1637" s="84" t="str">
        <x:f>IF(OR(R1637&lt;=0,AC1637&lt;B1637,H1637="Unknown",M1637="Unknown Product"),"Review","Valid")</x:f>
        <x:v>Valid</x:v>
      </x:c>
      <x:c r="AG1637" s="84" t="n">
        <x:f>IF(AND(AE1637="Keep",AF1637="Valid"),1,0)</x:f>
        <x:v>1</x:v>
      </x:c>
      <x:c r="AH1637" s="84" t="n">
        <x:f>IF(AND(AG1637=1,OR('Dashboard'!$B$4="All",I1637='Dashboard'!$B$4),OR('Dashboard'!$E$4="All",N1637='Dashboard'!$E$4),OR('Dashboard'!$H$4="All",K1637='Dashboard'!$H$4),OR('Dashboard'!$K$4="All",C1637='Dashboard'!$K$4)),1,0)</x:f>
        <x:v>1</x:v>
      </x:c>
      <x:c r="AI1637" s="84" t="n">
        <x:f>IF(AND(AG1637=1,OR('Dashboard'!$B$4="All",I1637='Dashboard'!$B$4),OR('Dashboard'!$E$4="All",N1637='Dashboard'!$E$4),OR('Dashboard'!$H$4="All",K1637='Dashboard'!$H$4)),1,0)</x:f>
        <x:v>1</x:v>
      </x:c>
    </x:row>
    <x:row r="1638">
      <x:c r="A1638" s="84" t="str">
        <x:f>'Raw Sales'!A1638</x:f>
        <x:v>ORD-2025-00948</x:v>
      </x:c>
      <x:c r="B1638" s="85" t="n">
        <x:f>'Raw Sales'!B1638</x:f>
        <x:v>45829</x:v>
      </x:c>
      <x:c r="C1638" s="84" t="n">
        <x:f>YEAR(B1638)</x:f>
        <x:v>2025</x:v>
      </x:c>
      <x:c r="D1638" s="91" t="n">
        <x:f>DATE(YEAR(B1638),MONTH(B1638),1)</x:f>
        <x:v>45809</x:v>
      </x:c>
      <x:c r="E1638" s="84" t="str">
        <x:f>TEXT(B1638,"mmm")</x:f>
        <x:v>Jun</x:v>
      </x:c>
      <x:c r="F1638" s="84" t="str">
        <x:f>'Raw Sales'!C1638</x:f>
        <x:v>CUST-0160</x:v>
      </x:c>
      <x:c r="G1638" s="84" t="str">
        <x:f>PROPER(TRIM('Raw Sales'!D1638))</x:f>
        <x:v>Amelia Adams</x:v>
      </x:c>
      <x:c r="H1638" s="84" t="str">
        <x:f>IF(TRIM('Raw Sales'!E1638)="","Unknown",PROPER(TRIM('Raw Sales'!E1638)))</x:f>
        <x:v>Consumer</x:v>
      </x:c>
      <x:c r="I1638" s="84" t="str">
        <x:f>PROPER(TRIM('Raw Sales'!F1638))</x:f>
        <x:v>Southeast</x:v>
      </x:c>
      <x:c r="J1638" s="84" t="str">
        <x:f>PROPER(TRIM('Raw Sales'!G1638))</x:f>
        <x:v>Atlanta</x:v>
      </x:c>
      <x:c r="K1638" s="84" t="str">
        <x:f>PROPER(TRIM('Raw Sales'!H1638))</x:f>
        <x:v>Retail Store</x:v>
      </x:c>
      <x:c r="L1638" s="84" t="str">
        <x:f>'Raw Sales'!I1638</x:f>
        <x:v>HOME-005</x:v>
      </x:c>
      <x:c r="M1638" s="84" t="str">
        <x:f>IFERROR(VLOOKUP(L1638,'Reference Data'!$A$5:$F$40,2,FALSE),"Unknown Product")</x:f>
        <x:v>Cordless Vacuum</x:v>
      </x:c>
      <x:c r="N1638" s="84" t="str">
        <x:f>IFERROR(VLOOKUP(L1638,'Reference Data'!$A$5:$F$40,3,FALSE),"Unknown")</x:f>
        <x:v>Home &amp; Kitchen</x:v>
      </x:c>
      <x:c r="O1638" s="84" t="str">
        <x:f>IFERROR(VLOOKUP(L1638,'Reference Data'!$A$5:$F$40,4,FALSE),"Unknown")</x:f>
        <x:v>Cleaning</x:v>
      </x:c>
      <x:c r="P1638" s="92" t="n">
        <x:f>IFERROR(VLOOKUP(L1638,'Reference Data'!$A$5:$F$40,5,FALSE),0)</x:f>
        <x:v>179</x:v>
      </x:c>
      <x:c r="Q1638" s="92" t="n">
        <x:f>IFERROR(VLOOKUP(L1638,'Reference Data'!$A$5:$F$40,6,FALSE),0)</x:f>
        <x:v>102</x:v>
      </x:c>
      <x:c r="R1638" s="84" t="n">
        <x:f>'Raw Sales'!J1638</x:f>
        <x:v>1</x:v>
      </x:c>
      <x:c r="S1638" s="87" t="n">
        <x:f>'Raw Sales'!K1638</x:f>
        <x:v>0</x:v>
      </x:c>
      <x:c r="T1638" s="93" t="n">
        <x:f>P1638*R1638</x:f>
        <x:v>179</x:v>
      </x:c>
      <x:c r="U1638" s="93" t="n">
        <x:f>T1638*S1638</x:f>
        <x:v>0</x:v>
      </x:c>
      <x:c r="V1638" s="93" t="str">
        <x:f>PROPER(TRIM('Raw Sales'!L1638))</x:f>
        <x:v>Completed</x:v>
      </x:c>
      <x:c r="W1638" s="93" t="n">
        <x:f>IF(V1638="Returned",0,T1638-U1638)</x:f>
        <x:v>179</x:v>
      </x:c>
      <x:c r="X1638" s="93" t="n">
        <x:f>IF(V1638="Returned",Q1638*R1638*10%,Q1638*R1638)</x:f>
        <x:v>102</x:v>
      </x:c>
      <x:c r="Y1638" s="93" t="n">
        <x:f>W1638-X1638</x:f>
        <x:v>77</x:v>
      </x:c>
      <x:c r="Z1638" s="94" t="n">
        <x:f>IFERROR(Y1638/W1638,0)</x:f>
        <x:v>0.4301675977653631</x:v>
      </x:c>
      <x:c r="AA1638" s="84" t="str">
        <x:f>PROPER(TRIM('Raw Sales'!M1638))</x:f>
        <x:v>Mobile Wallet</x:v>
      </x:c>
      <x:c r="AB1638" s="84" t="str">
        <x:f>PROPER(TRIM('Raw Sales'!N1638))</x:f>
        <x:v>Noah Reed</x:v>
      </x:c>
      <x:c r="AC1638" s="85" t="n">
        <x:f>'Raw Sales'!O1638</x:f>
        <x:v>45829</x:v>
      </x:c>
      <x:c r="AD1638" s="84" t="n">
        <x:f>AC1638-B1638</x:f>
        <x:v>0</x:v>
      </x:c>
      <x:c r="AE1638" s="84" t="str">
        <x:f>IF(COUNTIF($A$5:A1638,A1638)&gt;1,"Duplicate","Keep")</x:f>
        <x:v>Keep</x:v>
      </x:c>
      <x:c r="AF1638" s="84" t="str">
        <x:f>IF(OR(R1638&lt;=0,AC1638&lt;B1638,H1638="Unknown",M1638="Unknown Product"),"Review","Valid")</x:f>
        <x:v>Valid</x:v>
      </x:c>
      <x:c r="AG1638" s="84" t="n">
        <x:f>IF(AND(AE1638="Keep",AF1638="Valid"),1,0)</x:f>
        <x:v>1</x:v>
      </x:c>
      <x:c r="AH1638" s="84" t="n">
        <x:f>IF(AND(AG1638=1,OR('Dashboard'!$B$4="All",I1638='Dashboard'!$B$4),OR('Dashboard'!$E$4="All",N1638='Dashboard'!$E$4),OR('Dashboard'!$H$4="All",K1638='Dashboard'!$H$4),OR('Dashboard'!$K$4="All",C1638='Dashboard'!$K$4)),1,0)</x:f>
        <x:v>1</x:v>
      </x:c>
      <x:c r="AI1638" s="84" t="n">
        <x:f>IF(AND(AG1638=1,OR('Dashboard'!$B$4="All",I1638='Dashboard'!$B$4),OR('Dashboard'!$E$4="All",N1638='Dashboard'!$E$4),OR('Dashboard'!$H$4="All",K1638='Dashboard'!$H$4)),1,0)</x:f>
        <x:v>1</x:v>
      </x:c>
    </x:row>
    <x:row r="1639">
      <x:c r="A1639" s="84" t="str">
        <x:f>'Raw Sales'!A1639</x:f>
        <x:v>ORD-2025-01035</x:v>
      </x:c>
      <x:c r="B1639" s="85" t="n">
        <x:f>'Raw Sales'!B1639</x:f>
        <x:v>45829</x:v>
      </x:c>
      <x:c r="C1639" s="84" t="n">
        <x:f>YEAR(B1639)</x:f>
        <x:v>2025</x:v>
      </x:c>
      <x:c r="D1639" s="91" t="n">
        <x:f>DATE(YEAR(B1639),MONTH(B1639),1)</x:f>
        <x:v>45809</x:v>
      </x:c>
      <x:c r="E1639" s="84" t="str">
        <x:f>TEXT(B1639,"mmm")</x:f>
        <x:v>Jun</x:v>
      </x:c>
      <x:c r="F1639" s="84" t="str">
        <x:f>'Raw Sales'!C1639</x:f>
        <x:v>CUST-0575</x:v>
      </x:c>
      <x:c r="G1639" s="84" t="str">
        <x:f>PROPER(TRIM('Raw Sales'!D1639))</x:f>
        <x:v>Elena Walker</x:v>
      </x:c>
      <x:c r="H1639" s="84" t="str">
        <x:f>IF(TRIM('Raw Sales'!E1639)="","Unknown",PROPER(TRIM('Raw Sales'!E1639)))</x:f>
        <x:v>Consumer</x:v>
      </x:c>
      <x:c r="I1639" s="84" t="str">
        <x:f>PROPER(TRIM('Raw Sales'!F1639))</x:f>
        <x:v>Northeast</x:v>
      </x:c>
      <x:c r="J1639" s="84" t="str">
        <x:f>PROPER(TRIM('Raw Sales'!G1639))</x:f>
        <x:v>Philadelphia</x:v>
      </x:c>
      <x:c r="K1639" s="84" t="str">
        <x:f>PROPER(TRIM('Raw Sales'!H1639))</x:f>
        <x:v>Online</x:v>
      </x:c>
      <x:c r="L1639" s="84" t="str">
        <x:f>'Raw Sales'!I1639</x:f>
        <x:v>ELEC-006</x:v>
      </x:c>
      <x:c r="M1639" s="84" t="str">
        <x:f>IFERROR(VLOOKUP(L1639,'Reference Data'!$A$5:$F$40,2,FALSE),"Unknown Product")</x:f>
        <x:v>Portable SSD</x:v>
      </x:c>
      <x:c r="N1639" s="84" t="str">
        <x:f>IFERROR(VLOOKUP(L1639,'Reference Data'!$A$5:$F$40,3,FALSE),"Unknown")</x:f>
        <x:v>Electronics</x:v>
      </x:c>
      <x:c r="O1639" s="84" t="str">
        <x:f>IFERROR(VLOOKUP(L1639,'Reference Data'!$A$5:$F$40,4,FALSE),"Unknown")</x:f>
        <x:v>Storage</x:v>
      </x:c>
      <x:c r="P1639" s="92" t="n">
        <x:f>IFERROR(VLOOKUP(L1639,'Reference Data'!$A$5:$F$40,5,FALSE),0)</x:f>
        <x:v>129</x:v>
      </x:c>
      <x:c r="Q1639" s="92" t="n">
        <x:f>IFERROR(VLOOKUP(L1639,'Reference Data'!$A$5:$F$40,6,FALSE),0)</x:f>
        <x:v>75</x:v>
      </x:c>
      <x:c r="R1639" s="84" t="n">
        <x:f>'Raw Sales'!J1639</x:f>
        <x:v>1</x:v>
      </x:c>
      <x:c r="S1639" s="87" t="n">
        <x:f>'Raw Sales'!K1639</x:f>
        <x:v>0</x:v>
      </x:c>
      <x:c r="T1639" s="93" t="n">
        <x:f>P1639*R1639</x:f>
        <x:v>129</x:v>
      </x:c>
      <x:c r="U1639" s="93" t="n">
        <x:f>T1639*S1639</x:f>
        <x:v>0</x:v>
      </x:c>
      <x:c r="V1639" s="93" t="str">
        <x:f>PROPER(TRIM('Raw Sales'!L1639))</x:f>
        <x:v>Completed</x:v>
      </x:c>
      <x:c r="W1639" s="93" t="n">
        <x:f>IF(V1639="Returned",0,T1639-U1639)</x:f>
        <x:v>129</x:v>
      </x:c>
      <x:c r="X1639" s="93" t="n">
        <x:f>IF(V1639="Returned",Q1639*R1639*10%,Q1639*R1639)</x:f>
        <x:v>75</x:v>
      </x:c>
      <x:c r="Y1639" s="93" t="n">
        <x:f>W1639-X1639</x:f>
        <x:v>54</x:v>
      </x:c>
      <x:c r="Z1639" s="94" t="n">
        <x:f>IFERROR(Y1639/W1639,0)</x:f>
        <x:v>0.4186046511627907</x:v>
      </x:c>
      <x:c r="AA1639" s="84" t="str">
        <x:f>PROPER(TRIM('Raw Sales'!M1639))</x:f>
        <x:v>Mobile Wallet</x:v>
      </x:c>
      <x:c r="AB1639" s="84" t="str">
        <x:f>PROPER(TRIM('Raw Sales'!N1639))</x:f>
        <x:v>Ethan Cole</x:v>
      </x:c>
      <x:c r="AC1639" s="85" t="n">
        <x:f>'Raw Sales'!O1639</x:f>
        <x:v>45833</x:v>
      </x:c>
      <x:c r="AD1639" s="84" t="n">
        <x:f>AC1639-B1639</x:f>
        <x:v>4</x:v>
      </x:c>
      <x:c r="AE1639" s="84" t="str">
        <x:f>IF(COUNTIF($A$5:A1639,A1639)&gt;1,"Duplicate","Keep")</x:f>
        <x:v>Keep</x:v>
      </x:c>
      <x:c r="AF1639" s="84" t="str">
        <x:f>IF(OR(R1639&lt;=0,AC1639&lt;B1639,H1639="Unknown",M1639="Unknown Product"),"Review","Valid")</x:f>
        <x:v>Valid</x:v>
      </x:c>
      <x:c r="AG1639" s="84" t="n">
        <x:f>IF(AND(AE1639="Keep",AF1639="Valid"),1,0)</x:f>
        <x:v>1</x:v>
      </x:c>
      <x:c r="AH1639" s="84" t="n">
        <x:f>IF(AND(AG1639=1,OR('Dashboard'!$B$4="All",I1639='Dashboard'!$B$4),OR('Dashboard'!$E$4="All",N1639='Dashboard'!$E$4),OR('Dashboard'!$H$4="All",K1639='Dashboard'!$H$4),OR('Dashboard'!$K$4="All",C1639='Dashboard'!$K$4)),1,0)</x:f>
        <x:v>1</x:v>
      </x:c>
      <x:c r="AI1639" s="84" t="n">
        <x:f>IF(AND(AG1639=1,OR('Dashboard'!$B$4="All",I1639='Dashboard'!$B$4),OR('Dashboard'!$E$4="All",N1639='Dashboard'!$E$4),OR('Dashboard'!$H$4="All",K1639='Dashboard'!$H$4)),1,0)</x:f>
        <x:v>1</x:v>
      </x:c>
    </x:row>
    <x:row r="1640">
      <x:c r="A1640" s="84" t="str">
        <x:f>'Raw Sales'!A1640</x:f>
        <x:v>ORD-2025-01068</x:v>
      </x:c>
      <x:c r="B1640" s="85" t="n">
        <x:f>'Raw Sales'!B1640</x:f>
        <x:v>45829</x:v>
      </x:c>
      <x:c r="C1640" s="84" t="n">
        <x:f>YEAR(B1640)</x:f>
        <x:v>2025</x:v>
      </x:c>
      <x:c r="D1640" s="91" t="n">
        <x:f>DATE(YEAR(B1640),MONTH(B1640),1)</x:f>
        <x:v>45809</x:v>
      </x:c>
      <x:c r="E1640" s="84" t="str">
        <x:f>TEXT(B1640,"mmm")</x:f>
        <x:v>Jun</x:v>
      </x:c>
      <x:c r="F1640" s="84" t="str">
        <x:f>'Raw Sales'!C1640</x:f>
        <x:v>CUST-0268</x:v>
      </x:c>
      <x:c r="G1640" s="84" t="str">
        <x:f>PROPER(TRIM('Raw Sales'!D1640))</x:f>
        <x:v>Aiden Moore</x:v>
      </x:c>
      <x:c r="H1640" s="84" t="str">
        <x:f>IF(TRIM('Raw Sales'!E1640)="","Unknown",PROPER(TRIM('Raw Sales'!E1640)))</x:f>
        <x:v>Small Business</x:v>
      </x:c>
      <x:c r="I1640" s="84" t="str">
        <x:f>PROPER(TRIM('Raw Sales'!F1640))</x:f>
        <x:v>Midwest</x:v>
      </x:c>
      <x:c r="J1640" s="84" t="str">
        <x:f>PROPER(TRIM('Raw Sales'!G1640))</x:f>
        <x:v>Chicago</x:v>
      </x:c>
      <x:c r="K1640" s="84" t="str">
        <x:f>PROPER(TRIM('Raw Sales'!H1640))</x:f>
        <x:v>Online</x:v>
      </x:c>
      <x:c r="L1640" s="84" t="str">
        <x:f>'Raw Sales'!I1640</x:f>
        <x:v>OFFC-004</x:v>
      </x:c>
      <x:c r="M1640" s="84" t="str">
        <x:f>IFERROR(VLOOKUP(L1640,'Reference Data'!$A$5:$F$40,2,FALSE),"Unknown Product")</x:f>
        <x:v>Premium Notebook Pack</x:v>
      </x:c>
      <x:c r="N1640" s="84" t="str">
        <x:f>IFERROR(VLOOKUP(L1640,'Reference Data'!$A$5:$F$40,3,FALSE),"Unknown")</x:f>
        <x:v>Office</x:v>
      </x:c>
      <x:c r="O1640" s="84" t="str">
        <x:f>IFERROR(VLOOKUP(L1640,'Reference Data'!$A$5:$F$40,4,FALSE),"Unknown")</x:f>
        <x:v>Stationery</x:v>
      </x:c>
      <x:c r="P1640" s="92" t="n">
        <x:f>IFERROR(VLOOKUP(L1640,'Reference Data'!$A$5:$F$40,5,FALSE),0)</x:f>
        <x:v>18</x:v>
      </x:c>
      <x:c r="Q1640" s="92" t="n">
        <x:f>IFERROR(VLOOKUP(L1640,'Reference Data'!$A$5:$F$40,6,FALSE),0)</x:f>
        <x:v>6.5</x:v>
      </x:c>
      <x:c r="R1640" s="84" t="n">
        <x:f>'Raw Sales'!J1640</x:f>
        <x:v>1</x:v>
      </x:c>
      <x:c r="S1640" s="87" t="n">
        <x:f>'Raw Sales'!K1640</x:f>
        <x:v>0</x:v>
      </x:c>
      <x:c r="T1640" s="93" t="n">
        <x:f>P1640*R1640</x:f>
        <x:v>18</x:v>
      </x:c>
      <x:c r="U1640" s="93" t="n">
        <x:f>T1640*S1640</x:f>
        <x:v>0</x:v>
      </x:c>
      <x:c r="V1640" s="93" t="str">
        <x:f>PROPER(TRIM('Raw Sales'!L1640))</x:f>
        <x:v>Completed</x:v>
      </x:c>
      <x:c r="W1640" s="93" t="n">
        <x:f>IF(V1640="Returned",0,T1640-U1640)</x:f>
        <x:v>18</x:v>
      </x:c>
      <x:c r="X1640" s="93" t="n">
        <x:f>IF(V1640="Returned",Q1640*R1640*10%,Q1640*R1640)</x:f>
        <x:v>6.5</x:v>
      </x:c>
      <x:c r="Y1640" s="93" t="n">
        <x:f>W1640-X1640</x:f>
        <x:v>11.5</x:v>
      </x:c>
      <x:c r="Z1640" s="94" t="n">
        <x:f>IFERROR(Y1640/W1640,0)</x:f>
        <x:v>0.6388888888888888</x:v>
      </x:c>
      <x:c r="AA1640" s="84" t="str">
        <x:f>PROPER(TRIM('Raw Sales'!M1640))</x:f>
        <x:v>Credit Card</x:v>
      </x:c>
      <x:c r="AB1640" s="84" t="str">
        <x:f>PROPER(TRIM('Raw Sales'!N1640))</x:f>
        <x:v>Lucas Grant</x:v>
      </x:c>
      <x:c r="AC1640" s="85" t="n">
        <x:f>'Raw Sales'!O1640</x:f>
        <x:v>45833</x:v>
      </x:c>
      <x:c r="AD1640" s="84" t="n">
        <x:f>AC1640-B1640</x:f>
        <x:v>4</x:v>
      </x:c>
      <x:c r="AE1640" s="84" t="str">
        <x:f>IF(COUNTIF($A$5:A1640,A1640)&gt;1,"Duplicate","Keep")</x:f>
        <x:v>Keep</x:v>
      </x:c>
      <x:c r="AF1640" s="84" t="str">
        <x:f>IF(OR(R1640&lt;=0,AC1640&lt;B1640,H1640="Unknown",M1640="Unknown Product"),"Review","Valid")</x:f>
        <x:v>Valid</x:v>
      </x:c>
      <x:c r="AG1640" s="84" t="n">
        <x:f>IF(AND(AE1640="Keep",AF1640="Valid"),1,0)</x:f>
        <x:v>1</x:v>
      </x:c>
      <x:c r="AH1640" s="84" t="n">
        <x:f>IF(AND(AG1640=1,OR('Dashboard'!$B$4="All",I1640='Dashboard'!$B$4),OR('Dashboard'!$E$4="All",N1640='Dashboard'!$E$4),OR('Dashboard'!$H$4="All",K1640='Dashboard'!$H$4),OR('Dashboard'!$K$4="All",C1640='Dashboard'!$K$4)),1,0)</x:f>
        <x:v>1</x:v>
      </x:c>
      <x:c r="AI1640" s="84" t="n">
        <x:f>IF(AND(AG1640=1,OR('Dashboard'!$B$4="All",I1640='Dashboard'!$B$4),OR('Dashboard'!$E$4="All",N1640='Dashboard'!$E$4),OR('Dashboard'!$H$4="All",K1640='Dashboard'!$H$4)),1,0)</x:f>
        <x:v>1</x:v>
      </x:c>
    </x:row>
    <x:row r="1641">
      <x:c r="A1641" s="84" t="str">
        <x:f>'Raw Sales'!A1641</x:f>
        <x:v>ORD-2025-01346</x:v>
      </x:c>
      <x:c r="B1641" s="85" t="n">
        <x:f>'Raw Sales'!B1641</x:f>
        <x:v>45829</x:v>
      </x:c>
      <x:c r="C1641" s="84" t="n">
        <x:f>YEAR(B1641)</x:f>
        <x:v>2025</x:v>
      </x:c>
      <x:c r="D1641" s="91" t="n">
        <x:f>DATE(YEAR(B1641),MONTH(B1641),1)</x:f>
        <x:v>45809</x:v>
      </x:c>
      <x:c r="E1641" s="84" t="str">
        <x:f>TEXT(B1641,"mmm")</x:f>
        <x:v>Jun</x:v>
      </x:c>
      <x:c r="F1641" s="84" t="str">
        <x:f>'Raw Sales'!C1641</x:f>
        <x:v>CUST-0228</x:v>
      </x:c>
      <x:c r="G1641" s="84" t="str">
        <x:f>PROPER(TRIM('Raw Sales'!D1641))</x:f>
        <x:v>Victoria Irwin</x:v>
      </x:c>
      <x:c r="H1641" s="84" t="str">
        <x:f>IF(TRIM('Raw Sales'!E1641)="","Unknown",PROPER(TRIM('Raw Sales'!E1641)))</x:f>
        <x:v>Consumer</x:v>
      </x:c>
      <x:c r="I1641" s="84" t="str">
        <x:f>PROPER(TRIM('Raw Sales'!F1641))</x:f>
        <x:v>Midwest</x:v>
      </x:c>
      <x:c r="J1641" s="84" t="str">
        <x:f>PROPER(TRIM('Raw Sales'!G1641))</x:f>
        <x:v>Columbus</x:v>
      </x:c>
      <x:c r="K1641" s="84" t="str">
        <x:f>PROPER(TRIM('Raw Sales'!H1641))</x:f>
        <x:v>Retail Store</x:v>
      </x:c>
      <x:c r="L1641" s="84" t="str">
        <x:f>'Raw Sales'!I1641</x:f>
        <x:v>ACCS-006</x:v>
      </x:c>
      <x:c r="M1641" s="84" t="str">
        <x:f>IFERROR(VLOOKUP(L1641,'Reference Data'!$A$5:$F$40,2,FALSE),"Unknown Product")</x:f>
        <x:v>Insulated Lunch Bag</x:v>
      </x:c>
      <x:c r="N1641" s="84" t="str">
        <x:f>IFERROR(VLOOKUP(L1641,'Reference Data'!$A$5:$F$40,3,FALSE),"Unknown")</x:f>
        <x:v>Accessories</x:v>
      </x:c>
      <x:c r="O1641" s="84" t="str">
        <x:f>IFERROR(VLOOKUP(L1641,'Reference Data'!$A$5:$F$40,4,FALSE),"Unknown")</x:f>
        <x:v>Bags</x:v>
      </x:c>
      <x:c r="P1641" s="92" t="n">
        <x:f>IFERROR(VLOOKUP(L1641,'Reference Data'!$A$5:$F$40,5,FALSE),0)</x:f>
        <x:v>29</x:v>
      </x:c>
      <x:c r="Q1641" s="92" t="n">
        <x:f>IFERROR(VLOOKUP(L1641,'Reference Data'!$A$5:$F$40,6,FALSE),0)</x:f>
        <x:v>10</x:v>
      </x:c>
      <x:c r="R1641" s="84" t="n">
        <x:f>'Raw Sales'!J1641</x:f>
        <x:v>3</x:v>
      </x:c>
      <x:c r="S1641" s="87" t="n">
        <x:f>'Raw Sales'!K1641</x:f>
        <x:v>0.05</x:v>
      </x:c>
      <x:c r="T1641" s="93" t="n">
        <x:f>P1641*R1641</x:f>
        <x:v>87</x:v>
      </x:c>
      <x:c r="U1641" s="93" t="n">
        <x:f>T1641*S1641</x:f>
        <x:v>4.3500000000000005</x:v>
      </x:c>
      <x:c r="V1641" s="93" t="str">
        <x:f>PROPER(TRIM('Raw Sales'!L1641))</x:f>
        <x:v>Completed</x:v>
      </x:c>
      <x:c r="W1641" s="93" t="n">
        <x:f>IF(V1641="Returned",0,T1641-U1641)</x:f>
        <x:v>82.65</x:v>
      </x:c>
      <x:c r="X1641" s="93" t="n">
        <x:f>IF(V1641="Returned",Q1641*R1641*10%,Q1641*R1641)</x:f>
        <x:v>30</x:v>
      </x:c>
      <x:c r="Y1641" s="93" t="n">
        <x:f>W1641-X1641</x:f>
        <x:v>52.650000000000006</x:v>
      </x:c>
      <x:c r="Z1641" s="94" t="n">
        <x:f>IFERROR(Y1641/W1641,0)</x:f>
        <x:v>0.6370235934664247</x:v>
      </x:c>
      <x:c r="AA1641" s="84" t="str">
        <x:f>PROPER(TRIM('Raw Sales'!M1641))</x:f>
        <x:v>Debit Card</x:v>
      </x:c>
      <x:c r="AB1641" s="84" t="str">
        <x:f>PROPER(TRIM('Raw Sales'!N1641))</x:f>
        <x:v>Zoe Turner</x:v>
      </x:c>
      <x:c r="AC1641" s="85" t="n">
        <x:f>'Raw Sales'!O1641</x:f>
        <x:v>45829</x:v>
      </x:c>
      <x:c r="AD1641" s="84" t="n">
        <x:f>AC1641-B1641</x:f>
        <x:v>0</x:v>
      </x:c>
      <x:c r="AE1641" s="84" t="str">
        <x:f>IF(COUNTIF($A$5:A1641,A1641)&gt;1,"Duplicate","Keep")</x:f>
        <x:v>Keep</x:v>
      </x:c>
      <x:c r="AF1641" s="84" t="str">
        <x:f>IF(OR(R1641&lt;=0,AC1641&lt;B1641,H1641="Unknown",M1641="Unknown Product"),"Review","Valid")</x:f>
        <x:v>Valid</x:v>
      </x:c>
      <x:c r="AG1641" s="84" t="n">
        <x:f>IF(AND(AE1641="Keep",AF1641="Valid"),1,0)</x:f>
        <x:v>1</x:v>
      </x:c>
      <x:c r="AH1641" s="84" t="n">
        <x:f>IF(AND(AG1641=1,OR('Dashboard'!$B$4="All",I1641='Dashboard'!$B$4),OR('Dashboard'!$E$4="All",N1641='Dashboard'!$E$4),OR('Dashboard'!$H$4="All",K1641='Dashboard'!$H$4),OR('Dashboard'!$K$4="All",C1641='Dashboard'!$K$4)),1,0)</x:f>
        <x:v>1</x:v>
      </x:c>
      <x:c r="AI1641" s="84" t="n">
        <x:f>IF(AND(AG1641=1,OR('Dashboard'!$B$4="All",I1641='Dashboard'!$B$4),OR('Dashboard'!$E$4="All",N1641='Dashboard'!$E$4),OR('Dashboard'!$H$4="All",K1641='Dashboard'!$H$4)),1,0)</x:f>
        <x:v>1</x:v>
      </x:c>
    </x:row>
    <x:row r="1642">
      <x:c r="A1642" s="84" t="str">
        <x:f>'Raw Sales'!A1642</x:f>
        <x:v>ORD-2025-01525</x:v>
      </x:c>
      <x:c r="B1642" s="85" t="n">
        <x:f>'Raw Sales'!B1642</x:f>
        <x:v>45829</x:v>
      </x:c>
      <x:c r="C1642" s="84" t="n">
        <x:f>YEAR(B1642)</x:f>
        <x:v>2025</x:v>
      </x:c>
      <x:c r="D1642" s="91" t="n">
        <x:f>DATE(YEAR(B1642),MONTH(B1642),1)</x:f>
        <x:v>45809</x:v>
      </x:c>
      <x:c r="E1642" s="84" t="str">
        <x:f>TEXT(B1642,"mmm")</x:f>
        <x:v>Jun</x:v>
      </x:c>
      <x:c r="F1642" s="84" t="str">
        <x:f>'Raw Sales'!C1642</x:f>
        <x:v>CUST-0623</x:v>
      </x:c>
      <x:c r="G1642" s="84" t="str">
        <x:f>PROPER(TRIM('Raw Sales'!D1642))</x:f>
        <x:v>Theo Roberts</x:v>
      </x:c>
      <x:c r="H1642" s="84" t="str">
        <x:f>IF(TRIM('Raw Sales'!E1642)="","Unknown",PROPER(TRIM('Raw Sales'!E1642)))</x:f>
        <x:v>Unknown</x:v>
      </x:c>
      <x:c r="I1642" s="84" t="str">
        <x:f>PROPER(TRIM('Raw Sales'!F1642))</x:f>
        <x:v>Midwest</x:v>
      </x:c>
      <x:c r="J1642" s="84" t="str">
        <x:f>PROPER(TRIM('Raw Sales'!G1642))</x:f>
        <x:v>Detroit</x:v>
      </x:c>
      <x:c r="K1642" s="84" t="str">
        <x:f>PROPER(TRIM('Raw Sales'!H1642))</x:f>
        <x:v>Retail Store</x:v>
      </x:c>
      <x:c r="L1642" s="84" t="str">
        <x:f>'Raw Sales'!I1642</x:f>
        <x:v>OFFC-002</x:v>
      </x:c>
      <x:c r="M1642" s="84" t="str">
        <x:f>IFERROR(VLOOKUP(L1642,'Reference Data'!$A$5:$F$40,2,FALSE),"Unknown Product")</x:f>
        <x:v>Standing Desk</x:v>
      </x:c>
      <x:c r="N1642" s="84" t="str">
        <x:f>IFERROR(VLOOKUP(L1642,'Reference Data'!$A$5:$F$40,3,FALSE),"Unknown")</x:f>
        <x:v>Office</x:v>
      </x:c>
      <x:c r="O1642" s="84" t="str">
        <x:f>IFERROR(VLOOKUP(L1642,'Reference Data'!$A$5:$F$40,4,FALSE),"Unknown")</x:f>
        <x:v>Furniture</x:v>
      </x:c>
      <x:c r="P1642" s="92" t="n">
        <x:f>IFERROR(VLOOKUP(L1642,'Reference Data'!$A$5:$F$40,5,FALSE),0)</x:f>
        <x:v>399</x:v>
      </x:c>
      <x:c r="Q1642" s="92" t="n">
        <x:f>IFERROR(VLOOKUP(L1642,'Reference Data'!$A$5:$F$40,6,FALSE),0)</x:f>
        <x:v>235</x:v>
      </x:c>
      <x:c r="R1642" s="84" t="n">
        <x:f>'Raw Sales'!J1642</x:f>
        <x:v>1</x:v>
      </x:c>
      <x:c r="S1642" s="87" t="n">
        <x:f>'Raw Sales'!K1642</x:f>
        <x:v>0</x:v>
      </x:c>
      <x:c r="T1642" s="93" t="n">
        <x:f>P1642*R1642</x:f>
        <x:v>399</x:v>
      </x:c>
      <x:c r="U1642" s="93" t="n">
        <x:f>T1642*S1642</x:f>
        <x:v>0</x:v>
      </x:c>
      <x:c r="V1642" s="93" t="str">
        <x:f>PROPER(TRIM('Raw Sales'!L1642))</x:f>
        <x:v>Completed</x:v>
      </x:c>
      <x:c r="W1642" s="93" t="n">
        <x:f>IF(V1642="Returned",0,T1642-U1642)</x:f>
        <x:v>399</x:v>
      </x:c>
      <x:c r="X1642" s="93" t="n">
        <x:f>IF(V1642="Returned",Q1642*R1642*10%,Q1642*R1642)</x:f>
        <x:v>235</x:v>
      </x:c>
      <x:c r="Y1642" s="93" t="n">
        <x:f>W1642-X1642</x:f>
        <x:v>164</x:v>
      </x:c>
      <x:c r="Z1642" s="94" t="n">
        <x:f>IFERROR(Y1642/W1642,0)</x:f>
        <x:v>0.41102756892230574</x:v>
      </x:c>
      <x:c r="AA1642" s="84" t="str">
        <x:f>PROPER(TRIM('Raw Sales'!M1642))</x:f>
        <x:v>Mobile Wallet</x:v>
      </x:c>
      <x:c r="AB1642" s="84" t="str">
        <x:f>PROPER(TRIM('Raw Sales'!N1642))</x:f>
        <x:v>Zoe Turner</x:v>
      </x:c>
      <x:c r="AC1642" s="85" t="n">
        <x:f>'Raw Sales'!O1642</x:f>
        <x:v>45829</x:v>
      </x:c>
      <x:c r="AD1642" s="84" t="n">
        <x:f>AC1642-B1642</x:f>
        <x:v>0</x:v>
      </x:c>
      <x:c r="AE1642" s="84" t="str">
        <x:f>IF(COUNTIF($A$5:A1642,A1642)&gt;1,"Duplicate","Keep")</x:f>
        <x:v>Keep</x:v>
      </x:c>
      <x:c r="AF1642" s="84" t="str">
        <x:f>IF(OR(R1642&lt;=0,AC1642&lt;B1642,H1642="Unknown",M1642="Unknown Product"),"Review","Valid")</x:f>
        <x:v>Review</x:v>
      </x:c>
      <x:c r="AG1642" s="84" t="n">
        <x:f>IF(AND(AE1642="Keep",AF1642="Valid"),1,0)</x:f>
        <x:v>0</x:v>
      </x:c>
      <x:c r="AH1642" s="84" t="n">
        <x:f>IF(AND(AG1642=1,OR('Dashboard'!$B$4="All",I1642='Dashboard'!$B$4),OR('Dashboard'!$E$4="All",N1642='Dashboard'!$E$4),OR('Dashboard'!$H$4="All",K1642='Dashboard'!$H$4),OR('Dashboard'!$K$4="All",C1642='Dashboard'!$K$4)),1,0)</x:f>
        <x:v>0</x:v>
      </x:c>
      <x:c r="AI1642" s="84" t="n">
        <x:f>IF(AND(AG1642=1,OR('Dashboard'!$B$4="All",I1642='Dashboard'!$B$4),OR('Dashboard'!$E$4="All",N1642='Dashboard'!$E$4),OR('Dashboard'!$H$4="All",K1642='Dashboard'!$H$4)),1,0)</x:f>
        <x:v>0</x:v>
      </x:c>
    </x:row>
    <x:row r="1643">
      <x:c r="A1643" s="84" t="str">
        <x:f>'Raw Sales'!A1643</x:f>
        <x:v>ORD-2025-00040</x:v>
      </x:c>
      <x:c r="B1643" s="85" t="n">
        <x:f>'Raw Sales'!B1643</x:f>
        <x:v>45830</x:v>
      </x:c>
      <x:c r="C1643" s="84" t="n">
        <x:f>YEAR(B1643)</x:f>
        <x:v>2025</x:v>
      </x:c>
      <x:c r="D1643" s="91" t="n">
        <x:f>DATE(YEAR(B1643),MONTH(B1643),1)</x:f>
        <x:v>45809</x:v>
      </x:c>
      <x:c r="E1643" s="84" t="str">
        <x:f>TEXT(B1643,"mmm")</x:f>
        <x:v>Jun</x:v>
      </x:c>
      <x:c r="F1643" s="84" t="str">
        <x:f>'Raw Sales'!C1643</x:f>
        <x:v>CUST-0564</x:v>
      </x:c>
      <x:c r="G1643" s="84" t="str">
        <x:f>PROPER(TRIM('Raw Sales'!D1643))</x:f>
        <x:v>Amelia Khan</x:v>
      </x:c>
      <x:c r="H1643" s="84" t="str">
        <x:f>IF(TRIM('Raw Sales'!E1643)="","Unknown",PROPER(TRIM('Raw Sales'!E1643)))</x:f>
        <x:v>Corporate</x:v>
      </x:c>
      <x:c r="I1643" s="84" t="str">
        <x:f>PROPER(TRIM('Raw Sales'!F1643))</x:f>
        <x:v>Southeast</x:v>
      </x:c>
      <x:c r="J1643" s="84" t="str">
        <x:f>PROPER(TRIM('Raw Sales'!G1643))</x:f>
        <x:v>Miami</x:v>
      </x:c>
      <x:c r="K1643" s="84" t="str">
        <x:f>PROPER(TRIM('Raw Sales'!H1643))</x:f>
        <x:v>Retail Store</x:v>
      </x:c>
      <x:c r="L1643" s="84" t="str">
        <x:f>'Raw Sales'!I1643</x:f>
        <x:v>OFFC-006</x:v>
      </x:c>
      <x:c r="M1643" s="84" t="str">
        <x:f>IFERROR(VLOOKUP(L1643,'Reference Data'!$A$5:$F$40,2,FALSE),"Unknown Product")</x:f>
        <x:v>Monitor Stand</x:v>
      </x:c>
      <x:c r="N1643" s="84" t="str">
        <x:f>IFERROR(VLOOKUP(L1643,'Reference Data'!$A$5:$F$40,3,FALSE),"Unknown")</x:f>
        <x:v>Office</x:v>
      </x:c>
      <x:c r="O1643" s="84" t="str">
        <x:f>IFERROR(VLOOKUP(L1643,'Reference Data'!$A$5:$F$40,4,FALSE),"Unknown")</x:f>
        <x:v>Desk Accessories</x:v>
      </x:c>
      <x:c r="P1643" s="92" t="n">
        <x:f>IFERROR(VLOOKUP(L1643,'Reference Data'!$A$5:$F$40,5,FALSE),0)</x:f>
        <x:v>49</x:v>
      </x:c>
      <x:c r="Q1643" s="92" t="n">
        <x:f>IFERROR(VLOOKUP(L1643,'Reference Data'!$A$5:$F$40,6,FALSE),0)</x:f>
        <x:v>21</x:v>
      </x:c>
      <x:c r="R1643" s="84" t="n">
        <x:f>'Raw Sales'!J1643</x:f>
        <x:v>4</x:v>
      </x:c>
      <x:c r="S1643" s="87" t="n">
        <x:f>'Raw Sales'!K1643</x:f>
        <x:v>0.05</x:v>
      </x:c>
      <x:c r="T1643" s="93" t="n">
        <x:f>P1643*R1643</x:f>
        <x:v>196</x:v>
      </x:c>
      <x:c r="U1643" s="93" t="n">
        <x:f>T1643*S1643</x:f>
        <x:v>9.8</x:v>
      </x:c>
      <x:c r="V1643" s="93" t="str">
        <x:f>PROPER(TRIM('Raw Sales'!L1643))</x:f>
        <x:v>Completed</x:v>
      </x:c>
      <x:c r="W1643" s="93" t="n">
        <x:f>IF(V1643="Returned",0,T1643-U1643)</x:f>
        <x:v>186.2</x:v>
      </x:c>
      <x:c r="X1643" s="93" t="n">
        <x:f>IF(V1643="Returned",Q1643*R1643*10%,Q1643*R1643)</x:f>
        <x:v>84</x:v>
      </x:c>
      <x:c r="Y1643" s="93" t="n">
        <x:f>W1643-X1643</x:f>
        <x:v>102.19999999999999</x:v>
      </x:c>
      <x:c r="Z1643" s="94" t="n">
        <x:f>IFERROR(Y1643/W1643,0)</x:f>
        <x:v>0.5488721804511278</x:v>
      </x:c>
      <x:c r="AA1643" s="84" t="str">
        <x:f>PROPER(TRIM('Raw Sales'!M1643))</x:f>
        <x:v>Credit Card</x:v>
      </x:c>
      <x:c r="AB1643" s="84" t="str">
        <x:f>PROPER(TRIM('Raw Sales'!N1643))</x:f>
        <x:v>Noah Reed</x:v>
      </x:c>
      <x:c r="AC1643" s="85" t="n">
        <x:f>'Raw Sales'!O1643</x:f>
        <x:v>45830</x:v>
      </x:c>
      <x:c r="AD1643" s="84" t="n">
        <x:f>AC1643-B1643</x:f>
        <x:v>0</x:v>
      </x:c>
      <x:c r="AE1643" s="84" t="str">
        <x:f>IF(COUNTIF($A$5:A1643,A1643)&gt;1,"Duplicate","Keep")</x:f>
        <x:v>Keep</x:v>
      </x:c>
      <x:c r="AF1643" s="84" t="str">
        <x:f>IF(OR(R1643&lt;=0,AC1643&lt;B1643,H1643="Unknown",M1643="Unknown Product"),"Review","Valid")</x:f>
        <x:v>Valid</x:v>
      </x:c>
      <x:c r="AG1643" s="84" t="n">
        <x:f>IF(AND(AE1643="Keep",AF1643="Valid"),1,0)</x:f>
        <x:v>1</x:v>
      </x:c>
      <x:c r="AH1643" s="84" t="n">
        <x:f>IF(AND(AG1643=1,OR('Dashboard'!$B$4="All",I1643='Dashboard'!$B$4),OR('Dashboard'!$E$4="All",N1643='Dashboard'!$E$4),OR('Dashboard'!$H$4="All",K1643='Dashboard'!$H$4),OR('Dashboard'!$K$4="All",C1643='Dashboard'!$K$4)),1,0)</x:f>
        <x:v>1</x:v>
      </x:c>
      <x:c r="AI1643" s="84" t="n">
        <x:f>IF(AND(AG1643=1,OR('Dashboard'!$B$4="All",I1643='Dashboard'!$B$4),OR('Dashboard'!$E$4="All",N1643='Dashboard'!$E$4),OR('Dashboard'!$H$4="All",K1643='Dashboard'!$H$4)),1,0)</x:f>
        <x:v>1</x:v>
      </x:c>
    </x:row>
    <x:row r="1644">
      <x:c r="A1644" s="84" t="str">
        <x:f>'Raw Sales'!A1644</x:f>
        <x:v>ORD-2025-00793</x:v>
      </x:c>
      <x:c r="B1644" s="85" t="n">
        <x:f>'Raw Sales'!B1644</x:f>
        <x:v>45830</x:v>
      </x:c>
      <x:c r="C1644" s="84" t="n">
        <x:f>YEAR(B1644)</x:f>
        <x:v>2025</x:v>
      </x:c>
      <x:c r="D1644" s="91" t="n">
        <x:f>DATE(YEAR(B1644),MONTH(B1644),1)</x:f>
        <x:v>45809</x:v>
      </x:c>
      <x:c r="E1644" s="84" t="str">
        <x:f>TEXT(B1644,"mmm")</x:f>
        <x:v>Jun</x:v>
      </x:c>
      <x:c r="F1644" s="84" t="str">
        <x:f>'Raw Sales'!C1644</x:f>
        <x:v>CUST-0472</x:v>
      </x:c>
      <x:c r="G1644" s="84" t="str">
        <x:f>PROPER(TRIM('Raw Sales'!D1644))</x:f>
        <x:v>Owen Davis</x:v>
      </x:c>
      <x:c r="H1644" s="84" t="str">
        <x:f>IF(TRIM('Raw Sales'!E1644)="","Unknown",PROPER(TRIM('Raw Sales'!E1644)))</x:f>
        <x:v>Unknown</x:v>
      </x:c>
      <x:c r="I1644" s="84" t="str">
        <x:f>PROPER(TRIM('Raw Sales'!F1644))</x:f>
        <x:v>West</x:v>
      </x:c>
      <x:c r="J1644" s="84" t="str">
        <x:f>PROPER(TRIM('Raw Sales'!G1644))</x:f>
        <x:v>Los Angeles</x:v>
      </x:c>
      <x:c r="K1644" s="84" t="str">
        <x:f>PROPER(TRIM('Raw Sales'!H1644))</x:f>
        <x:v>Retail Store</x:v>
      </x:c>
      <x:c r="L1644" s="84" t="str">
        <x:f>'Raw Sales'!I1644</x:f>
        <x:v>FITN-005</x:v>
      </x:c>
      <x:c r="M1644" s="84" t="str">
        <x:f>IFERROR(VLOOKUP(L1644,'Reference Data'!$A$5:$F$40,2,FALSE),"Unknown Product")</x:f>
        <x:v>Sports Water Bottle</x:v>
      </x:c>
      <x:c r="N1644" s="84" t="str">
        <x:f>IFERROR(VLOOKUP(L1644,'Reference Data'!$A$5:$F$40,3,FALSE),"Unknown")</x:f>
        <x:v>Fitness</x:v>
      </x:c>
      <x:c r="O1644" s="84" t="str">
        <x:f>IFERROR(VLOOKUP(L1644,'Reference Data'!$A$5:$F$40,4,FALSE),"Unknown")</x:f>
        <x:v>Accessories</x:v>
      </x:c>
      <x:c r="P1644" s="92" t="n">
        <x:f>IFERROR(VLOOKUP(L1644,'Reference Data'!$A$5:$F$40,5,FALSE),0)</x:f>
        <x:v>22</x:v>
      </x:c>
      <x:c r="Q1644" s="92" t="n">
        <x:f>IFERROR(VLOOKUP(L1644,'Reference Data'!$A$5:$F$40,6,FALSE),0)</x:f>
        <x:v>7</x:v>
      </x:c>
      <x:c r="R1644" s="84" t="n">
        <x:f>'Raw Sales'!J1644</x:f>
        <x:v>4</x:v>
      </x:c>
      <x:c r="S1644" s="87" t="n">
        <x:f>'Raw Sales'!K1644</x:f>
        <x:v>0</x:v>
      </x:c>
      <x:c r="T1644" s="93" t="n">
        <x:f>P1644*R1644</x:f>
        <x:v>88</x:v>
      </x:c>
      <x:c r="U1644" s="93" t="n">
        <x:f>T1644*S1644</x:f>
        <x:v>0</x:v>
      </x:c>
      <x:c r="V1644" s="93" t="str">
        <x:f>PROPER(TRIM('Raw Sales'!L1644))</x:f>
        <x:v>Completed</x:v>
      </x:c>
      <x:c r="W1644" s="93" t="n">
        <x:f>IF(V1644="Returned",0,T1644-U1644)</x:f>
        <x:v>88</x:v>
      </x:c>
      <x:c r="X1644" s="93" t="n">
        <x:f>IF(V1644="Returned",Q1644*R1644*10%,Q1644*R1644)</x:f>
        <x:v>28</x:v>
      </x:c>
      <x:c r="Y1644" s="93" t="n">
        <x:f>W1644-X1644</x:f>
        <x:v>60</x:v>
      </x:c>
      <x:c r="Z1644" s="94" t="n">
        <x:f>IFERROR(Y1644/W1644,0)</x:f>
        <x:v>0.6818181818181818</x:v>
      </x:c>
      <x:c r="AA1644" s="84" t="str">
        <x:f>PROPER(TRIM('Raw Sales'!M1644))</x:f>
        <x:v>Mobile Wallet</x:v>
      </x:c>
      <x:c r="AB1644" s="84" t="str">
        <x:f>PROPER(TRIM('Raw Sales'!N1644))</x:f>
        <x:v>Nora Kim</x:v>
      </x:c>
      <x:c r="AC1644" s="85" t="n">
        <x:f>'Raw Sales'!O1644</x:f>
        <x:v>45830</x:v>
      </x:c>
      <x:c r="AD1644" s="84" t="n">
        <x:f>AC1644-B1644</x:f>
        <x:v>0</x:v>
      </x:c>
      <x:c r="AE1644" s="84" t="str">
        <x:f>IF(COUNTIF($A$5:A1644,A1644)&gt;1,"Duplicate","Keep")</x:f>
        <x:v>Keep</x:v>
      </x:c>
      <x:c r="AF1644" s="84" t="str">
        <x:f>IF(OR(R1644&lt;=0,AC1644&lt;B1644,H1644="Unknown",M1644="Unknown Product"),"Review","Valid")</x:f>
        <x:v>Review</x:v>
      </x:c>
      <x:c r="AG1644" s="84" t="n">
        <x:f>IF(AND(AE1644="Keep",AF1644="Valid"),1,0)</x:f>
        <x:v>0</x:v>
      </x:c>
      <x:c r="AH1644" s="84" t="n">
        <x:f>IF(AND(AG1644=1,OR('Dashboard'!$B$4="All",I1644='Dashboard'!$B$4),OR('Dashboard'!$E$4="All",N1644='Dashboard'!$E$4),OR('Dashboard'!$H$4="All",K1644='Dashboard'!$H$4),OR('Dashboard'!$K$4="All",C1644='Dashboard'!$K$4)),1,0)</x:f>
        <x:v>0</x:v>
      </x:c>
      <x:c r="AI1644" s="84" t="n">
        <x:f>IF(AND(AG1644=1,OR('Dashboard'!$B$4="All",I1644='Dashboard'!$B$4),OR('Dashboard'!$E$4="All",N1644='Dashboard'!$E$4),OR('Dashboard'!$H$4="All",K1644='Dashboard'!$H$4)),1,0)</x:f>
        <x:v>0</x:v>
      </x:c>
    </x:row>
    <x:row r="1645">
      <x:c r="A1645" s="84" t="str">
        <x:f>'Raw Sales'!A1645</x:f>
        <x:v>ORD-2025-01071</x:v>
      </x:c>
      <x:c r="B1645" s="85" t="n">
        <x:f>'Raw Sales'!B1645</x:f>
        <x:v>45830</x:v>
      </x:c>
      <x:c r="C1645" s="84" t="n">
        <x:f>YEAR(B1645)</x:f>
        <x:v>2025</x:v>
      </x:c>
      <x:c r="D1645" s="91" t="n">
        <x:f>DATE(YEAR(B1645),MONTH(B1645),1)</x:f>
        <x:v>45809</x:v>
      </x:c>
      <x:c r="E1645" s="84" t="str">
        <x:f>TEXT(B1645,"mmm")</x:f>
        <x:v>Jun</x:v>
      </x:c>
      <x:c r="F1645" s="84" t="str">
        <x:f>'Raw Sales'!C1645</x:f>
        <x:v>CUST-0592</x:v>
      </x:c>
      <x:c r="G1645" s="84" t="str">
        <x:f>PROPER(TRIM('Raw Sales'!D1645))</x:f>
        <x:v>Theo Patel</x:v>
      </x:c>
      <x:c r="H1645" s="84" t="str">
        <x:f>IF(TRIM('Raw Sales'!E1645)="","Unknown",PROPER(TRIM('Raw Sales'!E1645)))</x:f>
        <x:v>Corporate</x:v>
      </x:c>
      <x:c r="I1645" s="84" t="str">
        <x:f>PROPER(TRIM('Raw Sales'!F1645))</x:f>
        <x:v>Southeast</x:v>
      </x:c>
      <x:c r="J1645" s="84" t="str">
        <x:f>PROPER(TRIM('Raw Sales'!G1645))</x:f>
        <x:v>Nashville</x:v>
      </x:c>
      <x:c r="K1645" s="84" t="str">
        <x:f>PROPER(TRIM('Raw Sales'!H1645))</x:f>
        <x:v>Marketplace</x:v>
      </x:c>
      <x:c r="L1645" s="84" t="str">
        <x:f>'Raw Sales'!I1645</x:f>
        <x:v>HOME-001</x:v>
      </x:c>
      <x:c r="M1645" s="84" t="str">
        <x:f>IFERROR(VLOOKUP(L1645,'Reference Data'!$A$5:$F$40,2,FALSE),"Unknown Product")</x:f>
        <x:v>Air Fryer</x:v>
      </x:c>
      <x:c r="N1645" s="84" t="str">
        <x:f>IFERROR(VLOOKUP(L1645,'Reference Data'!$A$5:$F$40,3,FALSE),"Unknown")</x:f>
        <x:v>Home &amp; Kitchen</x:v>
      </x:c>
      <x:c r="O1645" s="84" t="str">
        <x:f>IFERROR(VLOOKUP(L1645,'Reference Data'!$A$5:$F$40,4,FALSE),"Unknown")</x:f>
        <x:v>Small Appliances</x:v>
      </x:c>
      <x:c r="P1645" s="92" t="n">
        <x:f>IFERROR(VLOOKUP(L1645,'Reference Data'!$A$5:$F$40,5,FALSE),0)</x:f>
        <x:v>119</x:v>
      </x:c>
      <x:c r="Q1645" s="92" t="n">
        <x:f>IFERROR(VLOOKUP(L1645,'Reference Data'!$A$5:$F$40,6,FALSE),0)</x:f>
        <x:v>68</x:v>
      </x:c>
      <x:c r="R1645" s="84" t="n">
        <x:f>'Raw Sales'!J1645</x:f>
        <x:v>8</x:v>
      </x:c>
      <x:c r="S1645" s="87" t="n">
        <x:f>'Raw Sales'!K1645</x:f>
        <x:v>0</x:v>
      </x:c>
      <x:c r="T1645" s="93" t="n">
        <x:f>P1645*R1645</x:f>
        <x:v>952</x:v>
      </x:c>
      <x:c r="U1645" s="93" t="n">
        <x:f>T1645*S1645</x:f>
        <x:v>0</x:v>
      </x:c>
      <x:c r="V1645" s="93" t="str">
        <x:f>PROPER(TRIM('Raw Sales'!L1645))</x:f>
        <x:v>Completed</x:v>
      </x:c>
      <x:c r="W1645" s="93" t="n">
        <x:f>IF(V1645="Returned",0,T1645-U1645)</x:f>
        <x:v>952</x:v>
      </x:c>
      <x:c r="X1645" s="93" t="n">
        <x:f>IF(V1645="Returned",Q1645*R1645*10%,Q1645*R1645)</x:f>
        <x:v>544</x:v>
      </x:c>
      <x:c r="Y1645" s="93" t="n">
        <x:f>W1645-X1645</x:f>
        <x:v>408</x:v>
      </x:c>
      <x:c r="Z1645" s="94" t="n">
        <x:f>IFERROR(Y1645/W1645,0)</x:f>
        <x:v>0.42857142857142855</x:v>
      </x:c>
      <x:c r="AA1645" s="84" t="str">
        <x:f>PROPER(TRIM('Raw Sales'!M1645))</x:f>
        <x:v>Debit Card</x:v>
      </x:c>
      <x:c r="AB1645" s="84" t="str">
        <x:f>PROPER(TRIM('Raw Sales'!N1645))</x:f>
        <x:v>Noah Reed</x:v>
      </x:c>
      <x:c r="AC1645" s="85" t="n">
        <x:f>'Raw Sales'!O1645</x:f>
        <x:v>45834</x:v>
      </x:c>
      <x:c r="AD1645" s="84" t="n">
        <x:f>AC1645-B1645</x:f>
        <x:v>4</x:v>
      </x:c>
      <x:c r="AE1645" s="84" t="str">
        <x:f>IF(COUNTIF($A$5:A1645,A1645)&gt;1,"Duplicate","Keep")</x:f>
        <x:v>Keep</x:v>
      </x:c>
      <x:c r="AF1645" s="84" t="str">
        <x:f>IF(OR(R1645&lt;=0,AC1645&lt;B1645,H1645="Unknown",M1645="Unknown Product"),"Review","Valid")</x:f>
        <x:v>Valid</x:v>
      </x:c>
      <x:c r="AG1645" s="84" t="n">
        <x:f>IF(AND(AE1645="Keep",AF1645="Valid"),1,0)</x:f>
        <x:v>1</x:v>
      </x:c>
      <x:c r="AH1645" s="84" t="n">
        <x:f>IF(AND(AG1645=1,OR('Dashboard'!$B$4="All",I1645='Dashboard'!$B$4),OR('Dashboard'!$E$4="All",N1645='Dashboard'!$E$4),OR('Dashboard'!$H$4="All",K1645='Dashboard'!$H$4),OR('Dashboard'!$K$4="All",C1645='Dashboard'!$K$4)),1,0)</x:f>
        <x:v>1</x:v>
      </x:c>
      <x:c r="AI1645" s="84" t="n">
        <x:f>IF(AND(AG1645=1,OR('Dashboard'!$B$4="All",I1645='Dashboard'!$B$4),OR('Dashboard'!$E$4="All",N1645='Dashboard'!$E$4),OR('Dashboard'!$H$4="All",K1645='Dashboard'!$H$4)),1,0)</x:f>
        <x:v>1</x:v>
      </x:c>
    </x:row>
    <x:row r="1646">
      <x:c r="A1646" s="84" t="str">
        <x:f>'Raw Sales'!A1646</x:f>
        <x:v>ORD-2025-01372</x:v>
      </x:c>
      <x:c r="B1646" s="85" t="n">
        <x:f>'Raw Sales'!B1646</x:f>
        <x:v>45830</x:v>
      </x:c>
      <x:c r="C1646" s="84" t="n">
        <x:f>YEAR(B1646)</x:f>
        <x:v>2025</x:v>
      </x:c>
      <x:c r="D1646" s="91" t="n">
        <x:f>DATE(YEAR(B1646),MONTH(B1646),1)</x:f>
        <x:v>45809</x:v>
      </x:c>
      <x:c r="E1646" s="84" t="str">
        <x:f>TEXT(B1646,"mmm")</x:f>
        <x:v>Jun</x:v>
      </x:c>
      <x:c r="F1646" s="84" t="str">
        <x:f>'Raw Sales'!C1646</x:f>
        <x:v>CUST-0589</x:v>
      </x:c>
      <x:c r="G1646" s="84" t="str">
        <x:f>PROPER(TRIM('Raw Sales'!D1646))</x:f>
        <x:v>Nathan Foster</x:v>
      </x:c>
      <x:c r="H1646" s="84" t="str">
        <x:f>IF(TRIM('Raw Sales'!E1646)="","Unknown",PROPER(TRIM('Raw Sales'!E1646)))</x:f>
        <x:v>Consumer</x:v>
      </x:c>
      <x:c r="I1646" s="84" t="str">
        <x:f>PROPER(TRIM('Raw Sales'!F1646))</x:f>
        <x:v>Northeast</x:v>
      </x:c>
      <x:c r="J1646" s="84" t="str">
        <x:f>PROPER(TRIM('Raw Sales'!G1646))</x:f>
        <x:v>Philadelphia</x:v>
      </x:c>
      <x:c r="K1646" s="84" t="str">
        <x:f>PROPER(TRIM('Raw Sales'!H1646))</x:f>
        <x:v>Online</x:v>
      </x:c>
      <x:c r="L1646" s="84" t="str">
        <x:f>'Raw Sales'!I1646</x:f>
        <x:v>FITN-005</x:v>
      </x:c>
      <x:c r="M1646" s="84" t="str">
        <x:f>IFERROR(VLOOKUP(L1646,'Reference Data'!$A$5:$F$40,2,FALSE),"Unknown Product")</x:f>
        <x:v>Sports Water Bottle</x:v>
      </x:c>
      <x:c r="N1646" s="84" t="str">
        <x:f>IFERROR(VLOOKUP(L1646,'Reference Data'!$A$5:$F$40,3,FALSE),"Unknown")</x:f>
        <x:v>Fitness</x:v>
      </x:c>
      <x:c r="O1646" s="84" t="str">
        <x:f>IFERROR(VLOOKUP(L1646,'Reference Data'!$A$5:$F$40,4,FALSE),"Unknown")</x:f>
        <x:v>Accessories</x:v>
      </x:c>
      <x:c r="P1646" s="92" t="n">
        <x:f>IFERROR(VLOOKUP(L1646,'Reference Data'!$A$5:$F$40,5,FALSE),0)</x:f>
        <x:v>22</x:v>
      </x:c>
      <x:c r="Q1646" s="92" t="n">
        <x:f>IFERROR(VLOOKUP(L1646,'Reference Data'!$A$5:$F$40,6,FALSE),0)</x:f>
        <x:v>7</x:v>
      </x:c>
      <x:c r="R1646" s="84" t="n">
        <x:f>'Raw Sales'!J1646</x:f>
        <x:v>1</x:v>
      </x:c>
      <x:c r="S1646" s="87" t="n">
        <x:f>'Raw Sales'!K1646</x:f>
        <x:v>0</x:v>
      </x:c>
      <x:c r="T1646" s="93" t="n">
        <x:f>P1646*R1646</x:f>
        <x:v>22</x:v>
      </x:c>
      <x:c r="U1646" s="93" t="n">
        <x:f>T1646*S1646</x:f>
        <x:v>0</x:v>
      </x:c>
      <x:c r="V1646" s="93" t="str">
        <x:f>PROPER(TRIM('Raw Sales'!L1646))</x:f>
        <x:v>Completed</x:v>
      </x:c>
      <x:c r="W1646" s="93" t="n">
        <x:f>IF(V1646="Returned",0,T1646-U1646)</x:f>
        <x:v>22</x:v>
      </x:c>
      <x:c r="X1646" s="93" t="n">
        <x:f>IF(V1646="Returned",Q1646*R1646*10%,Q1646*R1646)</x:f>
        <x:v>7</x:v>
      </x:c>
      <x:c r="Y1646" s="93" t="n">
        <x:f>W1646-X1646</x:f>
        <x:v>15</x:v>
      </x:c>
      <x:c r="Z1646" s="94" t="n">
        <x:f>IFERROR(Y1646/W1646,0)</x:f>
        <x:v>0.6818181818181818</x:v>
      </x:c>
      <x:c r="AA1646" s="84" t="str">
        <x:f>PROPER(TRIM('Raw Sales'!M1646))</x:f>
        <x:v>Credit Card</x:v>
      </x:c>
      <x:c r="AB1646" s="84" t="str">
        <x:f>PROPER(TRIM('Raw Sales'!N1646))</x:f>
        <x:v>Ethan Cole</x:v>
      </x:c>
      <x:c r="AC1646" s="85" t="n">
        <x:f>'Raw Sales'!O1646</x:f>
        <x:v>45834</x:v>
      </x:c>
      <x:c r="AD1646" s="84" t="n">
        <x:f>AC1646-B1646</x:f>
        <x:v>4</x:v>
      </x:c>
      <x:c r="AE1646" s="84" t="str">
        <x:f>IF(COUNTIF($A$5:A1646,A1646)&gt;1,"Duplicate","Keep")</x:f>
        <x:v>Keep</x:v>
      </x:c>
      <x:c r="AF1646" s="84" t="str">
        <x:f>IF(OR(R1646&lt;=0,AC1646&lt;B1646,H1646="Unknown",M1646="Unknown Product"),"Review","Valid")</x:f>
        <x:v>Valid</x:v>
      </x:c>
      <x:c r="AG1646" s="84" t="n">
        <x:f>IF(AND(AE1646="Keep",AF1646="Valid"),1,0)</x:f>
        <x:v>1</x:v>
      </x:c>
      <x:c r="AH1646" s="84" t="n">
        <x:f>IF(AND(AG1646=1,OR('Dashboard'!$B$4="All",I1646='Dashboard'!$B$4),OR('Dashboard'!$E$4="All",N1646='Dashboard'!$E$4),OR('Dashboard'!$H$4="All",K1646='Dashboard'!$H$4),OR('Dashboard'!$K$4="All",C1646='Dashboard'!$K$4)),1,0)</x:f>
        <x:v>1</x:v>
      </x:c>
      <x:c r="AI1646" s="84" t="n">
        <x:f>IF(AND(AG1646=1,OR('Dashboard'!$B$4="All",I1646='Dashboard'!$B$4),OR('Dashboard'!$E$4="All",N1646='Dashboard'!$E$4),OR('Dashboard'!$H$4="All",K1646='Dashboard'!$H$4)),1,0)</x:f>
        <x:v>1</x:v>
      </x:c>
    </x:row>
    <x:row r="1647">
      <x:c r="A1647" s="84" t="str">
        <x:f>'Raw Sales'!A1647</x:f>
        <x:v>ORD-2025-00503</x:v>
      </x:c>
      <x:c r="B1647" s="85" t="n">
        <x:f>'Raw Sales'!B1647</x:f>
        <x:v>45831</x:v>
      </x:c>
      <x:c r="C1647" s="84" t="n">
        <x:f>YEAR(B1647)</x:f>
        <x:v>2025</x:v>
      </x:c>
      <x:c r="D1647" s="91" t="n">
        <x:f>DATE(YEAR(B1647),MONTH(B1647),1)</x:f>
        <x:v>45809</x:v>
      </x:c>
      <x:c r="E1647" s="84" t="str">
        <x:f>TEXT(B1647,"mmm")</x:f>
        <x:v>Jun</x:v>
      </x:c>
      <x:c r="F1647" s="84" t="str">
        <x:f>'Raw Sales'!C1647</x:f>
        <x:v>CUST-0476</x:v>
      </x:c>
      <x:c r="G1647" s="84" t="str">
        <x:f>PROPER(TRIM('Raw Sales'!D1647))</x:f>
        <x:v>Victoria Irwin</x:v>
      </x:c>
      <x:c r="H1647" s="84" t="str">
        <x:f>IF(TRIM('Raw Sales'!E1647)="","Unknown",PROPER(TRIM('Raw Sales'!E1647)))</x:f>
        <x:v>Small Business</x:v>
      </x:c>
      <x:c r="I1647" s="84" t="str">
        <x:f>PROPER(TRIM('Raw Sales'!F1647))</x:f>
        <x:v>Southeast</x:v>
      </x:c>
      <x:c r="J1647" s="84" t="str">
        <x:f>PROPER(TRIM('Raw Sales'!G1647))</x:f>
        <x:v>Charlotte</x:v>
      </x:c>
      <x:c r="K1647" s="84" t="str">
        <x:f>PROPER(TRIM('Raw Sales'!H1647))</x:f>
        <x:v>Online</x:v>
      </x:c>
      <x:c r="L1647" s="84" t="str">
        <x:f>'Raw Sales'!I1647</x:f>
        <x:v>FITN-005</x:v>
      </x:c>
      <x:c r="M1647" s="84" t="str">
        <x:f>IFERROR(VLOOKUP(L1647,'Reference Data'!$A$5:$F$40,2,FALSE),"Unknown Product")</x:f>
        <x:v>Sports Water Bottle</x:v>
      </x:c>
      <x:c r="N1647" s="84" t="str">
        <x:f>IFERROR(VLOOKUP(L1647,'Reference Data'!$A$5:$F$40,3,FALSE),"Unknown")</x:f>
        <x:v>Fitness</x:v>
      </x:c>
      <x:c r="O1647" s="84" t="str">
        <x:f>IFERROR(VLOOKUP(L1647,'Reference Data'!$A$5:$F$40,4,FALSE),"Unknown")</x:f>
        <x:v>Accessories</x:v>
      </x:c>
      <x:c r="P1647" s="92" t="n">
        <x:f>IFERROR(VLOOKUP(L1647,'Reference Data'!$A$5:$F$40,5,FALSE),0)</x:f>
        <x:v>22</x:v>
      </x:c>
      <x:c r="Q1647" s="92" t="n">
        <x:f>IFERROR(VLOOKUP(L1647,'Reference Data'!$A$5:$F$40,6,FALSE),0)</x:f>
        <x:v>7</x:v>
      </x:c>
      <x:c r="R1647" s="84" t="n">
        <x:f>'Raw Sales'!J1647</x:f>
        <x:v>2</x:v>
      </x:c>
      <x:c r="S1647" s="87" t="n">
        <x:f>'Raw Sales'!K1647</x:f>
        <x:v>0.05</x:v>
      </x:c>
      <x:c r="T1647" s="93" t="n">
        <x:f>P1647*R1647</x:f>
        <x:v>44</x:v>
      </x:c>
      <x:c r="U1647" s="93" t="n">
        <x:f>T1647*S1647</x:f>
        <x:v>2.2</x:v>
      </x:c>
      <x:c r="V1647" s="93" t="str">
        <x:f>PROPER(TRIM('Raw Sales'!L1647))</x:f>
        <x:v>Completed</x:v>
      </x:c>
      <x:c r="W1647" s="93" t="n">
        <x:f>IF(V1647="Returned",0,T1647-U1647)</x:f>
        <x:v>41.8</x:v>
      </x:c>
      <x:c r="X1647" s="93" t="n">
        <x:f>IF(V1647="Returned",Q1647*R1647*10%,Q1647*R1647)</x:f>
        <x:v>14</x:v>
      </x:c>
      <x:c r="Y1647" s="93" t="n">
        <x:f>W1647-X1647</x:f>
        <x:v>27.799999999999997</x:v>
      </x:c>
      <x:c r="Z1647" s="94" t="n">
        <x:f>IFERROR(Y1647/W1647,0)</x:f>
        <x:v>0.6650717703349283</x:v>
      </x:c>
      <x:c r="AA1647" s="84" t="str">
        <x:f>PROPER(TRIM('Raw Sales'!M1647))</x:f>
        <x:v>Debit Card</x:v>
      </x:c>
      <x:c r="AB1647" s="84" t="str">
        <x:f>PROPER(TRIM('Raw Sales'!N1647))</x:f>
        <x:v>Noah Reed</x:v>
      </x:c>
      <x:c r="AC1647" s="85" t="n">
        <x:f>'Raw Sales'!O1647</x:f>
        <x:v>45833</x:v>
      </x:c>
      <x:c r="AD1647" s="84" t="n">
        <x:f>AC1647-B1647</x:f>
        <x:v>2</x:v>
      </x:c>
      <x:c r="AE1647" s="84" t="str">
        <x:f>IF(COUNTIF($A$5:A1647,A1647)&gt;1,"Duplicate","Keep")</x:f>
        <x:v>Keep</x:v>
      </x:c>
      <x:c r="AF1647" s="84" t="str">
        <x:f>IF(OR(R1647&lt;=0,AC1647&lt;B1647,H1647="Unknown",M1647="Unknown Product"),"Review","Valid")</x:f>
        <x:v>Valid</x:v>
      </x:c>
      <x:c r="AG1647" s="84" t="n">
        <x:f>IF(AND(AE1647="Keep",AF1647="Valid"),1,0)</x:f>
        <x:v>1</x:v>
      </x:c>
      <x:c r="AH1647" s="84" t="n">
        <x:f>IF(AND(AG1647=1,OR('Dashboard'!$B$4="All",I1647='Dashboard'!$B$4),OR('Dashboard'!$E$4="All",N1647='Dashboard'!$E$4),OR('Dashboard'!$H$4="All",K1647='Dashboard'!$H$4),OR('Dashboard'!$K$4="All",C1647='Dashboard'!$K$4)),1,0)</x:f>
        <x:v>1</x:v>
      </x:c>
      <x:c r="AI1647" s="84" t="n">
        <x:f>IF(AND(AG1647=1,OR('Dashboard'!$B$4="All",I1647='Dashboard'!$B$4),OR('Dashboard'!$E$4="All",N1647='Dashboard'!$E$4),OR('Dashboard'!$H$4="All",K1647='Dashboard'!$H$4)),1,0)</x:f>
        <x:v>1</x:v>
      </x:c>
    </x:row>
    <x:row r="1648">
      <x:c r="A1648" s="84" t="str">
        <x:f>'Raw Sales'!A1648</x:f>
        <x:v>ORD-2025-01615</x:v>
      </x:c>
      <x:c r="B1648" s="85" t="n">
        <x:f>'Raw Sales'!B1648</x:f>
        <x:v>45831</x:v>
      </x:c>
      <x:c r="C1648" s="84" t="n">
        <x:f>YEAR(B1648)</x:f>
        <x:v>2025</x:v>
      </x:c>
      <x:c r="D1648" s="91" t="n">
        <x:f>DATE(YEAR(B1648),MONTH(B1648),1)</x:f>
        <x:v>45809</x:v>
      </x:c>
      <x:c r="E1648" s="84" t="str">
        <x:f>TEXT(B1648,"mmm")</x:f>
        <x:v>Jun</x:v>
      </x:c>
      <x:c r="F1648" s="84" t="str">
        <x:f>'Raw Sales'!C1648</x:f>
        <x:v>CUST-0235</x:v>
      </x:c>
      <x:c r="G1648" s="84" t="str">
        <x:f>PROPER(TRIM('Raw Sales'!D1648))</x:f>
        <x:v>Samuel Quinn</x:v>
      </x:c>
      <x:c r="H1648" s="84" t="str">
        <x:f>IF(TRIM('Raw Sales'!E1648)="","Unknown",PROPER(TRIM('Raw Sales'!E1648)))</x:f>
        <x:v>Consumer</x:v>
      </x:c>
      <x:c r="I1648" s="84" t="str">
        <x:f>PROPER(TRIM('Raw Sales'!F1648))</x:f>
        <x:v>West</x:v>
      </x:c>
      <x:c r="J1648" s="84" t="str">
        <x:f>PROPER(TRIM('Raw Sales'!G1648))</x:f>
        <x:v>Phoenix</x:v>
      </x:c>
      <x:c r="K1648" s="84" t="str">
        <x:f>PROPER(TRIM('Raw Sales'!H1648))</x:f>
        <x:v>Online</x:v>
      </x:c>
      <x:c r="L1648" s="84" t="str">
        <x:f>'Raw Sales'!I1648</x:f>
        <x:v>ELEC-006</x:v>
      </x:c>
      <x:c r="M1648" s="84" t="str">
        <x:f>IFERROR(VLOOKUP(L1648,'Reference Data'!$A$5:$F$40,2,FALSE),"Unknown Product")</x:f>
        <x:v>Portable SSD</x:v>
      </x:c>
      <x:c r="N1648" s="84" t="str">
        <x:f>IFERROR(VLOOKUP(L1648,'Reference Data'!$A$5:$F$40,3,FALSE),"Unknown")</x:f>
        <x:v>Electronics</x:v>
      </x:c>
      <x:c r="O1648" s="84" t="str">
        <x:f>IFERROR(VLOOKUP(L1648,'Reference Data'!$A$5:$F$40,4,FALSE),"Unknown")</x:f>
        <x:v>Storage</x:v>
      </x:c>
      <x:c r="P1648" s="92" t="n">
        <x:f>IFERROR(VLOOKUP(L1648,'Reference Data'!$A$5:$F$40,5,FALSE),0)</x:f>
        <x:v>129</x:v>
      </x:c>
      <x:c r="Q1648" s="92" t="n">
        <x:f>IFERROR(VLOOKUP(L1648,'Reference Data'!$A$5:$F$40,6,FALSE),0)</x:f>
        <x:v>75</x:v>
      </x:c>
      <x:c r="R1648" s="84" t="n">
        <x:f>'Raw Sales'!J1648</x:f>
        <x:v>1</x:v>
      </x:c>
      <x:c r="S1648" s="87" t="n">
        <x:f>'Raw Sales'!K1648</x:f>
        <x:v>0.05</x:v>
      </x:c>
      <x:c r="T1648" s="93" t="n">
        <x:f>P1648*R1648</x:f>
        <x:v>129</x:v>
      </x:c>
      <x:c r="U1648" s="93" t="n">
        <x:f>T1648*S1648</x:f>
        <x:v>6.45</x:v>
      </x:c>
      <x:c r="V1648" s="93" t="str">
        <x:f>PROPER(TRIM('Raw Sales'!L1648))</x:f>
        <x:v>Returned</x:v>
      </x:c>
      <x:c r="W1648" s="93" t="n">
        <x:f>IF(V1648="Returned",0,T1648-U1648)</x:f>
        <x:v>0</x:v>
      </x:c>
      <x:c r="X1648" s="93" t="n">
        <x:f>IF(V1648="Returned",Q1648*R1648*10%,Q1648*R1648)</x:f>
        <x:v>7.5</x:v>
      </x:c>
      <x:c r="Y1648" s="93" t="n">
        <x:f>W1648-X1648</x:f>
        <x:v>-7.5</x:v>
      </x:c>
      <x:c r="Z1648" s="94" t="n">
        <x:f>IFERROR(Y1648/W1648,0)</x:f>
        <x:v>0</x:v>
      </x:c>
      <x:c r="AA1648" s="84" t="str">
        <x:f>PROPER(TRIM('Raw Sales'!M1648))</x:f>
        <x:v>Credit Card</x:v>
      </x:c>
      <x:c r="AB1648" s="84" t="str">
        <x:f>PROPER(TRIM('Raw Sales'!N1648))</x:f>
        <x:v>Nora Kim</x:v>
      </x:c>
      <x:c r="AC1648" s="85" t="n">
        <x:f>'Raw Sales'!O1648</x:f>
        <x:v>45834</x:v>
      </x:c>
      <x:c r="AD1648" s="84" t="n">
        <x:f>AC1648-B1648</x:f>
        <x:v>3</x:v>
      </x:c>
      <x:c r="AE1648" s="84" t="str">
        <x:f>IF(COUNTIF($A$5:A1648,A1648)&gt;1,"Duplicate","Keep")</x:f>
        <x:v>Keep</x:v>
      </x:c>
      <x:c r="AF1648" s="84" t="str">
        <x:f>IF(OR(R1648&lt;=0,AC1648&lt;B1648,H1648="Unknown",M1648="Unknown Product"),"Review","Valid")</x:f>
        <x:v>Valid</x:v>
      </x:c>
      <x:c r="AG1648" s="84" t="n">
        <x:f>IF(AND(AE1648="Keep",AF1648="Valid"),1,0)</x:f>
        <x:v>1</x:v>
      </x:c>
      <x:c r="AH1648" s="84" t="n">
        <x:f>IF(AND(AG1648=1,OR('Dashboard'!$B$4="All",I1648='Dashboard'!$B$4),OR('Dashboard'!$E$4="All",N1648='Dashboard'!$E$4),OR('Dashboard'!$H$4="All",K1648='Dashboard'!$H$4),OR('Dashboard'!$K$4="All",C1648='Dashboard'!$K$4)),1,0)</x:f>
        <x:v>1</x:v>
      </x:c>
      <x:c r="AI1648" s="84" t="n">
        <x:f>IF(AND(AG1648=1,OR('Dashboard'!$B$4="All",I1648='Dashboard'!$B$4),OR('Dashboard'!$E$4="All",N1648='Dashboard'!$E$4),OR('Dashboard'!$H$4="All",K1648='Dashboard'!$H$4)),1,0)</x:f>
        <x:v>1</x:v>
      </x:c>
    </x:row>
    <x:row r="1649">
      <x:c r="A1649" s="84" t="str">
        <x:f>'Raw Sales'!A1649</x:f>
        <x:v>ORD-2025-02217</x:v>
      </x:c>
      <x:c r="B1649" s="85" t="n">
        <x:f>'Raw Sales'!B1649</x:f>
        <x:v>45831</x:v>
      </x:c>
      <x:c r="C1649" s="84" t="n">
        <x:f>YEAR(B1649)</x:f>
        <x:v>2025</x:v>
      </x:c>
      <x:c r="D1649" s="91" t="n">
        <x:f>DATE(YEAR(B1649),MONTH(B1649),1)</x:f>
        <x:v>45809</x:v>
      </x:c>
      <x:c r="E1649" s="84" t="str">
        <x:f>TEXT(B1649,"mmm")</x:f>
        <x:v>Jun</x:v>
      </x:c>
      <x:c r="F1649" s="84" t="str">
        <x:f>'Raw Sales'!C1649</x:f>
        <x:v>CUST-0209</x:v>
      </x:c>
      <x:c r="G1649" s="84" t="str">
        <x:f>PROPER(TRIM('Raw Sales'!D1649))</x:f>
        <x:v>Sara Walker</x:v>
      </x:c>
      <x:c r="H1649" s="84" t="str">
        <x:f>IF(TRIM('Raw Sales'!E1649)="","Unknown",PROPER(TRIM('Raw Sales'!E1649)))</x:f>
        <x:v>Consumer</x:v>
      </x:c>
      <x:c r="I1649" s="84" t="str">
        <x:f>PROPER(TRIM('Raw Sales'!F1649))</x:f>
        <x:v>Midwest</x:v>
      </x:c>
      <x:c r="J1649" s="84" t="str">
        <x:f>PROPER(TRIM('Raw Sales'!G1649))</x:f>
        <x:v>Chicago</x:v>
      </x:c>
      <x:c r="K1649" s="84" t="str">
        <x:f>PROPER(TRIM('Raw Sales'!H1649))</x:f>
        <x:v>Retail Store</x:v>
      </x:c>
      <x:c r="L1649" s="84" t="str">
        <x:f>'Raw Sales'!I1649</x:f>
        <x:v>ACCS-003</x:v>
      </x:c>
      <x:c r="M1649" s="84" t="str">
        <x:f>IFERROR(VLOOKUP(L1649,'Reference Data'!$A$5:$F$40,2,FALSE),"Unknown Product")</x:f>
        <x:v>Polarized Sunglasses</x:v>
      </x:c>
      <x:c r="N1649" s="84" t="str">
        <x:f>IFERROR(VLOOKUP(L1649,'Reference Data'!$A$5:$F$40,3,FALSE),"Unknown")</x:f>
        <x:v>Accessories</x:v>
      </x:c>
      <x:c r="O1649" s="84" t="str">
        <x:f>IFERROR(VLOOKUP(L1649,'Reference Data'!$A$5:$F$40,4,FALSE),"Unknown")</x:f>
        <x:v>Eyewear</x:v>
      </x:c>
      <x:c r="P1649" s="92" t="n">
        <x:f>IFERROR(VLOOKUP(L1649,'Reference Data'!$A$5:$F$40,5,FALSE),0)</x:f>
        <x:v>59</x:v>
      </x:c>
      <x:c r="Q1649" s="92" t="n">
        <x:f>IFERROR(VLOOKUP(L1649,'Reference Data'!$A$5:$F$40,6,FALSE),0)</x:f>
        <x:v>17</x:v>
      </x:c>
      <x:c r="R1649" s="84" t="n">
        <x:f>'Raw Sales'!J1649</x:f>
        <x:v>1</x:v>
      </x:c>
      <x:c r="S1649" s="87" t="n">
        <x:f>'Raw Sales'!K1649</x:f>
        <x:v>0.05</x:v>
      </x:c>
      <x:c r="T1649" s="93" t="n">
        <x:f>P1649*R1649</x:f>
        <x:v>59</x:v>
      </x:c>
      <x:c r="U1649" s="93" t="n">
        <x:f>T1649*S1649</x:f>
        <x:v>2.95</x:v>
      </x:c>
      <x:c r="V1649" s="93" t="str">
        <x:f>PROPER(TRIM('Raw Sales'!L1649))</x:f>
        <x:v>Completed</x:v>
      </x:c>
      <x:c r="W1649" s="93" t="n">
        <x:f>IF(V1649="Returned",0,T1649-U1649)</x:f>
        <x:v>56.05</x:v>
      </x:c>
      <x:c r="X1649" s="93" t="n">
        <x:f>IF(V1649="Returned",Q1649*R1649*10%,Q1649*R1649)</x:f>
        <x:v>17</x:v>
      </x:c>
      <x:c r="Y1649" s="93" t="n">
        <x:f>W1649-X1649</x:f>
        <x:v>39.05</x:v>
      </x:c>
      <x:c r="Z1649" s="94" t="n">
        <x:f>IFERROR(Y1649/W1649,0)</x:f>
        <x:v>0.6966993755575379</x:v>
      </x:c>
      <x:c r="AA1649" s="84" t="str">
        <x:f>PROPER(TRIM('Raw Sales'!M1649))</x:f>
        <x:v>Credit Card</x:v>
      </x:c>
      <x:c r="AB1649" s="84" t="str">
        <x:f>PROPER(TRIM('Raw Sales'!N1649))</x:f>
        <x:v>Lucas Grant</x:v>
      </x:c>
      <x:c r="AC1649" s="85" t="n">
        <x:f>'Raw Sales'!O1649</x:f>
        <x:v>45831</x:v>
      </x:c>
      <x:c r="AD1649" s="84" t="n">
        <x:f>AC1649-B1649</x:f>
        <x:v>0</x:v>
      </x:c>
      <x:c r="AE1649" s="84" t="str">
        <x:f>IF(COUNTIF($A$5:A1649,A1649)&gt;1,"Duplicate","Keep")</x:f>
        <x:v>Keep</x:v>
      </x:c>
      <x:c r="AF1649" s="84" t="str">
        <x:f>IF(OR(R1649&lt;=0,AC1649&lt;B1649,H1649="Unknown",M1649="Unknown Product"),"Review","Valid")</x:f>
        <x:v>Valid</x:v>
      </x:c>
      <x:c r="AG1649" s="84" t="n">
        <x:f>IF(AND(AE1649="Keep",AF1649="Valid"),1,0)</x:f>
        <x:v>1</x:v>
      </x:c>
      <x:c r="AH1649" s="84" t="n">
        <x:f>IF(AND(AG1649=1,OR('Dashboard'!$B$4="All",I1649='Dashboard'!$B$4),OR('Dashboard'!$E$4="All",N1649='Dashboard'!$E$4),OR('Dashboard'!$H$4="All",K1649='Dashboard'!$H$4),OR('Dashboard'!$K$4="All",C1649='Dashboard'!$K$4)),1,0)</x:f>
        <x:v>1</x:v>
      </x:c>
      <x:c r="AI1649" s="84" t="n">
        <x:f>IF(AND(AG1649=1,OR('Dashboard'!$B$4="All",I1649='Dashboard'!$B$4),OR('Dashboard'!$E$4="All",N1649='Dashboard'!$E$4),OR('Dashboard'!$H$4="All",K1649='Dashboard'!$H$4)),1,0)</x:f>
        <x:v>1</x:v>
      </x:c>
    </x:row>
    <x:row r="1650">
      <x:c r="A1650" s="84" t="str">
        <x:f>'Raw Sales'!A1650</x:f>
        <x:v>ORD-2025-00143</x:v>
      </x:c>
      <x:c r="B1650" s="85" t="n">
        <x:f>'Raw Sales'!B1650</x:f>
        <x:v>45832</x:v>
      </x:c>
      <x:c r="C1650" s="84" t="n">
        <x:f>YEAR(B1650)</x:f>
        <x:v>2025</x:v>
      </x:c>
      <x:c r="D1650" s="91" t="n">
        <x:f>DATE(YEAR(B1650),MONTH(B1650),1)</x:f>
        <x:v>45809</x:v>
      </x:c>
      <x:c r="E1650" s="84" t="str">
        <x:f>TEXT(B1650,"mmm")</x:f>
        <x:v>Jun</x:v>
      </x:c>
      <x:c r="F1650" s="84" t="str">
        <x:f>'Raw Sales'!C1650</x:f>
        <x:v>CUST-0076</x:v>
      </x:c>
      <x:c r="G1650" s="84" t="str">
        <x:f>PROPER(TRIM('Raw Sales'!D1650))</x:f>
        <x:v>Jonah Patel</x:v>
      </x:c>
      <x:c r="H1650" s="84" t="str">
        <x:f>IF(TRIM('Raw Sales'!E1650)="","Unknown",PROPER(TRIM('Raw Sales'!E1650)))</x:f>
        <x:v>Small Business</x:v>
      </x:c>
      <x:c r="I1650" s="84" t="str">
        <x:f>PROPER(TRIM('Raw Sales'!F1650))</x:f>
        <x:v>Southeast</x:v>
      </x:c>
      <x:c r="J1650" s="84" t="str">
        <x:f>PROPER(TRIM('Raw Sales'!G1650))</x:f>
        <x:v>Charlotte</x:v>
      </x:c>
      <x:c r="K1650" s="84" t="str">
        <x:f>PROPER(TRIM('Raw Sales'!H1650))</x:f>
        <x:v>Online</x:v>
      </x:c>
      <x:c r="L1650" s="84" t="str">
        <x:f>'Raw Sales'!I1650</x:f>
        <x:v>ACCS-006</x:v>
      </x:c>
      <x:c r="M1650" s="84" t="str">
        <x:f>IFERROR(VLOOKUP(L1650,'Reference Data'!$A$5:$F$40,2,FALSE),"Unknown Product")</x:f>
        <x:v>Insulated Lunch Bag</x:v>
      </x:c>
      <x:c r="N1650" s="84" t="str">
        <x:f>IFERROR(VLOOKUP(L1650,'Reference Data'!$A$5:$F$40,3,FALSE),"Unknown")</x:f>
        <x:v>Accessories</x:v>
      </x:c>
      <x:c r="O1650" s="84" t="str">
        <x:f>IFERROR(VLOOKUP(L1650,'Reference Data'!$A$5:$F$40,4,FALSE),"Unknown")</x:f>
        <x:v>Bags</x:v>
      </x:c>
      <x:c r="P1650" s="92" t="n">
        <x:f>IFERROR(VLOOKUP(L1650,'Reference Data'!$A$5:$F$40,5,FALSE),0)</x:f>
        <x:v>29</x:v>
      </x:c>
      <x:c r="Q1650" s="92" t="n">
        <x:f>IFERROR(VLOOKUP(L1650,'Reference Data'!$A$5:$F$40,6,FALSE),0)</x:f>
        <x:v>10</x:v>
      </x:c>
      <x:c r="R1650" s="84" t="n">
        <x:f>'Raw Sales'!J1650</x:f>
        <x:v>1</x:v>
      </x:c>
      <x:c r="S1650" s="87" t="n">
        <x:f>'Raw Sales'!K1650</x:f>
        <x:v>0.05</x:v>
      </x:c>
      <x:c r="T1650" s="93" t="n">
        <x:f>P1650*R1650</x:f>
        <x:v>29</x:v>
      </x:c>
      <x:c r="U1650" s="93" t="n">
        <x:f>T1650*S1650</x:f>
        <x:v>1.4500000000000002</x:v>
      </x:c>
      <x:c r="V1650" s="93" t="str">
        <x:f>PROPER(TRIM('Raw Sales'!L1650))</x:f>
        <x:v>Completed</x:v>
      </x:c>
      <x:c r="W1650" s="93" t="n">
        <x:f>IF(V1650="Returned",0,T1650-U1650)</x:f>
        <x:v>27.55</x:v>
      </x:c>
      <x:c r="X1650" s="93" t="n">
        <x:f>IF(V1650="Returned",Q1650*R1650*10%,Q1650*R1650)</x:f>
        <x:v>10</x:v>
      </x:c>
      <x:c r="Y1650" s="93" t="n">
        <x:f>W1650-X1650</x:f>
        <x:v>17.55</x:v>
      </x:c>
      <x:c r="Z1650" s="94" t="n">
        <x:f>IFERROR(Y1650/W1650,0)</x:f>
        <x:v>0.6370235934664247</x:v>
      </x:c>
      <x:c r="AA1650" s="84" t="str">
        <x:f>PROPER(TRIM('Raw Sales'!M1650))</x:f>
        <x:v>Debit Card</x:v>
      </x:c>
      <x:c r="AB1650" s="84" t="str">
        <x:f>PROPER(TRIM('Raw Sales'!N1650))</x:f>
        <x:v>Liam Parker</x:v>
      </x:c>
      <x:c r="AC1650" s="85" t="n">
        <x:f>'Raw Sales'!O1650</x:f>
        <x:v>45836</x:v>
      </x:c>
      <x:c r="AD1650" s="84" t="n">
        <x:f>AC1650-B1650</x:f>
        <x:v>4</x:v>
      </x:c>
      <x:c r="AE1650" s="84" t="str">
        <x:f>IF(COUNTIF($A$5:A1650,A1650)&gt;1,"Duplicate","Keep")</x:f>
        <x:v>Keep</x:v>
      </x:c>
      <x:c r="AF1650" s="84" t="str">
        <x:f>IF(OR(R1650&lt;=0,AC1650&lt;B1650,H1650="Unknown",M1650="Unknown Product"),"Review","Valid")</x:f>
        <x:v>Valid</x:v>
      </x:c>
      <x:c r="AG1650" s="84" t="n">
        <x:f>IF(AND(AE1650="Keep",AF1650="Valid"),1,0)</x:f>
        <x:v>1</x:v>
      </x:c>
      <x:c r="AH1650" s="84" t="n">
        <x:f>IF(AND(AG1650=1,OR('Dashboard'!$B$4="All",I1650='Dashboard'!$B$4),OR('Dashboard'!$E$4="All",N1650='Dashboard'!$E$4),OR('Dashboard'!$H$4="All",K1650='Dashboard'!$H$4),OR('Dashboard'!$K$4="All",C1650='Dashboard'!$K$4)),1,0)</x:f>
        <x:v>1</x:v>
      </x:c>
      <x:c r="AI1650" s="84" t="n">
        <x:f>IF(AND(AG1650=1,OR('Dashboard'!$B$4="All",I1650='Dashboard'!$B$4),OR('Dashboard'!$E$4="All",N1650='Dashboard'!$E$4),OR('Dashboard'!$H$4="All",K1650='Dashboard'!$H$4)),1,0)</x:f>
        <x:v>1</x:v>
      </x:c>
    </x:row>
    <x:row r="1651">
      <x:c r="A1651" s="84" t="str">
        <x:f>'Raw Sales'!A1651</x:f>
        <x:v>ORD-2025-01274</x:v>
      </x:c>
      <x:c r="B1651" s="85" t="n">
        <x:f>'Raw Sales'!B1651</x:f>
        <x:v>45832</x:v>
      </x:c>
      <x:c r="C1651" s="84" t="n">
        <x:f>YEAR(B1651)</x:f>
        <x:v>2025</x:v>
      </x:c>
      <x:c r="D1651" s="91" t="n">
        <x:f>DATE(YEAR(B1651),MONTH(B1651),1)</x:f>
        <x:v>45809</x:v>
      </x:c>
      <x:c r="E1651" s="84" t="str">
        <x:f>TEXT(B1651,"mmm")</x:f>
        <x:v>Jun</x:v>
      </x:c>
      <x:c r="F1651" s="84" t="str">
        <x:f>'Raw Sales'!C1651</x:f>
        <x:v>CUST-0189</x:v>
      </x:c>
      <x:c r="G1651" s="84" t="str">
        <x:f>PROPER(TRIM('Raw Sales'!D1651))</x:f>
        <x:v>Marcus Taylor</x:v>
      </x:c>
      <x:c r="H1651" s="84" t="str">
        <x:f>IF(TRIM('Raw Sales'!E1651)="","Unknown",PROPER(TRIM('Raw Sales'!E1651)))</x:f>
        <x:v>Consumer</x:v>
      </x:c>
      <x:c r="I1651" s="84" t="str">
        <x:f>PROPER(TRIM('Raw Sales'!F1651))</x:f>
        <x:v>Midwest</x:v>
      </x:c>
      <x:c r="J1651" s="84" t="str">
        <x:f>PROPER(TRIM('Raw Sales'!G1651))</x:f>
        <x:v>Chicago</x:v>
      </x:c>
      <x:c r="K1651" s="84" t="str">
        <x:f>PROPER(TRIM('Raw Sales'!H1651))</x:f>
        <x:v>Retail Store</x:v>
      </x:c>
      <x:c r="L1651" s="84" t="str">
        <x:f>'Raw Sales'!I1651</x:f>
        <x:v>ELEC-005</x:v>
      </x:c>
      <x:c r="M1651" s="84" t="str">
        <x:f>IFERROR(VLOOKUP(L1651,'Reference Data'!$A$5:$F$40,2,FALSE),"Unknown Product")</x:f>
        <x:v>HD Webcam</x:v>
      </x:c>
      <x:c r="N1651" s="84" t="str">
        <x:f>IFERROR(VLOOKUP(L1651,'Reference Data'!$A$5:$F$40,3,FALSE),"Unknown")</x:f>
        <x:v>Electronics</x:v>
      </x:c>
      <x:c r="O1651" s="84" t="str">
        <x:f>IFERROR(VLOOKUP(L1651,'Reference Data'!$A$5:$F$40,4,FALSE),"Unknown")</x:f>
        <x:v>Computer Accessories</x:v>
      </x:c>
      <x:c r="P1651" s="92" t="n">
        <x:f>IFERROR(VLOOKUP(L1651,'Reference Data'!$A$5:$F$40,5,FALSE),0)</x:f>
        <x:v>79</x:v>
      </x:c>
      <x:c r="Q1651" s="92" t="n">
        <x:f>IFERROR(VLOOKUP(L1651,'Reference Data'!$A$5:$F$40,6,FALSE),0)</x:f>
        <x:v>37</x:v>
      </x:c>
      <x:c r="R1651" s="84" t="n">
        <x:f>'Raw Sales'!J1651</x:f>
        <x:v>1</x:v>
      </x:c>
      <x:c r="S1651" s="87" t="n">
        <x:f>'Raw Sales'!K1651</x:f>
        <x:v>0.1</x:v>
      </x:c>
      <x:c r="T1651" s="93" t="n">
        <x:f>P1651*R1651</x:f>
        <x:v>79</x:v>
      </x:c>
      <x:c r="U1651" s="93" t="n">
        <x:f>T1651*S1651</x:f>
        <x:v>7.9</x:v>
      </x:c>
      <x:c r="V1651" s="93" t="str">
        <x:f>PROPER(TRIM('Raw Sales'!L1651))</x:f>
        <x:v>Completed</x:v>
      </x:c>
      <x:c r="W1651" s="93" t="n">
        <x:f>IF(V1651="Returned",0,T1651-U1651)</x:f>
        <x:v>71.1</x:v>
      </x:c>
      <x:c r="X1651" s="93" t="n">
        <x:f>IF(V1651="Returned",Q1651*R1651*10%,Q1651*R1651)</x:f>
        <x:v>37</x:v>
      </x:c>
      <x:c r="Y1651" s="93" t="n">
        <x:f>W1651-X1651</x:f>
        <x:v>34.099999999999994</x:v>
      </x:c>
      <x:c r="Z1651" s="94" t="n">
        <x:f>IFERROR(Y1651/W1651,0)</x:f>
        <x:v>0.4796061884669479</x:v>
      </x:c>
      <x:c r="AA1651" s="84" t="str">
        <x:f>PROPER(TRIM('Raw Sales'!M1651))</x:f>
        <x:v>Credit Card</x:v>
      </x:c>
      <x:c r="AB1651" s="84" t="str">
        <x:f>PROPER(TRIM('Raw Sales'!N1651))</x:f>
        <x:v>Lucas Grant</x:v>
      </x:c>
      <x:c r="AC1651" s="85" t="n">
        <x:f>'Raw Sales'!O1651</x:f>
        <x:v>45832</x:v>
      </x:c>
      <x:c r="AD1651" s="84" t="n">
        <x:f>AC1651-B1651</x:f>
        <x:v>0</x:v>
      </x:c>
      <x:c r="AE1651" s="84" t="str">
        <x:f>IF(COUNTIF($A$5:A1651,A1651)&gt;1,"Duplicate","Keep")</x:f>
        <x:v>Keep</x:v>
      </x:c>
      <x:c r="AF1651" s="84" t="str">
        <x:f>IF(OR(R1651&lt;=0,AC1651&lt;B1651,H1651="Unknown",M1651="Unknown Product"),"Review","Valid")</x:f>
        <x:v>Valid</x:v>
      </x:c>
      <x:c r="AG1651" s="84" t="n">
        <x:f>IF(AND(AE1651="Keep",AF1651="Valid"),1,0)</x:f>
        <x:v>1</x:v>
      </x:c>
      <x:c r="AH1651" s="84" t="n">
        <x:f>IF(AND(AG1651=1,OR('Dashboard'!$B$4="All",I1651='Dashboard'!$B$4),OR('Dashboard'!$E$4="All",N1651='Dashboard'!$E$4),OR('Dashboard'!$H$4="All",K1651='Dashboard'!$H$4),OR('Dashboard'!$K$4="All",C1651='Dashboard'!$K$4)),1,0)</x:f>
        <x:v>1</x:v>
      </x:c>
      <x:c r="AI1651" s="84" t="n">
        <x:f>IF(AND(AG1651=1,OR('Dashboard'!$B$4="All",I1651='Dashboard'!$B$4),OR('Dashboard'!$E$4="All",N1651='Dashboard'!$E$4),OR('Dashboard'!$H$4="All",K1651='Dashboard'!$H$4)),1,0)</x:f>
        <x:v>1</x:v>
      </x:c>
    </x:row>
    <x:row r="1652">
      <x:c r="A1652" s="84" t="str">
        <x:f>'Raw Sales'!A1652</x:f>
        <x:v>ORD-2025-02394</x:v>
      </x:c>
      <x:c r="B1652" s="85" t="n">
        <x:f>'Raw Sales'!B1652</x:f>
        <x:v>45832</x:v>
      </x:c>
      <x:c r="C1652" s="84" t="n">
        <x:f>YEAR(B1652)</x:f>
        <x:v>2025</x:v>
      </x:c>
      <x:c r="D1652" s="91" t="n">
        <x:f>DATE(YEAR(B1652),MONTH(B1652),1)</x:f>
        <x:v>45809</x:v>
      </x:c>
      <x:c r="E1652" s="84" t="str">
        <x:f>TEXT(B1652,"mmm")</x:f>
        <x:v>Jun</x:v>
      </x:c>
      <x:c r="F1652" s="84" t="str">
        <x:f>'Raw Sales'!C1652</x:f>
        <x:v>CUST-0471</x:v>
      </x:c>
      <x:c r="G1652" s="84" t="str">
        <x:f>PROPER(TRIM('Raw Sales'!D1652))</x:f>
        <x:v>Marcus Lewis</x:v>
      </x:c>
      <x:c r="H1652" s="84" t="str">
        <x:f>IF(TRIM('Raw Sales'!E1652)="","Unknown",PROPER(TRIM('Raw Sales'!E1652)))</x:f>
        <x:v>Consumer</x:v>
      </x:c>
      <x:c r="I1652" s="84" t="str">
        <x:f>PROPER(TRIM('Raw Sales'!F1652))</x:f>
        <x:v>Southeast</x:v>
      </x:c>
      <x:c r="J1652" s="84" t="str">
        <x:f>PROPER(TRIM('Raw Sales'!G1652))</x:f>
        <x:v>Charlotte</x:v>
      </x:c>
      <x:c r="K1652" s="84" t="str">
        <x:f>PROPER(TRIM('Raw Sales'!H1652))</x:f>
        <x:v>Online</x:v>
      </x:c>
      <x:c r="L1652" s="84" t="str">
        <x:f>'Raw Sales'!I1652</x:f>
        <x:v>ELEC-006</x:v>
      </x:c>
      <x:c r="M1652" s="84" t="str">
        <x:f>IFERROR(VLOOKUP(L1652,'Reference Data'!$A$5:$F$40,2,FALSE),"Unknown Product")</x:f>
        <x:v>Portable SSD</x:v>
      </x:c>
      <x:c r="N1652" s="84" t="str">
        <x:f>IFERROR(VLOOKUP(L1652,'Reference Data'!$A$5:$F$40,3,FALSE),"Unknown")</x:f>
        <x:v>Electronics</x:v>
      </x:c>
      <x:c r="O1652" s="84" t="str">
        <x:f>IFERROR(VLOOKUP(L1652,'Reference Data'!$A$5:$F$40,4,FALSE),"Unknown")</x:f>
        <x:v>Storage</x:v>
      </x:c>
      <x:c r="P1652" s="92" t="n">
        <x:f>IFERROR(VLOOKUP(L1652,'Reference Data'!$A$5:$F$40,5,FALSE),0)</x:f>
        <x:v>129</x:v>
      </x:c>
      <x:c r="Q1652" s="92" t="n">
        <x:f>IFERROR(VLOOKUP(L1652,'Reference Data'!$A$5:$F$40,6,FALSE),0)</x:f>
        <x:v>75</x:v>
      </x:c>
      <x:c r="R1652" s="84" t="n">
        <x:f>'Raw Sales'!J1652</x:f>
        <x:v>1</x:v>
      </x:c>
      <x:c r="S1652" s="87" t="n">
        <x:f>'Raw Sales'!K1652</x:f>
        <x:v>0</x:v>
      </x:c>
      <x:c r="T1652" s="93" t="n">
        <x:f>P1652*R1652</x:f>
        <x:v>129</x:v>
      </x:c>
      <x:c r="U1652" s="93" t="n">
        <x:f>T1652*S1652</x:f>
        <x:v>0</x:v>
      </x:c>
      <x:c r="V1652" s="93" t="str">
        <x:f>PROPER(TRIM('Raw Sales'!L1652))</x:f>
        <x:v>Completed</x:v>
      </x:c>
      <x:c r="W1652" s="93" t="n">
        <x:f>IF(V1652="Returned",0,T1652-U1652)</x:f>
        <x:v>129</x:v>
      </x:c>
      <x:c r="X1652" s="93" t="n">
        <x:f>IF(V1652="Returned",Q1652*R1652*10%,Q1652*R1652)</x:f>
        <x:v>75</x:v>
      </x:c>
      <x:c r="Y1652" s="93" t="n">
        <x:f>W1652-X1652</x:f>
        <x:v>54</x:v>
      </x:c>
      <x:c r="Z1652" s="94" t="n">
        <x:f>IFERROR(Y1652/W1652,0)</x:f>
        <x:v>0.4186046511627907</x:v>
      </x:c>
      <x:c r="AA1652" s="84" t="str">
        <x:f>PROPER(TRIM('Raw Sales'!M1652))</x:f>
        <x:v>Credit Card</x:v>
      </x:c>
      <x:c r="AB1652" s="84" t="str">
        <x:f>PROPER(TRIM('Raw Sales'!N1652))</x:f>
        <x:v>Ava Mitchell</x:v>
      </x:c>
      <x:c r="AC1652" s="85" t="n">
        <x:f>'Raw Sales'!O1652</x:f>
        <x:v>45835</x:v>
      </x:c>
      <x:c r="AD1652" s="84" t="n">
        <x:f>AC1652-B1652</x:f>
        <x:v>3</x:v>
      </x:c>
      <x:c r="AE1652" s="84" t="str">
        <x:f>IF(COUNTIF($A$5:A1652,A1652)&gt;1,"Duplicate","Keep")</x:f>
        <x:v>Keep</x:v>
      </x:c>
      <x:c r="AF1652" s="84" t="str">
        <x:f>IF(OR(R1652&lt;=0,AC1652&lt;B1652,H1652="Unknown",M1652="Unknown Product"),"Review","Valid")</x:f>
        <x:v>Valid</x:v>
      </x:c>
      <x:c r="AG1652" s="84" t="n">
        <x:f>IF(AND(AE1652="Keep",AF1652="Valid"),1,0)</x:f>
        <x:v>1</x:v>
      </x:c>
      <x:c r="AH1652" s="84" t="n">
        <x:f>IF(AND(AG1652=1,OR('Dashboard'!$B$4="All",I1652='Dashboard'!$B$4),OR('Dashboard'!$E$4="All",N1652='Dashboard'!$E$4),OR('Dashboard'!$H$4="All",K1652='Dashboard'!$H$4),OR('Dashboard'!$K$4="All",C1652='Dashboard'!$K$4)),1,0)</x:f>
        <x:v>1</x:v>
      </x:c>
      <x:c r="AI1652" s="84" t="n">
        <x:f>IF(AND(AG1652=1,OR('Dashboard'!$B$4="All",I1652='Dashboard'!$B$4),OR('Dashboard'!$E$4="All",N1652='Dashboard'!$E$4),OR('Dashboard'!$H$4="All",K1652='Dashboard'!$H$4)),1,0)</x:f>
        <x:v>1</x:v>
      </x:c>
    </x:row>
    <x:row r="1653">
      <x:c r="A1653" s="84" t="str">
        <x:f>'Raw Sales'!A1653</x:f>
        <x:v>ORD-2025-01218</x:v>
      </x:c>
      <x:c r="B1653" s="85" t="n">
        <x:f>'Raw Sales'!B1653</x:f>
        <x:v>45833</x:v>
      </x:c>
      <x:c r="C1653" s="84" t="n">
        <x:f>YEAR(B1653)</x:f>
        <x:v>2025</x:v>
      </x:c>
      <x:c r="D1653" s="91" t="n">
        <x:f>DATE(YEAR(B1653),MONTH(B1653),1)</x:f>
        <x:v>45809</x:v>
      </x:c>
      <x:c r="E1653" s="84" t="str">
        <x:f>TEXT(B1653,"mmm")</x:f>
        <x:v>Jun</x:v>
      </x:c>
      <x:c r="F1653" s="84" t="str">
        <x:f>'Raw Sales'!C1653</x:f>
        <x:v>CUST-0202</x:v>
      </x:c>
      <x:c r="G1653" s="84" t="str">
        <x:f>PROPER(TRIM('Raw Sales'!D1653))</x:f>
        <x:v>Jasmine Garcia</x:v>
      </x:c>
      <x:c r="H1653" s="84" t="str">
        <x:f>IF(TRIM('Raw Sales'!E1653)="","Unknown",PROPER(TRIM('Raw Sales'!E1653)))</x:f>
        <x:v>Small Business</x:v>
      </x:c>
      <x:c r="I1653" s="84" t="str">
        <x:f>PROPER(TRIM('Raw Sales'!F1653))</x:f>
        <x:v>Midwest</x:v>
      </x:c>
      <x:c r="J1653" s="84" t="str">
        <x:f>PROPER(TRIM('Raw Sales'!G1653))</x:f>
        <x:v>Detroit</x:v>
      </x:c>
      <x:c r="K1653" s="84" t="str">
        <x:f>PROPER(TRIM('Raw Sales'!H1653))</x:f>
        <x:v>Online</x:v>
      </x:c>
      <x:c r="L1653" s="84" t="str">
        <x:f>'Raw Sales'!I1653</x:f>
        <x:v>FITN-005</x:v>
      </x:c>
      <x:c r="M1653" s="84" t="str">
        <x:f>IFERROR(VLOOKUP(L1653,'Reference Data'!$A$5:$F$40,2,FALSE),"Unknown Product")</x:f>
        <x:v>Sports Water Bottle</x:v>
      </x:c>
      <x:c r="N1653" s="84" t="str">
        <x:f>IFERROR(VLOOKUP(L1653,'Reference Data'!$A$5:$F$40,3,FALSE),"Unknown")</x:f>
        <x:v>Fitness</x:v>
      </x:c>
      <x:c r="O1653" s="84" t="str">
        <x:f>IFERROR(VLOOKUP(L1653,'Reference Data'!$A$5:$F$40,4,FALSE),"Unknown")</x:f>
        <x:v>Accessories</x:v>
      </x:c>
      <x:c r="P1653" s="92" t="n">
        <x:f>IFERROR(VLOOKUP(L1653,'Reference Data'!$A$5:$F$40,5,FALSE),0)</x:f>
        <x:v>22</x:v>
      </x:c>
      <x:c r="Q1653" s="92" t="n">
        <x:f>IFERROR(VLOOKUP(L1653,'Reference Data'!$A$5:$F$40,6,FALSE),0)</x:f>
        <x:v>7</x:v>
      </x:c>
      <x:c r="R1653" s="84" t="n">
        <x:f>'Raw Sales'!J1653</x:f>
        <x:v>1</x:v>
      </x:c>
      <x:c r="S1653" s="87" t="n">
        <x:f>'Raw Sales'!K1653</x:f>
        <x:v>0.05</x:v>
      </x:c>
      <x:c r="T1653" s="93" t="n">
        <x:f>P1653*R1653</x:f>
        <x:v>22</x:v>
      </x:c>
      <x:c r="U1653" s="93" t="n">
        <x:f>T1653*S1653</x:f>
        <x:v>1.1</x:v>
      </x:c>
      <x:c r="V1653" s="93" t="str">
        <x:f>PROPER(TRIM('Raw Sales'!L1653))</x:f>
        <x:v>Completed</x:v>
      </x:c>
      <x:c r="W1653" s="93" t="n">
        <x:f>IF(V1653="Returned",0,T1653-U1653)</x:f>
        <x:v>20.9</x:v>
      </x:c>
      <x:c r="X1653" s="93" t="n">
        <x:f>IF(V1653="Returned",Q1653*R1653*10%,Q1653*R1653)</x:f>
        <x:v>7</x:v>
      </x:c>
      <x:c r="Y1653" s="93" t="n">
        <x:f>W1653-X1653</x:f>
        <x:v>13.899999999999999</x:v>
      </x:c>
      <x:c r="Z1653" s="94" t="n">
        <x:f>IFERROR(Y1653/W1653,0)</x:f>
        <x:v>0.6650717703349283</x:v>
      </x:c>
      <x:c r="AA1653" s="84" t="str">
        <x:f>PROPER(TRIM('Raw Sales'!M1653))</x:f>
        <x:v>Debit Card</x:v>
      </x:c>
      <x:c r="AB1653" s="84" t="str">
        <x:f>PROPER(TRIM('Raw Sales'!N1653))</x:f>
        <x:v>Emma Hayes</x:v>
      </x:c>
      <x:c r="AC1653" s="85" t="n">
        <x:f>'Raw Sales'!O1653</x:f>
        <x:v>45835</x:v>
      </x:c>
      <x:c r="AD1653" s="84" t="n">
        <x:f>AC1653-B1653</x:f>
        <x:v>2</x:v>
      </x:c>
      <x:c r="AE1653" s="84" t="str">
        <x:f>IF(COUNTIF($A$5:A1653,A1653)&gt;1,"Duplicate","Keep")</x:f>
        <x:v>Keep</x:v>
      </x:c>
      <x:c r="AF1653" s="84" t="str">
        <x:f>IF(OR(R1653&lt;=0,AC1653&lt;B1653,H1653="Unknown",M1653="Unknown Product"),"Review","Valid")</x:f>
        <x:v>Valid</x:v>
      </x:c>
      <x:c r="AG1653" s="84" t="n">
        <x:f>IF(AND(AE1653="Keep",AF1653="Valid"),1,0)</x:f>
        <x:v>1</x:v>
      </x:c>
      <x:c r="AH1653" s="84" t="n">
        <x:f>IF(AND(AG1653=1,OR('Dashboard'!$B$4="All",I1653='Dashboard'!$B$4),OR('Dashboard'!$E$4="All",N1653='Dashboard'!$E$4),OR('Dashboard'!$H$4="All",K1653='Dashboard'!$H$4),OR('Dashboard'!$K$4="All",C1653='Dashboard'!$K$4)),1,0)</x:f>
        <x:v>1</x:v>
      </x:c>
      <x:c r="AI1653" s="84" t="n">
        <x:f>IF(AND(AG1653=1,OR('Dashboard'!$B$4="All",I1653='Dashboard'!$B$4),OR('Dashboard'!$E$4="All",N1653='Dashboard'!$E$4),OR('Dashboard'!$H$4="All",K1653='Dashboard'!$H$4)),1,0)</x:f>
        <x:v>1</x:v>
      </x:c>
    </x:row>
    <x:row r="1654">
      <x:c r="A1654" s="84" t="str">
        <x:f>'Raw Sales'!A1654</x:f>
        <x:v>ORD-2025-01661</x:v>
      </x:c>
      <x:c r="B1654" s="85" t="n">
        <x:f>'Raw Sales'!B1654</x:f>
        <x:v>45833</x:v>
      </x:c>
      <x:c r="C1654" s="84" t="n">
        <x:f>YEAR(B1654)</x:f>
        <x:v>2025</x:v>
      </x:c>
      <x:c r="D1654" s="91" t="n">
        <x:f>DATE(YEAR(B1654),MONTH(B1654),1)</x:f>
        <x:v>45809</x:v>
      </x:c>
      <x:c r="E1654" s="84" t="str">
        <x:f>TEXT(B1654,"mmm")</x:f>
        <x:v>Jun</x:v>
      </x:c>
      <x:c r="F1654" s="84" t="str">
        <x:f>'Raw Sales'!C1654</x:f>
        <x:v>CUST-0388</x:v>
      </x:c>
      <x:c r="G1654" s="84" t="str">
        <x:f>PROPER(TRIM('Raw Sales'!D1654))</x:f>
        <x:v>Isaac Hall</x:v>
      </x:c>
      <x:c r="H1654" s="84" t="str">
        <x:f>IF(TRIM('Raw Sales'!E1654)="","Unknown",PROPER(TRIM('Raw Sales'!E1654)))</x:f>
        <x:v>Consumer</x:v>
      </x:c>
      <x:c r="I1654" s="84" t="str">
        <x:f>PROPER(TRIM('Raw Sales'!F1654))</x:f>
        <x:v>Northeast</x:v>
      </x:c>
      <x:c r="J1654" s="84" t="str">
        <x:f>PROPER(TRIM('Raw Sales'!G1654))</x:f>
        <x:v>Boston</x:v>
      </x:c>
      <x:c r="K1654" s="84" t="str">
        <x:f>PROPER(TRIM('Raw Sales'!H1654))</x:f>
        <x:v>Retail Store</x:v>
      </x:c>
      <x:c r="L1654" s="84" t="str">
        <x:f>'Raw Sales'!I1654</x:f>
        <x:v>ELEC-004</x:v>
      </x:c>
      <x:c r="M1654" s="84" t="str">
        <x:f>IFERROR(VLOOKUP(L1654,'Reference Data'!$A$5:$F$40,2,FALSE),"Unknown Product")</x:f>
        <x:v>Power Bank</x:v>
      </x:c>
      <x:c r="N1654" s="84" t="str">
        <x:f>IFERROR(VLOOKUP(L1654,'Reference Data'!$A$5:$F$40,3,FALSE),"Unknown")</x:f>
        <x:v>Electronics</x:v>
      </x:c>
      <x:c r="O1654" s="84" t="str">
        <x:f>IFERROR(VLOOKUP(L1654,'Reference Data'!$A$5:$F$40,4,FALSE),"Unknown")</x:f>
        <x:v>Mobile Accessories</x:v>
      </x:c>
      <x:c r="P1654" s="92" t="n">
        <x:f>IFERROR(VLOOKUP(L1654,'Reference Data'!$A$5:$F$40,5,FALSE),0)</x:f>
        <x:v>39</x:v>
      </x:c>
      <x:c r="Q1654" s="92" t="n">
        <x:f>IFERROR(VLOOKUP(L1654,'Reference Data'!$A$5:$F$40,6,FALSE),0)</x:f>
        <x:v>18</x:v>
      </x:c>
      <x:c r="R1654" s="84" t="n">
        <x:f>'Raw Sales'!J1654</x:f>
        <x:v>3</x:v>
      </x:c>
      <x:c r="S1654" s="87" t="n">
        <x:f>'Raw Sales'!K1654</x:f>
        <x:v>0.15</x:v>
      </x:c>
      <x:c r="T1654" s="93" t="n">
        <x:f>P1654*R1654</x:f>
        <x:v>117</x:v>
      </x:c>
      <x:c r="U1654" s="93" t="n">
        <x:f>T1654*S1654</x:f>
        <x:v>17.55</x:v>
      </x:c>
      <x:c r="V1654" s="93" t="str">
        <x:f>PROPER(TRIM('Raw Sales'!L1654))</x:f>
        <x:v>Completed</x:v>
      </x:c>
      <x:c r="W1654" s="93" t="n">
        <x:f>IF(V1654="Returned",0,T1654-U1654)</x:f>
        <x:v>99.45</x:v>
      </x:c>
      <x:c r="X1654" s="93" t="n">
        <x:f>IF(V1654="Returned",Q1654*R1654*10%,Q1654*R1654)</x:f>
        <x:v>54</x:v>
      </x:c>
      <x:c r="Y1654" s="93" t="n">
        <x:f>W1654-X1654</x:f>
        <x:v>45.45</x:v>
      </x:c>
      <x:c r="Z1654" s="94" t="n">
        <x:f>IFERROR(Y1654/W1654,0)</x:f>
        <x:v>0.4570135746606335</x:v>
      </x:c>
      <x:c r="AA1654" s="84" t="str">
        <x:f>PROPER(TRIM('Raw Sales'!M1654))</x:f>
        <x:v>Debit Card</x:v>
      </x:c>
      <x:c r="AB1654" s="84" t="str">
        <x:f>PROPER(TRIM('Raw Sales'!N1654))</x:f>
        <x:v>Maya Brooks</x:v>
      </x:c>
      <x:c r="AC1654" s="85" t="n">
        <x:f>'Raw Sales'!O1654</x:f>
        <x:v>45833</x:v>
      </x:c>
      <x:c r="AD1654" s="84" t="n">
        <x:f>AC1654-B1654</x:f>
        <x:v>0</x:v>
      </x:c>
      <x:c r="AE1654" s="84" t="str">
        <x:f>IF(COUNTIF($A$5:A1654,A1654)&gt;1,"Duplicate","Keep")</x:f>
        <x:v>Keep</x:v>
      </x:c>
      <x:c r="AF1654" s="84" t="str">
        <x:f>IF(OR(R1654&lt;=0,AC1654&lt;B1654,H1654="Unknown",M1654="Unknown Product"),"Review","Valid")</x:f>
        <x:v>Valid</x:v>
      </x:c>
      <x:c r="AG1654" s="84" t="n">
        <x:f>IF(AND(AE1654="Keep",AF1654="Valid"),1,0)</x:f>
        <x:v>1</x:v>
      </x:c>
      <x:c r="AH1654" s="84" t="n">
        <x:f>IF(AND(AG1654=1,OR('Dashboard'!$B$4="All",I1654='Dashboard'!$B$4),OR('Dashboard'!$E$4="All",N1654='Dashboard'!$E$4),OR('Dashboard'!$H$4="All",K1654='Dashboard'!$H$4),OR('Dashboard'!$K$4="All",C1654='Dashboard'!$K$4)),1,0)</x:f>
        <x:v>1</x:v>
      </x:c>
      <x:c r="AI1654" s="84" t="n">
        <x:f>IF(AND(AG1654=1,OR('Dashboard'!$B$4="All",I1654='Dashboard'!$B$4),OR('Dashboard'!$E$4="All",N1654='Dashboard'!$E$4),OR('Dashboard'!$H$4="All",K1654='Dashboard'!$H$4)),1,0)</x:f>
        <x:v>1</x:v>
      </x:c>
    </x:row>
    <x:row r="1655">
      <x:c r="A1655" s="84" t="str">
        <x:f>'Raw Sales'!A1655</x:f>
        <x:v>ORD-2025-01965</x:v>
      </x:c>
      <x:c r="B1655" s="85" t="n">
        <x:f>'Raw Sales'!B1655</x:f>
        <x:v>45833</x:v>
      </x:c>
      <x:c r="C1655" s="84" t="n">
        <x:f>YEAR(B1655)</x:f>
        <x:v>2025</x:v>
      </x:c>
      <x:c r="D1655" s="91" t="n">
        <x:f>DATE(YEAR(B1655),MONTH(B1655),1)</x:f>
        <x:v>45809</x:v>
      </x:c>
      <x:c r="E1655" s="84" t="str">
        <x:f>TEXT(B1655,"mmm")</x:f>
        <x:v>Jun</x:v>
      </x:c>
      <x:c r="F1655" s="84" t="str">
        <x:f>'Raw Sales'!C1655</x:f>
        <x:v>CUST-0486</x:v>
      </x:c>
      <x:c r="G1655" s="84" t="str">
        <x:f>PROPER(TRIM('Raw Sales'!D1655))</x:f>
        <x:v>Zara Evans</x:v>
      </x:c>
      <x:c r="H1655" s="84" t="str">
        <x:f>IF(TRIM('Raw Sales'!E1655)="","Unknown",PROPER(TRIM('Raw Sales'!E1655)))</x:f>
        <x:v>Consumer</x:v>
      </x:c>
      <x:c r="I1655" s="84" t="str">
        <x:f>PROPER(TRIM('Raw Sales'!F1655))</x:f>
        <x:v>Southeast</x:v>
      </x:c>
      <x:c r="J1655" s="84" t="str">
        <x:f>PROPER(TRIM('Raw Sales'!G1655))</x:f>
        <x:v>Nashville</x:v>
      </x:c>
      <x:c r="K1655" s="84" t="str">
        <x:f>PROPER(TRIM('Raw Sales'!H1655))</x:f>
        <x:v>Online</x:v>
      </x:c>
      <x:c r="L1655" s="84" t="str">
        <x:f>'Raw Sales'!I1655</x:f>
        <x:v>HOME-005</x:v>
      </x:c>
      <x:c r="M1655" s="84" t="str">
        <x:f>IFERROR(VLOOKUP(L1655,'Reference Data'!$A$5:$F$40,2,FALSE),"Unknown Product")</x:f>
        <x:v>Cordless Vacuum</x:v>
      </x:c>
      <x:c r="N1655" s="84" t="str">
        <x:f>IFERROR(VLOOKUP(L1655,'Reference Data'!$A$5:$F$40,3,FALSE),"Unknown")</x:f>
        <x:v>Home &amp; Kitchen</x:v>
      </x:c>
      <x:c r="O1655" s="84" t="str">
        <x:f>IFERROR(VLOOKUP(L1655,'Reference Data'!$A$5:$F$40,4,FALSE),"Unknown")</x:f>
        <x:v>Cleaning</x:v>
      </x:c>
      <x:c r="P1655" s="92" t="n">
        <x:f>IFERROR(VLOOKUP(L1655,'Reference Data'!$A$5:$F$40,5,FALSE),0)</x:f>
        <x:v>179</x:v>
      </x:c>
      <x:c r="Q1655" s="92" t="n">
        <x:f>IFERROR(VLOOKUP(L1655,'Reference Data'!$A$5:$F$40,6,FALSE),0)</x:f>
        <x:v>102</x:v>
      </x:c>
      <x:c r="R1655" s="84" t="n">
        <x:f>'Raw Sales'!J1655</x:f>
        <x:v>3</x:v>
      </x:c>
      <x:c r="S1655" s="87" t="n">
        <x:f>'Raw Sales'!K1655</x:f>
        <x:v>0.1</x:v>
      </x:c>
      <x:c r="T1655" s="93" t="n">
        <x:f>P1655*R1655</x:f>
        <x:v>537</x:v>
      </x:c>
      <x:c r="U1655" s="93" t="n">
        <x:f>T1655*S1655</x:f>
        <x:v>53.7</x:v>
      </x:c>
      <x:c r="V1655" s="93" t="str">
        <x:f>PROPER(TRIM('Raw Sales'!L1655))</x:f>
        <x:v>Completed</x:v>
      </x:c>
      <x:c r="W1655" s="93" t="n">
        <x:f>IF(V1655="Returned",0,T1655-U1655)</x:f>
        <x:v>483.3</x:v>
      </x:c>
      <x:c r="X1655" s="93" t="n">
        <x:f>IF(V1655="Returned",Q1655*R1655*10%,Q1655*R1655)</x:f>
        <x:v>306</x:v>
      </x:c>
      <x:c r="Y1655" s="93" t="n">
        <x:f>W1655-X1655</x:f>
        <x:v>177.3</x:v>
      </x:c>
      <x:c r="Z1655" s="94" t="n">
        <x:f>IFERROR(Y1655/W1655,0)</x:f>
        <x:v>0.36685288640595903</x:v>
      </x:c>
      <x:c r="AA1655" s="84" t="str">
        <x:f>PROPER(TRIM('Raw Sales'!M1655))</x:f>
        <x:v>Credit Card</x:v>
      </x:c>
      <x:c r="AB1655" s="84" t="str">
        <x:f>PROPER(TRIM('Raw Sales'!N1655))</x:f>
        <x:v>Noah Reed</x:v>
      </x:c>
      <x:c r="AC1655" s="85" t="n">
        <x:f>'Raw Sales'!O1655</x:f>
        <x:v>45836</x:v>
      </x:c>
      <x:c r="AD1655" s="84" t="n">
        <x:f>AC1655-B1655</x:f>
        <x:v>3</x:v>
      </x:c>
      <x:c r="AE1655" s="84" t="str">
        <x:f>IF(COUNTIF($A$5:A1655,A1655)&gt;1,"Duplicate","Keep")</x:f>
        <x:v>Keep</x:v>
      </x:c>
      <x:c r="AF1655" s="84" t="str">
        <x:f>IF(OR(R1655&lt;=0,AC1655&lt;B1655,H1655="Unknown",M1655="Unknown Product"),"Review","Valid")</x:f>
        <x:v>Valid</x:v>
      </x:c>
      <x:c r="AG1655" s="84" t="n">
        <x:f>IF(AND(AE1655="Keep",AF1655="Valid"),1,0)</x:f>
        <x:v>1</x:v>
      </x:c>
      <x:c r="AH1655" s="84" t="n">
        <x:f>IF(AND(AG1655=1,OR('Dashboard'!$B$4="All",I1655='Dashboard'!$B$4),OR('Dashboard'!$E$4="All",N1655='Dashboard'!$E$4),OR('Dashboard'!$H$4="All",K1655='Dashboard'!$H$4),OR('Dashboard'!$K$4="All",C1655='Dashboard'!$K$4)),1,0)</x:f>
        <x:v>1</x:v>
      </x:c>
      <x:c r="AI1655" s="84" t="n">
        <x:f>IF(AND(AG1655=1,OR('Dashboard'!$B$4="All",I1655='Dashboard'!$B$4),OR('Dashboard'!$E$4="All",N1655='Dashboard'!$E$4),OR('Dashboard'!$H$4="All",K1655='Dashboard'!$H$4)),1,0)</x:f>
        <x:v>1</x:v>
      </x:c>
    </x:row>
    <x:row r="1656">
      <x:c r="A1656" s="84" t="str">
        <x:f>'Raw Sales'!A1656</x:f>
        <x:v>ORD-2025-02292</x:v>
      </x:c>
      <x:c r="B1656" s="85" t="n">
        <x:f>'Raw Sales'!B1656</x:f>
        <x:v>45833</x:v>
      </x:c>
      <x:c r="C1656" s="84" t="n">
        <x:f>YEAR(B1656)</x:f>
        <x:v>2025</x:v>
      </x:c>
      <x:c r="D1656" s="91" t="n">
        <x:f>DATE(YEAR(B1656),MONTH(B1656),1)</x:f>
        <x:v>45809</x:v>
      </x:c>
      <x:c r="E1656" s="84" t="str">
        <x:f>TEXT(B1656,"mmm")</x:f>
        <x:v>Jun</x:v>
      </x:c>
      <x:c r="F1656" s="84" t="str">
        <x:f>'Raw Sales'!C1656</x:f>
        <x:v>CUST-0017</x:v>
      </x:c>
      <x:c r="G1656" s="84" t="str">
        <x:f>PROPER(TRIM('Raw Sales'!D1656))</x:f>
        <x:v>Victoria Evans</x:v>
      </x:c>
      <x:c r="H1656" s="84" t="str">
        <x:f>IF(TRIM('Raw Sales'!E1656)="","Unknown",PROPER(TRIM('Raw Sales'!E1656)))</x:f>
        <x:v>Corporate</x:v>
      </x:c>
      <x:c r="I1656" s="84" t="str">
        <x:f>PROPER(TRIM('Raw Sales'!F1656))</x:f>
        <x:v>Northeast</x:v>
      </x:c>
      <x:c r="J1656" s="84" t="str">
        <x:f>PROPER(TRIM('Raw Sales'!G1656))</x:f>
        <x:v>Newark</x:v>
      </x:c>
      <x:c r="K1656" s="84" t="str">
        <x:f>PROPER(TRIM('Raw Sales'!H1656))</x:f>
        <x:v>Retail Store</x:v>
      </x:c>
      <x:c r="L1656" s="84" t="str">
        <x:f>'Raw Sales'!I1656</x:f>
        <x:v>CARE-004</x:v>
      </x:c>
      <x:c r="M1656" s="84" t="str">
        <x:f>IFERROR(VLOOKUP(L1656,'Reference Data'!$A$5:$F$40,2,FALSE),"Unknown Product")</x:f>
        <x:v>Electric Toothbrush</x:v>
      </x:c>
      <x:c r="N1656" s="84" t="str">
        <x:f>IFERROR(VLOOKUP(L1656,'Reference Data'!$A$5:$F$40,3,FALSE),"Unknown")</x:f>
        <x:v>Personal Care</x:v>
      </x:c>
      <x:c r="O1656" s="84" t="str">
        <x:f>IFERROR(VLOOKUP(L1656,'Reference Data'!$A$5:$F$40,4,FALSE),"Unknown")</x:f>
        <x:v>Oral Care</x:v>
      </x:c>
      <x:c r="P1656" s="92" t="n">
        <x:f>IFERROR(VLOOKUP(L1656,'Reference Data'!$A$5:$F$40,5,FALSE),0)</x:f>
        <x:v>69</x:v>
      </x:c>
      <x:c r="Q1656" s="92" t="n">
        <x:f>IFERROR(VLOOKUP(L1656,'Reference Data'!$A$5:$F$40,6,FALSE),0)</x:f>
        <x:v>31</x:v>
      </x:c>
      <x:c r="R1656" s="84" t="n">
        <x:f>'Raw Sales'!J1656</x:f>
        <x:v>3</x:v>
      </x:c>
      <x:c r="S1656" s="87" t="n">
        <x:f>'Raw Sales'!K1656</x:f>
        <x:v>0.1</x:v>
      </x:c>
      <x:c r="T1656" s="93" t="n">
        <x:f>P1656*R1656</x:f>
        <x:v>207</x:v>
      </x:c>
      <x:c r="U1656" s="93" t="n">
        <x:f>T1656*S1656</x:f>
        <x:v>20.700000000000003</x:v>
      </x:c>
      <x:c r="V1656" s="93" t="str">
        <x:f>PROPER(TRIM('Raw Sales'!L1656))</x:f>
        <x:v>Completed</x:v>
      </x:c>
      <x:c r="W1656" s="93" t="n">
        <x:f>IF(V1656="Returned",0,T1656-U1656)</x:f>
        <x:v>186.3</x:v>
      </x:c>
      <x:c r="X1656" s="93" t="n">
        <x:f>IF(V1656="Returned",Q1656*R1656*10%,Q1656*R1656)</x:f>
        <x:v>93</x:v>
      </x:c>
      <x:c r="Y1656" s="93" t="n">
        <x:f>W1656-X1656</x:f>
        <x:v>93.30000000000001</x:v>
      </x:c>
      <x:c r="Z1656" s="94" t="n">
        <x:f>IFERROR(Y1656/W1656,0)</x:f>
        <x:v>0.500805152979066</x:v>
      </x:c>
      <x:c r="AA1656" s="84" t="str">
        <x:f>PROPER(TRIM('Raw Sales'!M1656))</x:f>
        <x:v>Debit Card</x:v>
      </x:c>
      <x:c r="AB1656" s="84" t="str">
        <x:f>PROPER(TRIM('Raw Sales'!N1656))</x:f>
        <x:v>Maya Brooks</x:v>
      </x:c>
      <x:c r="AC1656" s="85" t="n">
        <x:f>'Raw Sales'!O1656</x:f>
        <x:v>45833</x:v>
      </x:c>
      <x:c r="AD1656" s="84" t="n">
        <x:f>AC1656-B1656</x:f>
        <x:v>0</x:v>
      </x:c>
      <x:c r="AE1656" s="84" t="str">
        <x:f>IF(COUNTIF($A$5:A1656,A1656)&gt;1,"Duplicate","Keep")</x:f>
        <x:v>Keep</x:v>
      </x:c>
      <x:c r="AF1656" s="84" t="str">
        <x:f>IF(OR(R1656&lt;=0,AC1656&lt;B1656,H1656="Unknown",M1656="Unknown Product"),"Review","Valid")</x:f>
        <x:v>Valid</x:v>
      </x:c>
      <x:c r="AG1656" s="84" t="n">
        <x:f>IF(AND(AE1656="Keep",AF1656="Valid"),1,0)</x:f>
        <x:v>1</x:v>
      </x:c>
      <x:c r="AH1656" s="84" t="n">
        <x:f>IF(AND(AG1656=1,OR('Dashboard'!$B$4="All",I1656='Dashboard'!$B$4),OR('Dashboard'!$E$4="All",N1656='Dashboard'!$E$4),OR('Dashboard'!$H$4="All",K1656='Dashboard'!$H$4),OR('Dashboard'!$K$4="All",C1656='Dashboard'!$K$4)),1,0)</x:f>
        <x:v>1</x:v>
      </x:c>
      <x:c r="AI1656" s="84" t="n">
        <x:f>IF(AND(AG1656=1,OR('Dashboard'!$B$4="All",I1656='Dashboard'!$B$4),OR('Dashboard'!$E$4="All",N1656='Dashboard'!$E$4),OR('Dashboard'!$H$4="All",K1656='Dashboard'!$H$4)),1,0)</x:f>
        <x:v>1</x:v>
      </x:c>
    </x:row>
    <x:row r="1657">
      <x:c r="A1657" s="84" t="str">
        <x:f>'Raw Sales'!A1657</x:f>
        <x:v>ORD-2025-01719</x:v>
      </x:c>
      <x:c r="B1657" s="85" t="n">
        <x:f>'Raw Sales'!B1657</x:f>
        <x:v>45834</x:v>
      </x:c>
      <x:c r="C1657" s="84" t="n">
        <x:f>YEAR(B1657)</x:f>
        <x:v>2025</x:v>
      </x:c>
      <x:c r="D1657" s="91" t="n">
        <x:f>DATE(YEAR(B1657),MONTH(B1657),1)</x:f>
        <x:v>45809</x:v>
      </x:c>
      <x:c r="E1657" s="84" t="str">
        <x:f>TEXT(B1657,"mmm")</x:f>
        <x:v>Jun</x:v>
      </x:c>
      <x:c r="F1657" s="84" t="str">
        <x:f>'Raw Sales'!C1657</x:f>
        <x:v>CUST-0475</x:v>
      </x:c>
      <x:c r="G1657" s="84" t="str">
        <x:f>PROPER(TRIM('Raw Sales'!D1657))</x:f>
        <x:v>Samuel Walker</x:v>
      </x:c>
      <x:c r="H1657" s="84" t="str">
        <x:f>IF(TRIM('Raw Sales'!E1657)="","Unknown",PROPER(TRIM('Raw Sales'!E1657)))</x:f>
        <x:v>Corporate</x:v>
      </x:c>
      <x:c r="I1657" s="84" t="str">
        <x:f>PROPER(TRIM('Raw Sales'!F1657))</x:f>
        <x:v>Northeast</x:v>
      </x:c>
      <x:c r="J1657" s="84" t="str">
        <x:f>PROPER(TRIM('Raw Sales'!G1657))</x:f>
        <x:v>Boston</x:v>
      </x:c>
      <x:c r="K1657" s="84" t="str">
        <x:f>PROPER(TRIM('Raw Sales'!H1657))</x:f>
        <x:v>Retail Store</x:v>
      </x:c>
      <x:c r="L1657" s="84" t="str">
        <x:f>'Raw Sales'!I1657</x:f>
        <x:v>CARE-003</x:v>
      </x:c>
      <x:c r="M1657" s="84" t="str">
        <x:f>IFERROR(VLOOKUP(L1657,'Reference Data'!$A$5:$F$40,2,FALSE),"Unknown Product")</x:f>
        <x:v>Facial Cleanser</x:v>
      </x:c>
      <x:c r="N1657" s="84" t="str">
        <x:f>IFERROR(VLOOKUP(L1657,'Reference Data'!$A$5:$F$40,3,FALSE),"Unknown")</x:f>
        <x:v>Personal Care</x:v>
      </x:c>
      <x:c r="O1657" s="84" t="str">
        <x:f>IFERROR(VLOOKUP(L1657,'Reference Data'!$A$5:$F$40,4,FALSE),"Unknown")</x:f>
        <x:v>Skin Care</x:v>
      </x:c>
      <x:c r="P1657" s="92" t="n">
        <x:f>IFERROR(VLOOKUP(L1657,'Reference Data'!$A$5:$F$40,5,FALSE),0)</x:f>
        <x:v>18</x:v>
      </x:c>
      <x:c r="Q1657" s="92" t="n">
        <x:f>IFERROR(VLOOKUP(L1657,'Reference Data'!$A$5:$F$40,6,FALSE),0)</x:f>
        <x:v>6</x:v>
      </x:c>
      <x:c r="R1657" s="84" t="n">
        <x:f>'Raw Sales'!J1657</x:f>
        <x:v>2</x:v>
      </x:c>
      <x:c r="S1657" s="87" t="n">
        <x:f>'Raw Sales'!K1657</x:f>
        <x:v>0</x:v>
      </x:c>
      <x:c r="T1657" s="93" t="n">
        <x:f>P1657*R1657</x:f>
        <x:v>36</x:v>
      </x:c>
      <x:c r="U1657" s="93" t="n">
        <x:f>T1657*S1657</x:f>
        <x:v>0</x:v>
      </x:c>
      <x:c r="V1657" s="93" t="str">
        <x:f>PROPER(TRIM('Raw Sales'!L1657))</x:f>
        <x:v>Completed</x:v>
      </x:c>
      <x:c r="W1657" s="93" t="n">
        <x:f>IF(V1657="Returned",0,T1657-U1657)</x:f>
        <x:v>36</x:v>
      </x:c>
      <x:c r="X1657" s="93" t="n">
        <x:f>IF(V1657="Returned",Q1657*R1657*10%,Q1657*R1657)</x:f>
        <x:v>12</x:v>
      </x:c>
      <x:c r="Y1657" s="93" t="n">
        <x:f>W1657-X1657</x:f>
        <x:v>24</x:v>
      </x:c>
      <x:c r="Z1657" s="94" t="n">
        <x:f>IFERROR(Y1657/W1657,0)</x:f>
        <x:v>0.6666666666666666</x:v>
      </x:c>
      <x:c r="AA1657" s="84" t="str">
        <x:f>PROPER(TRIM('Raw Sales'!M1657))</x:f>
        <x:v>Credit Card</x:v>
      </x:c>
      <x:c r="AB1657" s="84" t="str">
        <x:f>PROPER(TRIM('Raw Sales'!N1657))</x:f>
        <x:v>Ethan Cole</x:v>
      </x:c>
      <x:c r="AC1657" s="85" t="n">
        <x:f>'Raw Sales'!O1657</x:f>
        <x:v>45834</x:v>
      </x:c>
      <x:c r="AD1657" s="84" t="n">
        <x:f>AC1657-B1657</x:f>
        <x:v>0</x:v>
      </x:c>
      <x:c r="AE1657" s="84" t="str">
        <x:f>IF(COUNTIF($A$5:A1657,A1657)&gt;1,"Duplicate","Keep")</x:f>
        <x:v>Keep</x:v>
      </x:c>
      <x:c r="AF1657" s="84" t="str">
        <x:f>IF(OR(R1657&lt;=0,AC1657&lt;B1657,H1657="Unknown",M1657="Unknown Product"),"Review","Valid")</x:f>
        <x:v>Valid</x:v>
      </x:c>
      <x:c r="AG1657" s="84" t="n">
        <x:f>IF(AND(AE1657="Keep",AF1657="Valid"),1,0)</x:f>
        <x:v>1</x:v>
      </x:c>
      <x:c r="AH1657" s="84" t="n">
        <x:f>IF(AND(AG1657=1,OR('Dashboard'!$B$4="All",I1657='Dashboard'!$B$4),OR('Dashboard'!$E$4="All",N1657='Dashboard'!$E$4),OR('Dashboard'!$H$4="All",K1657='Dashboard'!$H$4),OR('Dashboard'!$K$4="All",C1657='Dashboard'!$K$4)),1,0)</x:f>
        <x:v>1</x:v>
      </x:c>
      <x:c r="AI1657" s="84" t="n">
        <x:f>IF(AND(AG1657=1,OR('Dashboard'!$B$4="All",I1657='Dashboard'!$B$4),OR('Dashboard'!$E$4="All",N1657='Dashboard'!$E$4),OR('Dashboard'!$H$4="All",K1657='Dashboard'!$H$4)),1,0)</x:f>
        <x:v>1</x:v>
      </x:c>
    </x:row>
    <x:row r="1658">
      <x:c r="A1658" s="84" t="str">
        <x:f>'Raw Sales'!A1658</x:f>
        <x:v>ORD-2025-00029</x:v>
      </x:c>
      <x:c r="B1658" s="85" t="n">
        <x:f>'Raw Sales'!B1658</x:f>
        <x:v>45835</x:v>
      </x:c>
      <x:c r="C1658" s="84" t="n">
        <x:f>YEAR(B1658)</x:f>
        <x:v>2025</x:v>
      </x:c>
      <x:c r="D1658" s="91" t="n">
        <x:f>DATE(YEAR(B1658),MONTH(B1658),1)</x:f>
        <x:v>45809</x:v>
      </x:c>
      <x:c r="E1658" s="84" t="str">
        <x:f>TEXT(B1658,"mmm")</x:f>
        <x:v>Jun</x:v>
      </x:c>
      <x:c r="F1658" s="84" t="str">
        <x:f>'Raw Sales'!C1658</x:f>
        <x:v>CUST-0053</x:v>
      </x:c>
      <x:c r="G1658" s="84" t="str">
        <x:f>PROPER(TRIM('Raw Sales'!D1658))</x:f>
        <x:v>Theo Patel</x:v>
      </x:c>
      <x:c r="H1658" s="84" t="str">
        <x:f>IF(TRIM('Raw Sales'!E1658)="","Unknown",PROPER(TRIM('Raw Sales'!E1658)))</x:f>
        <x:v>Small Business</x:v>
      </x:c>
      <x:c r="I1658" s="84" t="str">
        <x:f>PROPER(TRIM('Raw Sales'!F1658))</x:f>
        <x:v>West</x:v>
      </x:c>
      <x:c r="J1658" s="84" t="str">
        <x:f>PROPER(TRIM('Raw Sales'!G1658))</x:f>
        <x:v>Los Angeles</x:v>
      </x:c>
      <x:c r="K1658" s="84" t="str">
        <x:f>PROPER(TRIM('Raw Sales'!H1658))</x:f>
        <x:v>Online</x:v>
      </x:c>
      <x:c r="L1658" s="84" t="str">
        <x:f>'Raw Sales'!I1658</x:f>
        <x:v>HOME-002</x:v>
      </x:c>
      <x:c r="M1658" s="84" t="str">
        <x:f>IFERROR(VLOOKUP(L1658,'Reference Data'!$A$5:$F$40,2,FALSE),"Unknown Product")</x:f>
        <x:v>Electric Kettle</x:v>
      </x:c>
      <x:c r="N1658" s="84" t="str">
        <x:f>IFERROR(VLOOKUP(L1658,'Reference Data'!$A$5:$F$40,3,FALSE),"Unknown")</x:f>
        <x:v>Home &amp; Kitchen</x:v>
      </x:c>
      <x:c r="O1658" s="84" t="str">
        <x:f>IFERROR(VLOOKUP(L1658,'Reference Data'!$A$5:$F$40,4,FALSE),"Unknown")</x:f>
        <x:v>Small Appliances</x:v>
      </x:c>
      <x:c r="P1658" s="92" t="n">
        <x:f>IFERROR(VLOOKUP(L1658,'Reference Data'!$A$5:$F$40,5,FALSE),0)</x:f>
        <x:v>49</x:v>
      </x:c>
      <x:c r="Q1658" s="92" t="n">
        <x:f>IFERROR(VLOOKUP(L1658,'Reference Data'!$A$5:$F$40,6,FALSE),0)</x:f>
        <x:v>23</x:v>
      </x:c>
      <x:c r="R1658" s="84" t="n">
        <x:f>'Raw Sales'!J1658</x:f>
        <x:v>2</x:v>
      </x:c>
      <x:c r="S1658" s="87" t="n">
        <x:f>'Raw Sales'!K1658</x:f>
        <x:v>0</x:v>
      </x:c>
      <x:c r="T1658" s="93" t="n">
        <x:f>P1658*R1658</x:f>
        <x:v>98</x:v>
      </x:c>
      <x:c r="U1658" s="93" t="n">
        <x:f>T1658*S1658</x:f>
        <x:v>0</x:v>
      </x:c>
      <x:c r="V1658" s="93" t="str">
        <x:f>PROPER(TRIM('Raw Sales'!L1658))</x:f>
        <x:v>Completed</x:v>
      </x:c>
      <x:c r="W1658" s="93" t="n">
        <x:f>IF(V1658="Returned",0,T1658-U1658)</x:f>
        <x:v>98</x:v>
      </x:c>
      <x:c r="X1658" s="93" t="n">
        <x:f>IF(V1658="Returned",Q1658*R1658*10%,Q1658*R1658)</x:f>
        <x:v>46</x:v>
      </x:c>
      <x:c r="Y1658" s="93" t="n">
        <x:f>W1658-X1658</x:f>
        <x:v>52</x:v>
      </x:c>
      <x:c r="Z1658" s="94" t="n">
        <x:f>IFERROR(Y1658/W1658,0)</x:f>
        <x:v>0.5306122448979592</x:v>
      </x:c>
      <x:c r="AA1658" s="84" t="str">
        <x:f>PROPER(TRIM('Raw Sales'!M1658))</x:f>
        <x:v>Mobile Wallet</x:v>
      </x:c>
      <x:c r="AB1658" s="84" t="str">
        <x:f>PROPER(TRIM('Raw Sales'!N1658))</x:f>
        <x:v>Nora Kim</x:v>
      </x:c>
      <x:c r="AC1658" s="85" t="n">
        <x:f>'Raw Sales'!O1658</x:f>
        <x:v>45838</x:v>
      </x:c>
      <x:c r="AD1658" s="84" t="n">
        <x:f>AC1658-B1658</x:f>
        <x:v>3</x:v>
      </x:c>
      <x:c r="AE1658" s="84" t="str">
        <x:f>IF(COUNTIF($A$5:A1658,A1658)&gt;1,"Duplicate","Keep")</x:f>
        <x:v>Keep</x:v>
      </x:c>
      <x:c r="AF1658" s="84" t="str">
        <x:f>IF(OR(R1658&lt;=0,AC1658&lt;B1658,H1658="Unknown",M1658="Unknown Product"),"Review","Valid")</x:f>
        <x:v>Valid</x:v>
      </x:c>
      <x:c r="AG1658" s="84" t="n">
        <x:f>IF(AND(AE1658="Keep",AF1658="Valid"),1,0)</x:f>
        <x:v>1</x:v>
      </x:c>
      <x:c r="AH1658" s="84" t="n">
        <x:f>IF(AND(AG1658=1,OR('Dashboard'!$B$4="All",I1658='Dashboard'!$B$4),OR('Dashboard'!$E$4="All",N1658='Dashboard'!$E$4),OR('Dashboard'!$H$4="All",K1658='Dashboard'!$H$4),OR('Dashboard'!$K$4="All",C1658='Dashboard'!$K$4)),1,0)</x:f>
        <x:v>1</x:v>
      </x:c>
      <x:c r="AI1658" s="84" t="n">
        <x:f>IF(AND(AG1658=1,OR('Dashboard'!$B$4="All",I1658='Dashboard'!$B$4),OR('Dashboard'!$E$4="All",N1658='Dashboard'!$E$4),OR('Dashboard'!$H$4="All",K1658='Dashboard'!$H$4)),1,0)</x:f>
        <x:v>1</x:v>
      </x:c>
    </x:row>
    <x:row r="1659">
      <x:c r="A1659" s="84" t="str">
        <x:f>'Raw Sales'!A1659</x:f>
        <x:v>ORD-2025-00322</x:v>
      </x:c>
      <x:c r="B1659" s="85" t="n">
        <x:f>'Raw Sales'!B1659</x:f>
        <x:v>45835</x:v>
      </x:c>
      <x:c r="C1659" s="84" t="n">
        <x:f>YEAR(B1659)</x:f>
        <x:v>2025</x:v>
      </x:c>
      <x:c r="D1659" s="91" t="n">
        <x:f>DATE(YEAR(B1659),MONTH(B1659),1)</x:f>
        <x:v>45809</x:v>
      </x:c>
      <x:c r="E1659" s="84" t="str">
        <x:f>TEXT(B1659,"mmm")</x:f>
        <x:v>Jun</x:v>
      </x:c>
      <x:c r="F1659" s="84" t="str">
        <x:f>'Raw Sales'!C1659</x:f>
        <x:v>CUST-0077</x:v>
      </x:c>
      <x:c r="G1659" s="84" t="str">
        <x:f>PROPER(TRIM('Raw Sales'!D1659))</x:f>
        <x:v>Layla Foster</x:v>
      </x:c>
      <x:c r="H1659" s="84" t="str">
        <x:f>IF(TRIM('Raw Sales'!E1659)="","Unknown",PROPER(TRIM('Raw Sales'!E1659)))</x:f>
        <x:v>Corporate</x:v>
      </x:c>
      <x:c r="I1659" s="84" t="str">
        <x:f>PROPER(TRIM('Raw Sales'!F1659))</x:f>
        <x:v>Northeast</x:v>
      </x:c>
      <x:c r="J1659" s="84" t="str">
        <x:f>PROPER(TRIM('Raw Sales'!G1659))</x:f>
        <x:v>Philadelphia</x:v>
      </x:c>
      <x:c r="K1659" s="84" t="str">
        <x:f>PROPER(TRIM('Raw Sales'!H1659))</x:f>
        <x:v>Marketplace</x:v>
      </x:c>
      <x:c r="L1659" s="84" t="str">
        <x:f>'Raw Sales'!I1659</x:f>
        <x:v>ACCS-002</x:v>
      </x:c>
      <x:c r="M1659" s="84" t="str">
        <x:f>IFERROR(VLOOKUP(L1659,'Reference Data'!$A$5:$F$40,2,FALSE),"Unknown Product")</x:f>
        <x:v>Travel Backpack</x:v>
      </x:c>
      <x:c r="N1659" s="84" t="str">
        <x:f>IFERROR(VLOOKUP(L1659,'Reference Data'!$A$5:$F$40,3,FALSE),"Unknown")</x:f>
        <x:v>Accessories</x:v>
      </x:c>
      <x:c r="O1659" s="84" t="str">
        <x:f>IFERROR(VLOOKUP(L1659,'Reference Data'!$A$5:$F$40,4,FALSE),"Unknown")</x:f>
        <x:v>Bags</x:v>
      </x:c>
      <x:c r="P1659" s="92" t="n">
        <x:f>IFERROR(VLOOKUP(L1659,'Reference Data'!$A$5:$F$40,5,FALSE),0)</x:f>
        <x:v>89</x:v>
      </x:c>
      <x:c r="Q1659" s="92" t="n">
        <x:f>IFERROR(VLOOKUP(L1659,'Reference Data'!$A$5:$F$40,6,FALSE),0)</x:f>
        <x:v>36</x:v>
      </x:c>
      <x:c r="R1659" s="84" t="n">
        <x:f>'Raw Sales'!J1659</x:f>
        <x:v>2</x:v>
      </x:c>
      <x:c r="S1659" s="87" t="n">
        <x:f>'Raw Sales'!K1659</x:f>
        <x:v>0.1</x:v>
      </x:c>
      <x:c r="T1659" s="93" t="n">
        <x:f>P1659*R1659</x:f>
        <x:v>178</x:v>
      </x:c>
      <x:c r="U1659" s="93" t="n">
        <x:f>T1659*S1659</x:f>
        <x:v>17.8</x:v>
      </x:c>
      <x:c r="V1659" s="93" t="str">
        <x:f>PROPER(TRIM('Raw Sales'!L1659))</x:f>
        <x:v>Completed</x:v>
      </x:c>
      <x:c r="W1659" s="93" t="n">
        <x:f>IF(V1659="Returned",0,T1659-U1659)</x:f>
        <x:v>160.2</x:v>
      </x:c>
      <x:c r="X1659" s="93" t="n">
        <x:f>IF(V1659="Returned",Q1659*R1659*10%,Q1659*R1659)</x:f>
        <x:v>72</x:v>
      </x:c>
      <x:c r="Y1659" s="93" t="n">
        <x:f>W1659-X1659</x:f>
        <x:v>88.19999999999999</x:v>
      </x:c>
      <x:c r="Z1659" s="94" t="n">
        <x:f>IFERROR(Y1659/W1659,0)</x:f>
        <x:v>0.550561797752809</x:v>
      </x:c>
      <x:c r="AA1659" s="84" t="str">
        <x:f>PROPER(TRIM('Raw Sales'!M1659))</x:f>
        <x:v>Mobile Wallet</x:v>
      </x:c>
      <x:c r="AB1659" s="84" t="str">
        <x:f>PROPER(TRIM('Raw Sales'!N1659))</x:f>
        <x:v>Maya Brooks</x:v>
      </x:c>
      <x:c r="AC1659" s="85" t="n">
        <x:f>'Raw Sales'!O1659</x:f>
        <x:v>45839</x:v>
      </x:c>
      <x:c r="AD1659" s="84" t="n">
        <x:f>AC1659-B1659</x:f>
        <x:v>4</x:v>
      </x:c>
      <x:c r="AE1659" s="84" t="str">
        <x:f>IF(COUNTIF($A$5:A1659,A1659)&gt;1,"Duplicate","Keep")</x:f>
        <x:v>Keep</x:v>
      </x:c>
      <x:c r="AF1659" s="84" t="str">
        <x:f>IF(OR(R1659&lt;=0,AC1659&lt;B1659,H1659="Unknown",M1659="Unknown Product"),"Review","Valid")</x:f>
        <x:v>Valid</x:v>
      </x:c>
      <x:c r="AG1659" s="84" t="n">
        <x:f>IF(AND(AE1659="Keep",AF1659="Valid"),1,0)</x:f>
        <x:v>1</x:v>
      </x:c>
      <x:c r="AH1659" s="84" t="n">
        <x:f>IF(AND(AG1659=1,OR('Dashboard'!$B$4="All",I1659='Dashboard'!$B$4),OR('Dashboard'!$E$4="All",N1659='Dashboard'!$E$4),OR('Dashboard'!$H$4="All",K1659='Dashboard'!$H$4),OR('Dashboard'!$K$4="All",C1659='Dashboard'!$K$4)),1,0)</x:f>
        <x:v>1</x:v>
      </x:c>
      <x:c r="AI1659" s="84" t="n">
        <x:f>IF(AND(AG1659=1,OR('Dashboard'!$B$4="All",I1659='Dashboard'!$B$4),OR('Dashboard'!$E$4="All",N1659='Dashboard'!$E$4),OR('Dashboard'!$H$4="All",K1659='Dashboard'!$H$4)),1,0)</x:f>
        <x:v>1</x:v>
      </x:c>
    </x:row>
    <x:row r="1660">
      <x:c r="A1660" s="84" t="str">
        <x:f>'Raw Sales'!A1660</x:f>
        <x:v>ORD-2025-01589</x:v>
      </x:c>
      <x:c r="B1660" s="85" t="n">
        <x:f>'Raw Sales'!B1660</x:f>
        <x:v>45835</x:v>
      </x:c>
      <x:c r="C1660" s="84" t="n">
        <x:f>YEAR(B1660)</x:f>
        <x:v>2025</x:v>
      </x:c>
      <x:c r="D1660" s="91" t="n">
        <x:f>DATE(YEAR(B1660),MONTH(B1660),1)</x:f>
        <x:v>45809</x:v>
      </x:c>
      <x:c r="E1660" s="84" t="str">
        <x:f>TEXT(B1660,"mmm")</x:f>
        <x:v>Jun</x:v>
      </x:c>
      <x:c r="F1660" s="84" t="str">
        <x:f>'Raw Sales'!C1660</x:f>
        <x:v>CUST-0351</x:v>
      </x:c>
      <x:c r="G1660" s="84" t="str">
        <x:f>PROPER(TRIM('Raw Sales'!D1660))</x:f>
        <x:v>Sara Garcia</x:v>
      </x:c>
      <x:c r="H1660" s="84" t="str">
        <x:f>IF(TRIM('Raw Sales'!E1660)="","Unknown",PROPER(TRIM('Raw Sales'!E1660)))</x:f>
        <x:v>Consumer</x:v>
      </x:c>
      <x:c r="I1660" s="84" t="str">
        <x:f>PROPER(TRIM('Raw Sales'!F1660))</x:f>
        <x:v>Midwest</x:v>
      </x:c>
      <x:c r="J1660" s="84" t="str">
        <x:f>PROPER(TRIM('Raw Sales'!G1660))</x:f>
        <x:v>Columbus</x:v>
      </x:c>
      <x:c r="K1660" s="84" t="str">
        <x:f>PROPER(TRIM('Raw Sales'!H1660))</x:f>
        <x:v>Online</x:v>
      </x:c>
      <x:c r="L1660" s="84" t="str">
        <x:f>'Raw Sales'!I1660</x:f>
        <x:v>ACCS-002</x:v>
      </x:c>
      <x:c r="M1660" s="84" t="str">
        <x:f>IFERROR(VLOOKUP(L1660,'Reference Data'!$A$5:$F$40,2,FALSE),"Unknown Product")</x:f>
        <x:v>Travel Backpack</x:v>
      </x:c>
      <x:c r="N1660" s="84" t="str">
        <x:f>IFERROR(VLOOKUP(L1660,'Reference Data'!$A$5:$F$40,3,FALSE),"Unknown")</x:f>
        <x:v>Accessories</x:v>
      </x:c>
      <x:c r="O1660" s="84" t="str">
        <x:f>IFERROR(VLOOKUP(L1660,'Reference Data'!$A$5:$F$40,4,FALSE),"Unknown")</x:f>
        <x:v>Bags</x:v>
      </x:c>
      <x:c r="P1660" s="92" t="n">
        <x:f>IFERROR(VLOOKUP(L1660,'Reference Data'!$A$5:$F$40,5,FALSE),0)</x:f>
        <x:v>89</x:v>
      </x:c>
      <x:c r="Q1660" s="92" t="n">
        <x:f>IFERROR(VLOOKUP(L1660,'Reference Data'!$A$5:$F$40,6,FALSE),0)</x:f>
        <x:v>36</x:v>
      </x:c>
      <x:c r="R1660" s="84" t="n">
        <x:f>'Raw Sales'!J1660</x:f>
        <x:v>1</x:v>
      </x:c>
      <x:c r="S1660" s="87" t="n">
        <x:f>'Raw Sales'!K1660</x:f>
        <x:v>0</x:v>
      </x:c>
      <x:c r="T1660" s="93" t="n">
        <x:f>P1660*R1660</x:f>
        <x:v>89</x:v>
      </x:c>
      <x:c r="U1660" s="93" t="n">
        <x:f>T1660*S1660</x:f>
        <x:v>0</x:v>
      </x:c>
      <x:c r="V1660" s="93" t="str">
        <x:f>PROPER(TRIM('Raw Sales'!L1660))</x:f>
        <x:v>Completed</x:v>
      </x:c>
      <x:c r="W1660" s="93" t="n">
        <x:f>IF(V1660="Returned",0,T1660-U1660)</x:f>
        <x:v>89</x:v>
      </x:c>
      <x:c r="X1660" s="93" t="n">
        <x:f>IF(V1660="Returned",Q1660*R1660*10%,Q1660*R1660)</x:f>
        <x:v>36</x:v>
      </x:c>
      <x:c r="Y1660" s="93" t="n">
        <x:f>W1660-X1660</x:f>
        <x:v>53</x:v>
      </x:c>
      <x:c r="Z1660" s="94" t="n">
        <x:f>IFERROR(Y1660/W1660,0)</x:f>
        <x:v>0.5955056179775281</x:v>
      </x:c>
      <x:c r="AA1660" s="84" t="str">
        <x:f>PROPER(TRIM('Raw Sales'!M1660))</x:f>
        <x:v>Credit Card</x:v>
      </x:c>
      <x:c r="AB1660" s="84" t="str">
        <x:f>PROPER(TRIM('Raw Sales'!N1660))</x:f>
        <x:v>Emma Hayes</x:v>
      </x:c>
      <x:c r="AC1660" s="85" t="n">
        <x:f>'Raw Sales'!O1660</x:f>
        <x:v>45839</x:v>
      </x:c>
      <x:c r="AD1660" s="84" t="n">
        <x:f>AC1660-B1660</x:f>
        <x:v>4</x:v>
      </x:c>
      <x:c r="AE1660" s="84" t="str">
        <x:f>IF(COUNTIF($A$5:A1660,A1660)&gt;1,"Duplicate","Keep")</x:f>
        <x:v>Keep</x:v>
      </x:c>
      <x:c r="AF1660" s="84" t="str">
        <x:f>IF(OR(R1660&lt;=0,AC1660&lt;B1660,H1660="Unknown",M1660="Unknown Product"),"Review","Valid")</x:f>
        <x:v>Valid</x:v>
      </x:c>
      <x:c r="AG1660" s="84" t="n">
        <x:f>IF(AND(AE1660="Keep",AF1660="Valid"),1,0)</x:f>
        <x:v>1</x:v>
      </x:c>
      <x:c r="AH1660" s="84" t="n">
        <x:f>IF(AND(AG1660=1,OR('Dashboard'!$B$4="All",I1660='Dashboard'!$B$4),OR('Dashboard'!$E$4="All",N1660='Dashboard'!$E$4),OR('Dashboard'!$H$4="All",K1660='Dashboard'!$H$4),OR('Dashboard'!$K$4="All",C1660='Dashboard'!$K$4)),1,0)</x:f>
        <x:v>1</x:v>
      </x:c>
      <x:c r="AI1660" s="84" t="n">
        <x:f>IF(AND(AG1660=1,OR('Dashboard'!$B$4="All",I1660='Dashboard'!$B$4),OR('Dashboard'!$E$4="All",N1660='Dashboard'!$E$4),OR('Dashboard'!$H$4="All",K1660='Dashboard'!$H$4)),1,0)</x:f>
        <x:v>1</x:v>
      </x:c>
    </x:row>
    <x:row r="1661">
      <x:c r="A1661" s="84" t="str">
        <x:f>'Raw Sales'!A1661</x:f>
        <x:v>ORD-2025-01061</x:v>
      </x:c>
      <x:c r="B1661" s="85" t="n">
        <x:f>'Raw Sales'!B1661</x:f>
        <x:v>45836</x:v>
      </x:c>
      <x:c r="C1661" s="84" t="n">
        <x:f>YEAR(B1661)</x:f>
        <x:v>2025</x:v>
      </x:c>
      <x:c r="D1661" s="91" t="n">
        <x:f>DATE(YEAR(B1661),MONTH(B1661),1)</x:f>
        <x:v>45809</x:v>
      </x:c>
      <x:c r="E1661" s="84" t="str">
        <x:f>TEXT(B1661,"mmm")</x:f>
        <x:v>Jun</x:v>
      </x:c>
      <x:c r="F1661" s="84" t="str">
        <x:f>'Raw Sales'!C1661</x:f>
        <x:v>CUST-0243</x:v>
      </x:c>
      <x:c r="G1661" s="84" t="str">
        <x:f>PROPER(TRIM('Raw Sales'!D1661))</x:f>
        <x:v>Jasmine Johnson</x:v>
      </x:c>
      <x:c r="H1661" s="84" t="str">
        <x:f>IF(TRIM('Raw Sales'!E1661)="","Unknown",PROPER(TRIM('Raw Sales'!E1661)))</x:f>
        <x:v>Corporate</x:v>
      </x:c>
      <x:c r="I1661" s="84" t="str">
        <x:f>PROPER(TRIM('Raw Sales'!F1661))</x:f>
        <x:v>Northeast</x:v>
      </x:c>
      <x:c r="J1661" s="84" t="str">
        <x:f>PROPER(TRIM('Raw Sales'!G1661))</x:f>
        <x:v>Newark</x:v>
      </x:c>
      <x:c r="K1661" s="84" t="str">
        <x:f>PROPER(TRIM('Raw Sales'!H1661))</x:f>
        <x:v>Retail Store</x:v>
      </x:c>
      <x:c r="L1661" s="84" t="str">
        <x:f>'Raw Sales'!I1661</x:f>
        <x:v>ACCS-001</x:v>
      </x:c>
      <x:c r="M1661" s="84" t="str">
        <x:f>IFERROR(VLOOKUP(L1661,'Reference Data'!$A$5:$F$40,2,FALSE),"Unknown Product")</x:f>
        <x:v>Canvas Tote Bag</x:v>
      </x:c>
      <x:c r="N1661" s="84" t="str">
        <x:f>IFERROR(VLOOKUP(L1661,'Reference Data'!$A$5:$F$40,3,FALSE),"Unknown")</x:f>
        <x:v>Accessories</x:v>
      </x:c>
      <x:c r="O1661" s="84" t="str">
        <x:f>IFERROR(VLOOKUP(L1661,'Reference Data'!$A$5:$F$40,4,FALSE),"Unknown")</x:f>
        <x:v>Bags</x:v>
      </x:c>
      <x:c r="P1661" s="92" t="n">
        <x:f>IFERROR(VLOOKUP(L1661,'Reference Data'!$A$5:$F$40,5,FALSE),0)</x:f>
        <x:v>39</x:v>
      </x:c>
      <x:c r="Q1661" s="92" t="n">
        <x:f>IFERROR(VLOOKUP(L1661,'Reference Data'!$A$5:$F$40,6,FALSE),0)</x:f>
        <x:v>14</x:v>
      </x:c>
      <x:c r="R1661" s="84" t="n">
        <x:f>'Raw Sales'!J1661</x:f>
        <x:v>3</x:v>
      </x:c>
      <x:c r="S1661" s="87" t="n">
        <x:f>'Raw Sales'!K1661</x:f>
        <x:v>0.05</x:v>
      </x:c>
      <x:c r="T1661" s="93" t="n">
        <x:f>P1661*R1661</x:f>
        <x:v>117</x:v>
      </x:c>
      <x:c r="U1661" s="93" t="n">
        <x:f>T1661*S1661</x:f>
        <x:v>5.8500000000000005</x:v>
      </x:c>
      <x:c r="V1661" s="93" t="str">
        <x:f>PROPER(TRIM('Raw Sales'!L1661))</x:f>
        <x:v>Completed</x:v>
      </x:c>
      <x:c r="W1661" s="93" t="n">
        <x:f>IF(V1661="Returned",0,T1661-U1661)</x:f>
        <x:v>111.15</x:v>
      </x:c>
      <x:c r="X1661" s="93" t="n">
        <x:f>IF(V1661="Returned",Q1661*R1661*10%,Q1661*R1661)</x:f>
        <x:v>42</x:v>
      </x:c>
      <x:c r="Y1661" s="93" t="n">
        <x:f>W1661-X1661</x:f>
        <x:v>69.15</x:v>
      </x:c>
      <x:c r="Z1661" s="94" t="n">
        <x:f>IFERROR(Y1661/W1661,0)</x:f>
        <x:v>0.6221322537112011</x:v>
      </x:c>
      <x:c r="AA1661" s="84" t="str">
        <x:f>PROPER(TRIM('Raw Sales'!M1661))</x:f>
        <x:v>Cash</x:v>
      </x:c>
      <x:c r="AB1661" s="84" t="str">
        <x:f>PROPER(TRIM('Raw Sales'!N1661))</x:f>
        <x:v>Ethan Cole</x:v>
      </x:c>
      <x:c r="AC1661" s="85" t="n">
        <x:f>'Raw Sales'!O1661</x:f>
        <x:v>45836</x:v>
      </x:c>
      <x:c r="AD1661" s="84" t="n">
        <x:f>AC1661-B1661</x:f>
        <x:v>0</x:v>
      </x:c>
      <x:c r="AE1661" s="84" t="str">
        <x:f>IF(COUNTIF($A$5:A1661,A1661)&gt;1,"Duplicate","Keep")</x:f>
        <x:v>Keep</x:v>
      </x:c>
      <x:c r="AF1661" s="84" t="str">
        <x:f>IF(OR(R1661&lt;=0,AC1661&lt;B1661,H1661="Unknown",M1661="Unknown Product"),"Review","Valid")</x:f>
        <x:v>Valid</x:v>
      </x:c>
      <x:c r="AG1661" s="84" t="n">
        <x:f>IF(AND(AE1661="Keep",AF1661="Valid"),1,0)</x:f>
        <x:v>1</x:v>
      </x:c>
      <x:c r="AH1661" s="84" t="n">
        <x:f>IF(AND(AG1661=1,OR('Dashboard'!$B$4="All",I1661='Dashboard'!$B$4),OR('Dashboard'!$E$4="All",N1661='Dashboard'!$E$4),OR('Dashboard'!$H$4="All",K1661='Dashboard'!$H$4),OR('Dashboard'!$K$4="All",C1661='Dashboard'!$K$4)),1,0)</x:f>
        <x:v>1</x:v>
      </x:c>
      <x:c r="AI1661" s="84" t="n">
        <x:f>IF(AND(AG1661=1,OR('Dashboard'!$B$4="All",I1661='Dashboard'!$B$4),OR('Dashboard'!$E$4="All",N1661='Dashboard'!$E$4),OR('Dashboard'!$H$4="All",K1661='Dashboard'!$H$4)),1,0)</x:f>
        <x:v>1</x:v>
      </x:c>
    </x:row>
    <x:row r="1662">
      <x:c r="A1662" s="84" t="str">
        <x:f>'Raw Sales'!A1662</x:f>
        <x:v>ORD-2025-01245</x:v>
      </x:c>
      <x:c r="B1662" s="85" t="n">
        <x:f>'Raw Sales'!B1662</x:f>
        <x:v>45836</x:v>
      </x:c>
      <x:c r="C1662" s="84" t="n">
        <x:f>YEAR(B1662)</x:f>
        <x:v>2025</x:v>
      </x:c>
      <x:c r="D1662" s="91" t="n">
        <x:f>DATE(YEAR(B1662),MONTH(B1662),1)</x:f>
        <x:v>45809</x:v>
      </x:c>
      <x:c r="E1662" s="84" t="str">
        <x:f>TEXT(B1662,"mmm")</x:f>
        <x:v>Jun</x:v>
      </x:c>
      <x:c r="F1662" s="84" t="str">
        <x:f>'Raw Sales'!C1662</x:f>
        <x:v>CUST-0291</x:v>
      </x:c>
      <x:c r="G1662" s="84" t="str">
        <x:f>PROPER(TRIM('Raw Sales'!D1662))</x:f>
        <x:v>Victoria Patel</x:v>
      </x:c>
      <x:c r="H1662" s="84" t="str">
        <x:f>IF(TRIM('Raw Sales'!E1662)="","Unknown",PROPER(TRIM('Raw Sales'!E1662)))</x:f>
        <x:v>Corporate</x:v>
      </x:c>
      <x:c r="I1662" s="84" t="str">
        <x:f>PROPER(TRIM('Raw Sales'!F1662))</x:f>
        <x:v>Midwest</x:v>
      </x:c>
      <x:c r="J1662" s="84" t="str">
        <x:f>PROPER(TRIM('Raw Sales'!G1662))</x:f>
        <x:v>Chicago</x:v>
      </x:c>
      <x:c r="K1662" s="84" t="str">
        <x:f>PROPER(TRIM('Raw Sales'!H1662))</x:f>
        <x:v>Retail Store</x:v>
      </x:c>
      <x:c r="L1662" s="84" t="str">
        <x:f>'Raw Sales'!I1662</x:f>
        <x:v>CARE-001</x:v>
      </x:c>
      <x:c r="M1662" s="84" t="str">
        <x:f>IFERROR(VLOOKUP(L1662,'Reference Data'!$A$5:$F$40,2,FALSE),"Unknown Product")</x:f>
        <x:v>Ionic Hair Dryer</x:v>
      </x:c>
      <x:c r="N1662" s="84" t="str">
        <x:f>IFERROR(VLOOKUP(L1662,'Reference Data'!$A$5:$F$40,3,FALSE),"Unknown")</x:f>
        <x:v>Personal Care</x:v>
      </x:c>
      <x:c r="O1662" s="84" t="str">
        <x:f>IFERROR(VLOOKUP(L1662,'Reference Data'!$A$5:$F$40,4,FALSE),"Unknown")</x:f>
        <x:v>Hair Care</x:v>
      </x:c>
      <x:c r="P1662" s="92" t="n">
        <x:f>IFERROR(VLOOKUP(L1662,'Reference Data'!$A$5:$F$40,5,FALSE),0)</x:f>
        <x:v>54</x:v>
      </x:c>
      <x:c r="Q1662" s="92" t="n">
        <x:f>IFERROR(VLOOKUP(L1662,'Reference Data'!$A$5:$F$40,6,FALSE),0)</x:f>
        <x:v>25</x:v>
      </x:c>
      <x:c r="R1662" s="84" t="n">
        <x:f>'Raw Sales'!J1662</x:f>
        <x:v>2</x:v>
      </x:c>
      <x:c r="S1662" s="87" t="n">
        <x:f>'Raw Sales'!K1662</x:f>
        <x:v>0.05</x:v>
      </x:c>
      <x:c r="T1662" s="93" t="n">
        <x:f>P1662*R1662</x:f>
        <x:v>108</x:v>
      </x:c>
      <x:c r="U1662" s="93" t="n">
        <x:f>T1662*S1662</x:f>
        <x:v>5.4</x:v>
      </x:c>
      <x:c r="V1662" s="93" t="str">
        <x:f>PROPER(TRIM('Raw Sales'!L1662))</x:f>
        <x:v>Completed</x:v>
      </x:c>
      <x:c r="W1662" s="93" t="n">
        <x:f>IF(V1662="Returned",0,T1662-U1662)</x:f>
        <x:v>102.6</x:v>
      </x:c>
      <x:c r="X1662" s="93" t="n">
        <x:f>IF(V1662="Returned",Q1662*R1662*10%,Q1662*R1662)</x:f>
        <x:v>50</x:v>
      </x:c>
      <x:c r="Y1662" s="93" t="n">
        <x:f>W1662-X1662</x:f>
        <x:v>52.599999999999994</x:v>
      </x:c>
      <x:c r="Z1662" s="94" t="n">
        <x:f>IFERROR(Y1662/W1662,0)</x:f>
        <x:v>0.5126705653021443</x:v>
      </x:c>
      <x:c r="AA1662" s="84" t="str">
        <x:f>PROPER(TRIM('Raw Sales'!M1662))</x:f>
        <x:v>Cash</x:v>
      </x:c>
      <x:c r="AB1662" s="84" t="str">
        <x:f>PROPER(TRIM('Raw Sales'!N1662))</x:f>
        <x:v>Zoe Turner</x:v>
      </x:c>
      <x:c r="AC1662" s="85" t="n">
        <x:f>'Raw Sales'!O1662</x:f>
        <x:v>45836</x:v>
      </x:c>
      <x:c r="AD1662" s="84" t="n">
        <x:f>AC1662-B1662</x:f>
        <x:v>0</x:v>
      </x:c>
      <x:c r="AE1662" s="84" t="str">
        <x:f>IF(COUNTIF($A$5:A1662,A1662)&gt;1,"Duplicate","Keep")</x:f>
        <x:v>Keep</x:v>
      </x:c>
      <x:c r="AF1662" s="84" t="str">
        <x:f>IF(OR(R1662&lt;=0,AC1662&lt;B1662,H1662="Unknown",M1662="Unknown Product"),"Review","Valid")</x:f>
        <x:v>Valid</x:v>
      </x:c>
      <x:c r="AG1662" s="84" t="n">
        <x:f>IF(AND(AE1662="Keep",AF1662="Valid"),1,0)</x:f>
        <x:v>1</x:v>
      </x:c>
      <x:c r="AH1662" s="84" t="n">
        <x:f>IF(AND(AG1662=1,OR('Dashboard'!$B$4="All",I1662='Dashboard'!$B$4),OR('Dashboard'!$E$4="All",N1662='Dashboard'!$E$4),OR('Dashboard'!$H$4="All",K1662='Dashboard'!$H$4),OR('Dashboard'!$K$4="All",C1662='Dashboard'!$K$4)),1,0)</x:f>
        <x:v>1</x:v>
      </x:c>
      <x:c r="AI1662" s="84" t="n">
        <x:f>IF(AND(AG1662=1,OR('Dashboard'!$B$4="All",I1662='Dashboard'!$B$4),OR('Dashboard'!$E$4="All",N1662='Dashboard'!$E$4),OR('Dashboard'!$H$4="All",K1662='Dashboard'!$H$4)),1,0)</x:f>
        <x:v>1</x:v>
      </x:c>
    </x:row>
    <x:row r="1663">
      <x:c r="A1663" s="84" t="str">
        <x:f>'Raw Sales'!A1663</x:f>
        <x:v>ORD-2025-01409</x:v>
      </x:c>
      <x:c r="B1663" s="85" t="n">
        <x:f>'Raw Sales'!B1663</x:f>
        <x:v>45836</x:v>
      </x:c>
      <x:c r="C1663" s="84" t="n">
        <x:f>YEAR(B1663)</x:f>
        <x:v>2025</x:v>
      </x:c>
      <x:c r="D1663" s="91" t="n">
        <x:f>DATE(YEAR(B1663),MONTH(B1663),1)</x:f>
        <x:v>45809</x:v>
      </x:c>
      <x:c r="E1663" s="84" t="str">
        <x:f>TEXT(B1663,"mmm")</x:f>
        <x:v>Jun</x:v>
      </x:c>
      <x:c r="F1663" s="84" t="str">
        <x:f>'Raw Sales'!C1663</x:f>
        <x:v>CUST-0355</x:v>
      </x:c>
      <x:c r="G1663" s="84" t="str">
        <x:f>PROPER(TRIM('Raw Sales'!D1663))</x:f>
        <x:v>Caleb Evans</x:v>
      </x:c>
      <x:c r="H1663" s="84" t="str">
        <x:f>IF(TRIM('Raw Sales'!E1663)="","Unknown",PROPER(TRIM('Raw Sales'!E1663)))</x:f>
        <x:v>Consumer</x:v>
      </x:c>
      <x:c r="I1663" s="84" t="str">
        <x:f>PROPER(TRIM('Raw Sales'!F1663))</x:f>
        <x:v>Northeast</x:v>
      </x:c>
      <x:c r="J1663" s="84" t="str">
        <x:f>PROPER(TRIM('Raw Sales'!G1663))</x:f>
        <x:v>Philadelphia</x:v>
      </x:c>
      <x:c r="K1663" s="84" t="str">
        <x:f>PROPER(TRIM('Raw Sales'!H1663))</x:f>
        <x:v>Online</x:v>
      </x:c>
      <x:c r="L1663" s="84" t="str">
        <x:f>'Raw Sales'!I1663</x:f>
        <x:v>ELEC-003</x:v>
      </x:c>
      <x:c r="M1663" s="84" t="str">
        <x:f>IFERROR(VLOOKUP(L1663,'Reference Data'!$A$5:$F$40,2,FALSE),"Unknown Product")</x:f>
        <x:v>Bluetooth Speaker</x:v>
      </x:c>
      <x:c r="N1663" s="84" t="str">
        <x:f>IFERROR(VLOOKUP(L1663,'Reference Data'!$A$5:$F$40,3,FALSE),"Unknown")</x:f>
        <x:v>Electronics</x:v>
      </x:c>
      <x:c r="O1663" s="84" t="str">
        <x:f>IFERROR(VLOOKUP(L1663,'Reference Data'!$A$5:$F$40,4,FALSE),"Unknown")</x:f>
        <x:v>Audio</x:v>
      </x:c>
      <x:c r="P1663" s="92" t="n">
        <x:f>IFERROR(VLOOKUP(L1663,'Reference Data'!$A$5:$F$40,5,FALSE),0)</x:f>
        <x:v>89</x:v>
      </x:c>
      <x:c r="Q1663" s="92" t="n">
        <x:f>IFERROR(VLOOKUP(L1663,'Reference Data'!$A$5:$F$40,6,FALSE),0)</x:f>
        <x:v>44</x:v>
      </x:c>
      <x:c r="R1663" s="84" t="n">
        <x:f>'Raw Sales'!J1663</x:f>
        <x:v>2</x:v>
      </x:c>
      <x:c r="S1663" s="87" t="n">
        <x:f>'Raw Sales'!K1663</x:f>
        <x:v>0.1</x:v>
      </x:c>
      <x:c r="T1663" s="93" t="n">
        <x:f>P1663*R1663</x:f>
        <x:v>178</x:v>
      </x:c>
      <x:c r="U1663" s="93" t="n">
        <x:f>T1663*S1663</x:f>
        <x:v>17.8</x:v>
      </x:c>
      <x:c r="V1663" s="93" t="str">
        <x:f>PROPER(TRIM('Raw Sales'!L1663))</x:f>
        <x:v>Completed</x:v>
      </x:c>
      <x:c r="W1663" s="93" t="n">
        <x:f>IF(V1663="Returned",0,T1663-U1663)</x:f>
        <x:v>160.2</x:v>
      </x:c>
      <x:c r="X1663" s="93" t="n">
        <x:f>IF(V1663="Returned",Q1663*R1663*10%,Q1663*R1663)</x:f>
        <x:v>88</x:v>
      </x:c>
      <x:c r="Y1663" s="93" t="n">
        <x:f>W1663-X1663</x:f>
        <x:v>72.19999999999999</x:v>
      </x:c>
      <x:c r="Z1663" s="94" t="n">
        <x:f>IFERROR(Y1663/W1663,0)</x:f>
        <x:v>0.4506866416978776</x:v>
      </x:c>
      <x:c r="AA1663" s="84" t="str">
        <x:f>PROPER(TRIM('Raw Sales'!M1663))</x:f>
        <x:v>Credit Card</x:v>
      </x:c>
      <x:c r="AB1663" s="84" t="str">
        <x:f>PROPER(TRIM('Raw Sales'!N1663))</x:f>
        <x:v>Ethan Cole</x:v>
      </x:c>
      <x:c r="AC1663" s="85" t="n">
        <x:f>'Raw Sales'!O1663</x:f>
        <x:v>45839</x:v>
      </x:c>
      <x:c r="AD1663" s="84" t="n">
        <x:f>AC1663-B1663</x:f>
        <x:v>3</x:v>
      </x:c>
      <x:c r="AE1663" s="84" t="str">
        <x:f>IF(COUNTIF($A$5:A1663,A1663)&gt;1,"Duplicate","Keep")</x:f>
        <x:v>Keep</x:v>
      </x:c>
      <x:c r="AF1663" s="84" t="str">
        <x:f>IF(OR(R1663&lt;=0,AC1663&lt;B1663,H1663="Unknown",M1663="Unknown Product"),"Review","Valid")</x:f>
        <x:v>Valid</x:v>
      </x:c>
      <x:c r="AG1663" s="84" t="n">
        <x:f>IF(AND(AE1663="Keep",AF1663="Valid"),1,0)</x:f>
        <x:v>1</x:v>
      </x:c>
      <x:c r="AH1663" s="84" t="n">
        <x:f>IF(AND(AG1663=1,OR('Dashboard'!$B$4="All",I1663='Dashboard'!$B$4),OR('Dashboard'!$E$4="All",N1663='Dashboard'!$E$4),OR('Dashboard'!$H$4="All",K1663='Dashboard'!$H$4),OR('Dashboard'!$K$4="All",C1663='Dashboard'!$K$4)),1,0)</x:f>
        <x:v>1</x:v>
      </x:c>
      <x:c r="AI1663" s="84" t="n">
        <x:f>IF(AND(AG1663=1,OR('Dashboard'!$B$4="All",I1663='Dashboard'!$B$4),OR('Dashboard'!$E$4="All",N1663='Dashboard'!$E$4),OR('Dashboard'!$H$4="All",K1663='Dashboard'!$H$4)),1,0)</x:f>
        <x:v>1</x:v>
      </x:c>
    </x:row>
    <x:row r="1664">
      <x:c r="A1664" s="84" t="str">
        <x:f>'Raw Sales'!A1664</x:f>
        <x:v>ORD-2025-02013</x:v>
      </x:c>
      <x:c r="B1664" s="85" t="n">
        <x:f>'Raw Sales'!B1664</x:f>
        <x:v>45836</x:v>
      </x:c>
      <x:c r="C1664" s="84" t="n">
        <x:f>YEAR(B1664)</x:f>
        <x:v>2025</x:v>
      </x:c>
      <x:c r="D1664" s="91" t="n">
        <x:f>DATE(YEAR(B1664),MONTH(B1664),1)</x:f>
        <x:v>45809</x:v>
      </x:c>
      <x:c r="E1664" s="84" t="str">
        <x:f>TEXT(B1664,"mmm")</x:f>
        <x:v>Jun</x:v>
      </x:c>
      <x:c r="F1664" s="84" t="str">
        <x:f>'Raw Sales'!C1664</x:f>
        <x:v>CUST-0246</x:v>
      </x:c>
      <x:c r="G1664" s="84" t="str">
        <x:f>PROPER(TRIM('Raw Sales'!D1664))</x:f>
        <x:v>Maya Baker</x:v>
      </x:c>
      <x:c r="H1664" s="84" t="str">
        <x:f>IF(TRIM('Raw Sales'!E1664)="","Unknown",PROPER(TRIM('Raw Sales'!E1664)))</x:f>
        <x:v>Unknown</x:v>
      </x:c>
      <x:c r="I1664" s="84" t="str">
        <x:f>PROPER(TRIM('Raw Sales'!F1664))</x:f>
        <x:v>Southeast</x:v>
      </x:c>
      <x:c r="J1664" s="84" t="str">
        <x:f>PROPER(TRIM('Raw Sales'!G1664))</x:f>
        <x:v>Atlanta</x:v>
      </x:c>
      <x:c r="K1664" s="84" t="str">
        <x:f>PROPER(TRIM('Raw Sales'!H1664))</x:f>
        <x:v>Retail Store</x:v>
      </x:c>
      <x:c r="L1664" s="84" t="str">
        <x:f>'Raw Sales'!I1664</x:f>
        <x:v>ACCS-005</x:v>
      </x:c>
      <x:c r="M1664" s="84" t="str">
        <x:f>IFERROR(VLOOKUP(L1664,'Reference Data'!$A$5:$F$40,2,FALSE),"Unknown Product")</x:f>
        <x:v>Protective Phone Case</x:v>
      </x:c>
      <x:c r="N1664" s="84" t="str">
        <x:f>IFERROR(VLOOKUP(L1664,'Reference Data'!$A$5:$F$40,3,FALSE),"Unknown")</x:f>
        <x:v>Accessories</x:v>
      </x:c>
      <x:c r="O1664" s="84" t="str">
        <x:f>IFERROR(VLOOKUP(L1664,'Reference Data'!$A$5:$F$40,4,FALSE),"Unknown")</x:f>
        <x:v>Mobile Accessories</x:v>
      </x:c>
      <x:c r="P1664" s="92" t="n">
        <x:f>IFERROR(VLOOKUP(L1664,'Reference Data'!$A$5:$F$40,5,FALSE),0)</x:f>
        <x:v>24</x:v>
      </x:c>
      <x:c r="Q1664" s="92" t="n">
        <x:f>IFERROR(VLOOKUP(L1664,'Reference Data'!$A$5:$F$40,6,FALSE),0)</x:f>
        <x:v>5</x:v>
      </x:c>
      <x:c r="R1664" s="84" t="n">
        <x:f>'Raw Sales'!J1664</x:f>
        <x:v>2</x:v>
      </x:c>
      <x:c r="S1664" s="87" t="n">
        <x:f>'Raw Sales'!K1664</x:f>
        <x:v>0.05</x:v>
      </x:c>
      <x:c r="T1664" s="93" t="n">
        <x:f>P1664*R1664</x:f>
        <x:v>48</x:v>
      </x:c>
      <x:c r="U1664" s="93" t="n">
        <x:f>T1664*S1664</x:f>
        <x:v>2.4000000000000004</x:v>
      </x:c>
      <x:c r="V1664" s="93" t="str">
        <x:f>PROPER(TRIM('Raw Sales'!L1664))</x:f>
        <x:v>Completed</x:v>
      </x:c>
      <x:c r="W1664" s="93" t="n">
        <x:f>IF(V1664="Returned",0,T1664-U1664)</x:f>
        <x:v>45.6</x:v>
      </x:c>
      <x:c r="X1664" s="93" t="n">
        <x:f>IF(V1664="Returned",Q1664*R1664*10%,Q1664*R1664)</x:f>
        <x:v>10</x:v>
      </x:c>
      <x:c r="Y1664" s="93" t="n">
        <x:f>W1664-X1664</x:f>
        <x:v>35.6</x:v>
      </x:c>
      <x:c r="Z1664" s="94" t="n">
        <x:f>IFERROR(Y1664/W1664,0)</x:f>
        <x:v>0.7807017543859649</x:v>
      </x:c>
      <x:c r="AA1664" s="84" t="str">
        <x:f>PROPER(TRIM('Raw Sales'!M1664))</x:f>
        <x:v>Debit Card</x:v>
      </x:c>
      <x:c r="AB1664" s="84" t="str">
        <x:f>PROPER(TRIM('Raw Sales'!N1664))</x:f>
        <x:v>Liam Parker</x:v>
      </x:c>
      <x:c r="AC1664" s="85" t="n">
        <x:f>'Raw Sales'!O1664</x:f>
        <x:v>45836</x:v>
      </x:c>
      <x:c r="AD1664" s="84" t="n">
        <x:f>AC1664-B1664</x:f>
        <x:v>0</x:v>
      </x:c>
      <x:c r="AE1664" s="84" t="str">
        <x:f>IF(COUNTIF($A$5:A1664,A1664)&gt;1,"Duplicate","Keep")</x:f>
        <x:v>Keep</x:v>
      </x:c>
      <x:c r="AF1664" s="84" t="str">
        <x:f>IF(OR(R1664&lt;=0,AC1664&lt;B1664,H1664="Unknown",M1664="Unknown Product"),"Review","Valid")</x:f>
        <x:v>Review</x:v>
      </x:c>
      <x:c r="AG1664" s="84" t="n">
        <x:f>IF(AND(AE1664="Keep",AF1664="Valid"),1,0)</x:f>
        <x:v>0</x:v>
      </x:c>
      <x:c r="AH1664" s="84" t="n">
        <x:f>IF(AND(AG1664=1,OR('Dashboard'!$B$4="All",I1664='Dashboard'!$B$4),OR('Dashboard'!$E$4="All",N1664='Dashboard'!$E$4),OR('Dashboard'!$H$4="All",K1664='Dashboard'!$H$4),OR('Dashboard'!$K$4="All",C1664='Dashboard'!$K$4)),1,0)</x:f>
        <x:v>0</x:v>
      </x:c>
      <x:c r="AI1664" s="84" t="n">
        <x:f>IF(AND(AG1664=1,OR('Dashboard'!$B$4="All",I1664='Dashboard'!$B$4),OR('Dashboard'!$E$4="All",N1664='Dashboard'!$E$4),OR('Dashboard'!$H$4="All",K1664='Dashboard'!$H$4)),1,0)</x:f>
        <x:v>0</x:v>
      </x:c>
    </x:row>
    <x:row r="1665">
      <x:c r="A1665" s="84" t="str">
        <x:f>'Raw Sales'!A1665</x:f>
        <x:v>ORD-2025-00117</x:v>
      </x:c>
      <x:c r="B1665" s="85" t="n">
        <x:f>'Raw Sales'!B1665</x:f>
        <x:v>45837</x:v>
      </x:c>
      <x:c r="C1665" s="84" t="n">
        <x:f>YEAR(B1665)</x:f>
        <x:v>2025</x:v>
      </x:c>
      <x:c r="D1665" s="91" t="n">
        <x:f>DATE(YEAR(B1665),MONTH(B1665),1)</x:f>
        <x:v>45809</x:v>
      </x:c>
      <x:c r="E1665" s="84" t="str">
        <x:f>TEXT(B1665,"mmm")</x:f>
        <x:v>Jun</x:v>
      </x:c>
      <x:c r="F1665" s="84" t="str">
        <x:f>'Raw Sales'!C1665</x:f>
        <x:v>CUST-0468</x:v>
      </x:c>
      <x:c r="G1665" s="84" t="str">
        <x:f>PROPER(TRIM('Raw Sales'!D1665))</x:f>
        <x:v>Sara Garcia</x:v>
      </x:c>
      <x:c r="H1665" s="84" t="str">
        <x:f>IF(TRIM('Raw Sales'!E1665)="","Unknown",PROPER(TRIM('Raw Sales'!E1665)))</x:f>
        <x:v>Corporate</x:v>
      </x:c>
      <x:c r="I1665" s="84" t="str">
        <x:f>PROPER(TRIM('Raw Sales'!F1665))</x:f>
        <x:v>Northeast</x:v>
      </x:c>
      <x:c r="J1665" s="84" t="str">
        <x:f>PROPER(TRIM('Raw Sales'!G1665))</x:f>
        <x:v>Boston</x:v>
      </x:c>
      <x:c r="K1665" s="84" t="str">
        <x:f>PROPER(TRIM('Raw Sales'!H1665))</x:f>
        <x:v>Marketplace</x:v>
      </x:c>
      <x:c r="L1665" s="84" t="str">
        <x:f>'Raw Sales'!I1665</x:f>
        <x:v>FITN-001</x:v>
      </x:c>
      <x:c r="M1665" s="84" t="str">
        <x:f>IFERROR(VLOOKUP(L1665,'Reference Data'!$A$5:$F$40,2,FALSE),"Unknown Product")</x:f>
        <x:v>Yoga Mat</x:v>
      </x:c>
      <x:c r="N1665" s="84" t="str">
        <x:f>IFERROR(VLOOKUP(L1665,'Reference Data'!$A$5:$F$40,3,FALSE),"Unknown")</x:f>
        <x:v>Fitness</x:v>
      </x:c>
      <x:c r="O1665" s="84" t="str">
        <x:f>IFERROR(VLOOKUP(L1665,'Reference Data'!$A$5:$F$40,4,FALSE),"Unknown")</x:f>
        <x:v>Yoga</x:v>
      </x:c>
      <x:c r="P1665" s="92" t="n">
        <x:f>IFERROR(VLOOKUP(L1665,'Reference Data'!$A$5:$F$40,5,FALSE),0)</x:f>
        <x:v>35</x:v>
      </x:c>
      <x:c r="Q1665" s="92" t="n">
        <x:f>IFERROR(VLOOKUP(L1665,'Reference Data'!$A$5:$F$40,6,FALSE),0)</x:f>
        <x:v>13</x:v>
      </x:c>
      <x:c r="R1665" s="84" t="n">
        <x:f>'Raw Sales'!J1665</x:f>
        <x:v>2</x:v>
      </x:c>
      <x:c r="S1665" s="87" t="n">
        <x:f>'Raw Sales'!K1665</x:f>
        <x:v>0</x:v>
      </x:c>
      <x:c r="T1665" s="93" t="n">
        <x:f>P1665*R1665</x:f>
        <x:v>70</x:v>
      </x:c>
      <x:c r="U1665" s="93" t="n">
        <x:f>T1665*S1665</x:f>
        <x:v>0</x:v>
      </x:c>
      <x:c r="V1665" s="93" t="str">
        <x:f>PROPER(TRIM('Raw Sales'!L1665))</x:f>
        <x:v>Completed</x:v>
      </x:c>
      <x:c r="W1665" s="93" t="n">
        <x:f>IF(V1665="Returned",0,T1665-U1665)</x:f>
        <x:v>70</x:v>
      </x:c>
      <x:c r="X1665" s="93" t="n">
        <x:f>IF(V1665="Returned",Q1665*R1665*10%,Q1665*R1665)</x:f>
        <x:v>26</x:v>
      </x:c>
      <x:c r="Y1665" s="93" t="n">
        <x:f>W1665-X1665</x:f>
        <x:v>44</x:v>
      </x:c>
      <x:c r="Z1665" s="94" t="n">
        <x:f>IFERROR(Y1665/W1665,0)</x:f>
        <x:v>0.6285714285714286</x:v>
      </x:c>
      <x:c r="AA1665" s="84" t="str">
        <x:f>PROPER(TRIM('Raw Sales'!M1665))</x:f>
        <x:v>Debit Card</x:v>
      </x:c>
      <x:c r="AB1665" s="84" t="str">
        <x:f>PROPER(TRIM('Raw Sales'!N1665))</x:f>
        <x:v>Maya Brooks</x:v>
      </x:c>
      <x:c r="AC1665" s="85" t="n">
        <x:f>'Raw Sales'!O1665</x:f>
        <x:v>45842</x:v>
      </x:c>
      <x:c r="AD1665" s="84" t="n">
        <x:f>AC1665-B1665</x:f>
        <x:v>5</x:v>
      </x:c>
      <x:c r="AE1665" s="84" t="str">
        <x:f>IF(COUNTIF($A$5:A1665,A1665)&gt;1,"Duplicate","Keep")</x:f>
        <x:v>Keep</x:v>
      </x:c>
      <x:c r="AF1665" s="84" t="str">
        <x:f>IF(OR(R1665&lt;=0,AC1665&lt;B1665,H1665="Unknown",M1665="Unknown Product"),"Review","Valid")</x:f>
        <x:v>Valid</x:v>
      </x:c>
      <x:c r="AG1665" s="84" t="n">
        <x:f>IF(AND(AE1665="Keep",AF1665="Valid"),1,0)</x:f>
        <x:v>1</x:v>
      </x:c>
      <x:c r="AH1665" s="84" t="n">
        <x:f>IF(AND(AG1665=1,OR('Dashboard'!$B$4="All",I1665='Dashboard'!$B$4),OR('Dashboard'!$E$4="All",N1665='Dashboard'!$E$4),OR('Dashboard'!$H$4="All",K1665='Dashboard'!$H$4),OR('Dashboard'!$K$4="All",C1665='Dashboard'!$K$4)),1,0)</x:f>
        <x:v>1</x:v>
      </x:c>
      <x:c r="AI1665" s="84" t="n">
        <x:f>IF(AND(AG1665=1,OR('Dashboard'!$B$4="All",I1665='Dashboard'!$B$4),OR('Dashboard'!$E$4="All",N1665='Dashboard'!$E$4),OR('Dashboard'!$H$4="All",K1665='Dashboard'!$H$4)),1,0)</x:f>
        <x:v>1</x:v>
      </x:c>
    </x:row>
    <x:row r="1666">
      <x:c r="A1666" s="84" t="str">
        <x:f>'Raw Sales'!A1666</x:f>
        <x:v>ORD-2025-01165</x:v>
      </x:c>
      <x:c r="B1666" s="85" t="n">
        <x:f>'Raw Sales'!B1666</x:f>
        <x:v>45837</x:v>
      </x:c>
      <x:c r="C1666" s="84" t="n">
        <x:f>YEAR(B1666)</x:f>
        <x:v>2025</x:v>
      </x:c>
      <x:c r="D1666" s="91" t="n">
        <x:f>DATE(YEAR(B1666),MONTH(B1666),1)</x:f>
        <x:v>45809</x:v>
      </x:c>
      <x:c r="E1666" s="84" t="str">
        <x:f>TEXT(B1666,"mmm")</x:f>
        <x:v>Jun</x:v>
      </x:c>
      <x:c r="F1666" s="84" t="str">
        <x:f>'Raw Sales'!C1666</x:f>
        <x:v>CUST-0144</x:v>
      </x:c>
      <x:c r="G1666" s="84" t="str">
        <x:f>PROPER(TRIM('Raw Sales'!D1666))</x:f>
        <x:v>Grace Patel</x:v>
      </x:c>
      <x:c r="H1666" s="84" t="str">
        <x:f>IF(TRIM('Raw Sales'!E1666)="","Unknown",PROPER(TRIM('Raw Sales'!E1666)))</x:f>
        <x:v>Corporate</x:v>
      </x:c>
      <x:c r="I1666" s="84" t="str">
        <x:f>PROPER(TRIM('Raw Sales'!F1666))</x:f>
        <x:v>West</x:v>
      </x:c>
      <x:c r="J1666" s="84" t="str">
        <x:f>PROPER(TRIM('Raw Sales'!G1666))</x:f>
        <x:v>Phoenix</x:v>
      </x:c>
      <x:c r="K1666" s="84" t="str">
        <x:f>PROPER(TRIM('Raw Sales'!H1666))</x:f>
        <x:v>Marketplace</x:v>
      </x:c>
      <x:c r="L1666" s="84" t="str">
        <x:f>'Raw Sales'!I1666</x:f>
        <x:v>HOME-003</x:v>
      </x:c>
      <x:c r="M1666" s="84" t="str">
        <x:f>IFERROR(VLOOKUP(L1666,'Reference Data'!$A$5:$F$40,2,FALSE),"Unknown Product")</x:f>
        <x:v>Countertop Blender</x:v>
      </x:c>
      <x:c r="N1666" s="84" t="str">
        <x:f>IFERROR(VLOOKUP(L1666,'Reference Data'!$A$5:$F$40,3,FALSE),"Unknown")</x:f>
        <x:v>Home &amp; Kitchen</x:v>
      </x:c>
      <x:c r="O1666" s="84" t="str">
        <x:f>IFERROR(VLOOKUP(L1666,'Reference Data'!$A$5:$F$40,4,FALSE),"Unknown")</x:f>
        <x:v>Small Appliances</x:v>
      </x:c>
      <x:c r="P1666" s="92" t="n">
        <x:f>IFERROR(VLOOKUP(L1666,'Reference Data'!$A$5:$F$40,5,FALSE),0)</x:f>
        <x:v>89</x:v>
      </x:c>
      <x:c r="Q1666" s="92" t="n">
        <x:f>IFERROR(VLOOKUP(L1666,'Reference Data'!$A$5:$F$40,6,FALSE),0)</x:f>
        <x:v>46</x:v>
      </x:c>
      <x:c r="R1666" s="84" t="n">
        <x:f>'Raw Sales'!J1666</x:f>
        <x:v>3</x:v>
      </x:c>
      <x:c r="S1666" s="87" t="n">
        <x:f>'Raw Sales'!K1666</x:f>
        <x:v>0.05</x:v>
      </x:c>
      <x:c r="T1666" s="93" t="n">
        <x:f>P1666*R1666</x:f>
        <x:v>267</x:v>
      </x:c>
      <x:c r="U1666" s="93" t="n">
        <x:f>T1666*S1666</x:f>
        <x:v>13.350000000000001</x:v>
      </x:c>
      <x:c r="V1666" s="93" t="str">
        <x:f>PROPER(TRIM('Raw Sales'!L1666))</x:f>
        <x:v>Completed</x:v>
      </x:c>
      <x:c r="W1666" s="93" t="n">
        <x:f>IF(V1666="Returned",0,T1666-U1666)</x:f>
        <x:v>253.65</x:v>
      </x:c>
      <x:c r="X1666" s="93" t="n">
        <x:f>IF(V1666="Returned",Q1666*R1666*10%,Q1666*R1666)</x:f>
        <x:v>138</x:v>
      </x:c>
      <x:c r="Y1666" s="93" t="n">
        <x:f>W1666-X1666</x:f>
        <x:v>115.65</x:v>
      </x:c>
      <x:c r="Z1666" s="94" t="n">
        <x:f>IFERROR(Y1666/W1666,0)</x:f>
        <x:v>0.4559432288586635</x:v>
      </x:c>
      <x:c r="AA1666" s="84" t="str">
        <x:f>PROPER(TRIM('Raw Sales'!M1666))</x:f>
        <x:v>Credit Card</x:v>
      </x:c>
      <x:c r="AB1666" s="84" t="str">
        <x:f>PROPER(TRIM('Raw Sales'!N1666))</x:f>
        <x:v>Mia Chen</x:v>
      </x:c>
      <x:c r="AC1666" s="85" t="n">
        <x:f>'Raw Sales'!O1666</x:f>
        <x:v>45845</x:v>
      </x:c>
      <x:c r="AD1666" s="84" t="n">
        <x:f>AC1666-B1666</x:f>
        <x:v>8</x:v>
      </x:c>
      <x:c r="AE1666" s="84" t="str">
        <x:f>IF(COUNTIF($A$5:A1666,A1666)&gt;1,"Duplicate","Keep")</x:f>
        <x:v>Keep</x:v>
      </x:c>
      <x:c r="AF1666" s="84" t="str">
        <x:f>IF(OR(R1666&lt;=0,AC1666&lt;B1666,H1666="Unknown",M1666="Unknown Product"),"Review","Valid")</x:f>
        <x:v>Valid</x:v>
      </x:c>
      <x:c r="AG1666" s="84" t="n">
        <x:f>IF(AND(AE1666="Keep",AF1666="Valid"),1,0)</x:f>
        <x:v>1</x:v>
      </x:c>
      <x:c r="AH1666" s="84" t="n">
        <x:f>IF(AND(AG1666=1,OR('Dashboard'!$B$4="All",I1666='Dashboard'!$B$4),OR('Dashboard'!$E$4="All",N1666='Dashboard'!$E$4),OR('Dashboard'!$H$4="All",K1666='Dashboard'!$H$4),OR('Dashboard'!$K$4="All",C1666='Dashboard'!$K$4)),1,0)</x:f>
        <x:v>1</x:v>
      </x:c>
      <x:c r="AI1666" s="84" t="n">
        <x:f>IF(AND(AG1666=1,OR('Dashboard'!$B$4="All",I1666='Dashboard'!$B$4),OR('Dashboard'!$E$4="All",N1666='Dashboard'!$E$4),OR('Dashboard'!$H$4="All",K1666='Dashboard'!$H$4)),1,0)</x:f>
        <x:v>1</x:v>
      </x:c>
    </x:row>
    <x:row r="1667">
      <x:c r="A1667" s="84" t="str">
        <x:f>'Raw Sales'!A1667</x:f>
        <x:v>ORD-2025-00314</x:v>
      </x:c>
      <x:c r="B1667" s="85" t="n">
        <x:f>'Raw Sales'!B1667</x:f>
        <x:v>45838</x:v>
      </x:c>
      <x:c r="C1667" s="84" t="n">
        <x:f>YEAR(B1667)</x:f>
        <x:v>2025</x:v>
      </x:c>
      <x:c r="D1667" s="91" t="n">
        <x:f>DATE(YEAR(B1667),MONTH(B1667),1)</x:f>
        <x:v>45809</x:v>
      </x:c>
      <x:c r="E1667" s="84" t="str">
        <x:f>TEXT(B1667,"mmm")</x:f>
        <x:v>Jun</x:v>
      </x:c>
      <x:c r="F1667" s="84" t="str">
        <x:f>'Raw Sales'!C1667</x:f>
        <x:v>CUST-0185</x:v>
      </x:c>
      <x:c r="G1667" s="84" t="str">
        <x:f>PROPER(TRIM('Raw Sales'!D1667))</x:f>
        <x:v>Caleb Foster</x:v>
      </x:c>
      <x:c r="H1667" s="84" t="str">
        <x:f>IF(TRIM('Raw Sales'!E1667)="","Unknown",PROPER(TRIM('Raw Sales'!E1667)))</x:f>
        <x:v>Corporate</x:v>
      </x:c>
      <x:c r="I1667" s="84" t="str">
        <x:f>PROPER(TRIM('Raw Sales'!F1667))</x:f>
        <x:v>Midwest</x:v>
      </x:c>
      <x:c r="J1667" s="84" t="str">
        <x:f>PROPER(TRIM('Raw Sales'!G1667))</x:f>
        <x:v>Minneapolis</x:v>
      </x:c>
      <x:c r="K1667" s="84" t="str">
        <x:f>PROPER(TRIM('Raw Sales'!H1667))</x:f>
        <x:v>Marketplace</x:v>
      </x:c>
      <x:c r="L1667" s="84" t="str">
        <x:f>'Raw Sales'!I1667</x:f>
        <x:v>FITN-006</x:v>
      </x:c>
      <x:c r="M1667" s="84" t="str">
        <x:f>IFERROR(VLOOKUP(L1667,'Reference Data'!$A$5:$F$40,2,FALSE),"Unknown Product")</x:f>
        <x:v>Foam Roller</x:v>
      </x:c>
      <x:c r="N1667" s="84" t="str">
        <x:f>IFERROR(VLOOKUP(L1667,'Reference Data'!$A$5:$F$40,3,FALSE),"Unknown")</x:f>
        <x:v>Fitness</x:v>
      </x:c>
      <x:c r="O1667" s="84" t="str">
        <x:f>IFERROR(VLOOKUP(L1667,'Reference Data'!$A$5:$F$40,4,FALSE),"Unknown")</x:f>
        <x:v>Recovery</x:v>
      </x:c>
      <x:c r="P1667" s="92" t="n">
        <x:f>IFERROR(VLOOKUP(L1667,'Reference Data'!$A$5:$F$40,5,FALSE),0)</x:f>
        <x:v>31</x:v>
      </x:c>
      <x:c r="Q1667" s="92" t="n">
        <x:f>IFERROR(VLOOKUP(L1667,'Reference Data'!$A$5:$F$40,6,FALSE),0)</x:f>
        <x:v>12</x:v>
      </x:c>
      <x:c r="R1667" s="84" t="n">
        <x:f>'Raw Sales'!J1667</x:f>
        <x:v>2</x:v>
      </x:c>
      <x:c r="S1667" s="87" t="n">
        <x:f>'Raw Sales'!K1667</x:f>
        <x:v>0.1</x:v>
      </x:c>
      <x:c r="T1667" s="93" t="n">
        <x:f>P1667*R1667</x:f>
        <x:v>62</x:v>
      </x:c>
      <x:c r="U1667" s="93" t="n">
        <x:f>T1667*S1667</x:f>
        <x:v>6.2</x:v>
      </x:c>
      <x:c r="V1667" s="93" t="str">
        <x:f>PROPER(TRIM('Raw Sales'!L1667))</x:f>
        <x:v>Completed</x:v>
      </x:c>
      <x:c r="W1667" s="93" t="n">
        <x:f>IF(V1667="Returned",0,T1667-U1667)</x:f>
        <x:v>55.8</x:v>
      </x:c>
      <x:c r="X1667" s="93" t="n">
        <x:f>IF(V1667="Returned",Q1667*R1667*10%,Q1667*R1667)</x:f>
        <x:v>24</x:v>
      </x:c>
      <x:c r="Y1667" s="93" t="n">
        <x:f>W1667-X1667</x:f>
        <x:v>31.799999999999997</x:v>
      </x:c>
      <x:c r="Z1667" s="94" t="n">
        <x:f>IFERROR(Y1667/W1667,0)</x:f>
        <x:v>0.5698924731182795</x:v>
      </x:c>
      <x:c r="AA1667" s="84" t="str">
        <x:f>PROPER(TRIM('Raw Sales'!M1667))</x:f>
        <x:v>Debit Card</x:v>
      </x:c>
      <x:c r="AB1667" s="84" t="str">
        <x:f>PROPER(TRIM('Raw Sales'!N1667))</x:f>
        <x:v>Zoe Turner</x:v>
      </x:c>
      <x:c r="AC1667" s="85" t="n">
        <x:f>'Raw Sales'!O1667</x:f>
        <x:v>45845</x:v>
      </x:c>
      <x:c r="AD1667" s="84" t="n">
        <x:f>AC1667-B1667</x:f>
        <x:v>7</x:v>
      </x:c>
      <x:c r="AE1667" s="84" t="str">
        <x:f>IF(COUNTIF($A$5:A1667,A1667)&gt;1,"Duplicate","Keep")</x:f>
        <x:v>Keep</x:v>
      </x:c>
      <x:c r="AF1667" s="84" t="str">
        <x:f>IF(OR(R1667&lt;=0,AC1667&lt;B1667,H1667="Unknown",M1667="Unknown Product"),"Review","Valid")</x:f>
        <x:v>Valid</x:v>
      </x:c>
      <x:c r="AG1667" s="84" t="n">
        <x:f>IF(AND(AE1667="Keep",AF1667="Valid"),1,0)</x:f>
        <x:v>1</x:v>
      </x:c>
      <x:c r="AH1667" s="84" t="n">
        <x:f>IF(AND(AG1667=1,OR('Dashboard'!$B$4="All",I1667='Dashboard'!$B$4),OR('Dashboard'!$E$4="All",N1667='Dashboard'!$E$4),OR('Dashboard'!$H$4="All",K1667='Dashboard'!$H$4),OR('Dashboard'!$K$4="All",C1667='Dashboard'!$K$4)),1,0)</x:f>
        <x:v>1</x:v>
      </x:c>
      <x:c r="AI1667" s="84" t="n">
        <x:f>IF(AND(AG1667=1,OR('Dashboard'!$B$4="All",I1667='Dashboard'!$B$4),OR('Dashboard'!$E$4="All",N1667='Dashboard'!$E$4),OR('Dashboard'!$H$4="All",K1667='Dashboard'!$H$4)),1,0)</x:f>
        <x:v>1</x:v>
      </x:c>
    </x:row>
    <x:row r="1668">
      <x:c r="A1668" s="84" t="str">
        <x:f>'Raw Sales'!A1668</x:f>
        <x:v>ORD-2025-01704</x:v>
      </x:c>
      <x:c r="B1668" s="85" t="n">
        <x:f>'Raw Sales'!B1668</x:f>
        <x:v>45838</x:v>
      </x:c>
      <x:c r="C1668" s="84" t="n">
        <x:f>YEAR(B1668)</x:f>
        <x:v>2025</x:v>
      </x:c>
      <x:c r="D1668" s="91" t="n">
        <x:f>DATE(YEAR(B1668),MONTH(B1668),1)</x:f>
        <x:v>45809</x:v>
      </x:c>
      <x:c r="E1668" s="84" t="str">
        <x:f>TEXT(B1668,"mmm")</x:f>
        <x:v>Jun</x:v>
      </x:c>
      <x:c r="F1668" s="84" t="str">
        <x:f>'Raw Sales'!C1668</x:f>
        <x:v>CUST-0147</x:v>
      </x:c>
      <x:c r="G1668" s="84" t="str">
        <x:f>PROPER(TRIM('Raw Sales'!D1668))</x:f>
        <x:v>Isaac Khan</x:v>
      </x:c>
      <x:c r="H1668" s="84" t="str">
        <x:f>IF(TRIM('Raw Sales'!E1668)="","Unknown",PROPER(TRIM('Raw Sales'!E1668)))</x:f>
        <x:v>Corporate</x:v>
      </x:c>
      <x:c r="I1668" s="84" t="str">
        <x:f>PROPER(TRIM('Raw Sales'!F1668))</x:f>
        <x:v>Northeast</x:v>
      </x:c>
      <x:c r="J1668" s="84" t="str">
        <x:f>PROPER(TRIM('Raw Sales'!G1668))</x:f>
        <x:v>Boston</x:v>
      </x:c>
      <x:c r="K1668" s="84" t="str">
        <x:f>PROPER(TRIM('Raw Sales'!H1668))</x:f>
        <x:v>Retail Store</x:v>
      </x:c>
      <x:c r="L1668" s="84" t="str">
        <x:f>'Raw Sales'!I1668</x:f>
        <x:v>CARE-006</x:v>
      </x:c>
      <x:c r="M1668" s="84" t="str">
        <x:f>IFERROR(VLOOKUP(L1668,'Reference Data'!$A$5:$F$40,2,FALSE),"Unknown Product")</x:f>
        <x:v>Percussion Massage Gun</x:v>
      </x:c>
      <x:c r="N1668" s="84" t="str">
        <x:f>IFERROR(VLOOKUP(L1668,'Reference Data'!$A$5:$F$40,3,FALSE),"Unknown")</x:f>
        <x:v>Personal Care</x:v>
      </x:c>
      <x:c r="O1668" s="84" t="str">
        <x:f>IFERROR(VLOOKUP(L1668,'Reference Data'!$A$5:$F$40,4,FALSE),"Unknown")</x:f>
        <x:v>Wellness</x:v>
      </x:c>
      <x:c r="P1668" s="92" t="n">
        <x:f>IFERROR(VLOOKUP(L1668,'Reference Data'!$A$5:$F$40,5,FALSE),0)</x:f>
        <x:v>129</x:v>
      </x:c>
      <x:c r="Q1668" s="92" t="n">
        <x:f>IFERROR(VLOOKUP(L1668,'Reference Data'!$A$5:$F$40,6,FALSE),0)</x:f>
        <x:v>70</x:v>
      </x:c>
      <x:c r="R1668" s="84" t="n">
        <x:f>'Raw Sales'!J1668</x:f>
        <x:v>2</x:v>
      </x:c>
      <x:c r="S1668" s="87" t="n">
        <x:f>'Raw Sales'!K1668</x:f>
        <x:v>0.05</x:v>
      </x:c>
      <x:c r="T1668" s="93" t="n">
        <x:f>P1668*R1668</x:f>
        <x:v>258</x:v>
      </x:c>
      <x:c r="U1668" s="93" t="n">
        <x:f>T1668*S1668</x:f>
        <x:v>12.9</x:v>
      </x:c>
      <x:c r="V1668" s="93" t="str">
        <x:f>PROPER(TRIM('Raw Sales'!L1668))</x:f>
        <x:v>Completed</x:v>
      </x:c>
      <x:c r="W1668" s="93" t="n">
        <x:f>IF(V1668="Returned",0,T1668-U1668)</x:f>
        <x:v>245.1</x:v>
      </x:c>
      <x:c r="X1668" s="93" t="n">
        <x:f>IF(V1668="Returned",Q1668*R1668*10%,Q1668*R1668)</x:f>
        <x:v>140</x:v>
      </x:c>
      <x:c r="Y1668" s="93" t="n">
        <x:f>W1668-X1668</x:f>
        <x:v>105.1</x:v>
      </x:c>
      <x:c r="Z1668" s="94" t="n">
        <x:f>IFERROR(Y1668/W1668,0)</x:f>
        <x:v>0.4288045695634435</x:v>
      </x:c>
      <x:c r="AA1668" s="84" t="str">
        <x:f>PROPER(TRIM('Raw Sales'!M1668))</x:f>
        <x:v>Credit Card</x:v>
      </x:c>
      <x:c r="AB1668" s="84" t="str">
        <x:f>PROPER(TRIM('Raw Sales'!N1668))</x:f>
        <x:v>Ethan Cole</x:v>
      </x:c>
      <x:c r="AC1668" s="85" t="n">
        <x:f>'Raw Sales'!O1668</x:f>
        <x:v>45838</x:v>
      </x:c>
      <x:c r="AD1668" s="84" t="n">
        <x:f>AC1668-B1668</x:f>
        <x:v>0</x:v>
      </x:c>
      <x:c r="AE1668" s="84" t="str">
        <x:f>IF(COUNTIF($A$5:A1668,A1668)&gt;1,"Duplicate","Keep")</x:f>
        <x:v>Keep</x:v>
      </x:c>
      <x:c r="AF1668" s="84" t="str">
        <x:f>IF(OR(R1668&lt;=0,AC1668&lt;B1668,H1668="Unknown",M1668="Unknown Product"),"Review","Valid")</x:f>
        <x:v>Valid</x:v>
      </x:c>
      <x:c r="AG1668" s="84" t="n">
        <x:f>IF(AND(AE1668="Keep",AF1668="Valid"),1,0)</x:f>
        <x:v>1</x:v>
      </x:c>
      <x:c r="AH1668" s="84" t="n">
        <x:f>IF(AND(AG1668=1,OR('Dashboard'!$B$4="All",I1668='Dashboard'!$B$4),OR('Dashboard'!$E$4="All",N1668='Dashboard'!$E$4),OR('Dashboard'!$H$4="All",K1668='Dashboard'!$H$4),OR('Dashboard'!$K$4="All",C1668='Dashboard'!$K$4)),1,0)</x:f>
        <x:v>1</x:v>
      </x:c>
      <x:c r="AI1668" s="84" t="n">
        <x:f>IF(AND(AG1668=1,OR('Dashboard'!$B$4="All",I1668='Dashboard'!$B$4),OR('Dashboard'!$E$4="All",N1668='Dashboard'!$E$4),OR('Dashboard'!$H$4="All",K1668='Dashboard'!$H$4)),1,0)</x:f>
        <x:v>1</x:v>
      </x:c>
    </x:row>
    <x:row r="1669">
      <x:c r="A1669" s="84" t="str">
        <x:f>'Raw Sales'!A1669</x:f>
        <x:v>ORD-2025-02172</x:v>
      </x:c>
      <x:c r="B1669" s="85" t="n">
        <x:f>'Raw Sales'!B1669</x:f>
        <x:v>45838</x:v>
      </x:c>
      <x:c r="C1669" s="84" t="n">
        <x:f>YEAR(B1669)</x:f>
        <x:v>2025</x:v>
      </x:c>
      <x:c r="D1669" s="91" t="n">
        <x:f>DATE(YEAR(B1669),MONTH(B1669),1)</x:f>
        <x:v>45809</x:v>
      </x:c>
      <x:c r="E1669" s="84" t="str">
        <x:f>TEXT(B1669,"mmm")</x:f>
        <x:v>Jun</x:v>
      </x:c>
      <x:c r="F1669" s="84" t="str">
        <x:f>'Raw Sales'!C1669</x:f>
        <x:v>CUST-0557</x:v>
      </x:c>
      <x:c r="G1669" s="84" t="str">
        <x:f>PROPER(TRIM('Raw Sales'!D1669))</x:f>
        <x:v>Isaac Smith</x:v>
      </x:c>
      <x:c r="H1669" s="84" t="str">
        <x:f>IF(TRIM('Raw Sales'!E1669)="","Unknown",PROPER(TRIM('Raw Sales'!E1669)))</x:f>
        <x:v>Consumer</x:v>
      </x:c>
      <x:c r="I1669" s="84" t="str">
        <x:f>PROPER(TRIM('Raw Sales'!F1669))</x:f>
        <x:v>Northeast</x:v>
      </x:c>
      <x:c r="J1669" s="84" t="str">
        <x:f>PROPER(TRIM('Raw Sales'!G1669))</x:f>
        <x:v>Boston</x:v>
      </x:c>
      <x:c r="K1669" s="84" t="str">
        <x:f>PROPER(TRIM('Raw Sales'!H1669))</x:f>
        <x:v>Retail Store</x:v>
      </x:c>
      <x:c r="L1669" s="84" t="str">
        <x:f>'Raw Sales'!I1669</x:f>
        <x:v>OFFC-003</x:v>
      </x:c>
      <x:c r="M1669" s="84" t="str">
        <x:f>IFERROR(VLOOKUP(L1669,'Reference Data'!$A$5:$F$40,2,FALSE),"Unknown Product")</x:f>
        <x:v>LED Desk Lamp</x:v>
      </x:c>
      <x:c r="N1669" s="84" t="str">
        <x:f>IFERROR(VLOOKUP(L1669,'Reference Data'!$A$5:$F$40,3,FALSE),"Unknown")</x:f>
        <x:v>Office</x:v>
      </x:c>
      <x:c r="O1669" s="84" t="str">
        <x:f>IFERROR(VLOOKUP(L1669,'Reference Data'!$A$5:$F$40,4,FALSE),"Unknown")</x:f>
        <x:v>Desk Accessories</x:v>
      </x:c>
      <x:c r="P1669" s="92" t="n">
        <x:f>IFERROR(VLOOKUP(L1669,'Reference Data'!$A$5:$F$40,5,FALSE),0)</x:f>
        <x:v>45</x:v>
      </x:c>
      <x:c r="Q1669" s="92" t="n">
        <x:f>IFERROR(VLOOKUP(L1669,'Reference Data'!$A$5:$F$40,6,FALSE),0)</x:f>
        <x:v>20</x:v>
      </x:c>
      <x:c r="R1669" s="84" t="n">
        <x:f>'Raw Sales'!J1669</x:f>
        <x:v>1</x:v>
      </x:c>
      <x:c r="S1669" s="87" t="n">
        <x:f>'Raw Sales'!K1669</x:f>
        <x:v>0.2</x:v>
      </x:c>
      <x:c r="T1669" s="93" t="n">
        <x:f>P1669*R1669</x:f>
        <x:v>45</x:v>
      </x:c>
      <x:c r="U1669" s="93" t="n">
        <x:f>T1669*S1669</x:f>
        <x:v>9</x:v>
      </x:c>
      <x:c r="V1669" s="93" t="str">
        <x:f>PROPER(TRIM('Raw Sales'!L1669))</x:f>
        <x:v>Completed</x:v>
      </x:c>
      <x:c r="W1669" s="93" t="n">
        <x:f>IF(V1669="Returned",0,T1669-U1669)</x:f>
        <x:v>36</x:v>
      </x:c>
      <x:c r="X1669" s="93" t="n">
        <x:f>IF(V1669="Returned",Q1669*R1669*10%,Q1669*R1669)</x:f>
        <x:v>20</x:v>
      </x:c>
      <x:c r="Y1669" s="93" t="n">
        <x:f>W1669-X1669</x:f>
        <x:v>16</x:v>
      </x:c>
      <x:c r="Z1669" s="94" t="n">
        <x:f>IFERROR(Y1669/W1669,0)</x:f>
        <x:v>0.4444444444444444</x:v>
      </x:c>
      <x:c r="AA1669" s="84" t="str">
        <x:f>PROPER(TRIM('Raw Sales'!M1669))</x:f>
        <x:v>Cash</x:v>
      </x:c>
      <x:c r="AB1669" s="84" t="str">
        <x:f>PROPER(TRIM('Raw Sales'!N1669))</x:f>
        <x:v>Maya Brooks</x:v>
      </x:c>
      <x:c r="AC1669" s="85" t="n">
        <x:f>'Raw Sales'!O1669</x:f>
        <x:v>45838</x:v>
      </x:c>
      <x:c r="AD1669" s="84" t="n">
        <x:f>AC1669-B1669</x:f>
        <x:v>0</x:v>
      </x:c>
      <x:c r="AE1669" s="84" t="str">
        <x:f>IF(COUNTIF($A$5:A1669,A1669)&gt;1,"Duplicate","Keep")</x:f>
        <x:v>Keep</x:v>
      </x:c>
      <x:c r="AF1669" s="84" t="str">
        <x:f>IF(OR(R1669&lt;=0,AC1669&lt;B1669,H1669="Unknown",M1669="Unknown Product"),"Review","Valid")</x:f>
        <x:v>Valid</x:v>
      </x:c>
      <x:c r="AG1669" s="84" t="n">
        <x:f>IF(AND(AE1669="Keep",AF1669="Valid"),1,0)</x:f>
        <x:v>1</x:v>
      </x:c>
      <x:c r="AH1669" s="84" t="n">
        <x:f>IF(AND(AG1669=1,OR('Dashboard'!$B$4="All",I1669='Dashboard'!$B$4),OR('Dashboard'!$E$4="All",N1669='Dashboard'!$E$4),OR('Dashboard'!$H$4="All",K1669='Dashboard'!$H$4),OR('Dashboard'!$K$4="All",C1669='Dashboard'!$K$4)),1,0)</x:f>
        <x:v>1</x:v>
      </x:c>
      <x:c r="AI1669" s="84" t="n">
        <x:f>IF(AND(AG1669=1,OR('Dashboard'!$B$4="All",I1669='Dashboard'!$B$4),OR('Dashboard'!$E$4="All",N1669='Dashboard'!$E$4),OR('Dashboard'!$H$4="All",K1669='Dashboard'!$H$4)),1,0)</x:f>
        <x:v>1</x:v>
      </x:c>
    </x:row>
    <x:row r="1670">
      <x:c r="A1670" s="84" t="str">
        <x:f>'Raw Sales'!A1670</x:f>
        <x:v>ORD-2025-02195</x:v>
      </x:c>
      <x:c r="B1670" s="85" t="n">
        <x:f>'Raw Sales'!B1670</x:f>
        <x:v>45838</x:v>
      </x:c>
      <x:c r="C1670" s="84" t="n">
        <x:f>YEAR(B1670)</x:f>
        <x:v>2025</x:v>
      </x:c>
      <x:c r="D1670" s="91" t="n">
        <x:f>DATE(YEAR(B1670),MONTH(B1670),1)</x:f>
        <x:v>45809</x:v>
      </x:c>
      <x:c r="E1670" s="84" t="str">
        <x:f>TEXT(B1670,"mmm")</x:f>
        <x:v>Jun</x:v>
      </x:c>
      <x:c r="F1670" s="84" t="str">
        <x:f>'Raw Sales'!C1670</x:f>
        <x:v>CUST-0290</x:v>
      </x:c>
      <x:c r="G1670" s="84" t="str">
        <x:f>PROPER(TRIM('Raw Sales'!D1670))</x:f>
        <x:v>Nathan Baker</x:v>
      </x:c>
      <x:c r="H1670" s="84" t="str">
        <x:f>IF(TRIM('Raw Sales'!E1670)="","Unknown",PROPER(TRIM('Raw Sales'!E1670)))</x:f>
        <x:v>Consumer</x:v>
      </x:c>
      <x:c r="I1670" s="84" t="str">
        <x:f>PROPER(TRIM('Raw Sales'!F1670))</x:f>
        <x:v>West</x:v>
      </x:c>
      <x:c r="J1670" s="84" t="str">
        <x:f>PROPER(TRIM('Raw Sales'!G1670))</x:f>
        <x:v>Denver</x:v>
      </x:c>
      <x:c r="K1670" s="84" t="str">
        <x:f>PROPER(TRIM('Raw Sales'!H1670))</x:f>
        <x:v>Online</x:v>
      </x:c>
      <x:c r="L1670" s="84" t="str">
        <x:f>'Raw Sales'!I1670</x:f>
        <x:v>ELEC-005</x:v>
      </x:c>
      <x:c r="M1670" s="84" t="str">
        <x:f>IFERROR(VLOOKUP(L1670,'Reference Data'!$A$5:$F$40,2,FALSE),"Unknown Product")</x:f>
        <x:v>HD Webcam</x:v>
      </x:c>
      <x:c r="N1670" s="84" t="str">
        <x:f>IFERROR(VLOOKUP(L1670,'Reference Data'!$A$5:$F$40,3,FALSE),"Unknown")</x:f>
        <x:v>Electronics</x:v>
      </x:c>
      <x:c r="O1670" s="84" t="str">
        <x:f>IFERROR(VLOOKUP(L1670,'Reference Data'!$A$5:$F$40,4,FALSE),"Unknown")</x:f>
        <x:v>Computer Accessories</x:v>
      </x:c>
      <x:c r="P1670" s="92" t="n">
        <x:f>IFERROR(VLOOKUP(L1670,'Reference Data'!$A$5:$F$40,5,FALSE),0)</x:f>
        <x:v>79</x:v>
      </x:c>
      <x:c r="Q1670" s="92" t="n">
        <x:f>IFERROR(VLOOKUP(L1670,'Reference Data'!$A$5:$F$40,6,FALSE),0)</x:f>
        <x:v>37</x:v>
      </x:c>
      <x:c r="R1670" s="84" t="n">
        <x:f>'Raw Sales'!J1670</x:f>
        <x:v>3</x:v>
      </x:c>
      <x:c r="S1670" s="87" t="n">
        <x:f>'Raw Sales'!K1670</x:f>
        <x:v>0</x:v>
      </x:c>
      <x:c r="T1670" s="93" t="n">
        <x:f>P1670*R1670</x:f>
        <x:v>237</x:v>
      </x:c>
      <x:c r="U1670" s="93" t="n">
        <x:f>T1670*S1670</x:f>
        <x:v>0</x:v>
      </x:c>
      <x:c r="V1670" s="93" t="str">
        <x:f>PROPER(TRIM('Raw Sales'!L1670))</x:f>
        <x:v>Completed</x:v>
      </x:c>
      <x:c r="W1670" s="93" t="n">
        <x:f>IF(V1670="Returned",0,T1670-U1670)</x:f>
        <x:v>237</x:v>
      </x:c>
      <x:c r="X1670" s="93" t="n">
        <x:f>IF(V1670="Returned",Q1670*R1670*10%,Q1670*R1670)</x:f>
        <x:v>111</x:v>
      </x:c>
      <x:c r="Y1670" s="93" t="n">
        <x:f>W1670-X1670</x:f>
        <x:v>126</x:v>
      </x:c>
      <x:c r="Z1670" s="94" t="n">
        <x:f>IFERROR(Y1670/W1670,0)</x:f>
        <x:v>0.5316455696202531</x:v>
      </x:c>
      <x:c r="AA1670" s="84" t="str">
        <x:f>PROPER(TRIM('Raw Sales'!M1670))</x:f>
        <x:v>Paypal</x:v>
      </x:c>
      <x:c r="AB1670" s="84" t="str">
        <x:f>PROPER(TRIM('Raw Sales'!N1670))</x:f>
        <x:v>Mia Chen</x:v>
      </x:c>
      <x:c r="AC1670" s="85" t="n">
        <x:f>'Raw Sales'!O1670</x:f>
        <x:v>45841</x:v>
      </x:c>
      <x:c r="AD1670" s="84" t="n">
        <x:f>AC1670-B1670</x:f>
        <x:v>3</x:v>
      </x:c>
      <x:c r="AE1670" s="84" t="str">
        <x:f>IF(COUNTIF($A$5:A1670,A1670)&gt;1,"Duplicate","Keep")</x:f>
        <x:v>Keep</x:v>
      </x:c>
      <x:c r="AF1670" s="84" t="str">
        <x:f>IF(OR(R1670&lt;=0,AC1670&lt;B1670,H1670="Unknown",M1670="Unknown Product"),"Review","Valid")</x:f>
        <x:v>Valid</x:v>
      </x:c>
      <x:c r="AG1670" s="84" t="n">
        <x:f>IF(AND(AE1670="Keep",AF1670="Valid"),1,0)</x:f>
        <x:v>1</x:v>
      </x:c>
      <x:c r="AH1670" s="84" t="n">
        <x:f>IF(AND(AG1670=1,OR('Dashboard'!$B$4="All",I1670='Dashboard'!$B$4),OR('Dashboard'!$E$4="All",N1670='Dashboard'!$E$4),OR('Dashboard'!$H$4="All",K1670='Dashboard'!$H$4),OR('Dashboard'!$K$4="All",C1670='Dashboard'!$K$4)),1,0)</x:f>
        <x:v>1</x:v>
      </x:c>
      <x:c r="AI1670" s="84" t="n">
        <x:f>IF(AND(AG1670=1,OR('Dashboard'!$B$4="All",I1670='Dashboard'!$B$4),OR('Dashboard'!$E$4="All",N1670='Dashboard'!$E$4),OR('Dashboard'!$H$4="All",K1670='Dashboard'!$H$4)),1,0)</x:f>
        <x:v>1</x:v>
      </x:c>
    </x:row>
    <x:row r="1671">
      <x:c r="A1671" s="84" t="str">
        <x:f>'Raw Sales'!A1671</x:f>
        <x:v>ORD-2025-00563</x:v>
      </x:c>
      <x:c r="B1671" s="85" t="n">
        <x:f>'Raw Sales'!B1671</x:f>
        <x:v>45839</x:v>
      </x:c>
      <x:c r="C1671" s="84" t="n">
        <x:f>YEAR(B1671)</x:f>
        <x:v>2025</x:v>
      </x:c>
      <x:c r="D1671" s="91" t="n">
        <x:f>DATE(YEAR(B1671),MONTH(B1671),1)</x:f>
        <x:v>45839</x:v>
      </x:c>
      <x:c r="E1671" s="84" t="str">
        <x:f>TEXT(B1671,"mmm")</x:f>
        <x:v>Jul</x:v>
      </x:c>
      <x:c r="F1671" s="84" t="str">
        <x:f>'Raw Sales'!C1671</x:f>
        <x:v>CUST-0218</x:v>
      </x:c>
      <x:c r="G1671" s="84" t="str">
        <x:f>PROPER(TRIM('Raw Sales'!D1671))</x:f>
        <x:v>Grace Walker</x:v>
      </x:c>
      <x:c r="H1671" s="84" t="str">
        <x:f>IF(TRIM('Raw Sales'!E1671)="","Unknown",PROPER(TRIM('Raw Sales'!E1671)))</x:f>
        <x:v>Consumer</x:v>
      </x:c>
      <x:c r="I1671" s="84" t="str">
        <x:f>PROPER(TRIM('Raw Sales'!F1671))</x:f>
        <x:v>Northeast</x:v>
      </x:c>
      <x:c r="J1671" s="84" t="str">
        <x:f>PROPER(TRIM('Raw Sales'!G1671))</x:f>
        <x:v>Philadelphia</x:v>
      </x:c>
      <x:c r="K1671" s="84" t="str">
        <x:f>PROPER(TRIM('Raw Sales'!H1671))</x:f>
        <x:v>Retail Store</x:v>
      </x:c>
      <x:c r="L1671" s="84" t="str">
        <x:f>'Raw Sales'!I1671</x:f>
        <x:v>CARE-002</x:v>
      </x:c>
      <x:c r="M1671" s="84" t="str">
        <x:f>IFERROR(VLOOKUP(L1671,'Reference Data'!$A$5:$F$40,2,FALSE),"Unknown Product")</x:f>
        <x:v>Rechargeable Trimmer</x:v>
      </x:c>
      <x:c r="N1671" s="84" t="str">
        <x:f>IFERROR(VLOOKUP(L1671,'Reference Data'!$A$5:$F$40,3,FALSE),"Unknown")</x:f>
        <x:v>Personal Care</x:v>
      </x:c>
      <x:c r="O1671" s="84" t="str">
        <x:f>IFERROR(VLOOKUP(L1671,'Reference Data'!$A$5:$F$40,4,FALSE),"Unknown")</x:f>
        <x:v>Grooming</x:v>
      </x:c>
      <x:c r="P1671" s="92" t="n">
        <x:f>IFERROR(VLOOKUP(L1671,'Reference Data'!$A$5:$F$40,5,FALSE),0)</x:f>
        <x:v>45</x:v>
      </x:c>
      <x:c r="Q1671" s="92" t="n">
        <x:f>IFERROR(VLOOKUP(L1671,'Reference Data'!$A$5:$F$40,6,FALSE),0)</x:f>
        <x:v>19</x:v>
      </x:c>
      <x:c r="R1671" s="84" t="n">
        <x:f>'Raw Sales'!J1671</x:f>
        <x:v>2</x:v>
      </x:c>
      <x:c r="S1671" s="87" t="n">
        <x:f>'Raw Sales'!K1671</x:f>
        <x:v>0.1</x:v>
      </x:c>
      <x:c r="T1671" s="93" t="n">
        <x:f>P1671*R1671</x:f>
        <x:v>90</x:v>
      </x:c>
      <x:c r="U1671" s="93" t="n">
        <x:f>T1671*S1671</x:f>
        <x:v>9</x:v>
      </x:c>
      <x:c r="V1671" s="93" t="str">
        <x:f>PROPER(TRIM('Raw Sales'!L1671))</x:f>
        <x:v>Completed</x:v>
      </x:c>
      <x:c r="W1671" s="93" t="n">
        <x:f>IF(V1671="Returned",0,T1671-U1671)</x:f>
        <x:v>81</x:v>
      </x:c>
      <x:c r="X1671" s="93" t="n">
        <x:f>IF(V1671="Returned",Q1671*R1671*10%,Q1671*R1671)</x:f>
        <x:v>38</x:v>
      </x:c>
      <x:c r="Y1671" s="93" t="n">
        <x:f>W1671-X1671</x:f>
        <x:v>43</x:v>
      </x:c>
      <x:c r="Z1671" s="94" t="n">
        <x:f>IFERROR(Y1671/W1671,0)</x:f>
        <x:v>0.5308641975308642</x:v>
      </x:c>
      <x:c r="AA1671" s="84" t="str">
        <x:f>PROPER(TRIM('Raw Sales'!M1671))</x:f>
        <x:v>Cash</x:v>
      </x:c>
      <x:c r="AB1671" s="84" t="str">
        <x:f>PROPER(TRIM('Raw Sales'!N1671))</x:f>
        <x:v>Ethan Cole</x:v>
      </x:c>
      <x:c r="AC1671" s="85" t="n">
        <x:f>'Raw Sales'!O1671</x:f>
        <x:v>45839</x:v>
      </x:c>
      <x:c r="AD1671" s="84" t="n">
        <x:f>AC1671-B1671</x:f>
        <x:v>0</x:v>
      </x:c>
      <x:c r="AE1671" s="84" t="str">
        <x:f>IF(COUNTIF($A$5:A1671,A1671)&gt;1,"Duplicate","Keep")</x:f>
        <x:v>Keep</x:v>
      </x:c>
      <x:c r="AF1671" s="84" t="str">
        <x:f>IF(OR(R1671&lt;=0,AC1671&lt;B1671,H1671="Unknown",M1671="Unknown Product"),"Review","Valid")</x:f>
        <x:v>Valid</x:v>
      </x:c>
      <x:c r="AG1671" s="84" t="n">
        <x:f>IF(AND(AE1671="Keep",AF1671="Valid"),1,0)</x:f>
        <x:v>1</x:v>
      </x:c>
      <x:c r="AH1671" s="84" t="n">
        <x:f>IF(AND(AG1671=1,OR('Dashboard'!$B$4="All",I1671='Dashboard'!$B$4),OR('Dashboard'!$E$4="All",N1671='Dashboard'!$E$4),OR('Dashboard'!$H$4="All",K1671='Dashboard'!$H$4),OR('Dashboard'!$K$4="All",C1671='Dashboard'!$K$4)),1,0)</x:f>
        <x:v>1</x:v>
      </x:c>
      <x:c r="AI1671" s="84" t="n">
        <x:f>IF(AND(AG1671=1,OR('Dashboard'!$B$4="All",I1671='Dashboard'!$B$4),OR('Dashboard'!$E$4="All",N1671='Dashboard'!$E$4),OR('Dashboard'!$H$4="All",K1671='Dashboard'!$H$4)),1,0)</x:f>
        <x:v>1</x:v>
      </x:c>
    </x:row>
    <x:row r="1672">
      <x:c r="A1672" s="84" t="str">
        <x:f>'Raw Sales'!A1672</x:f>
        <x:v>ORD-2025-01031</x:v>
      </x:c>
      <x:c r="B1672" s="85" t="n">
        <x:f>'Raw Sales'!B1672</x:f>
        <x:v>45839</x:v>
      </x:c>
      <x:c r="C1672" s="84" t="n">
        <x:f>YEAR(B1672)</x:f>
        <x:v>2025</x:v>
      </x:c>
      <x:c r="D1672" s="91" t="n">
        <x:f>DATE(YEAR(B1672),MONTH(B1672),1)</x:f>
        <x:v>45839</x:v>
      </x:c>
      <x:c r="E1672" s="84" t="str">
        <x:f>TEXT(B1672,"mmm")</x:f>
        <x:v>Jul</x:v>
      </x:c>
      <x:c r="F1672" s="84" t="str">
        <x:f>'Raw Sales'!C1672</x:f>
        <x:v>CUST-0501</x:v>
      </x:c>
      <x:c r="G1672" s="84" t="str">
        <x:f>PROPER(TRIM('Raw Sales'!D1672))</x:f>
        <x:v>Priya Garcia</x:v>
      </x:c>
      <x:c r="H1672" s="84" t="str">
        <x:f>IF(TRIM('Raw Sales'!E1672)="","Unknown",PROPER(TRIM('Raw Sales'!E1672)))</x:f>
        <x:v>Consumer</x:v>
      </x:c>
      <x:c r="I1672" s="84" t="str">
        <x:f>PROPER(TRIM('Raw Sales'!F1672))</x:f>
        <x:v>Northeast</x:v>
      </x:c>
      <x:c r="J1672" s="84" t="str">
        <x:f>PROPER(TRIM('Raw Sales'!G1672))</x:f>
        <x:v>Boston</x:v>
      </x:c>
      <x:c r="K1672" s="84" t="str">
        <x:f>PROPER(TRIM('Raw Sales'!H1672))</x:f>
        <x:v>Retail Store</x:v>
      </x:c>
      <x:c r="L1672" s="84" t="str">
        <x:f>'Raw Sales'!I1672</x:f>
        <x:v>ELEC-005</x:v>
      </x:c>
      <x:c r="M1672" s="84" t="str">
        <x:f>IFERROR(VLOOKUP(L1672,'Reference Data'!$A$5:$F$40,2,FALSE),"Unknown Product")</x:f>
        <x:v>HD Webcam</x:v>
      </x:c>
      <x:c r="N1672" s="84" t="str">
        <x:f>IFERROR(VLOOKUP(L1672,'Reference Data'!$A$5:$F$40,3,FALSE),"Unknown")</x:f>
        <x:v>Electronics</x:v>
      </x:c>
      <x:c r="O1672" s="84" t="str">
        <x:f>IFERROR(VLOOKUP(L1672,'Reference Data'!$A$5:$F$40,4,FALSE),"Unknown")</x:f>
        <x:v>Computer Accessories</x:v>
      </x:c>
      <x:c r="P1672" s="92" t="n">
        <x:f>IFERROR(VLOOKUP(L1672,'Reference Data'!$A$5:$F$40,5,FALSE),0)</x:f>
        <x:v>79</x:v>
      </x:c>
      <x:c r="Q1672" s="92" t="n">
        <x:f>IFERROR(VLOOKUP(L1672,'Reference Data'!$A$5:$F$40,6,FALSE),0)</x:f>
        <x:v>37</x:v>
      </x:c>
      <x:c r="R1672" s="84" t="n">
        <x:f>'Raw Sales'!J1672</x:f>
        <x:v>1</x:v>
      </x:c>
      <x:c r="S1672" s="87" t="n">
        <x:f>'Raw Sales'!K1672</x:f>
        <x:v>0.1</x:v>
      </x:c>
      <x:c r="T1672" s="93" t="n">
        <x:f>P1672*R1672</x:f>
        <x:v>79</x:v>
      </x:c>
      <x:c r="U1672" s="93" t="n">
        <x:f>T1672*S1672</x:f>
        <x:v>7.9</x:v>
      </x:c>
      <x:c r="V1672" s="93" t="str">
        <x:f>PROPER(TRIM('Raw Sales'!L1672))</x:f>
        <x:v>Completed</x:v>
      </x:c>
      <x:c r="W1672" s="93" t="n">
        <x:f>IF(V1672="Returned",0,T1672-U1672)</x:f>
        <x:v>71.1</x:v>
      </x:c>
      <x:c r="X1672" s="93" t="n">
        <x:f>IF(V1672="Returned",Q1672*R1672*10%,Q1672*R1672)</x:f>
        <x:v>37</x:v>
      </x:c>
      <x:c r="Y1672" s="93" t="n">
        <x:f>W1672-X1672</x:f>
        <x:v>34.099999999999994</x:v>
      </x:c>
      <x:c r="Z1672" s="94" t="n">
        <x:f>IFERROR(Y1672/W1672,0)</x:f>
        <x:v>0.4796061884669479</x:v>
      </x:c>
      <x:c r="AA1672" s="84" t="str">
        <x:f>PROPER(TRIM('Raw Sales'!M1672))</x:f>
        <x:v>Cash</x:v>
      </x:c>
      <x:c r="AB1672" s="84" t="str">
        <x:f>PROPER(TRIM('Raw Sales'!N1672))</x:f>
        <x:v>Maya Brooks</x:v>
      </x:c>
      <x:c r="AC1672" s="85" t="n">
        <x:f>'Raw Sales'!O1672</x:f>
        <x:v>45839</x:v>
      </x:c>
      <x:c r="AD1672" s="84" t="n">
        <x:f>AC1672-B1672</x:f>
        <x:v>0</x:v>
      </x:c>
      <x:c r="AE1672" s="84" t="str">
        <x:f>IF(COUNTIF($A$5:A1672,A1672)&gt;1,"Duplicate","Keep")</x:f>
        <x:v>Keep</x:v>
      </x:c>
      <x:c r="AF1672" s="84" t="str">
        <x:f>IF(OR(R1672&lt;=0,AC1672&lt;B1672,H1672="Unknown",M1672="Unknown Product"),"Review","Valid")</x:f>
        <x:v>Valid</x:v>
      </x:c>
      <x:c r="AG1672" s="84" t="n">
        <x:f>IF(AND(AE1672="Keep",AF1672="Valid"),1,0)</x:f>
        <x:v>1</x:v>
      </x:c>
      <x:c r="AH1672" s="84" t="n">
        <x:f>IF(AND(AG1672=1,OR('Dashboard'!$B$4="All",I1672='Dashboard'!$B$4),OR('Dashboard'!$E$4="All",N1672='Dashboard'!$E$4),OR('Dashboard'!$H$4="All",K1672='Dashboard'!$H$4),OR('Dashboard'!$K$4="All",C1672='Dashboard'!$K$4)),1,0)</x:f>
        <x:v>1</x:v>
      </x:c>
      <x:c r="AI1672" s="84" t="n">
        <x:f>IF(AND(AG1672=1,OR('Dashboard'!$B$4="All",I1672='Dashboard'!$B$4),OR('Dashboard'!$E$4="All",N1672='Dashboard'!$E$4),OR('Dashboard'!$H$4="All",K1672='Dashboard'!$H$4)),1,0)</x:f>
        <x:v>1</x:v>
      </x:c>
    </x:row>
    <x:row r="1673">
      <x:c r="A1673" s="84" t="str">
        <x:f>'Raw Sales'!A1673</x:f>
        <x:v>ORD-2025-01773</x:v>
      </x:c>
      <x:c r="B1673" s="85" t="n">
        <x:f>'Raw Sales'!B1673</x:f>
        <x:v>45839</x:v>
      </x:c>
      <x:c r="C1673" s="84" t="n">
        <x:f>YEAR(B1673)</x:f>
        <x:v>2025</x:v>
      </x:c>
      <x:c r="D1673" s="91" t="n">
        <x:f>DATE(YEAR(B1673),MONTH(B1673),1)</x:f>
        <x:v>45839</x:v>
      </x:c>
      <x:c r="E1673" s="84" t="str">
        <x:f>TEXT(B1673,"mmm")</x:f>
        <x:v>Jul</x:v>
      </x:c>
      <x:c r="F1673" s="84" t="str">
        <x:f>'Raw Sales'!C1673</x:f>
        <x:v>CUST-0164</x:v>
      </x:c>
      <x:c r="G1673" s="84" t="str">
        <x:f>PROPER(TRIM('Raw Sales'!D1673))</x:f>
        <x:v>Maya Patel</x:v>
      </x:c>
      <x:c r="H1673" s="84" t="str">
        <x:f>IF(TRIM('Raw Sales'!E1673)="","Unknown",PROPER(TRIM('Raw Sales'!E1673)))</x:f>
        <x:v>Corporate</x:v>
      </x:c>
      <x:c r="I1673" s="84" t="str">
        <x:f>PROPER(TRIM('Raw Sales'!F1673))</x:f>
        <x:v>West</x:v>
      </x:c>
      <x:c r="J1673" s="84" t="str">
        <x:f>PROPER(TRIM('Raw Sales'!G1673))</x:f>
        <x:v>Phoenix</x:v>
      </x:c>
      <x:c r="K1673" s="84" t="str">
        <x:f>PROPER(TRIM('Raw Sales'!H1673))</x:f>
        <x:v>Marketplace</x:v>
      </x:c>
      <x:c r="L1673" s="84" t="str">
        <x:f>'Raw Sales'!I1673</x:f>
        <x:v>OFFC-005</x:v>
      </x:c>
      <x:c r="M1673" s="84" t="str">
        <x:f>IFERROR(VLOOKUP(L1673,'Reference Data'!$A$5:$F$40,2,FALSE),"Unknown Product")</x:f>
        <x:v>Wireless Keyboard</x:v>
      </x:c>
      <x:c r="N1673" s="84" t="str">
        <x:f>IFERROR(VLOOKUP(L1673,'Reference Data'!$A$5:$F$40,3,FALSE),"Unknown")</x:f>
        <x:v>Office</x:v>
      </x:c>
      <x:c r="O1673" s="84" t="str">
        <x:f>IFERROR(VLOOKUP(L1673,'Reference Data'!$A$5:$F$40,4,FALSE),"Unknown")</x:f>
        <x:v>Computer Accessories</x:v>
      </x:c>
      <x:c r="P1673" s="92" t="n">
        <x:f>IFERROR(VLOOKUP(L1673,'Reference Data'!$A$5:$F$40,5,FALSE),0)</x:f>
        <x:v>59</x:v>
      </x:c>
      <x:c r="Q1673" s="92" t="n">
        <x:f>IFERROR(VLOOKUP(L1673,'Reference Data'!$A$5:$F$40,6,FALSE),0)</x:f>
        <x:v>28</x:v>
      </x:c>
      <x:c r="R1673" s="84" t="n">
        <x:f>'Raw Sales'!J1673</x:f>
        <x:v>8</x:v>
      </x:c>
      <x:c r="S1673" s="87" t="n">
        <x:f>'Raw Sales'!K1673</x:f>
        <x:v>0.05</x:v>
      </x:c>
      <x:c r="T1673" s="93" t="n">
        <x:f>P1673*R1673</x:f>
        <x:v>472</x:v>
      </x:c>
      <x:c r="U1673" s="93" t="n">
        <x:f>T1673*S1673</x:f>
        <x:v>23.6</x:v>
      </x:c>
      <x:c r="V1673" s="93" t="str">
        <x:f>PROPER(TRIM('Raw Sales'!L1673))</x:f>
        <x:v>Completed</x:v>
      </x:c>
      <x:c r="W1673" s="93" t="n">
        <x:f>IF(V1673="Returned",0,T1673-U1673)</x:f>
        <x:v>448.4</x:v>
      </x:c>
      <x:c r="X1673" s="93" t="n">
        <x:f>IF(V1673="Returned",Q1673*R1673*10%,Q1673*R1673)</x:f>
        <x:v>224</x:v>
      </x:c>
      <x:c r="Y1673" s="93" t="n">
        <x:f>W1673-X1673</x:f>
        <x:v>224.39999999999998</x:v>
      </x:c>
      <x:c r="Z1673" s="94" t="n">
        <x:f>IFERROR(Y1673/W1673,0)</x:f>
        <x:v>0.5004460303300624</x:v>
      </x:c>
      <x:c r="AA1673" s="84" t="str">
        <x:f>PROPER(TRIM('Raw Sales'!M1673))</x:f>
        <x:v>Debit Card</x:v>
      </x:c>
      <x:c r="AB1673" s="84" t="str">
        <x:f>PROPER(TRIM('Raw Sales'!N1673))</x:f>
        <x:v>Nora Kim</x:v>
      </x:c>
      <x:c r="AC1673" s="85" t="n">
        <x:f>'Raw Sales'!O1673</x:f>
        <x:v>45845</x:v>
      </x:c>
      <x:c r="AD1673" s="84" t="n">
        <x:f>AC1673-B1673</x:f>
        <x:v>6</x:v>
      </x:c>
      <x:c r="AE1673" s="84" t="str">
        <x:f>IF(COUNTIF($A$5:A1673,A1673)&gt;1,"Duplicate","Keep")</x:f>
        <x:v>Keep</x:v>
      </x:c>
      <x:c r="AF1673" s="84" t="str">
        <x:f>IF(OR(R1673&lt;=0,AC1673&lt;B1673,H1673="Unknown",M1673="Unknown Product"),"Review","Valid")</x:f>
        <x:v>Valid</x:v>
      </x:c>
      <x:c r="AG1673" s="84" t="n">
        <x:f>IF(AND(AE1673="Keep",AF1673="Valid"),1,0)</x:f>
        <x:v>1</x:v>
      </x:c>
      <x:c r="AH1673" s="84" t="n">
        <x:f>IF(AND(AG1673=1,OR('Dashboard'!$B$4="All",I1673='Dashboard'!$B$4),OR('Dashboard'!$E$4="All",N1673='Dashboard'!$E$4),OR('Dashboard'!$H$4="All",K1673='Dashboard'!$H$4),OR('Dashboard'!$K$4="All",C1673='Dashboard'!$K$4)),1,0)</x:f>
        <x:v>1</x:v>
      </x:c>
      <x:c r="AI1673" s="84" t="n">
        <x:f>IF(AND(AG1673=1,OR('Dashboard'!$B$4="All",I1673='Dashboard'!$B$4),OR('Dashboard'!$E$4="All",N1673='Dashboard'!$E$4),OR('Dashboard'!$H$4="All",K1673='Dashboard'!$H$4)),1,0)</x:f>
        <x:v>1</x:v>
      </x:c>
    </x:row>
    <x:row r="1674">
      <x:c r="A1674" s="84" t="str">
        <x:f>'Raw Sales'!A1674</x:f>
        <x:v>ORD-2025-01908</x:v>
      </x:c>
      <x:c r="B1674" s="85" t="n">
        <x:f>'Raw Sales'!B1674</x:f>
        <x:v>45839</x:v>
      </x:c>
      <x:c r="C1674" s="84" t="n">
        <x:f>YEAR(B1674)</x:f>
        <x:v>2025</x:v>
      </x:c>
      <x:c r="D1674" s="91" t="n">
        <x:f>DATE(YEAR(B1674),MONTH(B1674),1)</x:f>
        <x:v>45839</x:v>
      </x:c>
      <x:c r="E1674" s="84" t="str">
        <x:f>TEXT(B1674,"mmm")</x:f>
        <x:v>Jul</x:v>
      </x:c>
      <x:c r="F1674" s="84" t="str">
        <x:f>'Raw Sales'!C1674</x:f>
        <x:v>CUST-0599</x:v>
      </x:c>
      <x:c r="G1674" s="84" t="str">
        <x:f>PROPER(TRIM('Raw Sales'!D1674))</x:f>
        <x:v>Caleb Adams</x:v>
      </x:c>
      <x:c r="H1674" s="84" t="str">
        <x:f>IF(TRIM('Raw Sales'!E1674)="","Unknown",PROPER(TRIM('Raw Sales'!E1674)))</x:f>
        <x:v>Consumer</x:v>
      </x:c>
      <x:c r="I1674" s="84" t="str">
        <x:f>PROPER(TRIM('Raw Sales'!F1674))</x:f>
        <x:v>West</x:v>
      </x:c>
      <x:c r="J1674" s="84" t="str">
        <x:f>PROPER(TRIM('Raw Sales'!G1674))</x:f>
        <x:v>Phoenix</x:v>
      </x:c>
      <x:c r="K1674" s="84" t="str">
        <x:f>PROPER(TRIM('Raw Sales'!H1674))</x:f>
        <x:v>Online</x:v>
      </x:c>
      <x:c r="L1674" s="84" t="str">
        <x:f>'Raw Sales'!I1674</x:f>
        <x:v>HOME-002</x:v>
      </x:c>
      <x:c r="M1674" s="84" t="str">
        <x:f>IFERROR(VLOOKUP(L1674,'Reference Data'!$A$5:$F$40,2,FALSE),"Unknown Product")</x:f>
        <x:v>Electric Kettle</x:v>
      </x:c>
      <x:c r="N1674" s="84" t="str">
        <x:f>IFERROR(VLOOKUP(L1674,'Reference Data'!$A$5:$F$40,3,FALSE),"Unknown")</x:f>
        <x:v>Home &amp; Kitchen</x:v>
      </x:c>
      <x:c r="O1674" s="84" t="str">
        <x:f>IFERROR(VLOOKUP(L1674,'Reference Data'!$A$5:$F$40,4,FALSE),"Unknown")</x:f>
        <x:v>Small Appliances</x:v>
      </x:c>
      <x:c r="P1674" s="92" t="n">
        <x:f>IFERROR(VLOOKUP(L1674,'Reference Data'!$A$5:$F$40,5,FALSE),0)</x:f>
        <x:v>49</x:v>
      </x:c>
      <x:c r="Q1674" s="92" t="n">
        <x:f>IFERROR(VLOOKUP(L1674,'Reference Data'!$A$5:$F$40,6,FALSE),0)</x:f>
        <x:v>23</x:v>
      </x:c>
      <x:c r="R1674" s="84" t="n">
        <x:f>'Raw Sales'!J1674</x:f>
        <x:v>2</x:v>
      </x:c>
      <x:c r="S1674" s="87" t="n">
        <x:f>'Raw Sales'!K1674</x:f>
        <x:v>0</x:v>
      </x:c>
      <x:c r="T1674" s="93" t="n">
        <x:f>P1674*R1674</x:f>
        <x:v>98</x:v>
      </x:c>
      <x:c r="U1674" s="93" t="n">
        <x:f>T1674*S1674</x:f>
        <x:v>0</x:v>
      </x:c>
      <x:c r="V1674" s="93" t="str">
        <x:f>PROPER(TRIM('Raw Sales'!L1674))</x:f>
        <x:v>Completed</x:v>
      </x:c>
      <x:c r="W1674" s="93" t="n">
        <x:f>IF(V1674="Returned",0,T1674-U1674)</x:f>
        <x:v>98</x:v>
      </x:c>
      <x:c r="X1674" s="93" t="n">
        <x:f>IF(V1674="Returned",Q1674*R1674*10%,Q1674*R1674)</x:f>
        <x:v>46</x:v>
      </x:c>
      <x:c r="Y1674" s="93" t="n">
        <x:f>W1674-X1674</x:f>
        <x:v>52</x:v>
      </x:c>
      <x:c r="Z1674" s="94" t="n">
        <x:f>IFERROR(Y1674/W1674,0)</x:f>
        <x:v>0.5306122448979592</x:v>
      </x:c>
      <x:c r="AA1674" s="84" t="str">
        <x:f>PROPER(TRIM('Raw Sales'!M1674))</x:f>
        <x:v>Paypal</x:v>
      </x:c>
      <x:c r="AB1674" s="84" t="str">
        <x:f>PROPER(TRIM('Raw Sales'!N1674))</x:f>
        <x:v>Leo Martinez</x:v>
      </x:c>
      <x:c r="AC1674" s="85" t="n">
        <x:f>'Raw Sales'!O1674</x:f>
        <x:v>45841</x:v>
      </x:c>
      <x:c r="AD1674" s="84" t="n">
        <x:f>AC1674-B1674</x:f>
        <x:v>2</x:v>
      </x:c>
      <x:c r="AE1674" s="84" t="str">
        <x:f>IF(COUNTIF($A$5:A1674,A1674)&gt;1,"Duplicate","Keep")</x:f>
        <x:v>Keep</x:v>
      </x:c>
      <x:c r="AF1674" s="84" t="str">
        <x:f>IF(OR(R1674&lt;=0,AC1674&lt;B1674,H1674="Unknown",M1674="Unknown Product"),"Review","Valid")</x:f>
        <x:v>Valid</x:v>
      </x:c>
      <x:c r="AG1674" s="84" t="n">
        <x:f>IF(AND(AE1674="Keep",AF1674="Valid"),1,0)</x:f>
        <x:v>1</x:v>
      </x:c>
      <x:c r="AH1674" s="84" t="n">
        <x:f>IF(AND(AG1674=1,OR('Dashboard'!$B$4="All",I1674='Dashboard'!$B$4),OR('Dashboard'!$E$4="All",N1674='Dashboard'!$E$4),OR('Dashboard'!$H$4="All",K1674='Dashboard'!$H$4),OR('Dashboard'!$K$4="All",C1674='Dashboard'!$K$4)),1,0)</x:f>
        <x:v>1</x:v>
      </x:c>
      <x:c r="AI1674" s="84" t="n">
        <x:f>IF(AND(AG1674=1,OR('Dashboard'!$B$4="All",I1674='Dashboard'!$B$4),OR('Dashboard'!$E$4="All",N1674='Dashboard'!$E$4),OR('Dashboard'!$H$4="All",K1674='Dashboard'!$H$4)),1,0)</x:f>
        <x:v>1</x:v>
      </x:c>
    </x:row>
    <x:row r="1675">
      <x:c r="A1675" s="84" t="str">
        <x:f>'Raw Sales'!A1675</x:f>
        <x:v>ORD-2025-00260</x:v>
      </x:c>
      <x:c r="B1675" s="85" t="n">
        <x:f>'Raw Sales'!B1675</x:f>
        <x:v>45840</x:v>
      </x:c>
      <x:c r="C1675" s="84" t="n">
        <x:f>YEAR(B1675)</x:f>
        <x:v>2025</x:v>
      </x:c>
      <x:c r="D1675" s="91" t="n">
        <x:f>DATE(YEAR(B1675),MONTH(B1675),1)</x:f>
        <x:v>45839</x:v>
      </x:c>
      <x:c r="E1675" s="84" t="str">
        <x:f>TEXT(B1675,"mmm")</x:f>
        <x:v>Jul</x:v>
      </x:c>
      <x:c r="F1675" s="84" t="str">
        <x:f>'Raw Sales'!C1675</x:f>
        <x:v>CUST-0396</x:v>
      </x:c>
      <x:c r="G1675" s="84" t="str">
        <x:f>PROPER(TRIM('Raw Sales'!D1675))</x:f>
        <x:v>Victoria Carter</x:v>
      </x:c>
      <x:c r="H1675" s="84" t="str">
        <x:f>IF(TRIM('Raw Sales'!E1675)="","Unknown",PROPER(TRIM('Raw Sales'!E1675)))</x:f>
        <x:v>Consumer</x:v>
      </x:c>
      <x:c r="I1675" s="84" t="str">
        <x:f>PROPER(TRIM('Raw Sales'!F1675))</x:f>
        <x:v>Southeast</x:v>
      </x:c>
      <x:c r="J1675" s="84" t="str">
        <x:f>PROPER(TRIM('Raw Sales'!G1675))</x:f>
        <x:v>Nashville</x:v>
      </x:c>
      <x:c r="K1675" s="84" t="str">
        <x:f>PROPER(TRIM('Raw Sales'!H1675))</x:f>
        <x:v>Marketplace</x:v>
      </x:c>
      <x:c r="L1675" s="84" t="str">
        <x:f>'Raw Sales'!I1675</x:f>
        <x:v>HOME-005</x:v>
      </x:c>
      <x:c r="M1675" s="84" t="str">
        <x:f>IFERROR(VLOOKUP(L1675,'Reference Data'!$A$5:$F$40,2,FALSE),"Unknown Product")</x:f>
        <x:v>Cordless Vacuum</x:v>
      </x:c>
      <x:c r="N1675" s="84" t="str">
        <x:f>IFERROR(VLOOKUP(L1675,'Reference Data'!$A$5:$F$40,3,FALSE),"Unknown")</x:f>
        <x:v>Home &amp; Kitchen</x:v>
      </x:c>
      <x:c r="O1675" s="84" t="str">
        <x:f>IFERROR(VLOOKUP(L1675,'Reference Data'!$A$5:$F$40,4,FALSE),"Unknown")</x:f>
        <x:v>Cleaning</x:v>
      </x:c>
      <x:c r="P1675" s="92" t="n">
        <x:f>IFERROR(VLOOKUP(L1675,'Reference Data'!$A$5:$F$40,5,FALSE),0)</x:f>
        <x:v>179</x:v>
      </x:c>
      <x:c r="Q1675" s="92" t="n">
        <x:f>IFERROR(VLOOKUP(L1675,'Reference Data'!$A$5:$F$40,6,FALSE),0)</x:f>
        <x:v>102</x:v>
      </x:c>
      <x:c r="R1675" s="84" t="n">
        <x:f>'Raw Sales'!J1675</x:f>
        <x:v>1</x:v>
      </x:c>
      <x:c r="S1675" s="87" t="n">
        <x:f>'Raw Sales'!K1675</x:f>
        <x:v>0.05</x:v>
      </x:c>
      <x:c r="T1675" s="93" t="n">
        <x:f>P1675*R1675</x:f>
        <x:v>179</x:v>
      </x:c>
      <x:c r="U1675" s="93" t="n">
        <x:f>T1675*S1675</x:f>
        <x:v>8.950000000000001</x:v>
      </x:c>
      <x:c r="V1675" s="93" t="str">
        <x:f>PROPER(TRIM('Raw Sales'!L1675))</x:f>
        <x:v>Completed</x:v>
      </x:c>
      <x:c r="W1675" s="93" t="n">
        <x:f>IF(V1675="Returned",0,T1675-U1675)</x:f>
        <x:v>170.05</x:v>
      </x:c>
      <x:c r="X1675" s="93" t="n">
        <x:f>IF(V1675="Returned",Q1675*R1675*10%,Q1675*R1675)</x:f>
        <x:v>102</x:v>
      </x:c>
      <x:c r="Y1675" s="93" t="n">
        <x:f>W1675-X1675</x:f>
        <x:v>68.05000000000001</x:v>
      </x:c>
      <x:c r="Z1675" s="94" t="n">
        <x:f>IFERROR(Y1675/W1675,0)</x:f>
        <x:v>0.4001764187003823</x:v>
      </x:c>
      <x:c r="AA1675" s="84" t="str">
        <x:f>PROPER(TRIM('Raw Sales'!M1675))</x:f>
        <x:v>Paypal</x:v>
      </x:c>
      <x:c r="AB1675" s="84" t="str">
        <x:f>PROPER(TRIM('Raw Sales'!N1675))</x:f>
        <x:v>Ava Mitchell</x:v>
      </x:c>
      <x:c r="AC1675" s="85" t="n">
        <x:f>'Raw Sales'!O1675</x:f>
        <x:v>45845</x:v>
      </x:c>
      <x:c r="AD1675" s="84" t="n">
        <x:f>AC1675-B1675</x:f>
        <x:v>5</x:v>
      </x:c>
      <x:c r="AE1675" s="84" t="str">
        <x:f>IF(COUNTIF($A$5:A1675,A1675)&gt;1,"Duplicate","Keep")</x:f>
        <x:v>Keep</x:v>
      </x:c>
      <x:c r="AF1675" s="84" t="str">
        <x:f>IF(OR(R1675&lt;=0,AC1675&lt;B1675,H1675="Unknown",M1675="Unknown Product"),"Review","Valid")</x:f>
        <x:v>Valid</x:v>
      </x:c>
      <x:c r="AG1675" s="84" t="n">
        <x:f>IF(AND(AE1675="Keep",AF1675="Valid"),1,0)</x:f>
        <x:v>1</x:v>
      </x:c>
      <x:c r="AH1675" s="84" t="n">
        <x:f>IF(AND(AG1675=1,OR('Dashboard'!$B$4="All",I1675='Dashboard'!$B$4),OR('Dashboard'!$E$4="All",N1675='Dashboard'!$E$4),OR('Dashboard'!$H$4="All",K1675='Dashboard'!$H$4),OR('Dashboard'!$K$4="All",C1675='Dashboard'!$K$4)),1,0)</x:f>
        <x:v>1</x:v>
      </x:c>
      <x:c r="AI1675" s="84" t="n">
        <x:f>IF(AND(AG1675=1,OR('Dashboard'!$B$4="All",I1675='Dashboard'!$B$4),OR('Dashboard'!$E$4="All",N1675='Dashboard'!$E$4),OR('Dashboard'!$H$4="All",K1675='Dashboard'!$H$4)),1,0)</x:f>
        <x:v>1</x:v>
      </x:c>
    </x:row>
    <x:row r="1676">
      <x:c r="A1676" s="84" t="str">
        <x:f>'Raw Sales'!A1676</x:f>
        <x:v>ORD-2025-00579</x:v>
      </x:c>
      <x:c r="B1676" s="85" t="n">
        <x:f>'Raw Sales'!B1676</x:f>
        <x:v>45840</x:v>
      </x:c>
      <x:c r="C1676" s="84" t="n">
        <x:f>YEAR(B1676)</x:f>
        <x:v>2025</x:v>
      </x:c>
      <x:c r="D1676" s="91" t="n">
        <x:f>DATE(YEAR(B1676),MONTH(B1676),1)</x:f>
        <x:v>45839</x:v>
      </x:c>
      <x:c r="E1676" s="84" t="str">
        <x:f>TEXT(B1676,"mmm")</x:f>
        <x:v>Jul</x:v>
      </x:c>
      <x:c r="F1676" s="84" t="str">
        <x:f>'Raw Sales'!C1676</x:f>
        <x:v>CUST-0143</x:v>
      </x:c>
      <x:c r="G1676" s="84" t="str">
        <x:f>PROPER(TRIM('Raw Sales'!D1676))</x:f>
        <x:v>Owen Foster</x:v>
      </x:c>
      <x:c r="H1676" s="84" t="str">
        <x:f>IF(TRIM('Raw Sales'!E1676)="","Unknown",PROPER(TRIM('Raw Sales'!E1676)))</x:f>
        <x:v>Small Business</x:v>
      </x:c>
      <x:c r="I1676" s="84" t="str">
        <x:f>PROPER(TRIM('Raw Sales'!F1676))</x:f>
        <x:v>Southeast</x:v>
      </x:c>
      <x:c r="J1676" s="84" t="str">
        <x:f>PROPER(TRIM('Raw Sales'!G1676))</x:f>
        <x:v>Atlanta</x:v>
      </x:c>
      <x:c r="K1676" s="84" t="str">
        <x:f>PROPER(TRIM('Raw Sales'!H1676))</x:f>
        <x:v>Retail Store</x:v>
      </x:c>
      <x:c r="L1676" s="84" t="str">
        <x:f>'Raw Sales'!I1676</x:f>
        <x:v>ACCS-005</x:v>
      </x:c>
      <x:c r="M1676" s="84" t="str">
        <x:f>IFERROR(VLOOKUP(L1676,'Reference Data'!$A$5:$F$40,2,FALSE),"Unknown Product")</x:f>
        <x:v>Protective Phone Case</x:v>
      </x:c>
      <x:c r="N1676" s="84" t="str">
        <x:f>IFERROR(VLOOKUP(L1676,'Reference Data'!$A$5:$F$40,3,FALSE),"Unknown")</x:f>
        <x:v>Accessories</x:v>
      </x:c>
      <x:c r="O1676" s="84" t="str">
        <x:f>IFERROR(VLOOKUP(L1676,'Reference Data'!$A$5:$F$40,4,FALSE),"Unknown")</x:f>
        <x:v>Mobile Accessories</x:v>
      </x:c>
      <x:c r="P1676" s="92" t="n">
        <x:f>IFERROR(VLOOKUP(L1676,'Reference Data'!$A$5:$F$40,5,FALSE),0)</x:f>
        <x:v>24</x:v>
      </x:c>
      <x:c r="Q1676" s="92" t="n">
        <x:f>IFERROR(VLOOKUP(L1676,'Reference Data'!$A$5:$F$40,6,FALSE),0)</x:f>
        <x:v>5</x:v>
      </x:c>
      <x:c r="R1676" s="84" t="n">
        <x:f>'Raw Sales'!J1676</x:f>
        <x:v>3</x:v>
      </x:c>
      <x:c r="S1676" s="87" t="n">
        <x:f>'Raw Sales'!K1676</x:f>
        <x:v>0.05</x:v>
      </x:c>
      <x:c r="T1676" s="93" t="n">
        <x:f>P1676*R1676</x:f>
        <x:v>72</x:v>
      </x:c>
      <x:c r="U1676" s="93" t="n">
        <x:f>T1676*S1676</x:f>
        <x:v>3.6</x:v>
      </x:c>
      <x:c r="V1676" s="93" t="str">
        <x:f>PROPER(TRIM('Raw Sales'!L1676))</x:f>
        <x:v>Completed</x:v>
      </x:c>
      <x:c r="W1676" s="93" t="n">
        <x:f>IF(V1676="Returned",0,T1676-U1676)</x:f>
        <x:v>68.4</x:v>
      </x:c>
      <x:c r="X1676" s="93" t="n">
        <x:f>IF(V1676="Returned",Q1676*R1676*10%,Q1676*R1676)</x:f>
        <x:v>15</x:v>
      </x:c>
      <x:c r="Y1676" s="93" t="n">
        <x:f>W1676-X1676</x:f>
        <x:v>53.400000000000006</x:v>
      </x:c>
      <x:c r="Z1676" s="94" t="n">
        <x:f>IFERROR(Y1676/W1676,0)</x:f>
        <x:v>0.7807017543859649</x:v>
      </x:c>
      <x:c r="AA1676" s="84" t="str">
        <x:f>PROPER(TRIM('Raw Sales'!M1676))</x:f>
        <x:v>Cash</x:v>
      </x:c>
      <x:c r="AB1676" s="84" t="str">
        <x:f>PROPER(TRIM('Raw Sales'!N1676))</x:f>
        <x:v>Liam Parker</x:v>
      </x:c>
      <x:c r="AC1676" s="85" t="n">
        <x:f>'Raw Sales'!O1676</x:f>
        <x:v>45840</x:v>
      </x:c>
      <x:c r="AD1676" s="84" t="n">
        <x:f>AC1676-B1676</x:f>
        <x:v>0</x:v>
      </x:c>
      <x:c r="AE1676" s="84" t="str">
        <x:f>IF(COUNTIF($A$5:A1676,A1676)&gt;1,"Duplicate","Keep")</x:f>
        <x:v>Keep</x:v>
      </x:c>
      <x:c r="AF1676" s="84" t="str">
        <x:f>IF(OR(R1676&lt;=0,AC1676&lt;B1676,H1676="Unknown",M1676="Unknown Product"),"Review","Valid")</x:f>
        <x:v>Valid</x:v>
      </x:c>
      <x:c r="AG1676" s="84" t="n">
        <x:f>IF(AND(AE1676="Keep",AF1676="Valid"),1,0)</x:f>
        <x:v>1</x:v>
      </x:c>
      <x:c r="AH1676" s="84" t="n">
        <x:f>IF(AND(AG1676=1,OR('Dashboard'!$B$4="All",I1676='Dashboard'!$B$4),OR('Dashboard'!$E$4="All",N1676='Dashboard'!$E$4),OR('Dashboard'!$H$4="All",K1676='Dashboard'!$H$4),OR('Dashboard'!$K$4="All",C1676='Dashboard'!$K$4)),1,0)</x:f>
        <x:v>1</x:v>
      </x:c>
      <x:c r="AI1676" s="84" t="n">
        <x:f>IF(AND(AG1676=1,OR('Dashboard'!$B$4="All",I1676='Dashboard'!$B$4),OR('Dashboard'!$E$4="All",N1676='Dashboard'!$E$4),OR('Dashboard'!$H$4="All",K1676='Dashboard'!$H$4)),1,0)</x:f>
        <x:v>1</x:v>
      </x:c>
    </x:row>
    <x:row r="1677">
      <x:c r="A1677" s="84" t="str">
        <x:f>'Raw Sales'!A1677</x:f>
        <x:v>ORD-2025-02028</x:v>
      </x:c>
      <x:c r="B1677" s="85" t="n">
        <x:f>'Raw Sales'!B1677</x:f>
        <x:v>45840</x:v>
      </x:c>
      <x:c r="C1677" s="84" t="n">
        <x:f>YEAR(B1677)</x:f>
        <x:v>2025</x:v>
      </x:c>
      <x:c r="D1677" s="91" t="n">
        <x:f>DATE(YEAR(B1677),MONTH(B1677),1)</x:f>
        <x:v>45839</x:v>
      </x:c>
      <x:c r="E1677" s="84" t="str">
        <x:f>TEXT(B1677,"mmm")</x:f>
        <x:v>Jul</x:v>
      </x:c>
      <x:c r="F1677" s="84" t="str">
        <x:f>'Raw Sales'!C1677</x:f>
        <x:v>CUST-0058</x:v>
      </x:c>
      <x:c r="G1677" s="84" t="str">
        <x:f>PROPER(TRIM('Raw Sales'!D1677))</x:f>
        <x:v>Zara Evans</x:v>
      </x:c>
      <x:c r="H1677" s="84" t="str">
        <x:f>IF(TRIM('Raw Sales'!E1677)="","Unknown",PROPER(TRIM('Raw Sales'!E1677)))</x:f>
        <x:v>Consumer</x:v>
      </x:c>
      <x:c r="I1677" s="84" t="str">
        <x:f>PROPER(TRIM('Raw Sales'!F1677))</x:f>
        <x:v>Midwest</x:v>
      </x:c>
      <x:c r="J1677" s="84" t="str">
        <x:f>PROPER(TRIM('Raw Sales'!G1677))</x:f>
        <x:v>Chicago</x:v>
      </x:c>
      <x:c r="K1677" s="84" t="str">
        <x:f>PROPER(TRIM('Raw Sales'!H1677))</x:f>
        <x:v>Marketplace</x:v>
      </x:c>
      <x:c r="L1677" s="84" t="str">
        <x:f>'Raw Sales'!I1677</x:f>
        <x:v>ACCS-003</x:v>
      </x:c>
      <x:c r="M1677" s="84" t="str">
        <x:f>IFERROR(VLOOKUP(L1677,'Reference Data'!$A$5:$F$40,2,FALSE),"Unknown Product")</x:f>
        <x:v>Polarized Sunglasses</x:v>
      </x:c>
      <x:c r="N1677" s="84" t="str">
        <x:f>IFERROR(VLOOKUP(L1677,'Reference Data'!$A$5:$F$40,3,FALSE),"Unknown")</x:f>
        <x:v>Accessories</x:v>
      </x:c>
      <x:c r="O1677" s="84" t="str">
        <x:f>IFERROR(VLOOKUP(L1677,'Reference Data'!$A$5:$F$40,4,FALSE),"Unknown")</x:f>
        <x:v>Eyewear</x:v>
      </x:c>
      <x:c r="P1677" s="92" t="n">
        <x:f>IFERROR(VLOOKUP(L1677,'Reference Data'!$A$5:$F$40,5,FALSE),0)</x:f>
        <x:v>59</x:v>
      </x:c>
      <x:c r="Q1677" s="92" t="n">
        <x:f>IFERROR(VLOOKUP(L1677,'Reference Data'!$A$5:$F$40,6,FALSE),0)</x:f>
        <x:v>17</x:v>
      </x:c>
      <x:c r="R1677" s="84" t="n">
        <x:f>'Raw Sales'!J1677</x:f>
        <x:v>4</x:v>
      </x:c>
      <x:c r="S1677" s="87" t="n">
        <x:f>'Raw Sales'!K1677</x:f>
        <x:v>0.05</x:v>
      </x:c>
      <x:c r="T1677" s="93" t="n">
        <x:f>P1677*R1677</x:f>
        <x:v>236</x:v>
      </x:c>
      <x:c r="U1677" s="93" t="n">
        <x:f>T1677*S1677</x:f>
        <x:v>11.8</x:v>
      </x:c>
      <x:c r="V1677" s="93" t="str">
        <x:f>PROPER(TRIM('Raw Sales'!L1677))</x:f>
        <x:v>Completed</x:v>
      </x:c>
      <x:c r="W1677" s="93" t="n">
        <x:f>IF(V1677="Returned",0,T1677-U1677)</x:f>
        <x:v>224.2</x:v>
      </x:c>
      <x:c r="X1677" s="93" t="n">
        <x:f>IF(V1677="Returned",Q1677*R1677*10%,Q1677*R1677)</x:f>
        <x:v>68</x:v>
      </x:c>
      <x:c r="Y1677" s="93" t="n">
        <x:f>W1677-X1677</x:f>
        <x:v>156.2</x:v>
      </x:c>
      <x:c r="Z1677" s="94" t="n">
        <x:f>IFERROR(Y1677/W1677,0)</x:f>
        <x:v>0.6966993755575379</x:v>
      </x:c>
      <x:c r="AA1677" s="84" t="str">
        <x:f>PROPER(TRIM('Raw Sales'!M1677))</x:f>
        <x:v>Debit Card</x:v>
      </x:c>
      <x:c r="AB1677" s="84" t="str">
        <x:f>PROPER(TRIM('Raw Sales'!N1677))</x:f>
        <x:v>Zoe Turner</x:v>
      </x:c>
      <x:c r="AC1677" s="85" t="n">
        <x:f>'Raw Sales'!O1677</x:f>
        <x:v>45845</x:v>
      </x:c>
      <x:c r="AD1677" s="84" t="n">
        <x:f>AC1677-B1677</x:f>
        <x:v>5</x:v>
      </x:c>
      <x:c r="AE1677" s="84" t="str">
        <x:f>IF(COUNTIF($A$5:A1677,A1677)&gt;1,"Duplicate","Keep")</x:f>
        <x:v>Keep</x:v>
      </x:c>
      <x:c r="AF1677" s="84" t="str">
        <x:f>IF(OR(R1677&lt;=0,AC1677&lt;B1677,H1677="Unknown",M1677="Unknown Product"),"Review","Valid")</x:f>
        <x:v>Valid</x:v>
      </x:c>
      <x:c r="AG1677" s="84" t="n">
        <x:f>IF(AND(AE1677="Keep",AF1677="Valid"),1,0)</x:f>
        <x:v>1</x:v>
      </x:c>
      <x:c r="AH1677" s="84" t="n">
        <x:f>IF(AND(AG1677=1,OR('Dashboard'!$B$4="All",I1677='Dashboard'!$B$4),OR('Dashboard'!$E$4="All",N1677='Dashboard'!$E$4),OR('Dashboard'!$H$4="All",K1677='Dashboard'!$H$4),OR('Dashboard'!$K$4="All",C1677='Dashboard'!$K$4)),1,0)</x:f>
        <x:v>1</x:v>
      </x:c>
      <x:c r="AI1677" s="84" t="n">
        <x:f>IF(AND(AG1677=1,OR('Dashboard'!$B$4="All",I1677='Dashboard'!$B$4),OR('Dashboard'!$E$4="All",N1677='Dashboard'!$E$4),OR('Dashboard'!$H$4="All",K1677='Dashboard'!$H$4)),1,0)</x:f>
        <x:v>1</x:v>
      </x:c>
    </x:row>
    <x:row r="1678">
      <x:c r="A1678" s="84" t="str">
        <x:f>'Raw Sales'!A1678</x:f>
        <x:v>ORD-2025-02141</x:v>
      </x:c>
      <x:c r="B1678" s="85" t="n">
        <x:f>'Raw Sales'!B1678</x:f>
        <x:v>45840</x:v>
      </x:c>
      <x:c r="C1678" s="84" t="n">
        <x:f>YEAR(B1678)</x:f>
        <x:v>2025</x:v>
      </x:c>
      <x:c r="D1678" s="91" t="n">
        <x:f>DATE(YEAR(B1678),MONTH(B1678),1)</x:f>
        <x:v>45839</x:v>
      </x:c>
      <x:c r="E1678" s="84" t="str">
        <x:f>TEXT(B1678,"mmm")</x:f>
        <x:v>Jul</x:v>
      </x:c>
      <x:c r="F1678" s="84" t="str">
        <x:f>'Raw Sales'!C1678</x:f>
        <x:v>CUST-0092</x:v>
      </x:c>
      <x:c r="G1678" s="84" t="str">
        <x:f>PROPER(TRIM('Raw Sales'!D1678))</x:f>
        <x:v>Jasmine Smith</x:v>
      </x:c>
      <x:c r="H1678" s="84" t="str">
        <x:f>IF(TRIM('Raw Sales'!E1678)="","Unknown",PROPER(TRIM('Raw Sales'!E1678)))</x:f>
        <x:v>Corporate</x:v>
      </x:c>
      <x:c r="I1678" s="84" t="str">
        <x:f>PROPER(TRIM('Raw Sales'!F1678))</x:f>
        <x:v>Midwest</x:v>
      </x:c>
      <x:c r="J1678" s="84" t="str">
        <x:f>PROPER(TRIM('Raw Sales'!G1678))</x:f>
        <x:v>Detroit</x:v>
      </x:c>
      <x:c r="K1678" s="84" t="str">
        <x:f>PROPER(TRIM('Raw Sales'!H1678))</x:f>
        <x:v>Online</x:v>
      </x:c>
      <x:c r="L1678" s="84" t="str">
        <x:f>'Raw Sales'!I1678</x:f>
        <x:v>HOME-005</x:v>
      </x:c>
      <x:c r="M1678" s="84" t="str">
        <x:f>IFERROR(VLOOKUP(L1678,'Reference Data'!$A$5:$F$40,2,FALSE),"Unknown Product")</x:f>
        <x:v>Cordless Vacuum</x:v>
      </x:c>
      <x:c r="N1678" s="84" t="str">
        <x:f>IFERROR(VLOOKUP(L1678,'Reference Data'!$A$5:$F$40,3,FALSE),"Unknown")</x:f>
        <x:v>Home &amp; Kitchen</x:v>
      </x:c>
      <x:c r="O1678" s="84" t="str">
        <x:f>IFERROR(VLOOKUP(L1678,'Reference Data'!$A$5:$F$40,4,FALSE),"Unknown")</x:f>
        <x:v>Cleaning</x:v>
      </x:c>
      <x:c r="P1678" s="92" t="n">
        <x:f>IFERROR(VLOOKUP(L1678,'Reference Data'!$A$5:$F$40,5,FALSE),0)</x:f>
        <x:v>179</x:v>
      </x:c>
      <x:c r="Q1678" s="92" t="n">
        <x:f>IFERROR(VLOOKUP(L1678,'Reference Data'!$A$5:$F$40,6,FALSE),0)</x:f>
        <x:v>102</x:v>
      </x:c>
      <x:c r="R1678" s="84" t="n">
        <x:f>'Raw Sales'!J1678</x:f>
        <x:v>2</x:v>
      </x:c>
      <x:c r="S1678" s="87" t="n">
        <x:f>'Raw Sales'!K1678</x:f>
        <x:v>0.15</x:v>
      </x:c>
      <x:c r="T1678" s="93" t="n">
        <x:f>P1678*R1678</x:f>
        <x:v>358</x:v>
      </x:c>
      <x:c r="U1678" s="93" t="n">
        <x:f>T1678*S1678</x:f>
        <x:v>53.699999999999996</x:v>
      </x:c>
      <x:c r="V1678" s="93" t="str">
        <x:f>PROPER(TRIM('Raw Sales'!L1678))</x:f>
        <x:v>Completed</x:v>
      </x:c>
      <x:c r="W1678" s="93" t="n">
        <x:f>IF(V1678="Returned",0,T1678-U1678)</x:f>
        <x:v>304.3</x:v>
      </x:c>
      <x:c r="X1678" s="93" t="n">
        <x:f>IF(V1678="Returned",Q1678*R1678*10%,Q1678*R1678)</x:f>
        <x:v>204</x:v>
      </x:c>
      <x:c r="Y1678" s="93" t="n">
        <x:f>W1678-X1678</x:f>
        <x:v>100.30000000000001</x:v>
      </x:c>
      <x:c r="Z1678" s="94" t="n">
        <x:f>IFERROR(Y1678/W1678,0)</x:f>
        <x:v>0.3296089385474861</x:v>
      </x:c>
      <x:c r="AA1678" s="84" t="str">
        <x:f>PROPER(TRIM('Raw Sales'!M1678))</x:f>
        <x:v>Credit Card</x:v>
      </x:c>
      <x:c r="AB1678" s="84" t="str">
        <x:f>PROPER(TRIM('Raw Sales'!N1678))</x:f>
        <x:v>Lucas Grant</x:v>
      </x:c>
      <x:c r="AC1678" s="85" t="n">
        <x:f>'Raw Sales'!O1678</x:f>
        <x:v>45844</x:v>
      </x:c>
      <x:c r="AD1678" s="84" t="n">
        <x:f>AC1678-B1678</x:f>
        <x:v>4</x:v>
      </x:c>
      <x:c r="AE1678" s="84" t="str">
        <x:f>IF(COUNTIF($A$5:A1678,A1678)&gt;1,"Duplicate","Keep")</x:f>
        <x:v>Keep</x:v>
      </x:c>
      <x:c r="AF1678" s="84" t="str">
        <x:f>IF(OR(R1678&lt;=0,AC1678&lt;B1678,H1678="Unknown",M1678="Unknown Product"),"Review","Valid")</x:f>
        <x:v>Valid</x:v>
      </x:c>
      <x:c r="AG1678" s="84" t="n">
        <x:f>IF(AND(AE1678="Keep",AF1678="Valid"),1,0)</x:f>
        <x:v>1</x:v>
      </x:c>
      <x:c r="AH1678" s="84" t="n">
        <x:f>IF(AND(AG1678=1,OR('Dashboard'!$B$4="All",I1678='Dashboard'!$B$4),OR('Dashboard'!$E$4="All",N1678='Dashboard'!$E$4),OR('Dashboard'!$H$4="All",K1678='Dashboard'!$H$4),OR('Dashboard'!$K$4="All",C1678='Dashboard'!$K$4)),1,0)</x:f>
        <x:v>1</x:v>
      </x:c>
      <x:c r="AI1678" s="84" t="n">
        <x:f>IF(AND(AG1678=1,OR('Dashboard'!$B$4="All",I1678='Dashboard'!$B$4),OR('Dashboard'!$E$4="All",N1678='Dashboard'!$E$4),OR('Dashboard'!$H$4="All",K1678='Dashboard'!$H$4)),1,0)</x:f>
        <x:v>1</x:v>
      </x:c>
    </x:row>
    <x:row r="1679">
      <x:c r="A1679" s="84" t="str">
        <x:f>'Raw Sales'!A1679</x:f>
        <x:v>ORD-2025-02319</x:v>
      </x:c>
      <x:c r="B1679" s="85" t="n">
        <x:f>'Raw Sales'!B1679</x:f>
        <x:v>45840</x:v>
      </x:c>
      <x:c r="C1679" s="84" t="n">
        <x:f>YEAR(B1679)</x:f>
        <x:v>2025</x:v>
      </x:c>
      <x:c r="D1679" s="91" t="n">
        <x:f>DATE(YEAR(B1679),MONTH(B1679),1)</x:f>
        <x:v>45839</x:v>
      </x:c>
      <x:c r="E1679" s="84" t="str">
        <x:f>TEXT(B1679,"mmm")</x:f>
        <x:v>Jul</x:v>
      </x:c>
      <x:c r="F1679" s="84" t="str">
        <x:f>'Raw Sales'!C1679</x:f>
        <x:v>CUST-0269</x:v>
      </x:c>
      <x:c r="G1679" s="84" t="str">
        <x:f>PROPER(TRIM('Raw Sales'!D1679))</x:f>
        <x:v>Daniel Evans</x:v>
      </x:c>
      <x:c r="H1679" s="84" t="str">
        <x:f>IF(TRIM('Raw Sales'!E1679)="","Unknown",PROPER(TRIM('Raw Sales'!E1679)))</x:f>
        <x:v>Small Business</x:v>
      </x:c>
      <x:c r="I1679" s="84" t="str">
        <x:f>PROPER(TRIM('Raw Sales'!F1679))</x:f>
        <x:v>Southeast</x:v>
      </x:c>
      <x:c r="J1679" s="84" t="str">
        <x:f>PROPER(TRIM('Raw Sales'!G1679))</x:f>
        <x:v>Charlotte</x:v>
      </x:c>
      <x:c r="K1679" s="84" t="str">
        <x:f>PROPER(TRIM('Raw Sales'!H1679))</x:f>
        <x:v>Retail Store</x:v>
      </x:c>
      <x:c r="L1679" s="84" t="str">
        <x:f>'Raw Sales'!I1679</x:f>
        <x:v>ACCS-006</x:v>
      </x:c>
      <x:c r="M1679" s="84" t="str">
        <x:f>IFERROR(VLOOKUP(L1679,'Reference Data'!$A$5:$F$40,2,FALSE),"Unknown Product")</x:f>
        <x:v>Insulated Lunch Bag</x:v>
      </x:c>
      <x:c r="N1679" s="84" t="str">
        <x:f>IFERROR(VLOOKUP(L1679,'Reference Data'!$A$5:$F$40,3,FALSE),"Unknown")</x:f>
        <x:v>Accessories</x:v>
      </x:c>
      <x:c r="O1679" s="84" t="str">
        <x:f>IFERROR(VLOOKUP(L1679,'Reference Data'!$A$5:$F$40,4,FALSE),"Unknown")</x:f>
        <x:v>Bags</x:v>
      </x:c>
      <x:c r="P1679" s="92" t="n">
        <x:f>IFERROR(VLOOKUP(L1679,'Reference Data'!$A$5:$F$40,5,FALSE),0)</x:f>
        <x:v>29</x:v>
      </x:c>
      <x:c r="Q1679" s="92" t="n">
        <x:f>IFERROR(VLOOKUP(L1679,'Reference Data'!$A$5:$F$40,6,FALSE),0)</x:f>
        <x:v>10</x:v>
      </x:c>
      <x:c r="R1679" s="84" t="n">
        <x:f>'Raw Sales'!J1679</x:f>
        <x:v>4</x:v>
      </x:c>
      <x:c r="S1679" s="87" t="n">
        <x:f>'Raw Sales'!K1679</x:f>
        <x:v>0.15</x:v>
      </x:c>
      <x:c r="T1679" s="93" t="n">
        <x:f>P1679*R1679</x:f>
        <x:v>116</x:v>
      </x:c>
      <x:c r="U1679" s="93" t="n">
        <x:f>T1679*S1679</x:f>
        <x:v>17.4</x:v>
      </x:c>
      <x:c r="V1679" s="93" t="str">
        <x:f>PROPER(TRIM('Raw Sales'!L1679))</x:f>
        <x:v>Completed</x:v>
      </x:c>
      <x:c r="W1679" s="93" t="n">
        <x:f>IF(V1679="Returned",0,T1679-U1679)</x:f>
        <x:v>98.6</x:v>
      </x:c>
      <x:c r="X1679" s="93" t="n">
        <x:f>IF(V1679="Returned",Q1679*R1679*10%,Q1679*R1679)</x:f>
        <x:v>40</x:v>
      </x:c>
      <x:c r="Y1679" s="93" t="n">
        <x:f>W1679-X1679</x:f>
        <x:v>58.599999999999994</x:v>
      </x:c>
      <x:c r="Z1679" s="94" t="n">
        <x:f>IFERROR(Y1679/W1679,0)</x:f>
        <x:v>0.5943204868154158</x:v>
      </x:c>
      <x:c r="AA1679" s="84" t="str">
        <x:f>PROPER(TRIM('Raw Sales'!M1679))</x:f>
        <x:v>Credit Card</x:v>
      </x:c>
      <x:c r="AB1679" s="84" t="str">
        <x:f>PROPER(TRIM('Raw Sales'!N1679))</x:f>
        <x:v>Liam Parker</x:v>
      </x:c>
      <x:c r="AC1679" s="85" t="n">
        <x:f>'Raw Sales'!O1679</x:f>
        <x:v>45840</x:v>
      </x:c>
      <x:c r="AD1679" s="84" t="n">
        <x:f>AC1679-B1679</x:f>
        <x:v>0</x:v>
      </x:c>
      <x:c r="AE1679" s="84" t="str">
        <x:f>IF(COUNTIF($A$5:A1679,A1679)&gt;1,"Duplicate","Keep")</x:f>
        <x:v>Keep</x:v>
      </x:c>
      <x:c r="AF1679" s="84" t="str">
        <x:f>IF(OR(R1679&lt;=0,AC1679&lt;B1679,H1679="Unknown",M1679="Unknown Product"),"Review","Valid")</x:f>
        <x:v>Valid</x:v>
      </x:c>
      <x:c r="AG1679" s="84" t="n">
        <x:f>IF(AND(AE1679="Keep",AF1679="Valid"),1,0)</x:f>
        <x:v>1</x:v>
      </x:c>
      <x:c r="AH1679" s="84" t="n">
        <x:f>IF(AND(AG1679=1,OR('Dashboard'!$B$4="All",I1679='Dashboard'!$B$4),OR('Dashboard'!$E$4="All",N1679='Dashboard'!$E$4),OR('Dashboard'!$H$4="All",K1679='Dashboard'!$H$4),OR('Dashboard'!$K$4="All",C1679='Dashboard'!$K$4)),1,0)</x:f>
        <x:v>1</x:v>
      </x:c>
      <x:c r="AI1679" s="84" t="n">
        <x:f>IF(AND(AG1679=1,OR('Dashboard'!$B$4="All",I1679='Dashboard'!$B$4),OR('Dashboard'!$E$4="All",N1679='Dashboard'!$E$4),OR('Dashboard'!$H$4="All",K1679='Dashboard'!$H$4)),1,0)</x:f>
        <x:v>1</x:v>
      </x:c>
    </x:row>
    <x:row r="1680">
      <x:c r="A1680" s="84" t="str">
        <x:f>'Raw Sales'!A1680</x:f>
        <x:v>ORD-2025-00051</x:v>
      </x:c>
      <x:c r="B1680" s="85" t="n">
        <x:f>'Raw Sales'!B1680</x:f>
        <x:v>45841</x:v>
      </x:c>
      <x:c r="C1680" s="84" t="n">
        <x:f>YEAR(B1680)</x:f>
        <x:v>2025</x:v>
      </x:c>
      <x:c r="D1680" s="91" t="n">
        <x:f>DATE(YEAR(B1680),MONTH(B1680),1)</x:f>
        <x:v>45839</x:v>
      </x:c>
      <x:c r="E1680" s="84" t="str">
        <x:f>TEXT(B1680,"mmm")</x:f>
        <x:v>Jul</x:v>
      </x:c>
      <x:c r="F1680" s="84" t="str">
        <x:f>'Raw Sales'!C1680</x:f>
        <x:v>CUST-0408</x:v>
      </x:c>
      <x:c r="G1680" s="84" t="str">
        <x:f>PROPER(TRIM('Raw Sales'!D1680))</x:f>
        <x:v>Caleb Smith</x:v>
      </x:c>
      <x:c r="H1680" s="84" t="str">
        <x:f>IF(TRIM('Raw Sales'!E1680)="","Unknown",PROPER(TRIM('Raw Sales'!E1680)))</x:f>
        <x:v>Small Business</x:v>
      </x:c>
      <x:c r="I1680" s="84" t="str">
        <x:f>PROPER(TRIM('Raw Sales'!F1680))</x:f>
        <x:v>Southeast</x:v>
      </x:c>
      <x:c r="J1680" s="84" t="str">
        <x:f>PROPER(TRIM('Raw Sales'!G1680))</x:f>
        <x:v>Miami</x:v>
      </x:c>
      <x:c r="K1680" s="84" t="str">
        <x:f>PROPER(TRIM('Raw Sales'!H1680))</x:f>
        <x:v>Retail Store</x:v>
      </x:c>
      <x:c r="L1680" s="84" t="str">
        <x:f>'Raw Sales'!I1680</x:f>
        <x:v>FITN-006</x:v>
      </x:c>
      <x:c r="M1680" s="84" t="str">
        <x:f>IFERROR(VLOOKUP(L1680,'Reference Data'!$A$5:$F$40,2,FALSE),"Unknown Product")</x:f>
        <x:v>Foam Roller</x:v>
      </x:c>
      <x:c r="N1680" s="84" t="str">
        <x:f>IFERROR(VLOOKUP(L1680,'Reference Data'!$A$5:$F$40,3,FALSE),"Unknown")</x:f>
        <x:v>Fitness</x:v>
      </x:c>
      <x:c r="O1680" s="84" t="str">
        <x:f>IFERROR(VLOOKUP(L1680,'Reference Data'!$A$5:$F$40,4,FALSE),"Unknown")</x:f>
        <x:v>Recovery</x:v>
      </x:c>
      <x:c r="P1680" s="92" t="n">
        <x:f>IFERROR(VLOOKUP(L1680,'Reference Data'!$A$5:$F$40,5,FALSE),0)</x:f>
        <x:v>31</x:v>
      </x:c>
      <x:c r="Q1680" s="92" t="n">
        <x:f>IFERROR(VLOOKUP(L1680,'Reference Data'!$A$5:$F$40,6,FALSE),0)</x:f>
        <x:v>12</x:v>
      </x:c>
      <x:c r="R1680" s="84" t="n">
        <x:f>'Raw Sales'!J1680</x:f>
        <x:v>1</x:v>
      </x:c>
      <x:c r="S1680" s="87" t="n">
        <x:f>'Raw Sales'!K1680</x:f>
        <x:v>0.2</x:v>
      </x:c>
      <x:c r="T1680" s="93" t="n">
        <x:f>P1680*R1680</x:f>
        <x:v>31</x:v>
      </x:c>
      <x:c r="U1680" s="93" t="n">
        <x:f>T1680*S1680</x:f>
        <x:v>6.2</x:v>
      </x:c>
      <x:c r="V1680" s="93" t="str">
        <x:f>PROPER(TRIM('Raw Sales'!L1680))</x:f>
        <x:v>Returned</x:v>
      </x:c>
      <x:c r="W1680" s="93" t="n">
        <x:f>IF(V1680="Returned",0,T1680-U1680)</x:f>
        <x:v>0</x:v>
      </x:c>
      <x:c r="X1680" s="93" t="n">
        <x:f>IF(V1680="Returned",Q1680*R1680*10%,Q1680*R1680)</x:f>
        <x:v>1.2000000000000002</x:v>
      </x:c>
      <x:c r="Y1680" s="93" t="n">
        <x:f>W1680-X1680</x:f>
        <x:v>-1.2000000000000002</x:v>
      </x:c>
      <x:c r="Z1680" s="94" t="n">
        <x:f>IFERROR(Y1680/W1680,0)</x:f>
        <x:v>0</x:v>
      </x:c>
      <x:c r="AA1680" s="84" t="str">
        <x:f>PROPER(TRIM('Raw Sales'!M1680))</x:f>
        <x:v>Credit Card</x:v>
      </x:c>
      <x:c r="AB1680" s="84" t="str">
        <x:f>PROPER(TRIM('Raw Sales'!N1680))</x:f>
        <x:v>Ava Mitchell</x:v>
      </x:c>
      <x:c r="AC1680" s="85" t="n">
        <x:f>'Raw Sales'!O1680</x:f>
        <x:v>45841</x:v>
      </x:c>
      <x:c r="AD1680" s="84" t="n">
        <x:f>AC1680-B1680</x:f>
        <x:v>0</x:v>
      </x:c>
      <x:c r="AE1680" s="84" t="str">
        <x:f>IF(COUNTIF($A$5:A1680,A1680)&gt;1,"Duplicate","Keep")</x:f>
        <x:v>Keep</x:v>
      </x:c>
      <x:c r="AF1680" s="84" t="str">
        <x:f>IF(OR(R1680&lt;=0,AC1680&lt;B1680,H1680="Unknown",M1680="Unknown Product"),"Review","Valid")</x:f>
        <x:v>Valid</x:v>
      </x:c>
      <x:c r="AG1680" s="84" t="n">
        <x:f>IF(AND(AE1680="Keep",AF1680="Valid"),1,0)</x:f>
        <x:v>1</x:v>
      </x:c>
      <x:c r="AH1680" s="84" t="n">
        <x:f>IF(AND(AG1680=1,OR('Dashboard'!$B$4="All",I1680='Dashboard'!$B$4),OR('Dashboard'!$E$4="All",N1680='Dashboard'!$E$4),OR('Dashboard'!$H$4="All",K1680='Dashboard'!$H$4),OR('Dashboard'!$K$4="All",C1680='Dashboard'!$K$4)),1,0)</x:f>
        <x:v>1</x:v>
      </x:c>
      <x:c r="AI1680" s="84" t="n">
        <x:f>IF(AND(AG1680=1,OR('Dashboard'!$B$4="All",I1680='Dashboard'!$B$4),OR('Dashboard'!$E$4="All",N1680='Dashboard'!$E$4),OR('Dashboard'!$H$4="All",K1680='Dashboard'!$H$4)),1,0)</x:f>
        <x:v>1</x:v>
      </x:c>
    </x:row>
    <x:row r="1681">
      <x:c r="A1681" s="84" t="str">
        <x:f>'Raw Sales'!A1681</x:f>
        <x:v>ORD-2025-01705</x:v>
      </x:c>
      <x:c r="B1681" s="85" t="n">
        <x:f>'Raw Sales'!B1681</x:f>
        <x:v>45841</x:v>
      </x:c>
      <x:c r="C1681" s="84" t="n">
        <x:f>YEAR(B1681)</x:f>
        <x:v>2025</x:v>
      </x:c>
      <x:c r="D1681" s="91" t="n">
        <x:f>DATE(YEAR(B1681),MONTH(B1681),1)</x:f>
        <x:v>45839</x:v>
      </x:c>
      <x:c r="E1681" s="84" t="str">
        <x:f>TEXT(B1681,"mmm")</x:f>
        <x:v>Jul</x:v>
      </x:c>
      <x:c r="F1681" s="84" t="str">
        <x:f>'Raw Sales'!C1681</x:f>
        <x:v>CUST-0263</x:v>
      </x:c>
      <x:c r="G1681" s="84" t="str">
        <x:f>PROPER(TRIM('Raw Sales'!D1681))</x:f>
        <x:v>Theo Smith</x:v>
      </x:c>
      <x:c r="H1681" s="84" t="str">
        <x:f>IF(TRIM('Raw Sales'!E1681)="","Unknown",PROPER(TRIM('Raw Sales'!E1681)))</x:f>
        <x:v>Consumer</x:v>
      </x:c>
      <x:c r="I1681" s="84" t="str">
        <x:f>PROPER(TRIM('Raw Sales'!F1681))</x:f>
        <x:v>West</x:v>
      </x:c>
      <x:c r="J1681" s="84" t="str">
        <x:f>PROPER(TRIM('Raw Sales'!G1681))</x:f>
        <x:v>Seattle</x:v>
      </x:c>
      <x:c r="K1681" s="84" t="str">
        <x:f>PROPER(TRIM('Raw Sales'!H1681))</x:f>
        <x:v>Online</x:v>
      </x:c>
      <x:c r="L1681" s="84" t="str">
        <x:f>'Raw Sales'!I1681</x:f>
        <x:v>ELEC-003</x:v>
      </x:c>
      <x:c r="M1681" s="84" t="str">
        <x:f>IFERROR(VLOOKUP(L1681,'Reference Data'!$A$5:$F$40,2,FALSE),"Unknown Product")</x:f>
        <x:v>Bluetooth Speaker</x:v>
      </x:c>
      <x:c r="N1681" s="84" t="str">
        <x:f>IFERROR(VLOOKUP(L1681,'Reference Data'!$A$5:$F$40,3,FALSE),"Unknown")</x:f>
        <x:v>Electronics</x:v>
      </x:c>
      <x:c r="O1681" s="84" t="str">
        <x:f>IFERROR(VLOOKUP(L1681,'Reference Data'!$A$5:$F$40,4,FALSE),"Unknown")</x:f>
        <x:v>Audio</x:v>
      </x:c>
      <x:c r="P1681" s="92" t="n">
        <x:f>IFERROR(VLOOKUP(L1681,'Reference Data'!$A$5:$F$40,5,FALSE),0)</x:f>
        <x:v>89</x:v>
      </x:c>
      <x:c r="Q1681" s="92" t="n">
        <x:f>IFERROR(VLOOKUP(L1681,'Reference Data'!$A$5:$F$40,6,FALSE),0)</x:f>
        <x:v>44</x:v>
      </x:c>
      <x:c r="R1681" s="84" t="n">
        <x:f>'Raw Sales'!J1681</x:f>
        <x:v>2</x:v>
      </x:c>
      <x:c r="S1681" s="87" t="n">
        <x:f>'Raw Sales'!K1681</x:f>
        <x:v>0.05</x:v>
      </x:c>
      <x:c r="T1681" s="93" t="n">
        <x:f>P1681*R1681</x:f>
        <x:v>178</x:v>
      </x:c>
      <x:c r="U1681" s="93" t="n">
        <x:f>T1681*S1681</x:f>
        <x:v>8.9</x:v>
      </x:c>
      <x:c r="V1681" s="93" t="str">
        <x:f>PROPER(TRIM('Raw Sales'!L1681))</x:f>
        <x:v>Completed</x:v>
      </x:c>
      <x:c r="W1681" s="93" t="n">
        <x:f>IF(V1681="Returned",0,T1681-U1681)</x:f>
        <x:v>169.1</x:v>
      </x:c>
      <x:c r="X1681" s="93" t="n">
        <x:f>IF(V1681="Returned",Q1681*R1681*10%,Q1681*R1681)</x:f>
        <x:v>88</x:v>
      </x:c>
      <x:c r="Y1681" s="93" t="n">
        <x:f>W1681-X1681</x:f>
        <x:v>81.1</x:v>
      </x:c>
      <x:c r="Z1681" s="94" t="n">
        <x:f>IFERROR(Y1681/W1681,0)</x:f>
        <x:v>0.47959787108219987</x:v>
      </x:c>
      <x:c r="AA1681" s="84" t="str">
        <x:f>PROPER(TRIM('Raw Sales'!M1681))</x:f>
        <x:v>Credit Card</x:v>
      </x:c>
      <x:c r="AB1681" s="84" t="str">
        <x:f>PROPER(TRIM('Raw Sales'!N1681))</x:f>
        <x:v>Leo Martinez</x:v>
      </x:c>
      <x:c r="AC1681" s="85" t="n">
        <x:f>'Raw Sales'!O1681</x:f>
        <x:v>45844</x:v>
      </x:c>
      <x:c r="AD1681" s="84" t="n">
        <x:f>AC1681-B1681</x:f>
        <x:v>3</x:v>
      </x:c>
      <x:c r="AE1681" s="84" t="str">
        <x:f>IF(COUNTIF($A$5:A1681,A1681)&gt;1,"Duplicate","Keep")</x:f>
        <x:v>Keep</x:v>
      </x:c>
      <x:c r="AF1681" s="84" t="str">
        <x:f>IF(OR(R1681&lt;=0,AC1681&lt;B1681,H1681="Unknown",M1681="Unknown Product"),"Review","Valid")</x:f>
        <x:v>Valid</x:v>
      </x:c>
      <x:c r="AG1681" s="84" t="n">
        <x:f>IF(AND(AE1681="Keep",AF1681="Valid"),1,0)</x:f>
        <x:v>1</x:v>
      </x:c>
      <x:c r="AH1681" s="84" t="n">
        <x:f>IF(AND(AG1681=1,OR('Dashboard'!$B$4="All",I1681='Dashboard'!$B$4),OR('Dashboard'!$E$4="All",N1681='Dashboard'!$E$4),OR('Dashboard'!$H$4="All",K1681='Dashboard'!$H$4),OR('Dashboard'!$K$4="All",C1681='Dashboard'!$K$4)),1,0)</x:f>
        <x:v>1</x:v>
      </x:c>
      <x:c r="AI1681" s="84" t="n">
        <x:f>IF(AND(AG1681=1,OR('Dashboard'!$B$4="All",I1681='Dashboard'!$B$4),OR('Dashboard'!$E$4="All",N1681='Dashboard'!$E$4),OR('Dashboard'!$H$4="All",K1681='Dashboard'!$H$4)),1,0)</x:f>
        <x:v>1</x:v>
      </x:c>
    </x:row>
    <x:row r="1682">
      <x:c r="A1682" s="84" t="str">
        <x:f>'Raw Sales'!A1682</x:f>
        <x:v>ORD-2025-01887</x:v>
      </x:c>
      <x:c r="B1682" s="85" t="n">
        <x:f>'Raw Sales'!B1682</x:f>
        <x:v>45841</x:v>
      </x:c>
      <x:c r="C1682" s="84" t="n">
        <x:f>YEAR(B1682)</x:f>
        <x:v>2025</x:v>
      </x:c>
      <x:c r="D1682" s="91" t="n">
        <x:f>DATE(YEAR(B1682),MONTH(B1682),1)</x:f>
        <x:v>45839</x:v>
      </x:c>
      <x:c r="E1682" s="84" t="str">
        <x:f>TEXT(B1682,"mmm")</x:f>
        <x:v>Jul</x:v>
      </x:c>
      <x:c r="F1682" s="84" t="str">
        <x:f>'Raw Sales'!C1682</x:f>
        <x:v>CUST-0289</x:v>
      </x:c>
      <x:c r="G1682" s="84" t="str">
        <x:f>PROPER(TRIM('Raw Sales'!D1682))</x:f>
        <x:v>Chloe Patel</x:v>
      </x:c>
      <x:c r="H1682" s="84" t="str">
        <x:f>IF(TRIM('Raw Sales'!E1682)="","Unknown",PROPER(TRIM('Raw Sales'!E1682)))</x:f>
        <x:v>Consumer</x:v>
      </x:c>
      <x:c r="I1682" s="84" t="str">
        <x:f>PROPER(TRIM('Raw Sales'!F1682))</x:f>
        <x:v>West</x:v>
      </x:c>
      <x:c r="J1682" s="84" t="str">
        <x:f>PROPER(TRIM('Raw Sales'!G1682))</x:f>
        <x:v>Denver</x:v>
      </x:c>
      <x:c r="K1682" s="84" t="str">
        <x:f>PROPER(TRIM('Raw Sales'!H1682))</x:f>
        <x:v>Retail Store</x:v>
      </x:c>
      <x:c r="L1682" s="84" t="str">
        <x:f>'Raw Sales'!I1682</x:f>
        <x:v>CARE-006</x:v>
      </x:c>
      <x:c r="M1682" s="84" t="str">
        <x:f>IFERROR(VLOOKUP(L1682,'Reference Data'!$A$5:$F$40,2,FALSE),"Unknown Product")</x:f>
        <x:v>Percussion Massage Gun</x:v>
      </x:c>
      <x:c r="N1682" s="84" t="str">
        <x:f>IFERROR(VLOOKUP(L1682,'Reference Data'!$A$5:$F$40,3,FALSE),"Unknown")</x:f>
        <x:v>Personal Care</x:v>
      </x:c>
      <x:c r="O1682" s="84" t="str">
        <x:f>IFERROR(VLOOKUP(L1682,'Reference Data'!$A$5:$F$40,4,FALSE),"Unknown")</x:f>
        <x:v>Wellness</x:v>
      </x:c>
      <x:c r="P1682" s="92" t="n">
        <x:f>IFERROR(VLOOKUP(L1682,'Reference Data'!$A$5:$F$40,5,FALSE),0)</x:f>
        <x:v>129</x:v>
      </x:c>
      <x:c r="Q1682" s="92" t="n">
        <x:f>IFERROR(VLOOKUP(L1682,'Reference Data'!$A$5:$F$40,6,FALSE),0)</x:f>
        <x:v>70</x:v>
      </x:c>
      <x:c r="R1682" s="84" t="n">
        <x:f>'Raw Sales'!J1682</x:f>
        <x:v>2</x:v>
      </x:c>
      <x:c r="S1682" s="87" t="n">
        <x:f>'Raw Sales'!K1682</x:f>
        <x:v>0</x:v>
      </x:c>
      <x:c r="T1682" s="93" t="n">
        <x:f>P1682*R1682</x:f>
        <x:v>258</x:v>
      </x:c>
      <x:c r="U1682" s="93" t="n">
        <x:f>T1682*S1682</x:f>
        <x:v>0</x:v>
      </x:c>
      <x:c r="V1682" s="93" t="str">
        <x:f>PROPER(TRIM('Raw Sales'!L1682))</x:f>
        <x:v>Completed</x:v>
      </x:c>
      <x:c r="W1682" s="93" t="n">
        <x:f>IF(V1682="Returned",0,T1682-U1682)</x:f>
        <x:v>258</x:v>
      </x:c>
      <x:c r="X1682" s="93" t="n">
        <x:f>IF(V1682="Returned",Q1682*R1682*10%,Q1682*R1682)</x:f>
        <x:v>140</x:v>
      </x:c>
      <x:c r="Y1682" s="93" t="n">
        <x:f>W1682-X1682</x:f>
        <x:v>118</x:v>
      </x:c>
      <x:c r="Z1682" s="94" t="n">
        <x:f>IFERROR(Y1682/W1682,0)</x:f>
        <x:v>0.4573643410852713</x:v>
      </x:c>
      <x:c r="AA1682" s="84" t="str">
        <x:f>PROPER(TRIM('Raw Sales'!M1682))</x:f>
        <x:v>Credit Card</x:v>
      </x:c>
      <x:c r="AB1682" s="84" t="str">
        <x:f>PROPER(TRIM('Raw Sales'!N1682))</x:f>
        <x:v>Mia Chen</x:v>
      </x:c>
      <x:c r="AC1682" s="85" t="n">
        <x:f>'Raw Sales'!O1682</x:f>
        <x:v>45841</x:v>
      </x:c>
      <x:c r="AD1682" s="84" t="n">
        <x:f>AC1682-B1682</x:f>
        <x:v>0</x:v>
      </x:c>
      <x:c r="AE1682" s="84" t="str">
        <x:f>IF(COUNTIF($A$5:A1682,A1682)&gt;1,"Duplicate","Keep")</x:f>
        <x:v>Keep</x:v>
      </x:c>
      <x:c r="AF1682" s="84" t="str">
        <x:f>IF(OR(R1682&lt;=0,AC1682&lt;B1682,H1682="Unknown",M1682="Unknown Product"),"Review","Valid")</x:f>
        <x:v>Valid</x:v>
      </x:c>
      <x:c r="AG1682" s="84" t="n">
        <x:f>IF(AND(AE1682="Keep",AF1682="Valid"),1,0)</x:f>
        <x:v>1</x:v>
      </x:c>
      <x:c r="AH1682" s="84" t="n">
        <x:f>IF(AND(AG1682=1,OR('Dashboard'!$B$4="All",I1682='Dashboard'!$B$4),OR('Dashboard'!$E$4="All",N1682='Dashboard'!$E$4),OR('Dashboard'!$H$4="All",K1682='Dashboard'!$H$4),OR('Dashboard'!$K$4="All",C1682='Dashboard'!$K$4)),1,0)</x:f>
        <x:v>1</x:v>
      </x:c>
      <x:c r="AI1682" s="84" t="n">
        <x:f>IF(AND(AG1682=1,OR('Dashboard'!$B$4="All",I1682='Dashboard'!$B$4),OR('Dashboard'!$E$4="All",N1682='Dashboard'!$E$4),OR('Dashboard'!$H$4="All",K1682='Dashboard'!$H$4)),1,0)</x:f>
        <x:v>1</x:v>
      </x:c>
    </x:row>
    <x:row r="1683">
      <x:c r="A1683" s="84" t="str">
        <x:f>'Raw Sales'!A1683</x:f>
        <x:v>ORD-2025-01924</x:v>
      </x:c>
      <x:c r="B1683" s="85" t="n">
        <x:f>'Raw Sales'!B1683</x:f>
        <x:v>45841</x:v>
      </x:c>
      <x:c r="C1683" s="84" t="n">
        <x:f>YEAR(B1683)</x:f>
        <x:v>2025</x:v>
      </x:c>
      <x:c r="D1683" s="91" t="n">
        <x:f>DATE(YEAR(B1683),MONTH(B1683),1)</x:f>
        <x:v>45839</x:v>
      </x:c>
      <x:c r="E1683" s="84" t="str">
        <x:f>TEXT(B1683,"mmm")</x:f>
        <x:v>Jul</x:v>
      </x:c>
      <x:c r="F1683" s="84" t="str">
        <x:f>'Raw Sales'!C1683</x:f>
        <x:v>CUST-0463</x:v>
      </x:c>
      <x:c r="G1683" s="84" t="str">
        <x:f>PROPER(TRIM('Raw Sales'!D1683))</x:f>
        <x:v>Aiden Lewis</x:v>
      </x:c>
      <x:c r="H1683" s="84" t="str">
        <x:f>IF(TRIM('Raw Sales'!E1683)="","Unknown",PROPER(TRIM('Raw Sales'!E1683)))</x:f>
        <x:v>Consumer</x:v>
      </x:c>
      <x:c r="I1683" s="84" t="str">
        <x:f>PROPER(TRIM('Raw Sales'!F1683))</x:f>
        <x:v>Northeast</x:v>
      </x:c>
      <x:c r="J1683" s="84" t="str">
        <x:f>PROPER(TRIM('Raw Sales'!G1683))</x:f>
        <x:v>Newark</x:v>
      </x:c>
      <x:c r="K1683" s="84" t="str">
        <x:f>PROPER(TRIM('Raw Sales'!H1683))</x:f>
        <x:v>Marketplace</x:v>
      </x:c>
      <x:c r="L1683" s="84" t="str">
        <x:f>'Raw Sales'!I1683</x:f>
        <x:v>ELEC-001</x:v>
      </x:c>
      <x:c r="M1683" s="84" t="str">
        <x:f>IFERROR(VLOOKUP(L1683,'Reference Data'!$A$5:$F$40,2,FALSE),"Unknown Product")</x:f>
        <x:v>Wireless Earbuds</x:v>
      </x:c>
      <x:c r="N1683" s="84" t="str">
        <x:f>IFERROR(VLOOKUP(L1683,'Reference Data'!$A$5:$F$40,3,FALSE),"Unknown")</x:f>
        <x:v>Electronics</x:v>
      </x:c>
      <x:c r="O1683" s="84" t="str">
        <x:f>IFERROR(VLOOKUP(L1683,'Reference Data'!$A$5:$F$40,4,FALSE),"Unknown")</x:f>
        <x:v>Audio</x:v>
      </x:c>
      <x:c r="P1683" s="92" t="n">
        <x:f>IFERROR(VLOOKUP(L1683,'Reference Data'!$A$5:$F$40,5,FALSE),0)</x:f>
        <x:v>69</x:v>
      </x:c>
      <x:c r="Q1683" s="92" t="n">
        <x:f>IFERROR(VLOOKUP(L1683,'Reference Data'!$A$5:$F$40,6,FALSE),0)</x:f>
        <x:v>36</x:v>
      </x:c>
      <x:c r="R1683" s="84" t="n">
        <x:f>'Raw Sales'!J1683</x:f>
        <x:v>1</x:v>
      </x:c>
      <x:c r="S1683" s="87" t="n">
        <x:f>'Raw Sales'!K1683</x:f>
        <x:v>0</x:v>
      </x:c>
      <x:c r="T1683" s="93" t="n">
        <x:f>P1683*R1683</x:f>
        <x:v>69</x:v>
      </x:c>
      <x:c r="U1683" s="93" t="n">
        <x:f>T1683*S1683</x:f>
        <x:v>0</x:v>
      </x:c>
      <x:c r="V1683" s="93" t="str">
        <x:f>PROPER(TRIM('Raw Sales'!L1683))</x:f>
        <x:v>Completed</x:v>
      </x:c>
      <x:c r="W1683" s="93" t="n">
        <x:f>IF(V1683="Returned",0,T1683-U1683)</x:f>
        <x:v>69</x:v>
      </x:c>
      <x:c r="X1683" s="93" t="n">
        <x:f>IF(V1683="Returned",Q1683*R1683*10%,Q1683*R1683)</x:f>
        <x:v>36</x:v>
      </x:c>
      <x:c r="Y1683" s="93" t="n">
        <x:f>W1683-X1683</x:f>
        <x:v>33</x:v>
      </x:c>
      <x:c r="Z1683" s="94" t="n">
        <x:f>IFERROR(Y1683/W1683,0)</x:f>
        <x:v>0.4782608695652174</x:v>
      </x:c>
      <x:c r="AA1683" s="84" t="str">
        <x:f>PROPER(TRIM('Raw Sales'!M1683))</x:f>
        <x:v>Credit Card</x:v>
      </x:c>
      <x:c r="AB1683" s="84" t="str">
        <x:f>PROPER(TRIM('Raw Sales'!N1683))</x:f>
        <x:v>Maya Brooks</x:v>
      </x:c>
      <x:c r="AC1683" s="85" t="n">
        <x:f>'Raw Sales'!O1683</x:f>
        <x:v>45844</x:v>
      </x:c>
      <x:c r="AD1683" s="84" t="n">
        <x:f>AC1683-B1683</x:f>
        <x:v>3</x:v>
      </x:c>
      <x:c r="AE1683" s="84" t="str">
        <x:f>IF(COUNTIF($A$5:A1683,A1683)&gt;1,"Duplicate","Keep")</x:f>
        <x:v>Keep</x:v>
      </x:c>
      <x:c r="AF1683" s="84" t="str">
        <x:f>IF(OR(R1683&lt;=0,AC1683&lt;B1683,H1683="Unknown",M1683="Unknown Product"),"Review","Valid")</x:f>
        <x:v>Valid</x:v>
      </x:c>
      <x:c r="AG1683" s="84" t="n">
        <x:f>IF(AND(AE1683="Keep",AF1683="Valid"),1,0)</x:f>
        <x:v>1</x:v>
      </x:c>
      <x:c r="AH1683" s="84" t="n">
        <x:f>IF(AND(AG1683=1,OR('Dashboard'!$B$4="All",I1683='Dashboard'!$B$4),OR('Dashboard'!$E$4="All",N1683='Dashboard'!$E$4),OR('Dashboard'!$H$4="All",K1683='Dashboard'!$H$4),OR('Dashboard'!$K$4="All",C1683='Dashboard'!$K$4)),1,0)</x:f>
        <x:v>1</x:v>
      </x:c>
      <x:c r="AI1683" s="84" t="n">
        <x:f>IF(AND(AG1683=1,OR('Dashboard'!$B$4="All",I1683='Dashboard'!$B$4),OR('Dashboard'!$E$4="All",N1683='Dashboard'!$E$4),OR('Dashboard'!$H$4="All",K1683='Dashboard'!$H$4)),1,0)</x:f>
        <x:v>1</x:v>
      </x:c>
    </x:row>
    <x:row r="1684">
      <x:c r="A1684" s="84" t="str">
        <x:f>'Raw Sales'!A1684</x:f>
        <x:v>ORD-2025-00391</x:v>
      </x:c>
      <x:c r="B1684" s="85" t="n">
        <x:f>'Raw Sales'!B1684</x:f>
        <x:v>45842</x:v>
      </x:c>
      <x:c r="C1684" s="84" t="n">
        <x:f>YEAR(B1684)</x:f>
        <x:v>2025</x:v>
      </x:c>
      <x:c r="D1684" s="91" t="n">
        <x:f>DATE(YEAR(B1684),MONTH(B1684),1)</x:f>
        <x:v>45839</x:v>
      </x:c>
      <x:c r="E1684" s="84" t="str">
        <x:f>TEXT(B1684,"mmm")</x:f>
        <x:v>Jul</x:v>
      </x:c>
      <x:c r="F1684" s="84" t="str">
        <x:f>'Raw Sales'!C1684</x:f>
        <x:v>CUST-0625</x:v>
      </x:c>
      <x:c r="G1684" s="84" t="str">
        <x:f>PROPER(TRIM('Raw Sales'!D1684))</x:f>
        <x:v>Daniel Patel</x:v>
      </x:c>
      <x:c r="H1684" s="84" t="str">
        <x:f>IF(TRIM('Raw Sales'!E1684)="","Unknown",PROPER(TRIM('Raw Sales'!E1684)))</x:f>
        <x:v>Small Business</x:v>
      </x:c>
      <x:c r="I1684" s="84" t="str">
        <x:f>PROPER(TRIM('Raw Sales'!F1684))</x:f>
        <x:v>West</x:v>
      </x:c>
      <x:c r="J1684" s="84" t="str">
        <x:f>PROPER(TRIM('Raw Sales'!G1684))</x:f>
        <x:v>Phoenix</x:v>
      </x:c>
      <x:c r="K1684" s="84" t="str">
        <x:f>PROPER(TRIM('Raw Sales'!H1684))</x:f>
        <x:v>Online</x:v>
      </x:c>
      <x:c r="L1684" s="84" t="str">
        <x:f>'Raw Sales'!I1684</x:f>
        <x:v>FITN-005</x:v>
      </x:c>
      <x:c r="M1684" s="84" t="str">
        <x:f>IFERROR(VLOOKUP(L1684,'Reference Data'!$A$5:$F$40,2,FALSE),"Unknown Product")</x:f>
        <x:v>Sports Water Bottle</x:v>
      </x:c>
      <x:c r="N1684" s="84" t="str">
        <x:f>IFERROR(VLOOKUP(L1684,'Reference Data'!$A$5:$F$40,3,FALSE),"Unknown")</x:f>
        <x:v>Fitness</x:v>
      </x:c>
      <x:c r="O1684" s="84" t="str">
        <x:f>IFERROR(VLOOKUP(L1684,'Reference Data'!$A$5:$F$40,4,FALSE),"Unknown")</x:f>
        <x:v>Accessories</x:v>
      </x:c>
      <x:c r="P1684" s="92" t="n">
        <x:f>IFERROR(VLOOKUP(L1684,'Reference Data'!$A$5:$F$40,5,FALSE),0)</x:f>
        <x:v>22</x:v>
      </x:c>
      <x:c r="Q1684" s="92" t="n">
        <x:f>IFERROR(VLOOKUP(L1684,'Reference Data'!$A$5:$F$40,6,FALSE),0)</x:f>
        <x:v>7</x:v>
      </x:c>
      <x:c r="R1684" s="84" t="n">
        <x:f>'Raw Sales'!J1684</x:f>
        <x:v>3</x:v>
      </x:c>
      <x:c r="S1684" s="87" t="n">
        <x:f>'Raw Sales'!K1684</x:f>
        <x:v>0</x:v>
      </x:c>
      <x:c r="T1684" s="93" t="n">
        <x:f>P1684*R1684</x:f>
        <x:v>66</x:v>
      </x:c>
      <x:c r="U1684" s="93" t="n">
        <x:f>T1684*S1684</x:f>
        <x:v>0</x:v>
      </x:c>
      <x:c r="V1684" s="93" t="str">
        <x:f>PROPER(TRIM('Raw Sales'!L1684))</x:f>
        <x:v>Completed</x:v>
      </x:c>
      <x:c r="W1684" s="93" t="n">
        <x:f>IF(V1684="Returned",0,T1684-U1684)</x:f>
        <x:v>66</x:v>
      </x:c>
      <x:c r="X1684" s="93" t="n">
        <x:f>IF(V1684="Returned",Q1684*R1684*10%,Q1684*R1684)</x:f>
        <x:v>21</x:v>
      </x:c>
      <x:c r="Y1684" s="93" t="n">
        <x:f>W1684-X1684</x:f>
        <x:v>45</x:v>
      </x:c>
      <x:c r="Z1684" s="94" t="n">
        <x:f>IFERROR(Y1684/W1684,0)</x:f>
        <x:v>0.6818181818181818</x:v>
      </x:c>
      <x:c r="AA1684" s="84" t="str">
        <x:f>PROPER(TRIM('Raw Sales'!M1684))</x:f>
        <x:v>Paypal</x:v>
      </x:c>
      <x:c r="AB1684" s="84" t="str">
        <x:f>PROPER(TRIM('Raw Sales'!N1684))</x:f>
        <x:v>Nora Kim</x:v>
      </x:c>
      <x:c r="AC1684" s="85" t="n">
        <x:f>'Raw Sales'!O1684</x:f>
        <x:v>45848</x:v>
      </x:c>
      <x:c r="AD1684" s="84" t="n">
        <x:f>AC1684-B1684</x:f>
        <x:v>6</x:v>
      </x:c>
      <x:c r="AE1684" s="84" t="str">
        <x:f>IF(COUNTIF($A$5:A1684,A1684)&gt;1,"Duplicate","Keep")</x:f>
        <x:v>Keep</x:v>
      </x:c>
      <x:c r="AF1684" s="84" t="str">
        <x:f>IF(OR(R1684&lt;=0,AC1684&lt;B1684,H1684="Unknown",M1684="Unknown Product"),"Review","Valid")</x:f>
        <x:v>Valid</x:v>
      </x:c>
      <x:c r="AG1684" s="84" t="n">
        <x:f>IF(AND(AE1684="Keep",AF1684="Valid"),1,0)</x:f>
        <x:v>1</x:v>
      </x:c>
      <x:c r="AH1684" s="84" t="n">
        <x:f>IF(AND(AG1684=1,OR('Dashboard'!$B$4="All",I1684='Dashboard'!$B$4),OR('Dashboard'!$E$4="All",N1684='Dashboard'!$E$4),OR('Dashboard'!$H$4="All",K1684='Dashboard'!$H$4),OR('Dashboard'!$K$4="All",C1684='Dashboard'!$K$4)),1,0)</x:f>
        <x:v>1</x:v>
      </x:c>
      <x:c r="AI1684" s="84" t="n">
        <x:f>IF(AND(AG1684=1,OR('Dashboard'!$B$4="All",I1684='Dashboard'!$B$4),OR('Dashboard'!$E$4="All",N1684='Dashboard'!$E$4),OR('Dashboard'!$H$4="All",K1684='Dashboard'!$H$4)),1,0)</x:f>
        <x:v>1</x:v>
      </x:c>
    </x:row>
    <x:row r="1685">
      <x:c r="A1685" s="84" t="str">
        <x:f>'Raw Sales'!A1685</x:f>
        <x:v>ORD-2025-01734</x:v>
      </x:c>
      <x:c r="B1685" s="85" t="n">
        <x:f>'Raw Sales'!B1685</x:f>
        <x:v>45842</x:v>
      </x:c>
      <x:c r="C1685" s="84" t="n">
        <x:f>YEAR(B1685)</x:f>
        <x:v>2025</x:v>
      </x:c>
      <x:c r="D1685" s="91" t="n">
        <x:f>DATE(YEAR(B1685),MONTH(B1685),1)</x:f>
        <x:v>45839</x:v>
      </x:c>
      <x:c r="E1685" s="84" t="str">
        <x:f>TEXT(B1685,"mmm")</x:f>
        <x:v>Jul</x:v>
      </x:c>
      <x:c r="F1685" s="84" t="str">
        <x:f>'Raw Sales'!C1685</x:f>
        <x:v>CUST-0394</x:v>
      </x:c>
      <x:c r="G1685" s="84" t="str">
        <x:f>PROPER(TRIM('Raw Sales'!D1685))</x:f>
        <x:v>Priya Nelson</x:v>
      </x:c>
      <x:c r="H1685" s="84" t="str">
        <x:f>IF(TRIM('Raw Sales'!E1685)="","Unknown",PROPER(TRIM('Raw Sales'!E1685)))</x:f>
        <x:v>Corporate</x:v>
      </x:c>
      <x:c r="I1685" s="84" t="str">
        <x:f>PROPER(TRIM('Raw Sales'!F1685))</x:f>
        <x:v>West</x:v>
      </x:c>
      <x:c r="J1685" s="84" t="str">
        <x:f>PROPER(TRIM('Raw Sales'!G1685))</x:f>
        <x:v>Denver</x:v>
      </x:c>
      <x:c r="K1685" s="84" t="str">
        <x:f>PROPER(TRIM('Raw Sales'!H1685))</x:f>
        <x:v>Retail Store</x:v>
      </x:c>
      <x:c r="L1685" s="84" t="str">
        <x:f>'Raw Sales'!I1685</x:f>
        <x:v>FITN-001</x:v>
      </x:c>
      <x:c r="M1685" s="84" t="str">
        <x:f>IFERROR(VLOOKUP(L1685,'Reference Data'!$A$5:$F$40,2,FALSE),"Unknown Product")</x:f>
        <x:v>Yoga Mat</x:v>
      </x:c>
      <x:c r="N1685" s="84" t="str">
        <x:f>IFERROR(VLOOKUP(L1685,'Reference Data'!$A$5:$F$40,3,FALSE),"Unknown")</x:f>
        <x:v>Fitness</x:v>
      </x:c>
      <x:c r="O1685" s="84" t="str">
        <x:f>IFERROR(VLOOKUP(L1685,'Reference Data'!$A$5:$F$40,4,FALSE),"Unknown")</x:f>
        <x:v>Yoga</x:v>
      </x:c>
      <x:c r="P1685" s="92" t="n">
        <x:f>IFERROR(VLOOKUP(L1685,'Reference Data'!$A$5:$F$40,5,FALSE),0)</x:f>
        <x:v>35</x:v>
      </x:c>
      <x:c r="Q1685" s="92" t="n">
        <x:f>IFERROR(VLOOKUP(L1685,'Reference Data'!$A$5:$F$40,6,FALSE),0)</x:f>
        <x:v>13</x:v>
      </x:c>
      <x:c r="R1685" s="84" t="n">
        <x:f>'Raw Sales'!J1685</x:f>
        <x:v>1</x:v>
      </x:c>
      <x:c r="S1685" s="87" t="n">
        <x:f>'Raw Sales'!K1685</x:f>
        <x:v>0.05</x:v>
      </x:c>
      <x:c r="T1685" s="93" t="n">
        <x:f>P1685*R1685</x:f>
        <x:v>35</x:v>
      </x:c>
      <x:c r="U1685" s="93" t="n">
        <x:f>T1685*S1685</x:f>
        <x:v>1.75</x:v>
      </x:c>
      <x:c r="V1685" s="93" t="str">
        <x:f>PROPER(TRIM('Raw Sales'!L1685))</x:f>
        <x:v>Completed</x:v>
      </x:c>
      <x:c r="W1685" s="93" t="n">
        <x:f>IF(V1685="Returned",0,T1685-U1685)</x:f>
        <x:v>33.25</x:v>
      </x:c>
      <x:c r="X1685" s="93" t="n">
        <x:f>IF(V1685="Returned",Q1685*R1685*10%,Q1685*R1685)</x:f>
        <x:v>13</x:v>
      </x:c>
      <x:c r="Y1685" s="93" t="n">
        <x:f>W1685-X1685</x:f>
        <x:v>20.25</x:v>
      </x:c>
      <x:c r="Z1685" s="94" t="n">
        <x:f>IFERROR(Y1685/W1685,0)</x:f>
        <x:v>0.6090225563909775</x:v>
      </x:c>
      <x:c r="AA1685" s="84" t="str">
        <x:f>PROPER(TRIM('Raw Sales'!M1685))</x:f>
        <x:v>Credit Card</x:v>
      </x:c>
      <x:c r="AB1685" s="84" t="str">
        <x:f>PROPER(TRIM('Raw Sales'!N1685))</x:f>
        <x:v>Leo Martinez</x:v>
      </x:c>
      <x:c r="AC1685" s="85" t="n">
        <x:f>'Raw Sales'!O1685</x:f>
        <x:v>45842</x:v>
      </x:c>
      <x:c r="AD1685" s="84" t="n">
        <x:f>AC1685-B1685</x:f>
        <x:v>0</x:v>
      </x:c>
      <x:c r="AE1685" s="84" t="str">
        <x:f>IF(COUNTIF($A$5:A1685,A1685)&gt;1,"Duplicate","Keep")</x:f>
        <x:v>Keep</x:v>
      </x:c>
      <x:c r="AF1685" s="84" t="str">
        <x:f>IF(OR(R1685&lt;=0,AC1685&lt;B1685,H1685="Unknown",M1685="Unknown Product"),"Review","Valid")</x:f>
        <x:v>Valid</x:v>
      </x:c>
      <x:c r="AG1685" s="84" t="n">
        <x:f>IF(AND(AE1685="Keep",AF1685="Valid"),1,0)</x:f>
        <x:v>1</x:v>
      </x:c>
      <x:c r="AH1685" s="84" t="n">
        <x:f>IF(AND(AG1685=1,OR('Dashboard'!$B$4="All",I1685='Dashboard'!$B$4),OR('Dashboard'!$E$4="All",N1685='Dashboard'!$E$4),OR('Dashboard'!$H$4="All",K1685='Dashboard'!$H$4),OR('Dashboard'!$K$4="All",C1685='Dashboard'!$K$4)),1,0)</x:f>
        <x:v>1</x:v>
      </x:c>
      <x:c r="AI1685" s="84" t="n">
        <x:f>IF(AND(AG1685=1,OR('Dashboard'!$B$4="All",I1685='Dashboard'!$B$4),OR('Dashboard'!$E$4="All",N1685='Dashboard'!$E$4),OR('Dashboard'!$H$4="All",K1685='Dashboard'!$H$4)),1,0)</x:f>
        <x:v>1</x:v>
      </x:c>
    </x:row>
    <x:row r="1686">
      <x:c r="A1686" s="84" t="str">
        <x:f>'Raw Sales'!A1686</x:f>
        <x:v>ORD-2025-00005</x:v>
      </x:c>
      <x:c r="B1686" s="85" t="n">
        <x:f>'Raw Sales'!B1686</x:f>
        <x:v>45843</x:v>
      </x:c>
      <x:c r="C1686" s="84" t="n">
        <x:f>YEAR(B1686)</x:f>
        <x:v>2025</x:v>
      </x:c>
      <x:c r="D1686" s="91" t="n">
        <x:f>DATE(YEAR(B1686),MONTH(B1686),1)</x:f>
        <x:v>45839</x:v>
      </x:c>
      <x:c r="E1686" s="84" t="str">
        <x:f>TEXT(B1686,"mmm")</x:f>
        <x:v>Jul</x:v>
      </x:c>
      <x:c r="F1686" s="84" t="str">
        <x:f>'Raw Sales'!C1686</x:f>
        <x:v>CUST-0442</x:v>
      </x:c>
      <x:c r="G1686" s="84" t="str">
        <x:f>PROPER(TRIM('Raw Sales'!D1686))</x:f>
        <x:v>Elena Irwin</x:v>
      </x:c>
      <x:c r="H1686" s="84" t="str">
        <x:f>IF(TRIM('Raw Sales'!E1686)="","Unknown",PROPER(TRIM('Raw Sales'!E1686)))</x:f>
        <x:v>Consumer</x:v>
      </x:c>
      <x:c r="I1686" s="84" t="str">
        <x:f>PROPER(TRIM('Raw Sales'!F1686))</x:f>
        <x:v>Northeast</x:v>
      </x:c>
      <x:c r="J1686" s="84" t="str">
        <x:f>PROPER(TRIM('Raw Sales'!G1686))</x:f>
        <x:v>Boston</x:v>
      </x:c>
      <x:c r="K1686" s="84" t="str">
        <x:f>PROPER(TRIM('Raw Sales'!H1686))</x:f>
        <x:v>Retail Store</x:v>
      </x:c>
      <x:c r="L1686" s="84" t="str">
        <x:f>'Raw Sales'!I1686</x:f>
        <x:v>HOME-006</x:v>
      </x:c>
      <x:c r="M1686" s="84" t="str">
        <x:f>IFERROR(VLOOKUP(L1686,'Reference Data'!$A$5:$F$40,2,FALSE),"Unknown Product")</x:f>
        <x:v>Food Storage Set</x:v>
      </x:c>
      <x:c r="N1686" s="84" t="str">
        <x:f>IFERROR(VLOOKUP(L1686,'Reference Data'!$A$5:$F$40,3,FALSE),"Unknown")</x:f>
        <x:v>Home &amp; Kitchen</x:v>
      </x:c>
      <x:c r="O1686" s="84" t="str">
        <x:f>IFERROR(VLOOKUP(L1686,'Reference Data'!$A$5:$F$40,4,FALSE),"Unknown")</x:f>
        <x:v>Kitchenware</x:v>
      </x:c>
      <x:c r="P1686" s="92" t="n">
        <x:f>IFERROR(VLOOKUP(L1686,'Reference Data'!$A$5:$F$40,5,FALSE),0)</x:f>
        <x:v>34</x:v>
      </x:c>
      <x:c r="Q1686" s="92" t="n">
        <x:f>IFERROR(VLOOKUP(L1686,'Reference Data'!$A$5:$F$40,6,FALSE),0)</x:f>
        <x:v>15</x:v>
      </x:c>
      <x:c r="R1686" s="84" t="n">
        <x:f>'Raw Sales'!J1686</x:f>
        <x:v>1</x:v>
      </x:c>
      <x:c r="S1686" s="87" t="n">
        <x:f>'Raw Sales'!K1686</x:f>
        <x:v>0</x:v>
      </x:c>
      <x:c r="T1686" s="93" t="n">
        <x:f>P1686*R1686</x:f>
        <x:v>34</x:v>
      </x:c>
      <x:c r="U1686" s="93" t="n">
        <x:f>T1686*S1686</x:f>
        <x:v>0</x:v>
      </x:c>
      <x:c r="V1686" s="93" t="str">
        <x:f>PROPER(TRIM('Raw Sales'!L1686))</x:f>
        <x:v>Returned</x:v>
      </x:c>
      <x:c r="W1686" s="93" t="n">
        <x:f>IF(V1686="Returned",0,T1686-U1686)</x:f>
        <x:v>0</x:v>
      </x:c>
      <x:c r="X1686" s="93" t="n">
        <x:f>IF(V1686="Returned",Q1686*R1686*10%,Q1686*R1686)</x:f>
        <x:v>1.5</x:v>
      </x:c>
      <x:c r="Y1686" s="93" t="n">
        <x:f>W1686-X1686</x:f>
        <x:v>-1.5</x:v>
      </x:c>
      <x:c r="Z1686" s="94" t="n">
        <x:f>IFERROR(Y1686/W1686,0)</x:f>
        <x:v>0</x:v>
      </x:c>
      <x:c r="AA1686" s="84" t="str">
        <x:f>PROPER(TRIM('Raw Sales'!M1686))</x:f>
        <x:v>Credit Card</x:v>
      </x:c>
      <x:c r="AB1686" s="84" t="str">
        <x:f>PROPER(TRIM('Raw Sales'!N1686))</x:f>
        <x:v>Sofia Bennett</x:v>
      </x:c>
      <x:c r="AC1686" s="85" t="n">
        <x:f>'Raw Sales'!O1686</x:f>
        <x:v>45844</x:v>
      </x:c>
      <x:c r="AD1686" s="84" t="n">
        <x:f>AC1686-B1686</x:f>
        <x:v>1</x:v>
      </x:c>
      <x:c r="AE1686" s="84" t="str">
        <x:f>IF(COUNTIF($A$5:A1686,A1686)&gt;1,"Duplicate","Keep")</x:f>
        <x:v>Keep</x:v>
      </x:c>
      <x:c r="AF1686" s="84" t="str">
        <x:f>IF(OR(R1686&lt;=0,AC1686&lt;B1686,H1686="Unknown",M1686="Unknown Product"),"Review","Valid")</x:f>
        <x:v>Valid</x:v>
      </x:c>
      <x:c r="AG1686" s="84" t="n">
        <x:f>IF(AND(AE1686="Keep",AF1686="Valid"),1,0)</x:f>
        <x:v>1</x:v>
      </x:c>
      <x:c r="AH1686" s="84" t="n">
        <x:f>IF(AND(AG1686=1,OR('Dashboard'!$B$4="All",I1686='Dashboard'!$B$4),OR('Dashboard'!$E$4="All",N1686='Dashboard'!$E$4),OR('Dashboard'!$H$4="All",K1686='Dashboard'!$H$4),OR('Dashboard'!$K$4="All",C1686='Dashboard'!$K$4)),1,0)</x:f>
        <x:v>1</x:v>
      </x:c>
      <x:c r="AI1686" s="84" t="n">
        <x:f>IF(AND(AG1686=1,OR('Dashboard'!$B$4="All",I1686='Dashboard'!$B$4),OR('Dashboard'!$E$4="All",N1686='Dashboard'!$E$4),OR('Dashboard'!$H$4="All",K1686='Dashboard'!$H$4)),1,0)</x:f>
        <x:v>1</x:v>
      </x:c>
    </x:row>
    <x:row r="1687">
      <x:c r="A1687" s="84" t="str">
        <x:f>'Raw Sales'!A1687</x:f>
        <x:v>ORD-2025-01457</x:v>
      </x:c>
      <x:c r="B1687" s="85" t="n">
        <x:f>'Raw Sales'!B1687</x:f>
        <x:v>45843</x:v>
      </x:c>
      <x:c r="C1687" s="84" t="n">
        <x:f>YEAR(B1687)</x:f>
        <x:v>2025</x:v>
      </x:c>
      <x:c r="D1687" s="91" t="n">
        <x:f>DATE(YEAR(B1687),MONTH(B1687),1)</x:f>
        <x:v>45839</x:v>
      </x:c>
      <x:c r="E1687" s="84" t="str">
        <x:f>TEXT(B1687,"mmm")</x:f>
        <x:v>Jul</x:v>
      </x:c>
      <x:c r="F1687" s="84" t="str">
        <x:f>'Raw Sales'!C1687</x:f>
        <x:v>CUST-0423</x:v>
      </x:c>
      <x:c r="G1687" s="84" t="str">
        <x:f>PROPER(TRIM('Raw Sales'!D1687))</x:f>
        <x:v>Marcus Smith</x:v>
      </x:c>
      <x:c r="H1687" s="84" t="str">
        <x:f>IF(TRIM('Raw Sales'!E1687)="","Unknown",PROPER(TRIM('Raw Sales'!E1687)))</x:f>
        <x:v>Small Business</x:v>
      </x:c>
      <x:c r="I1687" s="84" t="str">
        <x:f>PROPER(TRIM('Raw Sales'!F1687))</x:f>
        <x:v>Northeast</x:v>
      </x:c>
      <x:c r="J1687" s="84" t="str">
        <x:f>PROPER(TRIM('Raw Sales'!G1687))</x:f>
        <x:v>Philadelphia</x:v>
      </x:c>
      <x:c r="K1687" s="84" t="str">
        <x:f>PROPER(TRIM('Raw Sales'!H1687))</x:f>
        <x:v>Online</x:v>
      </x:c>
      <x:c r="L1687" s="84" t="str">
        <x:f>'Raw Sales'!I1687</x:f>
        <x:v>ELEC-001</x:v>
      </x:c>
      <x:c r="M1687" s="84" t="str">
        <x:f>IFERROR(VLOOKUP(L1687,'Reference Data'!$A$5:$F$40,2,FALSE),"Unknown Product")</x:f>
        <x:v>Wireless Earbuds</x:v>
      </x:c>
      <x:c r="N1687" s="84" t="str">
        <x:f>IFERROR(VLOOKUP(L1687,'Reference Data'!$A$5:$F$40,3,FALSE),"Unknown")</x:f>
        <x:v>Electronics</x:v>
      </x:c>
      <x:c r="O1687" s="84" t="str">
        <x:f>IFERROR(VLOOKUP(L1687,'Reference Data'!$A$5:$F$40,4,FALSE),"Unknown")</x:f>
        <x:v>Audio</x:v>
      </x:c>
      <x:c r="P1687" s="92" t="n">
        <x:f>IFERROR(VLOOKUP(L1687,'Reference Data'!$A$5:$F$40,5,FALSE),0)</x:f>
        <x:v>69</x:v>
      </x:c>
      <x:c r="Q1687" s="92" t="n">
        <x:f>IFERROR(VLOOKUP(L1687,'Reference Data'!$A$5:$F$40,6,FALSE),0)</x:f>
        <x:v>36</x:v>
      </x:c>
      <x:c r="R1687" s="84" t="n">
        <x:f>'Raw Sales'!J1687</x:f>
        <x:v>1</x:v>
      </x:c>
      <x:c r="S1687" s="87" t="n">
        <x:f>'Raw Sales'!K1687</x:f>
        <x:v>0.05</x:v>
      </x:c>
      <x:c r="T1687" s="93" t="n">
        <x:f>P1687*R1687</x:f>
        <x:v>69</x:v>
      </x:c>
      <x:c r="U1687" s="93" t="n">
        <x:f>T1687*S1687</x:f>
        <x:v>3.45</x:v>
      </x:c>
      <x:c r="V1687" s="93" t="str">
        <x:f>PROPER(TRIM('Raw Sales'!L1687))</x:f>
        <x:v>Returned</x:v>
      </x:c>
      <x:c r="W1687" s="93" t="n">
        <x:f>IF(V1687="Returned",0,T1687-U1687)</x:f>
        <x:v>0</x:v>
      </x:c>
      <x:c r="X1687" s="93" t="n">
        <x:f>IF(V1687="Returned",Q1687*R1687*10%,Q1687*R1687)</x:f>
        <x:v>3.6</x:v>
      </x:c>
      <x:c r="Y1687" s="93" t="n">
        <x:f>W1687-X1687</x:f>
        <x:v>-3.6</x:v>
      </x:c>
      <x:c r="Z1687" s="94" t="n">
        <x:f>IFERROR(Y1687/W1687,0)</x:f>
        <x:v>0</x:v>
      </x:c>
      <x:c r="AA1687" s="84" t="str">
        <x:f>PROPER(TRIM('Raw Sales'!M1687))</x:f>
        <x:v>Paypal</x:v>
      </x:c>
      <x:c r="AB1687" s="84" t="str">
        <x:f>PROPER(TRIM('Raw Sales'!N1687))</x:f>
        <x:v>Ethan Cole</x:v>
      </x:c>
      <x:c r="AC1687" s="85" t="n">
        <x:f>'Raw Sales'!O1687</x:f>
        <x:v>45845</x:v>
      </x:c>
      <x:c r="AD1687" s="84" t="n">
        <x:f>AC1687-B1687</x:f>
        <x:v>2</x:v>
      </x:c>
      <x:c r="AE1687" s="84" t="str">
        <x:f>IF(COUNTIF($A$5:A1687,A1687)&gt;1,"Duplicate","Keep")</x:f>
        <x:v>Keep</x:v>
      </x:c>
      <x:c r="AF1687" s="84" t="str">
        <x:f>IF(OR(R1687&lt;=0,AC1687&lt;B1687,H1687="Unknown",M1687="Unknown Product"),"Review","Valid")</x:f>
        <x:v>Valid</x:v>
      </x:c>
      <x:c r="AG1687" s="84" t="n">
        <x:f>IF(AND(AE1687="Keep",AF1687="Valid"),1,0)</x:f>
        <x:v>1</x:v>
      </x:c>
      <x:c r="AH1687" s="84" t="n">
        <x:f>IF(AND(AG1687=1,OR('Dashboard'!$B$4="All",I1687='Dashboard'!$B$4),OR('Dashboard'!$E$4="All",N1687='Dashboard'!$E$4),OR('Dashboard'!$H$4="All",K1687='Dashboard'!$H$4),OR('Dashboard'!$K$4="All",C1687='Dashboard'!$K$4)),1,0)</x:f>
        <x:v>1</x:v>
      </x:c>
      <x:c r="AI1687" s="84" t="n">
        <x:f>IF(AND(AG1687=1,OR('Dashboard'!$B$4="All",I1687='Dashboard'!$B$4),OR('Dashboard'!$E$4="All",N1687='Dashboard'!$E$4),OR('Dashboard'!$H$4="All",K1687='Dashboard'!$H$4)),1,0)</x:f>
        <x:v>1</x:v>
      </x:c>
    </x:row>
    <x:row r="1688">
      <x:c r="A1688" s="84" t="str">
        <x:f>'Raw Sales'!A1688</x:f>
        <x:v>ORD-2025-01791</x:v>
      </x:c>
      <x:c r="B1688" s="85" t="n">
        <x:f>'Raw Sales'!B1688</x:f>
        <x:v>45843</x:v>
      </x:c>
      <x:c r="C1688" s="84" t="n">
        <x:f>YEAR(B1688)</x:f>
        <x:v>2025</x:v>
      </x:c>
      <x:c r="D1688" s="91" t="n">
        <x:f>DATE(YEAR(B1688),MONTH(B1688),1)</x:f>
        <x:v>45839</x:v>
      </x:c>
      <x:c r="E1688" s="84" t="str">
        <x:f>TEXT(B1688,"mmm")</x:f>
        <x:v>Jul</x:v>
      </x:c>
      <x:c r="F1688" s="84" t="str">
        <x:f>'Raw Sales'!C1688</x:f>
        <x:v>CUST-0549</x:v>
      </x:c>
      <x:c r="G1688" s="84" t="str">
        <x:f>PROPER(TRIM('Raw Sales'!D1688))</x:f>
        <x:v>Marcus Patel</x:v>
      </x:c>
      <x:c r="H1688" s="84" t="str">
        <x:f>IF(TRIM('Raw Sales'!E1688)="","Unknown",PROPER(TRIM('Raw Sales'!E1688)))</x:f>
        <x:v>Small Business</x:v>
      </x:c>
      <x:c r="I1688" s="84" t="str">
        <x:f>PROPER(TRIM('Raw Sales'!F1688))</x:f>
        <x:v>Northeast</x:v>
      </x:c>
      <x:c r="J1688" s="84" t="str">
        <x:f>PROPER(TRIM('Raw Sales'!G1688))</x:f>
        <x:v>Boston</x:v>
      </x:c>
      <x:c r="K1688" s="84" t="str">
        <x:f>PROPER(TRIM('Raw Sales'!H1688))</x:f>
        <x:v>Marketplace</x:v>
      </x:c>
      <x:c r="L1688" s="84" t="str">
        <x:f>'Raw Sales'!I1688</x:f>
        <x:v>ELEC-003</x:v>
      </x:c>
      <x:c r="M1688" s="84" t="str">
        <x:f>IFERROR(VLOOKUP(L1688,'Reference Data'!$A$5:$F$40,2,FALSE),"Unknown Product")</x:f>
        <x:v>Bluetooth Speaker</x:v>
      </x:c>
      <x:c r="N1688" s="84" t="str">
        <x:f>IFERROR(VLOOKUP(L1688,'Reference Data'!$A$5:$F$40,3,FALSE),"Unknown")</x:f>
        <x:v>Electronics</x:v>
      </x:c>
      <x:c r="O1688" s="84" t="str">
        <x:f>IFERROR(VLOOKUP(L1688,'Reference Data'!$A$5:$F$40,4,FALSE),"Unknown")</x:f>
        <x:v>Audio</x:v>
      </x:c>
      <x:c r="P1688" s="92" t="n">
        <x:f>IFERROR(VLOOKUP(L1688,'Reference Data'!$A$5:$F$40,5,FALSE),0)</x:f>
        <x:v>89</x:v>
      </x:c>
      <x:c r="Q1688" s="92" t="n">
        <x:f>IFERROR(VLOOKUP(L1688,'Reference Data'!$A$5:$F$40,6,FALSE),0)</x:f>
        <x:v>44</x:v>
      </x:c>
      <x:c r="R1688" s="84" t="n">
        <x:f>'Raw Sales'!J1688</x:f>
        <x:v>1</x:v>
      </x:c>
      <x:c r="S1688" s="87" t="n">
        <x:f>'Raw Sales'!K1688</x:f>
        <x:v>0.2</x:v>
      </x:c>
      <x:c r="T1688" s="93" t="n">
        <x:f>P1688*R1688</x:f>
        <x:v>89</x:v>
      </x:c>
      <x:c r="U1688" s="93" t="n">
        <x:f>T1688*S1688</x:f>
        <x:v>17.8</x:v>
      </x:c>
      <x:c r="V1688" s="93" t="str">
        <x:f>PROPER(TRIM('Raw Sales'!L1688))</x:f>
        <x:v>Completed</x:v>
      </x:c>
      <x:c r="W1688" s="93" t="n">
        <x:f>IF(V1688="Returned",0,T1688-U1688)</x:f>
        <x:v>71.2</x:v>
      </x:c>
      <x:c r="X1688" s="93" t="n">
        <x:f>IF(V1688="Returned",Q1688*R1688*10%,Q1688*R1688)</x:f>
        <x:v>44</x:v>
      </x:c>
      <x:c r="Y1688" s="93" t="n">
        <x:f>W1688-X1688</x:f>
        <x:v>27.200000000000003</x:v>
      </x:c>
      <x:c r="Z1688" s="94" t="n">
        <x:f>IFERROR(Y1688/W1688,0)</x:f>
        <x:v>0.3820224719101124</x:v>
      </x:c>
      <x:c r="AA1688" s="84" t="str">
        <x:f>PROPER(TRIM('Raw Sales'!M1688))</x:f>
        <x:v>Paypal</x:v>
      </x:c>
      <x:c r="AB1688" s="84" t="str">
        <x:f>PROPER(TRIM('Raw Sales'!N1688))</x:f>
        <x:v>Sofia Bennett</x:v>
      </x:c>
      <x:c r="AC1688" s="85" t="n">
        <x:f>'Raw Sales'!O1688</x:f>
        <x:v>45850</x:v>
      </x:c>
      <x:c r="AD1688" s="84" t="n">
        <x:f>AC1688-B1688</x:f>
        <x:v>7</x:v>
      </x:c>
      <x:c r="AE1688" s="84" t="str">
        <x:f>IF(COUNTIF($A$5:A1688,A1688)&gt;1,"Duplicate","Keep")</x:f>
        <x:v>Keep</x:v>
      </x:c>
      <x:c r="AF1688" s="84" t="str">
        <x:f>IF(OR(R1688&lt;=0,AC1688&lt;B1688,H1688="Unknown",M1688="Unknown Product"),"Review","Valid")</x:f>
        <x:v>Valid</x:v>
      </x:c>
      <x:c r="AG1688" s="84" t="n">
        <x:f>IF(AND(AE1688="Keep",AF1688="Valid"),1,0)</x:f>
        <x:v>1</x:v>
      </x:c>
      <x:c r="AH1688" s="84" t="n">
        <x:f>IF(AND(AG1688=1,OR('Dashboard'!$B$4="All",I1688='Dashboard'!$B$4),OR('Dashboard'!$E$4="All",N1688='Dashboard'!$E$4),OR('Dashboard'!$H$4="All",K1688='Dashboard'!$H$4),OR('Dashboard'!$K$4="All",C1688='Dashboard'!$K$4)),1,0)</x:f>
        <x:v>1</x:v>
      </x:c>
      <x:c r="AI1688" s="84" t="n">
        <x:f>IF(AND(AG1688=1,OR('Dashboard'!$B$4="All",I1688='Dashboard'!$B$4),OR('Dashboard'!$E$4="All",N1688='Dashboard'!$E$4),OR('Dashboard'!$H$4="All",K1688='Dashboard'!$H$4)),1,0)</x:f>
        <x:v>1</x:v>
      </x:c>
    </x:row>
    <x:row r="1689">
      <x:c r="A1689" s="84" t="str">
        <x:f>'Raw Sales'!A1689</x:f>
        <x:v>ORD-2025-02015</x:v>
      </x:c>
      <x:c r="B1689" s="85" t="n">
        <x:f>'Raw Sales'!B1689</x:f>
        <x:v>45843</x:v>
      </x:c>
      <x:c r="C1689" s="84" t="n">
        <x:f>YEAR(B1689)</x:f>
        <x:v>2025</x:v>
      </x:c>
      <x:c r="D1689" s="91" t="n">
        <x:f>DATE(YEAR(B1689),MONTH(B1689),1)</x:f>
        <x:v>45839</x:v>
      </x:c>
      <x:c r="E1689" s="84" t="str">
        <x:f>TEXT(B1689,"mmm")</x:f>
        <x:v>Jul</x:v>
      </x:c>
      <x:c r="F1689" s="84" t="str">
        <x:f>'Raw Sales'!C1689</x:f>
        <x:v>CUST-0346</x:v>
      </x:c>
      <x:c r="G1689" s="84" t="str">
        <x:f>PROPER(TRIM('Raw Sales'!D1689))</x:f>
        <x:v>Grace Foster</x:v>
      </x:c>
      <x:c r="H1689" s="84" t="str">
        <x:f>IF(TRIM('Raw Sales'!E1689)="","Unknown",PROPER(TRIM('Raw Sales'!E1689)))</x:f>
        <x:v>Small Business</x:v>
      </x:c>
      <x:c r="I1689" s="84" t="str">
        <x:f>PROPER(TRIM('Raw Sales'!F1689))</x:f>
        <x:v>West</x:v>
      </x:c>
      <x:c r="J1689" s="84" t="str">
        <x:f>PROPER(TRIM('Raw Sales'!G1689))</x:f>
        <x:v>Seattle</x:v>
      </x:c>
      <x:c r="K1689" s="84" t="str">
        <x:f>PROPER(TRIM('Raw Sales'!H1689))</x:f>
        <x:v>Online</x:v>
      </x:c>
      <x:c r="L1689" s="84" t="str">
        <x:f>'Raw Sales'!I1689</x:f>
        <x:v>ELEC-006</x:v>
      </x:c>
      <x:c r="M1689" s="84" t="str">
        <x:f>IFERROR(VLOOKUP(L1689,'Reference Data'!$A$5:$F$40,2,FALSE),"Unknown Product")</x:f>
        <x:v>Portable SSD</x:v>
      </x:c>
      <x:c r="N1689" s="84" t="str">
        <x:f>IFERROR(VLOOKUP(L1689,'Reference Data'!$A$5:$F$40,3,FALSE),"Unknown")</x:f>
        <x:v>Electronics</x:v>
      </x:c>
      <x:c r="O1689" s="84" t="str">
        <x:f>IFERROR(VLOOKUP(L1689,'Reference Data'!$A$5:$F$40,4,FALSE),"Unknown")</x:f>
        <x:v>Storage</x:v>
      </x:c>
      <x:c r="P1689" s="92" t="n">
        <x:f>IFERROR(VLOOKUP(L1689,'Reference Data'!$A$5:$F$40,5,FALSE),0)</x:f>
        <x:v>129</x:v>
      </x:c>
      <x:c r="Q1689" s="92" t="n">
        <x:f>IFERROR(VLOOKUP(L1689,'Reference Data'!$A$5:$F$40,6,FALSE),0)</x:f>
        <x:v>75</x:v>
      </x:c>
      <x:c r="R1689" s="84" t="n">
        <x:f>'Raw Sales'!J1689</x:f>
        <x:v>1</x:v>
      </x:c>
      <x:c r="S1689" s="87" t="n">
        <x:f>'Raw Sales'!K1689</x:f>
        <x:v>0.1</x:v>
      </x:c>
      <x:c r="T1689" s="93" t="n">
        <x:f>P1689*R1689</x:f>
        <x:v>129</x:v>
      </x:c>
      <x:c r="U1689" s="93" t="n">
        <x:f>T1689*S1689</x:f>
        <x:v>12.9</x:v>
      </x:c>
      <x:c r="V1689" s="93" t="str">
        <x:f>PROPER(TRIM('Raw Sales'!L1689))</x:f>
        <x:v>Returned</x:v>
      </x:c>
      <x:c r="W1689" s="93" t="n">
        <x:f>IF(V1689="Returned",0,T1689-U1689)</x:f>
        <x:v>0</x:v>
      </x:c>
      <x:c r="X1689" s="93" t="n">
        <x:f>IF(V1689="Returned",Q1689*R1689*10%,Q1689*R1689)</x:f>
        <x:v>7.5</x:v>
      </x:c>
      <x:c r="Y1689" s="93" t="n">
        <x:f>W1689-X1689</x:f>
        <x:v>-7.5</x:v>
      </x:c>
      <x:c r="Z1689" s="94" t="n">
        <x:f>IFERROR(Y1689/W1689,0)</x:f>
        <x:v>0</x:v>
      </x:c>
      <x:c r="AA1689" s="84" t="str">
        <x:f>PROPER(TRIM('Raw Sales'!M1689))</x:f>
        <x:v>Mobile Wallet</x:v>
      </x:c>
      <x:c r="AB1689" s="84" t="str">
        <x:f>PROPER(TRIM('Raw Sales'!N1689))</x:f>
        <x:v>Mia Chen</x:v>
      </x:c>
      <x:c r="AC1689" s="85" t="n">
        <x:f>'Raw Sales'!O1689</x:f>
        <x:v>45845</x:v>
      </x:c>
      <x:c r="AD1689" s="84" t="n">
        <x:f>AC1689-B1689</x:f>
        <x:v>2</x:v>
      </x:c>
      <x:c r="AE1689" s="84" t="str">
        <x:f>IF(COUNTIF($A$5:A1689,A1689)&gt;1,"Duplicate","Keep")</x:f>
        <x:v>Keep</x:v>
      </x:c>
      <x:c r="AF1689" s="84" t="str">
        <x:f>IF(OR(R1689&lt;=0,AC1689&lt;B1689,H1689="Unknown",M1689="Unknown Product"),"Review","Valid")</x:f>
        <x:v>Valid</x:v>
      </x:c>
      <x:c r="AG1689" s="84" t="n">
        <x:f>IF(AND(AE1689="Keep",AF1689="Valid"),1,0)</x:f>
        <x:v>1</x:v>
      </x:c>
      <x:c r="AH1689" s="84" t="n">
        <x:f>IF(AND(AG1689=1,OR('Dashboard'!$B$4="All",I1689='Dashboard'!$B$4),OR('Dashboard'!$E$4="All",N1689='Dashboard'!$E$4),OR('Dashboard'!$H$4="All",K1689='Dashboard'!$H$4),OR('Dashboard'!$K$4="All",C1689='Dashboard'!$K$4)),1,0)</x:f>
        <x:v>1</x:v>
      </x:c>
      <x:c r="AI1689" s="84" t="n">
        <x:f>IF(AND(AG1689=1,OR('Dashboard'!$B$4="All",I1689='Dashboard'!$B$4),OR('Dashboard'!$E$4="All",N1689='Dashboard'!$E$4),OR('Dashboard'!$H$4="All",K1689='Dashboard'!$H$4)),1,0)</x:f>
        <x:v>1</x:v>
      </x:c>
    </x:row>
    <x:row r="1690">
      <x:c r="A1690" s="84" t="str">
        <x:f>'Raw Sales'!A1690</x:f>
        <x:v>ORD-2025-00042</x:v>
      </x:c>
      <x:c r="B1690" s="85" t="n">
        <x:f>'Raw Sales'!B1690</x:f>
        <x:v>45844</x:v>
      </x:c>
      <x:c r="C1690" s="84" t="n">
        <x:f>YEAR(B1690)</x:f>
        <x:v>2025</x:v>
      </x:c>
      <x:c r="D1690" s="91" t="n">
        <x:f>DATE(YEAR(B1690),MONTH(B1690),1)</x:f>
        <x:v>45839</x:v>
      </x:c>
      <x:c r="E1690" s="84" t="str">
        <x:f>TEXT(B1690,"mmm")</x:f>
        <x:v>Jul</x:v>
      </x:c>
      <x:c r="F1690" s="84" t="str">
        <x:f>'Raw Sales'!C1690</x:f>
        <x:v>CUST-0539</x:v>
      </x:c>
      <x:c r="G1690" s="84" t="str">
        <x:f>PROPER(TRIM('Raw Sales'!D1690))</x:f>
        <x:v>Chloe Johnson</x:v>
      </x:c>
      <x:c r="H1690" s="84" t="str">
        <x:f>IF(TRIM('Raw Sales'!E1690)="","Unknown",PROPER(TRIM('Raw Sales'!E1690)))</x:f>
        <x:v>Small Business</x:v>
      </x:c>
      <x:c r="I1690" s="84" t="str">
        <x:f>PROPER(TRIM('Raw Sales'!F1690))</x:f>
        <x:v>West</x:v>
      </x:c>
      <x:c r="J1690" s="84" t="str">
        <x:f>PROPER(TRIM('Raw Sales'!G1690))</x:f>
        <x:v>Los Angeles</x:v>
      </x:c>
      <x:c r="K1690" s="84" t="str">
        <x:f>PROPER(TRIM('Raw Sales'!H1690))</x:f>
        <x:v>Online</x:v>
      </x:c>
      <x:c r="L1690" s="84" t="str">
        <x:f>'Raw Sales'!I1690</x:f>
        <x:v>ELEC-005</x:v>
      </x:c>
      <x:c r="M1690" s="84" t="str">
        <x:f>IFERROR(VLOOKUP(L1690,'Reference Data'!$A$5:$F$40,2,FALSE),"Unknown Product")</x:f>
        <x:v>HD Webcam</x:v>
      </x:c>
      <x:c r="N1690" s="84" t="str">
        <x:f>IFERROR(VLOOKUP(L1690,'Reference Data'!$A$5:$F$40,3,FALSE),"Unknown")</x:f>
        <x:v>Electronics</x:v>
      </x:c>
      <x:c r="O1690" s="84" t="str">
        <x:f>IFERROR(VLOOKUP(L1690,'Reference Data'!$A$5:$F$40,4,FALSE),"Unknown")</x:f>
        <x:v>Computer Accessories</x:v>
      </x:c>
      <x:c r="P1690" s="92" t="n">
        <x:f>IFERROR(VLOOKUP(L1690,'Reference Data'!$A$5:$F$40,5,FALSE),0)</x:f>
        <x:v>79</x:v>
      </x:c>
      <x:c r="Q1690" s="92" t="n">
        <x:f>IFERROR(VLOOKUP(L1690,'Reference Data'!$A$5:$F$40,6,FALSE),0)</x:f>
        <x:v>37</x:v>
      </x:c>
      <x:c r="R1690" s="84" t="n">
        <x:f>'Raw Sales'!J1690</x:f>
        <x:v>1</x:v>
      </x:c>
      <x:c r="S1690" s="87" t="n">
        <x:f>'Raw Sales'!K1690</x:f>
        <x:v>0.15</x:v>
      </x:c>
      <x:c r="T1690" s="93" t="n">
        <x:f>P1690*R1690</x:f>
        <x:v>79</x:v>
      </x:c>
      <x:c r="U1690" s="93" t="n">
        <x:f>T1690*S1690</x:f>
        <x:v>11.85</x:v>
      </x:c>
      <x:c r="V1690" s="93" t="str">
        <x:f>PROPER(TRIM('Raw Sales'!L1690))</x:f>
        <x:v>Completed</x:v>
      </x:c>
      <x:c r="W1690" s="93" t="n">
        <x:f>IF(V1690="Returned",0,T1690-U1690)</x:f>
        <x:v>67.15</x:v>
      </x:c>
      <x:c r="X1690" s="93" t="n">
        <x:f>IF(V1690="Returned",Q1690*R1690*10%,Q1690*R1690)</x:f>
        <x:v>37</x:v>
      </x:c>
      <x:c r="Y1690" s="93" t="n">
        <x:f>W1690-X1690</x:f>
        <x:v>30.150000000000006</x:v>
      </x:c>
      <x:c r="Z1690" s="94" t="n">
        <x:f>IFERROR(Y1690/W1690,0)</x:f>
        <x:v>0.4489947877885332</x:v>
      </x:c>
      <x:c r="AA1690" s="84" t="str">
        <x:f>PROPER(TRIM('Raw Sales'!M1690))</x:f>
        <x:v>Debit Card</x:v>
      </x:c>
      <x:c r="AB1690" s="84" t="str">
        <x:f>PROPER(TRIM('Raw Sales'!N1690))</x:f>
        <x:v>Nora Kim</x:v>
      </x:c>
      <x:c r="AC1690" s="85" t="n">
        <x:f>'Raw Sales'!O1690</x:f>
        <x:v>45850</x:v>
      </x:c>
      <x:c r="AD1690" s="84" t="n">
        <x:f>AC1690-B1690</x:f>
        <x:v>6</x:v>
      </x:c>
      <x:c r="AE1690" s="84" t="str">
        <x:f>IF(COUNTIF($A$5:A1690,A1690)&gt;1,"Duplicate","Keep")</x:f>
        <x:v>Keep</x:v>
      </x:c>
      <x:c r="AF1690" s="84" t="str">
        <x:f>IF(OR(R1690&lt;=0,AC1690&lt;B1690,H1690="Unknown",M1690="Unknown Product"),"Review","Valid")</x:f>
        <x:v>Valid</x:v>
      </x:c>
      <x:c r="AG1690" s="84" t="n">
        <x:f>IF(AND(AE1690="Keep",AF1690="Valid"),1,0)</x:f>
        <x:v>1</x:v>
      </x:c>
      <x:c r="AH1690" s="84" t="n">
        <x:f>IF(AND(AG1690=1,OR('Dashboard'!$B$4="All",I1690='Dashboard'!$B$4),OR('Dashboard'!$E$4="All",N1690='Dashboard'!$E$4),OR('Dashboard'!$H$4="All",K1690='Dashboard'!$H$4),OR('Dashboard'!$K$4="All",C1690='Dashboard'!$K$4)),1,0)</x:f>
        <x:v>1</x:v>
      </x:c>
      <x:c r="AI1690" s="84" t="n">
        <x:f>IF(AND(AG1690=1,OR('Dashboard'!$B$4="All",I1690='Dashboard'!$B$4),OR('Dashboard'!$E$4="All",N1690='Dashboard'!$E$4),OR('Dashboard'!$H$4="All",K1690='Dashboard'!$H$4)),1,0)</x:f>
        <x:v>1</x:v>
      </x:c>
    </x:row>
    <x:row r="1691">
      <x:c r="A1691" s="84" t="str">
        <x:f>'Raw Sales'!A1691</x:f>
        <x:v>ORD-2025-00554</x:v>
      </x:c>
      <x:c r="B1691" s="85" t="n">
        <x:f>'Raw Sales'!B1691</x:f>
        <x:v>45844</x:v>
      </x:c>
      <x:c r="C1691" s="84" t="n">
        <x:f>YEAR(B1691)</x:f>
        <x:v>2025</x:v>
      </x:c>
      <x:c r="D1691" s="91" t="n">
        <x:f>DATE(YEAR(B1691),MONTH(B1691),1)</x:f>
        <x:v>45839</x:v>
      </x:c>
      <x:c r="E1691" s="84" t="str">
        <x:f>TEXT(B1691,"mmm")</x:f>
        <x:v>Jul</x:v>
      </x:c>
      <x:c r="F1691" s="84" t="str">
        <x:f>'Raw Sales'!C1691</x:f>
        <x:v>CUST-0365</x:v>
      </x:c>
      <x:c r="G1691" s="84" t="str">
        <x:f>PROPER(TRIM('Raw Sales'!D1691))</x:f>
        <x:v>Grace Johnson</x:v>
      </x:c>
      <x:c r="H1691" s="84" t="str">
        <x:f>IF(TRIM('Raw Sales'!E1691)="","Unknown",PROPER(TRIM('Raw Sales'!E1691)))</x:f>
        <x:v>Consumer</x:v>
      </x:c>
      <x:c r="I1691" s="84" t="str">
        <x:f>PROPER(TRIM('Raw Sales'!F1691))</x:f>
        <x:v>West</x:v>
      </x:c>
      <x:c r="J1691" s="84" t="str">
        <x:f>PROPER(TRIM('Raw Sales'!G1691))</x:f>
        <x:v>Los Angeles</x:v>
      </x:c>
      <x:c r="K1691" s="84" t="str">
        <x:f>PROPER(TRIM('Raw Sales'!H1691))</x:f>
        <x:v>Retail Store</x:v>
      </x:c>
      <x:c r="L1691" s="84" t="str">
        <x:f>'Raw Sales'!I1691</x:f>
        <x:v>ACCS-001</x:v>
      </x:c>
      <x:c r="M1691" s="84" t="str">
        <x:f>IFERROR(VLOOKUP(L1691,'Reference Data'!$A$5:$F$40,2,FALSE),"Unknown Product")</x:f>
        <x:v>Canvas Tote Bag</x:v>
      </x:c>
      <x:c r="N1691" s="84" t="str">
        <x:f>IFERROR(VLOOKUP(L1691,'Reference Data'!$A$5:$F$40,3,FALSE),"Unknown")</x:f>
        <x:v>Accessories</x:v>
      </x:c>
      <x:c r="O1691" s="84" t="str">
        <x:f>IFERROR(VLOOKUP(L1691,'Reference Data'!$A$5:$F$40,4,FALSE),"Unknown")</x:f>
        <x:v>Bags</x:v>
      </x:c>
      <x:c r="P1691" s="92" t="n">
        <x:f>IFERROR(VLOOKUP(L1691,'Reference Data'!$A$5:$F$40,5,FALSE),0)</x:f>
        <x:v>39</x:v>
      </x:c>
      <x:c r="Q1691" s="92" t="n">
        <x:f>IFERROR(VLOOKUP(L1691,'Reference Data'!$A$5:$F$40,6,FALSE),0)</x:f>
        <x:v>14</x:v>
      </x:c>
      <x:c r="R1691" s="84" t="n">
        <x:f>'Raw Sales'!J1691</x:f>
        <x:v>1</x:v>
      </x:c>
      <x:c r="S1691" s="87" t="n">
        <x:f>'Raw Sales'!K1691</x:f>
        <x:v>0.05</x:v>
      </x:c>
      <x:c r="T1691" s="93" t="n">
        <x:f>P1691*R1691</x:f>
        <x:v>39</x:v>
      </x:c>
      <x:c r="U1691" s="93" t="n">
        <x:f>T1691*S1691</x:f>
        <x:v>1.9500000000000002</x:v>
      </x:c>
      <x:c r="V1691" s="93" t="str">
        <x:f>PROPER(TRIM('Raw Sales'!L1691))</x:f>
        <x:v>Completed</x:v>
      </x:c>
      <x:c r="W1691" s="93" t="n">
        <x:f>IF(V1691="Returned",0,T1691-U1691)</x:f>
        <x:v>37.05</x:v>
      </x:c>
      <x:c r="X1691" s="93" t="n">
        <x:f>IF(V1691="Returned",Q1691*R1691*10%,Q1691*R1691)</x:f>
        <x:v>14</x:v>
      </x:c>
      <x:c r="Y1691" s="93" t="n">
        <x:f>W1691-X1691</x:f>
        <x:v>23.049999999999997</x:v>
      </x:c>
      <x:c r="Z1691" s="94" t="n">
        <x:f>IFERROR(Y1691/W1691,0)</x:f>
        <x:v>0.6221322537112011</x:v>
      </x:c>
      <x:c r="AA1691" s="84" t="str">
        <x:f>PROPER(TRIM('Raw Sales'!M1691))</x:f>
        <x:v>Debit Card</x:v>
      </x:c>
      <x:c r="AB1691" s="84" t="str">
        <x:f>PROPER(TRIM('Raw Sales'!N1691))</x:f>
        <x:v>Nora Kim</x:v>
      </x:c>
      <x:c r="AC1691" s="85" t="n">
        <x:f>'Raw Sales'!O1691</x:f>
        <x:v>45844</x:v>
      </x:c>
      <x:c r="AD1691" s="84" t="n">
        <x:f>AC1691-B1691</x:f>
        <x:v>0</x:v>
      </x:c>
      <x:c r="AE1691" s="84" t="str">
        <x:f>IF(COUNTIF($A$5:A1691,A1691)&gt;1,"Duplicate","Keep")</x:f>
        <x:v>Keep</x:v>
      </x:c>
      <x:c r="AF1691" s="84" t="str">
        <x:f>IF(OR(R1691&lt;=0,AC1691&lt;B1691,H1691="Unknown",M1691="Unknown Product"),"Review","Valid")</x:f>
        <x:v>Valid</x:v>
      </x:c>
      <x:c r="AG1691" s="84" t="n">
        <x:f>IF(AND(AE1691="Keep",AF1691="Valid"),1,0)</x:f>
        <x:v>1</x:v>
      </x:c>
      <x:c r="AH1691" s="84" t="n">
        <x:f>IF(AND(AG1691=1,OR('Dashboard'!$B$4="All",I1691='Dashboard'!$B$4),OR('Dashboard'!$E$4="All",N1691='Dashboard'!$E$4),OR('Dashboard'!$H$4="All",K1691='Dashboard'!$H$4),OR('Dashboard'!$K$4="All",C1691='Dashboard'!$K$4)),1,0)</x:f>
        <x:v>1</x:v>
      </x:c>
      <x:c r="AI1691" s="84" t="n">
        <x:f>IF(AND(AG1691=1,OR('Dashboard'!$B$4="All",I1691='Dashboard'!$B$4),OR('Dashboard'!$E$4="All",N1691='Dashboard'!$E$4),OR('Dashboard'!$H$4="All",K1691='Dashboard'!$H$4)),1,0)</x:f>
        <x:v>1</x:v>
      </x:c>
    </x:row>
    <x:row r="1692">
      <x:c r="A1692" s="84" t="str">
        <x:f>'Raw Sales'!A1692</x:f>
        <x:v>ORD-2025-02128</x:v>
      </x:c>
      <x:c r="B1692" s="85" t="n">
        <x:f>'Raw Sales'!B1692</x:f>
        <x:v>45844</x:v>
      </x:c>
      <x:c r="C1692" s="84" t="n">
        <x:f>YEAR(B1692)</x:f>
        <x:v>2025</x:v>
      </x:c>
      <x:c r="D1692" s="91" t="n">
        <x:f>DATE(YEAR(B1692),MONTH(B1692),1)</x:f>
        <x:v>45839</x:v>
      </x:c>
      <x:c r="E1692" s="84" t="str">
        <x:f>TEXT(B1692,"mmm")</x:f>
        <x:v>Jul</x:v>
      </x:c>
      <x:c r="F1692" s="84" t="str">
        <x:f>'Raw Sales'!C1692</x:f>
        <x:v>CUST-0225</x:v>
      </x:c>
      <x:c r="G1692" s="84" t="str">
        <x:f>PROPER(TRIM('Raw Sales'!D1692))</x:f>
        <x:v>Sara Ortiz</x:v>
      </x:c>
      <x:c r="H1692" s="84" t="str">
        <x:f>IF(TRIM('Raw Sales'!E1692)="","Unknown",PROPER(TRIM('Raw Sales'!E1692)))</x:f>
        <x:v>Small Business</x:v>
      </x:c>
      <x:c r="I1692" s="84" t="str">
        <x:f>PROPER(TRIM('Raw Sales'!F1692))</x:f>
        <x:v>Southeast</x:v>
      </x:c>
      <x:c r="J1692" s="84" t="str">
        <x:f>PROPER(TRIM('Raw Sales'!G1692))</x:f>
        <x:v>Atlanta</x:v>
      </x:c>
      <x:c r="K1692" s="84" t="str">
        <x:f>PROPER(TRIM('Raw Sales'!H1692))</x:f>
        <x:v>Online</x:v>
      </x:c>
      <x:c r="L1692" s="84" t="str">
        <x:f>'Raw Sales'!I1692</x:f>
        <x:v>HOME-006</x:v>
      </x:c>
      <x:c r="M1692" s="84" t="str">
        <x:f>IFERROR(VLOOKUP(L1692,'Reference Data'!$A$5:$F$40,2,FALSE),"Unknown Product")</x:f>
        <x:v>Food Storage Set</x:v>
      </x:c>
      <x:c r="N1692" s="84" t="str">
        <x:f>IFERROR(VLOOKUP(L1692,'Reference Data'!$A$5:$F$40,3,FALSE),"Unknown")</x:f>
        <x:v>Home &amp; Kitchen</x:v>
      </x:c>
      <x:c r="O1692" s="84" t="str">
        <x:f>IFERROR(VLOOKUP(L1692,'Reference Data'!$A$5:$F$40,4,FALSE),"Unknown")</x:f>
        <x:v>Kitchenware</x:v>
      </x:c>
      <x:c r="P1692" s="92" t="n">
        <x:f>IFERROR(VLOOKUP(L1692,'Reference Data'!$A$5:$F$40,5,FALSE),0)</x:f>
        <x:v>34</x:v>
      </x:c>
      <x:c r="Q1692" s="92" t="n">
        <x:f>IFERROR(VLOOKUP(L1692,'Reference Data'!$A$5:$F$40,6,FALSE),0)</x:f>
        <x:v>15</x:v>
      </x:c>
      <x:c r="R1692" s="84" t="n">
        <x:f>'Raw Sales'!J1692</x:f>
        <x:v>1</x:v>
      </x:c>
      <x:c r="S1692" s="87" t="n">
        <x:f>'Raw Sales'!K1692</x:f>
        <x:v>0.05</x:v>
      </x:c>
      <x:c r="T1692" s="93" t="n">
        <x:f>P1692*R1692</x:f>
        <x:v>34</x:v>
      </x:c>
      <x:c r="U1692" s="93" t="n">
        <x:f>T1692*S1692</x:f>
        <x:v>1.7000000000000002</x:v>
      </x:c>
      <x:c r="V1692" s="93" t="str">
        <x:f>PROPER(TRIM('Raw Sales'!L1692))</x:f>
        <x:v>Completed</x:v>
      </x:c>
      <x:c r="W1692" s="93" t="n">
        <x:f>IF(V1692="Returned",0,T1692-U1692)</x:f>
        <x:v>32.3</x:v>
      </x:c>
      <x:c r="X1692" s="93" t="n">
        <x:f>IF(V1692="Returned",Q1692*R1692*10%,Q1692*R1692)</x:f>
        <x:v>15</x:v>
      </x:c>
      <x:c r="Y1692" s="93" t="n">
        <x:f>W1692-X1692</x:f>
        <x:v>17.299999999999997</x:v>
      </x:c>
      <x:c r="Z1692" s="94" t="n">
        <x:f>IFERROR(Y1692/W1692,0)</x:f>
        <x:v>0.5356037151702786</x:v>
      </x:c>
      <x:c r="AA1692" s="84" t="str">
        <x:f>PROPER(TRIM('Raw Sales'!M1692))</x:f>
        <x:v>Credit Card</x:v>
      </x:c>
      <x:c r="AB1692" s="84" t="str">
        <x:f>PROPER(TRIM('Raw Sales'!N1692))</x:f>
        <x:v>Ava Mitchell</x:v>
      </x:c>
      <x:c r="AC1692" s="85" t="n">
        <x:f>'Raw Sales'!O1692</x:f>
        <x:v>45848</x:v>
      </x:c>
      <x:c r="AD1692" s="84" t="n">
        <x:f>AC1692-B1692</x:f>
        <x:v>4</x:v>
      </x:c>
      <x:c r="AE1692" s="84" t="str">
        <x:f>IF(COUNTIF($A$5:A1692,A1692)&gt;1,"Duplicate","Keep")</x:f>
        <x:v>Keep</x:v>
      </x:c>
      <x:c r="AF1692" s="84" t="str">
        <x:f>IF(OR(R1692&lt;=0,AC1692&lt;B1692,H1692="Unknown",M1692="Unknown Product"),"Review","Valid")</x:f>
        <x:v>Valid</x:v>
      </x:c>
      <x:c r="AG1692" s="84" t="n">
        <x:f>IF(AND(AE1692="Keep",AF1692="Valid"),1,0)</x:f>
        <x:v>1</x:v>
      </x:c>
      <x:c r="AH1692" s="84" t="n">
        <x:f>IF(AND(AG1692=1,OR('Dashboard'!$B$4="All",I1692='Dashboard'!$B$4),OR('Dashboard'!$E$4="All",N1692='Dashboard'!$E$4),OR('Dashboard'!$H$4="All",K1692='Dashboard'!$H$4),OR('Dashboard'!$K$4="All",C1692='Dashboard'!$K$4)),1,0)</x:f>
        <x:v>1</x:v>
      </x:c>
      <x:c r="AI1692" s="84" t="n">
        <x:f>IF(AND(AG1692=1,OR('Dashboard'!$B$4="All",I1692='Dashboard'!$B$4),OR('Dashboard'!$E$4="All",N1692='Dashboard'!$E$4),OR('Dashboard'!$H$4="All",K1692='Dashboard'!$H$4)),1,0)</x:f>
        <x:v>1</x:v>
      </x:c>
    </x:row>
    <x:row r="1693">
      <x:c r="A1693" s="84" t="str">
        <x:f>'Raw Sales'!A1693</x:f>
        <x:v>ORD-2025-00600</x:v>
      </x:c>
      <x:c r="B1693" s="85" t="n">
        <x:f>'Raw Sales'!B1693</x:f>
        <x:v>45845</x:v>
      </x:c>
      <x:c r="C1693" s="84" t="n">
        <x:f>YEAR(B1693)</x:f>
        <x:v>2025</x:v>
      </x:c>
      <x:c r="D1693" s="91" t="n">
        <x:f>DATE(YEAR(B1693),MONTH(B1693),1)</x:f>
        <x:v>45839</x:v>
      </x:c>
      <x:c r="E1693" s="84" t="str">
        <x:f>TEXT(B1693,"mmm")</x:f>
        <x:v>Jul</x:v>
      </x:c>
      <x:c r="F1693" s="84" t="str">
        <x:f>'Raw Sales'!C1693</x:f>
        <x:v>CUST-0616</x:v>
      </x:c>
      <x:c r="G1693" s="84" t="str">
        <x:f>PROPER(TRIM('Raw Sales'!D1693))</x:f>
        <x:v>Samuel Smith</x:v>
      </x:c>
      <x:c r="H1693" s="84" t="str">
        <x:f>IF(TRIM('Raw Sales'!E1693)="","Unknown",PROPER(TRIM('Raw Sales'!E1693)))</x:f>
        <x:v>Small Business</x:v>
      </x:c>
      <x:c r="I1693" s="84" t="str">
        <x:f>PROPER(TRIM('Raw Sales'!F1693))</x:f>
        <x:v>Northeast</x:v>
      </x:c>
      <x:c r="J1693" s="84" t="str">
        <x:f>PROPER(TRIM('Raw Sales'!G1693))</x:f>
        <x:v>Philadelphia</x:v>
      </x:c>
      <x:c r="K1693" s="84" t="str">
        <x:f>PROPER(TRIM('Raw Sales'!H1693))</x:f>
        <x:v>Online</x:v>
      </x:c>
      <x:c r="L1693" s="84" t="str">
        <x:f>'Raw Sales'!I1693</x:f>
        <x:v>ELEC-004</x:v>
      </x:c>
      <x:c r="M1693" s="84" t="str">
        <x:f>IFERROR(VLOOKUP(L1693,'Reference Data'!$A$5:$F$40,2,FALSE),"Unknown Product")</x:f>
        <x:v>Power Bank</x:v>
      </x:c>
      <x:c r="N1693" s="84" t="str">
        <x:f>IFERROR(VLOOKUP(L1693,'Reference Data'!$A$5:$F$40,3,FALSE),"Unknown")</x:f>
        <x:v>Electronics</x:v>
      </x:c>
      <x:c r="O1693" s="84" t="str">
        <x:f>IFERROR(VLOOKUP(L1693,'Reference Data'!$A$5:$F$40,4,FALSE),"Unknown")</x:f>
        <x:v>Mobile Accessories</x:v>
      </x:c>
      <x:c r="P1693" s="92" t="n">
        <x:f>IFERROR(VLOOKUP(L1693,'Reference Data'!$A$5:$F$40,5,FALSE),0)</x:f>
        <x:v>39</x:v>
      </x:c>
      <x:c r="Q1693" s="92" t="n">
        <x:f>IFERROR(VLOOKUP(L1693,'Reference Data'!$A$5:$F$40,6,FALSE),0)</x:f>
        <x:v>18</x:v>
      </x:c>
      <x:c r="R1693" s="84" t="n">
        <x:f>'Raw Sales'!J1693</x:f>
        <x:v>1</x:v>
      </x:c>
      <x:c r="S1693" s="87" t="n">
        <x:f>'Raw Sales'!K1693</x:f>
        <x:v>0</x:v>
      </x:c>
      <x:c r="T1693" s="93" t="n">
        <x:f>P1693*R1693</x:f>
        <x:v>39</x:v>
      </x:c>
      <x:c r="U1693" s="93" t="n">
        <x:f>T1693*S1693</x:f>
        <x:v>0</x:v>
      </x:c>
      <x:c r="V1693" s="93" t="str">
        <x:f>PROPER(TRIM('Raw Sales'!L1693))</x:f>
        <x:v>Completed</x:v>
      </x:c>
      <x:c r="W1693" s="93" t="n">
        <x:f>IF(V1693="Returned",0,T1693-U1693)</x:f>
        <x:v>39</x:v>
      </x:c>
      <x:c r="X1693" s="93" t="n">
        <x:f>IF(V1693="Returned",Q1693*R1693*10%,Q1693*R1693)</x:f>
        <x:v>18</x:v>
      </x:c>
      <x:c r="Y1693" s="93" t="n">
        <x:f>W1693-X1693</x:f>
        <x:v>21</x:v>
      </x:c>
      <x:c r="Z1693" s="94" t="n">
        <x:f>IFERROR(Y1693/W1693,0)</x:f>
        <x:v>0.5384615384615384</x:v>
      </x:c>
      <x:c r="AA1693" s="84" t="str">
        <x:f>PROPER(TRIM('Raw Sales'!M1693))</x:f>
        <x:v>Mobile Wallet</x:v>
      </x:c>
      <x:c r="AB1693" s="84" t="str">
        <x:f>PROPER(TRIM('Raw Sales'!N1693))</x:f>
        <x:v>Ethan Cole</x:v>
      </x:c>
      <x:c r="AC1693" s="85" t="n">
        <x:f>'Raw Sales'!O1693</x:f>
        <x:v>45851</x:v>
      </x:c>
      <x:c r="AD1693" s="84" t="n">
        <x:f>AC1693-B1693</x:f>
        <x:v>6</x:v>
      </x:c>
      <x:c r="AE1693" s="84" t="str">
        <x:f>IF(COUNTIF($A$5:A1693,A1693)&gt;1,"Duplicate","Keep")</x:f>
        <x:v>Keep</x:v>
      </x:c>
      <x:c r="AF1693" s="84" t="str">
        <x:f>IF(OR(R1693&lt;=0,AC1693&lt;B1693,H1693="Unknown",M1693="Unknown Product"),"Review","Valid")</x:f>
        <x:v>Valid</x:v>
      </x:c>
      <x:c r="AG1693" s="84" t="n">
        <x:f>IF(AND(AE1693="Keep",AF1693="Valid"),1,0)</x:f>
        <x:v>1</x:v>
      </x:c>
      <x:c r="AH1693" s="84" t="n">
        <x:f>IF(AND(AG1693=1,OR('Dashboard'!$B$4="All",I1693='Dashboard'!$B$4),OR('Dashboard'!$E$4="All",N1693='Dashboard'!$E$4),OR('Dashboard'!$H$4="All",K1693='Dashboard'!$H$4),OR('Dashboard'!$K$4="All",C1693='Dashboard'!$K$4)),1,0)</x:f>
        <x:v>1</x:v>
      </x:c>
      <x:c r="AI1693" s="84" t="n">
        <x:f>IF(AND(AG1693=1,OR('Dashboard'!$B$4="All",I1693='Dashboard'!$B$4),OR('Dashboard'!$E$4="All",N1693='Dashboard'!$E$4),OR('Dashboard'!$H$4="All",K1693='Dashboard'!$H$4)),1,0)</x:f>
        <x:v>1</x:v>
      </x:c>
    </x:row>
    <x:row r="1694">
      <x:c r="A1694" s="84" t="str">
        <x:f>'Raw Sales'!A1694</x:f>
        <x:v>ORD-2025-00887</x:v>
      </x:c>
      <x:c r="B1694" s="85" t="n">
        <x:f>'Raw Sales'!B1694</x:f>
        <x:v>45845</x:v>
      </x:c>
      <x:c r="C1694" s="84" t="n">
        <x:f>YEAR(B1694)</x:f>
        <x:v>2025</x:v>
      </x:c>
      <x:c r="D1694" s="91" t="n">
        <x:f>DATE(YEAR(B1694),MONTH(B1694),1)</x:f>
        <x:v>45839</x:v>
      </x:c>
      <x:c r="E1694" s="84" t="str">
        <x:f>TEXT(B1694,"mmm")</x:f>
        <x:v>Jul</x:v>
      </x:c>
      <x:c r="F1694" s="84" t="str">
        <x:f>'Raw Sales'!C1694</x:f>
        <x:v>CUST-0211</x:v>
      </x:c>
      <x:c r="G1694" s="84" t="str">
        <x:f>PROPER(TRIM('Raw Sales'!D1694))</x:f>
        <x:v>Caleb Roberts</x:v>
      </x:c>
      <x:c r="H1694" s="84" t="str">
        <x:f>IF(TRIM('Raw Sales'!E1694)="","Unknown",PROPER(TRIM('Raw Sales'!E1694)))</x:f>
        <x:v>Consumer</x:v>
      </x:c>
      <x:c r="I1694" s="84" t="str">
        <x:f>PROPER(TRIM('Raw Sales'!F1694))</x:f>
        <x:v>Northeast</x:v>
      </x:c>
      <x:c r="J1694" s="84" t="str">
        <x:f>PROPER(TRIM('Raw Sales'!G1694))</x:f>
        <x:v>New York</x:v>
      </x:c>
      <x:c r="K1694" s="84" t="str">
        <x:f>PROPER(TRIM('Raw Sales'!H1694))</x:f>
        <x:v>Marketplace</x:v>
      </x:c>
      <x:c r="L1694" s="84" t="str">
        <x:f>'Raw Sales'!I1694</x:f>
        <x:v>ELEC-004</x:v>
      </x:c>
      <x:c r="M1694" s="84" t="str">
        <x:f>IFERROR(VLOOKUP(L1694,'Reference Data'!$A$5:$F$40,2,FALSE),"Unknown Product")</x:f>
        <x:v>Power Bank</x:v>
      </x:c>
      <x:c r="N1694" s="84" t="str">
        <x:f>IFERROR(VLOOKUP(L1694,'Reference Data'!$A$5:$F$40,3,FALSE),"Unknown")</x:f>
        <x:v>Electronics</x:v>
      </x:c>
      <x:c r="O1694" s="84" t="str">
        <x:f>IFERROR(VLOOKUP(L1694,'Reference Data'!$A$5:$F$40,4,FALSE),"Unknown")</x:f>
        <x:v>Mobile Accessories</x:v>
      </x:c>
      <x:c r="P1694" s="92" t="n">
        <x:f>IFERROR(VLOOKUP(L1694,'Reference Data'!$A$5:$F$40,5,FALSE),0)</x:f>
        <x:v>39</x:v>
      </x:c>
      <x:c r="Q1694" s="92" t="n">
        <x:f>IFERROR(VLOOKUP(L1694,'Reference Data'!$A$5:$F$40,6,FALSE),0)</x:f>
        <x:v>18</x:v>
      </x:c>
      <x:c r="R1694" s="84" t="n">
        <x:f>'Raw Sales'!J1694</x:f>
        <x:v>1</x:v>
      </x:c>
      <x:c r="S1694" s="87" t="n">
        <x:f>'Raw Sales'!K1694</x:f>
        <x:v>0.1</x:v>
      </x:c>
      <x:c r="T1694" s="93" t="n">
        <x:f>P1694*R1694</x:f>
        <x:v>39</x:v>
      </x:c>
      <x:c r="U1694" s="93" t="n">
        <x:f>T1694*S1694</x:f>
        <x:v>3.9000000000000004</x:v>
      </x:c>
      <x:c r="V1694" s="93" t="str">
        <x:f>PROPER(TRIM('Raw Sales'!L1694))</x:f>
        <x:v>Completed</x:v>
      </x:c>
      <x:c r="W1694" s="93" t="n">
        <x:f>IF(V1694="Returned",0,T1694-U1694)</x:f>
        <x:v>35.1</x:v>
      </x:c>
      <x:c r="X1694" s="93" t="n">
        <x:f>IF(V1694="Returned",Q1694*R1694*10%,Q1694*R1694)</x:f>
        <x:v>18</x:v>
      </x:c>
      <x:c r="Y1694" s="93" t="n">
        <x:f>W1694-X1694</x:f>
        <x:v>17.1</x:v>
      </x:c>
      <x:c r="Z1694" s="94" t="n">
        <x:f>IFERROR(Y1694/W1694,0)</x:f>
        <x:v>0.4871794871794872</x:v>
      </x:c>
      <x:c r="AA1694" s="84" t="str">
        <x:f>PROPER(TRIM('Raw Sales'!M1694))</x:f>
        <x:v>Debit Card</x:v>
      </x:c>
      <x:c r="AB1694" s="84" t="str">
        <x:f>PROPER(TRIM('Raw Sales'!N1694))</x:f>
        <x:v>Sofia Bennett</x:v>
      </x:c>
      <x:c r="AC1694" s="85" t="n">
        <x:f>'Raw Sales'!O1694</x:f>
        <x:v>45852</x:v>
      </x:c>
      <x:c r="AD1694" s="84" t="n">
        <x:f>AC1694-B1694</x:f>
        <x:v>7</x:v>
      </x:c>
      <x:c r="AE1694" s="84" t="str">
        <x:f>IF(COUNTIF($A$5:A1694,A1694)&gt;1,"Duplicate","Keep")</x:f>
        <x:v>Keep</x:v>
      </x:c>
      <x:c r="AF1694" s="84" t="str">
        <x:f>IF(OR(R1694&lt;=0,AC1694&lt;B1694,H1694="Unknown",M1694="Unknown Product"),"Review","Valid")</x:f>
        <x:v>Valid</x:v>
      </x:c>
      <x:c r="AG1694" s="84" t="n">
        <x:f>IF(AND(AE1694="Keep",AF1694="Valid"),1,0)</x:f>
        <x:v>1</x:v>
      </x:c>
      <x:c r="AH1694" s="84" t="n">
        <x:f>IF(AND(AG1694=1,OR('Dashboard'!$B$4="All",I1694='Dashboard'!$B$4),OR('Dashboard'!$E$4="All",N1694='Dashboard'!$E$4),OR('Dashboard'!$H$4="All",K1694='Dashboard'!$H$4),OR('Dashboard'!$K$4="All",C1694='Dashboard'!$K$4)),1,0)</x:f>
        <x:v>1</x:v>
      </x:c>
      <x:c r="AI1694" s="84" t="n">
        <x:f>IF(AND(AG1694=1,OR('Dashboard'!$B$4="All",I1694='Dashboard'!$B$4),OR('Dashboard'!$E$4="All",N1694='Dashboard'!$E$4),OR('Dashboard'!$H$4="All",K1694='Dashboard'!$H$4)),1,0)</x:f>
        <x:v>1</x:v>
      </x:c>
    </x:row>
    <x:row r="1695">
      <x:c r="A1695" s="84" t="str">
        <x:f>'Raw Sales'!A1695</x:f>
        <x:v>ORD-2025-01831</x:v>
      </x:c>
      <x:c r="B1695" s="85" t="n">
        <x:f>'Raw Sales'!B1695</x:f>
        <x:v>45845</x:v>
      </x:c>
      <x:c r="C1695" s="84" t="n">
        <x:f>YEAR(B1695)</x:f>
        <x:v>2025</x:v>
      </x:c>
      <x:c r="D1695" s="91" t="n">
        <x:f>DATE(YEAR(B1695),MONTH(B1695),1)</x:f>
        <x:v>45839</x:v>
      </x:c>
      <x:c r="E1695" s="84" t="str">
        <x:f>TEXT(B1695,"mmm")</x:f>
        <x:v>Jul</x:v>
      </x:c>
      <x:c r="F1695" s="84" t="str">
        <x:f>'Raw Sales'!C1695</x:f>
        <x:v>CUST-0470</x:v>
      </x:c>
      <x:c r="G1695" s="84" t="str">
        <x:f>PROPER(TRIM('Raw Sales'!D1695))</x:f>
        <x:v>Jasmine Lewis</x:v>
      </x:c>
      <x:c r="H1695" s="84" t="str">
        <x:f>IF(TRIM('Raw Sales'!E1695)="","Unknown",PROPER(TRIM('Raw Sales'!E1695)))</x:f>
        <x:v>Corporate</x:v>
      </x:c>
      <x:c r="I1695" s="84" t="str">
        <x:f>PROPER(TRIM('Raw Sales'!F1695))</x:f>
        <x:v>Southeast</x:v>
      </x:c>
      <x:c r="J1695" s="84" t="str">
        <x:f>PROPER(TRIM('Raw Sales'!G1695))</x:f>
        <x:v>Miami</x:v>
      </x:c>
      <x:c r="K1695" s="84" t="str">
        <x:f>PROPER(TRIM('Raw Sales'!H1695))</x:f>
        <x:v>Online</x:v>
      </x:c>
      <x:c r="L1695" s="84" t="str">
        <x:f>'Raw Sales'!I1695</x:f>
        <x:v>ELEC-003</x:v>
      </x:c>
      <x:c r="M1695" s="84" t="str">
        <x:f>IFERROR(VLOOKUP(L1695,'Reference Data'!$A$5:$F$40,2,FALSE),"Unknown Product")</x:f>
        <x:v>Bluetooth Speaker</x:v>
      </x:c>
      <x:c r="N1695" s="84" t="str">
        <x:f>IFERROR(VLOOKUP(L1695,'Reference Data'!$A$5:$F$40,3,FALSE),"Unknown")</x:f>
        <x:v>Electronics</x:v>
      </x:c>
      <x:c r="O1695" s="84" t="str">
        <x:f>IFERROR(VLOOKUP(L1695,'Reference Data'!$A$5:$F$40,4,FALSE),"Unknown")</x:f>
        <x:v>Audio</x:v>
      </x:c>
      <x:c r="P1695" s="92" t="n">
        <x:f>IFERROR(VLOOKUP(L1695,'Reference Data'!$A$5:$F$40,5,FALSE),0)</x:f>
        <x:v>89</x:v>
      </x:c>
      <x:c r="Q1695" s="92" t="n">
        <x:f>IFERROR(VLOOKUP(L1695,'Reference Data'!$A$5:$F$40,6,FALSE),0)</x:f>
        <x:v>44</x:v>
      </x:c>
      <x:c r="R1695" s="84" t="n">
        <x:f>'Raw Sales'!J1695</x:f>
        <x:v>1</x:v>
      </x:c>
      <x:c r="S1695" s="87" t="n">
        <x:f>'Raw Sales'!K1695</x:f>
        <x:v>0</x:v>
      </x:c>
      <x:c r="T1695" s="93" t="n">
        <x:f>P1695*R1695</x:f>
        <x:v>89</x:v>
      </x:c>
      <x:c r="U1695" s="93" t="n">
        <x:f>T1695*S1695</x:f>
        <x:v>0</x:v>
      </x:c>
      <x:c r="V1695" s="93" t="str">
        <x:f>PROPER(TRIM('Raw Sales'!L1695))</x:f>
        <x:v>Returned</x:v>
      </x:c>
      <x:c r="W1695" s="93" t="n">
        <x:f>IF(V1695="Returned",0,T1695-U1695)</x:f>
        <x:v>0</x:v>
      </x:c>
      <x:c r="X1695" s="93" t="n">
        <x:f>IF(V1695="Returned",Q1695*R1695*10%,Q1695*R1695)</x:f>
        <x:v>4.4</x:v>
      </x:c>
      <x:c r="Y1695" s="93" t="n">
        <x:f>W1695-X1695</x:f>
        <x:v>-4.4</x:v>
      </x:c>
      <x:c r="Z1695" s="94" t="n">
        <x:f>IFERROR(Y1695/W1695,0)</x:f>
        <x:v>0</x:v>
      </x:c>
      <x:c r="AA1695" s="84" t="str">
        <x:f>PROPER(TRIM('Raw Sales'!M1695))</x:f>
        <x:v>Mobile Wallet</x:v>
      </x:c>
      <x:c r="AB1695" s="84" t="str">
        <x:f>PROPER(TRIM('Raw Sales'!N1695))</x:f>
        <x:v>Ava Mitchell</x:v>
      </x:c>
      <x:c r="AC1695" s="85" t="n">
        <x:f>'Raw Sales'!O1695</x:f>
        <x:v>45848</x:v>
      </x:c>
      <x:c r="AD1695" s="84" t="n">
        <x:f>AC1695-B1695</x:f>
        <x:v>3</x:v>
      </x:c>
      <x:c r="AE1695" s="84" t="str">
        <x:f>IF(COUNTIF($A$5:A1695,A1695)&gt;1,"Duplicate","Keep")</x:f>
        <x:v>Keep</x:v>
      </x:c>
      <x:c r="AF1695" s="84" t="str">
        <x:f>IF(OR(R1695&lt;=0,AC1695&lt;B1695,H1695="Unknown",M1695="Unknown Product"),"Review","Valid")</x:f>
        <x:v>Valid</x:v>
      </x:c>
      <x:c r="AG1695" s="84" t="n">
        <x:f>IF(AND(AE1695="Keep",AF1695="Valid"),1,0)</x:f>
        <x:v>1</x:v>
      </x:c>
      <x:c r="AH1695" s="84" t="n">
        <x:f>IF(AND(AG1695=1,OR('Dashboard'!$B$4="All",I1695='Dashboard'!$B$4),OR('Dashboard'!$E$4="All",N1695='Dashboard'!$E$4),OR('Dashboard'!$H$4="All",K1695='Dashboard'!$H$4),OR('Dashboard'!$K$4="All",C1695='Dashboard'!$K$4)),1,0)</x:f>
        <x:v>1</x:v>
      </x:c>
      <x:c r="AI1695" s="84" t="n">
        <x:f>IF(AND(AG1695=1,OR('Dashboard'!$B$4="All",I1695='Dashboard'!$B$4),OR('Dashboard'!$E$4="All",N1695='Dashboard'!$E$4),OR('Dashboard'!$H$4="All",K1695='Dashboard'!$H$4)),1,0)</x:f>
        <x:v>1</x:v>
      </x:c>
    </x:row>
    <x:row r="1696">
      <x:c r="A1696" s="84" t="str">
        <x:f>'Raw Sales'!A1696</x:f>
        <x:v>ORD-2025-01958</x:v>
      </x:c>
      <x:c r="B1696" s="85" t="n">
        <x:f>'Raw Sales'!B1696</x:f>
        <x:v>45845</x:v>
      </x:c>
      <x:c r="C1696" s="84" t="n">
        <x:f>YEAR(B1696)</x:f>
        <x:v>2025</x:v>
      </x:c>
      <x:c r="D1696" s="91" t="n">
        <x:f>DATE(YEAR(B1696),MONTH(B1696),1)</x:f>
        <x:v>45839</x:v>
      </x:c>
      <x:c r="E1696" s="84" t="str">
        <x:f>TEXT(B1696,"mmm")</x:f>
        <x:v>Jul</x:v>
      </x:c>
      <x:c r="F1696" s="84" t="str">
        <x:f>'Raw Sales'!C1696</x:f>
        <x:v>CUST-0022</x:v>
      </x:c>
      <x:c r="G1696" s="84" t="str">
        <x:f>PROPER(TRIM('Raw Sales'!D1696))</x:f>
        <x:v>Amelia Nelson</x:v>
      </x:c>
      <x:c r="H1696" s="84" t="str">
        <x:f>IF(TRIM('Raw Sales'!E1696)="","Unknown",PROPER(TRIM('Raw Sales'!E1696)))</x:f>
        <x:v>Corporate</x:v>
      </x:c>
      <x:c r="I1696" s="84" t="str">
        <x:f>PROPER(TRIM('Raw Sales'!F1696))</x:f>
        <x:v>Northeast</x:v>
      </x:c>
      <x:c r="J1696" s="84" t="str">
        <x:f>PROPER(TRIM('Raw Sales'!G1696))</x:f>
        <x:v>New York</x:v>
      </x:c>
      <x:c r="K1696" s="84" t="str">
        <x:f>PROPER(TRIM('Raw Sales'!H1696))</x:f>
        <x:v>Retail Store</x:v>
      </x:c>
      <x:c r="L1696" s="84" t="str">
        <x:f>'Raw Sales'!I1696</x:f>
        <x:v>CARE-003</x:v>
      </x:c>
      <x:c r="M1696" s="84" t="str">
        <x:f>IFERROR(VLOOKUP(L1696,'Reference Data'!$A$5:$F$40,2,FALSE),"Unknown Product")</x:f>
        <x:v>Facial Cleanser</x:v>
      </x:c>
      <x:c r="N1696" s="84" t="str">
        <x:f>IFERROR(VLOOKUP(L1696,'Reference Data'!$A$5:$F$40,3,FALSE),"Unknown")</x:f>
        <x:v>Personal Care</x:v>
      </x:c>
      <x:c r="O1696" s="84" t="str">
        <x:f>IFERROR(VLOOKUP(L1696,'Reference Data'!$A$5:$F$40,4,FALSE),"Unknown")</x:f>
        <x:v>Skin Care</x:v>
      </x:c>
      <x:c r="P1696" s="92" t="n">
        <x:f>IFERROR(VLOOKUP(L1696,'Reference Data'!$A$5:$F$40,5,FALSE),0)</x:f>
        <x:v>18</x:v>
      </x:c>
      <x:c r="Q1696" s="92" t="n">
        <x:f>IFERROR(VLOOKUP(L1696,'Reference Data'!$A$5:$F$40,6,FALSE),0)</x:f>
        <x:v>6</x:v>
      </x:c>
      <x:c r="R1696" s="84" t="n">
        <x:f>'Raw Sales'!J1696</x:f>
        <x:v>6</x:v>
      </x:c>
      <x:c r="S1696" s="87" t="n">
        <x:f>'Raw Sales'!K1696</x:f>
        <x:v>0.05</x:v>
      </x:c>
      <x:c r="T1696" s="93" t="n">
        <x:f>P1696*R1696</x:f>
        <x:v>108</x:v>
      </x:c>
      <x:c r="U1696" s="93" t="n">
        <x:f>T1696*S1696</x:f>
        <x:v>5.4</x:v>
      </x:c>
      <x:c r="V1696" s="93" t="str">
        <x:f>PROPER(TRIM('Raw Sales'!L1696))</x:f>
        <x:v>Completed</x:v>
      </x:c>
      <x:c r="W1696" s="93" t="n">
        <x:f>IF(V1696="Returned",0,T1696-U1696)</x:f>
        <x:v>102.6</x:v>
      </x:c>
      <x:c r="X1696" s="93" t="n">
        <x:f>IF(V1696="Returned",Q1696*R1696*10%,Q1696*R1696)</x:f>
        <x:v>36</x:v>
      </x:c>
      <x:c r="Y1696" s="93" t="n">
        <x:f>W1696-X1696</x:f>
        <x:v>66.6</x:v>
      </x:c>
      <x:c r="Z1696" s="94" t="n">
        <x:f>IFERROR(Y1696/W1696,0)</x:f>
        <x:v>0.6491228070175439</x:v>
      </x:c>
      <x:c r="AA1696" s="84" t="str">
        <x:f>PROPER(TRIM('Raw Sales'!M1696))</x:f>
        <x:v>Credit Card</x:v>
      </x:c>
      <x:c r="AB1696" s="84" t="str">
        <x:f>PROPER(TRIM('Raw Sales'!N1696))</x:f>
        <x:v>Sofia Bennett</x:v>
      </x:c>
      <x:c r="AC1696" s="85" t="n">
        <x:f>'Raw Sales'!O1696</x:f>
        <x:v>45846</x:v>
      </x:c>
      <x:c r="AD1696" s="84" t="n">
        <x:f>AC1696-B1696</x:f>
        <x:v>1</x:v>
      </x:c>
      <x:c r="AE1696" s="84" t="str">
        <x:f>IF(COUNTIF($A$5:A1696,A1696)&gt;1,"Duplicate","Keep")</x:f>
        <x:v>Keep</x:v>
      </x:c>
      <x:c r="AF1696" s="84" t="str">
        <x:f>IF(OR(R1696&lt;=0,AC1696&lt;B1696,H1696="Unknown",M1696="Unknown Product"),"Review","Valid")</x:f>
        <x:v>Valid</x:v>
      </x:c>
      <x:c r="AG1696" s="84" t="n">
        <x:f>IF(AND(AE1696="Keep",AF1696="Valid"),1,0)</x:f>
        <x:v>1</x:v>
      </x:c>
      <x:c r="AH1696" s="84" t="n">
        <x:f>IF(AND(AG1696=1,OR('Dashboard'!$B$4="All",I1696='Dashboard'!$B$4),OR('Dashboard'!$E$4="All",N1696='Dashboard'!$E$4),OR('Dashboard'!$H$4="All",K1696='Dashboard'!$H$4),OR('Dashboard'!$K$4="All",C1696='Dashboard'!$K$4)),1,0)</x:f>
        <x:v>1</x:v>
      </x:c>
      <x:c r="AI1696" s="84" t="n">
        <x:f>IF(AND(AG1696=1,OR('Dashboard'!$B$4="All",I1696='Dashboard'!$B$4),OR('Dashboard'!$E$4="All",N1696='Dashboard'!$E$4),OR('Dashboard'!$H$4="All",K1696='Dashboard'!$H$4)),1,0)</x:f>
        <x:v>1</x:v>
      </x:c>
    </x:row>
    <x:row r="1697">
      <x:c r="A1697" s="84" t="str">
        <x:f>'Raw Sales'!A1697</x:f>
        <x:v>ORD-2025-00786</x:v>
      </x:c>
      <x:c r="B1697" s="85" t="n">
        <x:f>'Raw Sales'!B1697</x:f>
        <x:v>45846</x:v>
      </x:c>
      <x:c r="C1697" s="84" t="n">
        <x:f>YEAR(B1697)</x:f>
        <x:v>2025</x:v>
      </x:c>
      <x:c r="D1697" s="91" t="n">
        <x:f>DATE(YEAR(B1697),MONTH(B1697),1)</x:f>
        <x:v>45839</x:v>
      </x:c>
      <x:c r="E1697" s="84" t="str">
        <x:f>TEXT(B1697,"mmm")</x:f>
        <x:v>Jul</x:v>
      </x:c>
      <x:c r="F1697" s="84" t="str">
        <x:f>'Raw Sales'!C1697</x:f>
        <x:v>CUST-0485</x:v>
      </x:c>
      <x:c r="G1697" s="84" t="str">
        <x:f>PROPER(TRIM('Raw Sales'!D1697))</x:f>
        <x:v>Elias Ortiz</x:v>
      </x:c>
      <x:c r="H1697" s="84" t="str">
        <x:f>IF(TRIM('Raw Sales'!E1697)="","Unknown",PROPER(TRIM('Raw Sales'!E1697)))</x:f>
        <x:v>Consumer</x:v>
      </x:c>
      <x:c r="I1697" s="84" t="str">
        <x:f>PROPER(TRIM('Raw Sales'!F1697))</x:f>
        <x:v>Southeast</x:v>
      </x:c>
      <x:c r="J1697" s="84" t="str">
        <x:f>PROPER(TRIM('Raw Sales'!G1697))</x:f>
        <x:v>Atlanta</x:v>
      </x:c>
      <x:c r="K1697" s="84" t="str">
        <x:f>PROPER(TRIM('Raw Sales'!H1697))</x:f>
        <x:v>Retail Store</x:v>
      </x:c>
      <x:c r="L1697" s="84" t="str">
        <x:f>'Raw Sales'!I1697</x:f>
        <x:v>ELEC-002</x:v>
      </x:c>
      <x:c r="M1697" s="84" t="str">
        <x:f>IFERROR(VLOOKUP(L1697,'Reference Data'!$A$5:$F$40,2,FALSE),"Unknown Product")</x:f>
        <x:v>Smartwatch</x:v>
      </x:c>
      <x:c r="N1697" s="84" t="str">
        <x:f>IFERROR(VLOOKUP(L1697,'Reference Data'!$A$5:$F$40,3,FALSE),"Unknown")</x:f>
        <x:v>Electronics</x:v>
      </x:c>
      <x:c r="O1697" s="84" t="str">
        <x:f>IFERROR(VLOOKUP(L1697,'Reference Data'!$A$5:$F$40,4,FALSE),"Unknown")</x:f>
        <x:v>Wearables</x:v>
      </x:c>
      <x:c r="P1697" s="92" t="n">
        <x:f>IFERROR(VLOOKUP(L1697,'Reference Data'!$A$5:$F$40,5,FALSE),0)</x:f>
        <x:v>159</x:v>
      </x:c>
      <x:c r="Q1697" s="92" t="n">
        <x:f>IFERROR(VLOOKUP(L1697,'Reference Data'!$A$5:$F$40,6,FALSE),0)</x:f>
        <x:v>92</x:v>
      </x:c>
      <x:c r="R1697" s="84" t="n">
        <x:f>'Raw Sales'!J1697</x:f>
        <x:v>3</x:v>
      </x:c>
      <x:c r="S1697" s="87" t="n">
        <x:f>'Raw Sales'!K1697</x:f>
        <x:v>0</x:v>
      </x:c>
      <x:c r="T1697" s="93" t="n">
        <x:f>P1697*R1697</x:f>
        <x:v>477</x:v>
      </x:c>
      <x:c r="U1697" s="93" t="n">
        <x:f>T1697*S1697</x:f>
        <x:v>0</x:v>
      </x:c>
      <x:c r="V1697" s="93" t="str">
        <x:f>PROPER(TRIM('Raw Sales'!L1697))</x:f>
        <x:v>Completed</x:v>
      </x:c>
      <x:c r="W1697" s="93" t="n">
        <x:f>IF(V1697="Returned",0,T1697-U1697)</x:f>
        <x:v>477</x:v>
      </x:c>
      <x:c r="X1697" s="93" t="n">
        <x:f>IF(V1697="Returned",Q1697*R1697*10%,Q1697*R1697)</x:f>
        <x:v>276</x:v>
      </x:c>
      <x:c r="Y1697" s="93" t="n">
        <x:f>W1697-X1697</x:f>
        <x:v>201</x:v>
      </x:c>
      <x:c r="Z1697" s="94" t="n">
        <x:f>IFERROR(Y1697/W1697,0)</x:f>
        <x:v>0.42138364779874216</x:v>
      </x:c>
      <x:c r="AA1697" s="84" t="str">
        <x:f>PROPER(TRIM('Raw Sales'!M1697))</x:f>
        <x:v>Debit Card</x:v>
      </x:c>
      <x:c r="AB1697" s="84" t="str">
        <x:f>PROPER(TRIM('Raw Sales'!N1697))</x:f>
        <x:v>Noah Reed</x:v>
      </x:c>
      <x:c r="AC1697" s="85" t="n">
        <x:f>'Raw Sales'!O1697</x:f>
        <x:v>45846</x:v>
      </x:c>
      <x:c r="AD1697" s="84" t="n">
        <x:f>AC1697-B1697</x:f>
        <x:v>0</x:v>
      </x:c>
      <x:c r="AE1697" s="84" t="str">
        <x:f>IF(COUNTIF($A$5:A1697,A1697)&gt;1,"Duplicate","Keep")</x:f>
        <x:v>Keep</x:v>
      </x:c>
      <x:c r="AF1697" s="84" t="str">
        <x:f>IF(OR(R1697&lt;=0,AC1697&lt;B1697,H1697="Unknown",M1697="Unknown Product"),"Review","Valid")</x:f>
        <x:v>Valid</x:v>
      </x:c>
      <x:c r="AG1697" s="84" t="n">
        <x:f>IF(AND(AE1697="Keep",AF1697="Valid"),1,0)</x:f>
        <x:v>1</x:v>
      </x:c>
      <x:c r="AH1697" s="84" t="n">
        <x:f>IF(AND(AG1697=1,OR('Dashboard'!$B$4="All",I1697='Dashboard'!$B$4),OR('Dashboard'!$E$4="All",N1697='Dashboard'!$E$4),OR('Dashboard'!$H$4="All",K1697='Dashboard'!$H$4),OR('Dashboard'!$K$4="All",C1697='Dashboard'!$K$4)),1,0)</x:f>
        <x:v>1</x:v>
      </x:c>
      <x:c r="AI1697" s="84" t="n">
        <x:f>IF(AND(AG1697=1,OR('Dashboard'!$B$4="All",I1697='Dashboard'!$B$4),OR('Dashboard'!$E$4="All",N1697='Dashboard'!$E$4),OR('Dashboard'!$H$4="All",K1697='Dashboard'!$H$4)),1,0)</x:f>
        <x:v>1</x:v>
      </x:c>
    </x:row>
    <x:row r="1698">
      <x:c r="A1698" s="84" t="str">
        <x:f>'Raw Sales'!A1698</x:f>
        <x:v>ORD-2025-00795</x:v>
      </x:c>
      <x:c r="B1698" s="85" t="n">
        <x:f>'Raw Sales'!B1698</x:f>
        <x:v>45847</x:v>
      </x:c>
      <x:c r="C1698" s="84" t="n">
        <x:f>YEAR(B1698)</x:f>
        <x:v>2025</x:v>
      </x:c>
      <x:c r="D1698" s="91" t="n">
        <x:f>DATE(YEAR(B1698),MONTH(B1698),1)</x:f>
        <x:v>45839</x:v>
      </x:c>
      <x:c r="E1698" s="84" t="str">
        <x:f>TEXT(B1698,"mmm")</x:f>
        <x:v>Jul</x:v>
      </x:c>
      <x:c r="F1698" s="84" t="str">
        <x:f>'Raw Sales'!C1698</x:f>
        <x:v>CUST-0036</x:v>
      </x:c>
      <x:c r="G1698" s="84" t="str">
        <x:f>PROPER(TRIM('Raw Sales'!D1698))</x:f>
        <x:v>Victoria Ortiz</x:v>
      </x:c>
      <x:c r="H1698" s="84" t="str">
        <x:f>IF(TRIM('Raw Sales'!E1698)="","Unknown",PROPER(TRIM('Raw Sales'!E1698)))</x:f>
        <x:v>Small Business</x:v>
      </x:c>
      <x:c r="I1698" s="84" t="str">
        <x:f>PROPER(TRIM('Raw Sales'!F1698))</x:f>
        <x:v>Northeast</x:v>
      </x:c>
      <x:c r="J1698" s="84" t="str">
        <x:f>PROPER(TRIM('Raw Sales'!G1698))</x:f>
        <x:v>Philadelphia</x:v>
      </x:c>
      <x:c r="K1698" s="84" t="str">
        <x:f>PROPER(TRIM('Raw Sales'!H1698))</x:f>
        <x:v>Online</x:v>
      </x:c>
      <x:c r="L1698" s="84" t="str">
        <x:f>'Raw Sales'!I1698</x:f>
        <x:v>ELEC-001</x:v>
      </x:c>
      <x:c r="M1698" s="84" t="str">
        <x:f>IFERROR(VLOOKUP(L1698,'Reference Data'!$A$5:$F$40,2,FALSE),"Unknown Product")</x:f>
        <x:v>Wireless Earbuds</x:v>
      </x:c>
      <x:c r="N1698" s="84" t="str">
        <x:f>IFERROR(VLOOKUP(L1698,'Reference Data'!$A$5:$F$40,3,FALSE),"Unknown")</x:f>
        <x:v>Electronics</x:v>
      </x:c>
      <x:c r="O1698" s="84" t="str">
        <x:f>IFERROR(VLOOKUP(L1698,'Reference Data'!$A$5:$F$40,4,FALSE),"Unknown")</x:f>
        <x:v>Audio</x:v>
      </x:c>
      <x:c r="P1698" s="92" t="n">
        <x:f>IFERROR(VLOOKUP(L1698,'Reference Data'!$A$5:$F$40,5,FALSE),0)</x:f>
        <x:v>69</x:v>
      </x:c>
      <x:c r="Q1698" s="92" t="n">
        <x:f>IFERROR(VLOOKUP(L1698,'Reference Data'!$A$5:$F$40,6,FALSE),0)</x:f>
        <x:v>36</x:v>
      </x:c>
      <x:c r="R1698" s="84" t="n">
        <x:f>'Raw Sales'!J1698</x:f>
        <x:v>1</x:v>
      </x:c>
      <x:c r="S1698" s="87" t="n">
        <x:f>'Raw Sales'!K1698</x:f>
        <x:v>0.15</x:v>
      </x:c>
      <x:c r="T1698" s="93" t="n">
        <x:f>P1698*R1698</x:f>
        <x:v>69</x:v>
      </x:c>
      <x:c r="U1698" s="93" t="n">
        <x:f>T1698*S1698</x:f>
        <x:v>10.35</x:v>
      </x:c>
      <x:c r="V1698" s="93" t="str">
        <x:f>PROPER(TRIM('Raw Sales'!L1698))</x:f>
        <x:v>Completed</x:v>
      </x:c>
      <x:c r="W1698" s="93" t="n">
        <x:f>IF(V1698="Returned",0,T1698-U1698)</x:f>
        <x:v>58.65</x:v>
      </x:c>
      <x:c r="X1698" s="93" t="n">
        <x:f>IF(V1698="Returned",Q1698*R1698*10%,Q1698*R1698)</x:f>
        <x:v>36</x:v>
      </x:c>
      <x:c r="Y1698" s="93" t="n">
        <x:f>W1698-X1698</x:f>
        <x:v>22.65</x:v>
      </x:c>
      <x:c r="Z1698" s="94" t="n">
        <x:f>IFERROR(Y1698/W1698,0)</x:f>
        <x:v>0.38618925831202044</x:v>
      </x:c>
      <x:c r="AA1698" s="84" t="str">
        <x:f>PROPER(TRIM('Raw Sales'!M1698))</x:f>
        <x:v>Paypal</x:v>
      </x:c>
      <x:c r="AB1698" s="84" t="str">
        <x:f>PROPER(TRIM('Raw Sales'!N1698))</x:f>
        <x:v>Ethan Cole</x:v>
      </x:c>
      <x:c r="AC1698" s="85" t="n">
        <x:f>'Raw Sales'!O1698</x:f>
        <x:v>45851</x:v>
      </x:c>
      <x:c r="AD1698" s="84" t="n">
        <x:f>AC1698-B1698</x:f>
        <x:v>4</x:v>
      </x:c>
      <x:c r="AE1698" s="84" t="str">
        <x:f>IF(COUNTIF($A$5:A1698,A1698)&gt;1,"Duplicate","Keep")</x:f>
        <x:v>Keep</x:v>
      </x:c>
      <x:c r="AF1698" s="84" t="str">
        <x:f>IF(OR(R1698&lt;=0,AC1698&lt;B1698,H1698="Unknown",M1698="Unknown Product"),"Review","Valid")</x:f>
        <x:v>Valid</x:v>
      </x:c>
      <x:c r="AG1698" s="84" t="n">
        <x:f>IF(AND(AE1698="Keep",AF1698="Valid"),1,0)</x:f>
        <x:v>1</x:v>
      </x:c>
      <x:c r="AH1698" s="84" t="n">
        <x:f>IF(AND(AG1698=1,OR('Dashboard'!$B$4="All",I1698='Dashboard'!$B$4),OR('Dashboard'!$E$4="All",N1698='Dashboard'!$E$4),OR('Dashboard'!$H$4="All",K1698='Dashboard'!$H$4),OR('Dashboard'!$K$4="All",C1698='Dashboard'!$K$4)),1,0)</x:f>
        <x:v>1</x:v>
      </x:c>
      <x:c r="AI1698" s="84" t="n">
        <x:f>IF(AND(AG1698=1,OR('Dashboard'!$B$4="All",I1698='Dashboard'!$B$4),OR('Dashboard'!$E$4="All",N1698='Dashboard'!$E$4),OR('Dashboard'!$H$4="All",K1698='Dashboard'!$H$4)),1,0)</x:f>
        <x:v>1</x:v>
      </x:c>
    </x:row>
    <x:row r="1699">
      <x:c r="A1699" s="84" t="str">
        <x:f>'Raw Sales'!A1699</x:f>
        <x:v>ORD-2025-02154</x:v>
      </x:c>
      <x:c r="B1699" s="85" t="n">
        <x:f>'Raw Sales'!B1699</x:f>
        <x:v>45847</x:v>
      </x:c>
      <x:c r="C1699" s="84" t="n">
        <x:f>YEAR(B1699)</x:f>
        <x:v>2025</x:v>
      </x:c>
      <x:c r="D1699" s="91" t="n">
        <x:f>DATE(YEAR(B1699),MONTH(B1699),1)</x:f>
        <x:v>45839</x:v>
      </x:c>
      <x:c r="E1699" s="84" t="str">
        <x:f>TEXT(B1699,"mmm")</x:f>
        <x:v>Jul</x:v>
      </x:c>
      <x:c r="F1699" s="84" t="str">
        <x:f>'Raw Sales'!C1699</x:f>
        <x:v>CUST-0460</x:v>
      </x:c>
      <x:c r="G1699" s="84" t="str">
        <x:f>PROPER(TRIM('Raw Sales'!D1699))</x:f>
        <x:v>Sara Johnson</x:v>
      </x:c>
      <x:c r="H1699" s="84" t="str">
        <x:f>IF(TRIM('Raw Sales'!E1699)="","Unknown",PROPER(TRIM('Raw Sales'!E1699)))</x:f>
        <x:v>Consumer</x:v>
      </x:c>
      <x:c r="I1699" s="84" t="str">
        <x:f>PROPER(TRIM('Raw Sales'!F1699))</x:f>
        <x:v>West</x:v>
      </x:c>
      <x:c r="J1699" s="84" t="str">
        <x:f>PROPER(TRIM('Raw Sales'!G1699))</x:f>
        <x:v>Denver</x:v>
      </x:c>
      <x:c r="K1699" s="84" t="str">
        <x:f>PROPER(TRIM('Raw Sales'!H1699))</x:f>
        <x:v>Marketplace</x:v>
      </x:c>
      <x:c r="L1699" s="84" t="str">
        <x:f>'Raw Sales'!I1699</x:f>
        <x:v>ACCS-004</x:v>
      </x:c>
      <x:c r="M1699" s="84" t="str">
        <x:f>IFERROR(VLOOKUP(L1699,'Reference Data'!$A$5:$F$40,2,FALSE),"Unknown Product")</x:f>
        <x:v>Leather Wallet</x:v>
      </x:c>
      <x:c r="N1699" s="84" t="str">
        <x:f>IFERROR(VLOOKUP(L1699,'Reference Data'!$A$5:$F$40,3,FALSE),"Unknown")</x:f>
        <x:v>Accessories</x:v>
      </x:c>
      <x:c r="O1699" s="84" t="str">
        <x:f>IFERROR(VLOOKUP(L1699,'Reference Data'!$A$5:$F$40,4,FALSE),"Unknown")</x:f>
        <x:v>Wallets</x:v>
      </x:c>
      <x:c r="P1699" s="92" t="n">
        <x:f>IFERROR(VLOOKUP(L1699,'Reference Data'!$A$5:$F$40,5,FALSE),0)</x:f>
        <x:v>49</x:v>
      </x:c>
      <x:c r="Q1699" s="92" t="n">
        <x:f>IFERROR(VLOOKUP(L1699,'Reference Data'!$A$5:$F$40,6,FALSE),0)</x:f>
        <x:v>18</x:v>
      </x:c>
      <x:c r="R1699" s="84" t="n">
        <x:f>'Raw Sales'!J1699</x:f>
        <x:v>2</x:v>
      </x:c>
      <x:c r="S1699" s="87" t="n">
        <x:f>'Raw Sales'!K1699</x:f>
        <x:v>0.2</x:v>
      </x:c>
      <x:c r="T1699" s="93" t="n">
        <x:f>P1699*R1699</x:f>
        <x:v>98</x:v>
      </x:c>
      <x:c r="U1699" s="93" t="n">
        <x:f>T1699*S1699</x:f>
        <x:v>19.6</x:v>
      </x:c>
      <x:c r="V1699" s="93" t="str">
        <x:f>PROPER(TRIM('Raw Sales'!L1699))</x:f>
        <x:v>Completed</x:v>
      </x:c>
      <x:c r="W1699" s="93" t="n">
        <x:f>IF(V1699="Returned",0,T1699-U1699)</x:f>
        <x:v>78.4</x:v>
      </x:c>
      <x:c r="X1699" s="93" t="n">
        <x:f>IF(V1699="Returned",Q1699*R1699*10%,Q1699*R1699)</x:f>
        <x:v>36</x:v>
      </x:c>
      <x:c r="Y1699" s="93" t="n">
        <x:f>W1699-X1699</x:f>
        <x:v>42.400000000000006</x:v>
      </x:c>
      <x:c r="Z1699" s="94" t="n">
        <x:f>IFERROR(Y1699/W1699,0)</x:f>
        <x:v>0.5408163265306123</x:v>
      </x:c>
      <x:c r="AA1699" s="84" t="str">
        <x:f>PROPER(TRIM('Raw Sales'!M1699))</x:f>
        <x:v>Paypal</x:v>
      </x:c>
      <x:c r="AB1699" s="84" t="str">
        <x:f>PROPER(TRIM('Raw Sales'!N1699))</x:f>
        <x:v>Nora Kim</x:v>
      </x:c>
      <x:c r="AC1699" s="85" t="n">
        <x:f>'Raw Sales'!O1699</x:f>
        <x:v>45852</x:v>
      </x:c>
      <x:c r="AD1699" s="84" t="n">
        <x:f>AC1699-B1699</x:f>
        <x:v>5</x:v>
      </x:c>
      <x:c r="AE1699" s="84" t="str">
        <x:f>IF(COUNTIF($A$5:A1699,A1699)&gt;1,"Duplicate","Keep")</x:f>
        <x:v>Keep</x:v>
      </x:c>
      <x:c r="AF1699" s="84" t="str">
        <x:f>IF(OR(R1699&lt;=0,AC1699&lt;B1699,H1699="Unknown",M1699="Unknown Product"),"Review","Valid")</x:f>
        <x:v>Valid</x:v>
      </x:c>
      <x:c r="AG1699" s="84" t="n">
        <x:f>IF(AND(AE1699="Keep",AF1699="Valid"),1,0)</x:f>
        <x:v>1</x:v>
      </x:c>
      <x:c r="AH1699" s="84" t="n">
        <x:f>IF(AND(AG1699=1,OR('Dashboard'!$B$4="All",I1699='Dashboard'!$B$4),OR('Dashboard'!$E$4="All",N1699='Dashboard'!$E$4),OR('Dashboard'!$H$4="All",K1699='Dashboard'!$H$4),OR('Dashboard'!$K$4="All",C1699='Dashboard'!$K$4)),1,0)</x:f>
        <x:v>1</x:v>
      </x:c>
      <x:c r="AI1699" s="84" t="n">
        <x:f>IF(AND(AG1699=1,OR('Dashboard'!$B$4="All",I1699='Dashboard'!$B$4),OR('Dashboard'!$E$4="All",N1699='Dashboard'!$E$4),OR('Dashboard'!$H$4="All",K1699='Dashboard'!$H$4)),1,0)</x:f>
        <x:v>1</x:v>
      </x:c>
    </x:row>
    <x:row r="1700">
      <x:c r="A1700" s="84" t="str">
        <x:f>'Raw Sales'!A1700</x:f>
        <x:v>ORD-2025-00637</x:v>
      </x:c>
      <x:c r="B1700" s="85" t="n">
        <x:f>'Raw Sales'!B1700</x:f>
        <x:v>45848</x:v>
      </x:c>
      <x:c r="C1700" s="84" t="n">
        <x:f>YEAR(B1700)</x:f>
        <x:v>2025</x:v>
      </x:c>
      <x:c r="D1700" s="91" t="n">
        <x:f>DATE(YEAR(B1700),MONTH(B1700),1)</x:f>
        <x:v>45839</x:v>
      </x:c>
      <x:c r="E1700" s="84" t="str">
        <x:f>TEXT(B1700,"mmm")</x:f>
        <x:v>Jul</x:v>
      </x:c>
      <x:c r="F1700" s="84" t="str">
        <x:f>'Raw Sales'!C1700</x:f>
        <x:v>CUST-0280</x:v>
      </x:c>
      <x:c r="G1700" s="84" t="str">
        <x:f>PROPER(TRIM('Raw Sales'!D1700))</x:f>
        <x:v>Theo Taylor</x:v>
      </x:c>
      <x:c r="H1700" s="84" t="str">
        <x:f>IF(TRIM('Raw Sales'!E1700)="","Unknown",PROPER(TRIM('Raw Sales'!E1700)))</x:f>
        <x:v>Corporate</x:v>
      </x:c>
      <x:c r="I1700" s="84" t="str">
        <x:f>PROPER(TRIM('Raw Sales'!F1700))</x:f>
        <x:v>Southeast</x:v>
      </x:c>
      <x:c r="J1700" s="84" t="str">
        <x:f>PROPER(TRIM('Raw Sales'!G1700))</x:f>
        <x:v>Charlotte</x:v>
      </x:c>
      <x:c r="K1700" s="84" t="str">
        <x:f>PROPER(TRIM('Raw Sales'!H1700))</x:f>
        <x:v>Retail Store</x:v>
      </x:c>
      <x:c r="L1700" s="84" t="str">
        <x:f>'Raw Sales'!I1700</x:f>
        <x:v>OFFC-006</x:v>
      </x:c>
      <x:c r="M1700" s="84" t="str">
        <x:f>IFERROR(VLOOKUP(L1700,'Reference Data'!$A$5:$F$40,2,FALSE),"Unknown Product")</x:f>
        <x:v>Monitor Stand</x:v>
      </x:c>
      <x:c r="N1700" s="84" t="str">
        <x:f>IFERROR(VLOOKUP(L1700,'Reference Data'!$A$5:$F$40,3,FALSE),"Unknown")</x:f>
        <x:v>Office</x:v>
      </x:c>
      <x:c r="O1700" s="84" t="str">
        <x:f>IFERROR(VLOOKUP(L1700,'Reference Data'!$A$5:$F$40,4,FALSE),"Unknown")</x:f>
        <x:v>Desk Accessories</x:v>
      </x:c>
      <x:c r="P1700" s="92" t="n">
        <x:f>IFERROR(VLOOKUP(L1700,'Reference Data'!$A$5:$F$40,5,FALSE),0)</x:f>
        <x:v>49</x:v>
      </x:c>
      <x:c r="Q1700" s="92" t="n">
        <x:f>IFERROR(VLOOKUP(L1700,'Reference Data'!$A$5:$F$40,6,FALSE),0)</x:f>
        <x:v>21</x:v>
      </x:c>
      <x:c r="R1700" s="84" t="n">
        <x:f>'Raw Sales'!J1700</x:f>
        <x:v>4</x:v>
      </x:c>
      <x:c r="S1700" s="87" t="n">
        <x:f>'Raw Sales'!K1700</x:f>
        <x:v>0.05</x:v>
      </x:c>
      <x:c r="T1700" s="93" t="n">
        <x:f>P1700*R1700</x:f>
        <x:v>196</x:v>
      </x:c>
      <x:c r="U1700" s="93" t="n">
        <x:f>T1700*S1700</x:f>
        <x:v>9.8</x:v>
      </x:c>
      <x:c r="V1700" s="93" t="str">
        <x:f>PROPER(TRIM('Raw Sales'!L1700))</x:f>
        <x:v>Returned</x:v>
      </x:c>
      <x:c r="W1700" s="93" t="n">
        <x:f>IF(V1700="Returned",0,T1700-U1700)</x:f>
        <x:v>0</x:v>
      </x:c>
      <x:c r="X1700" s="93" t="n">
        <x:f>IF(V1700="Returned",Q1700*R1700*10%,Q1700*R1700)</x:f>
        <x:v>8.4</x:v>
      </x:c>
      <x:c r="Y1700" s="93" t="n">
        <x:f>W1700-X1700</x:f>
        <x:v>-8.4</x:v>
      </x:c>
      <x:c r="Z1700" s="94" t="n">
        <x:f>IFERROR(Y1700/W1700,0)</x:f>
        <x:v>0</x:v>
      </x:c>
      <x:c r="AA1700" s="84" t="str">
        <x:f>PROPER(TRIM('Raw Sales'!M1700))</x:f>
        <x:v>Credit Card</x:v>
      </x:c>
      <x:c r="AB1700" s="84" t="str">
        <x:f>PROPER(TRIM('Raw Sales'!N1700))</x:f>
        <x:v>Ava Mitchell</x:v>
      </x:c>
      <x:c r="AC1700" s="85" t="n">
        <x:f>'Raw Sales'!O1700</x:f>
        <x:v>45848</x:v>
      </x:c>
      <x:c r="AD1700" s="84" t="n">
        <x:f>AC1700-B1700</x:f>
        <x:v>0</x:v>
      </x:c>
      <x:c r="AE1700" s="84" t="str">
        <x:f>IF(COUNTIF($A$5:A1700,A1700)&gt;1,"Duplicate","Keep")</x:f>
        <x:v>Keep</x:v>
      </x:c>
      <x:c r="AF1700" s="84" t="str">
        <x:f>IF(OR(R1700&lt;=0,AC1700&lt;B1700,H1700="Unknown",M1700="Unknown Product"),"Review","Valid")</x:f>
        <x:v>Valid</x:v>
      </x:c>
      <x:c r="AG1700" s="84" t="n">
        <x:f>IF(AND(AE1700="Keep",AF1700="Valid"),1,0)</x:f>
        <x:v>1</x:v>
      </x:c>
      <x:c r="AH1700" s="84" t="n">
        <x:f>IF(AND(AG1700=1,OR('Dashboard'!$B$4="All",I1700='Dashboard'!$B$4),OR('Dashboard'!$E$4="All",N1700='Dashboard'!$E$4),OR('Dashboard'!$H$4="All",K1700='Dashboard'!$H$4),OR('Dashboard'!$K$4="All",C1700='Dashboard'!$K$4)),1,0)</x:f>
        <x:v>1</x:v>
      </x:c>
      <x:c r="AI1700" s="84" t="n">
        <x:f>IF(AND(AG1700=1,OR('Dashboard'!$B$4="All",I1700='Dashboard'!$B$4),OR('Dashboard'!$E$4="All",N1700='Dashboard'!$E$4),OR('Dashboard'!$H$4="All",K1700='Dashboard'!$H$4)),1,0)</x:f>
        <x:v>1</x:v>
      </x:c>
    </x:row>
    <x:row r="1701">
      <x:c r="A1701" s="84" t="str">
        <x:f>'Raw Sales'!A1701</x:f>
        <x:v>ORD-2025-00751</x:v>
      </x:c>
      <x:c r="B1701" s="85" t="n">
        <x:f>'Raw Sales'!B1701</x:f>
        <x:v>45848</x:v>
      </x:c>
      <x:c r="C1701" s="84" t="n">
        <x:f>YEAR(B1701)</x:f>
        <x:v>2025</x:v>
      </x:c>
      <x:c r="D1701" s="91" t="n">
        <x:f>DATE(YEAR(B1701),MONTH(B1701),1)</x:f>
        <x:v>45839</x:v>
      </x:c>
      <x:c r="E1701" s="84" t="str">
        <x:f>TEXT(B1701,"mmm")</x:f>
        <x:v>Jul</x:v>
      </x:c>
      <x:c r="F1701" s="84" t="str">
        <x:f>'Raw Sales'!C1701</x:f>
        <x:v>CUST-0485</x:v>
      </x:c>
      <x:c r="G1701" s="84" t="str">
        <x:f>PROPER(TRIM('Raw Sales'!D1701))</x:f>
        <x:v>Elias Ortiz</x:v>
      </x:c>
      <x:c r="H1701" s="84" t="str">
        <x:f>IF(TRIM('Raw Sales'!E1701)="","Unknown",PROPER(TRIM('Raw Sales'!E1701)))</x:f>
        <x:v>Consumer</x:v>
      </x:c>
      <x:c r="I1701" s="84" t="str">
        <x:f>PROPER(TRIM('Raw Sales'!F1701))</x:f>
        <x:v>Southeast</x:v>
      </x:c>
      <x:c r="J1701" s="84" t="str">
        <x:f>PROPER(TRIM('Raw Sales'!G1701))</x:f>
        <x:v>Atlanta</x:v>
      </x:c>
      <x:c r="K1701" s="84" t="str">
        <x:f>PROPER(TRIM('Raw Sales'!H1701))</x:f>
        <x:v>Retail Store</x:v>
      </x:c>
      <x:c r="L1701" s="84" t="str">
        <x:f>'Raw Sales'!I1701</x:f>
        <x:v>ACCS-005</x:v>
      </x:c>
      <x:c r="M1701" s="84" t="str">
        <x:f>IFERROR(VLOOKUP(L1701,'Reference Data'!$A$5:$F$40,2,FALSE),"Unknown Product")</x:f>
        <x:v>Protective Phone Case</x:v>
      </x:c>
      <x:c r="N1701" s="84" t="str">
        <x:f>IFERROR(VLOOKUP(L1701,'Reference Data'!$A$5:$F$40,3,FALSE),"Unknown")</x:f>
        <x:v>Accessories</x:v>
      </x:c>
      <x:c r="O1701" s="84" t="str">
        <x:f>IFERROR(VLOOKUP(L1701,'Reference Data'!$A$5:$F$40,4,FALSE),"Unknown")</x:f>
        <x:v>Mobile Accessories</x:v>
      </x:c>
      <x:c r="P1701" s="92" t="n">
        <x:f>IFERROR(VLOOKUP(L1701,'Reference Data'!$A$5:$F$40,5,FALSE),0)</x:f>
        <x:v>24</x:v>
      </x:c>
      <x:c r="Q1701" s="92" t="n">
        <x:f>IFERROR(VLOOKUP(L1701,'Reference Data'!$A$5:$F$40,6,FALSE),0)</x:f>
        <x:v>5</x:v>
      </x:c>
      <x:c r="R1701" s="84" t="n">
        <x:f>'Raw Sales'!J1701</x:f>
        <x:v>2</x:v>
      </x:c>
      <x:c r="S1701" s="87" t="n">
        <x:f>'Raw Sales'!K1701</x:f>
        <x:v>0.05</x:v>
      </x:c>
      <x:c r="T1701" s="93" t="n">
        <x:f>P1701*R1701</x:f>
        <x:v>48</x:v>
      </x:c>
      <x:c r="U1701" s="93" t="n">
        <x:f>T1701*S1701</x:f>
        <x:v>2.4000000000000004</x:v>
      </x:c>
      <x:c r="V1701" s="93" t="str">
        <x:f>PROPER(TRIM('Raw Sales'!L1701))</x:f>
        <x:v>Completed</x:v>
      </x:c>
      <x:c r="W1701" s="93" t="n">
        <x:f>IF(V1701="Returned",0,T1701-U1701)</x:f>
        <x:v>45.6</x:v>
      </x:c>
      <x:c r="X1701" s="93" t="n">
        <x:f>IF(V1701="Returned",Q1701*R1701*10%,Q1701*R1701)</x:f>
        <x:v>10</x:v>
      </x:c>
      <x:c r="Y1701" s="93" t="n">
        <x:f>W1701-X1701</x:f>
        <x:v>35.6</x:v>
      </x:c>
      <x:c r="Z1701" s="94" t="n">
        <x:f>IFERROR(Y1701/W1701,0)</x:f>
        <x:v>0.7807017543859649</x:v>
      </x:c>
      <x:c r="AA1701" s="84" t="str">
        <x:f>PROPER(TRIM('Raw Sales'!M1701))</x:f>
        <x:v>Credit Card</x:v>
      </x:c>
      <x:c r="AB1701" s="84" t="str">
        <x:f>PROPER(TRIM('Raw Sales'!N1701))</x:f>
        <x:v>Noah Reed</x:v>
      </x:c>
      <x:c r="AC1701" s="85" t="n">
        <x:f>'Raw Sales'!O1701</x:f>
        <x:v>45848</x:v>
      </x:c>
      <x:c r="AD1701" s="84" t="n">
        <x:f>AC1701-B1701</x:f>
        <x:v>0</x:v>
      </x:c>
      <x:c r="AE1701" s="84" t="str">
        <x:f>IF(COUNTIF($A$5:A1701,A1701)&gt;1,"Duplicate","Keep")</x:f>
        <x:v>Keep</x:v>
      </x:c>
      <x:c r="AF1701" s="84" t="str">
        <x:f>IF(OR(R1701&lt;=0,AC1701&lt;B1701,H1701="Unknown",M1701="Unknown Product"),"Review","Valid")</x:f>
        <x:v>Valid</x:v>
      </x:c>
      <x:c r="AG1701" s="84" t="n">
        <x:f>IF(AND(AE1701="Keep",AF1701="Valid"),1,0)</x:f>
        <x:v>1</x:v>
      </x:c>
      <x:c r="AH1701" s="84" t="n">
        <x:f>IF(AND(AG1701=1,OR('Dashboard'!$B$4="All",I1701='Dashboard'!$B$4),OR('Dashboard'!$E$4="All",N1701='Dashboard'!$E$4),OR('Dashboard'!$H$4="All",K1701='Dashboard'!$H$4),OR('Dashboard'!$K$4="All",C1701='Dashboard'!$K$4)),1,0)</x:f>
        <x:v>1</x:v>
      </x:c>
      <x:c r="AI1701" s="84" t="n">
        <x:f>IF(AND(AG1701=1,OR('Dashboard'!$B$4="All",I1701='Dashboard'!$B$4),OR('Dashboard'!$E$4="All",N1701='Dashboard'!$E$4),OR('Dashboard'!$H$4="All",K1701='Dashboard'!$H$4)),1,0)</x:f>
        <x:v>1</x:v>
      </x:c>
    </x:row>
    <x:row r="1702">
      <x:c r="A1702" s="84" t="str">
        <x:f>'Raw Sales'!A1702</x:f>
        <x:v>ORD-2025-01394</x:v>
      </x:c>
      <x:c r="B1702" s="85" t="n">
        <x:f>'Raw Sales'!B1702</x:f>
        <x:v>45848</x:v>
      </x:c>
      <x:c r="C1702" s="84" t="n">
        <x:f>YEAR(B1702)</x:f>
        <x:v>2025</x:v>
      </x:c>
      <x:c r="D1702" s="91" t="n">
        <x:f>DATE(YEAR(B1702),MONTH(B1702),1)</x:f>
        <x:v>45839</x:v>
      </x:c>
      <x:c r="E1702" s="84" t="str">
        <x:f>TEXT(B1702,"mmm")</x:f>
        <x:v>Jul</x:v>
      </x:c>
      <x:c r="F1702" s="84" t="str">
        <x:f>'Raw Sales'!C1702</x:f>
        <x:v>CUST-0469</x:v>
      </x:c>
      <x:c r="G1702" s="84" t="str">
        <x:f>PROPER(TRIM('Raw Sales'!D1702))</x:f>
        <x:v>Layla Evans</x:v>
      </x:c>
      <x:c r="H1702" s="84" t="str">
        <x:f>IF(TRIM('Raw Sales'!E1702)="","Unknown",PROPER(TRIM('Raw Sales'!E1702)))</x:f>
        <x:v>Corporate</x:v>
      </x:c>
      <x:c r="I1702" s="84" t="str">
        <x:f>PROPER(TRIM('Raw Sales'!F1702))</x:f>
        <x:v>Midwest</x:v>
      </x:c>
      <x:c r="J1702" s="84" t="str">
        <x:f>PROPER(TRIM('Raw Sales'!G1702))</x:f>
        <x:v>Minneapolis</x:v>
      </x:c>
      <x:c r="K1702" s="84" t="str">
        <x:f>PROPER(TRIM('Raw Sales'!H1702))</x:f>
        <x:v>Retail Store</x:v>
      </x:c>
      <x:c r="L1702" s="84" t="str">
        <x:f>'Raw Sales'!I1702</x:f>
        <x:v>OFFC-001</x:v>
      </x:c>
      <x:c r="M1702" s="84" t="str">
        <x:f>IFERROR(VLOOKUP(L1702,'Reference Data'!$A$5:$F$40,2,FALSE),"Unknown Product")</x:f>
        <x:v>Ergonomic Chair</x:v>
      </x:c>
      <x:c r="N1702" s="84" t="str">
        <x:f>IFERROR(VLOOKUP(L1702,'Reference Data'!$A$5:$F$40,3,FALSE),"Unknown")</x:f>
        <x:v>Office</x:v>
      </x:c>
      <x:c r="O1702" s="84" t="str">
        <x:f>IFERROR(VLOOKUP(L1702,'Reference Data'!$A$5:$F$40,4,FALSE),"Unknown")</x:f>
        <x:v>Furniture</x:v>
      </x:c>
      <x:c r="P1702" s="92" t="n">
        <x:f>IFERROR(VLOOKUP(L1702,'Reference Data'!$A$5:$F$40,5,FALSE),0)</x:f>
        <x:v>249</x:v>
      </x:c>
      <x:c r="Q1702" s="92" t="n">
        <x:f>IFERROR(VLOOKUP(L1702,'Reference Data'!$A$5:$F$40,6,FALSE),0)</x:f>
        <x:v>145</x:v>
      </x:c>
      <x:c r="R1702" s="84" t="n">
        <x:f>'Raw Sales'!J1702</x:f>
        <x:v>1</x:v>
      </x:c>
      <x:c r="S1702" s="87" t="n">
        <x:f>'Raw Sales'!K1702</x:f>
        <x:v>0.05</x:v>
      </x:c>
      <x:c r="T1702" s="93" t="n">
        <x:f>P1702*R1702</x:f>
        <x:v>249</x:v>
      </x:c>
      <x:c r="U1702" s="93" t="n">
        <x:f>T1702*S1702</x:f>
        <x:v>12.450000000000001</x:v>
      </x:c>
      <x:c r="V1702" s="93" t="str">
        <x:f>PROPER(TRIM('Raw Sales'!L1702))</x:f>
        <x:v>Returned</x:v>
      </x:c>
      <x:c r="W1702" s="93" t="n">
        <x:f>IF(V1702="Returned",0,T1702-U1702)</x:f>
        <x:v>0</x:v>
      </x:c>
      <x:c r="X1702" s="93" t="n">
        <x:f>IF(V1702="Returned",Q1702*R1702*10%,Q1702*R1702)</x:f>
        <x:v>14.5</x:v>
      </x:c>
      <x:c r="Y1702" s="93" t="n">
        <x:f>W1702-X1702</x:f>
        <x:v>-14.5</x:v>
      </x:c>
      <x:c r="Z1702" s="94" t="n">
        <x:f>IFERROR(Y1702/W1702,0)</x:f>
        <x:v>0</x:v>
      </x:c>
      <x:c r="AA1702" s="84" t="str">
        <x:f>PROPER(TRIM('Raw Sales'!M1702))</x:f>
        <x:v>Cash</x:v>
      </x:c>
      <x:c r="AB1702" s="84" t="str">
        <x:f>PROPER(TRIM('Raw Sales'!N1702))</x:f>
        <x:v>Zoe Turner</x:v>
      </x:c>
      <x:c r="AC1702" s="85" t="n">
        <x:f>'Raw Sales'!O1702</x:f>
        <x:v>45848</x:v>
      </x:c>
      <x:c r="AD1702" s="84" t="n">
        <x:f>AC1702-B1702</x:f>
        <x:v>0</x:v>
      </x:c>
      <x:c r="AE1702" s="84" t="str">
        <x:f>IF(COUNTIF($A$5:A1702,A1702)&gt;1,"Duplicate","Keep")</x:f>
        <x:v>Keep</x:v>
      </x:c>
      <x:c r="AF1702" s="84" t="str">
        <x:f>IF(OR(R1702&lt;=0,AC1702&lt;B1702,H1702="Unknown",M1702="Unknown Product"),"Review","Valid")</x:f>
        <x:v>Valid</x:v>
      </x:c>
      <x:c r="AG1702" s="84" t="n">
        <x:f>IF(AND(AE1702="Keep",AF1702="Valid"),1,0)</x:f>
        <x:v>1</x:v>
      </x:c>
      <x:c r="AH1702" s="84" t="n">
        <x:f>IF(AND(AG1702=1,OR('Dashboard'!$B$4="All",I1702='Dashboard'!$B$4),OR('Dashboard'!$E$4="All",N1702='Dashboard'!$E$4),OR('Dashboard'!$H$4="All",K1702='Dashboard'!$H$4),OR('Dashboard'!$K$4="All",C1702='Dashboard'!$K$4)),1,0)</x:f>
        <x:v>1</x:v>
      </x:c>
      <x:c r="AI1702" s="84" t="n">
        <x:f>IF(AND(AG1702=1,OR('Dashboard'!$B$4="All",I1702='Dashboard'!$B$4),OR('Dashboard'!$E$4="All",N1702='Dashboard'!$E$4),OR('Dashboard'!$H$4="All",K1702='Dashboard'!$H$4)),1,0)</x:f>
        <x:v>1</x:v>
      </x:c>
    </x:row>
    <x:row r="1703">
      <x:c r="A1703" s="84" t="str">
        <x:f>'Raw Sales'!A1703</x:f>
        <x:v>ORD-2025-02380</x:v>
      </x:c>
      <x:c r="B1703" s="85" t="n">
        <x:f>'Raw Sales'!B1703</x:f>
        <x:v>45848</x:v>
      </x:c>
      <x:c r="C1703" s="84" t="n">
        <x:f>YEAR(B1703)</x:f>
        <x:v>2025</x:v>
      </x:c>
      <x:c r="D1703" s="91" t="n">
        <x:f>DATE(YEAR(B1703),MONTH(B1703),1)</x:f>
        <x:v>45839</x:v>
      </x:c>
      <x:c r="E1703" s="84" t="str">
        <x:f>TEXT(B1703,"mmm")</x:f>
        <x:v>Jul</x:v>
      </x:c>
      <x:c r="F1703" s="84" t="str">
        <x:f>'Raw Sales'!C1703</x:f>
        <x:v>CUST-0022</x:v>
      </x:c>
      <x:c r="G1703" s="84" t="str">
        <x:f>PROPER(TRIM('Raw Sales'!D1703))</x:f>
        <x:v>Amelia Nelson</x:v>
      </x:c>
      <x:c r="H1703" s="84" t="str">
        <x:f>IF(TRIM('Raw Sales'!E1703)="","Unknown",PROPER(TRIM('Raw Sales'!E1703)))</x:f>
        <x:v>Corporate</x:v>
      </x:c>
      <x:c r="I1703" s="84" t="str">
        <x:f>PROPER(TRIM('Raw Sales'!F1703))</x:f>
        <x:v>Northeast</x:v>
      </x:c>
      <x:c r="J1703" s="84" t="str">
        <x:f>PROPER(TRIM('Raw Sales'!G1703))</x:f>
        <x:v>New York</x:v>
      </x:c>
      <x:c r="K1703" s="84" t="str">
        <x:f>PROPER(TRIM('Raw Sales'!H1703))</x:f>
        <x:v>Retail Store</x:v>
      </x:c>
      <x:c r="L1703" s="84" t="str">
        <x:f>'Raw Sales'!I1703</x:f>
        <x:v>CARE-004</x:v>
      </x:c>
      <x:c r="M1703" s="84" t="str">
        <x:f>IFERROR(VLOOKUP(L1703,'Reference Data'!$A$5:$F$40,2,FALSE),"Unknown Product")</x:f>
        <x:v>Electric Toothbrush</x:v>
      </x:c>
      <x:c r="N1703" s="84" t="str">
        <x:f>IFERROR(VLOOKUP(L1703,'Reference Data'!$A$5:$F$40,3,FALSE),"Unknown")</x:f>
        <x:v>Personal Care</x:v>
      </x:c>
      <x:c r="O1703" s="84" t="str">
        <x:f>IFERROR(VLOOKUP(L1703,'Reference Data'!$A$5:$F$40,4,FALSE),"Unknown")</x:f>
        <x:v>Oral Care</x:v>
      </x:c>
      <x:c r="P1703" s="92" t="n">
        <x:f>IFERROR(VLOOKUP(L1703,'Reference Data'!$A$5:$F$40,5,FALSE),0)</x:f>
        <x:v>69</x:v>
      </x:c>
      <x:c r="Q1703" s="92" t="n">
        <x:f>IFERROR(VLOOKUP(L1703,'Reference Data'!$A$5:$F$40,6,FALSE),0)</x:f>
        <x:v>31</x:v>
      </x:c>
      <x:c r="R1703" s="84" t="n">
        <x:f>'Raw Sales'!J1703</x:f>
        <x:v>5</x:v>
      </x:c>
      <x:c r="S1703" s="87" t="n">
        <x:f>'Raw Sales'!K1703</x:f>
        <x:v>0</x:v>
      </x:c>
      <x:c r="T1703" s="93" t="n">
        <x:f>P1703*R1703</x:f>
        <x:v>345</x:v>
      </x:c>
      <x:c r="U1703" s="93" t="n">
        <x:f>T1703*S1703</x:f>
        <x:v>0</x:v>
      </x:c>
      <x:c r="V1703" s="93" t="str">
        <x:f>PROPER(TRIM('Raw Sales'!L1703))</x:f>
        <x:v>Completed</x:v>
      </x:c>
      <x:c r="W1703" s="93" t="n">
        <x:f>IF(V1703="Returned",0,T1703-U1703)</x:f>
        <x:v>345</x:v>
      </x:c>
      <x:c r="X1703" s="93" t="n">
        <x:f>IF(V1703="Returned",Q1703*R1703*10%,Q1703*R1703)</x:f>
        <x:v>155</x:v>
      </x:c>
      <x:c r="Y1703" s="93" t="n">
        <x:f>W1703-X1703</x:f>
        <x:v>190</x:v>
      </x:c>
      <x:c r="Z1703" s="94" t="n">
        <x:f>IFERROR(Y1703/W1703,0)</x:f>
        <x:v>0.5507246376811594</x:v>
      </x:c>
      <x:c r="AA1703" s="84" t="str">
        <x:f>PROPER(TRIM('Raw Sales'!M1703))</x:f>
        <x:v>Credit Card</x:v>
      </x:c>
      <x:c r="AB1703" s="84" t="str">
        <x:f>PROPER(TRIM('Raw Sales'!N1703))</x:f>
        <x:v>Ethan Cole</x:v>
      </x:c>
      <x:c r="AC1703" s="85" t="n">
        <x:f>'Raw Sales'!O1703</x:f>
        <x:v>45848</x:v>
      </x:c>
      <x:c r="AD1703" s="84" t="n">
        <x:f>AC1703-B1703</x:f>
        <x:v>0</x:v>
      </x:c>
      <x:c r="AE1703" s="84" t="str">
        <x:f>IF(COUNTIF($A$5:A1703,A1703)&gt;1,"Duplicate","Keep")</x:f>
        <x:v>Keep</x:v>
      </x:c>
      <x:c r="AF1703" s="84" t="str">
        <x:f>IF(OR(R1703&lt;=0,AC1703&lt;B1703,H1703="Unknown",M1703="Unknown Product"),"Review","Valid")</x:f>
        <x:v>Valid</x:v>
      </x:c>
      <x:c r="AG1703" s="84" t="n">
        <x:f>IF(AND(AE1703="Keep",AF1703="Valid"),1,0)</x:f>
        <x:v>1</x:v>
      </x:c>
      <x:c r="AH1703" s="84" t="n">
        <x:f>IF(AND(AG1703=1,OR('Dashboard'!$B$4="All",I1703='Dashboard'!$B$4),OR('Dashboard'!$E$4="All",N1703='Dashboard'!$E$4),OR('Dashboard'!$H$4="All",K1703='Dashboard'!$H$4),OR('Dashboard'!$K$4="All",C1703='Dashboard'!$K$4)),1,0)</x:f>
        <x:v>1</x:v>
      </x:c>
      <x:c r="AI1703" s="84" t="n">
        <x:f>IF(AND(AG1703=1,OR('Dashboard'!$B$4="All",I1703='Dashboard'!$B$4),OR('Dashboard'!$E$4="All",N1703='Dashboard'!$E$4),OR('Dashboard'!$H$4="All",K1703='Dashboard'!$H$4)),1,0)</x:f>
        <x:v>1</x:v>
      </x:c>
    </x:row>
    <x:row r="1704">
      <x:c r="A1704" s="84" t="str">
        <x:f>'Raw Sales'!A1704</x:f>
        <x:v>ORD-2025-00758</x:v>
      </x:c>
      <x:c r="B1704" s="85" t="n">
        <x:f>'Raw Sales'!B1704</x:f>
        <x:v>45849</x:v>
      </x:c>
      <x:c r="C1704" s="84" t="n">
        <x:f>YEAR(B1704)</x:f>
        <x:v>2025</x:v>
      </x:c>
      <x:c r="D1704" s="91" t="n">
        <x:f>DATE(YEAR(B1704),MONTH(B1704),1)</x:f>
        <x:v>45839</x:v>
      </x:c>
      <x:c r="E1704" s="84" t="str">
        <x:f>TEXT(B1704,"mmm")</x:f>
        <x:v>Jul</x:v>
      </x:c>
      <x:c r="F1704" s="84" t="str">
        <x:f>'Raw Sales'!C1704</x:f>
        <x:v>CUST-0311</x:v>
      </x:c>
      <x:c r="G1704" s="84" t="str">
        <x:f>PROPER(TRIM('Raw Sales'!D1704))</x:f>
        <x:v>Amelia Evans</x:v>
      </x:c>
      <x:c r="H1704" s="84" t="str">
        <x:f>IF(TRIM('Raw Sales'!E1704)="","Unknown",PROPER(TRIM('Raw Sales'!E1704)))</x:f>
        <x:v>Consumer</x:v>
      </x:c>
      <x:c r="I1704" s="84" t="str">
        <x:f>PROPER(TRIM('Raw Sales'!F1704))</x:f>
        <x:v>Midwest</x:v>
      </x:c>
      <x:c r="J1704" s="84" t="str">
        <x:f>PROPER(TRIM('Raw Sales'!G1704))</x:f>
        <x:v>Detroit</x:v>
      </x:c>
      <x:c r="K1704" s="84" t="str">
        <x:f>PROPER(TRIM('Raw Sales'!H1704))</x:f>
        <x:v>Online</x:v>
      </x:c>
      <x:c r="L1704" s="84" t="str">
        <x:f>'Raw Sales'!I1704</x:f>
        <x:v>FITN-001</x:v>
      </x:c>
      <x:c r="M1704" s="84" t="str">
        <x:f>IFERROR(VLOOKUP(L1704,'Reference Data'!$A$5:$F$40,2,FALSE),"Unknown Product")</x:f>
        <x:v>Yoga Mat</x:v>
      </x:c>
      <x:c r="N1704" s="84" t="str">
        <x:f>IFERROR(VLOOKUP(L1704,'Reference Data'!$A$5:$F$40,3,FALSE),"Unknown")</x:f>
        <x:v>Fitness</x:v>
      </x:c>
      <x:c r="O1704" s="84" t="str">
        <x:f>IFERROR(VLOOKUP(L1704,'Reference Data'!$A$5:$F$40,4,FALSE),"Unknown")</x:f>
        <x:v>Yoga</x:v>
      </x:c>
      <x:c r="P1704" s="92" t="n">
        <x:f>IFERROR(VLOOKUP(L1704,'Reference Data'!$A$5:$F$40,5,FALSE),0)</x:f>
        <x:v>35</x:v>
      </x:c>
      <x:c r="Q1704" s="92" t="n">
        <x:f>IFERROR(VLOOKUP(L1704,'Reference Data'!$A$5:$F$40,6,FALSE),0)</x:f>
        <x:v>13</x:v>
      </x:c>
      <x:c r="R1704" s="84" t="n">
        <x:f>'Raw Sales'!J1704</x:f>
        <x:v>1</x:v>
      </x:c>
      <x:c r="S1704" s="87" t="n">
        <x:f>'Raw Sales'!K1704</x:f>
        <x:v>0</x:v>
      </x:c>
      <x:c r="T1704" s="93" t="n">
        <x:f>P1704*R1704</x:f>
        <x:v>35</x:v>
      </x:c>
      <x:c r="U1704" s="93" t="n">
        <x:f>T1704*S1704</x:f>
        <x:v>0</x:v>
      </x:c>
      <x:c r="V1704" s="93" t="str">
        <x:f>PROPER(TRIM('Raw Sales'!L1704))</x:f>
        <x:v>Completed</x:v>
      </x:c>
      <x:c r="W1704" s="93" t="n">
        <x:f>IF(V1704="Returned",0,T1704-U1704)</x:f>
        <x:v>35</x:v>
      </x:c>
      <x:c r="X1704" s="93" t="n">
        <x:f>IF(V1704="Returned",Q1704*R1704*10%,Q1704*R1704)</x:f>
        <x:v>13</x:v>
      </x:c>
      <x:c r="Y1704" s="93" t="n">
        <x:f>W1704-X1704</x:f>
        <x:v>22</x:v>
      </x:c>
      <x:c r="Z1704" s="94" t="n">
        <x:f>IFERROR(Y1704/W1704,0)</x:f>
        <x:v>0.6285714285714286</x:v>
      </x:c>
      <x:c r="AA1704" s="84" t="str">
        <x:f>PROPER(TRIM('Raw Sales'!M1704))</x:f>
        <x:v>Paypal</x:v>
      </x:c>
      <x:c r="AB1704" s="84" t="str">
        <x:f>PROPER(TRIM('Raw Sales'!N1704))</x:f>
        <x:v>Emma Hayes</x:v>
      </x:c>
      <x:c r="AC1704" s="85" t="n">
        <x:f>'Raw Sales'!O1704</x:f>
        <x:v>45851</x:v>
      </x:c>
      <x:c r="AD1704" s="84" t="n">
        <x:f>AC1704-B1704</x:f>
        <x:v>2</x:v>
      </x:c>
      <x:c r="AE1704" s="84" t="str">
        <x:f>IF(COUNTIF($A$5:A1704,A1704)&gt;1,"Duplicate","Keep")</x:f>
        <x:v>Keep</x:v>
      </x:c>
      <x:c r="AF1704" s="84" t="str">
        <x:f>IF(OR(R1704&lt;=0,AC1704&lt;B1704,H1704="Unknown",M1704="Unknown Product"),"Review","Valid")</x:f>
        <x:v>Valid</x:v>
      </x:c>
      <x:c r="AG1704" s="84" t="n">
        <x:f>IF(AND(AE1704="Keep",AF1704="Valid"),1,0)</x:f>
        <x:v>1</x:v>
      </x:c>
      <x:c r="AH1704" s="84" t="n">
        <x:f>IF(AND(AG1704=1,OR('Dashboard'!$B$4="All",I1704='Dashboard'!$B$4),OR('Dashboard'!$E$4="All",N1704='Dashboard'!$E$4),OR('Dashboard'!$H$4="All",K1704='Dashboard'!$H$4),OR('Dashboard'!$K$4="All",C1704='Dashboard'!$K$4)),1,0)</x:f>
        <x:v>1</x:v>
      </x:c>
      <x:c r="AI1704" s="84" t="n">
        <x:f>IF(AND(AG1704=1,OR('Dashboard'!$B$4="All",I1704='Dashboard'!$B$4),OR('Dashboard'!$E$4="All",N1704='Dashboard'!$E$4),OR('Dashboard'!$H$4="All",K1704='Dashboard'!$H$4)),1,0)</x:f>
        <x:v>1</x:v>
      </x:c>
    </x:row>
    <x:row r="1705">
      <x:c r="A1705" s="84" t="str">
        <x:f>'Raw Sales'!A1705</x:f>
        <x:v>ORD-2025-00812</x:v>
      </x:c>
      <x:c r="B1705" s="85" t="n">
        <x:f>'Raw Sales'!B1705</x:f>
        <x:v>45849</x:v>
      </x:c>
      <x:c r="C1705" s="84" t="n">
        <x:f>YEAR(B1705)</x:f>
        <x:v>2025</x:v>
      </x:c>
      <x:c r="D1705" s="91" t="n">
        <x:f>DATE(YEAR(B1705),MONTH(B1705),1)</x:f>
        <x:v>45839</x:v>
      </x:c>
      <x:c r="E1705" s="84" t="str">
        <x:f>TEXT(B1705,"mmm")</x:f>
        <x:v>Jul</x:v>
      </x:c>
      <x:c r="F1705" s="84" t="str">
        <x:f>'Raw Sales'!C1705</x:f>
        <x:v>CUST-0376</x:v>
      </x:c>
      <x:c r="G1705" s="84" t="str">
        <x:f>PROPER(TRIM('Raw Sales'!D1705))</x:f>
        <x:v>Nina Foster</x:v>
      </x:c>
      <x:c r="H1705" s="84" t="str">
        <x:f>IF(TRIM('Raw Sales'!E1705)="","Unknown",PROPER(TRIM('Raw Sales'!E1705)))</x:f>
        <x:v>Consumer</x:v>
      </x:c>
      <x:c r="I1705" s="84" t="str">
        <x:f>PROPER(TRIM('Raw Sales'!F1705))</x:f>
        <x:v>West</x:v>
      </x:c>
      <x:c r="J1705" s="84" t="str">
        <x:f>PROPER(TRIM('Raw Sales'!G1705))</x:f>
        <x:v>Denver</x:v>
      </x:c>
      <x:c r="K1705" s="84" t="str">
        <x:f>PROPER(TRIM('Raw Sales'!H1705))</x:f>
        <x:v>Marketplace</x:v>
      </x:c>
      <x:c r="L1705" s="84" t="str">
        <x:f>'Raw Sales'!I1705</x:f>
        <x:v>HOME-002</x:v>
      </x:c>
      <x:c r="M1705" s="84" t="str">
        <x:f>IFERROR(VLOOKUP(L1705,'Reference Data'!$A$5:$F$40,2,FALSE),"Unknown Product")</x:f>
        <x:v>Electric Kettle</x:v>
      </x:c>
      <x:c r="N1705" s="84" t="str">
        <x:f>IFERROR(VLOOKUP(L1705,'Reference Data'!$A$5:$F$40,3,FALSE),"Unknown")</x:f>
        <x:v>Home &amp; Kitchen</x:v>
      </x:c>
      <x:c r="O1705" s="84" t="str">
        <x:f>IFERROR(VLOOKUP(L1705,'Reference Data'!$A$5:$F$40,4,FALSE),"Unknown")</x:f>
        <x:v>Small Appliances</x:v>
      </x:c>
      <x:c r="P1705" s="92" t="n">
        <x:f>IFERROR(VLOOKUP(L1705,'Reference Data'!$A$5:$F$40,5,FALSE),0)</x:f>
        <x:v>49</x:v>
      </x:c>
      <x:c r="Q1705" s="92" t="n">
        <x:f>IFERROR(VLOOKUP(L1705,'Reference Data'!$A$5:$F$40,6,FALSE),0)</x:f>
        <x:v>23</x:v>
      </x:c>
      <x:c r="R1705" s="84" t="n">
        <x:f>'Raw Sales'!J1705</x:f>
        <x:v>1</x:v>
      </x:c>
      <x:c r="S1705" s="87" t="n">
        <x:f>'Raw Sales'!K1705</x:f>
        <x:v>0</x:v>
      </x:c>
      <x:c r="T1705" s="93" t="n">
        <x:f>P1705*R1705</x:f>
        <x:v>49</x:v>
      </x:c>
      <x:c r="U1705" s="93" t="n">
        <x:f>T1705*S1705</x:f>
        <x:v>0</x:v>
      </x:c>
      <x:c r="V1705" s="93" t="str">
        <x:f>PROPER(TRIM('Raw Sales'!L1705))</x:f>
        <x:v>Completed</x:v>
      </x:c>
      <x:c r="W1705" s="93" t="n">
        <x:f>IF(V1705="Returned",0,T1705-U1705)</x:f>
        <x:v>49</x:v>
      </x:c>
      <x:c r="X1705" s="93" t="n">
        <x:f>IF(V1705="Returned",Q1705*R1705*10%,Q1705*R1705)</x:f>
        <x:v>23</x:v>
      </x:c>
      <x:c r="Y1705" s="93" t="n">
        <x:f>W1705-X1705</x:f>
        <x:v>26</x:v>
      </x:c>
      <x:c r="Z1705" s="94" t="n">
        <x:f>IFERROR(Y1705/W1705,0)</x:f>
        <x:v>0.5306122448979592</x:v>
      </x:c>
      <x:c r="AA1705" s="84" t="str">
        <x:f>PROPER(TRIM('Raw Sales'!M1705))</x:f>
        <x:v>Debit Card</x:v>
      </x:c>
      <x:c r="AB1705" s="84" t="str">
        <x:f>PROPER(TRIM('Raw Sales'!N1705))</x:f>
        <x:v>Mia Chen</x:v>
      </x:c>
      <x:c r="AC1705" s="85" t="n">
        <x:f>'Raw Sales'!O1705</x:f>
        <x:v>45856</x:v>
      </x:c>
      <x:c r="AD1705" s="84" t="n">
        <x:f>AC1705-B1705</x:f>
        <x:v>7</x:v>
      </x:c>
      <x:c r="AE1705" s="84" t="str">
        <x:f>IF(COUNTIF($A$5:A1705,A1705)&gt;1,"Duplicate","Keep")</x:f>
        <x:v>Keep</x:v>
      </x:c>
      <x:c r="AF1705" s="84" t="str">
        <x:f>IF(OR(R1705&lt;=0,AC1705&lt;B1705,H1705="Unknown",M1705="Unknown Product"),"Review","Valid")</x:f>
        <x:v>Valid</x:v>
      </x:c>
      <x:c r="AG1705" s="84" t="n">
        <x:f>IF(AND(AE1705="Keep",AF1705="Valid"),1,0)</x:f>
        <x:v>1</x:v>
      </x:c>
      <x:c r="AH1705" s="84" t="n">
        <x:f>IF(AND(AG1705=1,OR('Dashboard'!$B$4="All",I1705='Dashboard'!$B$4),OR('Dashboard'!$E$4="All",N1705='Dashboard'!$E$4),OR('Dashboard'!$H$4="All",K1705='Dashboard'!$H$4),OR('Dashboard'!$K$4="All",C1705='Dashboard'!$K$4)),1,0)</x:f>
        <x:v>1</x:v>
      </x:c>
      <x:c r="AI1705" s="84" t="n">
        <x:f>IF(AND(AG1705=1,OR('Dashboard'!$B$4="All",I1705='Dashboard'!$B$4),OR('Dashboard'!$E$4="All",N1705='Dashboard'!$E$4),OR('Dashboard'!$H$4="All",K1705='Dashboard'!$H$4)),1,0)</x:f>
        <x:v>1</x:v>
      </x:c>
    </x:row>
    <x:row r="1706">
      <x:c r="A1706" s="84" t="str">
        <x:f>'Raw Sales'!A1706</x:f>
        <x:v>ORD-2025-01002</x:v>
      </x:c>
      <x:c r="B1706" s="85" t="n">
        <x:f>'Raw Sales'!B1706</x:f>
        <x:v>45849</x:v>
      </x:c>
      <x:c r="C1706" s="84" t="n">
        <x:f>YEAR(B1706)</x:f>
        <x:v>2025</x:v>
      </x:c>
      <x:c r="D1706" s="91" t="n">
        <x:f>DATE(YEAR(B1706),MONTH(B1706),1)</x:f>
        <x:v>45839</x:v>
      </x:c>
      <x:c r="E1706" s="84" t="str">
        <x:f>TEXT(B1706,"mmm")</x:f>
        <x:v>Jul</x:v>
      </x:c>
      <x:c r="F1706" s="84" t="str">
        <x:f>'Raw Sales'!C1706</x:f>
        <x:v>CUST-0355</x:v>
      </x:c>
      <x:c r="G1706" s="84" t="str">
        <x:f>PROPER(TRIM('Raw Sales'!D1706))</x:f>
        <x:v>Caleb Evans</x:v>
      </x:c>
      <x:c r="H1706" s="84" t="str">
        <x:f>IF(TRIM('Raw Sales'!E1706)="","Unknown",PROPER(TRIM('Raw Sales'!E1706)))</x:f>
        <x:v>Consumer</x:v>
      </x:c>
      <x:c r="I1706" s="84" t="str">
        <x:f>PROPER(TRIM('Raw Sales'!F1706))</x:f>
        <x:v>Northeast</x:v>
      </x:c>
      <x:c r="J1706" s="84" t="str">
        <x:f>PROPER(TRIM('Raw Sales'!G1706))</x:f>
        <x:v>Philadelphia</x:v>
      </x:c>
      <x:c r="K1706" s="84" t="str">
        <x:f>PROPER(TRIM('Raw Sales'!H1706))</x:f>
        <x:v>Retail Store</x:v>
      </x:c>
      <x:c r="L1706" s="84" t="str">
        <x:f>'Raw Sales'!I1706</x:f>
        <x:v>CARE-003</x:v>
      </x:c>
      <x:c r="M1706" s="84" t="str">
        <x:f>IFERROR(VLOOKUP(L1706,'Reference Data'!$A$5:$F$40,2,FALSE),"Unknown Product")</x:f>
        <x:v>Facial Cleanser</x:v>
      </x:c>
      <x:c r="N1706" s="84" t="str">
        <x:f>IFERROR(VLOOKUP(L1706,'Reference Data'!$A$5:$F$40,3,FALSE),"Unknown")</x:f>
        <x:v>Personal Care</x:v>
      </x:c>
      <x:c r="O1706" s="84" t="str">
        <x:f>IFERROR(VLOOKUP(L1706,'Reference Data'!$A$5:$F$40,4,FALSE),"Unknown")</x:f>
        <x:v>Skin Care</x:v>
      </x:c>
      <x:c r="P1706" s="92" t="n">
        <x:f>IFERROR(VLOOKUP(L1706,'Reference Data'!$A$5:$F$40,5,FALSE),0)</x:f>
        <x:v>18</x:v>
      </x:c>
      <x:c r="Q1706" s="92" t="n">
        <x:f>IFERROR(VLOOKUP(L1706,'Reference Data'!$A$5:$F$40,6,FALSE),0)</x:f>
        <x:v>6</x:v>
      </x:c>
      <x:c r="R1706" s="84" t="n">
        <x:f>'Raw Sales'!J1706</x:f>
        <x:v>4</x:v>
      </x:c>
      <x:c r="S1706" s="87" t="n">
        <x:f>'Raw Sales'!K1706</x:f>
        <x:v>0.15</x:v>
      </x:c>
      <x:c r="T1706" s="93" t="n">
        <x:f>P1706*R1706</x:f>
        <x:v>72</x:v>
      </x:c>
      <x:c r="U1706" s="93" t="n">
        <x:f>T1706*S1706</x:f>
        <x:v>10.799999999999999</x:v>
      </x:c>
      <x:c r="V1706" s="93" t="str">
        <x:f>PROPER(TRIM('Raw Sales'!L1706))</x:f>
        <x:v>Completed</x:v>
      </x:c>
      <x:c r="W1706" s="93" t="n">
        <x:f>IF(V1706="Returned",0,T1706-U1706)</x:f>
        <x:v>61.2</x:v>
      </x:c>
      <x:c r="X1706" s="93" t="n">
        <x:f>IF(V1706="Returned",Q1706*R1706*10%,Q1706*R1706)</x:f>
        <x:v>24</x:v>
      </x:c>
      <x:c r="Y1706" s="93" t="n">
        <x:f>W1706-X1706</x:f>
        <x:v>37.2</x:v>
      </x:c>
      <x:c r="Z1706" s="94" t="n">
        <x:f>IFERROR(Y1706/W1706,0)</x:f>
        <x:v>0.607843137254902</x:v>
      </x:c>
      <x:c r="AA1706" s="84" t="str">
        <x:f>PROPER(TRIM('Raw Sales'!M1706))</x:f>
        <x:v>Cash</x:v>
      </x:c>
      <x:c r="AB1706" s="84" t="str">
        <x:f>PROPER(TRIM('Raw Sales'!N1706))</x:f>
        <x:v>Maya Brooks</x:v>
      </x:c>
      <x:c r="AC1706" s="85" t="n">
        <x:f>'Raw Sales'!O1706</x:f>
        <x:v>45850</x:v>
      </x:c>
      <x:c r="AD1706" s="84" t="n">
        <x:f>AC1706-B1706</x:f>
        <x:v>1</x:v>
      </x:c>
      <x:c r="AE1706" s="84" t="str">
        <x:f>IF(COUNTIF($A$5:A1706,A1706)&gt;1,"Duplicate","Keep")</x:f>
        <x:v>Keep</x:v>
      </x:c>
      <x:c r="AF1706" s="84" t="str">
        <x:f>IF(OR(R1706&lt;=0,AC1706&lt;B1706,H1706="Unknown",M1706="Unknown Product"),"Review","Valid")</x:f>
        <x:v>Valid</x:v>
      </x:c>
      <x:c r="AG1706" s="84" t="n">
        <x:f>IF(AND(AE1706="Keep",AF1706="Valid"),1,0)</x:f>
        <x:v>1</x:v>
      </x:c>
      <x:c r="AH1706" s="84" t="n">
        <x:f>IF(AND(AG1706=1,OR('Dashboard'!$B$4="All",I1706='Dashboard'!$B$4),OR('Dashboard'!$E$4="All",N1706='Dashboard'!$E$4),OR('Dashboard'!$H$4="All",K1706='Dashboard'!$H$4),OR('Dashboard'!$K$4="All",C1706='Dashboard'!$K$4)),1,0)</x:f>
        <x:v>1</x:v>
      </x:c>
      <x:c r="AI1706" s="84" t="n">
        <x:f>IF(AND(AG1706=1,OR('Dashboard'!$B$4="All",I1706='Dashboard'!$B$4),OR('Dashboard'!$E$4="All",N1706='Dashboard'!$E$4),OR('Dashboard'!$H$4="All",K1706='Dashboard'!$H$4)),1,0)</x:f>
        <x:v>1</x:v>
      </x:c>
    </x:row>
    <x:row r="1707">
      <x:c r="A1707" s="84" t="str">
        <x:f>'Raw Sales'!A1707</x:f>
        <x:v>ORD-2025-01187</x:v>
      </x:c>
      <x:c r="B1707" s="85" t="n">
        <x:f>'Raw Sales'!B1707</x:f>
        <x:v>45849</x:v>
      </x:c>
      <x:c r="C1707" s="84" t="n">
        <x:f>YEAR(B1707)</x:f>
        <x:v>2025</x:v>
      </x:c>
      <x:c r="D1707" s="91" t="n">
        <x:f>DATE(YEAR(B1707),MONTH(B1707),1)</x:f>
        <x:v>45839</x:v>
      </x:c>
      <x:c r="E1707" s="84" t="str">
        <x:f>TEXT(B1707,"mmm")</x:f>
        <x:v>Jul</x:v>
      </x:c>
      <x:c r="F1707" s="84" t="str">
        <x:f>'Raw Sales'!C1707</x:f>
        <x:v>CUST-0629</x:v>
      </x:c>
      <x:c r="G1707" s="84" t="str">
        <x:f>PROPER(TRIM('Raw Sales'!D1707))</x:f>
        <x:v>Nina Garcia</x:v>
      </x:c>
      <x:c r="H1707" s="84" t="str">
        <x:f>IF(TRIM('Raw Sales'!E1707)="","Unknown",PROPER(TRIM('Raw Sales'!E1707)))</x:f>
        <x:v>Consumer</x:v>
      </x:c>
      <x:c r="I1707" s="84" t="str">
        <x:f>PROPER(TRIM('Raw Sales'!F1707))</x:f>
        <x:v>Southeast</x:v>
      </x:c>
      <x:c r="J1707" s="84" t="str">
        <x:f>PROPER(TRIM('Raw Sales'!G1707))</x:f>
        <x:v>Charlotte</x:v>
      </x:c>
      <x:c r="K1707" s="84" t="str">
        <x:f>PROPER(TRIM('Raw Sales'!H1707))</x:f>
        <x:v>Retail Store</x:v>
      </x:c>
      <x:c r="L1707" s="84" t="str">
        <x:f>'Raw Sales'!I1707</x:f>
        <x:v>ACCS-002</x:v>
      </x:c>
      <x:c r="M1707" s="84" t="str">
        <x:f>IFERROR(VLOOKUP(L1707,'Reference Data'!$A$5:$F$40,2,FALSE),"Unknown Product")</x:f>
        <x:v>Travel Backpack</x:v>
      </x:c>
      <x:c r="N1707" s="84" t="str">
        <x:f>IFERROR(VLOOKUP(L1707,'Reference Data'!$A$5:$F$40,3,FALSE),"Unknown")</x:f>
        <x:v>Accessories</x:v>
      </x:c>
      <x:c r="O1707" s="84" t="str">
        <x:f>IFERROR(VLOOKUP(L1707,'Reference Data'!$A$5:$F$40,4,FALSE),"Unknown")</x:f>
        <x:v>Bags</x:v>
      </x:c>
      <x:c r="P1707" s="92" t="n">
        <x:f>IFERROR(VLOOKUP(L1707,'Reference Data'!$A$5:$F$40,5,FALSE),0)</x:f>
        <x:v>89</x:v>
      </x:c>
      <x:c r="Q1707" s="92" t="n">
        <x:f>IFERROR(VLOOKUP(L1707,'Reference Data'!$A$5:$F$40,6,FALSE),0)</x:f>
        <x:v>36</x:v>
      </x:c>
      <x:c r="R1707" s="84" t="n">
        <x:f>'Raw Sales'!J1707</x:f>
        <x:v>2</x:v>
      </x:c>
      <x:c r="S1707" s="87" t="n">
        <x:f>'Raw Sales'!K1707</x:f>
        <x:v>0</x:v>
      </x:c>
      <x:c r="T1707" s="93" t="n">
        <x:f>P1707*R1707</x:f>
        <x:v>178</x:v>
      </x:c>
      <x:c r="U1707" s="93" t="n">
        <x:f>T1707*S1707</x:f>
        <x:v>0</x:v>
      </x:c>
      <x:c r="V1707" s="93" t="str">
        <x:f>PROPER(TRIM('Raw Sales'!L1707))</x:f>
        <x:v>Completed</x:v>
      </x:c>
      <x:c r="W1707" s="93" t="n">
        <x:f>IF(V1707="Returned",0,T1707-U1707)</x:f>
        <x:v>178</x:v>
      </x:c>
      <x:c r="X1707" s="93" t="n">
        <x:f>IF(V1707="Returned",Q1707*R1707*10%,Q1707*R1707)</x:f>
        <x:v>72</x:v>
      </x:c>
      <x:c r="Y1707" s="93" t="n">
        <x:f>W1707-X1707</x:f>
        <x:v>106</x:v>
      </x:c>
      <x:c r="Z1707" s="94" t="n">
        <x:f>IFERROR(Y1707/W1707,0)</x:f>
        <x:v>0.5955056179775281</x:v>
      </x:c>
      <x:c r="AA1707" s="84" t="str">
        <x:f>PROPER(TRIM('Raw Sales'!M1707))</x:f>
        <x:v>Credit Card</x:v>
      </x:c>
      <x:c r="AB1707" s="84" t="str">
        <x:f>PROPER(TRIM('Raw Sales'!N1707))</x:f>
        <x:v>Noah Reed</x:v>
      </x:c>
      <x:c r="AC1707" s="85" t="n">
        <x:f>'Raw Sales'!O1707</x:f>
        <x:v>45849</x:v>
      </x:c>
      <x:c r="AD1707" s="84" t="n">
        <x:f>AC1707-B1707</x:f>
        <x:v>0</x:v>
      </x:c>
      <x:c r="AE1707" s="84" t="str">
        <x:f>IF(COUNTIF($A$5:A1707,A1707)&gt;1,"Duplicate","Keep")</x:f>
        <x:v>Keep</x:v>
      </x:c>
      <x:c r="AF1707" s="84" t="str">
        <x:f>IF(OR(R1707&lt;=0,AC1707&lt;B1707,H1707="Unknown",M1707="Unknown Product"),"Review","Valid")</x:f>
        <x:v>Valid</x:v>
      </x:c>
      <x:c r="AG1707" s="84" t="n">
        <x:f>IF(AND(AE1707="Keep",AF1707="Valid"),1,0)</x:f>
        <x:v>1</x:v>
      </x:c>
      <x:c r="AH1707" s="84" t="n">
        <x:f>IF(AND(AG1707=1,OR('Dashboard'!$B$4="All",I1707='Dashboard'!$B$4),OR('Dashboard'!$E$4="All",N1707='Dashboard'!$E$4),OR('Dashboard'!$H$4="All",K1707='Dashboard'!$H$4),OR('Dashboard'!$K$4="All",C1707='Dashboard'!$K$4)),1,0)</x:f>
        <x:v>1</x:v>
      </x:c>
      <x:c r="AI1707" s="84" t="n">
        <x:f>IF(AND(AG1707=1,OR('Dashboard'!$B$4="All",I1707='Dashboard'!$B$4),OR('Dashboard'!$E$4="All",N1707='Dashboard'!$E$4),OR('Dashboard'!$H$4="All",K1707='Dashboard'!$H$4)),1,0)</x:f>
        <x:v>1</x:v>
      </x:c>
    </x:row>
    <x:row r="1708">
      <x:c r="A1708" s="84" t="str">
        <x:f>'Raw Sales'!A1708</x:f>
        <x:v>ORD-2025-01531</x:v>
      </x:c>
      <x:c r="B1708" s="85" t="n">
        <x:f>'Raw Sales'!B1708</x:f>
        <x:v>45849</x:v>
      </x:c>
      <x:c r="C1708" s="84" t="n">
        <x:f>YEAR(B1708)</x:f>
        <x:v>2025</x:v>
      </x:c>
      <x:c r="D1708" s="91" t="n">
        <x:f>DATE(YEAR(B1708),MONTH(B1708),1)</x:f>
        <x:v>45839</x:v>
      </x:c>
      <x:c r="E1708" s="84" t="str">
        <x:f>TEXT(B1708,"mmm")</x:f>
        <x:v>Jul</x:v>
      </x:c>
      <x:c r="F1708" s="84" t="str">
        <x:f>'Raw Sales'!C1708</x:f>
        <x:v>CUST-0229</x:v>
      </x:c>
      <x:c r="G1708" s="84" t="str">
        <x:f>PROPER(TRIM('Raw Sales'!D1708))</x:f>
        <x:v>Maya Evans</x:v>
      </x:c>
      <x:c r="H1708" s="84" t="str">
        <x:f>IF(TRIM('Raw Sales'!E1708)="","Unknown",PROPER(TRIM('Raw Sales'!E1708)))</x:f>
        <x:v>Small Business</x:v>
      </x:c>
      <x:c r="I1708" s="84" t="str">
        <x:f>PROPER(TRIM('Raw Sales'!F1708))</x:f>
        <x:v>Southeast</x:v>
      </x:c>
      <x:c r="J1708" s="84" t="str">
        <x:f>PROPER(TRIM('Raw Sales'!G1708))</x:f>
        <x:v>Miami</x:v>
      </x:c>
      <x:c r="K1708" s="84" t="str">
        <x:f>PROPER(TRIM('Raw Sales'!H1708))</x:f>
        <x:v>Retail Store</x:v>
      </x:c>
      <x:c r="L1708" s="84" t="str">
        <x:f>'Raw Sales'!I1708</x:f>
        <x:v>ELEC-002</x:v>
      </x:c>
      <x:c r="M1708" s="84" t="str">
        <x:f>IFERROR(VLOOKUP(L1708,'Reference Data'!$A$5:$F$40,2,FALSE),"Unknown Product")</x:f>
        <x:v>Smartwatch</x:v>
      </x:c>
      <x:c r="N1708" s="84" t="str">
        <x:f>IFERROR(VLOOKUP(L1708,'Reference Data'!$A$5:$F$40,3,FALSE),"Unknown")</x:f>
        <x:v>Electronics</x:v>
      </x:c>
      <x:c r="O1708" s="84" t="str">
        <x:f>IFERROR(VLOOKUP(L1708,'Reference Data'!$A$5:$F$40,4,FALSE),"Unknown")</x:f>
        <x:v>Wearables</x:v>
      </x:c>
      <x:c r="P1708" s="92" t="n">
        <x:f>IFERROR(VLOOKUP(L1708,'Reference Data'!$A$5:$F$40,5,FALSE),0)</x:f>
        <x:v>159</x:v>
      </x:c>
      <x:c r="Q1708" s="92" t="n">
        <x:f>IFERROR(VLOOKUP(L1708,'Reference Data'!$A$5:$F$40,6,FALSE),0)</x:f>
        <x:v>92</x:v>
      </x:c>
      <x:c r="R1708" s="84" t="n">
        <x:f>'Raw Sales'!J1708</x:f>
        <x:v>1</x:v>
      </x:c>
      <x:c r="S1708" s="87" t="n">
        <x:f>'Raw Sales'!K1708</x:f>
        <x:v>0</x:v>
      </x:c>
      <x:c r="T1708" s="93" t="n">
        <x:f>P1708*R1708</x:f>
        <x:v>159</x:v>
      </x:c>
      <x:c r="U1708" s="93" t="n">
        <x:f>T1708*S1708</x:f>
        <x:v>0</x:v>
      </x:c>
      <x:c r="V1708" s="93" t="str">
        <x:f>PROPER(TRIM('Raw Sales'!L1708))</x:f>
        <x:v>Completed</x:v>
      </x:c>
      <x:c r="W1708" s="93" t="n">
        <x:f>IF(V1708="Returned",0,T1708-U1708)</x:f>
        <x:v>159</x:v>
      </x:c>
      <x:c r="X1708" s="93" t="n">
        <x:f>IF(V1708="Returned",Q1708*R1708*10%,Q1708*R1708)</x:f>
        <x:v>92</x:v>
      </x:c>
      <x:c r="Y1708" s="93" t="n">
        <x:f>W1708-X1708</x:f>
        <x:v>67</x:v>
      </x:c>
      <x:c r="Z1708" s="94" t="n">
        <x:f>IFERROR(Y1708/W1708,0)</x:f>
        <x:v>0.42138364779874216</x:v>
      </x:c>
      <x:c r="AA1708" s="84" t="str">
        <x:f>PROPER(TRIM('Raw Sales'!M1708))</x:f>
        <x:v>Cash</x:v>
      </x:c>
      <x:c r="AB1708" s="84" t="str">
        <x:f>PROPER(TRIM('Raw Sales'!N1708))</x:f>
        <x:v>Ava Mitchell</x:v>
      </x:c>
      <x:c r="AC1708" s="85" t="n">
        <x:f>'Raw Sales'!O1708</x:f>
        <x:v>45849</x:v>
      </x:c>
      <x:c r="AD1708" s="84" t="n">
        <x:f>AC1708-B1708</x:f>
        <x:v>0</x:v>
      </x:c>
      <x:c r="AE1708" s="84" t="str">
        <x:f>IF(COUNTIF($A$5:A1708,A1708)&gt;1,"Duplicate","Keep")</x:f>
        <x:v>Keep</x:v>
      </x:c>
      <x:c r="AF1708" s="84" t="str">
        <x:f>IF(OR(R1708&lt;=0,AC1708&lt;B1708,H1708="Unknown",M1708="Unknown Product"),"Review","Valid")</x:f>
        <x:v>Valid</x:v>
      </x:c>
      <x:c r="AG1708" s="84" t="n">
        <x:f>IF(AND(AE1708="Keep",AF1708="Valid"),1,0)</x:f>
        <x:v>1</x:v>
      </x:c>
      <x:c r="AH1708" s="84" t="n">
        <x:f>IF(AND(AG1708=1,OR('Dashboard'!$B$4="All",I1708='Dashboard'!$B$4),OR('Dashboard'!$E$4="All",N1708='Dashboard'!$E$4),OR('Dashboard'!$H$4="All",K1708='Dashboard'!$H$4),OR('Dashboard'!$K$4="All",C1708='Dashboard'!$K$4)),1,0)</x:f>
        <x:v>1</x:v>
      </x:c>
      <x:c r="AI1708" s="84" t="n">
        <x:f>IF(AND(AG1708=1,OR('Dashboard'!$B$4="All",I1708='Dashboard'!$B$4),OR('Dashboard'!$E$4="All",N1708='Dashboard'!$E$4),OR('Dashboard'!$H$4="All",K1708='Dashboard'!$H$4)),1,0)</x:f>
        <x:v>1</x:v>
      </x:c>
    </x:row>
    <x:row r="1709">
      <x:c r="A1709" s="84" t="str">
        <x:f>'Raw Sales'!A1709</x:f>
        <x:v>ORD-2025-02392</x:v>
      </x:c>
      <x:c r="B1709" s="85" t="n">
        <x:f>'Raw Sales'!B1709</x:f>
        <x:v>45849</x:v>
      </x:c>
      <x:c r="C1709" s="84" t="n">
        <x:f>YEAR(B1709)</x:f>
        <x:v>2025</x:v>
      </x:c>
      <x:c r="D1709" s="91" t="n">
        <x:f>DATE(YEAR(B1709),MONTH(B1709),1)</x:f>
        <x:v>45839</x:v>
      </x:c>
      <x:c r="E1709" s="84" t="str">
        <x:f>TEXT(B1709,"mmm")</x:f>
        <x:v>Jul</x:v>
      </x:c>
      <x:c r="F1709" s="84" t="str">
        <x:f>'Raw Sales'!C1709</x:f>
        <x:v>CUST-0176</x:v>
      </x:c>
      <x:c r="G1709" s="84" t="str">
        <x:f>PROPER(TRIM('Raw Sales'!D1709))</x:f>
        <x:v>Grace Smith</x:v>
      </x:c>
      <x:c r="H1709" s="84" t="str">
        <x:f>IF(TRIM('Raw Sales'!E1709)="","Unknown",PROPER(TRIM('Raw Sales'!E1709)))</x:f>
        <x:v>Corporate</x:v>
      </x:c>
      <x:c r="I1709" s="84" t="str">
        <x:f>PROPER(TRIM('Raw Sales'!F1709))</x:f>
        <x:v>Northeast</x:v>
      </x:c>
      <x:c r="J1709" s="84" t="str">
        <x:f>PROPER(TRIM('Raw Sales'!G1709))</x:f>
        <x:v>New York</x:v>
      </x:c>
      <x:c r="K1709" s="84" t="str">
        <x:f>PROPER(TRIM('Raw Sales'!H1709))</x:f>
        <x:v>Online</x:v>
      </x:c>
      <x:c r="L1709" s="84" t="str">
        <x:f>'Raw Sales'!I1709</x:f>
        <x:v>ACCS-002</x:v>
      </x:c>
      <x:c r="M1709" s="84" t="str">
        <x:f>IFERROR(VLOOKUP(L1709,'Reference Data'!$A$5:$F$40,2,FALSE),"Unknown Product")</x:f>
        <x:v>Travel Backpack</x:v>
      </x:c>
      <x:c r="N1709" s="84" t="str">
        <x:f>IFERROR(VLOOKUP(L1709,'Reference Data'!$A$5:$F$40,3,FALSE),"Unknown")</x:f>
        <x:v>Accessories</x:v>
      </x:c>
      <x:c r="O1709" s="84" t="str">
        <x:f>IFERROR(VLOOKUP(L1709,'Reference Data'!$A$5:$F$40,4,FALSE),"Unknown")</x:f>
        <x:v>Bags</x:v>
      </x:c>
      <x:c r="P1709" s="92" t="n">
        <x:f>IFERROR(VLOOKUP(L1709,'Reference Data'!$A$5:$F$40,5,FALSE),0)</x:f>
        <x:v>89</x:v>
      </x:c>
      <x:c r="Q1709" s="92" t="n">
        <x:f>IFERROR(VLOOKUP(L1709,'Reference Data'!$A$5:$F$40,6,FALSE),0)</x:f>
        <x:v>36</x:v>
      </x:c>
      <x:c r="R1709" s="84" t="n">
        <x:f>'Raw Sales'!J1709</x:f>
        <x:v>2</x:v>
      </x:c>
      <x:c r="S1709" s="87" t="n">
        <x:f>'Raw Sales'!K1709</x:f>
        <x:v>0.15</x:v>
      </x:c>
      <x:c r="T1709" s="93" t="n">
        <x:f>P1709*R1709</x:f>
        <x:v>178</x:v>
      </x:c>
      <x:c r="U1709" s="93" t="n">
        <x:f>T1709*S1709</x:f>
        <x:v>26.7</x:v>
      </x:c>
      <x:c r="V1709" s="93" t="str">
        <x:f>PROPER(TRIM('Raw Sales'!L1709))</x:f>
        <x:v>Completed</x:v>
      </x:c>
      <x:c r="W1709" s="93" t="n">
        <x:f>IF(V1709="Returned",0,T1709-U1709)</x:f>
        <x:v>151.3</x:v>
      </x:c>
      <x:c r="X1709" s="93" t="n">
        <x:f>IF(V1709="Returned",Q1709*R1709*10%,Q1709*R1709)</x:f>
        <x:v>72</x:v>
      </x:c>
      <x:c r="Y1709" s="93" t="n">
        <x:f>W1709-X1709</x:f>
        <x:v>79.30000000000001</x:v>
      </x:c>
      <x:c r="Z1709" s="94" t="n">
        <x:f>IFERROR(Y1709/W1709,0)</x:f>
        <x:v>0.5241242564441507</x:v>
      </x:c>
      <x:c r="AA1709" s="84" t="str">
        <x:f>PROPER(TRIM('Raw Sales'!M1709))</x:f>
        <x:v>Credit Card</x:v>
      </x:c>
      <x:c r="AB1709" s="84" t="str">
        <x:f>PROPER(TRIM('Raw Sales'!N1709))</x:f>
        <x:v>Maya Brooks</x:v>
      </x:c>
      <x:c r="AC1709" s="85" t="n">
        <x:f>'Raw Sales'!O1709</x:f>
        <x:v>45852</x:v>
      </x:c>
      <x:c r="AD1709" s="84" t="n">
        <x:f>AC1709-B1709</x:f>
        <x:v>3</x:v>
      </x:c>
      <x:c r="AE1709" s="84" t="str">
        <x:f>IF(COUNTIF($A$5:A1709,A1709)&gt;1,"Duplicate","Keep")</x:f>
        <x:v>Keep</x:v>
      </x:c>
      <x:c r="AF1709" s="84" t="str">
        <x:f>IF(OR(R1709&lt;=0,AC1709&lt;B1709,H1709="Unknown",M1709="Unknown Product"),"Review","Valid")</x:f>
        <x:v>Valid</x:v>
      </x:c>
      <x:c r="AG1709" s="84" t="n">
        <x:f>IF(AND(AE1709="Keep",AF1709="Valid"),1,0)</x:f>
        <x:v>1</x:v>
      </x:c>
      <x:c r="AH1709" s="84" t="n">
        <x:f>IF(AND(AG1709=1,OR('Dashboard'!$B$4="All",I1709='Dashboard'!$B$4),OR('Dashboard'!$E$4="All",N1709='Dashboard'!$E$4),OR('Dashboard'!$H$4="All",K1709='Dashboard'!$H$4),OR('Dashboard'!$K$4="All",C1709='Dashboard'!$K$4)),1,0)</x:f>
        <x:v>1</x:v>
      </x:c>
      <x:c r="AI1709" s="84" t="n">
        <x:f>IF(AND(AG1709=1,OR('Dashboard'!$B$4="All",I1709='Dashboard'!$B$4),OR('Dashboard'!$E$4="All",N1709='Dashboard'!$E$4),OR('Dashboard'!$H$4="All",K1709='Dashboard'!$H$4)),1,0)</x:f>
        <x:v>1</x:v>
      </x:c>
    </x:row>
    <x:row r="1710">
      <x:c r="A1710" s="84" t="str">
        <x:f>'Raw Sales'!A1710</x:f>
        <x:v>ORD-2025-01054</x:v>
      </x:c>
      <x:c r="B1710" s="85" t="n">
        <x:f>'Raw Sales'!B1710</x:f>
        <x:v>45850</x:v>
      </x:c>
      <x:c r="C1710" s="84" t="n">
        <x:f>YEAR(B1710)</x:f>
        <x:v>2025</x:v>
      </x:c>
      <x:c r="D1710" s="91" t="n">
        <x:f>DATE(YEAR(B1710),MONTH(B1710),1)</x:f>
        <x:v>45839</x:v>
      </x:c>
      <x:c r="E1710" s="84" t="str">
        <x:f>TEXT(B1710,"mmm")</x:f>
        <x:v>Jul</x:v>
      </x:c>
      <x:c r="F1710" s="84" t="str">
        <x:f>'Raw Sales'!C1710</x:f>
        <x:v>CUST-0250</x:v>
      </x:c>
      <x:c r="G1710" s="84" t="str">
        <x:f>PROPER(TRIM('Raw Sales'!D1710))</x:f>
        <x:v>Theo Young</x:v>
      </x:c>
      <x:c r="H1710" s="84" t="str">
        <x:f>IF(TRIM('Raw Sales'!E1710)="","Unknown",PROPER(TRIM('Raw Sales'!E1710)))</x:f>
        <x:v>Corporate</x:v>
      </x:c>
      <x:c r="I1710" s="84" t="str">
        <x:f>PROPER(TRIM('Raw Sales'!F1710))</x:f>
        <x:v>Northeast</x:v>
      </x:c>
      <x:c r="J1710" s="84" t="str">
        <x:f>PROPER(TRIM('Raw Sales'!G1710))</x:f>
        <x:v>Philadelphia</x:v>
      </x:c>
      <x:c r="K1710" s="84" t="str">
        <x:f>PROPER(TRIM('Raw Sales'!H1710))</x:f>
        <x:v>Marketplace</x:v>
      </x:c>
      <x:c r="L1710" s="84" t="str">
        <x:f>'Raw Sales'!I1710</x:f>
        <x:v>ACCS-002</x:v>
      </x:c>
      <x:c r="M1710" s="84" t="str">
        <x:f>IFERROR(VLOOKUP(L1710,'Reference Data'!$A$5:$F$40,2,FALSE),"Unknown Product")</x:f>
        <x:v>Travel Backpack</x:v>
      </x:c>
      <x:c r="N1710" s="84" t="str">
        <x:f>IFERROR(VLOOKUP(L1710,'Reference Data'!$A$5:$F$40,3,FALSE),"Unknown")</x:f>
        <x:v>Accessories</x:v>
      </x:c>
      <x:c r="O1710" s="84" t="str">
        <x:f>IFERROR(VLOOKUP(L1710,'Reference Data'!$A$5:$F$40,4,FALSE),"Unknown")</x:f>
        <x:v>Bags</x:v>
      </x:c>
      <x:c r="P1710" s="92" t="n">
        <x:f>IFERROR(VLOOKUP(L1710,'Reference Data'!$A$5:$F$40,5,FALSE),0)</x:f>
        <x:v>89</x:v>
      </x:c>
      <x:c r="Q1710" s="92" t="n">
        <x:f>IFERROR(VLOOKUP(L1710,'Reference Data'!$A$5:$F$40,6,FALSE),0)</x:f>
        <x:v>36</x:v>
      </x:c>
      <x:c r="R1710" s="84" t="n">
        <x:f>'Raw Sales'!J1710</x:f>
        <x:v>4</x:v>
      </x:c>
      <x:c r="S1710" s="87" t="n">
        <x:f>'Raw Sales'!K1710</x:f>
        <x:v>0.15</x:v>
      </x:c>
      <x:c r="T1710" s="93" t="n">
        <x:f>P1710*R1710</x:f>
        <x:v>356</x:v>
      </x:c>
      <x:c r="U1710" s="93" t="n">
        <x:f>T1710*S1710</x:f>
        <x:v>53.4</x:v>
      </x:c>
      <x:c r="V1710" s="93" t="str">
        <x:f>PROPER(TRIM('Raw Sales'!L1710))</x:f>
        <x:v>Completed</x:v>
      </x:c>
      <x:c r="W1710" s="93" t="n">
        <x:f>IF(V1710="Returned",0,T1710-U1710)</x:f>
        <x:v>302.6</x:v>
      </x:c>
      <x:c r="X1710" s="93" t="n">
        <x:f>IF(V1710="Returned",Q1710*R1710*10%,Q1710*R1710)</x:f>
        <x:v>144</x:v>
      </x:c>
      <x:c r="Y1710" s="93" t="n">
        <x:f>W1710-X1710</x:f>
        <x:v>158.60000000000002</x:v>
      </x:c>
      <x:c r="Z1710" s="94" t="n">
        <x:f>IFERROR(Y1710/W1710,0)</x:f>
        <x:v>0.5241242564441507</x:v>
      </x:c>
      <x:c r="AA1710" s="84" t="str">
        <x:f>PROPER(TRIM('Raw Sales'!M1710))</x:f>
        <x:v>Credit Card</x:v>
      </x:c>
      <x:c r="AB1710" s="84" t="str">
        <x:f>PROPER(TRIM('Raw Sales'!N1710))</x:f>
        <x:v>Maya Brooks</x:v>
      </x:c>
      <x:c r="AC1710" s="85" t="n">
        <x:f>'Raw Sales'!O1710</x:f>
        <x:v>45855</x:v>
      </x:c>
      <x:c r="AD1710" s="84" t="n">
        <x:f>AC1710-B1710</x:f>
        <x:v>5</x:v>
      </x:c>
      <x:c r="AE1710" s="84" t="str">
        <x:f>IF(COUNTIF($A$5:A1710,A1710)&gt;1,"Duplicate","Keep")</x:f>
        <x:v>Keep</x:v>
      </x:c>
      <x:c r="AF1710" s="84" t="str">
        <x:f>IF(OR(R1710&lt;=0,AC1710&lt;B1710,H1710="Unknown",M1710="Unknown Product"),"Review","Valid")</x:f>
        <x:v>Valid</x:v>
      </x:c>
      <x:c r="AG1710" s="84" t="n">
        <x:f>IF(AND(AE1710="Keep",AF1710="Valid"),1,0)</x:f>
        <x:v>1</x:v>
      </x:c>
      <x:c r="AH1710" s="84" t="n">
        <x:f>IF(AND(AG1710=1,OR('Dashboard'!$B$4="All",I1710='Dashboard'!$B$4),OR('Dashboard'!$E$4="All",N1710='Dashboard'!$E$4),OR('Dashboard'!$H$4="All",K1710='Dashboard'!$H$4),OR('Dashboard'!$K$4="All",C1710='Dashboard'!$K$4)),1,0)</x:f>
        <x:v>1</x:v>
      </x:c>
      <x:c r="AI1710" s="84" t="n">
        <x:f>IF(AND(AG1710=1,OR('Dashboard'!$B$4="All",I1710='Dashboard'!$B$4),OR('Dashboard'!$E$4="All",N1710='Dashboard'!$E$4),OR('Dashboard'!$H$4="All",K1710='Dashboard'!$H$4)),1,0)</x:f>
        <x:v>1</x:v>
      </x:c>
    </x:row>
    <x:row r="1711">
      <x:c r="A1711" s="84" t="str">
        <x:f>'Raw Sales'!A1711</x:f>
        <x:v>ORD-2025-01339</x:v>
      </x:c>
      <x:c r="B1711" s="85" t="n">
        <x:f>'Raw Sales'!B1711</x:f>
        <x:v>45850</x:v>
      </x:c>
      <x:c r="C1711" s="84" t="n">
        <x:f>YEAR(B1711)</x:f>
        <x:v>2025</x:v>
      </x:c>
      <x:c r="D1711" s="91" t="n">
        <x:f>DATE(YEAR(B1711),MONTH(B1711),1)</x:f>
        <x:v>45839</x:v>
      </x:c>
      <x:c r="E1711" s="84" t="str">
        <x:f>TEXT(B1711,"mmm")</x:f>
        <x:v>Jul</x:v>
      </x:c>
      <x:c r="F1711" s="84" t="str">
        <x:f>'Raw Sales'!C1711</x:f>
        <x:v>CUST-0590</x:v>
      </x:c>
      <x:c r="G1711" s="84" t="str">
        <x:f>PROPER(TRIM('Raw Sales'!D1711))</x:f>
        <x:v>Theo Young</x:v>
      </x:c>
      <x:c r="H1711" s="84" t="str">
        <x:f>IF(TRIM('Raw Sales'!E1711)="","Unknown",PROPER(TRIM('Raw Sales'!E1711)))</x:f>
        <x:v>Consumer</x:v>
      </x:c>
      <x:c r="I1711" s="84" t="str">
        <x:f>PROPER(TRIM('Raw Sales'!F1711))</x:f>
        <x:v>Southeast</x:v>
      </x:c>
      <x:c r="J1711" s="84" t="str">
        <x:f>PROPER(TRIM('Raw Sales'!G1711))</x:f>
        <x:v>Atlanta</x:v>
      </x:c>
      <x:c r="K1711" s="84" t="str">
        <x:f>PROPER(TRIM('Raw Sales'!H1711))</x:f>
        <x:v>Online</x:v>
      </x:c>
      <x:c r="L1711" s="84" t="str">
        <x:f>'Raw Sales'!I1711</x:f>
        <x:v>ACCS-001</x:v>
      </x:c>
      <x:c r="M1711" s="84" t="str">
        <x:f>IFERROR(VLOOKUP(L1711,'Reference Data'!$A$5:$F$40,2,FALSE),"Unknown Product")</x:f>
        <x:v>Canvas Tote Bag</x:v>
      </x:c>
      <x:c r="N1711" s="84" t="str">
        <x:f>IFERROR(VLOOKUP(L1711,'Reference Data'!$A$5:$F$40,3,FALSE),"Unknown")</x:f>
        <x:v>Accessories</x:v>
      </x:c>
      <x:c r="O1711" s="84" t="str">
        <x:f>IFERROR(VLOOKUP(L1711,'Reference Data'!$A$5:$F$40,4,FALSE),"Unknown")</x:f>
        <x:v>Bags</x:v>
      </x:c>
      <x:c r="P1711" s="92" t="n">
        <x:f>IFERROR(VLOOKUP(L1711,'Reference Data'!$A$5:$F$40,5,FALSE),0)</x:f>
        <x:v>39</x:v>
      </x:c>
      <x:c r="Q1711" s="92" t="n">
        <x:f>IFERROR(VLOOKUP(L1711,'Reference Data'!$A$5:$F$40,6,FALSE),0)</x:f>
        <x:v>14</x:v>
      </x:c>
      <x:c r="R1711" s="84" t="n">
        <x:f>'Raw Sales'!J1711</x:f>
        <x:v>1</x:v>
      </x:c>
      <x:c r="S1711" s="87" t="n">
        <x:f>'Raw Sales'!K1711</x:f>
        <x:v>0.05</x:v>
      </x:c>
      <x:c r="T1711" s="93" t="n">
        <x:f>P1711*R1711</x:f>
        <x:v>39</x:v>
      </x:c>
      <x:c r="U1711" s="93" t="n">
        <x:f>T1711*S1711</x:f>
        <x:v>1.9500000000000002</x:v>
      </x:c>
      <x:c r="V1711" s="93" t="str">
        <x:f>PROPER(TRIM('Raw Sales'!L1711))</x:f>
        <x:v>Completed</x:v>
      </x:c>
      <x:c r="W1711" s="93" t="n">
        <x:f>IF(V1711="Returned",0,T1711-U1711)</x:f>
        <x:v>37.05</x:v>
      </x:c>
      <x:c r="X1711" s="93" t="n">
        <x:f>IF(V1711="Returned",Q1711*R1711*10%,Q1711*R1711)</x:f>
        <x:v>14</x:v>
      </x:c>
      <x:c r="Y1711" s="93" t="n">
        <x:f>W1711-X1711</x:f>
        <x:v>23.049999999999997</x:v>
      </x:c>
      <x:c r="Z1711" s="94" t="n">
        <x:f>IFERROR(Y1711/W1711,0)</x:f>
        <x:v>0.6221322537112011</x:v>
      </x:c>
      <x:c r="AA1711" s="84" t="str">
        <x:f>PROPER(TRIM('Raw Sales'!M1711))</x:f>
        <x:v>Debit Card</x:v>
      </x:c>
      <x:c r="AB1711" s="84" t="str">
        <x:f>PROPER(TRIM('Raw Sales'!N1711))</x:f>
        <x:v>Ava Mitchell</x:v>
      </x:c>
      <x:c r="AC1711" s="85" t="n">
        <x:f>'Raw Sales'!O1711</x:f>
        <x:v>45852</x:v>
      </x:c>
      <x:c r="AD1711" s="84" t="n">
        <x:f>AC1711-B1711</x:f>
        <x:v>2</x:v>
      </x:c>
      <x:c r="AE1711" s="84" t="str">
        <x:f>IF(COUNTIF($A$5:A1711,A1711)&gt;1,"Duplicate","Keep")</x:f>
        <x:v>Keep</x:v>
      </x:c>
      <x:c r="AF1711" s="84" t="str">
        <x:f>IF(OR(R1711&lt;=0,AC1711&lt;B1711,H1711="Unknown",M1711="Unknown Product"),"Review","Valid")</x:f>
        <x:v>Valid</x:v>
      </x:c>
      <x:c r="AG1711" s="84" t="n">
        <x:f>IF(AND(AE1711="Keep",AF1711="Valid"),1,0)</x:f>
        <x:v>1</x:v>
      </x:c>
      <x:c r="AH1711" s="84" t="n">
        <x:f>IF(AND(AG1711=1,OR('Dashboard'!$B$4="All",I1711='Dashboard'!$B$4),OR('Dashboard'!$E$4="All",N1711='Dashboard'!$E$4),OR('Dashboard'!$H$4="All",K1711='Dashboard'!$H$4),OR('Dashboard'!$K$4="All",C1711='Dashboard'!$K$4)),1,0)</x:f>
        <x:v>1</x:v>
      </x:c>
      <x:c r="AI1711" s="84" t="n">
        <x:f>IF(AND(AG1711=1,OR('Dashboard'!$B$4="All",I1711='Dashboard'!$B$4),OR('Dashboard'!$E$4="All",N1711='Dashboard'!$E$4),OR('Dashboard'!$H$4="All",K1711='Dashboard'!$H$4)),1,0)</x:f>
        <x:v>1</x:v>
      </x:c>
    </x:row>
    <x:row r="1712">
      <x:c r="A1712" s="84" t="str">
        <x:f>'Raw Sales'!A1712</x:f>
        <x:v>ORD-2025-02047</x:v>
      </x:c>
      <x:c r="B1712" s="85" t="n">
        <x:f>'Raw Sales'!B1712</x:f>
        <x:v>45850</x:v>
      </x:c>
      <x:c r="C1712" s="84" t="n">
        <x:f>YEAR(B1712)</x:f>
        <x:v>2025</x:v>
      </x:c>
      <x:c r="D1712" s="91" t="n">
        <x:f>DATE(YEAR(B1712),MONTH(B1712),1)</x:f>
        <x:v>45839</x:v>
      </x:c>
      <x:c r="E1712" s="84" t="str">
        <x:f>TEXT(B1712,"mmm")</x:f>
        <x:v>Jul</x:v>
      </x:c>
      <x:c r="F1712" s="84" t="str">
        <x:f>'Raw Sales'!C1712</x:f>
        <x:v>CUST-0041</x:v>
      </x:c>
      <x:c r="G1712" s="84" t="str">
        <x:f>PROPER(TRIM('Raw Sales'!D1712))</x:f>
        <x:v>Isaac Evans</x:v>
      </x:c>
      <x:c r="H1712" s="84" t="str">
        <x:f>IF(TRIM('Raw Sales'!E1712)="","Unknown",PROPER(TRIM('Raw Sales'!E1712)))</x:f>
        <x:v>Consumer</x:v>
      </x:c>
      <x:c r="I1712" s="84" t="str">
        <x:f>PROPER(TRIM('Raw Sales'!F1712))</x:f>
        <x:v>Midwest</x:v>
      </x:c>
      <x:c r="J1712" s="84" t="str">
        <x:f>PROPER(TRIM('Raw Sales'!G1712))</x:f>
        <x:v>Detroit</x:v>
      </x:c>
      <x:c r="K1712" s="84" t="str">
        <x:f>PROPER(TRIM('Raw Sales'!H1712))</x:f>
        <x:v>Online</x:v>
      </x:c>
      <x:c r="L1712" s="84" t="str">
        <x:f>'Raw Sales'!I1712</x:f>
        <x:v>OFFC-002</x:v>
      </x:c>
      <x:c r="M1712" s="84" t="str">
        <x:f>IFERROR(VLOOKUP(L1712,'Reference Data'!$A$5:$F$40,2,FALSE),"Unknown Product")</x:f>
        <x:v>Standing Desk</x:v>
      </x:c>
      <x:c r="N1712" s="84" t="str">
        <x:f>IFERROR(VLOOKUP(L1712,'Reference Data'!$A$5:$F$40,3,FALSE),"Unknown")</x:f>
        <x:v>Office</x:v>
      </x:c>
      <x:c r="O1712" s="84" t="str">
        <x:f>IFERROR(VLOOKUP(L1712,'Reference Data'!$A$5:$F$40,4,FALSE),"Unknown")</x:f>
        <x:v>Furniture</x:v>
      </x:c>
      <x:c r="P1712" s="92" t="n">
        <x:f>IFERROR(VLOOKUP(L1712,'Reference Data'!$A$5:$F$40,5,FALSE),0)</x:f>
        <x:v>399</x:v>
      </x:c>
      <x:c r="Q1712" s="92" t="n">
        <x:f>IFERROR(VLOOKUP(L1712,'Reference Data'!$A$5:$F$40,6,FALSE),0)</x:f>
        <x:v>235</x:v>
      </x:c>
      <x:c r="R1712" s="84" t="n">
        <x:f>'Raw Sales'!J1712</x:f>
        <x:v>1</x:v>
      </x:c>
      <x:c r="S1712" s="87" t="n">
        <x:f>'Raw Sales'!K1712</x:f>
        <x:v>0</x:v>
      </x:c>
      <x:c r="T1712" s="93" t="n">
        <x:f>P1712*R1712</x:f>
        <x:v>399</x:v>
      </x:c>
      <x:c r="U1712" s="93" t="n">
        <x:f>T1712*S1712</x:f>
        <x:v>0</x:v>
      </x:c>
      <x:c r="V1712" s="93" t="str">
        <x:f>PROPER(TRIM('Raw Sales'!L1712))</x:f>
        <x:v>Completed</x:v>
      </x:c>
      <x:c r="W1712" s="93" t="n">
        <x:f>IF(V1712="Returned",0,T1712-U1712)</x:f>
        <x:v>399</x:v>
      </x:c>
      <x:c r="X1712" s="93" t="n">
        <x:f>IF(V1712="Returned",Q1712*R1712*10%,Q1712*R1712)</x:f>
        <x:v>235</x:v>
      </x:c>
      <x:c r="Y1712" s="93" t="n">
        <x:f>W1712-X1712</x:f>
        <x:v>164</x:v>
      </x:c>
      <x:c r="Z1712" s="94" t="n">
        <x:f>IFERROR(Y1712/W1712,0)</x:f>
        <x:v>0.41102756892230574</x:v>
      </x:c>
      <x:c r="AA1712" s="84" t="str">
        <x:f>PROPER(TRIM('Raw Sales'!M1712))</x:f>
        <x:v>Credit Card</x:v>
      </x:c>
      <x:c r="AB1712" s="84" t="str">
        <x:f>PROPER(TRIM('Raw Sales'!N1712))</x:f>
        <x:v>Lucas Grant</x:v>
      </x:c>
      <x:c r="AC1712" s="85" t="n">
        <x:f>'Raw Sales'!O1712</x:f>
        <x:v>45854</x:v>
      </x:c>
      <x:c r="AD1712" s="84" t="n">
        <x:f>AC1712-B1712</x:f>
        <x:v>4</x:v>
      </x:c>
      <x:c r="AE1712" s="84" t="str">
        <x:f>IF(COUNTIF($A$5:A1712,A1712)&gt;1,"Duplicate","Keep")</x:f>
        <x:v>Keep</x:v>
      </x:c>
      <x:c r="AF1712" s="84" t="str">
        <x:f>IF(OR(R1712&lt;=0,AC1712&lt;B1712,H1712="Unknown",M1712="Unknown Product"),"Review","Valid")</x:f>
        <x:v>Valid</x:v>
      </x:c>
      <x:c r="AG1712" s="84" t="n">
        <x:f>IF(AND(AE1712="Keep",AF1712="Valid"),1,0)</x:f>
        <x:v>1</x:v>
      </x:c>
      <x:c r="AH1712" s="84" t="n">
        <x:f>IF(AND(AG1712=1,OR('Dashboard'!$B$4="All",I1712='Dashboard'!$B$4),OR('Dashboard'!$E$4="All",N1712='Dashboard'!$E$4),OR('Dashboard'!$H$4="All",K1712='Dashboard'!$H$4),OR('Dashboard'!$K$4="All",C1712='Dashboard'!$K$4)),1,0)</x:f>
        <x:v>1</x:v>
      </x:c>
      <x:c r="AI1712" s="84" t="n">
        <x:f>IF(AND(AG1712=1,OR('Dashboard'!$B$4="All",I1712='Dashboard'!$B$4),OR('Dashboard'!$E$4="All",N1712='Dashboard'!$E$4),OR('Dashboard'!$H$4="All",K1712='Dashboard'!$H$4)),1,0)</x:f>
        <x:v>1</x:v>
      </x:c>
    </x:row>
    <x:row r="1713">
      <x:c r="A1713" s="84" t="str">
        <x:f>'Raw Sales'!A1713</x:f>
        <x:v>ORD-2025-00769</x:v>
      </x:c>
      <x:c r="B1713" s="85" t="n">
        <x:f>'Raw Sales'!B1713</x:f>
        <x:v>45851</x:v>
      </x:c>
      <x:c r="C1713" s="84" t="n">
        <x:f>YEAR(B1713)</x:f>
        <x:v>2025</x:v>
      </x:c>
      <x:c r="D1713" s="91" t="n">
        <x:f>DATE(YEAR(B1713),MONTH(B1713),1)</x:f>
        <x:v>45839</x:v>
      </x:c>
      <x:c r="E1713" s="84" t="str">
        <x:f>TEXT(B1713,"mmm")</x:f>
        <x:v>Jul</x:v>
      </x:c>
      <x:c r="F1713" s="84" t="str">
        <x:f>'Raw Sales'!C1713</x:f>
        <x:v>CUST-0418</x:v>
      </x:c>
      <x:c r="G1713" s="84" t="str">
        <x:f>PROPER(TRIM('Raw Sales'!D1713))</x:f>
        <x:v>Grace Ortiz</x:v>
      </x:c>
      <x:c r="H1713" s="84" t="str">
        <x:f>IF(TRIM('Raw Sales'!E1713)="","Unknown",PROPER(TRIM('Raw Sales'!E1713)))</x:f>
        <x:v>Small Business</x:v>
      </x:c>
      <x:c r="I1713" s="84" t="str">
        <x:f>PROPER(TRIM('Raw Sales'!F1713))</x:f>
        <x:v>West</x:v>
      </x:c>
      <x:c r="J1713" s="84" t="str">
        <x:f>PROPER(TRIM('Raw Sales'!G1713))</x:f>
        <x:v>Seattle</x:v>
      </x:c>
      <x:c r="K1713" s="84" t="str">
        <x:f>PROPER(TRIM('Raw Sales'!H1713))</x:f>
        <x:v>Online</x:v>
      </x:c>
      <x:c r="L1713" s="84" t="str">
        <x:f>'Raw Sales'!I1713</x:f>
        <x:v>ACCS-003</x:v>
      </x:c>
      <x:c r="M1713" s="84" t="str">
        <x:f>IFERROR(VLOOKUP(L1713,'Reference Data'!$A$5:$F$40,2,FALSE),"Unknown Product")</x:f>
        <x:v>Polarized Sunglasses</x:v>
      </x:c>
      <x:c r="N1713" s="84" t="str">
        <x:f>IFERROR(VLOOKUP(L1713,'Reference Data'!$A$5:$F$40,3,FALSE),"Unknown")</x:f>
        <x:v>Accessories</x:v>
      </x:c>
      <x:c r="O1713" s="84" t="str">
        <x:f>IFERROR(VLOOKUP(L1713,'Reference Data'!$A$5:$F$40,4,FALSE),"Unknown")</x:f>
        <x:v>Eyewear</x:v>
      </x:c>
      <x:c r="P1713" s="92" t="n">
        <x:f>IFERROR(VLOOKUP(L1713,'Reference Data'!$A$5:$F$40,5,FALSE),0)</x:f>
        <x:v>59</x:v>
      </x:c>
      <x:c r="Q1713" s="92" t="n">
        <x:f>IFERROR(VLOOKUP(L1713,'Reference Data'!$A$5:$F$40,6,FALSE),0)</x:f>
        <x:v>17</x:v>
      </x:c>
      <x:c r="R1713" s="84" t="n">
        <x:f>'Raw Sales'!J1713</x:f>
        <x:v>2</x:v>
      </x:c>
      <x:c r="S1713" s="87" t="n">
        <x:f>'Raw Sales'!K1713</x:f>
        <x:v>0.1</x:v>
      </x:c>
      <x:c r="T1713" s="93" t="n">
        <x:f>P1713*R1713</x:f>
        <x:v>118</x:v>
      </x:c>
      <x:c r="U1713" s="93" t="n">
        <x:f>T1713*S1713</x:f>
        <x:v>11.8</x:v>
      </x:c>
      <x:c r="V1713" s="93" t="str">
        <x:f>PROPER(TRIM('Raw Sales'!L1713))</x:f>
        <x:v>Completed</x:v>
      </x:c>
      <x:c r="W1713" s="93" t="n">
        <x:f>IF(V1713="Returned",0,T1713-U1713)</x:f>
        <x:v>106.2</x:v>
      </x:c>
      <x:c r="X1713" s="93" t="n">
        <x:f>IF(V1713="Returned",Q1713*R1713*10%,Q1713*R1713)</x:f>
        <x:v>34</x:v>
      </x:c>
      <x:c r="Y1713" s="93" t="n">
        <x:f>W1713-X1713</x:f>
        <x:v>72.2</x:v>
      </x:c>
      <x:c r="Z1713" s="94" t="n">
        <x:f>IFERROR(Y1713/W1713,0)</x:f>
        <x:v>0.67984934086629</x:v>
      </x:c>
      <x:c r="AA1713" s="84" t="str">
        <x:f>PROPER(TRIM('Raw Sales'!M1713))</x:f>
        <x:v>Debit Card</x:v>
      </x:c>
      <x:c r="AB1713" s="84" t="str">
        <x:f>PROPER(TRIM('Raw Sales'!N1713))</x:f>
        <x:v>Leo Martinez</x:v>
      </x:c>
      <x:c r="AC1713" s="85" t="n">
        <x:f>'Raw Sales'!O1713</x:f>
        <x:v>45853</x:v>
      </x:c>
      <x:c r="AD1713" s="84" t="n">
        <x:f>AC1713-B1713</x:f>
        <x:v>2</x:v>
      </x:c>
      <x:c r="AE1713" s="84" t="str">
        <x:f>IF(COUNTIF($A$5:A1713,A1713)&gt;1,"Duplicate","Keep")</x:f>
        <x:v>Keep</x:v>
      </x:c>
      <x:c r="AF1713" s="84" t="str">
        <x:f>IF(OR(R1713&lt;=0,AC1713&lt;B1713,H1713="Unknown",M1713="Unknown Product"),"Review","Valid")</x:f>
        <x:v>Valid</x:v>
      </x:c>
      <x:c r="AG1713" s="84" t="n">
        <x:f>IF(AND(AE1713="Keep",AF1713="Valid"),1,0)</x:f>
        <x:v>1</x:v>
      </x:c>
      <x:c r="AH1713" s="84" t="n">
        <x:f>IF(AND(AG1713=1,OR('Dashboard'!$B$4="All",I1713='Dashboard'!$B$4),OR('Dashboard'!$E$4="All",N1713='Dashboard'!$E$4),OR('Dashboard'!$H$4="All",K1713='Dashboard'!$H$4),OR('Dashboard'!$K$4="All",C1713='Dashboard'!$K$4)),1,0)</x:f>
        <x:v>1</x:v>
      </x:c>
      <x:c r="AI1713" s="84" t="n">
        <x:f>IF(AND(AG1713=1,OR('Dashboard'!$B$4="All",I1713='Dashboard'!$B$4),OR('Dashboard'!$E$4="All",N1713='Dashboard'!$E$4),OR('Dashboard'!$H$4="All",K1713='Dashboard'!$H$4)),1,0)</x:f>
        <x:v>1</x:v>
      </x:c>
    </x:row>
    <x:row r="1714">
      <x:c r="A1714" s="84" t="str">
        <x:f>'Raw Sales'!A1714</x:f>
        <x:v>ORD-2025-00949</x:v>
      </x:c>
      <x:c r="B1714" s="85" t="n">
        <x:f>'Raw Sales'!B1714</x:f>
        <x:v>45851</x:v>
      </x:c>
      <x:c r="C1714" s="84" t="n">
        <x:f>YEAR(B1714)</x:f>
        <x:v>2025</x:v>
      </x:c>
      <x:c r="D1714" s="91" t="n">
        <x:f>DATE(YEAR(B1714),MONTH(B1714),1)</x:f>
        <x:v>45839</x:v>
      </x:c>
      <x:c r="E1714" s="84" t="str">
        <x:f>TEXT(B1714,"mmm")</x:f>
        <x:v>Jul</x:v>
      </x:c>
      <x:c r="F1714" s="84" t="str">
        <x:f>'Raw Sales'!C1714</x:f>
        <x:v>CUST-0194</x:v>
      </x:c>
      <x:c r="G1714" s="84" t="str">
        <x:f>PROPER(TRIM('Raw Sales'!D1714))</x:f>
        <x:v>Samuel Roberts</x:v>
      </x:c>
      <x:c r="H1714" s="84" t="str">
        <x:f>IF(TRIM('Raw Sales'!E1714)="","Unknown",PROPER(TRIM('Raw Sales'!E1714)))</x:f>
        <x:v>Small Business</x:v>
      </x:c>
      <x:c r="I1714" s="84" t="str">
        <x:f>PROPER(TRIM('Raw Sales'!F1714))</x:f>
        <x:v>Southeast</x:v>
      </x:c>
      <x:c r="J1714" s="84" t="str">
        <x:f>PROPER(TRIM('Raw Sales'!G1714))</x:f>
        <x:v>Atlanta</x:v>
      </x:c>
      <x:c r="K1714" s="84" t="str">
        <x:f>PROPER(TRIM('Raw Sales'!H1714))</x:f>
        <x:v>Retail Store</x:v>
      </x:c>
      <x:c r="L1714" s="84" t="str">
        <x:f>'Raw Sales'!I1714</x:f>
        <x:v>OFFC-004</x:v>
      </x:c>
      <x:c r="M1714" s="84" t="str">
        <x:f>IFERROR(VLOOKUP(L1714,'Reference Data'!$A$5:$F$40,2,FALSE),"Unknown Product")</x:f>
        <x:v>Premium Notebook Pack</x:v>
      </x:c>
      <x:c r="N1714" s="84" t="str">
        <x:f>IFERROR(VLOOKUP(L1714,'Reference Data'!$A$5:$F$40,3,FALSE),"Unknown")</x:f>
        <x:v>Office</x:v>
      </x:c>
      <x:c r="O1714" s="84" t="str">
        <x:f>IFERROR(VLOOKUP(L1714,'Reference Data'!$A$5:$F$40,4,FALSE),"Unknown")</x:f>
        <x:v>Stationery</x:v>
      </x:c>
      <x:c r="P1714" s="92" t="n">
        <x:f>IFERROR(VLOOKUP(L1714,'Reference Data'!$A$5:$F$40,5,FALSE),0)</x:f>
        <x:v>18</x:v>
      </x:c>
      <x:c r="Q1714" s="92" t="n">
        <x:f>IFERROR(VLOOKUP(L1714,'Reference Data'!$A$5:$F$40,6,FALSE),0)</x:f>
        <x:v>6.5</x:v>
      </x:c>
      <x:c r="R1714" s="84" t="n">
        <x:f>'Raw Sales'!J1714</x:f>
        <x:v>2</x:v>
      </x:c>
      <x:c r="S1714" s="87" t="n">
        <x:f>'Raw Sales'!K1714</x:f>
        <x:v>0</x:v>
      </x:c>
      <x:c r="T1714" s="93" t="n">
        <x:f>P1714*R1714</x:f>
        <x:v>36</x:v>
      </x:c>
      <x:c r="U1714" s="93" t="n">
        <x:f>T1714*S1714</x:f>
        <x:v>0</x:v>
      </x:c>
      <x:c r="V1714" s="93" t="str">
        <x:f>PROPER(TRIM('Raw Sales'!L1714))</x:f>
        <x:v>Completed</x:v>
      </x:c>
      <x:c r="W1714" s="93" t="n">
        <x:f>IF(V1714="Returned",0,T1714-U1714)</x:f>
        <x:v>36</x:v>
      </x:c>
      <x:c r="X1714" s="93" t="n">
        <x:f>IF(V1714="Returned",Q1714*R1714*10%,Q1714*R1714)</x:f>
        <x:v>13</x:v>
      </x:c>
      <x:c r="Y1714" s="93" t="n">
        <x:f>W1714-X1714</x:f>
        <x:v>23</x:v>
      </x:c>
      <x:c r="Z1714" s="94" t="n">
        <x:f>IFERROR(Y1714/W1714,0)</x:f>
        <x:v>0.6388888888888888</x:v>
      </x:c>
      <x:c r="AA1714" s="84" t="str">
        <x:f>PROPER(TRIM('Raw Sales'!M1714))</x:f>
        <x:v>Debit Card</x:v>
      </x:c>
      <x:c r="AB1714" s="84" t="str">
        <x:f>PROPER(TRIM('Raw Sales'!N1714))</x:f>
        <x:v>Liam Parker</x:v>
      </x:c>
      <x:c r="AC1714" s="85" t="n">
        <x:f>'Raw Sales'!O1714</x:f>
        <x:v>45851</x:v>
      </x:c>
      <x:c r="AD1714" s="84" t="n">
        <x:f>AC1714-B1714</x:f>
        <x:v>0</x:v>
      </x:c>
      <x:c r="AE1714" s="84" t="str">
        <x:f>IF(COUNTIF($A$5:A1714,A1714)&gt;1,"Duplicate","Keep")</x:f>
        <x:v>Keep</x:v>
      </x:c>
      <x:c r="AF1714" s="84" t="str">
        <x:f>IF(OR(R1714&lt;=0,AC1714&lt;B1714,H1714="Unknown",M1714="Unknown Product"),"Review","Valid")</x:f>
        <x:v>Valid</x:v>
      </x:c>
      <x:c r="AG1714" s="84" t="n">
        <x:f>IF(AND(AE1714="Keep",AF1714="Valid"),1,0)</x:f>
        <x:v>1</x:v>
      </x:c>
      <x:c r="AH1714" s="84" t="n">
        <x:f>IF(AND(AG1714=1,OR('Dashboard'!$B$4="All",I1714='Dashboard'!$B$4),OR('Dashboard'!$E$4="All",N1714='Dashboard'!$E$4),OR('Dashboard'!$H$4="All",K1714='Dashboard'!$H$4),OR('Dashboard'!$K$4="All",C1714='Dashboard'!$K$4)),1,0)</x:f>
        <x:v>1</x:v>
      </x:c>
      <x:c r="AI1714" s="84" t="n">
        <x:f>IF(AND(AG1714=1,OR('Dashboard'!$B$4="All",I1714='Dashboard'!$B$4),OR('Dashboard'!$E$4="All",N1714='Dashboard'!$E$4),OR('Dashboard'!$H$4="All",K1714='Dashboard'!$H$4)),1,0)</x:f>
        <x:v>1</x:v>
      </x:c>
    </x:row>
    <x:row r="1715">
      <x:c r="A1715" s="84" t="str">
        <x:f>'Raw Sales'!A1715</x:f>
        <x:v>ORD-2025-01141</x:v>
      </x:c>
      <x:c r="B1715" s="85" t="n">
        <x:f>'Raw Sales'!B1715</x:f>
        <x:v>45851</x:v>
      </x:c>
      <x:c r="C1715" s="84" t="n">
        <x:f>YEAR(B1715)</x:f>
        <x:v>2025</x:v>
      </x:c>
      <x:c r="D1715" s="91" t="n">
        <x:f>DATE(YEAR(B1715),MONTH(B1715),1)</x:f>
        <x:v>45839</x:v>
      </x:c>
      <x:c r="E1715" s="84" t="str">
        <x:f>TEXT(B1715,"mmm")</x:f>
        <x:v>Jul</x:v>
      </x:c>
      <x:c r="F1715" s="84" t="str">
        <x:f>'Raw Sales'!C1715</x:f>
        <x:v>CUST-0105</x:v>
      </x:c>
      <x:c r="G1715" s="84" t="str">
        <x:f>PROPER(TRIM('Raw Sales'!D1715))</x:f>
        <x:v>Chloe Ortiz</x:v>
      </x:c>
      <x:c r="H1715" s="84" t="str">
        <x:f>IF(TRIM('Raw Sales'!E1715)="","Unknown",PROPER(TRIM('Raw Sales'!E1715)))</x:f>
        <x:v>Corporate</x:v>
      </x:c>
      <x:c r="I1715" s="84" t="str">
        <x:f>PROPER(TRIM('Raw Sales'!F1715))</x:f>
        <x:v>West</x:v>
      </x:c>
      <x:c r="J1715" s="84" t="str">
        <x:f>PROPER(TRIM('Raw Sales'!G1715))</x:f>
        <x:v>Phoenix</x:v>
      </x:c>
      <x:c r="K1715" s="84" t="str">
        <x:f>PROPER(TRIM('Raw Sales'!H1715))</x:f>
        <x:v>Online</x:v>
      </x:c>
      <x:c r="L1715" s="84" t="str">
        <x:f>'Raw Sales'!I1715</x:f>
        <x:v>ELEC-003</x:v>
      </x:c>
      <x:c r="M1715" s="84" t="str">
        <x:f>IFERROR(VLOOKUP(L1715,'Reference Data'!$A$5:$F$40,2,FALSE),"Unknown Product")</x:f>
        <x:v>Bluetooth Speaker</x:v>
      </x:c>
      <x:c r="N1715" s="84" t="str">
        <x:f>IFERROR(VLOOKUP(L1715,'Reference Data'!$A$5:$F$40,3,FALSE),"Unknown")</x:f>
        <x:v>Electronics</x:v>
      </x:c>
      <x:c r="O1715" s="84" t="str">
        <x:f>IFERROR(VLOOKUP(L1715,'Reference Data'!$A$5:$F$40,4,FALSE),"Unknown")</x:f>
        <x:v>Audio</x:v>
      </x:c>
      <x:c r="P1715" s="92" t="n">
        <x:f>IFERROR(VLOOKUP(L1715,'Reference Data'!$A$5:$F$40,5,FALSE),0)</x:f>
        <x:v>89</x:v>
      </x:c>
      <x:c r="Q1715" s="92" t="n">
        <x:f>IFERROR(VLOOKUP(L1715,'Reference Data'!$A$5:$F$40,6,FALSE),0)</x:f>
        <x:v>44</x:v>
      </x:c>
      <x:c r="R1715" s="84" t="n">
        <x:f>'Raw Sales'!J1715</x:f>
        <x:v>5</x:v>
      </x:c>
      <x:c r="S1715" s="87" t="n">
        <x:f>'Raw Sales'!K1715</x:f>
        <x:v>0.05</x:v>
      </x:c>
      <x:c r="T1715" s="93" t="n">
        <x:f>P1715*R1715</x:f>
        <x:v>445</x:v>
      </x:c>
      <x:c r="U1715" s="93" t="n">
        <x:f>T1715*S1715</x:f>
        <x:v>22.25</x:v>
      </x:c>
      <x:c r="V1715" s="93" t="str">
        <x:f>PROPER(TRIM('Raw Sales'!L1715))</x:f>
        <x:v>Completed</x:v>
      </x:c>
      <x:c r="W1715" s="93" t="n">
        <x:f>IF(V1715="Returned",0,T1715-U1715)</x:f>
        <x:v>422.75</x:v>
      </x:c>
      <x:c r="X1715" s="93" t="n">
        <x:f>IF(V1715="Returned",Q1715*R1715*10%,Q1715*R1715)</x:f>
        <x:v>220</x:v>
      </x:c>
      <x:c r="Y1715" s="93" t="n">
        <x:f>W1715-X1715</x:f>
        <x:v>202.75</x:v>
      </x:c>
      <x:c r="Z1715" s="94" t="n">
        <x:f>IFERROR(Y1715/W1715,0)</x:f>
        <x:v>0.47959787108219987</x:v>
      </x:c>
      <x:c r="AA1715" s="84" t="str">
        <x:f>PROPER(TRIM('Raw Sales'!M1715))</x:f>
        <x:v>Mobile Wallet</x:v>
      </x:c>
      <x:c r="AB1715" s="84" t="str">
        <x:f>PROPER(TRIM('Raw Sales'!N1715))</x:f>
        <x:v>Leo Martinez</x:v>
      </x:c>
      <x:c r="AC1715" s="85" t="n">
        <x:f>'Raw Sales'!O1715</x:f>
        <x:v>45854</x:v>
      </x:c>
      <x:c r="AD1715" s="84" t="n">
        <x:f>AC1715-B1715</x:f>
        <x:v>3</x:v>
      </x:c>
      <x:c r="AE1715" s="84" t="str">
        <x:f>IF(COUNTIF($A$5:A1715,A1715)&gt;1,"Duplicate","Keep")</x:f>
        <x:v>Keep</x:v>
      </x:c>
      <x:c r="AF1715" s="84" t="str">
        <x:f>IF(OR(R1715&lt;=0,AC1715&lt;B1715,H1715="Unknown",M1715="Unknown Product"),"Review","Valid")</x:f>
        <x:v>Valid</x:v>
      </x:c>
      <x:c r="AG1715" s="84" t="n">
        <x:f>IF(AND(AE1715="Keep",AF1715="Valid"),1,0)</x:f>
        <x:v>1</x:v>
      </x:c>
      <x:c r="AH1715" s="84" t="n">
        <x:f>IF(AND(AG1715=1,OR('Dashboard'!$B$4="All",I1715='Dashboard'!$B$4),OR('Dashboard'!$E$4="All",N1715='Dashboard'!$E$4),OR('Dashboard'!$H$4="All",K1715='Dashboard'!$H$4),OR('Dashboard'!$K$4="All",C1715='Dashboard'!$K$4)),1,0)</x:f>
        <x:v>1</x:v>
      </x:c>
      <x:c r="AI1715" s="84" t="n">
        <x:f>IF(AND(AG1715=1,OR('Dashboard'!$B$4="All",I1715='Dashboard'!$B$4),OR('Dashboard'!$E$4="All",N1715='Dashboard'!$E$4),OR('Dashboard'!$H$4="All",K1715='Dashboard'!$H$4)),1,0)</x:f>
        <x:v>1</x:v>
      </x:c>
    </x:row>
    <x:row r="1716">
      <x:c r="A1716" s="84" t="str">
        <x:f>'Raw Sales'!A1716</x:f>
        <x:v>ORD-2025-01465</x:v>
      </x:c>
      <x:c r="B1716" s="85" t="n">
        <x:f>'Raw Sales'!B1716</x:f>
        <x:v>45852</x:v>
      </x:c>
      <x:c r="C1716" s="84" t="n">
        <x:f>YEAR(B1716)</x:f>
        <x:v>2025</x:v>
      </x:c>
      <x:c r="D1716" s="91" t="n">
        <x:f>DATE(YEAR(B1716),MONTH(B1716),1)</x:f>
        <x:v>45839</x:v>
      </x:c>
      <x:c r="E1716" s="84" t="str">
        <x:f>TEXT(B1716,"mmm")</x:f>
        <x:v>Jul</x:v>
      </x:c>
      <x:c r="F1716" s="84" t="str">
        <x:f>'Raw Sales'!C1716</x:f>
        <x:v>CUST-0286</x:v>
      </x:c>
      <x:c r="G1716" s="84" t="str">
        <x:f>PROPER(TRIM('Raw Sales'!D1716))</x:f>
        <x:v>Isaac Hall</x:v>
      </x:c>
      <x:c r="H1716" s="84" t="str">
        <x:f>IF(TRIM('Raw Sales'!E1716)="","Unknown",PROPER(TRIM('Raw Sales'!E1716)))</x:f>
        <x:v>Consumer</x:v>
      </x:c>
      <x:c r="I1716" s="84" t="str">
        <x:f>PROPER(TRIM('Raw Sales'!F1716))</x:f>
        <x:v>Midwest</x:v>
      </x:c>
      <x:c r="J1716" s="84" t="str">
        <x:f>PROPER(TRIM('Raw Sales'!G1716))</x:f>
        <x:v>Chicago</x:v>
      </x:c>
      <x:c r="K1716" s="84" t="str">
        <x:f>PROPER(TRIM('Raw Sales'!H1716))</x:f>
        <x:v>Online</x:v>
      </x:c>
      <x:c r="L1716" s="84" t="str">
        <x:f>'Raw Sales'!I1716</x:f>
        <x:v>OFFC-002</x:v>
      </x:c>
      <x:c r="M1716" s="84" t="str">
        <x:f>IFERROR(VLOOKUP(L1716,'Reference Data'!$A$5:$F$40,2,FALSE),"Unknown Product")</x:f>
        <x:v>Standing Desk</x:v>
      </x:c>
      <x:c r="N1716" s="84" t="str">
        <x:f>IFERROR(VLOOKUP(L1716,'Reference Data'!$A$5:$F$40,3,FALSE),"Unknown")</x:f>
        <x:v>Office</x:v>
      </x:c>
      <x:c r="O1716" s="84" t="str">
        <x:f>IFERROR(VLOOKUP(L1716,'Reference Data'!$A$5:$F$40,4,FALSE),"Unknown")</x:f>
        <x:v>Furniture</x:v>
      </x:c>
      <x:c r="P1716" s="92" t="n">
        <x:f>IFERROR(VLOOKUP(L1716,'Reference Data'!$A$5:$F$40,5,FALSE),0)</x:f>
        <x:v>399</x:v>
      </x:c>
      <x:c r="Q1716" s="92" t="n">
        <x:f>IFERROR(VLOOKUP(L1716,'Reference Data'!$A$5:$F$40,6,FALSE),0)</x:f>
        <x:v>235</x:v>
      </x:c>
      <x:c r="R1716" s="84" t="n">
        <x:f>'Raw Sales'!J1716</x:f>
        <x:v>2</x:v>
      </x:c>
      <x:c r="S1716" s="87" t="n">
        <x:f>'Raw Sales'!K1716</x:f>
        <x:v>0.1</x:v>
      </x:c>
      <x:c r="T1716" s="93" t="n">
        <x:f>P1716*R1716</x:f>
        <x:v>798</x:v>
      </x:c>
      <x:c r="U1716" s="93" t="n">
        <x:f>T1716*S1716</x:f>
        <x:v>79.80000000000001</x:v>
      </x:c>
      <x:c r="V1716" s="93" t="str">
        <x:f>PROPER(TRIM('Raw Sales'!L1716))</x:f>
        <x:v>Completed</x:v>
      </x:c>
      <x:c r="W1716" s="93" t="n">
        <x:f>IF(V1716="Returned",0,T1716-U1716)</x:f>
        <x:v>718.2</x:v>
      </x:c>
      <x:c r="X1716" s="93" t="n">
        <x:f>IF(V1716="Returned",Q1716*R1716*10%,Q1716*R1716)</x:f>
        <x:v>470</x:v>
      </x:c>
      <x:c r="Y1716" s="93" t="n">
        <x:f>W1716-X1716</x:f>
        <x:v>248.20000000000005</x:v>
      </x:c>
      <x:c r="Z1716" s="94" t="n">
        <x:f>IFERROR(Y1716/W1716,0)</x:f>
        <x:v>0.3455861876914509</x:v>
      </x:c>
      <x:c r="AA1716" s="84" t="str">
        <x:f>PROPER(TRIM('Raw Sales'!M1716))</x:f>
        <x:v>Mobile Wallet</x:v>
      </x:c>
      <x:c r="AB1716" s="84" t="str">
        <x:f>PROPER(TRIM('Raw Sales'!N1716))</x:f>
        <x:v>Emma Hayes</x:v>
      </x:c>
      <x:c r="AC1716" s="85" t="n">
        <x:f>'Raw Sales'!O1716</x:f>
        <x:v>45856</x:v>
      </x:c>
      <x:c r="AD1716" s="84" t="n">
        <x:f>AC1716-B1716</x:f>
        <x:v>4</x:v>
      </x:c>
      <x:c r="AE1716" s="84" t="str">
        <x:f>IF(COUNTIF($A$5:A1716,A1716)&gt;1,"Duplicate","Keep")</x:f>
        <x:v>Keep</x:v>
      </x:c>
      <x:c r="AF1716" s="84" t="str">
        <x:f>IF(OR(R1716&lt;=0,AC1716&lt;B1716,H1716="Unknown",M1716="Unknown Product"),"Review","Valid")</x:f>
        <x:v>Valid</x:v>
      </x:c>
      <x:c r="AG1716" s="84" t="n">
        <x:f>IF(AND(AE1716="Keep",AF1716="Valid"),1,0)</x:f>
        <x:v>1</x:v>
      </x:c>
      <x:c r="AH1716" s="84" t="n">
        <x:f>IF(AND(AG1716=1,OR('Dashboard'!$B$4="All",I1716='Dashboard'!$B$4),OR('Dashboard'!$E$4="All",N1716='Dashboard'!$E$4),OR('Dashboard'!$H$4="All",K1716='Dashboard'!$H$4),OR('Dashboard'!$K$4="All",C1716='Dashboard'!$K$4)),1,0)</x:f>
        <x:v>1</x:v>
      </x:c>
      <x:c r="AI1716" s="84" t="n">
        <x:f>IF(AND(AG1716=1,OR('Dashboard'!$B$4="All",I1716='Dashboard'!$B$4),OR('Dashboard'!$E$4="All",N1716='Dashboard'!$E$4),OR('Dashboard'!$H$4="All",K1716='Dashboard'!$H$4)),1,0)</x:f>
        <x:v>1</x:v>
      </x:c>
    </x:row>
    <x:row r="1717">
      <x:c r="A1717" s="84" t="str">
        <x:f>'Raw Sales'!A1717</x:f>
        <x:v>ORD-2025-00690</x:v>
      </x:c>
      <x:c r="B1717" s="85" t="n">
        <x:f>'Raw Sales'!B1717</x:f>
        <x:v>45853</x:v>
      </x:c>
      <x:c r="C1717" s="84" t="n">
        <x:f>YEAR(B1717)</x:f>
        <x:v>2025</x:v>
      </x:c>
      <x:c r="D1717" s="91" t="n">
        <x:f>DATE(YEAR(B1717),MONTH(B1717),1)</x:f>
        <x:v>45839</x:v>
      </x:c>
      <x:c r="E1717" s="84" t="str">
        <x:f>TEXT(B1717,"mmm")</x:f>
        <x:v>Jul</x:v>
      </x:c>
      <x:c r="F1717" s="84" t="str">
        <x:f>'Raw Sales'!C1717</x:f>
        <x:v>CUST-0385</x:v>
      </x:c>
      <x:c r="G1717" s="84" t="str">
        <x:f>PROPER(TRIM('Raw Sales'!D1717))</x:f>
        <x:v>Elias Garcia</x:v>
      </x:c>
      <x:c r="H1717" s="84" t="str">
        <x:f>IF(TRIM('Raw Sales'!E1717)="","Unknown",PROPER(TRIM('Raw Sales'!E1717)))</x:f>
        <x:v>Corporate</x:v>
      </x:c>
      <x:c r="I1717" s="84" t="str">
        <x:f>PROPER(TRIM('Raw Sales'!F1717))</x:f>
        <x:v>Southeast</x:v>
      </x:c>
      <x:c r="J1717" s="84" t="str">
        <x:f>PROPER(TRIM('Raw Sales'!G1717))</x:f>
        <x:v>Atlanta</x:v>
      </x:c>
      <x:c r="K1717" s="84" t="str">
        <x:f>PROPER(TRIM('Raw Sales'!H1717))</x:f>
        <x:v>Marketplace</x:v>
      </x:c>
      <x:c r="L1717" s="84" t="str">
        <x:f>'Raw Sales'!I1717</x:f>
        <x:v>ELEC-002</x:v>
      </x:c>
      <x:c r="M1717" s="84" t="str">
        <x:f>IFERROR(VLOOKUP(L1717,'Reference Data'!$A$5:$F$40,2,FALSE),"Unknown Product")</x:f>
        <x:v>Smartwatch</x:v>
      </x:c>
      <x:c r="N1717" s="84" t="str">
        <x:f>IFERROR(VLOOKUP(L1717,'Reference Data'!$A$5:$F$40,3,FALSE),"Unknown")</x:f>
        <x:v>Electronics</x:v>
      </x:c>
      <x:c r="O1717" s="84" t="str">
        <x:f>IFERROR(VLOOKUP(L1717,'Reference Data'!$A$5:$F$40,4,FALSE),"Unknown")</x:f>
        <x:v>Wearables</x:v>
      </x:c>
      <x:c r="P1717" s="92" t="n">
        <x:f>IFERROR(VLOOKUP(L1717,'Reference Data'!$A$5:$F$40,5,FALSE),0)</x:f>
        <x:v>159</x:v>
      </x:c>
      <x:c r="Q1717" s="92" t="n">
        <x:f>IFERROR(VLOOKUP(L1717,'Reference Data'!$A$5:$F$40,6,FALSE),0)</x:f>
        <x:v>92</x:v>
      </x:c>
      <x:c r="R1717" s="84" t="n">
        <x:f>'Raw Sales'!J1717</x:f>
        <x:v>2</x:v>
      </x:c>
      <x:c r="S1717" s="87" t="n">
        <x:f>'Raw Sales'!K1717</x:f>
        <x:v>0</x:v>
      </x:c>
      <x:c r="T1717" s="93" t="n">
        <x:f>P1717*R1717</x:f>
        <x:v>318</x:v>
      </x:c>
      <x:c r="U1717" s="93" t="n">
        <x:f>T1717*S1717</x:f>
        <x:v>0</x:v>
      </x:c>
      <x:c r="V1717" s="93" t="str">
        <x:f>PROPER(TRIM('Raw Sales'!L1717))</x:f>
        <x:v>Completed</x:v>
      </x:c>
      <x:c r="W1717" s="93" t="n">
        <x:f>IF(V1717="Returned",0,T1717-U1717)</x:f>
        <x:v>318</x:v>
      </x:c>
      <x:c r="X1717" s="93" t="n">
        <x:f>IF(V1717="Returned",Q1717*R1717*10%,Q1717*R1717)</x:f>
        <x:v>184</x:v>
      </x:c>
      <x:c r="Y1717" s="93" t="n">
        <x:f>W1717-X1717</x:f>
        <x:v>134</x:v>
      </x:c>
      <x:c r="Z1717" s="94" t="n">
        <x:f>IFERROR(Y1717/W1717,0)</x:f>
        <x:v>0.42138364779874216</x:v>
      </x:c>
      <x:c r="AA1717" s="84" t="str">
        <x:f>PROPER(TRIM('Raw Sales'!M1717))</x:f>
        <x:v>Debit Card</x:v>
      </x:c>
      <x:c r="AB1717" s="84" t="str">
        <x:f>PROPER(TRIM('Raw Sales'!N1717))</x:f>
        <x:v>Noah Reed</x:v>
      </x:c>
      <x:c r="AC1717" s="85" t="n">
        <x:f>'Raw Sales'!O1717</x:f>
        <x:v>45857</x:v>
      </x:c>
      <x:c r="AD1717" s="84" t="n">
        <x:f>AC1717-B1717</x:f>
        <x:v>4</x:v>
      </x:c>
      <x:c r="AE1717" s="84" t="str">
        <x:f>IF(COUNTIF($A$5:A1717,A1717)&gt;1,"Duplicate","Keep")</x:f>
        <x:v>Keep</x:v>
      </x:c>
      <x:c r="AF1717" s="84" t="str">
        <x:f>IF(OR(R1717&lt;=0,AC1717&lt;B1717,H1717="Unknown",M1717="Unknown Product"),"Review","Valid")</x:f>
        <x:v>Valid</x:v>
      </x:c>
      <x:c r="AG1717" s="84" t="n">
        <x:f>IF(AND(AE1717="Keep",AF1717="Valid"),1,0)</x:f>
        <x:v>1</x:v>
      </x:c>
      <x:c r="AH1717" s="84" t="n">
        <x:f>IF(AND(AG1717=1,OR('Dashboard'!$B$4="All",I1717='Dashboard'!$B$4),OR('Dashboard'!$E$4="All",N1717='Dashboard'!$E$4),OR('Dashboard'!$H$4="All",K1717='Dashboard'!$H$4),OR('Dashboard'!$K$4="All",C1717='Dashboard'!$K$4)),1,0)</x:f>
        <x:v>1</x:v>
      </x:c>
      <x:c r="AI1717" s="84" t="n">
        <x:f>IF(AND(AG1717=1,OR('Dashboard'!$B$4="All",I1717='Dashboard'!$B$4),OR('Dashboard'!$E$4="All",N1717='Dashboard'!$E$4),OR('Dashboard'!$H$4="All",K1717='Dashboard'!$H$4)),1,0)</x:f>
        <x:v>1</x:v>
      </x:c>
    </x:row>
    <x:row r="1718">
      <x:c r="A1718" s="84" t="str">
        <x:f>'Raw Sales'!A1718</x:f>
        <x:v>ORD-2025-01083</x:v>
      </x:c>
      <x:c r="B1718" s="85" t="n">
        <x:f>'Raw Sales'!B1718</x:f>
        <x:v>45853</x:v>
      </x:c>
      <x:c r="C1718" s="84" t="n">
        <x:f>YEAR(B1718)</x:f>
        <x:v>2025</x:v>
      </x:c>
      <x:c r="D1718" s="91" t="n">
        <x:f>DATE(YEAR(B1718),MONTH(B1718),1)</x:f>
        <x:v>45839</x:v>
      </x:c>
      <x:c r="E1718" s="84" t="str">
        <x:f>TEXT(B1718,"mmm")</x:f>
        <x:v>Jul</x:v>
      </x:c>
      <x:c r="F1718" s="84" t="str">
        <x:f>'Raw Sales'!C1718</x:f>
        <x:v>CUST-0071</x:v>
      </x:c>
      <x:c r="G1718" s="84" t="str">
        <x:f>PROPER(TRIM('Raw Sales'!D1718))</x:f>
        <x:v>Owen Foster</x:v>
      </x:c>
      <x:c r="H1718" s="84" t="str">
        <x:f>IF(TRIM('Raw Sales'!E1718)="","Unknown",PROPER(TRIM('Raw Sales'!E1718)))</x:f>
        <x:v>Consumer</x:v>
      </x:c>
      <x:c r="I1718" s="84" t="str">
        <x:f>PROPER(TRIM('Raw Sales'!F1718))</x:f>
        <x:v>Midwest</x:v>
      </x:c>
      <x:c r="J1718" s="84" t="str">
        <x:f>PROPER(TRIM('Raw Sales'!G1718))</x:f>
        <x:v>Detroit</x:v>
      </x:c>
      <x:c r="K1718" s="84" t="str">
        <x:f>PROPER(TRIM('Raw Sales'!H1718))</x:f>
        <x:v>Marketplace</x:v>
      </x:c>
      <x:c r="L1718" s="84" t="str">
        <x:f>'Raw Sales'!I1718</x:f>
        <x:v>HOME-002</x:v>
      </x:c>
      <x:c r="M1718" s="84" t="str">
        <x:f>IFERROR(VLOOKUP(L1718,'Reference Data'!$A$5:$F$40,2,FALSE),"Unknown Product")</x:f>
        <x:v>Electric Kettle</x:v>
      </x:c>
      <x:c r="N1718" s="84" t="str">
        <x:f>IFERROR(VLOOKUP(L1718,'Reference Data'!$A$5:$F$40,3,FALSE),"Unknown")</x:f>
        <x:v>Home &amp; Kitchen</x:v>
      </x:c>
      <x:c r="O1718" s="84" t="str">
        <x:f>IFERROR(VLOOKUP(L1718,'Reference Data'!$A$5:$F$40,4,FALSE),"Unknown")</x:f>
        <x:v>Small Appliances</x:v>
      </x:c>
      <x:c r="P1718" s="92" t="n">
        <x:f>IFERROR(VLOOKUP(L1718,'Reference Data'!$A$5:$F$40,5,FALSE),0)</x:f>
        <x:v>49</x:v>
      </x:c>
      <x:c r="Q1718" s="92" t="n">
        <x:f>IFERROR(VLOOKUP(L1718,'Reference Data'!$A$5:$F$40,6,FALSE),0)</x:f>
        <x:v>23</x:v>
      </x:c>
      <x:c r="R1718" s="84" t="n">
        <x:f>'Raw Sales'!J1718</x:f>
        <x:v>1</x:v>
      </x:c>
      <x:c r="S1718" s="87" t="n">
        <x:f>'Raw Sales'!K1718</x:f>
        <x:v>0.1</x:v>
      </x:c>
      <x:c r="T1718" s="93" t="n">
        <x:f>P1718*R1718</x:f>
        <x:v>49</x:v>
      </x:c>
      <x:c r="U1718" s="93" t="n">
        <x:f>T1718*S1718</x:f>
        <x:v>4.9</x:v>
      </x:c>
      <x:c r="V1718" s="93" t="str">
        <x:f>PROPER(TRIM('Raw Sales'!L1718))</x:f>
        <x:v>Completed</x:v>
      </x:c>
      <x:c r="W1718" s="93" t="n">
        <x:f>IF(V1718="Returned",0,T1718-U1718)</x:f>
        <x:v>44.1</x:v>
      </x:c>
      <x:c r="X1718" s="93" t="n">
        <x:f>IF(V1718="Returned",Q1718*R1718*10%,Q1718*R1718)</x:f>
        <x:v>23</x:v>
      </x:c>
      <x:c r="Y1718" s="93" t="n">
        <x:f>W1718-X1718</x:f>
        <x:v>21.1</x:v>
      </x:c>
      <x:c r="Z1718" s="94" t="n">
        <x:f>IFERROR(Y1718/W1718,0)</x:f>
        <x:v>0.47845804988662133</x:v>
      </x:c>
      <x:c r="AA1718" s="84" t="str">
        <x:f>PROPER(TRIM('Raw Sales'!M1718))</x:f>
        <x:v>Paypal</x:v>
      </x:c>
      <x:c r="AB1718" s="84" t="str">
        <x:f>PROPER(TRIM('Raw Sales'!N1718))</x:f>
        <x:v>Emma Hayes</x:v>
      </x:c>
      <x:c r="AC1718" s="85" t="n">
        <x:f>'Raw Sales'!O1718</x:f>
        <x:v>45858</x:v>
      </x:c>
      <x:c r="AD1718" s="84" t="n">
        <x:f>AC1718-B1718</x:f>
        <x:v>5</x:v>
      </x:c>
      <x:c r="AE1718" s="84" t="str">
        <x:f>IF(COUNTIF($A$5:A1718,A1718)&gt;1,"Duplicate","Keep")</x:f>
        <x:v>Keep</x:v>
      </x:c>
      <x:c r="AF1718" s="84" t="str">
        <x:f>IF(OR(R1718&lt;=0,AC1718&lt;B1718,H1718="Unknown",M1718="Unknown Product"),"Review","Valid")</x:f>
        <x:v>Valid</x:v>
      </x:c>
      <x:c r="AG1718" s="84" t="n">
        <x:f>IF(AND(AE1718="Keep",AF1718="Valid"),1,0)</x:f>
        <x:v>1</x:v>
      </x:c>
      <x:c r="AH1718" s="84" t="n">
        <x:f>IF(AND(AG1718=1,OR('Dashboard'!$B$4="All",I1718='Dashboard'!$B$4),OR('Dashboard'!$E$4="All",N1718='Dashboard'!$E$4),OR('Dashboard'!$H$4="All",K1718='Dashboard'!$H$4),OR('Dashboard'!$K$4="All",C1718='Dashboard'!$K$4)),1,0)</x:f>
        <x:v>1</x:v>
      </x:c>
      <x:c r="AI1718" s="84" t="n">
        <x:f>IF(AND(AG1718=1,OR('Dashboard'!$B$4="All",I1718='Dashboard'!$B$4),OR('Dashboard'!$E$4="All",N1718='Dashboard'!$E$4),OR('Dashboard'!$H$4="All",K1718='Dashboard'!$H$4)),1,0)</x:f>
        <x:v>1</x:v>
      </x:c>
    </x:row>
    <x:row r="1719">
      <x:c r="A1719" s="84" t="str">
        <x:f>'Raw Sales'!A1719</x:f>
        <x:v>ORD-2025-01219</x:v>
      </x:c>
      <x:c r="B1719" s="85" t="n">
        <x:f>'Raw Sales'!B1719</x:f>
        <x:v>45853</x:v>
      </x:c>
      <x:c r="C1719" s="84" t="n">
        <x:f>YEAR(B1719)</x:f>
        <x:v>2025</x:v>
      </x:c>
      <x:c r="D1719" s="91" t="n">
        <x:f>DATE(YEAR(B1719),MONTH(B1719),1)</x:f>
        <x:v>45839</x:v>
      </x:c>
      <x:c r="E1719" s="84" t="str">
        <x:f>TEXT(B1719,"mmm")</x:f>
        <x:v>Jul</x:v>
      </x:c>
      <x:c r="F1719" s="84" t="str">
        <x:f>'Raw Sales'!C1719</x:f>
        <x:v>CUST-0067</x:v>
      </x:c>
      <x:c r="G1719" s="84" t="str">
        <x:f>PROPER(TRIM('Raw Sales'!D1719))</x:f>
        <x:v>William Garcia</x:v>
      </x:c>
      <x:c r="H1719" s="84" t="str">
        <x:f>IF(TRIM('Raw Sales'!E1719)="","Unknown",PROPER(TRIM('Raw Sales'!E1719)))</x:f>
        <x:v>Consumer</x:v>
      </x:c>
      <x:c r="I1719" s="84" t="str">
        <x:f>PROPER(TRIM('Raw Sales'!F1719))</x:f>
        <x:v>West</x:v>
      </x:c>
      <x:c r="J1719" s="84" t="str">
        <x:f>PROPER(TRIM('Raw Sales'!G1719))</x:f>
        <x:v>Phoenix</x:v>
      </x:c>
      <x:c r="K1719" s="84" t="str">
        <x:f>PROPER(TRIM('Raw Sales'!H1719))</x:f>
        <x:v>Online</x:v>
      </x:c>
      <x:c r="L1719" s="84" t="str">
        <x:f>'Raw Sales'!I1719</x:f>
        <x:v>HOME-005</x:v>
      </x:c>
      <x:c r="M1719" s="84" t="str">
        <x:f>IFERROR(VLOOKUP(L1719,'Reference Data'!$A$5:$F$40,2,FALSE),"Unknown Product")</x:f>
        <x:v>Cordless Vacuum</x:v>
      </x:c>
      <x:c r="N1719" s="84" t="str">
        <x:f>IFERROR(VLOOKUP(L1719,'Reference Data'!$A$5:$F$40,3,FALSE),"Unknown")</x:f>
        <x:v>Home &amp; Kitchen</x:v>
      </x:c>
      <x:c r="O1719" s="84" t="str">
        <x:f>IFERROR(VLOOKUP(L1719,'Reference Data'!$A$5:$F$40,4,FALSE),"Unknown")</x:f>
        <x:v>Cleaning</x:v>
      </x:c>
      <x:c r="P1719" s="92" t="n">
        <x:f>IFERROR(VLOOKUP(L1719,'Reference Data'!$A$5:$F$40,5,FALSE),0)</x:f>
        <x:v>179</x:v>
      </x:c>
      <x:c r="Q1719" s="92" t="n">
        <x:f>IFERROR(VLOOKUP(L1719,'Reference Data'!$A$5:$F$40,6,FALSE),0)</x:f>
        <x:v>102</x:v>
      </x:c>
      <x:c r="R1719" s="84" t="n">
        <x:f>'Raw Sales'!J1719</x:f>
        <x:v>2</x:v>
      </x:c>
      <x:c r="S1719" s="87" t="n">
        <x:f>'Raw Sales'!K1719</x:f>
        <x:v>0</x:v>
      </x:c>
      <x:c r="T1719" s="93" t="n">
        <x:f>P1719*R1719</x:f>
        <x:v>358</x:v>
      </x:c>
      <x:c r="U1719" s="93" t="n">
        <x:f>T1719*S1719</x:f>
        <x:v>0</x:v>
      </x:c>
      <x:c r="V1719" s="93" t="str">
        <x:f>PROPER(TRIM('Raw Sales'!L1719))</x:f>
        <x:v>Completed</x:v>
      </x:c>
      <x:c r="W1719" s="93" t="n">
        <x:f>IF(V1719="Returned",0,T1719-U1719)</x:f>
        <x:v>358</x:v>
      </x:c>
      <x:c r="X1719" s="93" t="n">
        <x:f>IF(V1719="Returned",Q1719*R1719*10%,Q1719*R1719)</x:f>
        <x:v>204</x:v>
      </x:c>
      <x:c r="Y1719" s="93" t="n">
        <x:f>W1719-X1719</x:f>
        <x:v>154</x:v>
      </x:c>
      <x:c r="Z1719" s="94" t="n">
        <x:f>IFERROR(Y1719/W1719,0)</x:f>
        <x:v>0.4301675977653631</x:v>
      </x:c>
      <x:c r="AA1719" s="84" t="str">
        <x:f>PROPER(TRIM('Raw Sales'!M1719))</x:f>
        <x:v>Mobile Wallet</x:v>
      </x:c>
      <x:c r="AB1719" s="84" t="str">
        <x:f>PROPER(TRIM('Raw Sales'!N1719))</x:f>
        <x:v>Mia Chen</x:v>
      </x:c>
      <x:c r="AC1719" s="85" t="n">
        <x:f>'Raw Sales'!O1719</x:f>
        <x:v>45858</x:v>
      </x:c>
      <x:c r="AD1719" s="84" t="n">
        <x:f>AC1719-B1719</x:f>
        <x:v>5</x:v>
      </x:c>
      <x:c r="AE1719" s="84" t="str">
        <x:f>IF(COUNTIF($A$5:A1719,A1719)&gt;1,"Duplicate","Keep")</x:f>
        <x:v>Keep</x:v>
      </x:c>
      <x:c r="AF1719" s="84" t="str">
        <x:f>IF(OR(R1719&lt;=0,AC1719&lt;B1719,H1719="Unknown",M1719="Unknown Product"),"Review","Valid")</x:f>
        <x:v>Valid</x:v>
      </x:c>
      <x:c r="AG1719" s="84" t="n">
        <x:f>IF(AND(AE1719="Keep",AF1719="Valid"),1,0)</x:f>
        <x:v>1</x:v>
      </x:c>
      <x:c r="AH1719" s="84" t="n">
        <x:f>IF(AND(AG1719=1,OR('Dashboard'!$B$4="All",I1719='Dashboard'!$B$4),OR('Dashboard'!$E$4="All",N1719='Dashboard'!$E$4),OR('Dashboard'!$H$4="All",K1719='Dashboard'!$H$4),OR('Dashboard'!$K$4="All",C1719='Dashboard'!$K$4)),1,0)</x:f>
        <x:v>1</x:v>
      </x:c>
      <x:c r="AI1719" s="84" t="n">
        <x:f>IF(AND(AG1719=1,OR('Dashboard'!$B$4="All",I1719='Dashboard'!$B$4),OR('Dashboard'!$E$4="All",N1719='Dashboard'!$E$4),OR('Dashboard'!$H$4="All",K1719='Dashboard'!$H$4)),1,0)</x:f>
        <x:v>1</x:v>
      </x:c>
    </x:row>
    <x:row r="1720">
      <x:c r="A1720" s="84" t="str">
        <x:f>'Raw Sales'!A1720</x:f>
        <x:v>ORD-2025-01835</x:v>
      </x:c>
      <x:c r="B1720" s="85" t="n">
        <x:f>'Raw Sales'!B1720</x:f>
        <x:v>45853</x:v>
      </x:c>
      <x:c r="C1720" s="84" t="n">
        <x:f>YEAR(B1720)</x:f>
        <x:v>2025</x:v>
      </x:c>
      <x:c r="D1720" s="91" t="n">
        <x:f>DATE(YEAR(B1720),MONTH(B1720),1)</x:f>
        <x:v>45839</x:v>
      </x:c>
      <x:c r="E1720" s="84" t="str">
        <x:f>TEXT(B1720,"mmm")</x:f>
        <x:v>Jul</x:v>
      </x:c>
      <x:c r="F1720" s="84" t="str">
        <x:f>'Raw Sales'!C1720</x:f>
        <x:v>CUST-0401</x:v>
      </x:c>
      <x:c r="G1720" s="84" t="str">
        <x:f>PROPER(TRIM('Raw Sales'!D1720))</x:f>
        <x:v>Priya Hall</x:v>
      </x:c>
      <x:c r="H1720" s="84" t="str">
        <x:f>IF(TRIM('Raw Sales'!E1720)="","Unknown",PROPER(TRIM('Raw Sales'!E1720)))</x:f>
        <x:v>Consumer</x:v>
      </x:c>
      <x:c r="I1720" s="84" t="str">
        <x:f>PROPER(TRIM('Raw Sales'!F1720))</x:f>
        <x:v>Northeast</x:v>
      </x:c>
      <x:c r="J1720" s="84" t="str">
        <x:f>PROPER(TRIM('Raw Sales'!G1720))</x:f>
        <x:v>Newark</x:v>
      </x:c>
      <x:c r="K1720" s="84" t="str">
        <x:f>PROPER(TRIM('Raw Sales'!H1720))</x:f>
        <x:v>Online</x:v>
      </x:c>
      <x:c r="L1720" s="84" t="str">
        <x:f>'Raw Sales'!I1720</x:f>
        <x:v>FITN-003</x:v>
      </x:c>
      <x:c r="M1720" s="84" t="str">
        <x:f>IFERROR(VLOOKUP(L1720,'Reference Data'!$A$5:$F$40,2,FALSE),"Unknown Product")</x:f>
        <x:v>Resistance Band Set</x:v>
      </x:c>
      <x:c r="N1720" s="84" t="str">
        <x:f>IFERROR(VLOOKUP(L1720,'Reference Data'!$A$5:$F$40,3,FALSE),"Unknown")</x:f>
        <x:v>Fitness</x:v>
      </x:c>
      <x:c r="O1720" s="84" t="str">
        <x:f>IFERROR(VLOOKUP(L1720,'Reference Data'!$A$5:$F$40,4,FALSE),"Unknown")</x:f>
        <x:v>Strength</x:v>
      </x:c>
      <x:c r="P1720" s="92" t="n">
        <x:f>IFERROR(VLOOKUP(L1720,'Reference Data'!$A$5:$F$40,5,FALSE),0)</x:f>
        <x:v>24</x:v>
      </x:c>
      <x:c r="Q1720" s="92" t="n">
        <x:f>IFERROR(VLOOKUP(L1720,'Reference Data'!$A$5:$F$40,6,FALSE),0)</x:f>
        <x:v>8</x:v>
      </x:c>
      <x:c r="R1720" s="84" t="n">
        <x:f>'Raw Sales'!J1720</x:f>
        <x:v>1</x:v>
      </x:c>
      <x:c r="S1720" s="87" t="n">
        <x:f>'Raw Sales'!K1720</x:f>
        <x:v>0.15</x:v>
      </x:c>
      <x:c r="T1720" s="93" t="n">
        <x:f>P1720*R1720</x:f>
        <x:v>24</x:v>
      </x:c>
      <x:c r="U1720" s="93" t="n">
        <x:f>T1720*S1720</x:f>
        <x:v>3.5999999999999996</x:v>
      </x:c>
      <x:c r="V1720" s="93" t="str">
        <x:f>PROPER(TRIM('Raw Sales'!L1720))</x:f>
        <x:v>Completed</x:v>
      </x:c>
      <x:c r="W1720" s="93" t="n">
        <x:f>IF(V1720="Returned",0,T1720-U1720)</x:f>
        <x:v>20.4</x:v>
      </x:c>
      <x:c r="X1720" s="93" t="n">
        <x:f>IF(V1720="Returned",Q1720*R1720*10%,Q1720*R1720)</x:f>
        <x:v>8</x:v>
      </x:c>
      <x:c r="Y1720" s="93" t="n">
        <x:f>W1720-X1720</x:f>
        <x:v>12.399999999999999</x:v>
      </x:c>
      <x:c r="Z1720" s="94" t="n">
        <x:f>IFERROR(Y1720/W1720,0)</x:f>
        <x:v>0.6078431372549019</x:v>
      </x:c>
      <x:c r="AA1720" s="84" t="str">
        <x:f>PROPER(TRIM('Raw Sales'!M1720))</x:f>
        <x:v>Credit Card</x:v>
      </x:c>
      <x:c r="AB1720" s="84" t="str">
        <x:f>PROPER(TRIM('Raw Sales'!N1720))</x:f>
        <x:v>Sofia Bennett</x:v>
      </x:c>
      <x:c r="AC1720" s="85" t="n">
        <x:f>'Raw Sales'!O1720</x:f>
        <x:v>45856</x:v>
      </x:c>
      <x:c r="AD1720" s="84" t="n">
        <x:f>AC1720-B1720</x:f>
        <x:v>3</x:v>
      </x:c>
      <x:c r="AE1720" s="84" t="str">
        <x:f>IF(COUNTIF($A$5:A1720,A1720)&gt;1,"Duplicate","Keep")</x:f>
        <x:v>Keep</x:v>
      </x:c>
      <x:c r="AF1720" s="84" t="str">
        <x:f>IF(OR(R1720&lt;=0,AC1720&lt;B1720,H1720="Unknown",M1720="Unknown Product"),"Review","Valid")</x:f>
        <x:v>Valid</x:v>
      </x:c>
      <x:c r="AG1720" s="84" t="n">
        <x:f>IF(AND(AE1720="Keep",AF1720="Valid"),1,0)</x:f>
        <x:v>1</x:v>
      </x:c>
      <x:c r="AH1720" s="84" t="n">
        <x:f>IF(AND(AG1720=1,OR('Dashboard'!$B$4="All",I1720='Dashboard'!$B$4),OR('Dashboard'!$E$4="All",N1720='Dashboard'!$E$4),OR('Dashboard'!$H$4="All",K1720='Dashboard'!$H$4),OR('Dashboard'!$K$4="All",C1720='Dashboard'!$K$4)),1,0)</x:f>
        <x:v>1</x:v>
      </x:c>
      <x:c r="AI1720" s="84" t="n">
        <x:f>IF(AND(AG1720=1,OR('Dashboard'!$B$4="All",I1720='Dashboard'!$B$4),OR('Dashboard'!$E$4="All",N1720='Dashboard'!$E$4),OR('Dashboard'!$H$4="All",K1720='Dashboard'!$H$4)),1,0)</x:f>
        <x:v>1</x:v>
      </x:c>
    </x:row>
    <x:row r="1721">
      <x:c r="A1721" s="84" t="str">
        <x:f>'Raw Sales'!A1721</x:f>
        <x:v>ORD-2025-02196</x:v>
      </x:c>
      <x:c r="B1721" s="85" t="n">
        <x:f>'Raw Sales'!B1721</x:f>
        <x:v>45853</x:v>
      </x:c>
      <x:c r="C1721" s="84" t="n">
        <x:f>YEAR(B1721)</x:f>
        <x:v>2025</x:v>
      </x:c>
      <x:c r="D1721" s="91" t="n">
        <x:f>DATE(YEAR(B1721),MONTH(B1721),1)</x:f>
        <x:v>45839</x:v>
      </x:c>
      <x:c r="E1721" s="84" t="str">
        <x:f>TEXT(B1721,"mmm")</x:f>
        <x:v>Jul</x:v>
      </x:c>
      <x:c r="F1721" s="84" t="str">
        <x:f>'Raw Sales'!C1721</x:f>
        <x:v>CUST-0240</x:v>
      </x:c>
      <x:c r="G1721" s="84" t="str">
        <x:f>PROPER(TRIM('Raw Sales'!D1721))</x:f>
        <x:v>Elena Garcia</x:v>
      </x:c>
      <x:c r="H1721" s="84" t="str">
        <x:f>IF(TRIM('Raw Sales'!E1721)="","Unknown",PROPER(TRIM('Raw Sales'!E1721)))</x:f>
        <x:v>Unknown</x:v>
      </x:c>
      <x:c r="I1721" s="84" t="str">
        <x:f>PROPER(TRIM('Raw Sales'!F1721))</x:f>
        <x:v>Midwest</x:v>
      </x:c>
      <x:c r="J1721" s="84" t="str">
        <x:f>PROPER(TRIM('Raw Sales'!G1721))</x:f>
        <x:v>Detroit</x:v>
      </x:c>
      <x:c r="K1721" s="84" t="str">
        <x:f>PROPER(TRIM('Raw Sales'!H1721))</x:f>
        <x:v>Retail Store</x:v>
      </x:c>
      <x:c r="L1721" s="84" t="str">
        <x:f>'Raw Sales'!I1721</x:f>
        <x:v>CARE-006</x:v>
      </x:c>
      <x:c r="M1721" s="84" t="str">
        <x:f>IFERROR(VLOOKUP(L1721,'Reference Data'!$A$5:$F$40,2,FALSE),"Unknown Product")</x:f>
        <x:v>Percussion Massage Gun</x:v>
      </x:c>
      <x:c r="N1721" s="84" t="str">
        <x:f>IFERROR(VLOOKUP(L1721,'Reference Data'!$A$5:$F$40,3,FALSE),"Unknown")</x:f>
        <x:v>Personal Care</x:v>
      </x:c>
      <x:c r="O1721" s="84" t="str">
        <x:f>IFERROR(VLOOKUP(L1721,'Reference Data'!$A$5:$F$40,4,FALSE),"Unknown")</x:f>
        <x:v>Wellness</x:v>
      </x:c>
      <x:c r="P1721" s="92" t="n">
        <x:f>IFERROR(VLOOKUP(L1721,'Reference Data'!$A$5:$F$40,5,FALSE),0)</x:f>
        <x:v>129</x:v>
      </x:c>
      <x:c r="Q1721" s="92" t="n">
        <x:f>IFERROR(VLOOKUP(L1721,'Reference Data'!$A$5:$F$40,6,FALSE),0)</x:f>
        <x:v>70</x:v>
      </x:c>
      <x:c r="R1721" s="84" t="n">
        <x:f>'Raw Sales'!J1721</x:f>
        <x:v>1</x:v>
      </x:c>
      <x:c r="S1721" s="87" t="n">
        <x:f>'Raw Sales'!K1721</x:f>
        <x:v>0.2</x:v>
      </x:c>
      <x:c r="T1721" s="93" t="n">
        <x:f>P1721*R1721</x:f>
        <x:v>129</x:v>
      </x:c>
      <x:c r="U1721" s="93" t="n">
        <x:f>T1721*S1721</x:f>
        <x:v>25.8</x:v>
      </x:c>
      <x:c r="V1721" s="93" t="str">
        <x:f>PROPER(TRIM('Raw Sales'!L1721))</x:f>
        <x:v>Returned</x:v>
      </x:c>
      <x:c r="W1721" s="93" t="n">
        <x:f>IF(V1721="Returned",0,T1721-U1721)</x:f>
        <x:v>0</x:v>
      </x:c>
      <x:c r="X1721" s="93" t="n">
        <x:f>IF(V1721="Returned",Q1721*R1721*10%,Q1721*R1721)</x:f>
        <x:v>7</x:v>
      </x:c>
      <x:c r="Y1721" s="93" t="n">
        <x:f>W1721-X1721</x:f>
        <x:v>-7</x:v>
      </x:c>
      <x:c r="Z1721" s="94" t="n">
        <x:f>IFERROR(Y1721/W1721,0)</x:f>
        <x:v>0</x:v>
      </x:c>
      <x:c r="AA1721" s="84" t="str">
        <x:f>PROPER(TRIM('Raw Sales'!M1721))</x:f>
        <x:v>Debit Card</x:v>
      </x:c>
      <x:c r="AB1721" s="84" t="str">
        <x:f>PROPER(TRIM('Raw Sales'!N1721))</x:f>
        <x:v>Emma Hayes</x:v>
      </x:c>
      <x:c r="AC1721" s="85" t="n">
        <x:f>'Raw Sales'!O1721</x:f>
        <x:v>45853</x:v>
      </x:c>
      <x:c r="AD1721" s="84" t="n">
        <x:f>AC1721-B1721</x:f>
        <x:v>0</x:v>
      </x:c>
      <x:c r="AE1721" s="84" t="str">
        <x:f>IF(COUNTIF($A$5:A1721,A1721)&gt;1,"Duplicate","Keep")</x:f>
        <x:v>Keep</x:v>
      </x:c>
      <x:c r="AF1721" s="84" t="str">
        <x:f>IF(OR(R1721&lt;=0,AC1721&lt;B1721,H1721="Unknown",M1721="Unknown Product"),"Review","Valid")</x:f>
        <x:v>Review</x:v>
      </x:c>
      <x:c r="AG1721" s="84" t="n">
        <x:f>IF(AND(AE1721="Keep",AF1721="Valid"),1,0)</x:f>
        <x:v>0</x:v>
      </x:c>
      <x:c r="AH1721" s="84" t="n">
        <x:f>IF(AND(AG1721=1,OR('Dashboard'!$B$4="All",I1721='Dashboard'!$B$4),OR('Dashboard'!$E$4="All",N1721='Dashboard'!$E$4),OR('Dashboard'!$H$4="All",K1721='Dashboard'!$H$4),OR('Dashboard'!$K$4="All",C1721='Dashboard'!$K$4)),1,0)</x:f>
        <x:v>0</x:v>
      </x:c>
      <x:c r="AI1721" s="84" t="n">
        <x:f>IF(AND(AG1721=1,OR('Dashboard'!$B$4="All",I1721='Dashboard'!$B$4),OR('Dashboard'!$E$4="All",N1721='Dashboard'!$E$4),OR('Dashboard'!$H$4="All",K1721='Dashboard'!$H$4)),1,0)</x:f>
        <x:v>0</x:v>
      </x:c>
    </x:row>
    <x:row r="1722">
      <x:c r="A1722" s="84" t="str">
        <x:f>'Raw Sales'!A1722</x:f>
        <x:v>ORD-2025-00845</x:v>
      </x:c>
      <x:c r="B1722" s="85" t="n">
        <x:f>'Raw Sales'!B1722</x:f>
        <x:v>45854</x:v>
      </x:c>
      <x:c r="C1722" s="84" t="n">
        <x:f>YEAR(B1722)</x:f>
        <x:v>2025</x:v>
      </x:c>
      <x:c r="D1722" s="91" t="n">
        <x:f>DATE(YEAR(B1722),MONTH(B1722),1)</x:f>
        <x:v>45839</x:v>
      </x:c>
      <x:c r="E1722" s="84" t="str">
        <x:f>TEXT(B1722,"mmm")</x:f>
        <x:v>Jul</x:v>
      </x:c>
      <x:c r="F1722" s="84" t="str">
        <x:f>'Raw Sales'!C1722</x:f>
        <x:v>CUST-0039</x:v>
      </x:c>
      <x:c r="G1722" s="84" t="str">
        <x:f>PROPER(TRIM('Raw Sales'!D1722))</x:f>
        <x:v>Amelia Patel</x:v>
      </x:c>
      <x:c r="H1722" s="84" t="str">
        <x:f>IF(TRIM('Raw Sales'!E1722)="","Unknown",PROPER(TRIM('Raw Sales'!E1722)))</x:f>
        <x:v>Consumer</x:v>
      </x:c>
      <x:c r="I1722" s="84" t="str">
        <x:f>PROPER(TRIM('Raw Sales'!F1722))</x:f>
        <x:v>West</x:v>
      </x:c>
      <x:c r="J1722" s="84" t="str">
        <x:f>PROPER(TRIM('Raw Sales'!G1722))</x:f>
        <x:v>Denver</x:v>
      </x:c>
      <x:c r="K1722" s="84" t="str">
        <x:f>PROPER(TRIM('Raw Sales'!H1722))</x:f>
        <x:v>Retail Store</x:v>
      </x:c>
      <x:c r="L1722" s="84" t="str">
        <x:f>'Raw Sales'!I1722</x:f>
        <x:v>OFFC-005</x:v>
      </x:c>
      <x:c r="M1722" s="84" t="str">
        <x:f>IFERROR(VLOOKUP(L1722,'Reference Data'!$A$5:$F$40,2,FALSE),"Unknown Product")</x:f>
        <x:v>Wireless Keyboard</x:v>
      </x:c>
      <x:c r="N1722" s="84" t="str">
        <x:f>IFERROR(VLOOKUP(L1722,'Reference Data'!$A$5:$F$40,3,FALSE),"Unknown")</x:f>
        <x:v>Office</x:v>
      </x:c>
      <x:c r="O1722" s="84" t="str">
        <x:f>IFERROR(VLOOKUP(L1722,'Reference Data'!$A$5:$F$40,4,FALSE),"Unknown")</x:f>
        <x:v>Computer Accessories</x:v>
      </x:c>
      <x:c r="P1722" s="92" t="n">
        <x:f>IFERROR(VLOOKUP(L1722,'Reference Data'!$A$5:$F$40,5,FALSE),0)</x:f>
        <x:v>59</x:v>
      </x:c>
      <x:c r="Q1722" s="92" t="n">
        <x:f>IFERROR(VLOOKUP(L1722,'Reference Data'!$A$5:$F$40,6,FALSE),0)</x:f>
        <x:v>28</x:v>
      </x:c>
      <x:c r="R1722" s="84" t="n">
        <x:f>'Raw Sales'!J1722</x:f>
        <x:v>2</x:v>
      </x:c>
      <x:c r="S1722" s="87" t="n">
        <x:f>'Raw Sales'!K1722</x:f>
        <x:v>0.2</x:v>
      </x:c>
      <x:c r="T1722" s="93" t="n">
        <x:f>P1722*R1722</x:f>
        <x:v>118</x:v>
      </x:c>
      <x:c r="U1722" s="93" t="n">
        <x:f>T1722*S1722</x:f>
        <x:v>23.6</x:v>
      </x:c>
      <x:c r="V1722" s="93" t="str">
        <x:f>PROPER(TRIM('Raw Sales'!L1722))</x:f>
        <x:v>Completed</x:v>
      </x:c>
      <x:c r="W1722" s="93" t="n">
        <x:f>IF(V1722="Returned",0,T1722-U1722)</x:f>
        <x:v>94.4</x:v>
      </x:c>
      <x:c r="X1722" s="93" t="n">
        <x:f>IF(V1722="Returned",Q1722*R1722*10%,Q1722*R1722)</x:f>
        <x:v>56</x:v>
      </x:c>
      <x:c r="Y1722" s="93" t="n">
        <x:f>W1722-X1722</x:f>
        <x:v>38.400000000000006</x:v>
      </x:c>
      <x:c r="Z1722" s="94" t="n">
        <x:f>IFERROR(Y1722/W1722,0)</x:f>
        <x:v>0.4067796610169492</x:v>
      </x:c>
      <x:c r="AA1722" s="84" t="str">
        <x:f>PROPER(TRIM('Raw Sales'!M1722))</x:f>
        <x:v>Debit Card</x:v>
      </x:c>
      <x:c r="AB1722" s="84" t="str">
        <x:f>PROPER(TRIM('Raw Sales'!N1722))</x:f>
        <x:v>Nora Kim</x:v>
      </x:c>
      <x:c r="AC1722" s="85" t="n">
        <x:f>'Raw Sales'!O1722</x:f>
        <x:v>45854</x:v>
      </x:c>
      <x:c r="AD1722" s="84" t="n">
        <x:f>AC1722-B1722</x:f>
        <x:v>0</x:v>
      </x:c>
      <x:c r="AE1722" s="84" t="str">
        <x:f>IF(COUNTIF($A$5:A1722,A1722)&gt;1,"Duplicate","Keep")</x:f>
        <x:v>Keep</x:v>
      </x:c>
      <x:c r="AF1722" s="84" t="str">
        <x:f>IF(OR(R1722&lt;=0,AC1722&lt;B1722,H1722="Unknown",M1722="Unknown Product"),"Review","Valid")</x:f>
        <x:v>Valid</x:v>
      </x:c>
      <x:c r="AG1722" s="84" t="n">
        <x:f>IF(AND(AE1722="Keep",AF1722="Valid"),1,0)</x:f>
        <x:v>1</x:v>
      </x:c>
      <x:c r="AH1722" s="84" t="n">
        <x:f>IF(AND(AG1722=1,OR('Dashboard'!$B$4="All",I1722='Dashboard'!$B$4),OR('Dashboard'!$E$4="All",N1722='Dashboard'!$E$4),OR('Dashboard'!$H$4="All",K1722='Dashboard'!$H$4),OR('Dashboard'!$K$4="All",C1722='Dashboard'!$K$4)),1,0)</x:f>
        <x:v>1</x:v>
      </x:c>
      <x:c r="AI1722" s="84" t="n">
        <x:f>IF(AND(AG1722=1,OR('Dashboard'!$B$4="All",I1722='Dashboard'!$B$4),OR('Dashboard'!$E$4="All",N1722='Dashboard'!$E$4),OR('Dashboard'!$H$4="All",K1722='Dashboard'!$H$4)),1,0)</x:f>
        <x:v>1</x:v>
      </x:c>
    </x:row>
    <x:row r="1723">
      <x:c r="A1723" s="84" t="str">
        <x:f>'Raw Sales'!A1723</x:f>
        <x:v>ORD-2025-01155</x:v>
      </x:c>
      <x:c r="B1723" s="85" t="n">
        <x:f>'Raw Sales'!B1723</x:f>
        <x:v>45854</x:v>
      </x:c>
      <x:c r="C1723" s="84" t="n">
        <x:f>YEAR(B1723)</x:f>
        <x:v>2025</x:v>
      </x:c>
      <x:c r="D1723" s="91" t="n">
        <x:f>DATE(YEAR(B1723),MONTH(B1723),1)</x:f>
        <x:v>45839</x:v>
      </x:c>
      <x:c r="E1723" s="84" t="str">
        <x:f>TEXT(B1723,"mmm")</x:f>
        <x:v>Jul</x:v>
      </x:c>
      <x:c r="F1723" s="84" t="str">
        <x:f>'Raw Sales'!C1723</x:f>
        <x:v>CUST-0424</x:v>
      </x:c>
      <x:c r="G1723" s="84" t="str">
        <x:f>PROPER(TRIM('Raw Sales'!D1723))</x:f>
        <x:v>Layla Quinn</x:v>
      </x:c>
      <x:c r="H1723" s="84" t="str">
        <x:f>IF(TRIM('Raw Sales'!E1723)="","Unknown",PROPER(TRIM('Raw Sales'!E1723)))</x:f>
        <x:v>Consumer</x:v>
      </x:c>
      <x:c r="I1723" s="84" t="str">
        <x:f>PROPER(TRIM('Raw Sales'!F1723))</x:f>
        <x:v>Southeast</x:v>
      </x:c>
      <x:c r="J1723" s="84" t="str">
        <x:f>PROPER(TRIM('Raw Sales'!G1723))</x:f>
        <x:v>Miami</x:v>
      </x:c>
      <x:c r="K1723" s="84" t="str">
        <x:f>PROPER(TRIM('Raw Sales'!H1723))</x:f>
        <x:v>Online</x:v>
      </x:c>
      <x:c r="L1723" s="84" t="str">
        <x:f>'Raw Sales'!I1723</x:f>
        <x:v>OFFC-006</x:v>
      </x:c>
      <x:c r="M1723" s="84" t="str">
        <x:f>IFERROR(VLOOKUP(L1723,'Reference Data'!$A$5:$F$40,2,FALSE),"Unknown Product")</x:f>
        <x:v>Monitor Stand</x:v>
      </x:c>
      <x:c r="N1723" s="84" t="str">
        <x:f>IFERROR(VLOOKUP(L1723,'Reference Data'!$A$5:$F$40,3,FALSE),"Unknown")</x:f>
        <x:v>Office</x:v>
      </x:c>
      <x:c r="O1723" s="84" t="str">
        <x:f>IFERROR(VLOOKUP(L1723,'Reference Data'!$A$5:$F$40,4,FALSE),"Unknown")</x:f>
        <x:v>Desk Accessories</x:v>
      </x:c>
      <x:c r="P1723" s="92" t="n">
        <x:f>IFERROR(VLOOKUP(L1723,'Reference Data'!$A$5:$F$40,5,FALSE),0)</x:f>
        <x:v>49</x:v>
      </x:c>
      <x:c r="Q1723" s="92" t="n">
        <x:f>IFERROR(VLOOKUP(L1723,'Reference Data'!$A$5:$F$40,6,FALSE),0)</x:f>
        <x:v>21</x:v>
      </x:c>
      <x:c r="R1723" s="84" t="n">
        <x:f>'Raw Sales'!J1723</x:f>
        <x:v>3</x:v>
      </x:c>
      <x:c r="S1723" s="87" t="n">
        <x:f>'Raw Sales'!K1723</x:f>
        <x:v>0</x:v>
      </x:c>
      <x:c r="T1723" s="93" t="n">
        <x:f>P1723*R1723</x:f>
        <x:v>147</x:v>
      </x:c>
      <x:c r="U1723" s="93" t="n">
        <x:f>T1723*S1723</x:f>
        <x:v>0</x:v>
      </x:c>
      <x:c r="V1723" s="93" t="str">
        <x:f>PROPER(TRIM('Raw Sales'!L1723))</x:f>
        <x:v>Completed</x:v>
      </x:c>
      <x:c r="W1723" s="93" t="n">
        <x:f>IF(V1723="Returned",0,T1723-U1723)</x:f>
        <x:v>147</x:v>
      </x:c>
      <x:c r="X1723" s="93" t="n">
        <x:f>IF(V1723="Returned",Q1723*R1723*10%,Q1723*R1723)</x:f>
        <x:v>63</x:v>
      </x:c>
      <x:c r="Y1723" s="93" t="n">
        <x:f>W1723-X1723</x:f>
        <x:v>84</x:v>
      </x:c>
      <x:c r="Z1723" s="94" t="n">
        <x:f>IFERROR(Y1723/W1723,0)</x:f>
        <x:v>0.5714285714285714</x:v>
      </x:c>
      <x:c r="AA1723" s="84" t="str">
        <x:f>PROPER(TRIM('Raw Sales'!M1723))</x:f>
        <x:v>Debit Card</x:v>
      </x:c>
      <x:c r="AB1723" s="84" t="str">
        <x:f>PROPER(TRIM('Raw Sales'!N1723))</x:f>
        <x:v>Liam Parker</x:v>
      </x:c>
      <x:c r="AC1723" s="85" t="n">
        <x:f>'Raw Sales'!O1723</x:f>
        <x:v>45859</x:v>
      </x:c>
      <x:c r="AD1723" s="84" t="n">
        <x:f>AC1723-B1723</x:f>
        <x:v>5</x:v>
      </x:c>
      <x:c r="AE1723" s="84" t="str">
        <x:f>IF(COUNTIF($A$5:A1723,A1723)&gt;1,"Duplicate","Keep")</x:f>
        <x:v>Keep</x:v>
      </x:c>
      <x:c r="AF1723" s="84" t="str">
        <x:f>IF(OR(R1723&lt;=0,AC1723&lt;B1723,H1723="Unknown",M1723="Unknown Product"),"Review","Valid")</x:f>
        <x:v>Valid</x:v>
      </x:c>
      <x:c r="AG1723" s="84" t="n">
        <x:f>IF(AND(AE1723="Keep",AF1723="Valid"),1,0)</x:f>
        <x:v>1</x:v>
      </x:c>
      <x:c r="AH1723" s="84" t="n">
        <x:f>IF(AND(AG1723=1,OR('Dashboard'!$B$4="All",I1723='Dashboard'!$B$4),OR('Dashboard'!$E$4="All",N1723='Dashboard'!$E$4),OR('Dashboard'!$H$4="All",K1723='Dashboard'!$H$4),OR('Dashboard'!$K$4="All",C1723='Dashboard'!$K$4)),1,0)</x:f>
        <x:v>1</x:v>
      </x:c>
      <x:c r="AI1723" s="84" t="n">
        <x:f>IF(AND(AG1723=1,OR('Dashboard'!$B$4="All",I1723='Dashboard'!$B$4),OR('Dashboard'!$E$4="All",N1723='Dashboard'!$E$4),OR('Dashboard'!$H$4="All",K1723='Dashboard'!$H$4)),1,0)</x:f>
        <x:v>1</x:v>
      </x:c>
    </x:row>
    <x:row r="1724">
      <x:c r="A1724" s="84" t="str">
        <x:f>'Raw Sales'!A1724</x:f>
        <x:v>ORD-2025-01255</x:v>
      </x:c>
      <x:c r="B1724" s="85" t="n">
        <x:f>'Raw Sales'!B1724</x:f>
        <x:v>45854</x:v>
      </x:c>
      <x:c r="C1724" s="84" t="n">
        <x:f>YEAR(B1724)</x:f>
        <x:v>2025</x:v>
      </x:c>
      <x:c r="D1724" s="91" t="n">
        <x:f>DATE(YEAR(B1724),MONTH(B1724),1)</x:f>
        <x:v>45839</x:v>
      </x:c>
      <x:c r="E1724" s="84" t="str">
        <x:f>TEXT(B1724,"mmm")</x:f>
        <x:v>Jul</x:v>
      </x:c>
      <x:c r="F1724" s="84" t="str">
        <x:f>'Raw Sales'!C1724</x:f>
        <x:v>CUST-0633</x:v>
      </x:c>
      <x:c r="G1724" s="84" t="str">
        <x:f>PROPER(TRIM('Raw Sales'!D1724))</x:f>
        <x:v>Jonah Taylor</x:v>
      </x:c>
      <x:c r="H1724" s="84" t="str">
        <x:f>IF(TRIM('Raw Sales'!E1724)="","Unknown",PROPER(TRIM('Raw Sales'!E1724)))</x:f>
        <x:v>Consumer</x:v>
      </x:c>
      <x:c r="I1724" s="84" t="str">
        <x:f>PROPER(TRIM('Raw Sales'!F1724))</x:f>
        <x:v>West</x:v>
      </x:c>
      <x:c r="J1724" s="84" t="str">
        <x:f>PROPER(TRIM('Raw Sales'!G1724))</x:f>
        <x:v>Phoenix</x:v>
      </x:c>
      <x:c r="K1724" s="84" t="str">
        <x:f>PROPER(TRIM('Raw Sales'!H1724))</x:f>
        <x:v>Retail Store</x:v>
      </x:c>
      <x:c r="L1724" s="84" t="str">
        <x:f>'Raw Sales'!I1724</x:f>
        <x:v>ELEC-003</x:v>
      </x:c>
      <x:c r="M1724" s="84" t="str">
        <x:f>IFERROR(VLOOKUP(L1724,'Reference Data'!$A$5:$F$40,2,FALSE),"Unknown Product")</x:f>
        <x:v>Bluetooth Speaker</x:v>
      </x:c>
      <x:c r="N1724" s="84" t="str">
        <x:f>IFERROR(VLOOKUP(L1724,'Reference Data'!$A$5:$F$40,3,FALSE),"Unknown")</x:f>
        <x:v>Electronics</x:v>
      </x:c>
      <x:c r="O1724" s="84" t="str">
        <x:f>IFERROR(VLOOKUP(L1724,'Reference Data'!$A$5:$F$40,4,FALSE),"Unknown")</x:f>
        <x:v>Audio</x:v>
      </x:c>
      <x:c r="P1724" s="92" t="n">
        <x:f>IFERROR(VLOOKUP(L1724,'Reference Data'!$A$5:$F$40,5,FALSE),0)</x:f>
        <x:v>89</x:v>
      </x:c>
      <x:c r="Q1724" s="92" t="n">
        <x:f>IFERROR(VLOOKUP(L1724,'Reference Data'!$A$5:$F$40,6,FALSE),0)</x:f>
        <x:v>44</x:v>
      </x:c>
      <x:c r="R1724" s="84" t="n">
        <x:f>'Raw Sales'!J1724</x:f>
        <x:v>3</x:v>
      </x:c>
      <x:c r="S1724" s="87" t="n">
        <x:f>'Raw Sales'!K1724</x:f>
        <x:v>0.2</x:v>
      </x:c>
      <x:c r="T1724" s="93" t="n">
        <x:f>P1724*R1724</x:f>
        <x:v>267</x:v>
      </x:c>
      <x:c r="U1724" s="93" t="n">
        <x:f>T1724*S1724</x:f>
        <x:v>53.400000000000006</x:v>
      </x:c>
      <x:c r="V1724" s="93" t="str">
        <x:f>PROPER(TRIM('Raw Sales'!L1724))</x:f>
        <x:v>Completed</x:v>
      </x:c>
      <x:c r="W1724" s="93" t="n">
        <x:f>IF(V1724="Returned",0,T1724-U1724)</x:f>
        <x:v>213.6</x:v>
      </x:c>
      <x:c r="X1724" s="93" t="n">
        <x:f>IF(V1724="Returned",Q1724*R1724*10%,Q1724*R1724)</x:f>
        <x:v>132</x:v>
      </x:c>
      <x:c r="Y1724" s="93" t="n">
        <x:f>W1724-X1724</x:f>
        <x:v>81.6</x:v>
      </x:c>
      <x:c r="Z1724" s="94" t="n">
        <x:f>IFERROR(Y1724/W1724,0)</x:f>
        <x:v>0.38202247191011235</x:v>
      </x:c>
      <x:c r="AA1724" s="84" t="str">
        <x:f>PROPER(TRIM('Raw Sales'!M1724))</x:f>
        <x:v>Debit Card</x:v>
      </x:c>
      <x:c r="AB1724" s="84" t="str">
        <x:f>PROPER(TRIM('Raw Sales'!N1724))</x:f>
        <x:v>Leo Martinez</x:v>
      </x:c>
      <x:c r="AC1724" s="85" t="n">
        <x:f>'Raw Sales'!O1724</x:f>
        <x:v>45855</x:v>
      </x:c>
      <x:c r="AD1724" s="84" t="n">
        <x:f>AC1724-B1724</x:f>
        <x:v>1</x:v>
      </x:c>
      <x:c r="AE1724" s="84" t="str">
        <x:f>IF(COUNTIF($A$5:A1724,A1724)&gt;1,"Duplicate","Keep")</x:f>
        <x:v>Keep</x:v>
      </x:c>
      <x:c r="AF1724" s="84" t="str">
        <x:f>IF(OR(R1724&lt;=0,AC1724&lt;B1724,H1724="Unknown",M1724="Unknown Product"),"Review","Valid")</x:f>
        <x:v>Valid</x:v>
      </x:c>
      <x:c r="AG1724" s="84" t="n">
        <x:f>IF(AND(AE1724="Keep",AF1724="Valid"),1,0)</x:f>
        <x:v>1</x:v>
      </x:c>
      <x:c r="AH1724" s="84" t="n">
        <x:f>IF(AND(AG1724=1,OR('Dashboard'!$B$4="All",I1724='Dashboard'!$B$4),OR('Dashboard'!$E$4="All",N1724='Dashboard'!$E$4),OR('Dashboard'!$H$4="All",K1724='Dashboard'!$H$4),OR('Dashboard'!$K$4="All",C1724='Dashboard'!$K$4)),1,0)</x:f>
        <x:v>1</x:v>
      </x:c>
      <x:c r="AI1724" s="84" t="n">
        <x:f>IF(AND(AG1724=1,OR('Dashboard'!$B$4="All",I1724='Dashboard'!$B$4),OR('Dashboard'!$E$4="All",N1724='Dashboard'!$E$4),OR('Dashboard'!$H$4="All",K1724='Dashboard'!$H$4)),1,0)</x:f>
        <x:v>1</x:v>
      </x:c>
    </x:row>
    <x:row r="1725">
      <x:c r="A1725" s="84" t="str">
        <x:f>'Raw Sales'!A1725</x:f>
        <x:v>ORD-2025-02328</x:v>
      </x:c>
      <x:c r="B1725" s="85" t="n">
        <x:f>'Raw Sales'!B1725</x:f>
        <x:v>45854</x:v>
      </x:c>
      <x:c r="C1725" s="84" t="n">
        <x:f>YEAR(B1725)</x:f>
        <x:v>2025</x:v>
      </x:c>
      <x:c r="D1725" s="91" t="n">
        <x:f>DATE(YEAR(B1725),MONTH(B1725),1)</x:f>
        <x:v>45839</x:v>
      </x:c>
      <x:c r="E1725" s="84" t="str">
        <x:f>TEXT(B1725,"mmm")</x:f>
        <x:v>Jul</x:v>
      </x:c>
      <x:c r="F1725" s="84" t="str">
        <x:f>'Raw Sales'!C1725</x:f>
        <x:v>CUST-0360</x:v>
      </x:c>
      <x:c r="G1725" s="84" t="str">
        <x:f>PROPER(TRIM('Raw Sales'!D1725))</x:f>
        <x:v>Elena Taylor</x:v>
      </x:c>
      <x:c r="H1725" s="84" t="str">
        <x:f>IF(TRIM('Raw Sales'!E1725)="","Unknown",PROPER(TRIM('Raw Sales'!E1725)))</x:f>
        <x:v>Corporate</x:v>
      </x:c>
      <x:c r="I1725" s="84" t="str">
        <x:f>PROPER(TRIM('Raw Sales'!F1725))</x:f>
        <x:v>Northeast</x:v>
      </x:c>
      <x:c r="J1725" s="84" t="str">
        <x:f>PROPER(TRIM('Raw Sales'!G1725))</x:f>
        <x:v>New York</x:v>
      </x:c>
      <x:c r="K1725" s="84" t="str">
        <x:f>PROPER(TRIM('Raw Sales'!H1725))</x:f>
        <x:v>Online</x:v>
      </x:c>
      <x:c r="L1725" s="84" t="str">
        <x:f>'Raw Sales'!I1725</x:f>
        <x:v>ACCS-004</x:v>
      </x:c>
      <x:c r="M1725" s="84" t="str">
        <x:f>IFERROR(VLOOKUP(L1725,'Reference Data'!$A$5:$F$40,2,FALSE),"Unknown Product")</x:f>
        <x:v>Leather Wallet</x:v>
      </x:c>
      <x:c r="N1725" s="84" t="str">
        <x:f>IFERROR(VLOOKUP(L1725,'Reference Data'!$A$5:$F$40,3,FALSE),"Unknown")</x:f>
        <x:v>Accessories</x:v>
      </x:c>
      <x:c r="O1725" s="84" t="str">
        <x:f>IFERROR(VLOOKUP(L1725,'Reference Data'!$A$5:$F$40,4,FALSE),"Unknown")</x:f>
        <x:v>Wallets</x:v>
      </x:c>
      <x:c r="P1725" s="92" t="n">
        <x:f>IFERROR(VLOOKUP(L1725,'Reference Data'!$A$5:$F$40,5,FALSE),0)</x:f>
        <x:v>49</x:v>
      </x:c>
      <x:c r="Q1725" s="92" t="n">
        <x:f>IFERROR(VLOOKUP(L1725,'Reference Data'!$A$5:$F$40,6,FALSE),0)</x:f>
        <x:v>18</x:v>
      </x:c>
      <x:c r="R1725" s="84" t="n">
        <x:f>'Raw Sales'!J1725</x:f>
        <x:v>2</x:v>
      </x:c>
      <x:c r="S1725" s="87" t="n">
        <x:f>'Raw Sales'!K1725</x:f>
        <x:v>0</x:v>
      </x:c>
      <x:c r="T1725" s="93" t="n">
        <x:f>P1725*R1725</x:f>
        <x:v>98</x:v>
      </x:c>
      <x:c r="U1725" s="93" t="n">
        <x:f>T1725*S1725</x:f>
        <x:v>0</x:v>
      </x:c>
      <x:c r="V1725" s="93" t="str">
        <x:f>PROPER(TRIM('Raw Sales'!L1725))</x:f>
        <x:v>Completed</x:v>
      </x:c>
      <x:c r="W1725" s="93" t="n">
        <x:f>IF(V1725="Returned",0,T1725-U1725)</x:f>
        <x:v>98</x:v>
      </x:c>
      <x:c r="X1725" s="93" t="n">
        <x:f>IF(V1725="Returned",Q1725*R1725*10%,Q1725*R1725)</x:f>
        <x:v>36</x:v>
      </x:c>
      <x:c r="Y1725" s="93" t="n">
        <x:f>W1725-X1725</x:f>
        <x:v>62</x:v>
      </x:c>
      <x:c r="Z1725" s="94" t="n">
        <x:f>IFERROR(Y1725/W1725,0)</x:f>
        <x:v>0.6326530612244898</x:v>
      </x:c>
      <x:c r="AA1725" s="84" t="str">
        <x:f>PROPER(TRIM('Raw Sales'!M1725))</x:f>
        <x:v>Credit Card</x:v>
      </x:c>
      <x:c r="AB1725" s="84" t="str">
        <x:f>PROPER(TRIM('Raw Sales'!N1725))</x:f>
        <x:v>Sofia Bennett</x:v>
      </x:c>
      <x:c r="AC1725" s="85" t="n">
        <x:f>'Raw Sales'!O1725</x:f>
        <x:v>45859</x:v>
      </x:c>
      <x:c r="AD1725" s="84" t="n">
        <x:f>AC1725-B1725</x:f>
        <x:v>5</x:v>
      </x:c>
      <x:c r="AE1725" s="84" t="str">
        <x:f>IF(COUNTIF($A$5:A1725,A1725)&gt;1,"Duplicate","Keep")</x:f>
        <x:v>Keep</x:v>
      </x:c>
      <x:c r="AF1725" s="84" t="str">
        <x:f>IF(OR(R1725&lt;=0,AC1725&lt;B1725,H1725="Unknown",M1725="Unknown Product"),"Review","Valid")</x:f>
        <x:v>Valid</x:v>
      </x:c>
      <x:c r="AG1725" s="84" t="n">
        <x:f>IF(AND(AE1725="Keep",AF1725="Valid"),1,0)</x:f>
        <x:v>1</x:v>
      </x:c>
      <x:c r="AH1725" s="84" t="n">
        <x:f>IF(AND(AG1725=1,OR('Dashboard'!$B$4="All",I1725='Dashboard'!$B$4),OR('Dashboard'!$E$4="All",N1725='Dashboard'!$E$4),OR('Dashboard'!$H$4="All",K1725='Dashboard'!$H$4),OR('Dashboard'!$K$4="All",C1725='Dashboard'!$K$4)),1,0)</x:f>
        <x:v>1</x:v>
      </x:c>
      <x:c r="AI1725" s="84" t="n">
        <x:f>IF(AND(AG1725=1,OR('Dashboard'!$B$4="All",I1725='Dashboard'!$B$4),OR('Dashboard'!$E$4="All",N1725='Dashboard'!$E$4),OR('Dashboard'!$H$4="All",K1725='Dashboard'!$H$4)),1,0)</x:f>
        <x:v>1</x:v>
      </x:c>
    </x:row>
    <x:row r="1726">
      <x:c r="A1726" s="84" t="str">
        <x:f>'Raw Sales'!A1726</x:f>
        <x:v>ORD-2025-02330</x:v>
      </x:c>
      <x:c r="B1726" s="85" t="n">
        <x:f>'Raw Sales'!B1726</x:f>
        <x:v>45854</x:v>
      </x:c>
      <x:c r="C1726" s="84" t="n">
        <x:f>YEAR(B1726)</x:f>
        <x:v>2025</x:v>
      </x:c>
      <x:c r="D1726" s="91" t="n">
        <x:f>DATE(YEAR(B1726),MONTH(B1726),1)</x:f>
        <x:v>45839</x:v>
      </x:c>
      <x:c r="E1726" s="84" t="str">
        <x:f>TEXT(B1726,"mmm")</x:f>
        <x:v>Jul</x:v>
      </x:c>
      <x:c r="F1726" s="84" t="str">
        <x:f>'Raw Sales'!C1726</x:f>
        <x:v>CUST-0293</x:v>
      </x:c>
      <x:c r="G1726" s="84" t="str">
        <x:f>PROPER(TRIM('Raw Sales'!D1726))</x:f>
        <x:v>Marcus Johnson</x:v>
      </x:c>
      <x:c r="H1726" s="84" t="str">
        <x:f>IF(TRIM('Raw Sales'!E1726)="","Unknown",PROPER(TRIM('Raw Sales'!E1726)))</x:f>
        <x:v>Consumer</x:v>
      </x:c>
      <x:c r="I1726" s="84" t="str">
        <x:f>PROPER(TRIM('Raw Sales'!F1726))</x:f>
        <x:v>West</x:v>
      </x:c>
      <x:c r="J1726" s="84" t="str">
        <x:f>PROPER(TRIM('Raw Sales'!G1726))</x:f>
        <x:v>Denver</x:v>
      </x:c>
      <x:c r="K1726" s="84" t="str">
        <x:f>PROPER(TRIM('Raw Sales'!H1726))</x:f>
        <x:v>Marketplace</x:v>
      </x:c>
      <x:c r="L1726" s="84" t="str">
        <x:f>'Raw Sales'!I1726</x:f>
        <x:v>FITN-006</x:v>
      </x:c>
      <x:c r="M1726" s="84" t="str">
        <x:f>IFERROR(VLOOKUP(L1726,'Reference Data'!$A$5:$F$40,2,FALSE),"Unknown Product")</x:f>
        <x:v>Foam Roller</x:v>
      </x:c>
      <x:c r="N1726" s="84" t="str">
        <x:f>IFERROR(VLOOKUP(L1726,'Reference Data'!$A$5:$F$40,3,FALSE),"Unknown")</x:f>
        <x:v>Fitness</x:v>
      </x:c>
      <x:c r="O1726" s="84" t="str">
        <x:f>IFERROR(VLOOKUP(L1726,'Reference Data'!$A$5:$F$40,4,FALSE),"Unknown")</x:f>
        <x:v>Recovery</x:v>
      </x:c>
      <x:c r="P1726" s="92" t="n">
        <x:f>IFERROR(VLOOKUP(L1726,'Reference Data'!$A$5:$F$40,5,FALSE),0)</x:f>
        <x:v>31</x:v>
      </x:c>
      <x:c r="Q1726" s="92" t="n">
        <x:f>IFERROR(VLOOKUP(L1726,'Reference Data'!$A$5:$F$40,6,FALSE),0)</x:f>
        <x:v>12</x:v>
      </x:c>
      <x:c r="R1726" s="84" t="n">
        <x:f>'Raw Sales'!J1726</x:f>
        <x:v>4</x:v>
      </x:c>
      <x:c r="S1726" s="87" t="n">
        <x:f>'Raw Sales'!K1726</x:f>
        <x:v>0.1</x:v>
      </x:c>
      <x:c r="T1726" s="93" t="n">
        <x:f>P1726*R1726</x:f>
        <x:v>124</x:v>
      </x:c>
      <x:c r="U1726" s="93" t="n">
        <x:f>T1726*S1726</x:f>
        <x:v>12.4</x:v>
      </x:c>
      <x:c r="V1726" s="93" t="str">
        <x:f>PROPER(TRIM('Raw Sales'!L1726))</x:f>
        <x:v>Completed</x:v>
      </x:c>
      <x:c r="W1726" s="93" t="n">
        <x:f>IF(V1726="Returned",0,T1726-U1726)</x:f>
        <x:v>111.6</x:v>
      </x:c>
      <x:c r="X1726" s="93" t="n">
        <x:f>IF(V1726="Returned",Q1726*R1726*10%,Q1726*R1726)</x:f>
        <x:v>48</x:v>
      </x:c>
      <x:c r="Y1726" s="93" t="n">
        <x:f>W1726-X1726</x:f>
        <x:v>63.599999999999994</x:v>
      </x:c>
      <x:c r="Z1726" s="94" t="n">
        <x:f>IFERROR(Y1726/W1726,0)</x:f>
        <x:v>0.5698924731182795</x:v>
      </x:c>
      <x:c r="AA1726" s="84" t="str">
        <x:f>PROPER(TRIM('Raw Sales'!M1726))</x:f>
        <x:v>Paypal</x:v>
      </x:c>
      <x:c r="AB1726" s="84" t="str">
        <x:f>PROPER(TRIM('Raw Sales'!N1726))</x:f>
        <x:v>Mia Chen</x:v>
      </x:c>
      <x:c r="AC1726" s="85" t="n">
        <x:f>'Raw Sales'!O1726</x:f>
        <x:v>45858</x:v>
      </x:c>
      <x:c r="AD1726" s="84" t="n">
        <x:f>AC1726-B1726</x:f>
        <x:v>4</x:v>
      </x:c>
      <x:c r="AE1726" s="84" t="str">
        <x:f>IF(COUNTIF($A$5:A1726,A1726)&gt;1,"Duplicate","Keep")</x:f>
        <x:v>Keep</x:v>
      </x:c>
      <x:c r="AF1726" s="84" t="str">
        <x:f>IF(OR(R1726&lt;=0,AC1726&lt;B1726,H1726="Unknown",M1726="Unknown Product"),"Review","Valid")</x:f>
        <x:v>Valid</x:v>
      </x:c>
      <x:c r="AG1726" s="84" t="n">
        <x:f>IF(AND(AE1726="Keep",AF1726="Valid"),1,0)</x:f>
        <x:v>1</x:v>
      </x:c>
      <x:c r="AH1726" s="84" t="n">
        <x:f>IF(AND(AG1726=1,OR('Dashboard'!$B$4="All",I1726='Dashboard'!$B$4),OR('Dashboard'!$E$4="All",N1726='Dashboard'!$E$4),OR('Dashboard'!$H$4="All",K1726='Dashboard'!$H$4),OR('Dashboard'!$K$4="All",C1726='Dashboard'!$K$4)),1,0)</x:f>
        <x:v>1</x:v>
      </x:c>
      <x:c r="AI1726" s="84" t="n">
        <x:f>IF(AND(AG1726=1,OR('Dashboard'!$B$4="All",I1726='Dashboard'!$B$4),OR('Dashboard'!$E$4="All",N1726='Dashboard'!$E$4),OR('Dashboard'!$H$4="All",K1726='Dashboard'!$H$4)),1,0)</x:f>
        <x:v>1</x:v>
      </x:c>
    </x:row>
    <x:row r="1727">
      <x:c r="A1727" s="84" t="str">
        <x:f>'Raw Sales'!A1727</x:f>
        <x:v>ORD-2025-02024</x:v>
      </x:c>
      <x:c r="B1727" s="85" t="n">
        <x:f>'Raw Sales'!B1727</x:f>
        <x:v>45855</x:v>
      </x:c>
      <x:c r="C1727" s="84" t="n">
        <x:f>YEAR(B1727)</x:f>
        <x:v>2025</x:v>
      </x:c>
      <x:c r="D1727" s="91" t="n">
        <x:f>DATE(YEAR(B1727),MONTH(B1727),1)</x:f>
        <x:v>45839</x:v>
      </x:c>
      <x:c r="E1727" s="84" t="str">
        <x:f>TEXT(B1727,"mmm")</x:f>
        <x:v>Jul</x:v>
      </x:c>
      <x:c r="F1727" s="84" t="str">
        <x:f>'Raw Sales'!C1727</x:f>
        <x:v>CUST-0501</x:v>
      </x:c>
      <x:c r="G1727" s="84" t="str">
        <x:f>PROPER(TRIM('Raw Sales'!D1727))</x:f>
        <x:v>Priya Garcia</x:v>
      </x:c>
      <x:c r="H1727" s="84" t="str">
        <x:f>IF(TRIM('Raw Sales'!E1727)="","Unknown",PROPER(TRIM('Raw Sales'!E1727)))</x:f>
        <x:v>Consumer</x:v>
      </x:c>
      <x:c r="I1727" s="84" t="str">
        <x:f>PROPER(TRIM('Raw Sales'!F1727))</x:f>
        <x:v>Northeast</x:v>
      </x:c>
      <x:c r="J1727" s="84" t="str">
        <x:f>PROPER(TRIM('Raw Sales'!G1727))</x:f>
        <x:v>Boston</x:v>
      </x:c>
      <x:c r="K1727" s="84" t="str">
        <x:f>PROPER(TRIM('Raw Sales'!H1727))</x:f>
        <x:v>Online</x:v>
      </x:c>
      <x:c r="L1727" s="84" t="str">
        <x:f>'Raw Sales'!I1727</x:f>
        <x:v>ELEC-001</x:v>
      </x:c>
      <x:c r="M1727" s="84" t="str">
        <x:f>IFERROR(VLOOKUP(L1727,'Reference Data'!$A$5:$F$40,2,FALSE),"Unknown Product")</x:f>
        <x:v>Wireless Earbuds</x:v>
      </x:c>
      <x:c r="N1727" s="84" t="str">
        <x:f>IFERROR(VLOOKUP(L1727,'Reference Data'!$A$5:$F$40,3,FALSE),"Unknown")</x:f>
        <x:v>Electronics</x:v>
      </x:c>
      <x:c r="O1727" s="84" t="str">
        <x:f>IFERROR(VLOOKUP(L1727,'Reference Data'!$A$5:$F$40,4,FALSE),"Unknown")</x:f>
        <x:v>Audio</x:v>
      </x:c>
      <x:c r="P1727" s="92" t="n">
        <x:f>IFERROR(VLOOKUP(L1727,'Reference Data'!$A$5:$F$40,5,FALSE),0)</x:f>
        <x:v>69</x:v>
      </x:c>
      <x:c r="Q1727" s="92" t="n">
        <x:f>IFERROR(VLOOKUP(L1727,'Reference Data'!$A$5:$F$40,6,FALSE),0)</x:f>
        <x:v>36</x:v>
      </x:c>
      <x:c r="R1727" s="84" t="n">
        <x:f>'Raw Sales'!J1727</x:f>
        <x:v>1</x:v>
      </x:c>
      <x:c r="S1727" s="87" t="n">
        <x:f>'Raw Sales'!K1727</x:f>
        <x:v>0.15</x:v>
      </x:c>
      <x:c r="T1727" s="93" t="n">
        <x:f>P1727*R1727</x:f>
        <x:v>69</x:v>
      </x:c>
      <x:c r="U1727" s="93" t="n">
        <x:f>T1727*S1727</x:f>
        <x:v>10.35</x:v>
      </x:c>
      <x:c r="V1727" s="93" t="str">
        <x:f>PROPER(TRIM('Raw Sales'!L1727))</x:f>
        <x:v>Completed</x:v>
      </x:c>
      <x:c r="W1727" s="93" t="n">
        <x:f>IF(V1727="Returned",0,T1727-U1727)</x:f>
        <x:v>58.65</x:v>
      </x:c>
      <x:c r="X1727" s="93" t="n">
        <x:f>IF(V1727="Returned",Q1727*R1727*10%,Q1727*R1727)</x:f>
        <x:v>36</x:v>
      </x:c>
      <x:c r="Y1727" s="93" t="n">
        <x:f>W1727-X1727</x:f>
        <x:v>22.65</x:v>
      </x:c>
      <x:c r="Z1727" s="94" t="n">
        <x:f>IFERROR(Y1727/W1727,0)</x:f>
        <x:v>0.38618925831202044</x:v>
      </x:c>
      <x:c r="AA1727" s="84" t="str">
        <x:f>PROPER(TRIM('Raw Sales'!M1727))</x:f>
        <x:v>Mobile Wallet</x:v>
      </x:c>
      <x:c r="AB1727" s="84" t="str">
        <x:f>PROPER(TRIM('Raw Sales'!N1727))</x:f>
        <x:v>Sofia Bennett</x:v>
      </x:c>
      <x:c r="AC1727" s="85" t="n">
        <x:f>'Raw Sales'!O1727</x:f>
        <x:v>45858</x:v>
      </x:c>
      <x:c r="AD1727" s="84" t="n">
        <x:f>AC1727-B1727</x:f>
        <x:v>3</x:v>
      </x:c>
      <x:c r="AE1727" s="84" t="str">
        <x:f>IF(COUNTIF($A$5:A1727,A1727)&gt;1,"Duplicate","Keep")</x:f>
        <x:v>Keep</x:v>
      </x:c>
      <x:c r="AF1727" s="84" t="str">
        <x:f>IF(OR(R1727&lt;=0,AC1727&lt;B1727,H1727="Unknown",M1727="Unknown Product"),"Review","Valid")</x:f>
        <x:v>Valid</x:v>
      </x:c>
      <x:c r="AG1727" s="84" t="n">
        <x:f>IF(AND(AE1727="Keep",AF1727="Valid"),1,0)</x:f>
        <x:v>1</x:v>
      </x:c>
      <x:c r="AH1727" s="84" t="n">
        <x:f>IF(AND(AG1727=1,OR('Dashboard'!$B$4="All",I1727='Dashboard'!$B$4),OR('Dashboard'!$E$4="All",N1727='Dashboard'!$E$4),OR('Dashboard'!$H$4="All",K1727='Dashboard'!$H$4),OR('Dashboard'!$K$4="All",C1727='Dashboard'!$K$4)),1,0)</x:f>
        <x:v>1</x:v>
      </x:c>
      <x:c r="AI1727" s="84" t="n">
        <x:f>IF(AND(AG1727=1,OR('Dashboard'!$B$4="All",I1727='Dashboard'!$B$4),OR('Dashboard'!$E$4="All",N1727='Dashboard'!$E$4),OR('Dashboard'!$H$4="All",K1727='Dashboard'!$H$4)),1,0)</x:f>
        <x:v>1</x:v>
      </x:c>
    </x:row>
    <x:row r="1728">
      <x:c r="A1728" s="84" t="str">
        <x:f>'Raw Sales'!A1728</x:f>
        <x:v>ORD-2025-02117</x:v>
      </x:c>
      <x:c r="B1728" s="85" t="n">
        <x:f>'Raw Sales'!B1728</x:f>
        <x:v>45855</x:v>
      </x:c>
      <x:c r="C1728" s="84" t="n">
        <x:f>YEAR(B1728)</x:f>
        <x:v>2025</x:v>
      </x:c>
      <x:c r="D1728" s="91" t="n">
        <x:f>DATE(YEAR(B1728),MONTH(B1728),1)</x:f>
        <x:v>45839</x:v>
      </x:c>
      <x:c r="E1728" s="84" t="str">
        <x:f>TEXT(B1728,"mmm")</x:f>
        <x:v>Jul</x:v>
      </x:c>
      <x:c r="F1728" s="84" t="str">
        <x:f>'Raw Sales'!C1728</x:f>
        <x:v>CUST-0141</x:v>
      </x:c>
      <x:c r="G1728" s="84" t="str">
        <x:f>PROPER(TRIM('Raw Sales'!D1728))</x:f>
        <x:v>Victoria Taylor</x:v>
      </x:c>
      <x:c r="H1728" s="84" t="str">
        <x:f>IF(TRIM('Raw Sales'!E1728)="","Unknown",PROPER(TRIM('Raw Sales'!E1728)))</x:f>
        <x:v>Consumer</x:v>
      </x:c>
      <x:c r="I1728" s="84" t="str">
        <x:f>PROPER(TRIM('Raw Sales'!F1728))</x:f>
        <x:v>Midwest</x:v>
      </x:c>
      <x:c r="J1728" s="84" t="str">
        <x:f>PROPER(TRIM('Raw Sales'!G1728))</x:f>
        <x:v>Minneapolis</x:v>
      </x:c>
      <x:c r="K1728" s="84" t="str">
        <x:f>PROPER(TRIM('Raw Sales'!H1728))</x:f>
        <x:v>Online</x:v>
      </x:c>
      <x:c r="L1728" s="84" t="str">
        <x:f>'Raw Sales'!I1728</x:f>
        <x:v>HOME-002</x:v>
      </x:c>
      <x:c r="M1728" s="84" t="str">
        <x:f>IFERROR(VLOOKUP(L1728,'Reference Data'!$A$5:$F$40,2,FALSE),"Unknown Product")</x:f>
        <x:v>Electric Kettle</x:v>
      </x:c>
      <x:c r="N1728" s="84" t="str">
        <x:f>IFERROR(VLOOKUP(L1728,'Reference Data'!$A$5:$F$40,3,FALSE),"Unknown")</x:f>
        <x:v>Home &amp; Kitchen</x:v>
      </x:c>
      <x:c r="O1728" s="84" t="str">
        <x:f>IFERROR(VLOOKUP(L1728,'Reference Data'!$A$5:$F$40,4,FALSE),"Unknown")</x:f>
        <x:v>Small Appliances</x:v>
      </x:c>
      <x:c r="P1728" s="92" t="n">
        <x:f>IFERROR(VLOOKUP(L1728,'Reference Data'!$A$5:$F$40,5,FALSE),0)</x:f>
        <x:v>49</x:v>
      </x:c>
      <x:c r="Q1728" s="92" t="n">
        <x:f>IFERROR(VLOOKUP(L1728,'Reference Data'!$A$5:$F$40,6,FALSE),0)</x:f>
        <x:v>23</x:v>
      </x:c>
      <x:c r="R1728" s="84" t="n">
        <x:f>'Raw Sales'!J1728</x:f>
        <x:v>1</x:v>
      </x:c>
      <x:c r="S1728" s="87" t="n">
        <x:f>'Raw Sales'!K1728</x:f>
        <x:v>0.05</x:v>
      </x:c>
      <x:c r="T1728" s="93" t="n">
        <x:f>P1728*R1728</x:f>
        <x:v>49</x:v>
      </x:c>
      <x:c r="U1728" s="93" t="n">
        <x:f>T1728*S1728</x:f>
        <x:v>2.45</x:v>
      </x:c>
      <x:c r="V1728" s="93" t="str">
        <x:f>PROPER(TRIM('Raw Sales'!L1728))</x:f>
        <x:v>Completed</x:v>
      </x:c>
      <x:c r="W1728" s="93" t="n">
        <x:f>IF(V1728="Returned",0,T1728-U1728)</x:f>
        <x:v>46.55</x:v>
      </x:c>
      <x:c r="X1728" s="93" t="n">
        <x:f>IF(V1728="Returned",Q1728*R1728*10%,Q1728*R1728)</x:f>
        <x:v>23</x:v>
      </x:c>
      <x:c r="Y1728" s="93" t="n">
        <x:f>W1728-X1728</x:f>
        <x:v>23.549999999999997</x:v>
      </x:c>
      <x:c r="Z1728" s="94" t="n">
        <x:f>IFERROR(Y1728/W1728,0)</x:f>
        <x:v>0.505907626208378</x:v>
      </x:c>
      <x:c r="AA1728" s="84" t="str">
        <x:f>PROPER(TRIM('Raw Sales'!M1728))</x:f>
        <x:v>Mobile Wallet</x:v>
      </x:c>
      <x:c r="AB1728" s="84" t="str">
        <x:f>PROPER(TRIM('Raw Sales'!N1728))</x:f>
        <x:v>Zoe Turner</x:v>
      </x:c>
      <x:c r="AC1728" s="85" t="n">
        <x:f>'Raw Sales'!O1728</x:f>
        <x:v>45857</x:v>
      </x:c>
      <x:c r="AD1728" s="84" t="n">
        <x:f>AC1728-B1728</x:f>
        <x:v>2</x:v>
      </x:c>
      <x:c r="AE1728" s="84" t="str">
        <x:f>IF(COUNTIF($A$5:A1728,A1728)&gt;1,"Duplicate","Keep")</x:f>
        <x:v>Keep</x:v>
      </x:c>
      <x:c r="AF1728" s="84" t="str">
        <x:f>IF(OR(R1728&lt;=0,AC1728&lt;B1728,H1728="Unknown",M1728="Unknown Product"),"Review","Valid")</x:f>
        <x:v>Valid</x:v>
      </x:c>
      <x:c r="AG1728" s="84" t="n">
        <x:f>IF(AND(AE1728="Keep",AF1728="Valid"),1,0)</x:f>
        <x:v>1</x:v>
      </x:c>
      <x:c r="AH1728" s="84" t="n">
        <x:f>IF(AND(AG1728=1,OR('Dashboard'!$B$4="All",I1728='Dashboard'!$B$4),OR('Dashboard'!$E$4="All",N1728='Dashboard'!$E$4),OR('Dashboard'!$H$4="All",K1728='Dashboard'!$H$4),OR('Dashboard'!$K$4="All",C1728='Dashboard'!$K$4)),1,0)</x:f>
        <x:v>1</x:v>
      </x:c>
      <x:c r="AI1728" s="84" t="n">
        <x:f>IF(AND(AG1728=1,OR('Dashboard'!$B$4="All",I1728='Dashboard'!$B$4),OR('Dashboard'!$E$4="All",N1728='Dashboard'!$E$4),OR('Dashboard'!$H$4="All",K1728='Dashboard'!$H$4)),1,0)</x:f>
        <x:v>1</x:v>
      </x:c>
    </x:row>
    <x:row r="1729">
      <x:c r="A1729" s="84" t="str">
        <x:f>'Raw Sales'!A1729</x:f>
        <x:v>ORD-2025-01001</x:v>
      </x:c>
      <x:c r="B1729" s="85" t="n">
        <x:f>'Raw Sales'!B1729</x:f>
        <x:v>45856</x:v>
      </x:c>
      <x:c r="C1729" s="84" t="n">
        <x:f>YEAR(B1729)</x:f>
        <x:v>2025</x:v>
      </x:c>
      <x:c r="D1729" s="91" t="n">
        <x:f>DATE(YEAR(B1729),MONTH(B1729),1)</x:f>
        <x:v>45839</x:v>
      </x:c>
      <x:c r="E1729" s="84" t="str">
        <x:f>TEXT(B1729,"mmm")</x:f>
        <x:v>Jul</x:v>
      </x:c>
      <x:c r="F1729" s="84" t="str">
        <x:f>'Raw Sales'!C1729</x:f>
        <x:v>CUST-0063</x:v>
      </x:c>
      <x:c r="G1729" s="84" t="str">
        <x:f>PROPER(TRIM('Raw Sales'!D1729))</x:f>
        <x:v>Jonah Irwin</x:v>
      </x:c>
      <x:c r="H1729" s="84" t="str">
        <x:f>IF(TRIM('Raw Sales'!E1729)="","Unknown",PROPER(TRIM('Raw Sales'!E1729)))</x:f>
        <x:v>Small Business</x:v>
      </x:c>
      <x:c r="I1729" s="84" t="str">
        <x:f>PROPER(TRIM('Raw Sales'!F1729))</x:f>
        <x:v>Midwest</x:v>
      </x:c>
      <x:c r="J1729" s="84" t="str">
        <x:f>PROPER(TRIM('Raw Sales'!G1729))</x:f>
        <x:v>Detroit</x:v>
      </x:c>
      <x:c r="K1729" s="84" t="str">
        <x:f>PROPER(TRIM('Raw Sales'!H1729))</x:f>
        <x:v>Retail Store</x:v>
      </x:c>
      <x:c r="L1729" s="84" t="str">
        <x:f>'Raw Sales'!I1729</x:f>
        <x:v>ELEC-003</x:v>
      </x:c>
      <x:c r="M1729" s="84" t="str">
        <x:f>IFERROR(VLOOKUP(L1729,'Reference Data'!$A$5:$F$40,2,FALSE),"Unknown Product")</x:f>
        <x:v>Bluetooth Speaker</x:v>
      </x:c>
      <x:c r="N1729" s="84" t="str">
        <x:f>IFERROR(VLOOKUP(L1729,'Reference Data'!$A$5:$F$40,3,FALSE),"Unknown")</x:f>
        <x:v>Electronics</x:v>
      </x:c>
      <x:c r="O1729" s="84" t="str">
        <x:f>IFERROR(VLOOKUP(L1729,'Reference Data'!$A$5:$F$40,4,FALSE),"Unknown")</x:f>
        <x:v>Audio</x:v>
      </x:c>
      <x:c r="P1729" s="92" t="n">
        <x:f>IFERROR(VLOOKUP(L1729,'Reference Data'!$A$5:$F$40,5,FALSE),0)</x:f>
        <x:v>89</x:v>
      </x:c>
      <x:c r="Q1729" s="92" t="n">
        <x:f>IFERROR(VLOOKUP(L1729,'Reference Data'!$A$5:$F$40,6,FALSE),0)</x:f>
        <x:v>44</x:v>
      </x:c>
      <x:c r="R1729" s="84" t="n">
        <x:f>'Raw Sales'!J1729</x:f>
        <x:v>1</x:v>
      </x:c>
      <x:c r="S1729" s="87" t="n">
        <x:f>'Raw Sales'!K1729</x:f>
        <x:v>0.2</x:v>
      </x:c>
      <x:c r="T1729" s="93" t="n">
        <x:f>P1729*R1729</x:f>
        <x:v>89</x:v>
      </x:c>
      <x:c r="U1729" s="93" t="n">
        <x:f>T1729*S1729</x:f>
        <x:v>17.8</x:v>
      </x:c>
      <x:c r="V1729" s="93" t="str">
        <x:f>PROPER(TRIM('Raw Sales'!L1729))</x:f>
        <x:v>Completed</x:v>
      </x:c>
      <x:c r="W1729" s="93" t="n">
        <x:f>IF(V1729="Returned",0,T1729-U1729)</x:f>
        <x:v>71.2</x:v>
      </x:c>
      <x:c r="X1729" s="93" t="n">
        <x:f>IF(V1729="Returned",Q1729*R1729*10%,Q1729*R1729)</x:f>
        <x:v>44</x:v>
      </x:c>
      <x:c r="Y1729" s="93" t="n">
        <x:f>W1729-X1729</x:f>
        <x:v>27.200000000000003</x:v>
      </x:c>
      <x:c r="Z1729" s="94" t="n">
        <x:f>IFERROR(Y1729/W1729,0)</x:f>
        <x:v>0.3820224719101124</x:v>
      </x:c>
      <x:c r="AA1729" s="84" t="str">
        <x:f>PROPER(TRIM('Raw Sales'!M1729))</x:f>
        <x:v>Credit Card</x:v>
      </x:c>
      <x:c r="AB1729" s="84" t="str">
        <x:f>PROPER(TRIM('Raw Sales'!N1729))</x:f>
        <x:v>Zoe Turner</x:v>
      </x:c>
      <x:c r="AC1729" s="85" t="n">
        <x:f>'Raw Sales'!O1729</x:f>
        <x:v>45857</x:v>
      </x:c>
      <x:c r="AD1729" s="84" t="n">
        <x:f>AC1729-B1729</x:f>
        <x:v>1</x:v>
      </x:c>
      <x:c r="AE1729" s="84" t="str">
        <x:f>IF(COUNTIF($A$5:A1729,A1729)&gt;1,"Duplicate","Keep")</x:f>
        <x:v>Keep</x:v>
      </x:c>
      <x:c r="AF1729" s="84" t="str">
        <x:f>IF(OR(R1729&lt;=0,AC1729&lt;B1729,H1729="Unknown",M1729="Unknown Product"),"Review","Valid")</x:f>
        <x:v>Valid</x:v>
      </x:c>
      <x:c r="AG1729" s="84" t="n">
        <x:f>IF(AND(AE1729="Keep",AF1729="Valid"),1,0)</x:f>
        <x:v>1</x:v>
      </x:c>
      <x:c r="AH1729" s="84" t="n">
        <x:f>IF(AND(AG1729=1,OR('Dashboard'!$B$4="All",I1729='Dashboard'!$B$4),OR('Dashboard'!$E$4="All",N1729='Dashboard'!$E$4),OR('Dashboard'!$H$4="All",K1729='Dashboard'!$H$4),OR('Dashboard'!$K$4="All",C1729='Dashboard'!$K$4)),1,0)</x:f>
        <x:v>1</x:v>
      </x:c>
      <x:c r="AI1729" s="84" t="n">
        <x:f>IF(AND(AG1729=1,OR('Dashboard'!$B$4="All",I1729='Dashboard'!$B$4),OR('Dashboard'!$E$4="All",N1729='Dashboard'!$E$4),OR('Dashboard'!$H$4="All",K1729='Dashboard'!$H$4)),1,0)</x:f>
        <x:v>1</x:v>
      </x:c>
    </x:row>
    <x:row r="1730">
      <x:c r="A1730" s="84" t="str">
        <x:f>'Raw Sales'!A1730</x:f>
        <x:v>ORD-2025-00925</x:v>
      </x:c>
      <x:c r="B1730" s="85" t="n">
        <x:f>'Raw Sales'!B1730</x:f>
        <x:v>45857</x:v>
      </x:c>
      <x:c r="C1730" s="84" t="n">
        <x:f>YEAR(B1730)</x:f>
        <x:v>2025</x:v>
      </x:c>
      <x:c r="D1730" s="91" t="n">
        <x:f>DATE(YEAR(B1730),MONTH(B1730),1)</x:f>
        <x:v>45839</x:v>
      </x:c>
      <x:c r="E1730" s="84" t="str">
        <x:f>TEXT(B1730,"mmm")</x:f>
        <x:v>Jul</x:v>
      </x:c>
      <x:c r="F1730" s="84" t="str">
        <x:f>'Raw Sales'!C1730</x:f>
        <x:v>CUST-0246</x:v>
      </x:c>
      <x:c r="G1730" s="84" t="str">
        <x:f>PROPER(TRIM('Raw Sales'!D1730))</x:f>
        <x:v>Maya Baker</x:v>
      </x:c>
      <x:c r="H1730" s="84" t="str">
        <x:f>IF(TRIM('Raw Sales'!E1730)="","Unknown",PROPER(TRIM('Raw Sales'!E1730)))</x:f>
        <x:v>Corporate</x:v>
      </x:c>
      <x:c r="I1730" s="84" t="str">
        <x:f>PROPER(TRIM('Raw Sales'!F1730))</x:f>
        <x:v>Southeast</x:v>
      </x:c>
      <x:c r="J1730" s="84" t="str">
        <x:f>PROPER(TRIM('Raw Sales'!G1730))</x:f>
        <x:v>Atlanta</x:v>
      </x:c>
      <x:c r="K1730" s="84" t="str">
        <x:f>PROPER(TRIM('Raw Sales'!H1730))</x:f>
        <x:v>Retail Store</x:v>
      </x:c>
      <x:c r="L1730" s="84" t="str">
        <x:f>'Raw Sales'!I1730</x:f>
        <x:v>ACCS-003</x:v>
      </x:c>
      <x:c r="M1730" s="84" t="str">
        <x:f>IFERROR(VLOOKUP(L1730,'Reference Data'!$A$5:$F$40,2,FALSE),"Unknown Product")</x:f>
        <x:v>Polarized Sunglasses</x:v>
      </x:c>
      <x:c r="N1730" s="84" t="str">
        <x:f>IFERROR(VLOOKUP(L1730,'Reference Data'!$A$5:$F$40,3,FALSE),"Unknown")</x:f>
        <x:v>Accessories</x:v>
      </x:c>
      <x:c r="O1730" s="84" t="str">
        <x:f>IFERROR(VLOOKUP(L1730,'Reference Data'!$A$5:$F$40,4,FALSE),"Unknown")</x:f>
        <x:v>Eyewear</x:v>
      </x:c>
      <x:c r="P1730" s="92" t="n">
        <x:f>IFERROR(VLOOKUP(L1730,'Reference Data'!$A$5:$F$40,5,FALSE),0)</x:f>
        <x:v>59</x:v>
      </x:c>
      <x:c r="Q1730" s="92" t="n">
        <x:f>IFERROR(VLOOKUP(L1730,'Reference Data'!$A$5:$F$40,6,FALSE),0)</x:f>
        <x:v>17</x:v>
      </x:c>
      <x:c r="R1730" s="84" t="n">
        <x:f>'Raw Sales'!J1730</x:f>
        <x:v>3</x:v>
      </x:c>
      <x:c r="S1730" s="87" t="n">
        <x:f>'Raw Sales'!K1730</x:f>
        <x:v>0.05</x:v>
      </x:c>
      <x:c r="T1730" s="93" t="n">
        <x:f>P1730*R1730</x:f>
        <x:v>177</x:v>
      </x:c>
      <x:c r="U1730" s="93" t="n">
        <x:f>T1730*S1730</x:f>
        <x:v>8.85</x:v>
      </x:c>
      <x:c r="V1730" s="93" t="str">
        <x:f>PROPER(TRIM('Raw Sales'!L1730))</x:f>
        <x:v>Completed</x:v>
      </x:c>
      <x:c r="W1730" s="93" t="n">
        <x:f>IF(V1730="Returned",0,T1730-U1730)</x:f>
        <x:v>168.15</x:v>
      </x:c>
      <x:c r="X1730" s="93" t="n">
        <x:f>IF(V1730="Returned",Q1730*R1730*10%,Q1730*R1730)</x:f>
        <x:v>51</x:v>
      </x:c>
      <x:c r="Y1730" s="93" t="n">
        <x:f>W1730-X1730</x:f>
        <x:v>117.15</x:v>
      </x:c>
      <x:c r="Z1730" s="94" t="n">
        <x:f>IFERROR(Y1730/W1730,0)</x:f>
        <x:v>0.6966993755575379</x:v>
      </x:c>
      <x:c r="AA1730" s="84" t="str">
        <x:f>PROPER(TRIM('Raw Sales'!M1730))</x:f>
        <x:v>Credit Card</x:v>
      </x:c>
      <x:c r="AB1730" s="84" t="str">
        <x:f>PROPER(TRIM('Raw Sales'!N1730))</x:f>
        <x:v>Ava Mitchell</x:v>
      </x:c>
      <x:c r="AC1730" s="85" t="n">
        <x:f>'Raw Sales'!O1730</x:f>
        <x:v>45857</x:v>
      </x:c>
      <x:c r="AD1730" s="84" t="n">
        <x:f>AC1730-B1730</x:f>
        <x:v>0</x:v>
      </x:c>
      <x:c r="AE1730" s="84" t="str">
        <x:f>IF(COUNTIF($A$5:A1730,A1730)&gt;1,"Duplicate","Keep")</x:f>
        <x:v>Keep</x:v>
      </x:c>
      <x:c r="AF1730" s="84" t="str">
        <x:f>IF(OR(R1730&lt;=0,AC1730&lt;B1730,H1730="Unknown",M1730="Unknown Product"),"Review","Valid")</x:f>
        <x:v>Valid</x:v>
      </x:c>
      <x:c r="AG1730" s="84" t="n">
        <x:f>IF(AND(AE1730="Keep",AF1730="Valid"),1,0)</x:f>
        <x:v>1</x:v>
      </x:c>
      <x:c r="AH1730" s="84" t="n">
        <x:f>IF(AND(AG1730=1,OR('Dashboard'!$B$4="All",I1730='Dashboard'!$B$4),OR('Dashboard'!$E$4="All",N1730='Dashboard'!$E$4),OR('Dashboard'!$H$4="All",K1730='Dashboard'!$H$4),OR('Dashboard'!$K$4="All",C1730='Dashboard'!$K$4)),1,0)</x:f>
        <x:v>1</x:v>
      </x:c>
      <x:c r="AI1730" s="84" t="n">
        <x:f>IF(AND(AG1730=1,OR('Dashboard'!$B$4="All",I1730='Dashboard'!$B$4),OR('Dashboard'!$E$4="All",N1730='Dashboard'!$E$4),OR('Dashboard'!$H$4="All",K1730='Dashboard'!$H$4)),1,0)</x:f>
        <x:v>1</x:v>
      </x:c>
    </x:row>
    <x:row r="1731">
      <x:c r="A1731" s="84" t="str">
        <x:f>'Raw Sales'!A1731</x:f>
        <x:v>ORD-2025-01009</x:v>
      </x:c>
      <x:c r="B1731" s="85" t="n">
        <x:f>'Raw Sales'!B1731</x:f>
        <x:v>45858</x:v>
      </x:c>
      <x:c r="C1731" s="84" t="n">
        <x:f>YEAR(B1731)</x:f>
        <x:v>2025</x:v>
      </x:c>
      <x:c r="D1731" s="91" t="n">
        <x:f>DATE(YEAR(B1731),MONTH(B1731),1)</x:f>
        <x:v>45839</x:v>
      </x:c>
      <x:c r="E1731" s="84" t="str">
        <x:f>TEXT(B1731,"mmm")</x:f>
        <x:v>Jul</x:v>
      </x:c>
      <x:c r="F1731" s="84" t="str">
        <x:f>'Raw Sales'!C1731</x:f>
        <x:v>CUST-0212</x:v>
      </x:c>
      <x:c r="G1731" s="84" t="str">
        <x:f>PROPER(TRIM('Raw Sales'!D1731))</x:f>
        <x:v>Theo Walker</x:v>
      </x:c>
      <x:c r="H1731" s="84" t="str">
        <x:f>IF(TRIM('Raw Sales'!E1731)="","Unknown",PROPER(TRIM('Raw Sales'!E1731)))</x:f>
        <x:v>Corporate</x:v>
      </x:c>
      <x:c r="I1731" s="84" t="str">
        <x:f>PROPER(TRIM('Raw Sales'!F1731))</x:f>
        <x:v>Midwest</x:v>
      </x:c>
      <x:c r="J1731" s="84" t="str">
        <x:f>PROPER(TRIM('Raw Sales'!G1731))</x:f>
        <x:v>Columbus</x:v>
      </x:c>
      <x:c r="K1731" s="84" t="str">
        <x:f>PROPER(TRIM('Raw Sales'!H1731))</x:f>
        <x:v>Retail Store</x:v>
      </x:c>
      <x:c r="L1731" s="84" t="str">
        <x:f>'Raw Sales'!I1731</x:f>
        <x:v>CARE-004</x:v>
      </x:c>
      <x:c r="M1731" s="84" t="str">
        <x:f>IFERROR(VLOOKUP(L1731,'Reference Data'!$A$5:$F$40,2,FALSE),"Unknown Product")</x:f>
        <x:v>Electric Toothbrush</x:v>
      </x:c>
      <x:c r="N1731" s="84" t="str">
        <x:f>IFERROR(VLOOKUP(L1731,'Reference Data'!$A$5:$F$40,3,FALSE),"Unknown")</x:f>
        <x:v>Personal Care</x:v>
      </x:c>
      <x:c r="O1731" s="84" t="str">
        <x:f>IFERROR(VLOOKUP(L1731,'Reference Data'!$A$5:$F$40,4,FALSE),"Unknown")</x:f>
        <x:v>Oral Care</x:v>
      </x:c>
      <x:c r="P1731" s="92" t="n">
        <x:f>IFERROR(VLOOKUP(L1731,'Reference Data'!$A$5:$F$40,5,FALSE),0)</x:f>
        <x:v>69</x:v>
      </x:c>
      <x:c r="Q1731" s="92" t="n">
        <x:f>IFERROR(VLOOKUP(L1731,'Reference Data'!$A$5:$F$40,6,FALSE),0)</x:f>
        <x:v>31</x:v>
      </x:c>
      <x:c r="R1731" s="84" t="n">
        <x:f>'Raw Sales'!J1731</x:f>
        <x:v>4</x:v>
      </x:c>
      <x:c r="S1731" s="87" t="n">
        <x:f>'Raw Sales'!K1731</x:f>
        <x:v>0.15</x:v>
      </x:c>
      <x:c r="T1731" s="93" t="n">
        <x:f>P1731*R1731</x:f>
        <x:v>276</x:v>
      </x:c>
      <x:c r="U1731" s="93" t="n">
        <x:f>T1731*S1731</x:f>
        <x:v>41.4</x:v>
      </x:c>
      <x:c r="V1731" s="93" t="str">
        <x:f>PROPER(TRIM('Raw Sales'!L1731))</x:f>
        <x:v>Completed</x:v>
      </x:c>
      <x:c r="W1731" s="93" t="n">
        <x:f>IF(V1731="Returned",0,T1731-U1731)</x:f>
        <x:v>234.6</x:v>
      </x:c>
      <x:c r="X1731" s="93" t="n">
        <x:f>IF(V1731="Returned",Q1731*R1731*10%,Q1731*R1731)</x:f>
        <x:v>124</x:v>
      </x:c>
      <x:c r="Y1731" s="93" t="n">
        <x:f>W1731-X1731</x:f>
        <x:v>110.6</x:v>
      </x:c>
      <x:c r="Z1731" s="94" t="n">
        <x:f>IFERROR(Y1731/W1731,0)</x:f>
        <x:v>0.4714407502131287</x:v>
      </x:c>
      <x:c r="AA1731" s="84" t="str">
        <x:f>PROPER(TRIM('Raw Sales'!M1731))</x:f>
        <x:v>Cash</x:v>
      </x:c>
      <x:c r="AB1731" s="84" t="str">
        <x:f>PROPER(TRIM('Raw Sales'!N1731))</x:f>
        <x:v>Zoe Turner</x:v>
      </x:c>
      <x:c r="AC1731" s="85" t="n">
        <x:f>'Raw Sales'!O1731</x:f>
        <x:v>45858</x:v>
      </x:c>
      <x:c r="AD1731" s="84" t="n">
        <x:f>AC1731-B1731</x:f>
        <x:v>0</x:v>
      </x:c>
      <x:c r="AE1731" s="84" t="str">
        <x:f>IF(COUNTIF($A$5:A1731,A1731)&gt;1,"Duplicate","Keep")</x:f>
        <x:v>Keep</x:v>
      </x:c>
      <x:c r="AF1731" s="84" t="str">
        <x:f>IF(OR(R1731&lt;=0,AC1731&lt;B1731,H1731="Unknown",M1731="Unknown Product"),"Review","Valid")</x:f>
        <x:v>Valid</x:v>
      </x:c>
      <x:c r="AG1731" s="84" t="n">
        <x:f>IF(AND(AE1731="Keep",AF1731="Valid"),1,0)</x:f>
        <x:v>1</x:v>
      </x:c>
      <x:c r="AH1731" s="84" t="n">
        <x:f>IF(AND(AG1731=1,OR('Dashboard'!$B$4="All",I1731='Dashboard'!$B$4),OR('Dashboard'!$E$4="All",N1731='Dashboard'!$E$4),OR('Dashboard'!$H$4="All",K1731='Dashboard'!$H$4),OR('Dashboard'!$K$4="All",C1731='Dashboard'!$K$4)),1,0)</x:f>
        <x:v>1</x:v>
      </x:c>
      <x:c r="AI1731" s="84" t="n">
        <x:f>IF(AND(AG1731=1,OR('Dashboard'!$B$4="All",I1731='Dashboard'!$B$4),OR('Dashboard'!$E$4="All",N1731='Dashboard'!$E$4),OR('Dashboard'!$H$4="All",K1731='Dashboard'!$H$4)),1,0)</x:f>
        <x:v>1</x:v>
      </x:c>
    </x:row>
    <x:row r="1732">
      <x:c r="A1732" s="84" t="str">
        <x:f>'Raw Sales'!A1732</x:f>
        <x:v>ORD-2025-01758</x:v>
      </x:c>
      <x:c r="B1732" s="85" t="n">
        <x:f>'Raw Sales'!B1732</x:f>
        <x:v>45858</x:v>
      </x:c>
      <x:c r="C1732" s="84" t="n">
        <x:f>YEAR(B1732)</x:f>
        <x:v>2025</x:v>
      </x:c>
      <x:c r="D1732" s="91" t="n">
        <x:f>DATE(YEAR(B1732),MONTH(B1732),1)</x:f>
        <x:v>45839</x:v>
      </x:c>
      <x:c r="E1732" s="84" t="str">
        <x:f>TEXT(B1732,"mmm")</x:f>
        <x:v>Jul</x:v>
      </x:c>
      <x:c r="F1732" s="84" t="str">
        <x:f>'Raw Sales'!C1732</x:f>
        <x:v>CUST-0550</x:v>
      </x:c>
      <x:c r="G1732" s="84" t="str">
        <x:f>PROPER(TRIM('Raw Sales'!D1732))</x:f>
        <x:v>Samuel Young</x:v>
      </x:c>
      <x:c r="H1732" s="84" t="str">
        <x:f>IF(TRIM('Raw Sales'!E1732)="","Unknown",PROPER(TRIM('Raw Sales'!E1732)))</x:f>
        <x:v>Consumer</x:v>
      </x:c>
      <x:c r="I1732" s="84" t="str">
        <x:f>PROPER(TRIM('Raw Sales'!F1732))</x:f>
        <x:v>Midwest</x:v>
      </x:c>
      <x:c r="J1732" s="84" t="str">
        <x:f>PROPER(TRIM('Raw Sales'!G1732))</x:f>
        <x:v>Minneapolis</x:v>
      </x:c>
      <x:c r="K1732" s="84" t="str">
        <x:f>PROPER(TRIM('Raw Sales'!H1732))</x:f>
        <x:v>Retail Store</x:v>
      </x:c>
      <x:c r="L1732" s="84" t="str">
        <x:f>'Raw Sales'!I1732</x:f>
        <x:v>HOME-004</x:v>
      </x:c>
      <x:c r="M1732" s="84" t="str">
        <x:f>IFERROR(VLOOKUP(L1732,'Reference Data'!$A$5:$F$40,2,FALSE),"Unknown Product")</x:f>
        <x:v>Coffee Maker</x:v>
      </x:c>
      <x:c r="N1732" s="84" t="str">
        <x:f>IFERROR(VLOOKUP(L1732,'Reference Data'!$A$5:$F$40,3,FALSE),"Unknown")</x:f>
        <x:v>Home &amp; Kitchen</x:v>
      </x:c>
      <x:c r="O1732" s="84" t="str">
        <x:f>IFERROR(VLOOKUP(L1732,'Reference Data'!$A$5:$F$40,4,FALSE),"Unknown")</x:f>
        <x:v>Small Appliances</x:v>
      </x:c>
      <x:c r="P1732" s="92" t="n">
        <x:f>IFERROR(VLOOKUP(L1732,'Reference Data'!$A$5:$F$40,5,FALSE),0)</x:f>
        <x:v>99</x:v>
      </x:c>
      <x:c r="Q1732" s="92" t="n">
        <x:f>IFERROR(VLOOKUP(L1732,'Reference Data'!$A$5:$F$40,6,FALSE),0)</x:f>
        <x:v>51</x:v>
      </x:c>
      <x:c r="R1732" s="84" t="n">
        <x:f>'Raw Sales'!J1732</x:f>
        <x:v>1</x:v>
      </x:c>
      <x:c r="S1732" s="87" t="n">
        <x:f>'Raw Sales'!K1732</x:f>
        <x:v>0.1</x:v>
      </x:c>
      <x:c r="T1732" s="93" t="n">
        <x:f>P1732*R1732</x:f>
        <x:v>99</x:v>
      </x:c>
      <x:c r="U1732" s="93" t="n">
        <x:f>T1732*S1732</x:f>
        <x:v>9.9</x:v>
      </x:c>
      <x:c r="V1732" s="93" t="str">
        <x:f>PROPER(TRIM('Raw Sales'!L1732))</x:f>
        <x:v>Completed</x:v>
      </x:c>
      <x:c r="W1732" s="93" t="n">
        <x:f>IF(V1732="Returned",0,T1732-U1732)</x:f>
        <x:v>89.1</x:v>
      </x:c>
      <x:c r="X1732" s="93" t="n">
        <x:f>IF(V1732="Returned",Q1732*R1732*10%,Q1732*R1732)</x:f>
        <x:v>51</x:v>
      </x:c>
      <x:c r="Y1732" s="93" t="n">
        <x:f>W1732-X1732</x:f>
        <x:v>38.099999999999994</x:v>
      </x:c>
      <x:c r="Z1732" s="94" t="n">
        <x:f>IFERROR(Y1732/W1732,0)</x:f>
        <x:v>0.42760942760942755</x:v>
      </x:c>
      <x:c r="AA1732" s="84" t="str">
        <x:f>PROPER(TRIM('Raw Sales'!M1732))</x:f>
        <x:v>Cash</x:v>
      </x:c>
      <x:c r="AB1732" s="84" t="str">
        <x:f>PROPER(TRIM('Raw Sales'!N1732))</x:f>
        <x:v>Emma Hayes</x:v>
      </x:c>
      <x:c r="AC1732" s="85" t="n">
        <x:f>'Raw Sales'!O1732</x:f>
        <x:v>45859</x:v>
      </x:c>
      <x:c r="AD1732" s="84" t="n">
        <x:f>AC1732-B1732</x:f>
        <x:v>1</x:v>
      </x:c>
      <x:c r="AE1732" s="84" t="str">
        <x:f>IF(COUNTIF($A$5:A1732,A1732)&gt;1,"Duplicate","Keep")</x:f>
        <x:v>Keep</x:v>
      </x:c>
      <x:c r="AF1732" s="84" t="str">
        <x:f>IF(OR(R1732&lt;=0,AC1732&lt;B1732,H1732="Unknown",M1732="Unknown Product"),"Review","Valid")</x:f>
        <x:v>Valid</x:v>
      </x:c>
      <x:c r="AG1732" s="84" t="n">
        <x:f>IF(AND(AE1732="Keep",AF1732="Valid"),1,0)</x:f>
        <x:v>1</x:v>
      </x:c>
      <x:c r="AH1732" s="84" t="n">
        <x:f>IF(AND(AG1732=1,OR('Dashboard'!$B$4="All",I1732='Dashboard'!$B$4),OR('Dashboard'!$E$4="All",N1732='Dashboard'!$E$4),OR('Dashboard'!$H$4="All",K1732='Dashboard'!$H$4),OR('Dashboard'!$K$4="All",C1732='Dashboard'!$K$4)),1,0)</x:f>
        <x:v>1</x:v>
      </x:c>
      <x:c r="AI1732" s="84" t="n">
        <x:f>IF(AND(AG1732=1,OR('Dashboard'!$B$4="All",I1732='Dashboard'!$B$4),OR('Dashboard'!$E$4="All",N1732='Dashboard'!$E$4),OR('Dashboard'!$H$4="All",K1732='Dashboard'!$H$4)),1,0)</x:f>
        <x:v>1</x:v>
      </x:c>
    </x:row>
    <x:row r="1733">
      <x:c r="A1733" s="84" t="str">
        <x:f>'Raw Sales'!A1733</x:f>
        <x:v>ORD-2025-02261</x:v>
      </x:c>
      <x:c r="B1733" s="85" t="n">
        <x:f>'Raw Sales'!B1733</x:f>
        <x:v>45858</x:v>
      </x:c>
      <x:c r="C1733" s="84" t="n">
        <x:f>YEAR(B1733)</x:f>
        <x:v>2025</x:v>
      </x:c>
      <x:c r="D1733" s="91" t="n">
        <x:f>DATE(YEAR(B1733),MONTH(B1733),1)</x:f>
        <x:v>45839</x:v>
      </x:c>
      <x:c r="E1733" s="84" t="str">
        <x:f>TEXT(B1733,"mmm")</x:f>
        <x:v>Jul</x:v>
      </x:c>
      <x:c r="F1733" s="84" t="str">
        <x:f>'Raw Sales'!C1733</x:f>
        <x:v>CUST-0571</x:v>
      </x:c>
      <x:c r="G1733" s="84" t="str">
        <x:f>PROPER(TRIM('Raw Sales'!D1733))</x:f>
        <x:v>Elias Smith</x:v>
      </x:c>
      <x:c r="H1733" s="84" t="str">
        <x:f>IF(TRIM('Raw Sales'!E1733)="","Unknown",PROPER(TRIM('Raw Sales'!E1733)))</x:f>
        <x:v>Consumer</x:v>
      </x:c>
      <x:c r="I1733" s="84" t="str">
        <x:f>PROPER(TRIM('Raw Sales'!F1733))</x:f>
        <x:v>Southeast</x:v>
      </x:c>
      <x:c r="J1733" s="84" t="str">
        <x:f>PROPER(TRIM('Raw Sales'!G1733))</x:f>
        <x:v>Miami</x:v>
      </x:c>
      <x:c r="K1733" s="84" t="str">
        <x:f>PROPER(TRIM('Raw Sales'!H1733))</x:f>
        <x:v>Retail Store</x:v>
      </x:c>
      <x:c r="L1733" s="84" t="str">
        <x:f>'Raw Sales'!I1733</x:f>
        <x:v>HOME-003</x:v>
      </x:c>
      <x:c r="M1733" s="84" t="str">
        <x:f>IFERROR(VLOOKUP(L1733,'Reference Data'!$A$5:$F$40,2,FALSE),"Unknown Product")</x:f>
        <x:v>Countertop Blender</x:v>
      </x:c>
      <x:c r="N1733" s="84" t="str">
        <x:f>IFERROR(VLOOKUP(L1733,'Reference Data'!$A$5:$F$40,3,FALSE),"Unknown")</x:f>
        <x:v>Home &amp; Kitchen</x:v>
      </x:c>
      <x:c r="O1733" s="84" t="str">
        <x:f>IFERROR(VLOOKUP(L1733,'Reference Data'!$A$5:$F$40,4,FALSE),"Unknown")</x:f>
        <x:v>Small Appliances</x:v>
      </x:c>
      <x:c r="P1733" s="92" t="n">
        <x:f>IFERROR(VLOOKUP(L1733,'Reference Data'!$A$5:$F$40,5,FALSE),0)</x:f>
        <x:v>89</x:v>
      </x:c>
      <x:c r="Q1733" s="92" t="n">
        <x:f>IFERROR(VLOOKUP(L1733,'Reference Data'!$A$5:$F$40,6,FALSE),0)</x:f>
        <x:v>46</x:v>
      </x:c>
      <x:c r="R1733" s="84" t="n">
        <x:f>'Raw Sales'!J1733</x:f>
        <x:v>1</x:v>
      </x:c>
      <x:c r="S1733" s="87" t="n">
        <x:f>'Raw Sales'!K1733</x:f>
        <x:v>0.05</x:v>
      </x:c>
      <x:c r="T1733" s="93" t="n">
        <x:f>P1733*R1733</x:f>
        <x:v>89</x:v>
      </x:c>
      <x:c r="U1733" s="93" t="n">
        <x:f>T1733*S1733</x:f>
        <x:v>4.45</x:v>
      </x:c>
      <x:c r="V1733" s="93" t="str">
        <x:f>PROPER(TRIM('Raw Sales'!L1733))</x:f>
        <x:v>Completed</x:v>
      </x:c>
      <x:c r="W1733" s="93" t="n">
        <x:f>IF(V1733="Returned",0,T1733-U1733)</x:f>
        <x:v>84.55</x:v>
      </x:c>
      <x:c r="X1733" s="93" t="n">
        <x:f>IF(V1733="Returned",Q1733*R1733*10%,Q1733*R1733)</x:f>
        <x:v>46</x:v>
      </x:c>
      <x:c r="Y1733" s="93" t="n">
        <x:f>W1733-X1733</x:f>
        <x:v>38.55</x:v>
      </x:c>
      <x:c r="Z1733" s="94" t="n">
        <x:f>IFERROR(Y1733/W1733,0)</x:f>
        <x:v>0.4559432288586635</x:v>
      </x:c>
      <x:c r="AA1733" s="84" t="str">
        <x:f>PROPER(TRIM('Raw Sales'!M1733))</x:f>
        <x:v>Cash</x:v>
      </x:c>
      <x:c r="AB1733" s="84" t="str">
        <x:f>PROPER(TRIM('Raw Sales'!N1733))</x:f>
        <x:v>Noah Reed</x:v>
      </x:c>
      <x:c r="AC1733" s="85" t="n">
        <x:f>'Raw Sales'!O1733</x:f>
        <x:v>45858</x:v>
      </x:c>
      <x:c r="AD1733" s="84" t="n">
        <x:f>AC1733-B1733</x:f>
        <x:v>0</x:v>
      </x:c>
      <x:c r="AE1733" s="84" t="str">
        <x:f>IF(COUNTIF($A$5:A1733,A1733)&gt;1,"Duplicate","Keep")</x:f>
        <x:v>Keep</x:v>
      </x:c>
      <x:c r="AF1733" s="84" t="str">
        <x:f>IF(OR(R1733&lt;=0,AC1733&lt;B1733,H1733="Unknown",M1733="Unknown Product"),"Review","Valid")</x:f>
        <x:v>Valid</x:v>
      </x:c>
      <x:c r="AG1733" s="84" t="n">
        <x:f>IF(AND(AE1733="Keep",AF1733="Valid"),1,0)</x:f>
        <x:v>1</x:v>
      </x:c>
      <x:c r="AH1733" s="84" t="n">
        <x:f>IF(AND(AG1733=1,OR('Dashboard'!$B$4="All",I1733='Dashboard'!$B$4),OR('Dashboard'!$E$4="All",N1733='Dashboard'!$E$4),OR('Dashboard'!$H$4="All",K1733='Dashboard'!$H$4),OR('Dashboard'!$K$4="All",C1733='Dashboard'!$K$4)),1,0)</x:f>
        <x:v>1</x:v>
      </x:c>
      <x:c r="AI1733" s="84" t="n">
        <x:f>IF(AND(AG1733=1,OR('Dashboard'!$B$4="All",I1733='Dashboard'!$B$4),OR('Dashboard'!$E$4="All",N1733='Dashboard'!$E$4),OR('Dashboard'!$H$4="All",K1733='Dashboard'!$H$4)),1,0)</x:f>
        <x:v>1</x:v>
      </x:c>
    </x:row>
    <x:row r="1734">
      <x:c r="A1734" s="84" t="str">
        <x:f>'Raw Sales'!A1734</x:f>
        <x:v>ORD-2025-01732</x:v>
      </x:c>
      <x:c r="B1734" s="85" t="n">
        <x:f>'Raw Sales'!B1734</x:f>
        <x:v>45859</x:v>
      </x:c>
      <x:c r="C1734" s="84" t="n">
        <x:f>YEAR(B1734)</x:f>
        <x:v>2025</x:v>
      </x:c>
      <x:c r="D1734" s="91" t="n">
        <x:f>DATE(YEAR(B1734),MONTH(B1734),1)</x:f>
        <x:v>45839</x:v>
      </x:c>
      <x:c r="E1734" s="84" t="str">
        <x:f>TEXT(B1734,"mmm")</x:f>
        <x:v>Jul</x:v>
      </x:c>
      <x:c r="F1734" s="84" t="str">
        <x:f>'Raw Sales'!C1734</x:f>
        <x:v>CUST-0191</x:v>
      </x:c>
      <x:c r="G1734" s="84" t="str">
        <x:f>PROPER(TRIM('Raw Sales'!D1734))</x:f>
        <x:v>Samuel Carter</x:v>
      </x:c>
      <x:c r="H1734" s="84" t="str">
        <x:f>IF(TRIM('Raw Sales'!E1734)="","Unknown",PROPER(TRIM('Raw Sales'!E1734)))</x:f>
        <x:v>Consumer</x:v>
      </x:c>
      <x:c r="I1734" s="84" t="str">
        <x:f>PROPER(TRIM('Raw Sales'!F1734))</x:f>
        <x:v>Southeast</x:v>
      </x:c>
      <x:c r="J1734" s="84" t="str">
        <x:f>PROPER(TRIM('Raw Sales'!G1734))</x:f>
        <x:v>Miami</x:v>
      </x:c>
      <x:c r="K1734" s="84" t="str">
        <x:f>PROPER(TRIM('Raw Sales'!H1734))</x:f>
        <x:v>Marketplace</x:v>
      </x:c>
      <x:c r="L1734" s="84" t="str">
        <x:f>'Raw Sales'!I1734</x:f>
        <x:v>OFFC-004</x:v>
      </x:c>
      <x:c r="M1734" s="84" t="str">
        <x:f>IFERROR(VLOOKUP(L1734,'Reference Data'!$A$5:$F$40,2,FALSE),"Unknown Product")</x:f>
        <x:v>Premium Notebook Pack</x:v>
      </x:c>
      <x:c r="N1734" s="84" t="str">
        <x:f>IFERROR(VLOOKUP(L1734,'Reference Data'!$A$5:$F$40,3,FALSE),"Unknown")</x:f>
        <x:v>Office</x:v>
      </x:c>
      <x:c r="O1734" s="84" t="str">
        <x:f>IFERROR(VLOOKUP(L1734,'Reference Data'!$A$5:$F$40,4,FALSE),"Unknown")</x:f>
        <x:v>Stationery</x:v>
      </x:c>
      <x:c r="P1734" s="92" t="n">
        <x:f>IFERROR(VLOOKUP(L1734,'Reference Data'!$A$5:$F$40,5,FALSE),0)</x:f>
        <x:v>18</x:v>
      </x:c>
      <x:c r="Q1734" s="92" t="n">
        <x:f>IFERROR(VLOOKUP(L1734,'Reference Data'!$A$5:$F$40,6,FALSE),0)</x:f>
        <x:v>6.5</x:v>
      </x:c>
      <x:c r="R1734" s="84" t="n">
        <x:f>'Raw Sales'!J1734</x:f>
        <x:v>2</x:v>
      </x:c>
      <x:c r="S1734" s="87" t="n">
        <x:f>'Raw Sales'!K1734</x:f>
        <x:v>0.1</x:v>
      </x:c>
      <x:c r="T1734" s="93" t="n">
        <x:f>P1734*R1734</x:f>
        <x:v>36</x:v>
      </x:c>
      <x:c r="U1734" s="93" t="n">
        <x:f>T1734*S1734</x:f>
        <x:v>3.6</x:v>
      </x:c>
      <x:c r="V1734" s="93" t="str">
        <x:f>PROPER(TRIM('Raw Sales'!L1734))</x:f>
        <x:v>Completed</x:v>
      </x:c>
      <x:c r="W1734" s="93" t="n">
        <x:f>IF(V1734="Returned",0,T1734-U1734)</x:f>
        <x:v>32.4</x:v>
      </x:c>
      <x:c r="X1734" s="93" t="n">
        <x:f>IF(V1734="Returned",Q1734*R1734*10%,Q1734*R1734)</x:f>
        <x:v>13</x:v>
      </x:c>
      <x:c r="Y1734" s="93" t="n">
        <x:f>W1734-X1734</x:f>
        <x:v>19.4</x:v>
      </x:c>
      <x:c r="Z1734" s="94" t="n">
        <x:f>IFERROR(Y1734/W1734,0)</x:f>
        <x:v>0.5987654320987654</x:v>
      </x:c>
      <x:c r="AA1734" s="84" t="str">
        <x:f>PROPER(TRIM('Raw Sales'!M1734))</x:f>
        <x:v>Credit Card</x:v>
      </x:c>
      <x:c r="AB1734" s="84" t="str">
        <x:f>PROPER(TRIM('Raw Sales'!N1734))</x:f>
        <x:v>Liam Parker</x:v>
      </x:c>
      <x:c r="AC1734" s="85" t="n">
        <x:f>'Raw Sales'!O1734</x:f>
        <x:v>45862</x:v>
      </x:c>
      <x:c r="AD1734" s="84" t="n">
        <x:f>AC1734-B1734</x:f>
        <x:v>3</x:v>
      </x:c>
      <x:c r="AE1734" s="84" t="str">
        <x:f>IF(COUNTIF($A$5:A1734,A1734)&gt;1,"Duplicate","Keep")</x:f>
        <x:v>Keep</x:v>
      </x:c>
      <x:c r="AF1734" s="84" t="str">
        <x:f>IF(OR(R1734&lt;=0,AC1734&lt;B1734,H1734="Unknown",M1734="Unknown Product"),"Review","Valid")</x:f>
        <x:v>Valid</x:v>
      </x:c>
      <x:c r="AG1734" s="84" t="n">
        <x:f>IF(AND(AE1734="Keep",AF1734="Valid"),1,0)</x:f>
        <x:v>1</x:v>
      </x:c>
      <x:c r="AH1734" s="84" t="n">
        <x:f>IF(AND(AG1734=1,OR('Dashboard'!$B$4="All",I1734='Dashboard'!$B$4),OR('Dashboard'!$E$4="All",N1734='Dashboard'!$E$4),OR('Dashboard'!$H$4="All",K1734='Dashboard'!$H$4),OR('Dashboard'!$K$4="All",C1734='Dashboard'!$K$4)),1,0)</x:f>
        <x:v>1</x:v>
      </x:c>
      <x:c r="AI1734" s="84" t="n">
        <x:f>IF(AND(AG1734=1,OR('Dashboard'!$B$4="All",I1734='Dashboard'!$B$4),OR('Dashboard'!$E$4="All",N1734='Dashboard'!$E$4),OR('Dashboard'!$H$4="All",K1734='Dashboard'!$H$4)),1,0)</x:f>
        <x:v>1</x:v>
      </x:c>
    </x:row>
    <x:row r="1735">
      <x:c r="A1735" s="84" t="str">
        <x:f>'Raw Sales'!A1735</x:f>
        <x:v>ORD-2025-02032</x:v>
      </x:c>
      <x:c r="B1735" s="85" t="n">
        <x:f>'Raw Sales'!B1735</x:f>
        <x:v>45859</x:v>
      </x:c>
      <x:c r="C1735" s="84" t="n">
        <x:f>YEAR(B1735)</x:f>
        <x:v>2025</x:v>
      </x:c>
      <x:c r="D1735" s="91" t="n">
        <x:f>DATE(YEAR(B1735),MONTH(B1735),1)</x:f>
        <x:v>45839</x:v>
      </x:c>
      <x:c r="E1735" s="84" t="str">
        <x:f>TEXT(B1735,"mmm")</x:f>
        <x:v>Jul</x:v>
      </x:c>
      <x:c r="F1735" s="84" t="str">
        <x:f>'Raw Sales'!C1735</x:f>
        <x:v>CUST-0424</x:v>
      </x:c>
      <x:c r="G1735" s="84" t="str">
        <x:f>PROPER(TRIM('Raw Sales'!D1735))</x:f>
        <x:v>Layla Quinn</x:v>
      </x:c>
      <x:c r="H1735" s="84" t="str">
        <x:f>IF(TRIM('Raw Sales'!E1735)="","Unknown",PROPER(TRIM('Raw Sales'!E1735)))</x:f>
        <x:v>Consumer</x:v>
      </x:c>
      <x:c r="I1735" s="84" t="str">
        <x:f>PROPER(TRIM('Raw Sales'!F1735))</x:f>
        <x:v>Southeast</x:v>
      </x:c>
      <x:c r="J1735" s="84" t="str">
        <x:f>PROPER(TRIM('Raw Sales'!G1735))</x:f>
        <x:v>Miami</x:v>
      </x:c>
      <x:c r="K1735" s="84" t="str">
        <x:f>PROPER(TRIM('Raw Sales'!H1735))</x:f>
        <x:v>Retail Store</x:v>
      </x:c>
      <x:c r="L1735" s="84" t="str">
        <x:f>'Raw Sales'!I1735</x:f>
        <x:v>OFFC-005</x:v>
      </x:c>
      <x:c r="M1735" s="84" t="str">
        <x:f>IFERROR(VLOOKUP(L1735,'Reference Data'!$A$5:$F$40,2,FALSE),"Unknown Product")</x:f>
        <x:v>Wireless Keyboard</x:v>
      </x:c>
      <x:c r="N1735" s="84" t="str">
        <x:f>IFERROR(VLOOKUP(L1735,'Reference Data'!$A$5:$F$40,3,FALSE),"Unknown")</x:f>
        <x:v>Office</x:v>
      </x:c>
      <x:c r="O1735" s="84" t="str">
        <x:f>IFERROR(VLOOKUP(L1735,'Reference Data'!$A$5:$F$40,4,FALSE),"Unknown")</x:f>
        <x:v>Computer Accessories</x:v>
      </x:c>
      <x:c r="P1735" s="92" t="n">
        <x:f>IFERROR(VLOOKUP(L1735,'Reference Data'!$A$5:$F$40,5,FALSE),0)</x:f>
        <x:v>59</x:v>
      </x:c>
      <x:c r="Q1735" s="92" t="n">
        <x:f>IFERROR(VLOOKUP(L1735,'Reference Data'!$A$5:$F$40,6,FALSE),0)</x:f>
        <x:v>28</x:v>
      </x:c>
      <x:c r="R1735" s="84" t="n">
        <x:f>'Raw Sales'!J1735</x:f>
        <x:v>1</x:v>
      </x:c>
      <x:c r="S1735" s="87" t="n">
        <x:f>'Raw Sales'!K1735</x:f>
        <x:v>0.05</x:v>
      </x:c>
      <x:c r="T1735" s="93" t="n">
        <x:f>P1735*R1735</x:f>
        <x:v>59</x:v>
      </x:c>
      <x:c r="U1735" s="93" t="n">
        <x:f>T1735*S1735</x:f>
        <x:v>2.95</x:v>
      </x:c>
      <x:c r="V1735" s="93" t="str">
        <x:f>PROPER(TRIM('Raw Sales'!L1735))</x:f>
        <x:v>Completed</x:v>
      </x:c>
      <x:c r="W1735" s="93" t="n">
        <x:f>IF(V1735="Returned",0,T1735-U1735)</x:f>
        <x:v>56.05</x:v>
      </x:c>
      <x:c r="X1735" s="93" t="n">
        <x:f>IF(V1735="Returned",Q1735*R1735*10%,Q1735*R1735)</x:f>
        <x:v>28</x:v>
      </x:c>
      <x:c r="Y1735" s="93" t="n">
        <x:f>W1735-X1735</x:f>
        <x:v>28.049999999999997</x:v>
      </x:c>
      <x:c r="Z1735" s="94" t="n">
        <x:f>IFERROR(Y1735/W1735,0)</x:f>
        <x:v>0.5004460303300624</x:v>
      </x:c>
      <x:c r="AA1735" s="84" t="str">
        <x:f>PROPER(TRIM('Raw Sales'!M1735))</x:f>
        <x:v>Debit Card</x:v>
      </x:c>
      <x:c r="AB1735" s="84" t="str">
        <x:f>PROPER(TRIM('Raw Sales'!N1735))</x:f>
        <x:v>Liam Parker</x:v>
      </x:c>
      <x:c r="AC1735" s="85" t="n">
        <x:f>'Raw Sales'!O1735</x:f>
        <x:v>45859</x:v>
      </x:c>
      <x:c r="AD1735" s="84" t="n">
        <x:f>AC1735-B1735</x:f>
        <x:v>0</x:v>
      </x:c>
      <x:c r="AE1735" s="84" t="str">
        <x:f>IF(COUNTIF($A$5:A1735,A1735)&gt;1,"Duplicate","Keep")</x:f>
        <x:v>Keep</x:v>
      </x:c>
      <x:c r="AF1735" s="84" t="str">
        <x:f>IF(OR(R1735&lt;=0,AC1735&lt;B1735,H1735="Unknown",M1735="Unknown Product"),"Review","Valid")</x:f>
        <x:v>Valid</x:v>
      </x:c>
      <x:c r="AG1735" s="84" t="n">
        <x:f>IF(AND(AE1735="Keep",AF1735="Valid"),1,0)</x:f>
        <x:v>1</x:v>
      </x:c>
      <x:c r="AH1735" s="84" t="n">
        <x:f>IF(AND(AG1735=1,OR('Dashboard'!$B$4="All",I1735='Dashboard'!$B$4),OR('Dashboard'!$E$4="All",N1735='Dashboard'!$E$4),OR('Dashboard'!$H$4="All",K1735='Dashboard'!$H$4),OR('Dashboard'!$K$4="All",C1735='Dashboard'!$K$4)),1,0)</x:f>
        <x:v>1</x:v>
      </x:c>
      <x:c r="AI1735" s="84" t="n">
        <x:f>IF(AND(AG1735=1,OR('Dashboard'!$B$4="All",I1735='Dashboard'!$B$4),OR('Dashboard'!$E$4="All",N1735='Dashboard'!$E$4),OR('Dashboard'!$H$4="All",K1735='Dashboard'!$H$4)),1,0)</x:f>
        <x:v>1</x:v>
      </x:c>
    </x:row>
    <x:row r="1736">
      <x:c r="A1736" s="84" t="str">
        <x:f>'Raw Sales'!A1736</x:f>
        <x:v>ORD-2025-01348</x:v>
      </x:c>
      <x:c r="B1736" s="85" t="n">
        <x:f>'Raw Sales'!B1736</x:f>
        <x:v>45860</x:v>
      </x:c>
      <x:c r="C1736" s="84" t="n">
        <x:f>YEAR(B1736)</x:f>
        <x:v>2025</x:v>
      </x:c>
      <x:c r="D1736" s="91" t="n">
        <x:f>DATE(YEAR(B1736),MONTH(B1736),1)</x:f>
        <x:v>45839</x:v>
      </x:c>
      <x:c r="E1736" s="84" t="str">
        <x:f>TEXT(B1736,"mmm")</x:f>
        <x:v>Jul</x:v>
      </x:c>
      <x:c r="F1736" s="84" t="str">
        <x:f>'Raw Sales'!C1736</x:f>
        <x:v>CUST-0029</x:v>
      </x:c>
      <x:c r="G1736" s="84" t="str">
        <x:f>PROPER(TRIM('Raw Sales'!D1736))</x:f>
        <x:v>Theo Ortiz</x:v>
      </x:c>
      <x:c r="H1736" s="84" t="str">
        <x:f>IF(TRIM('Raw Sales'!E1736)="","Unknown",PROPER(TRIM('Raw Sales'!E1736)))</x:f>
        <x:v>Corporate</x:v>
      </x:c>
      <x:c r="I1736" s="84" t="str">
        <x:f>PROPER(TRIM('Raw Sales'!F1736))</x:f>
        <x:v>Northeast</x:v>
      </x:c>
      <x:c r="J1736" s="84" t="str">
        <x:f>PROPER(TRIM('Raw Sales'!G1736))</x:f>
        <x:v>Philadelphia</x:v>
      </x:c>
      <x:c r="K1736" s="84" t="str">
        <x:f>PROPER(TRIM('Raw Sales'!H1736))</x:f>
        <x:v>Marketplace</x:v>
      </x:c>
      <x:c r="L1736" s="84" t="str">
        <x:f>'Raw Sales'!I1736</x:f>
        <x:v>OFFC-003</x:v>
      </x:c>
      <x:c r="M1736" s="84" t="str">
        <x:f>IFERROR(VLOOKUP(L1736,'Reference Data'!$A$5:$F$40,2,FALSE),"Unknown Product")</x:f>
        <x:v>LED Desk Lamp</x:v>
      </x:c>
      <x:c r="N1736" s="84" t="str">
        <x:f>IFERROR(VLOOKUP(L1736,'Reference Data'!$A$5:$F$40,3,FALSE),"Unknown")</x:f>
        <x:v>Office</x:v>
      </x:c>
      <x:c r="O1736" s="84" t="str">
        <x:f>IFERROR(VLOOKUP(L1736,'Reference Data'!$A$5:$F$40,4,FALSE),"Unknown")</x:f>
        <x:v>Desk Accessories</x:v>
      </x:c>
      <x:c r="P1736" s="92" t="n">
        <x:f>IFERROR(VLOOKUP(L1736,'Reference Data'!$A$5:$F$40,5,FALSE),0)</x:f>
        <x:v>45</x:v>
      </x:c>
      <x:c r="Q1736" s="92" t="n">
        <x:f>IFERROR(VLOOKUP(L1736,'Reference Data'!$A$5:$F$40,6,FALSE),0)</x:f>
        <x:v>20</x:v>
      </x:c>
      <x:c r="R1736" s="84" t="n">
        <x:f>'Raw Sales'!J1736</x:f>
        <x:v>2</x:v>
      </x:c>
      <x:c r="S1736" s="87" t="n">
        <x:f>'Raw Sales'!K1736</x:f>
        <x:v>0.1</x:v>
      </x:c>
      <x:c r="T1736" s="93" t="n">
        <x:f>P1736*R1736</x:f>
        <x:v>90</x:v>
      </x:c>
      <x:c r="U1736" s="93" t="n">
        <x:f>T1736*S1736</x:f>
        <x:v>9</x:v>
      </x:c>
      <x:c r="V1736" s="93" t="str">
        <x:f>PROPER(TRIM('Raw Sales'!L1736))</x:f>
        <x:v>Completed</x:v>
      </x:c>
      <x:c r="W1736" s="93" t="n">
        <x:f>IF(V1736="Returned",0,T1736-U1736)</x:f>
        <x:v>81</x:v>
      </x:c>
      <x:c r="X1736" s="93" t="n">
        <x:f>IF(V1736="Returned",Q1736*R1736*10%,Q1736*R1736)</x:f>
        <x:v>40</x:v>
      </x:c>
      <x:c r="Y1736" s="93" t="n">
        <x:f>W1736-X1736</x:f>
        <x:v>41</x:v>
      </x:c>
      <x:c r="Z1736" s="94" t="n">
        <x:f>IFERROR(Y1736/W1736,0)</x:f>
        <x:v>0.5061728395061729</x:v>
      </x:c>
      <x:c r="AA1736" s="84" t="str">
        <x:f>PROPER(TRIM('Raw Sales'!M1736))</x:f>
        <x:v>Mobile Wallet</x:v>
      </x:c>
      <x:c r="AB1736" s="84" t="str">
        <x:f>PROPER(TRIM('Raw Sales'!N1736))</x:f>
        <x:v>Maya Brooks</x:v>
      </x:c>
      <x:c r="AC1736" s="85" t="n">
        <x:f>'Raw Sales'!O1736</x:f>
        <x:v>45865</x:v>
      </x:c>
      <x:c r="AD1736" s="84" t="n">
        <x:f>AC1736-B1736</x:f>
        <x:v>5</x:v>
      </x:c>
      <x:c r="AE1736" s="84" t="str">
        <x:f>IF(COUNTIF($A$5:A1736,A1736)&gt;1,"Duplicate","Keep")</x:f>
        <x:v>Keep</x:v>
      </x:c>
      <x:c r="AF1736" s="84" t="str">
        <x:f>IF(OR(R1736&lt;=0,AC1736&lt;B1736,H1736="Unknown",M1736="Unknown Product"),"Review","Valid")</x:f>
        <x:v>Valid</x:v>
      </x:c>
      <x:c r="AG1736" s="84" t="n">
        <x:f>IF(AND(AE1736="Keep",AF1736="Valid"),1,0)</x:f>
        <x:v>1</x:v>
      </x:c>
      <x:c r="AH1736" s="84" t="n">
        <x:f>IF(AND(AG1736=1,OR('Dashboard'!$B$4="All",I1736='Dashboard'!$B$4),OR('Dashboard'!$E$4="All",N1736='Dashboard'!$E$4),OR('Dashboard'!$H$4="All",K1736='Dashboard'!$H$4),OR('Dashboard'!$K$4="All",C1736='Dashboard'!$K$4)),1,0)</x:f>
        <x:v>1</x:v>
      </x:c>
      <x:c r="AI1736" s="84" t="n">
        <x:f>IF(AND(AG1736=1,OR('Dashboard'!$B$4="All",I1736='Dashboard'!$B$4),OR('Dashboard'!$E$4="All",N1736='Dashboard'!$E$4),OR('Dashboard'!$H$4="All",K1736='Dashboard'!$H$4)),1,0)</x:f>
        <x:v>1</x:v>
      </x:c>
    </x:row>
    <x:row r="1737">
      <x:c r="A1737" s="84" t="str">
        <x:f>'Raw Sales'!A1737</x:f>
        <x:v>ORD-2025-00531</x:v>
      </x:c>
      <x:c r="B1737" s="85" t="n">
        <x:f>'Raw Sales'!B1737</x:f>
        <x:v>45861</x:v>
      </x:c>
      <x:c r="C1737" s="84" t="n">
        <x:f>YEAR(B1737)</x:f>
        <x:v>2025</x:v>
      </x:c>
      <x:c r="D1737" s="91" t="n">
        <x:f>DATE(YEAR(B1737),MONTH(B1737),1)</x:f>
        <x:v>45839</x:v>
      </x:c>
      <x:c r="E1737" s="84" t="str">
        <x:f>TEXT(B1737,"mmm")</x:f>
        <x:v>Jul</x:v>
      </x:c>
      <x:c r="F1737" s="84" t="str">
        <x:f>'Raw Sales'!C1737</x:f>
        <x:v>CUST-0569</x:v>
      </x:c>
      <x:c r="G1737" s="84" t="str">
        <x:f>PROPER(TRIM('Raw Sales'!D1737))</x:f>
        <x:v>Daniel Walker</x:v>
      </x:c>
      <x:c r="H1737" s="84" t="str">
        <x:f>IF(TRIM('Raw Sales'!E1737)="","Unknown",PROPER(TRIM('Raw Sales'!E1737)))</x:f>
        <x:v>Consumer</x:v>
      </x:c>
      <x:c r="I1737" s="84" t="str">
        <x:f>PROPER(TRIM('Raw Sales'!F1737))</x:f>
        <x:v>Midwest</x:v>
      </x:c>
      <x:c r="J1737" s="84" t="str">
        <x:f>PROPER(TRIM('Raw Sales'!G1737))</x:f>
        <x:v>Chicago</x:v>
      </x:c>
      <x:c r="K1737" s="84" t="str">
        <x:f>PROPER(TRIM('Raw Sales'!H1737))</x:f>
        <x:v>Marketplace</x:v>
      </x:c>
      <x:c r="L1737" s="84" t="str">
        <x:f>'Raw Sales'!I1737</x:f>
        <x:v>CARE-002</x:v>
      </x:c>
      <x:c r="M1737" s="84" t="str">
        <x:f>IFERROR(VLOOKUP(L1737,'Reference Data'!$A$5:$F$40,2,FALSE),"Unknown Product")</x:f>
        <x:v>Rechargeable Trimmer</x:v>
      </x:c>
      <x:c r="N1737" s="84" t="str">
        <x:f>IFERROR(VLOOKUP(L1737,'Reference Data'!$A$5:$F$40,3,FALSE),"Unknown")</x:f>
        <x:v>Personal Care</x:v>
      </x:c>
      <x:c r="O1737" s="84" t="str">
        <x:f>IFERROR(VLOOKUP(L1737,'Reference Data'!$A$5:$F$40,4,FALSE),"Unknown")</x:f>
        <x:v>Grooming</x:v>
      </x:c>
      <x:c r="P1737" s="92" t="n">
        <x:f>IFERROR(VLOOKUP(L1737,'Reference Data'!$A$5:$F$40,5,FALSE),0)</x:f>
        <x:v>45</x:v>
      </x:c>
      <x:c r="Q1737" s="92" t="n">
        <x:f>IFERROR(VLOOKUP(L1737,'Reference Data'!$A$5:$F$40,6,FALSE),0)</x:f>
        <x:v>19</x:v>
      </x:c>
      <x:c r="R1737" s="84" t="n">
        <x:f>'Raw Sales'!J1737</x:f>
        <x:v>1</x:v>
      </x:c>
      <x:c r="S1737" s="87" t="n">
        <x:f>'Raw Sales'!K1737</x:f>
        <x:v>0.15</x:v>
      </x:c>
      <x:c r="T1737" s="93" t="n">
        <x:f>P1737*R1737</x:f>
        <x:v>45</x:v>
      </x:c>
      <x:c r="U1737" s="93" t="n">
        <x:f>T1737*S1737</x:f>
        <x:v>6.75</x:v>
      </x:c>
      <x:c r="V1737" s="93" t="str">
        <x:f>PROPER(TRIM('Raw Sales'!L1737))</x:f>
        <x:v>Completed</x:v>
      </x:c>
      <x:c r="W1737" s="93" t="n">
        <x:f>IF(V1737="Returned",0,T1737-U1737)</x:f>
        <x:v>38.25</x:v>
      </x:c>
      <x:c r="X1737" s="93" t="n">
        <x:f>IF(V1737="Returned",Q1737*R1737*10%,Q1737*R1737)</x:f>
        <x:v>19</x:v>
      </x:c>
      <x:c r="Y1737" s="93" t="n">
        <x:f>W1737-X1737</x:f>
        <x:v>19.25</x:v>
      </x:c>
      <x:c r="Z1737" s="94" t="n">
        <x:f>IFERROR(Y1737/W1737,0)</x:f>
        <x:v>0.5032679738562091</x:v>
      </x:c>
      <x:c r="AA1737" s="84" t="str">
        <x:f>PROPER(TRIM('Raw Sales'!M1737))</x:f>
        <x:v>Mobile Wallet</x:v>
      </x:c>
      <x:c r="AB1737" s="84" t="str">
        <x:f>PROPER(TRIM('Raw Sales'!N1737))</x:f>
        <x:v>Emma Hayes</x:v>
      </x:c>
      <x:c r="AC1737" s="85" t="n">
        <x:f>'Raw Sales'!O1737</x:f>
        <x:v>45865</x:v>
      </x:c>
      <x:c r="AD1737" s="84" t="n">
        <x:f>AC1737-B1737</x:f>
        <x:v>4</x:v>
      </x:c>
      <x:c r="AE1737" s="84" t="str">
        <x:f>IF(COUNTIF($A$5:A1737,A1737)&gt;1,"Duplicate","Keep")</x:f>
        <x:v>Keep</x:v>
      </x:c>
      <x:c r="AF1737" s="84" t="str">
        <x:f>IF(OR(R1737&lt;=0,AC1737&lt;B1737,H1737="Unknown",M1737="Unknown Product"),"Review","Valid")</x:f>
        <x:v>Valid</x:v>
      </x:c>
      <x:c r="AG1737" s="84" t="n">
        <x:f>IF(AND(AE1737="Keep",AF1737="Valid"),1,0)</x:f>
        <x:v>1</x:v>
      </x:c>
      <x:c r="AH1737" s="84" t="n">
        <x:f>IF(AND(AG1737=1,OR('Dashboard'!$B$4="All",I1737='Dashboard'!$B$4),OR('Dashboard'!$E$4="All",N1737='Dashboard'!$E$4),OR('Dashboard'!$H$4="All",K1737='Dashboard'!$H$4),OR('Dashboard'!$K$4="All",C1737='Dashboard'!$K$4)),1,0)</x:f>
        <x:v>1</x:v>
      </x:c>
      <x:c r="AI1737" s="84" t="n">
        <x:f>IF(AND(AG1737=1,OR('Dashboard'!$B$4="All",I1737='Dashboard'!$B$4),OR('Dashboard'!$E$4="All",N1737='Dashboard'!$E$4),OR('Dashboard'!$H$4="All",K1737='Dashboard'!$H$4)),1,0)</x:f>
        <x:v>1</x:v>
      </x:c>
    </x:row>
    <x:row r="1738">
      <x:c r="A1738" s="84" t="str">
        <x:f>'Raw Sales'!A1738</x:f>
        <x:v>ORD-2025-00586</x:v>
      </x:c>
      <x:c r="B1738" s="85" t="n">
        <x:f>'Raw Sales'!B1738</x:f>
        <x:v>45861</x:v>
      </x:c>
      <x:c r="C1738" s="84" t="n">
        <x:f>YEAR(B1738)</x:f>
        <x:v>2025</x:v>
      </x:c>
      <x:c r="D1738" s="91" t="n">
        <x:f>DATE(YEAR(B1738),MONTH(B1738),1)</x:f>
        <x:v>45839</x:v>
      </x:c>
      <x:c r="E1738" s="84" t="str">
        <x:f>TEXT(B1738,"mmm")</x:f>
        <x:v>Jul</x:v>
      </x:c>
      <x:c r="F1738" s="84" t="str">
        <x:f>'Raw Sales'!C1738</x:f>
        <x:v>CUST-0005</x:v>
      </x:c>
      <x:c r="G1738" s="84" t="str">
        <x:f>PROPER(TRIM('Raw Sales'!D1738))</x:f>
        <x:v>Zara Hall</x:v>
      </x:c>
      <x:c r="H1738" s="84" t="str">
        <x:f>IF(TRIM('Raw Sales'!E1738)="","Unknown",PROPER(TRIM('Raw Sales'!E1738)))</x:f>
        <x:v>Consumer</x:v>
      </x:c>
      <x:c r="I1738" s="84" t="str">
        <x:f>PROPER(TRIM('Raw Sales'!F1738))</x:f>
        <x:v>Midwest</x:v>
      </x:c>
      <x:c r="J1738" s="84" t="str">
        <x:f>PROPER(TRIM('Raw Sales'!G1738))</x:f>
        <x:v>Columbus</x:v>
      </x:c>
      <x:c r="K1738" s="84" t="str">
        <x:f>PROPER(TRIM('Raw Sales'!H1738))</x:f>
        <x:v>Online</x:v>
      </x:c>
      <x:c r="L1738" s="84" t="str">
        <x:f>'Raw Sales'!I1738</x:f>
        <x:v>OFFC-001</x:v>
      </x:c>
      <x:c r="M1738" s="84" t="str">
        <x:f>IFERROR(VLOOKUP(L1738,'Reference Data'!$A$5:$F$40,2,FALSE),"Unknown Product")</x:f>
        <x:v>Ergonomic Chair</x:v>
      </x:c>
      <x:c r="N1738" s="84" t="str">
        <x:f>IFERROR(VLOOKUP(L1738,'Reference Data'!$A$5:$F$40,3,FALSE),"Unknown")</x:f>
        <x:v>Office</x:v>
      </x:c>
      <x:c r="O1738" s="84" t="str">
        <x:f>IFERROR(VLOOKUP(L1738,'Reference Data'!$A$5:$F$40,4,FALSE),"Unknown")</x:f>
        <x:v>Furniture</x:v>
      </x:c>
      <x:c r="P1738" s="92" t="n">
        <x:f>IFERROR(VLOOKUP(L1738,'Reference Data'!$A$5:$F$40,5,FALSE),0)</x:f>
        <x:v>249</x:v>
      </x:c>
      <x:c r="Q1738" s="92" t="n">
        <x:f>IFERROR(VLOOKUP(L1738,'Reference Data'!$A$5:$F$40,6,FALSE),0)</x:f>
        <x:v>145</x:v>
      </x:c>
      <x:c r="R1738" s="84" t="n">
        <x:f>'Raw Sales'!J1738</x:f>
        <x:v>1</x:v>
      </x:c>
      <x:c r="S1738" s="87" t="n">
        <x:f>'Raw Sales'!K1738</x:f>
        <x:v>0.1</x:v>
      </x:c>
      <x:c r="T1738" s="93" t="n">
        <x:f>P1738*R1738</x:f>
        <x:v>249</x:v>
      </x:c>
      <x:c r="U1738" s="93" t="n">
        <x:f>T1738*S1738</x:f>
        <x:v>24.900000000000002</x:v>
      </x:c>
      <x:c r="V1738" s="93" t="str">
        <x:f>PROPER(TRIM('Raw Sales'!L1738))</x:f>
        <x:v>Completed</x:v>
      </x:c>
      <x:c r="W1738" s="93" t="n">
        <x:f>IF(V1738="Returned",0,T1738-U1738)</x:f>
        <x:v>224.1</x:v>
      </x:c>
      <x:c r="X1738" s="93" t="n">
        <x:f>IF(V1738="Returned",Q1738*R1738*10%,Q1738*R1738)</x:f>
        <x:v>145</x:v>
      </x:c>
      <x:c r="Y1738" s="93" t="n">
        <x:f>W1738-X1738</x:f>
        <x:v>79.1</x:v>
      </x:c>
      <x:c r="Z1738" s="94" t="n">
        <x:f>IFERROR(Y1738/W1738,0)</x:f>
        <x:v>0.35296742525658187</x:v>
      </x:c>
      <x:c r="AA1738" s="84" t="str">
        <x:f>PROPER(TRIM('Raw Sales'!M1738))</x:f>
        <x:v>Debit Card</x:v>
      </x:c>
      <x:c r="AB1738" s="84" t="str">
        <x:f>PROPER(TRIM('Raw Sales'!N1738))</x:f>
        <x:v>Emma Hayes</x:v>
      </x:c>
      <x:c r="AC1738" s="85" t="n">
        <x:f>'Raw Sales'!O1738</x:f>
        <x:v>45866</x:v>
      </x:c>
      <x:c r="AD1738" s="84" t="n">
        <x:f>AC1738-B1738</x:f>
        <x:v>5</x:v>
      </x:c>
      <x:c r="AE1738" s="84" t="str">
        <x:f>IF(COUNTIF($A$5:A1738,A1738)&gt;1,"Duplicate","Keep")</x:f>
        <x:v>Keep</x:v>
      </x:c>
      <x:c r="AF1738" s="84" t="str">
        <x:f>IF(OR(R1738&lt;=0,AC1738&lt;B1738,H1738="Unknown",M1738="Unknown Product"),"Review","Valid")</x:f>
        <x:v>Valid</x:v>
      </x:c>
      <x:c r="AG1738" s="84" t="n">
        <x:f>IF(AND(AE1738="Keep",AF1738="Valid"),1,0)</x:f>
        <x:v>1</x:v>
      </x:c>
      <x:c r="AH1738" s="84" t="n">
        <x:f>IF(AND(AG1738=1,OR('Dashboard'!$B$4="All",I1738='Dashboard'!$B$4),OR('Dashboard'!$E$4="All",N1738='Dashboard'!$E$4),OR('Dashboard'!$H$4="All",K1738='Dashboard'!$H$4),OR('Dashboard'!$K$4="All",C1738='Dashboard'!$K$4)),1,0)</x:f>
        <x:v>1</x:v>
      </x:c>
      <x:c r="AI1738" s="84" t="n">
        <x:f>IF(AND(AG1738=1,OR('Dashboard'!$B$4="All",I1738='Dashboard'!$B$4),OR('Dashboard'!$E$4="All",N1738='Dashboard'!$E$4),OR('Dashboard'!$H$4="All",K1738='Dashboard'!$H$4)),1,0)</x:f>
        <x:v>1</x:v>
      </x:c>
    </x:row>
    <x:row r="1739">
      <x:c r="A1739" s="84" t="str">
        <x:f>'Raw Sales'!A1739</x:f>
        <x:v>ORD-2025-01359</x:v>
      </x:c>
      <x:c r="B1739" s="85" t="n">
        <x:f>'Raw Sales'!B1739</x:f>
        <x:v>45861</x:v>
      </x:c>
      <x:c r="C1739" s="84" t="n">
        <x:f>YEAR(B1739)</x:f>
        <x:v>2025</x:v>
      </x:c>
      <x:c r="D1739" s="91" t="n">
        <x:f>DATE(YEAR(B1739),MONTH(B1739),1)</x:f>
        <x:v>45839</x:v>
      </x:c>
      <x:c r="E1739" s="84" t="str">
        <x:f>TEXT(B1739,"mmm")</x:f>
        <x:v>Jul</x:v>
      </x:c>
      <x:c r="F1739" s="84" t="str">
        <x:f>'Raw Sales'!C1739</x:f>
        <x:v>CUST-0332</x:v>
      </x:c>
      <x:c r="G1739" s="84" t="str">
        <x:f>PROPER(TRIM('Raw Sales'!D1739))</x:f>
        <x:v>Grace Smith</x:v>
      </x:c>
      <x:c r="H1739" s="84" t="str">
        <x:f>IF(TRIM('Raw Sales'!E1739)="","Unknown",PROPER(TRIM('Raw Sales'!E1739)))</x:f>
        <x:v>Small Business</x:v>
      </x:c>
      <x:c r="I1739" s="84" t="str">
        <x:f>PROPER(TRIM('Raw Sales'!F1739))</x:f>
        <x:v>Midwest</x:v>
      </x:c>
      <x:c r="J1739" s="84" t="str">
        <x:f>PROPER(TRIM('Raw Sales'!G1739))</x:f>
        <x:v>Chicago</x:v>
      </x:c>
      <x:c r="K1739" s="84" t="str">
        <x:f>PROPER(TRIM('Raw Sales'!H1739))</x:f>
        <x:v>Marketplace</x:v>
      </x:c>
      <x:c r="L1739" s="84" t="str">
        <x:f>'Raw Sales'!I1739</x:f>
        <x:v>FITN-003</x:v>
      </x:c>
      <x:c r="M1739" s="84" t="str">
        <x:f>IFERROR(VLOOKUP(L1739,'Reference Data'!$A$5:$F$40,2,FALSE),"Unknown Product")</x:f>
        <x:v>Resistance Band Set</x:v>
      </x:c>
      <x:c r="N1739" s="84" t="str">
        <x:f>IFERROR(VLOOKUP(L1739,'Reference Data'!$A$5:$F$40,3,FALSE),"Unknown")</x:f>
        <x:v>Fitness</x:v>
      </x:c>
      <x:c r="O1739" s="84" t="str">
        <x:f>IFERROR(VLOOKUP(L1739,'Reference Data'!$A$5:$F$40,4,FALSE),"Unknown")</x:f>
        <x:v>Strength</x:v>
      </x:c>
      <x:c r="P1739" s="92" t="n">
        <x:f>IFERROR(VLOOKUP(L1739,'Reference Data'!$A$5:$F$40,5,FALSE),0)</x:f>
        <x:v>24</x:v>
      </x:c>
      <x:c r="Q1739" s="92" t="n">
        <x:f>IFERROR(VLOOKUP(L1739,'Reference Data'!$A$5:$F$40,6,FALSE),0)</x:f>
        <x:v>8</x:v>
      </x:c>
      <x:c r="R1739" s="84" t="n">
        <x:f>'Raw Sales'!J1739</x:f>
        <x:v>1</x:v>
      </x:c>
      <x:c r="S1739" s="87" t="n">
        <x:f>'Raw Sales'!K1739</x:f>
        <x:v>0.15</x:v>
      </x:c>
      <x:c r="T1739" s="93" t="n">
        <x:f>P1739*R1739</x:f>
        <x:v>24</x:v>
      </x:c>
      <x:c r="U1739" s="93" t="n">
        <x:f>T1739*S1739</x:f>
        <x:v>3.5999999999999996</x:v>
      </x:c>
      <x:c r="V1739" s="93" t="str">
        <x:f>PROPER(TRIM('Raw Sales'!L1739))</x:f>
        <x:v>Completed</x:v>
      </x:c>
      <x:c r="W1739" s="93" t="n">
        <x:f>IF(V1739="Returned",0,T1739-U1739)</x:f>
        <x:v>20.4</x:v>
      </x:c>
      <x:c r="X1739" s="93" t="n">
        <x:f>IF(V1739="Returned",Q1739*R1739*10%,Q1739*R1739)</x:f>
        <x:v>8</x:v>
      </x:c>
      <x:c r="Y1739" s="93" t="n">
        <x:f>W1739-X1739</x:f>
        <x:v>12.399999999999999</x:v>
      </x:c>
      <x:c r="Z1739" s="94" t="n">
        <x:f>IFERROR(Y1739/W1739,0)</x:f>
        <x:v>0.6078431372549019</x:v>
      </x:c>
      <x:c r="AA1739" s="84" t="str">
        <x:f>PROPER(TRIM('Raw Sales'!M1739))</x:f>
        <x:v>Mobile Wallet</x:v>
      </x:c>
      <x:c r="AB1739" s="84" t="str">
        <x:f>PROPER(TRIM('Raw Sales'!N1739))</x:f>
        <x:v>Emma Hayes</x:v>
      </x:c>
      <x:c r="AC1739" s="85" t="n">
        <x:f>'Raw Sales'!O1739</x:f>
        <x:v>45868</x:v>
      </x:c>
      <x:c r="AD1739" s="84" t="n">
        <x:f>AC1739-B1739</x:f>
        <x:v>7</x:v>
      </x:c>
      <x:c r="AE1739" s="84" t="str">
        <x:f>IF(COUNTIF($A$5:A1739,A1739)&gt;1,"Duplicate","Keep")</x:f>
        <x:v>Keep</x:v>
      </x:c>
      <x:c r="AF1739" s="84" t="str">
        <x:f>IF(OR(R1739&lt;=0,AC1739&lt;B1739,H1739="Unknown",M1739="Unknown Product"),"Review","Valid")</x:f>
        <x:v>Valid</x:v>
      </x:c>
      <x:c r="AG1739" s="84" t="n">
        <x:f>IF(AND(AE1739="Keep",AF1739="Valid"),1,0)</x:f>
        <x:v>1</x:v>
      </x:c>
      <x:c r="AH1739" s="84" t="n">
        <x:f>IF(AND(AG1739=1,OR('Dashboard'!$B$4="All",I1739='Dashboard'!$B$4),OR('Dashboard'!$E$4="All",N1739='Dashboard'!$E$4),OR('Dashboard'!$H$4="All",K1739='Dashboard'!$H$4),OR('Dashboard'!$K$4="All",C1739='Dashboard'!$K$4)),1,0)</x:f>
        <x:v>1</x:v>
      </x:c>
      <x:c r="AI1739" s="84" t="n">
        <x:f>IF(AND(AG1739=1,OR('Dashboard'!$B$4="All",I1739='Dashboard'!$B$4),OR('Dashboard'!$E$4="All",N1739='Dashboard'!$E$4),OR('Dashboard'!$H$4="All",K1739='Dashboard'!$H$4)),1,0)</x:f>
        <x:v>1</x:v>
      </x:c>
    </x:row>
    <x:row r="1740">
      <x:c r="A1740" s="84" t="str">
        <x:f>'Raw Sales'!A1740</x:f>
        <x:v>ORD-2025-02348</x:v>
      </x:c>
      <x:c r="B1740" s="85" t="n">
        <x:f>'Raw Sales'!B1740</x:f>
        <x:v>45861</x:v>
      </x:c>
      <x:c r="C1740" s="84" t="n">
        <x:f>YEAR(B1740)</x:f>
        <x:v>2025</x:v>
      </x:c>
      <x:c r="D1740" s="91" t="n">
        <x:f>DATE(YEAR(B1740),MONTH(B1740),1)</x:f>
        <x:v>45839</x:v>
      </x:c>
      <x:c r="E1740" s="84" t="str">
        <x:f>TEXT(B1740,"mmm")</x:f>
        <x:v>Jul</x:v>
      </x:c>
      <x:c r="F1740" s="84" t="str">
        <x:f>'Raw Sales'!C1740</x:f>
        <x:v>CUST-0195</x:v>
      </x:c>
      <x:c r="G1740" s="84" t="str">
        <x:f>PROPER(TRIM('Raw Sales'!D1740))</x:f>
        <x:v>Aiden Carter</x:v>
      </x:c>
      <x:c r="H1740" s="84" t="str">
        <x:f>IF(TRIM('Raw Sales'!E1740)="","Unknown",PROPER(TRIM('Raw Sales'!E1740)))</x:f>
        <x:v>Corporate</x:v>
      </x:c>
      <x:c r="I1740" s="84" t="str">
        <x:f>PROPER(TRIM('Raw Sales'!F1740))</x:f>
        <x:v>Northeast</x:v>
      </x:c>
      <x:c r="J1740" s="84" t="str">
        <x:f>PROPER(TRIM('Raw Sales'!G1740))</x:f>
        <x:v>New York</x:v>
      </x:c>
      <x:c r="K1740" s="84" t="str">
        <x:f>PROPER(TRIM('Raw Sales'!H1740))</x:f>
        <x:v>Retail Store</x:v>
      </x:c>
      <x:c r="L1740" s="84" t="str">
        <x:f>'Raw Sales'!I1740</x:f>
        <x:v>ELEC-006</x:v>
      </x:c>
      <x:c r="M1740" s="84" t="str">
        <x:f>IFERROR(VLOOKUP(L1740,'Reference Data'!$A$5:$F$40,2,FALSE),"Unknown Product")</x:f>
        <x:v>Portable SSD</x:v>
      </x:c>
      <x:c r="N1740" s="84" t="str">
        <x:f>IFERROR(VLOOKUP(L1740,'Reference Data'!$A$5:$F$40,3,FALSE),"Unknown")</x:f>
        <x:v>Electronics</x:v>
      </x:c>
      <x:c r="O1740" s="84" t="str">
        <x:f>IFERROR(VLOOKUP(L1740,'Reference Data'!$A$5:$F$40,4,FALSE),"Unknown")</x:f>
        <x:v>Storage</x:v>
      </x:c>
      <x:c r="P1740" s="92" t="n">
        <x:f>IFERROR(VLOOKUP(L1740,'Reference Data'!$A$5:$F$40,5,FALSE),0)</x:f>
        <x:v>129</x:v>
      </x:c>
      <x:c r="Q1740" s="92" t="n">
        <x:f>IFERROR(VLOOKUP(L1740,'Reference Data'!$A$5:$F$40,6,FALSE),0)</x:f>
        <x:v>75</x:v>
      </x:c>
      <x:c r="R1740" s="84" t="n">
        <x:f>'Raw Sales'!J1740</x:f>
        <x:v>4</x:v>
      </x:c>
      <x:c r="S1740" s="87" t="n">
        <x:f>'Raw Sales'!K1740</x:f>
        <x:v>0.1</x:v>
      </x:c>
      <x:c r="T1740" s="93" t="n">
        <x:f>P1740*R1740</x:f>
        <x:v>516</x:v>
      </x:c>
      <x:c r="U1740" s="93" t="n">
        <x:f>T1740*S1740</x:f>
        <x:v>51.6</x:v>
      </x:c>
      <x:c r="V1740" s="93" t="str">
        <x:f>PROPER(TRIM('Raw Sales'!L1740))</x:f>
        <x:v>Completed</x:v>
      </x:c>
      <x:c r="W1740" s="93" t="n">
        <x:f>IF(V1740="Returned",0,T1740-U1740)</x:f>
        <x:v>464.4</x:v>
      </x:c>
      <x:c r="X1740" s="93" t="n">
        <x:f>IF(V1740="Returned",Q1740*R1740*10%,Q1740*R1740)</x:f>
        <x:v>300</x:v>
      </x:c>
      <x:c r="Y1740" s="93" t="n">
        <x:f>W1740-X1740</x:f>
        <x:v>164.39999999999998</x:v>
      </x:c>
      <x:c r="Z1740" s="94" t="n">
        <x:f>IFERROR(Y1740/W1740,0)</x:f>
        <x:v>0.3540051679586563</x:v>
      </x:c>
      <x:c r="AA1740" s="84" t="str">
        <x:f>PROPER(TRIM('Raw Sales'!M1740))</x:f>
        <x:v>Debit Card</x:v>
      </x:c>
      <x:c r="AB1740" s="84" t="str">
        <x:f>PROPER(TRIM('Raw Sales'!N1740))</x:f>
        <x:v>Sofia Bennett</x:v>
      </x:c>
      <x:c r="AC1740" s="85" t="n">
        <x:f>'Raw Sales'!O1740</x:f>
        <x:v>45861</x:v>
      </x:c>
      <x:c r="AD1740" s="84" t="n">
        <x:f>AC1740-B1740</x:f>
        <x:v>0</x:v>
      </x:c>
      <x:c r="AE1740" s="84" t="str">
        <x:f>IF(COUNTIF($A$5:A1740,A1740)&gt;1,"Duplicate","Keep")</x:f>
        <x:v>Keep</x:v>
      </x:c>
      <x:c r="AF1740" s="84" t="str">
        <x:f>IF(OR(R1740&lt;=0,AC1740&lt;B1740,H1740="Unknown",M1740="Unknown Product"),"Review","Valid")</x:f>
        <x:v>Valid</x:v>
      </x:c>
      <x:c r="AG1740" s="84" t="n">
        <x:f>IF(AND(AE1740="Keep",AF1740="Valid"),1,0)</x:f>
        <x:v>1</x:v>
      </x:c>
      <x:c r="AH1740" s="84" t="n">
        <x:f>IF(AND(AG1740=1,OR('Dashboard'!$B$4="All",I1740='Dashboard'!$B$4),OR('Dashboard'!$E$4="All",N1740='Dashboard'!$E$4),OR('Dashboard'!$H$4="All",K1740='Dashboard'!$H$4),OR('Dashboard'!$K$4="All",C1740='Dashboard'!$K$4)),1,0)</x:f>
        <x:v>1</x:v>
      </x:c>
      <x:c r="AI1740" s="84" t="n">
        <x:f>IF(AND(AG1740=1,OR('Dashboard'!$B$4="All",I1740='Dashboard'!$B$4),OR('Dashboard'!$E$4="All",N1740='Dashboard'!$E$4),OR('Dashboard'!$H$4="All",K1740='Dashboard'!$H$4)),1,0)</x:f>
        <x:v>1</x:v>
      </x:c>
    </x:row>
    <x:row r="1741">
      <x:c r="A1741" s="84" t="str">
        <x:f>'Raw Sales'!A1741</x:f>
        <x:v>ORD-2025-01946</x:v>
      </x:c>
      <x:c r="B1741" s="85" t="n">
        <x:f>'Raw Sales'!B1741</x:f>
        <x:v>45862</x:v>
      </x:c>
      <x:c r="C1741" s="84" t="n">
        <x:f>YEAR(B1741)</x:f>
        <x:v>2025</x:v>
      </x:c>
      <x:c r="D1741" s="91" t="n">
        <x:f>DATE(YEAR(B1741),MONTH(B1741),1)</x:f>
        <x:v>45839</x:v>
      </x:c>
      <x:c r="E1741" s="84" t="str">
        <x:f>TEXT(B1741,"mmm")</x:f>
        <x:v>Jul</x:v>
      </x:c>
      <x:c r="F1741" s="84" t="str">
        <x:f>'Raw Sales'!C1741</x:f>
        <x:v>CUST-0325</x:v>
      </x:c>
      <x:c r="G1741" s="84" t="str">
        <x:f>PROPER(TRIM('Raw Sales'!D1741))</x:f>
        <x:v>Caleb Baker</x:v>
      </x:c>
      <x:c r="H1741" s="84" t="str">
        <x:f>IF(TRIM('Raw Sales'!E1741)="","Unknown",PROPER(TRIM('Raw Sales'!E1741)))</x:f>
        <x:v>Small Business</x:v>
      </x:c>
      <x:c r="I1741" s="84" t="str">
        <x:f>PROPER(TRIM('Raw Sales'!F1741))</x:f>
        <x:v>West</x:v>
      </x:c>
      <x:c r="J1741" s="84" t="str">
        <x:f>PROPER(TRIM('Raw Sales'!G1741))</x:f>
        <x:v>Phoenix</x:v>
      </x:c>
      <x:c r="K1741" s="84" t="str">
        <x:f>PROPER(TRIM('Raw Sales'!H1741))</x:f>
        <x:v>Online</x:v>
      </x:c>
      <x:c r="L1741" s="84" t="str">
        <x:f>'Raw Sales'!I1741</x:f>
        <x:v>OFFC-004</x:v>
      </x:c>
      <x:c r="M1741" s="84" t="str">
        <x:f>IFERROR(VLOOKUP(L1741,'Reference Data'!$A$5:$F$40,2,FALSE),"Unknown Product")</x:f>
        <x:v>Premium Notebook Pack</x:v>
      </x:c>
      <x:c r="N1741" s="84" t="str">
        <x:f>IFERROR(VLOOKUP(L1741,'Reference Data'!$A$5:$F$40,3,FALSE),"Unknown")</x:f>
        <x:v>Office</x:v>
      </x:c>
      <x:c r="O1741" s="84" t="str">
        <x:f>IFERROR(VLOOKUP(L1741,'Reference Data'!$A$5:$F$40,4,FALSE),"Unknown")</x:f>
        <x:v>Stationery</x:v>
      </x:c>
      <x:c r="P1741" s="92" t="n">
        <x:f>IFERROR(VLOOKUP(L1741,'Reference Data'!$A$5:$F$40,5,FALSE),0)</x:f>
        <x:v>18</x:v>
      </x:c>
      <x:c r="Q1741" s="92" t="n">
        <x:f>IFERROR(VLOOKUP(L1741,'Reference Data'!$A$5:$F$40,6,FALSE),0)</x:f>
        <x:v>6.5</x:v>
      </x:c>
      <x:c r="R1741" s="84" t="n">
        <x:f>'Raw Sales'!J1741</x:f>
        <x:v>1</x:v>
      </x:c>
      <x:c r="S1741" s="87" t="n">
        <x:f>'Raw Sales'!K1741</x:f>
        <x:v>0.1</x:v>
      </x:c>
      <x:c r="T1741" s="93" t="n">
        <x:f>P1741*R1741</x:f>
        <x:v>18</x:v>
      </x:c>
      <x:c r="U1741" s="93" t="n">
        <x:f>T1741*S1741</x:f>
        <x:v>1.8</x:v>
      </x:c>
      <x:c r="V1741" s="93" t="str">
        <x:f>PROPER(TRIM('Raw Sales'!L1741))</x:f>
        <x:v>Completed</x:v>
      </x:c>
      <x:c r="W1741" s="93" t="n">
        <x:f>IF(V1741="Returned",0,T1741-U1741)</x:f>
        <x:v>16.2</x:v>
      </x:c>
      <x:c r="X1741" s="93" t="n">
        <x:f>IF(V1741="Returned",Q1741*R1741*10%,Q1741*R1741)</x:f>
        <x:v>6.5</x:v>
      </x:c>
      <x:c r="Y1741" s="93" t="n">
        <x:f>W1741-X1741</x:f>
        <x:v>9.7</x:v>
      </x:c>
      <x:c r="Z1741" s="94" t="n">
        <x:f>IFERROR(Y1741/W1741,0)</x:f>
        <x:v>0.5987654320987654</x:v>
      </x:c>
      <x:c r="AA1741" s="84" t="str">
        <x:f>PROPER(TRIM('Raw Sales'!M1741))</x:f>
        <x:v>Debit Card</x:v>
      </x:c>
      <x:c r="AB1741" s="84" t="str">
        <x:f>PROPER(TRIM('Raw Sales'!N1741))</x:f>
        <x:v>Leo Martinez</x:v>
      </x:c>
      <x:c r="AC1741" s="85" t="n">
        <x:f>'Raw Sales'!O1741</x:f>
        <x:v>45867</x:v>
      </x:c>
      <x:c r="AD1741" s="84" t="n">
        <x:f>AC1741-B1741</x:f>
        <x:v>5</x:v>
      </x:c>
      <x:c r="AE1741" s="84" t="str">
        <x:f>IF(COUNTIF($A$5:A1741,A1741)&gt;1,"Duplicate","Keep")</x:f>
        <x:v>Keep</x:v>
      </x:c>
      <x:c r="AF1741" s="84" t="str">
        <x:f>IF(OR(R1741&lt;=0,AC1741&lt;B1741,H1741="Unknown",M1741="Unknown Product"),"Review","Valid")</x:f>
        <x:v>Valid</x:v>
      </x:c>
      <x:c r="AG1741" s="84" t="n">
        <x:f>IF(AND(AE1741="Keep",AF1741="Valid"),1,0)</x:f>
        <x:v>1</x:v>
      </x:c>
      <x:c r="AH1741" s="84" t="n">
        <x:f>IF(AND(AG1741=1,OR('Dashboard'!$B$4="All",I1741='Dashboard'!$B$4),OR('Dashboard'!$E$4="All",N1741='Dashboard'!$E$4),OR('Dashboard'!$H$4="All",K1741='Dashboard'!$H$4),OR('Dashboard'!$K$4="All",C1741='Dashboard'!$K$4)),1,0)</x:f>
        <x:v>1</x:v>
      </x:c>
      <x:c r="AI1741" s="84" t="n">
        <x:f>IF(AND(AG1741=1,OR('Dashboard'!$B$4="All",I1741='Dashboard'!$B$4),OR('Dashboard'!$E$4="All",N1741='Dashboard'!$E$4),OR('Dashboard'!$H$4="All",K1741='Dashboard'!$H$4)),1,0)</x:f>
        <x:v>1</x:v>
      </x:c>
    </x:row>
    <x:row r="1742">
      <x:c r="A1742" s="84" t="str">
        <x:f>'Raw Sales'!A1742</x:f>
        <x:v>ORD-2025-00139</x:v>
      </x:c>
      <x:c r="B1742" s="85" t="n">
        <x:f>'Raw Sales'!B1742</x:f>
        <x:v>45863</x:v>
      </x:c>
      <x:c r="C1742" s="84" t="n">
        <x:f>YEAR(B1742)</x:f>
        <x:v>2025</x:v>
      </x:c>
      <x:c r="D1742" s="91" t="n">
        <x:f>DATE(YEAR(B1742),MONTH(B1742),1)</x:f>
        <x:v>45839</x:v>
      </x:c>
      <x:c r="E1742" s="84" t="str">
        <x:f>TEXT(B1742,"mmm")</x:f>
        <x:v>Jul</x:v>
      </x:c>
      <x:c r="F1742" s="84" t="str">
        <x:f>'Raw Sales'!C1742</x:f>
        <x:v>CUST-0135</x:v>
      </x:c>
      <x:c r="G1742" s="84" t="str">
        <x:f>PROPER(TRIM('Raw Sales'!D1742))</x:f>
        <x:v>Layla Roberts</x:v>
      </x:c>
      <x:c r="H1742" s="84" t="str">
        <x:f>IF(TRIM('Raw Sales'!E1742)="","Unknown",PROPER(TRIM('Raw Sales'!E1742)))</x:f>
        <x:v>Consumer</x:v>
      </x:c>
      <x:c r="I1742" s="84" t="str">
        <x:f>PROPER(TRIM('Raw Sales'!F1742))</x:f>
        <x:v>Southeast</x:v>
      </x:c>
      <x:c r="J1742" s="84" t="str">
        <x:f>PROPER(TRIM('Raw Sales'!G1742))</x:f>
        <x:v>Miami</x:v>
      </x:c>
      <x:c r="K1742" s="84" t="str">
        <x:f>PROPER(TRIM('Raw Sales'!H1742))</x:f>
        <x:v>Marketplace</x:v>
      </x:c>
      <x:c r="L1742" s="84" t="str">
        <x:f>'Raw Sales'!I1742</x:f>
        <x:v>FITN-004</x:v>
      </x:c>
      <x:c r="M1742" s="84" t="str">
        <x:f>IFERROR(VLOOKUP(L1742,'Reference Data'!$A$5:$F$40,2,FALSE),"Unknown Product")</x:f>
        <x:v>Fitness Tracker</x:v>
      </x:c>
      <x:c r="N1742" s="84" t="str">
        <x:f>IFERROR(VLOOKUP(L1742,'Reference Data'!$A$5:$F$40,3,FALSE),"Unknown")</x:f>
        <x:v>Fitness</x:v>
      </x:c>
      <x:c r="O1742" s="84" t="str">
        <x:f>IFERROR(VLOOKUP(L1742,'Reference Data'!$A$5:$F$40,4,FALSE),"Unknown")</x:f>
        <x:v>Wearables</x:v>
      </x:c>
      <x:c r="P1742" s="92" t="n">
        <x:f>IFERROR(VLOOKUP(L1742,'Reference Data'!$A$5:$F$40,5,FALSE),0)</x:f>
        <x:v>89</x:v>
      </x:c>
      <x:c r="Q1742" s="92" t="n">
        <x:f>IFERROR(VLOOKUP(L1742,'Reference Data'!$A$5:$F$40,6,FALSE),0)</x:f>
        <x:v>44</x:v>
      </x:c>
      <x:c r="R1742" s="84" t="n">
        <x:f>'Raw Sales'!J1742</x:f>
        <x:v>1</x:v>
      </x:c>
      <x:c r="S1742" s="87" t="n">
        <x:f>'Raw Sales'!K1742</x:f>
        <x:v>0.05</x:v>
      </x:c>
      <x:c r="T1742" s="93" t="n">
        <x:f>P1742*R1742</x:f>
        <x:v>89</x:v>
      </x:c>
      <x:c r="U1742" s="93" t="n">
        <x:f>T1742*S1742</x:f>
        <x:v>4.45</x:v>
      </x:c>
      <x:c r="V1742" s="93" t="str">
        <x:f>PROPER(TRIM('Raw Sales'!L1742))</x:f>
        <x:v>Completed</x:v>
      </x:c>
      <x:c r="W1742" s="93" t="n">
        <x:f>IF(V1742="Returned",0,T1742-U1742)</x:f>
        <x:v>84.55</x:v>
      </x:c>
      <x:c r="X1742" s="93" t="n">
        <x:f>IF(V1742="Returned",Q1742*R1742*10%,Q1742*R1742)</x:f>
        <x:v>44</x:v>
      </x:c>
      <x:c r="Y1742" s="93" t="n">
        <x:f>W1742-X1742</x:f>
        <x:v>40.55</x:v>
      </x:c>
      <x:c r="Z1742" s="94" t="n">
        <x:f>IFERROR(Y1742/W1742,0)</x:f>
        <x:v>0.47959787108219987</x:v>
      </x:c>
      <x:c r="AA1742" s="84" t="str">
        <x:f>PROPER(TRIM('Raw Sales'!M1742))</x:f>
        <x:v>Credit Card</x:v>
      </x:c>
      <x:c r="AB1742" s="84" t="str">
        <x:f>PROPER(TRIM('Raw Sales'!N1742))</x:f>
        <x:v>Noah Reed</x:v>
      </x:c>
      <x:c r="AC1742" s="85" t="n">
        <x:f>'Raw Sales'!O1742</x:f>
        <x:v>45869</x:v>
      </x:c>
      <x:c r="AD1742" s="84" t="n">
        <x:f>AC1742-B1742</x:f>
        <x:v>6</x:v>
      </x:c>
      <x:c r="AE1742" s="84" t="str">
        <x:f>IF(COUNTIF($A$5:A1742,A1742)&gt;1,"Duplicate","Keep")</x:f>
        <x:v>Keep</x:v>
      </x:c>
      <x:c r="AF1742" s="84" t="str">
        <x:f>IF(OR(R1742&lt;=0,AC1742&lt;B1742,H1742="Unknown",M1742="Unknown Product"),"Review","Valid")</x:f>
        <x:v>Valid</x:v>
      </x:c>
      <x:c r="AG1742" s="84" t="n">
        <x:f>IF(AND(AE1742="Keep",AF1742="Valid"),1,0)</x:f>
        <x:v>1</x:v>
      </x:c>
      <x:c r="AH1742" s="84" t="n">
        <x:f>IF(AND(AG1742=1,OR('Dashboard'!$B$4="All",I1742='Dashboard'!$B$4),OR('Dashboard'!$E$4="All",N1742='Dashboard'!$E$4),OR('Dashboard'!$H$4="All",K1742='Dashboard'!$H$4),OR('Dashboard'!$K$4="All",C1742='Dashboard'!$K$4)),1,0)</x:f>
        <x:v>1</x:v>
      </x:c>
      <x:c r="AI1742" s="84" t="n">
        <x:f>IF(AND(AG1742=1,OR('Dashboard'!$B$4="All",I1742='Dashboard'!$B$4),OR('Dashboard'!$E$4="All",N1742='Dashboard'!$E$4),OR('Dashboard'!$H$4="All",K1742='Dashboard'!$H$4)),1,0)</x:f>
        <x:v>1</x:v>
      </x:c>
    </x:row>
    <x:row r="1743">
      <x:c r="A1743" s="84" t="str">
        <x:f>'Raw Sales'!A1743</x:f>
        <x:v>ORD-2025-00933</x:v>
      </x:c>
      <x:c r="B1743" s="85" t="n">
        <x:f>'Raw Sales'!B1743</x:f>
        <x:v>45863</x:v>
      </x:c>
      <x:c r="C1743" s="84" t="n">
        <x:f>YEAR(B1743)</x:f>
        <x:v>2025</x:v>
      </x:c>
      <x:c r="D1743" s="91" t="n">
        <x:f>DATE(YEAR(B1743),MONTH(B1743),1)</x:f>
        <x:v>45839</x:v>
      </x:c>
      <x:c r="E1743" s="84" t="str">
        <x:f>TEXT(B1743,"mmm")</x:f>
        <x:v>Jul</x:v>
      </x:c>
      <x:c r="F1743" s="84" t="str">
        <x:f>'Raw Sales'!C1743</x:f>
        <x:v>CUST-0624</x:v>
      </x:c>
      <x:c r="G1743" s="84" t="str">
        <x:f>PROPER(TRIM('Raw Sales'!D1743))</x:f>
        <x:v>Nina Irwin</x:v>
      </x:c>
      <x:c r="H1743" s="84" t="str">
        <x:f>IF(TRIM('Raw Sales'!E1743)="","Unknown",PROPER(TRIM('Raw Sales'!E1743)))</x:f>
        <x:v>Small Business</x:v>
      </x:c>
      <x:c r="I1743" s="84" t="str">
        <x:f>PROPER(TRIM('Raw Sales'!F1743))</x:f>
        <x:v>Northeast</x:v>
      </x:c>
      <x:c r="J1743" s="84" t="str">
        <x:f>PROPER(TRIM('Raw Sales'!G1743))</x:f>
        <x:v>Philadelphia</x:v>
      </x:c>
      <x:c r="K1743" s="84" t="str">
        <x:f>PROPER(TRIM('Raw Sales'!H1743))</x:f>
        <x:v>Online</x:v>
      </x:c>
      <x:c r="L1743" s="84" t="str">
        <x:f>'Raw Sales'!I1743</x:f>
        <x:v>OFFC-004</x:v>
      </x:c>
      <x:c r="M1743" s="84" t="str">
        <x:f>IFERROR(VLOOKUP(L1743,'Reference Data'!$A$5:$F$40,2,FALSE),"Unknown Product")</x:f>
        <x:v>Premium Notebook Pack</x:v>
      </x:c>
      <x:c r="N1743" s="84" t="str">
        <x:f>IFERROR(VLOOKUP(L1743,'Reference Data'!$A$5:$F$40,3,FALSE),"Unknown")</x:f>
        <x:v>Office</x:v>
      </x:c>
      <x:c r="O1743" s="84" t="str">
        <x:f>IFERROR(VLOOKUP(L1743,'Reference Data'!$A$5:$F$40,4,FALSE),"Unknown")</x:f>
        <x:v>Stationery</x:v>
      </x:c>
      <x:c r="P1743" s="92" t="n">
        <x:f>IFERROR(VLOOKUP(L1743,'Reference Data'!$A$5:$F$40,5,FALSE),0)</x:f>
        <x:v>18</x:v>
      </x:c>
      <x:c r="Q1743" s="92" t="n">
        <x:f>IFERROR(VLOOKUP(L1743,'Reference Data'!$A$5:$F$40,6,FALSE),0)</x:f>
        <x:v>6.5</x:v>
      </x:c>
      <x:c r="R1743" s="84" t="n">
        <x:f>'Raw Sales'!J1743</x:f>
        <x:v>1</x:v>
      </x:c>
      <x:c r="S1743" s="87" t="n">
        <x:f>'Raw Sales'!K1743</x:f>
        <x:v>0</x:v>
      </x:c>
      <x:c r="T1743" s="93" t="n">
        <x:f>P1743*R1743</x:f>
        <x:v>18</x:v>
      </x:c>
      <x:c r="U1743" s="93" t="n">
        <x:f>T1743*S1743</x:f>
        <x:v>0</x:v>
      </x:c>
      <x:c r="V1743" s="93" t="str">
        <x:f>PROPER(TRIM('Raw Sales'!L1743))</x:f>
        <x:v>Completed</x:v>
      </x:c>
      <x:c r="W1743" s="93" t="n">
        <x:f>IF(V1743="Returned",0,T1743-U1743)</x:f>
        <x:v>18</x:v>
      </x:c>
      <x:c r="X1743" s="93" t="n">
        <x:f>IF(V1743="Returned",Q1743*R1743*10%,Q1743*R1743)</x:f>
        <x:v>6.5</x:v>
      </x:c>
      <x:c r="Y1743" s="93" t="n">
        <x:f>W1743-X1743</x:f>
        <x:v>11.5</x:v>
      </x:c>
      <x:c r="Z1743" s="94" t="n">
        <x:f>IFERROR(Y1743/W1743,0)</x:f>
        <x:v>0.6388888888888888</x:v>
      </x:c>
      <x:c r="AA1743" s="84" t="str">
        <x:f>PROPER(TRIM('Raw Sales'!M1743))</x:f>
        <x:v>Credit Card</x:v>
      </x:c>
      <x:c r="AB1743" s="84" t="str">
        <x:f>PROPER(TRIM('Raw Sales'!N1743))</x:f>
        <x:v>Sofia Bennett</x:v>
      </x:c>
      <x:c r="AC1743" s="85" t="n">
        <x:f>'Raw Sales'!O1743</x:f>
        <x:v>45867</x:v>
      </x:c>
      <x:c r="AD1743" s="84" t="n">
        <x:f>AC1743-B1743</x:f>
        <x:v>4</x:v>
      </x:c>
      <x:c r="AE1743" s="84" t="str">
        <x:f>IF(COUNTIF($A$5:A1743,A1743)&gt;1,"Duplicate","Keep")</x:f>
        <x:v>Keep</x:v>
      </x:c>
      <x:c r="AF1743" s="84" t="str">
        <x:f>IF(OR(R1743&lt;=0,AC1743&lt;B1743,H1743="Unknown",M1743="Unknown Product"),"Review","Valid")</x:f>
        <x:v>Valid</x:v>
      </x:c>
      <x:c r="AG1743" s="84" t="n">
        <x:f>IF(AND(AE1743="Keep",AF1743="Valid"),1,0)</x:f>
        <x:v>1</x:v>
      </x:c>
      <x:c r="AH1743" s="84" t="n">
        <x:f>IF(AND(AG1743=1,OR('Dashboard'!$B$4="All",I1743='Dashboard'!$B$4),OR('Dashboard'!$E$4="All",N1743='Dashboard'!$E$4),OR('Dashboard'!$H$4="All",K1743='Dashboard'!$H$4),OR('Dashboard'!$K$4="All",C1743='Dashboard'!$K$4)),1,0)</x:f>
        <x:v>1</x:v>
      </x:c>
      <x:c r="AI1743" s="84" t="n">
        <x:f>IF(AND(AG1743=1,OR('Dashboard'!$B$4="All",I1743='Dashboard'!$B$4),OR('Dashboard'!$E$4="All",N1743='Dashboard'!$E$4),OR('Dashboard'!$H$4="All",K1743='Dashboard'!$H$4)),1,0)</x:f>
        <x:v>1</x:v>
      </x:c>
    </x:row>
    <x:row r="1744">
      <x:c r="A1744" s="84" t="str">
        <x:f>'Raw Sales'!A1744</x:f>
        <x:v>ORD-2025-01036</x:v>
      </x:c>
      <x:c r="B1744" s="85" t="n">
        <x:f>'Raw Sales'!B1744</x:f>
        <x:v>45863</x:v>
      </x:c>
      <x:c r="C1744" s="84" t="n">
        <x:f>YEAR(B1744)</x:f>
        <x:v>2025</x:v>
      </x:c>
      <x:c r="D1744" s="91" t="n">
        <x:f>DATE(YEAR(B1744),MONTH(B1744),1)</x:f>
        <x:v>45839</x:v>
      </x:c>
      <x:c r="E1744" s="84" t="str">
        <x:f>TEXT(B1744,"mmm")</x:f>
        <x:v>Jul</x:v>
      </x:c>
      <x:c r="F1744" s="84" t="str">
        <x:f>'Raw Sales'!C1744</x:f>
        <x:v>CUST-0045</x:v>
      </x:c>
      <x:c r="G1744" s="84" t="str">
        <x:f>PROPER(TRIM('Raw Sales'!D1744))</x:f>
        <x:v>Nina Foster</x:v>
      </x:c>
      <x:c r="H1744" s="84" t="str">
        <x:f>IF(TRIM('Raw Sales'!E1744)="","Unknown",PROPER(TRIM('Raw Sales'!E1744)))</x:f>
        <x:v>Small Business</x:v>
      </x:c>
      <x:c r="I1744" s="84" t="str">
        <x:f>PROPER(TRIM('Raw Sales'!F1744))</x:f>
        <x:v>Northeast</x:v>
      </x:c>
      <x:c r="J1744" s="84" t="str">
        <x:f>PROPER(TRIM('Raw Sales'!G1744))</x:f>
        <x:v>Boston</x:v>
      </x:c>
      <x:c r="K1744" s="84" t="str">
        <x:f>PROPER(TRIM('Raw Sales'!H1744))</x:f>
        <x:v>Online</x:v>
      </x:c>
      <x:c r="L1744" s="84" t="str">
        <x:f>'Raw Sales'!I1744</x:f>
        <x:v>CARE-001</x:v>
      </x:c>
      <x:c r="M1744" s="84" t="str">
        <x:f>IFERROR(VLOOKUP(L1744,'Reference Data'!$A$5:$F$40,2,FALSE),"Unknown Product")</x:f>
        <x:v>Ionic Hair Dryer</x:v>
      </x:c>
      <x:c r="N1744" s="84" t="str">
        <x:f>IFERROR(VLOOKUP(L1744,'Reference Data'!$A$5:$F$40,3,FALSE),"Unknown")</x:f>
        <x:v>Personal Care</x:v>
      </x:c>
      <x:c r="O1744" s="84" t="str">
        <x:f>IFERROR(VLOOKUP(L1744,'Reference Data'!$A$5:$F$40,4,FALSE),"Unknown")</x:f>
        <x:v>Hair Care</x:v>
      </x:c>
      <x:c r="P1744" s="92" t="n">
        <x:f>IFERROR(VLOOKUP(L1744,'Reference Data'!$A$5:$F$40,5,FALSE),0)</x:f>
        <x:v>54</x:v>
      </x:c>
      <x:c r="Q1744" s="92" t="n">
        <x:f>IFERROR(VLOOKUP(L1744,'Reference Data'!$A$5:$F$40,6,FALSE),0)</x:f>
        <x:v>25</x:v>
      </x:c>
      <x:c r="R1744" s="84" t="n">
        <x:f>'Raw Sales'!J1744</x:f>
        <x:v>2</x:v>
      </x:c>
      <x:c r="S1744" s="87" t="n">
        <x:f>'Raw Sales'!K1744</x:f>
        <x:v>0</x:v>
      </x:c>
      <x:c r="T1744" s="93" t="n">
        <x:f>P1744*R1744</x:f>
        <x:v>108</x:v>
      </x:c>
      <x:c r="U1744" s="93" t="n">
        <x:f>T1744*S1744</x:f>
        <x:v>0</x:v>
      </x:c>
      <x:c r="V1744" s="93" t="str">
        <x:f>PROPER(TRIM('Raw Sales'!L1744))</x:f>
        <x:v>Completed</x:v>
      </x:c>
      <x:c r="W1744" s="93" t="n">
        <x:f>IF(V1744="Returned",0,T1744-U1744)</x:f>
        <x:v>108</x:v>
      </x:c>
      <x:c r="X1744" s="93" t="n">
        <x:f>IF(V1744="Returned",Q1744*R1744*10%,Q1744*R1744)</x:f>
        <x:v>50</x:v>
      </x:c>
      <x:c r="Y1744" s="93" t="n">
        <x:f>W1744-X1744</x:f>
        <x:v>58</x:v>
      </x:c>
      <x:c r="Z1744" s="94" t="n">
        <x:f>IFERROR(Y1744/W1744,0)</x:f>
        <x:v>0.5370370370370371</x:v>
      </x:c>
      <x:c r="AA1744" s="84" t="str">
        <x:f>PROPER(TRIM('Raw Sales'!M1744))</x:f>
        <x:v>Debit Card</x:v>
      </x:c>
      <x:c r="AB1744" s="84" t="str">
        <x:f>PROPER(TRIM('Raw Sales'!N1744))</x:f>
        <x:v>Maya Brooks</x:v>
      </x:c>
      <x:c r="AC1744" s="85" t="n">
        <x:f>'Raw Sales'!O1744</x:f>
        <x:v>45866</x:v>
      </x:c>
      <x:c r="AD1744" s="84" t="n">
        <x:f>AC1744-B1744</x:f>
        <x:v>3</x:v>
      </x:c>
      <x:c r="AE1744" s="84" t="str">
        <x:f>IF(COUNTIF($A$5:A1744,A1744)&gt;1,"Duplicate","Keep")</x:f>
        <x:v>Keep</x:v>
      </x:c>
      <x:c r="AF1744" s="84" t="str">
        <x:f>IF(OR(R1744&lt;=0,AC1744&lt;B1744,H1744="Unknown",M1744="Unknown Product"),"Review","Valid")</x:f>
        <x:v>Valid</x:v>
      </x:c>
      <x:c r="AG1744" s="84" t="n">
        <x:f>IF(AND(AE1744="Keep",AF1744="Valid"),1,0)</x:f>
        <x:v>1</x:v>
      </x:c>
      <x:c r="AH1744" s="84" t="n">
        <x:f>IF(AND(AG1744=1,OR('Dashboard'!$B$4="All",I1744='Dashboard'!$B$4),OR('Dashboard'!$E$4="All",N1744='Dashboard'!$E$4),OR('Dashboard'!$H$4="All",K1744='Dashboard'!$H$4),OR('Dashboard'!$K$4="All",C1744='Dashboard'!$K$4)),1,0)</x:f>
        <x:v>1</x:v>
      </x:c>
      <x:c r="AI1744" s="84" t="n">
        <x:f>IF(AND(AG1744=1,OR('Dashboard'!$B$4="All",I1744='Dashboard'!$B$4),OR('Dashboard'!$E$4="All",N1744='Dashboard'!$E$4),OR('Dashboard'!$H$4="All",K1744='Dashboard'!$H$4)),1,0)</x:f>
        <x:v>1</x:v>
      </x:c>
    </x:row>
    <x:row r="1745">
      <x:c r="A1745" s="84" t="str">
        <x:f>'Raw Sales'!A1745</x:f>
        <x:v>ORD-2025-01907</x:v>
      </x:c>
      <x:c r="B1745" s="85" t="n">
        <x:f>'Raw Sales'!B1745</x:f>
        <x:v>45863</x:v>
      </x:c>
      <x:c r="C1745" s="84" t="n">
        <x:f>YEAR(B1745)</x:f>
        <x:v>2025</x:v>
      </x:c>
      <x:c r="D1745" s="91" t="n">
        <x:f>DATE(YEAR(B1745),MONTH(B1745),1)</x:f>
        <x:v>45839</x:v>
      </x:c>
      <x:c r="E1745" s="84" t="str">
        <x:f>TEXT(B1745,"mmm")</x:f>
        <x:v>Jul</x:v>
      </x:c>
      <x:c r="F1745" s="84" t="str">
        <x:f>'Raw Sales'!C1745</x:f>
        <x:v>CUST-0111</x:v>
      </x:c>
      <x:c r="G1745" s="84" t="str">
        <x:f>PROPER(TRIM('Raw Sales'!D1745))</x:f>
        <x:v>Elias Evans</x:v>
      </x:c>
      <x:c r="H1745" s="84" t="str">
        <x:f>IF(TRIM('Raw Sales'!E1745)="","Unknown",PROPER(TRIM('Raw Sales'!E1745)))</x:f>
        <x:v>Small Business</x:v>
      </x:c>
      <x:c r="I1745" s="84" t="str">
        <x:f>PROPER(TRIM('Raw Sales'!F1745))</x:f>
        <x:v>Northeast</x:v>
      </x:c>
      <x:c r="J1745" s="84" t="str">
        <x:f>PROPER(TRIM('Raw Sales'!G1745))</x:f>
        <x:v>New York</x:v>
      </x:c>
      <x:c r="K1745" s="84" t="str">
        <x:f>PROPER(TRIM('Raw Sales'!H1745))</x:f>
        <x:v>Retail Store</x:v>
      </x:c>
      <x:c r="L1745" s="84" t="str">
        <x:f>'Raw Sales'!I1745</x:f>
        <x:v>HOME-004</x:v>
      </x:c>
      <x:c r="M1745" s="84" t="str">
        <x:f>IFERROR(VLOOKUP(L1745,'Reference Data'!$A$5:$F$40,2,FALSE),"Unknown Product")</x:f>
        <x:v>Coffee Maker</x:v>
      </x:c>
      <x:c r="N1745" s="84" t="str">
        <x:f>IFERROR(VLOOKUP(L1745,'Reference Data'!$A$5:$F$40,3,FALSE),"Unknown")</x:f>
        <x:v>Home &amp; Kitchen</x:v>
      </x:c>
      <x:c r="O1745" s="84" t="str">
        <x:f>IFERROR(VLOOKUP(L1745,'Reference Data'!$A$5:$F$40,4,FALSE),"Unknown")</x:f>
        <x:v>Small Appliances</x:v>
      </x:c>
      <x:c r="P1745" s="92" t="n">
        <x:f>IFERROR(VLOOKUP(L1745,'Reference Data'!$A$5:$F$40,5,FALSE),0)</x:f>
        <x:v>99</x:v>
      </x:c>
      <x:c r="Q1745" s="92" t="n">
        <x:f>IFERROR(VLOOKUP(L1745,'Reference Data'!$A$5:$F$40,6,FALSE),0)</x:f>
        <x:v>51</x:v>
      </x:c>
      <x:c r="R1745" s="84" t="n">
        <x:f>'Raw Sales'!J1745</x:f>
        <x:v>1</x:v>
      </x:c>
      <x:c r="S1745" s="87" t="n">
        <x:f>'Raw Sales'!K1745</x:f>
        <x:v>0.1</x:v>
      </x:c>
      <x:c r="T1745" s="93" t="n">
        <x:f>P1745*R1745</x:f>
        <x:v>99</x:v>
      </x:c>
      <x:c r="U1745" s="93" t="n">
        <x:f>T1745*S1745</x:f>
        <x:v>9.9</x:v>
      </x:c>
      <x:c r="V1745" s="93" t="str">
        <x:f>PROPER(TRIM('Raw Sales'!L1745))</x:f>
        <x:v>Completed</x:v>
      </x:c>
      <x:c r="W1745" s="93" t="n">
        <x:f>IF(V1745="Returned",0,T1745-U1745)</x:f>
        <x:v>89.1</x:v>
      </x:c>
      <x:c r="X1745" s="93" t="n">
        <x:f>IF(V1745="Returned",Q1745*R1745*10%,Q1745*R1745)</x:f>
        <x:v>51</x:v>
      </x:c>
      <x:c r="Y1745" s="93" t="n">
        <x:f>W1745-X1745</x:f>
        <x:v>38.099999999999994</x:v>
      </x:c>
      <x:c r="Z1745" s="94" t="n">
        <x:f>IFERROR(Y1745/W1745,0)</x:f>
        <x:v>0.42760942760942755</x:v>
      </x:c>
      <x:c r="AA1745" s="84" t="str">
        <x:f>PROPER(TRIM('Raw Sales'!M1745))</x:f>
        <x:v>Credit Card</x:v>
      </x:c>
      <x:c r="AB1745" s="84" t="str">
        <x:f>PROPER(TRIM('Raw Sales'!N1745))</x:f>
        <x:v>Sofia Bennett</x:v>
      </x:c>
      <x:c r="AC1745" s="85" t="n">
        <x:f>'Raw Sales'!O1745</x:f>
        <x:v>45863</x:v>
      </x:c>
      <x:c r="AD1745" s="84" t="n">
        <x:f>AC1745-B1745</x:f>
        <x:v>0</x:v>
      </x:c>
      <x:c r="AE1745" s="84" t="str">
        <x:f>IF(COUNTIF($A$5:A1745,A1745)&gt;1,"Duplicate","Keep")</x:f>
        <x:v>Keep</x:v>
      </x:c>
      <x:c r="AF1745" s="84" t="str">
        <x:f>IF(OR(R1745&lt;=0,AC1745&lt;B1745,H1745="Unknown",M1745="Unknown Product"),"Review","Valid")</x:f>
        <x:v>Valid</x:v>
      </x:c>
      <x:c r="AG1745" s="84" t="n">
        <x:f>IF(AND(AE1745="Keep",AF1745="Valid"),1,0)</x:f>
        <x:v>1</x:v>
      </x:c>
      <x:c r="AH1745" s="84" t="n">
        <x:f>IF(AND(AG1745=1,OR('Dashboard'!$B$4="All",I1745='Dashboard'!$B$4),OR('Dashboard'!$E$4="All",N1745='Dashboard'!$E$4),OR('Dashboard'!$H$4="All",K1745='Dashboard'!$H$4),OR('Dashboard'!$K$4="All",C1745='Dashboard'!$K$4)),1,0)</x:f>
        <x:v>1</x:v>
      </x:c>
      <x:c r="AI1745" s="84" t="n">
        <x:f>IF(AND(AG1745=1,OR('Dashboard'!$B$4="All",I1745='Dashboard'!$B$4),OR('Dashboard'!$E$4="All",N1745='Dashboard'!$E$4),OR('Dashboard'!$H$4="All",K1745='Dashboard'!$H$4)),1,0)</x:f>
        <x:v>1</x:v>
      </x:c>
    </x:row>
    <x:row r="1746">
      <x:c r="A1746" s="84" t="str">
        <x:f>'Raw Sales'!A1746</x:f>
        <x:v>ORD-2025-01097</x:v>
      </x:c>
      <x:c r="B1746" s="85" t="n">
        <x:f>'Raw Sales'!B1746</x:f>
        <x:v>45864</x:v>
      </x:c>
      <x:c r="C1746" s="84" t="n">
        <x:f>YEAR(B1746)</x:f>
        <x:v>2025</x:v>
      </x:c>
      <x:c r="D1746" s="91" t="n">
        <x:f>DATE(YEAR(B1746),MONTH(B1746),1)</x:f>
        <x:v>45839</x:v>
      </x:c>
      <x:c r="E1746" s="84" t="str">
        <x:f>TEXT(B1746,"mmm")</x:f>
        <x:v>Jul</x:v>
      </x:c>
      <x:c r="F1746" s="84" t="str">
        <x:f>'Raw Sales'!C1746</x:f>
        <x:v>CUST-0568</x:v>
      </x:c>
      <x:c r="G1746" s="84" t="str">
        <x:f>PROPER(TRIM('Raw Sales'!D1746))</x:f>
        <x:v>Owen Carter</x:v>
      </x:c>
      <x:c r="H1746" s="84" t="str">
        <x:f>IF(TRIM('Raw Sales'!E1746)="","Unknown",PROPER(TRIM('Raw Sales'!E1746)))</x:f>
        <x:v>Consumer</x:v>
      </x:c>
      <x:c r="I1746" s="84" t="str">
        <x:f>PROPER(TRIM('Raw Sales'!F1746))</x:f>
        <x:v>Southeast</x:v>
      </x:c>
      <x:c r="J1746" s="84" t="str">
        <x:f>PROPER(TRIM('Raw Sales'!G1746))</x:f>
        <x:v>Miami</x:v>
      </x:c>
      <x:c r="K1746" s="84" t="str">
        <x:f>PROPER(TRIM('Raw Sales'!H1746))</x:f>
        <x:v>Marketplace</x:v>
      </x:c>
      <x:c r="L1746" s="84" t="str">
        <x:f>'Raw Sales'!I1746</x:f>
        <x:v>ELEC-005</x:v>
      </x:c>
      <x:c r="M1746" s="84" t="str">
        <x:f>IFERROR(VLOOKUP(L1746,'Reference Data'!$A$5:$F$40,2,FALSE),"Unknown Product")</x:f>
        <x:v>HD Webcam</x:v>
      </x:c>
      <x:c r="N1746" s="84" t="str">
        <x:f>IFERROR(VLOOKUP(L1746,'Reference Data'!$A$5:$F$40,3,FALSE),"Unknown")</x:f>
        <x:v>Electronics</x:v>
      </x:c>
      <x:c r="O1746" s="84" t="str">
        <x:f>IFERROR(VLOOKUP(L1746,'Reference Data'!$A$5:$F$40,4,FALSE),"Unknown")</x:f>
        <x:v>Computer Accessories</x:v>
      </x:c>
      <x:c r="P1746" s="92" t="n">
        <x:f>IFERROR(VLOOKUP(L1746,'Reference Data'!$A$5:$F$40,5,FALSE),0)</x:f>
        <x:v>79</x:v>
      </x:c>
      <x:c r="Q1746" s="92" t="n">
        <x:f>IFERROR(VLOOKUP(L1746,'Reference Data'!$A$5:$F$40,6,FALSE),0)</x:f>
        <x:v>37</x:v>
      </x:c>
      <x:c r="R1746" s="84" t="n">
        <x:f>'Raw Sales'!J1746</x:f>
        <x:v>4</x:v>
      </x:c>
      <x:c r="S1746" s="87" t="n">
        <x:f>'Raw Sales'!K1746</x:f>
        <x:v>0.05</x:v>
      </x:c>
      <x:c r="T1746" s="93" t="n">
        <x:f>P1746*R1746</x:f>
        <x:v>316</x:v>
      </x:c>
      <x:c r="U1746" s="93" t="n">
        <x:f>T1746*S1746</x:f>
        <x:v>15.8</x:v>
      </x:c>
      <x:c r="V1746" s="93" t="str">
        <x:f>PROPER(TRIM('Raw Sales'!L1746))</x:f>
        <x:v>Completed</x:v>
      </x:c>
      <x:c r="W1746" s="93" t="n">
        <x:f>IF(V1746="Returned",0,T1746-U1746)</x:f>
        <x:v>300.2</x:v>
      </x:c>
      <x:c r="X1746" s="93" t="n">
        <x:f>IF(V1746="Returned",Q1746*R1746*10%,Q1746*R1746)</x:f>
        <x:v>148</x:v>
      </x:c>
      <x:c r="Y1746" s="93" t="n">
        <x:f>W1746-X1746</x:f>
        <x:v>152.2</x:v>
      </x:c>
      <x:c r="Z1746" s="94" t="n">
        <x:f>IFERROR(Y1746/W1746,0)</x:f>
        <x:v>0.5069953364423717</x:v>
      </x:c>
      <x:c r="AA1746" s="84" t="str">
        <x:f>PROPER(TRIM('Raw Sales'!M1746))</x:f>
        <x:v>Credit Card</x:v>
      </x:c>
      <x:c r="AB1746" s="84" t="str">
        <x:f>PROPER(TRIM('Raw Sales'!N1746))</x:f>
        <x:v>Ava Mitchell</x:v>
      </x:c>
      <x:c r="AC1746" s="85" t="n">
        <x:f>'Raw Sales'!O1746</x:f>
        <x:v>45869</x:v>
      </x:c>
      <x:c r="AD1746" s="84" t="n">
        <x:f>AC1746-B1746</x:f>
        <x:v>5</x:v>
      </x:c>
      <x:c r="AE1746" s="84" t="str">
        <x:f>IF(COUNTIF($A$5:A1746,A1746)&gt;1,"Duplicate","Keep")</x:f>
        <x:v>Keep</x:v>
      </x:c>
      <x:c r="AF1746" s="84" t="str">
        <x:f>IF(OR(R1746&lt;=0,AC1746&lt;B1746,H1746="Unknown",M1746="Unknown Product"),"Review","Valid")</x:f>
        <x:v>Valid</x:v>
      </x:c>
      <x:c r="AG1746" s="84" t="n">
        <x:f>IF(AND(AE1746="Keep",AF1746="Valid"),1,0)</x:f>
        <x:v>1</x:v>
      </x:c>
      <x:c r="AH1746" s="84" t="n">
        <x:f>IF(AND(AG1746=1,OR('Dashboard'!$B$4="All",I1746='Dashboard'!$B$4),OR('Dashboard'!$E$4="All",N1746='Dashboard'!$E$4),OR('Dashboard'!$H$4="All",K1746='Dashboard'!$H$4),OR('Dashboard'!$K$4="All",C1746='Dashboard'!$K$4)),1,0)</x:f>
        <x:v>1</x:v>
      </x:c>
      <x:c r="AI1746" s="84" t="n">
        <x:f>IF(AND(AG1746=1,OR('Dashboard'!$B$4="All",I1746='Dashboard'!$B$4),OR('Dashboard'!$E$4="All",N1746='Dashboard'!$E$4),OR('Dashboard'!$H$4="All",K1746='Dashboard'!$H$4)),1,0)</x:f>
        <x:v>1</x:v>
      </x:c>
    </x:row>
    <x:row r="1747">
      <x:c r="A1747" s="84" t="str">
        <x:f>'Raw Sales'!A1747</x:f>
        <x:v>ORD-2025-01344</x:v>
      </x:c>
      <x:c r="B1747" s="85" t="n">
        <x:f>'Raw Sales'!B1747</x:f>
        <x:v>45864</x:v>
      </x:c>
      <x:c r="C1747" s="84" t="n">
        <x:f>YEAR(B1747)</x:f>
        <x:v>2025</x:v>
      </x:c>
      <x:c r="D1747" s="91" t="n">
        <x:f>DATE(YEAR(B1747),MONTH(B1747),1)</x:f>
        <x:v>45839</x:v>
      </x:c>
      <x:c r="E1747" s="84" t="str">
        <x:f>TEXT(B1747,"mmm")</x:f>
        <x:v>Jul</x:v>
      </x:c>
      <x:c r="F1747" s="84" t="str">
        <x:f>'Raw Sales'!C1747</x:f>
        <x:v>CUST-0157</x:v>
      </x:c>
      <x:c r="G1747" s="84" t="str">
        <x:f>PROPER(TRIM('Raw Sales'!D1747))</x:f>
        <x:v>Isaac Smith</x:v>
      </x:c>
      <x:c r="H1747" s="84" t="str">
        <x:f>IF(TRIM('Raw Sales'!E1747)="","Unknown",PROPER(TRIM('Raw Sales'!E1747)))</x:f>
        <x:v>Corporate</x:v>
      </x:c>
      <x:c r="I1747" s="84" t="str">
        <x:f>PROPER(TRIM('Raw Sales'!F1747))</x:f>
        <x:v>West</x:v>
      </x:c>
      <x:c r="J1747" s="84" t="str">
        <x:f>PROPER(TRIM('Raw Sales'!G1747))</x:f>
        <x:v>Los Angeles</x:v>
      </x:c>
      <x:c r="K1747" s="84" t="str">
        <x:f>PROPER(TRIM('Raw Sales'!H1747))</x:f>
        <x:v>Retail Store</x:v>
      </x:c>
      <x:c r="L1747" s="84" t="str">
        <x:f>'Raw Sales'!I1747</x:f>
        <x:v>FITN-003</x:v>
      </x:c>
      <x:c r="M1747" s="84" t="str">
        <x:f>IFERROR(VLOOKUP(L1747,'Reference Data'!$A$5:$F$40,2,FALSE),"Unknown Product")</x:f>
        <x:v>Resistance Band Set</x:v>
      </x:c>
      <x:c r="N1747" s="84" t="str">
        <x:f>IFERROR(VLOOKUP(L1747,'Reference Data'!$A$5:$F$40,3,FALSE),"Unknown")</x:f>
        <x:v>Fitness</x:v>
      </x:c>
      <x:c r="O1747" s="84" t="str">
        <x:f>IFERROR(VLOOKUP(L1747,'Reference Data'!$A$5:$F$40,4,FALSE),"Unknown")</x:f>
        <x:v>Strength</x:v>
      </x:c>
      <x:c r="P1747" s="92" t="n">
        <x:f>IFERROR(VLOOKUP(L1747,'Reference Data'!$A$5:$F$40,5,FALSE),0)</x:f>
        <x:v>24</x:v>
      </x:c>
      <x:c r="Q1747" s="92" t="n">
        <x:f>IFERROR(VLOOKUP(L1747,'Reference Data'!$A$5:$F$40,6,FALSE),0)</x:f>
        <x:v>8</x:v>
      </x:c>
      <x:c r="R1747" s="84" t="n">
        <x:f>'Raw Sales'!J1747</x:f>
        <x:v>2</x:v>
      </x:c>
      <x:c r="S1747" s="87" t="n">
        <x:f>'Raw Sales'!K1747</x:f>
        <x:v>0.05</x:v>
      </x:c>
      <x:c r="T1747" s="93" t="n">
        <x:f>P1747*R1747</x:f>
        <x:v>48</x:v>
      </x:c>
      <x:c r="U1747" s="93" t="n">
        <x:f>T1747*S1747</x:f>
        <x:v>2.4000000000000004</x:v>
      </x:c>
      <x:c r="V1747" s="93" t="str">
        <x:f>PROPER(TRIM('Raw Sales'!L1747))</x:f>
        <x:v>Completed</x:v>
      </x:c>
      <x:c r="W1747" s="93" t="n">
        <x:f>IF(V1747="Returned",0,T1747-U1747)</x:f>
        <x:v>45.6</x:v>
      </x:c>
      <x:c r="X1747" s="93" t="n">
        <x:f>IF(V1747="Returned",Q1747*R1747*10%,Q1747*R1747)</x:f>
        <x:v>16</x:v>
      </x:c>
      <x:c r="Y1747" s="93" t="n">
        <x:f>W1747-X1747</x:f>
        <x:v>29.6</x:v>
      </x:c>
      <x:c r="Z1747" s="94" t="n">
        <x:f>IFERROR(Y1747/W1747,0)</x:f>
        <x:v>0.6491228070175439</x:v>
      </x:c>
      <x:c r="AA1747" s="84" t="str">
        <x:f>PROPER(TRIM('Raw Sales'!M1747))</x:f>
        <x:v>Credit Card</x:v>
      </x:c>
      <x:c r="AB1747" s="84" t="str">
        <x:f>PROPER(TRIM('Raw Sales'!N1747))</x:f>
        <x:v>Nora Kim</x:v>
      </x:c>
      <x:c r="AC1747" s="85" t="n">
        <x:f>'Raw Sales'!O1747</x:f>
        <x:v>45864</x:v>
      </x:c>
      <x:c r="AD1747" s="84" t="n">
        <x:f>AC1747-B1747</x:f>
        <x:v>0</x:v>
      </x:c>
      <x:c r="AE1747" s="84" t="str">
        <x:f>IF(COUNTIF($A$5:A1747,A1747)&gt;1,"Duplicate","Keep")</x:f>
        <x:v>Keep</x:v>
      </x:c>
      <x:c r="AF1747" s="84" t="str">
        <x:f>IF(OR(R1747&lt;=0,AC1747&lt;B1747,H1747="Unknown",M1747="Unknown Product"),"Review","Valid")</x:f>
        <x:v>Valid</x:v>
      </x:c>
      <x:c r="AG1747" s="84" t="n">
        <x:f>IF(AND(AE1747="Keep",AF1747="Valid"),1,0)</x:f>
        <x:v>1</x:v>
      </x:c>
      <x:c r="AH1747" s="84" t="n">
        <x:f>IF(AND(AG1747=1,OR('Dashboard'!$B$4="All",I1747='Dashboard'!$B$4),OR('Dashboard'!$E$4="All",N1747='Dashboard'!$E$4),OR('Dashboard'!$H$4="All",K1747='Dashboard'!$H$4),OR('Dashboard'!$K$4="All",C1747='Dashboard'!$K$4)),1,0)</x:f>
        <x:v>1</x:v>
      </x:c>
      <x:c r="AI1747" s="84" t="n">
        <x:f>IF(AND(AG1747=1,OR('Dashboard'!$B$4="All",I1747='Dashboard'!$B$4),OR('Dashboard'!$E$4="All",N1747='Dashboard'!$E$4),OR('Dashboard'!$H$4="All",K1747='Dashboard'!$H$4)),1,0)</x:f>
        <x:v>1</x:v>
      </x:c>
    </x:row>
    <x:row r="1748">
      <x:c r="A1748" s="84" t="str">
        <x:f>'Raw Sales'!A1748</x:f>
        <x:v>ORD-2025-01894</x:v>
      </x:c>
      <x:c r="B1748" s="85" t="n">
        <x:f>'Raw Sales'!B1748</x:f>
        <x:v>45864</x:v>
      </x:c>
      <x:c r="C1748" s="84" t="n">
        <x:f>YEAR(B1748)</x:f>
        <x:v>2025</x:v>
      </x:c>
      <x:c r="D1748" s="91" t="n">
        <x:f>DATE(YEAR(B1748),MONTH(B1748),1)</x:f>
        <x:v>45839</x:v>
      </x:c>
      <x:c r="E1748" s="84" t="str">
        <x:f>TEXT(B1748,"mmm")</x:f>
        <x:v>Jul</x:v>
      </x:c>
      <x:c r="F1748" s="84" t="str">
        <x:f>'Raw Sales'!C1748</x:f>
        <x:v>CUST-0450</x:v>
      </x:c>
      <x:c r="G1748" s="84" t="str">
        <x:f>PROPER(TRIM('Raw Sales'!D1748))</x:f>
        <x:v>Samuel Garcia</x:v>
      </x:c>
      <x:c r="H1748" s="84" t="str">
        <x:f>IF(TRIM('Raw Sales'!E1748)="","Unknown",PROPER(TRIM('Raw Sales'!E1748)))</x:f>
        <x:v>Small Business</x:v>
      </x:c>
      <x:c r="I1748" s="84" t="str">
        <x:f>PROPER(TRIM('Raw Sales'!F1748))</x:f>
        <x:v>West</x:v>
      </x:c>
      <x:c r="J1748" s="84" t="str">
        <x:f>PROPER(TRIM('Raw Sales'!G1748))</x:f>
        <x:v>Seattle</x:v>
      </x:c>
      <x:c r="K1748" s="84" t="str">
        <x:f>PROPER(TRIM('Raw Sales'!H1748))</x:f>
        <x:v>Retail Store</x:v>
      </x:c>
      <x:c r="L1748" s="84" t="str">
        <x:f>'Raw Sales'!I1748</x:f>
        <x:v>HOME-005</x:v>
      </x:c>
      <x:c r="M1748" s="84" t="str">
        <x:f>IFERROR(VLOOKUP(L1748,'Reference Data'!$A$5:$F$40,2,FALSE),"Unknown Product")</x:f>
        <x:v>Cordless Vacuum</x:v>
      </x:c>
      <x:c r="N1748" s="84" t="str">
        <x:f>IFERROR(VLOOKUP(L1748,'Reference Data'!$A$5:$F$40,3,FALSE),"Unknown")</x:f>
        <x:v>Home &amp; Kitchen</x:v>
      </x:c>
      <x:c r="O1748" s="84" t="str">
        <x:f>IFERROR(VLOOKUP(L1748,'Reference Data'!$A$5:$F$40,4,FALSE),"Unknown")</x:f>
        <x:v>Cleaning</x:v>
      </x:c>
      <x:c r="P1748" s="92" t="n">
        <x:f>IFERROR(VLOOKUP(L1748,'Reference Data'!$A$5:$F$40,5,FALSE),0)</x:f>
        <x:v>179</x:v>
      </x:c>
      <x:c r="Q1748" s="92" t="n">
        <x:f>IFERROR(VLOOKUP(L1748,'Reference Data'!$A$5:$F$40,6,FALSE),0)</x:f>
        <x:v>102</x:v>
      </x:c>
      <x:c r="R1748" s="84" t="n">
        <x:f>'Raw Sales'!J1748</x:f>
        <x:v>1</x:v>
      </x:c>
      <x:c r="S1748" s="87" t="n">
        <x:f>'Raw Sales'!K1748</x:f>
        <x:v>0.2</x:v>
      </x:c>
      <x:c r="T1748" s="93" t="n">
        <x:f>P1748*R1748</x:f>
        <x:v>179</x:v>
      </x:c>
      <x:c r="U1748" s="93" t="n">
        <x:f>T1748*S1748</x:f>
        <x:v>35.800000000000004</x:v>
      </x:c>
      <x:c r="V1748" s="93" t="str">
        <x:f>PROPER(TRIM('Raw Sales'!L1748))</x:f>
        <x:v>Completed</x:v>
      </x:c>
      <x:c r="W1748" s="93" t="n">
        <x:f>IF(V1748="Returned",0,T1748-U1748)</x:f>
        <x:v>143.2</x:v>
      </x:c>
      <x:c r="X1748" s="93" t="n">
        <x:f>IF(V1748="Returned",Q1748*R1748*10%,Q1748*R1748)</x:f>
        <x:v>102</x:v>
      </x:c>
      <x:c r="Y1748" s="93" t="n">
        <x:f>W1748-X1748</x:f>
        <x:v>41.19999999999999</x:v>
      </x:c>
      <x:c r="Z1748" s="94" t="n">
        <x:f>IFERROR(Y1748/W1748,0)</x:f>
        <x:v>0.28770949720670386</x:v>
      </x:c>
      <x:c r="AA1748" s="84" t="str">
        <x:f>PROPER(TRIM('Raw Sales'!M1748))</x:f>
        <x:v>Mobile Wallet</x:v>
      </x:c>
      <x:c r="AB1748" s="84" t="str">
        <x:f>PROPER(TRIM('Raw Sales'!N1748))</x:f>
        <x:v>Nora Kim</x:v>
      </x:c>
      <x:c r="AC1748" s="85" t="n">
        <x:f>'Raw Sales'!O1748</x:f>
        <x:v>45864</x:v>
      </x:c>
      <x:c r="AD1748" s="84" t="n">
        <x:f>AC1748-B1748</x:f>
        <x:v>0</x:v>
      </x:c>
      <x:c r="AE1748" s="84" t="str">
        <x:f>IF(COUNTIF($A$5:A1748,A1748)&gt;1,"Duplicate","Keep")</x:f>
        <x:v>Keep</x:v>
      </x:c>
      <x:c r="AF1748" s="84" t="str">
        <x:f>IF(OR(R1748&lt;=0,AC1748&lt;B1748,H1748="Unknown",M1748="Unknown Product"),"Review","Valid")</x:f>
        <x:v>Valid</x:v>
      </x:c>
      <x:c r="AG1748" s="84" t="n">
        <x:f>IF(AND(AE1748="Keep",AF1748="Valid"),1,0)</x:f>
        <x:v>1</x:v>
      </x:c>
      <x:c r="AH1748" s="84" t="n">
        <x:f>IF(AND(AG1748=1,OR('Dashboard'!$B$4="All",I1748='Dashboard'!$B$4),OR('Dashboard'!$E$4="All",N1748='Dashboard'!$E$4),OR('Dashboard'!$H$4="All",K1748='Dashboard'!$H$4),OR('Dashboard'!$K$4="All",C1748='Dashboard'!$K$4)),1,0)</x:f>
        <x:v>1</x:v>
      </x:c>
      <x:c r="AI1748" s="84" t="n">
        <x:f>IF(AND(AG1748=1,OR('Dashboard'!$B$4="All",I1748='Dashboard'!$B$4),OR('Dashboard'!$E$4="All",N1748='Dashboard'!$E$4),OR('Dashboard'!$H$4="All",K1748='Dashboard'!$H$4)),1,0)</x:f>
        <x:v>1</x:v>
      </x:c>
    </x:row>
    <x:row r="1749">
      <x:c r="A1749" s="84" t="str">
        <x:f>'Raw Sales'!A1749</x:f>
        <x:v>ORD-2025-02088</x:v>
      </x:c>
      <x:c r="B1749" s="85" t="n">
        <x:f>'Raw Sales'!B1749</x:f>
        <x:v>45864</x:v>
      </x:c>
      <x:c r="C1749" s="84" t="n">
        <x:f>YEAR(B1749)</x:f>
        <x:v>2025</x:v>
      </x:c>
      <x:c r="D1749" s="91" t="n">
        <x:f>DATE(YEAR(B1749),MONTH(B1749),1)</x:f>
        <x:v>45839</x:v>
      </x:c>
      <x:c r="E1749" s="84" t="str">
        <x:f>TEXT(B1749,"mmm")</x:f>
        <x:v>Jul</x:v>
      </x:c>
      <x:c r="F1749" s="84" t="str">
        <x:f>'Raw Sales'!C1749</x:f>
        <x:v>CUST-0478</x:v>
      </x:c>
      <x:c r="G1749" s="84" t="str">
        <x:f>PROPER(TRIM('Raw Sales'!D1749))</x:f>
        <x:v>Owen Smith</x:v>
      </x:c>
      <x:c r="H1749" s="84" t="str">
        <x:f>IF(TRIM('Raw Sales'!E1749)="","Unknown",PROPER(TRIM('Raw Sales'!E1749)))</x:f>
        <x:v>Small Business</x:v>
      </x:c>
      <x:c r="I1749" s="84" t="str">
        <x:f>PROPER(TRIM('Raw Sales'!F1749))</x:f>
        <x:v>Northeast</x:v>
      </x:c>
      <x:c r="J1749" s="84" t="str">
        <x:f>PROPER(TRIM('Raw Sales'!G1749))</x:f>
        <x:v>New York</x:v>
      </x:c>
      <x:c r="K1749" s="84" t="str">
        <x:f>PROPER(TRIM('Raw Sales'!H1749))</x:f>
        <x:v>Retail Store</x:v>
      </x:c>
      <x:c r="L1749" s="84" t="str">
        <x:f>'Raw Sales'!I1749</x:f>
        <x:v>ACCS-005</x:v>
      </x:c>
      <x:c r="M1749" s="84" t="str">
        <x:f>IFERROR(VLOOKUP(L1749,'Reference Data'!$A$5:$F$40,2,FALSE),"Unknown Product")</x:f>
        <x:v>Protective Phone Case</x:v>
      </x:c>
      <x:c r="N1749" s="84" t="str">
        <x:f>IFERROR(VLOOKUP(L1749,'Reference Data'!$A$5:$F$40,3,FALSE),"Unknown")</x:f>
        <x:v>Accessories</x:v>
      </x:c>
      <x:c r="O1749" s="84" t="str">
        <x:f>IFERROR(VLOOKUP(L1749,'Reference Data'!$A$5:$F$40,4,FALSE),"Unknown")</x:f>
        <x:v>Mobile Accessories</x:v>
      </x:c>
      <x:c r="P1749" s="92" t="n">
        <x:f>IFERROR(VLOOKUP(L1749,'Reference Data'!$A$5:$F$40,5,FALSE),0)</x:f>
        <x:v>24</x:v>
      </x:c>
      <x:c r="Q1749" s="92" t="n">
        <x:f>IFERROR(VLOOKUP(L1749,'Reference Data'!$A$5:$F$40,6,FALSE),0)</x:f>
        <x:v>5</x:v>
      </x:c>
      <x:c r="R1749" s="84" t="n">
        <x:f>'Raw Sales'!J1749</x:f>
        <x:v>1</x:v>
      </x:c>
      <x:c r="S1749" s="87" t="n">
        <x:f>'Raw Sales'!K1749</x:f>
        <x:v>0</x:v>
      </x:c>
      <x:c r="T1749" s="93" t="n">
        <x:f>P1749*R1749</x:f>
        <x:v>24</x:v>
      </x:c>
      <x:c r="U1749" s="93" t="n">
        <x:f>T1749*S1749</x:f>
        <x:v>0</x:v>
      </x:c>
      <x:c r="V1749" s="93" t="str">
        <x:f>PROPER(TRIM('Raw Sales'!L1749))</x:f>
        <x:v>Completed</x:v>
      </x:c>
      <x:c r="W1749" s="93" t="n">
        <x:f>IF(V1749="Returned",0,T1749-U1749)</x:f>
        <x:v>24</x:v>
      </x:c>
      <x:c r="X1749" s="93" t="n">
        <x:f>IF(V1749="Returned",Q1749*R1749*10%,Q1749*R1749)</x:f>
        <x:v>5</x:v>
      </x:c>
      <x:c r="Y1749" s="93" t="n">
        <x:f>W1749-X1749</x:f>
        <x:v>19</x:v>
      </x:c>
      <x:c r="Z1749" s="94" t="n">
        <x:f>IFERROR(Y1749/W1749,0)</x:f>
        <x:v>0.7916666666666666</x:v>
      </x:c>
      <x:c r="AA1749" s="84" t="str">
        <x:f>PROPER(TRIM('Raw Sales'!M1749))</x:f>
        <x:v>Cash</x:v>
      </x:c>
      <x:c r="AB1749" s="84" t="str">
        <x:f>PROPER(TRIM('Raw Sales'!N1749))</x:f>
        <x:v>Ethan Cole</x:v>
      </x:c>
      <x:c r="AC1749" s="85" t="n">
        <x:f>'Raw Sales'!O1749</x:f>
        <x:v>45864</x:v>
      </x:c>
      <x:c r="AD1749" s="84" t="n">
        <x:f>AC1749-B1749</x:f>
        <x:v>0</x:v>
      </x:c>
      <x:c r="AE1749" s="84" t="str">
        <x:f>IF(COUNTIF($A$5:A1749,A1749)&gt;1,"Duplicate","Keep")</x:f>
        <x:v>Keep</x:v>
      </x:c>
      <x:c r="AF1749" s="84" t="str">
        <x:f>IF(OR(R1749&lt;=0,AC1749&lt;B1749,H1749="Unknown",M1749="Unknown Product"),"Review","Valid")</x:f>
        <x:v>Valid</x:v>
      </x:c>
      <x:c r="AG1749" s="84" t="n">
        <x:f>IF(AND(AE1749="Keep",AF1749="Valid"),1,0)</x:f>
        <x:v>1</x:v>
      </x:c>
      <x:c r="AH1749" s="84" t="n">
        <x:f>IF(AND(AG1749=1,OR('Dashboard'!$B$4="All",I1749='Dashboard'!$B$4),OR('Dashboard'!$E$4="All",N1749='Dashboard'!$E$4),OR('Dashboard'!$H$4="All",K1749='Dashboard'!$H$4),OR('Dashboard'!$K$4="All",C1749='Dashboard'!$K$4)),1,0)</x:f>
        <x:v>1</x:v>
      </x:c>
      <x:c r="AI1749" s="84" t="n">
        <x:f>IF(AND(AG1749=1,OR('Dashboard'!$B$4="All",I1749='Dashboard'!$B$4),OR('Dashboard'!$E$4="All",N1749='Dashboard'!$E$4),OR('Dashboard'!$H$4="All",K1749='Dashboard'!$H$4)),1,0)</x:f>
        <x:v>1</x:v>
      </x:c>
    </x:row>
    <x:row r="1750">
      <x:c r="A1750" s="84" t="str">
        <x:f>'Raw Sales'!A1750</x:f>
        <x:v>ORD-2025-02270</x:v>
      </x:c>
      <x:c r="B1750" s="85" t="n">
        <x:f>'Raw Sales'!B1750</x:f>
        <x:v>45864</x:v>
      </x:c>
      <x:c r="C1750" s="84" t="n">
        <x:f>YEAR(B1750)</x:f>
        <x:v>2025</x:v>
      </x:c>
      <x:c r="D1750" s="91" t="n">
        <x:f>DATE(YEAR(B1750),MONTH(B1750),1)</x:f>
        <x:v>45839</x:v>
      </x:c>
      <x:c r="E1750" s="84" t="str">
        <x:f>TEXT(B1750,"mmm")</x:f>
        <x:v>Jul</x:v>
      </x:c>
      <x:c r="F1750" s="84" t="str">
        <x:f>'Raw Sales'!C1750</x:f>
        <x:v>CUST-0588</x:v>
      </x:c>
      <x:c r="G1750" s="84" t="str">
        <x:f>PROPER(TRIM('Raw Sales'!D1750))</x:f>
        <x:v>Nathan Johnson</x:v>
      </x:c>
      <x:c r="H1750" s="84" t="str">
        <x:f>IF(TRIM('Raw Sales'!E1750)="","Unknown",PROPER(TRIM('Raw Sales'!E1750)))</x:f>
        <x:v>Consumer</x:v>
      </x:c>
      <x:c r="I1750" s="84" t="str">
        <x:f>PROPER(TRIM('Raw Sales'!F1750))</x:f>
        <x:v>Midwest</x:v>
      </x:c>
      <x:c r="J1750" s="84" t="str">
        <x:f>PROPER(TRIM('Raw Sales'!G1750))</x:f>
        <x:v>Detroit</x:v>
      </x:c>
      <x:c r="K1750" s="84" t="str">
        <x:f>PROPER(TRIM('Raw Sales'!H1750))</x:f>
        <x:v>Online</x:v>
      </x:c>
      <x:c r="L1750" s="84" t="str">
        <x:f>'Raw Sales'!I1750</x:f>
        <x:v>OFFC-006</x:v>
      </x:c>
      <x:c r="M1750" s="84" t="str">
        <x:f>IFERROR(VLOOKUP(L1750,'Reference Data'!$A$5:$F$40,2,FALSE),"Unknown Product")</x:f>
        <x:v>Monitor Stand</x:v>
      </x:c>
      <x:c r="N1750" s="84" t="str">
        <x:f>IFERROR(VLOOKUP(L1750,'Reference Data'!$A$5:$F$40,3,FALSE),"Unknown")</x:f>
        <x:v>Office</x:v>
      </x:c>
      <x:c r="O1750" s="84" t="str">
        <x:f>IFERROR(VLOOKUP(L1750,'Reference Data'!$A$5:$F$40,4,FALSE),"Unknown")</x:f>
        <x:v>Desk Accessories</x:v>
      </x:c>
      <x:c r="P1750" s="92" t="n">
        <x:f>IFERROR(VLOOKUP(L1750,'Reference Data'!$A$5:$F$40,5,FALSE),0)</x:f>
        <x:v>49</x:v>
      </x:c>
      <x:c r="Q1750" s="92" t="n">
        <x:f>IFERROR(VLOOKUP(L1750,'Reference Data'!$A$5:$F$40,6,FALSE),0)</x:f>
        <x:v>21</x:v>
      </x:c>
      <x:c r="R1750" s="84" t="n">
        <x:f>'Raw Sales'!J1750</x:f>
        <x:v>2</x:v>
      </x:c>
      <x:c r="S1750" s="87" t="n">
        <x:f>'Raw Sales'!K1750</x:f>
        <x:v>0.05</x:v>
      </x:c>
      <x:c r="T1750" s="93" t="n">
        <x:f>P1750*R1750</x:f>
        <x:v>98</x:v>
      </x:c>
      <x:c r="U1750" s="93" t="n">
        <x:f>T1750*S1750</x:f>
        <x:v>4.9</x:v>
      </x:c>
      <x:c r="V1750" s="93" t="str">
        <x:f>PROPER(TRIM('Raw Sales'!L1750))</x:f>
        <x:v>Completed</x:v>
      </x:c>
      <x:c r="W1750" s="93" t="n">
        <x:f>IF(V1750="Returned",0,T1750-U1750)</x:f>
        <x:v>93.1</x:v>
      </x:c>
      <x:c r="X1750" s="93" t="n">
        <x:f>IF(V1750="Returned",Q1750*R1750*10%,Q1750*R1750)</x:f>
        <x:v>42</x:v>
      </x:c>
      <x:c r="Y1750" s="93" t="n">
        <x:f>W1750-X1750</x:f>
        <x:v>51.099999999999994</x:v>
      </x:c>
      <x:c r="Z1750" s="94" t="n">
        <x:f>IFERROR(Y1750/W1750,0)</x:f>
        <x:v>0.5488721804511278</x:v>
      </x:c>
      <x:c r="AA1750" s="84" t="str">
        <x:f>PROPER(TRIM('Raw Sales'!M1750))</x:f>
        <x:v>Mobile Wallet</x:v>
      </x:c>
      <x:c r="AB1750" s="84" t="str">
        <x:f>PROPER(TRIM('Raw Sales'!N1750))</x:f>
        <x:v>Lucas Grant</x:v>
      </x:c>
      <x:c r="AC1750" s="85" t="n">
        <x:f>'Raw Sales'!O1750</x:f>
        <x:v>45866</x:v>
      </x:c>
      <x:c r="AD1750" s="84" t="n">
        <x:f>AC1750-B1750</x:f>
        <x:v>2</x:v>
      </x:c>
      <x:c r="AE1750" s="84" t="str">
        <x:f>IF(COUNTIF($A$5:A1750,A1750)&gt;1,"Duplicate","Keep")</x:f>
        <x:v>Keep</x:v>
      </x:c>
      <x:c r="AF1750" s="84" t="str">
        <x:f>IF(OR(R1750&lt;=0,AC1750&lt;B1750,H1750="Unknown",M1750="Unknown Product"),"Review","Valid")</x:f>
        <x:v>Valid</x:v>
      </x:c>
      <x:c r="AG1750" s="84" t="n">
        <x:f>IF(AND(AE1750="Keep",AF1750="Valid"),1,0)</x:f>
        <x:v>1</x:v>
      </x:c>
      <x:c r="AH1750" s="84" t="n">
        <x:f>IF(AND(AG1750=1,OR('Dashboard'!$B$4="All",I1750='Dashboard'!$B$4),OR('Dashboard'!$E$4="All",N1750='Dashboard'!$E$4),OR('Dashboard'!$H$4="All",K1750='Dashboard'!$H$4),OR('Dashboard'!$K$4="All",C1750='Dashboard'!$K$4)),1,0)</x:f>
        <x:v>1</x:v>
      </x:c>
      <x:c r="AI1750" s="84" t="n">
        <x:f>IF(AND(AG1750=1,OR('Dashboard'!$B$4="All",I1750='Dashboard'!$B$4),OR('Dashboard'!$E$4="All",N1750='Dashboard'!$E$4),OR('Dashboard'!$H$4="All",K1750='Dashboard'!$H$4)),1,0)</x:f>
        <x:v>1</x:v>
      </x:c>
    </x:row>
    <x:row r="1751">
      <x:c r="A1751" s="84" t="str">
        <x:f>'Raw Sales'!A1751</x:f>
        <x:v>ORD-2025-02306</x:v>
      </x:c>
      <x:c r="B1751" s="85" t="n">
        <x:f>'Raw Sales'!B1751</x:f>
        <x:v>45864</x:v>
      </x:c>
      <x:c r="C1751" s="84" t="n">
        <x:f>YEAR(B1751)</x:f>
        <x:v>2025</x:v>
      </x:c>
      <x:c r="D1751" s="91" t="n">
        <x:f>DATE(YEAR(B1751),MONTH(B1751),1)</x:f>
        <x:v>45839</x:v>
      </x:c>
      <x:c r="E1751" s="84" t="str">
        <x:f>TEXT(B1751,"mmm")</x:f>
        <x:v>Jul</x:v>
      </x:c>
      <x:c r="F1751" s="84" t="str">
        <x:f>'Raw Sales'!C1751</x:f>
        <x:v>CUST-0592</x:v>
      </x:c>
      <x:c r="G1751" s="84" t="str">
        <x:f>PROPER(TRIM('Raw Sales'!D1751))</x:f>
        <x:v>Theo Patel</x:v>
      </x:c>
      <x:c r="H1751" s="84" t="str">
        <x:f>IF(TRIM('Raw Sales'!E1751)="","Unknown",PROPER(TRIM('Raw Sales'!E1751)))</x:f>
        <x:v>Corporate</x:v>
      </x:c>
      <x:c r="I1751" s="84" t="str">
        <x:f>PROPER(TRIM('Raw Sales'!F1751))</x:f>
        <x:v>Southeast</x:v>
      </x:c>
      <x:c r="J1751" s="84" t="str">
        <x:f>PROPER(TRIM('Raw Sales'!G1751))</x:f>
        <x:v>Nashville</x:v>
      </x:c>
      <x:c r="K1751" s="84" t="str">
        <x:f>PROPER(TRIM('Raw Sales'!H1751))</x:f>
        <x:v>Marketplace</x:v>
      </x:c>
      <x:c r="L1751" s="84" t="str">
        <x:f>'Raw Sales'!I1751</x:f>
        <x:v>ELEC-006</x:v>
      </x:c>
      <x:c r="M1751" s="84" t="str">
        <x:f>IFERROR(VLOOKUP(L1751,'Reference Data'!$A$5:$F$40,2,FALSE),"Unknown Product")</x:f>
        <x:v>Portable SSD</x:v>
      </x:c>
      <x:c r="N1751" s="84" t="str">
        <x:f>IFERROR(VLOOKUP(L1751,'Reference Data'!$A$5:$F$40,3,FALSE),"Unknown")</x:f>
        <x:v>Electronics</x:v>
      </x:c>
      <x:c r="O1751" s="84" t="str">
        <x:f>IFERROR(VLOOKUP(L1751,'Reference Data'!$A$5:$F$40,4,FALSE),"Unknown")</x:f>
        <x:v>Storage</x:v>
      </x:c>
      <x:c r="P1751" s="92" t="n">
        <x:f>IFERROR(VLOOKUP(L1751,'Reference Data'!$A$5:$F$40,5,FALSE),0)</x:f>
        <x:v>129</x:v>
      </x:c>
      <x:c r="Q1751" s="92" t="n">
        <x:f>IFERROR(VLOOKUP(L1751,'Reference Data'!$A$5:$F$40,6,FALSE),0)</x:f>
        <x:v>75</x:v>
      </x:c>
      <x:c r="R1751" s="84" t="n">
        <x:f>'Raw Sales'!J1751</x:f>
        <x:v>4</x:v>
      </x:c>
      <x:c r="S1751" s="87" t="n">
        <x:f>'Raw Sales'!K1751</x:f>
        <x:v>0.1</x:v>
      </x:c>
      <x:c r="T1751" s="93" t="n">
        <x:f>P1751*R1751</x:f>
        <x:v>516</x:v>
      </x:c>
      <x:c r="U1751" s="93" t="n">
        <x:f>T1751*S1751</x:f>
        <x:v>51.6</x:v>
      </x:c>
      <x:c r="V1751" s="93" t="str">
        <x:f>PROPER(TRIM('Raw Sales'!L1751))</x:f>
        <x:v>Completed</x:v>
      </x:c>
      <x:c r="W1751" s="93" t="n">
        <x:f>IF(V1751="Returned",0,T1751-U1751)</x:f>
        <x:v>464.4</x:v>
      </x:c>
      <x:c r="X1751" s="93" t="n">
        <x:f>IF(V1751="Returned",Q1751*R1751*10%,Q1751*R1751)</x:f>
        <x:v>300</x:v>
      </x:c>
      <x:c r="Y1751" s="93" t="n">
        <x:f>W1751-X1751</x:f>
        <x:v>164.39999999999998</x:v>
      </x:c>
      <x:c r="Z1751" s="94" t="n">
        <x:f>IFERROR(Y1751/W1751,0)</x:f>
        <x:v>0.3540051679586563</x:v>
      </x:c>
      <x:c r="AA1751" s="84" t="str">
        <x:f>PROPER(TRIM('Raw Sales'!M1751))</x:f>
        <x:v>Credit Card</x:v>
      </x:c>
      <x:c r="AB1751" s="84" t="str">
        <x:f>PROPER(TRIM('Raw Sales'!N1751))</x:f>
        <x:v>Noah Reed</x:v>
      </x:c>
      <x:c r="AC1751" s="85" t="n">
        <x:f>'Raw Sales'!O1751</x:f>
        <x:v>45870</x:v>
      </x:c>
      <x:c r="AD1751" s="84" t="n">
        <x:f>AC1751-B1751</x:f>
        <x:v>6</x:v>
      </x:c>
      <x:c r="AE1751" s="84" t="str">
        <x:f>IF(COUNTIF($A$5:A1751,A1751)&gt;1,"Duplicate","Keep")</x:f>
        <x:v>Keep</x:v>
      </x:c>
      <x:c r="AF1751" s="84" t="str">
        <x:f>IF(OR(R1751&lt;=0,AC1751&lt;B1751,H1751="Unknown",M1751="Unknown Product"),"Review","Valid")</x:f>
        <x:v>Valid</x:v>
      </x:c>
      <x:c r="AG1751" s="84" t="n">
        <x:f>IF(AND(AE1751="Keep",AF1751="Valid"),1,0)</x:f>
        <x:v>1</x:v>
      </x:c>
      <x:c r="AH1751" s="84" t="n">
        <x:f>IF(AND(AG1751=1,OR('Dashboard'!$B$4="All",I1751='Dashboard'!$B$4),OR('Dashboard'!$E$4="All",N1751='Dashboard'!$E$4),OR('Dashboard'!$H$4="All",K1751='Dashboard'!$H$4),OR('Dashboard'!$K$4="All",C1751='Dashboard'!$K$4)),1,0)</x:f>
        <x:v>1</x:v>
      </x:c>
      <x:c r="AI1751" s="84" t="n">
        <x:f>IF(AND(AG1751=1,OR('Dashboard'!$B$4="All",I1751='Dashboard'!$B$4),OR('Dashboard'!$E$4="All",N1751='Dashboard'!$E$4),OR('Dashboard'!$H$4="All",K1751='Dashboard'!$H$4)),1,0)</x:f>
        <x:v>1</x:v>
      </x:c>
    </x:row>
    <x:row r="1752">
      <x:c r="A1752" s="84" t="str">
        <x:f>'Raw Sales'!A1752</x:f>
        <x:v>ORD-2025-01082</x:v>
      </x:c>
      <x:c r="B1752" s="85" t="n">
        <x:f>'Raw Sales'!B1752</x:f>
        <x:v>45865</x:v>
      </x:c>
      <x:c r="C1752" s="84" t="n">
        <x:f>YEAR(B1752)</x:f>
        <x:v>2025</x:v>
      </x:c>
      <x:c r="D1752" s="91" t="n">
        <x:f>DATE(YEAR(B1752),MONTH(B1752),1)</x:f>
        <x:v>45839</x:v>
      </x:c>
      <x:c r="E1752" s="84" t="str">
        <x:f>TEXT(B1752,"mmm")</x:f>
        <x:v>Jul</x:v>
      </x:c>
      <x:c r="F1752" s="84" t="str">
        <x:f>'Raw Sales'!C1752</x:f>
        <x:v>CUST-0453</x:v>
      </x:c>
      <x:c r="G1752" s="84" t="str">
        <x:f>PROPER(TRIM('Raw Sales'!D1752))</x:f>
        <x:v>Victoria Foster</x:v>
      </x:c>
      <x:c r="H1752" s="84" t="str">
        <x:f>IF(TRIM('Raw Sales'!E1752)="","Unknown",PROPER(TRIM('Raw Sales'!E1752)))</x:f>
        <x:v>Consumer</x:v>
      </x:c>
      <x:c r="I1752" s="84" t="str">
        <x:f>PROPER(TRIM('Raw Sales'!F1752))</x:f>
        <x:v>Southeast</x:v>
      </x:c>
      <x:c r="J1752" s="84" t="str">
        <x:f>PROPER(TRIM('Raw Sales'!G1752))</x:f>
        <x:v>Atlanta</x:v>
      </x:c>
      <x:c r="K1752" s="84" t="str">
        <x:f>PROPER(TRIM('Raw Sales'!H1752))</x:f>
        <x:v>Marketplace</x:v>
      </x:c>
      <x:c r="L1752" s="84" t="str">
        <x:f>'Raw Sales'!I1752</x:f>
        <x:v>OFFC-003</x:v>
      </x:c>
      <x:c r="M1752" s="84" t="str">
        <x:f>IFERROR(VLOOKUP(L1752,'Reference Data'!$A$5:$F$40,2,FALSE),"Unknown Product")</x:f>
        <x:v>LED Desk Lamp</x:v>
      </x:c>
      <x:c r="N1752" s="84" t="str">
        <x:f>IFERROR(VLOOKUP(L1752,'Reference Data'!$A$5:$F$40,3,FALSE),"Unknown")</x:f>
        <x:v>Office</x:v>
      </x:c>
      <x:c r="O1752" s="84" t="str">
        <x:f>IFERROR(VLOOKUP(L1752,'Reference Data'!$A$5:$F$40,4,FALSE),"Unknown")</x:f>
        <x:v>Desk Accessories</x:v>
      </x:c>
      <x:c r="P1752" s="92" t="n">
        <x:f>IFERROR(VLOOKUP(L1752,'Reference Data'!$A$5:$F$40,5,FALSE),0)</x:f>
        <x:v>45</x:v>
      </x:c>
      <x:c r="Q1752" s="92" t="n">
        <x:f>IFERROR(VLOOKUP(L1752,'Reference Data'!$A$5:$F$40,6,FALSE),0)</x:f>
        <x:v>20</x:v>
      </x:c>
      <x:c r="R1752" s="84" t="n">
        <x:f>'Raw Sales'!J1752</x:f>
        <x:v>2</x:v>
      </x:c>
      <x:c r="S1752" s="87" t="n">
        <x:f>'Raw Sales'!K1752</x:f>
        <x:v>0.05</x:v>
      </x:c>
      <x:c r="T1752" s="93" t="n">
        <x:f>P1752*R1752</x:f>
        <x:v>90</x:v>
      </x:c>
      <x:c r="U1752" s="93" t="n">
        <x:f>T1752*S1752</x:f>
        <x:v>4.5</x:v>
      </x:c>
      <x:c r="V1752" s="93" t="str">
        <x:f>PROPER(TRIM('Raw Sales'!L1752))</x:f>
        <x:v>Completed</x:v>
      </x:c>
      <x:c r="W1752" s="93" t="n">
        <x:f>IF(V1752="Returned",0,T1752-U1752)</x:f>
        <x:v>85.5</x:v>
      </x:c>
      <x:c r="X1752" s="93" t="n">
        <x:f>IF(V1752="Returned",Q1752*R1752*10%,Q1752*R1752)</x:f>
        <x:v>40</x:v>
      </x:c>
      <x:c r="Y1752" s="93" t="n">
        <x:f>W1752-X1752</x:f>
        <x:v>45.5</x:v>
      </x:c>
      <x:c r="Z1752" s="94" t="n">
        <x:f>IFERROR(Y1752/W1752,0)</x:f>
        <x:v>0.5321637426900585</x:v>
      </x:c>
      <x:c r="AA1752" s="84" t="str">
        <x:f>PROPER(TRIM('Raw Sales'!M1752))</x:f>
        <x:v>Credit Card</x:v>
      </x:c>
      <x:c r="AB1752" s="84" t="str">
        <x:f>PROPER(TRIM('Raw Sales'!N1752))</x:f>
        <x:v>Ava Mitchell</x:v>
      </x:c>
      <x:c r="AC1752" s="85" t="n">
        <x:f>'Raw Sales'!O1752</x:f>
        <x:v>45870</x:v>
      </x:c>
      <x:c r="AD1752" s="84" t="n">
        <x:f>AC1752-B1752</x:f>
        <x:v>5</x:v>
      </x:c>
      <x:c r="AE1752" s="84" t="str">
        <x:f>IF(COUNTIF($A$5:A1752,A1752)&gt;1,"Duplicate","Keep")</x:f>
        <x:v>Keep</x:v>
      </x:c>
      <x:c r="AF1752" s="84" t="str">
        <x:f>IF(OR(R1752&lt;=0,AC1752&lt;B1752,H1752="Unknown",M1752="Unknown Product"),"Review","Valid")</x:f>
        <x:v>Valid</x:v>
      </x:c>
      <x:c r="AG1752" s="84" t="n">
        <x:f>IF(AND(AE1752="Keep",AF1752="Valid"),1,0)</x:f>
        <x:v>1</x:v>
      </x:c>
      <x:c r="AH1752" s="84" t="n">
        <x:f>IF(AND(AG1752=1,OR('Dashboard'!$B$4="All",I1752='Dashboard'!$B$4),OR('Dashboard'!$E$4="All",N1752='Dashboard'!$E$4),OR('Dashboard'!$H$4="All",K1752='Dashboard'!$H$4),OR('Dashboard'!$K$4="All",C1752='Dashboard'!$K$4)),1,0)</x:f>
        <x:v>1</x:v>
      </x:c>
      <x:c r="AI1752" s="84" t="n">
        <x:f>IF(AND(AG1752=1,OR('Dashboard'!$B$4="All",I1752='Dashboard'!$B$4),OR('Dashboard'!$E$4="All",N1752='Dashboard'!$E$4),OR('Dashboard'!$H$4="All",K1752='Dashboard'!$H$4)),1,0)</x:f>
        <x:v>1</x:v>
      </x:c>
    </x:row>
    <x:row r="1753">
      <x:c r="A1753" s="84" t="str">
        <x:f>'Raw Sales'!A1753</x:f>
        <x:v>ORD-2025-01604</x:v>
      </x:c>
      <x:c r="B1753" s="85" t="n">
        <x:f>'Raw Sales'!B1753</x:f>
        <x:v>45865</x:v>
      </x:c>
      <x:c r="C1753" s="84" t="n">
        <x:f>YEAR(B1753)</x:f>
        <x:v>2025</x:v>
      </x:c>
      <x:c r="D1753" s="91" t="n">
        <x:f>DATE(YEAR(B1753),MONTH(B1753),1)</x:f>
        <x:v>45839</x:v>
      </x:c>
      <x:c r="E1753" s="84" t="str">
        <x:f>TEXT(B1753,"mmm")</x:f>
        <x:v>Jul</x:v>
      </x:c>
      <x:c r="F1753" s="84" t="str">
        <x:f>'Raw Sales'!C1753</x:f>
        <x:v>CUST-0292</x:v>
      </x:c>
      <x:c r="G1753" s="84" t="str">
        <x:f>PROPER(TRIM('Raw Sales'!D1753))</x:f>
        <x:v>Caleb Nelson</x:v>
      </x:c>
      <x:c r="H1753" s="84" t="str">
        <x:f>IF(TRIM('Raw Sales'!E1753)="","Unknown",PROPER(TRIM('Raw Sales'!E1753)))</x:f>
        <x:v>Small Business</x:v>
      </x:c>
      <x:c r="I1753" s="84" t="str">
        <x:f>PROPER(TRIM('Raw Sales'!F1753))</x:f>
        <x:v>Midwest</x:v>
      </x:c>
      <x:c r="J1753" s="84" t="str">
        <x:f>PROPER(TRIM('Raw Sales'!G1753))</x:f>
        <x:v>Columbus</x:v>
      </x:c>
      <x:c r="K1753" s="84" t="str">
        <x:f>PROPER(TRIM('Raw Sales'!H1753))</x:f>
        <x:v>Retail Store</x:v>
      </x:c>
      <x:c r="L1753" s="84" t="str">
        <x:f>'Raw Sales'!I1753</x:f>
        <x:v>ELEC-005</x:v>
      </x:c>
      <x:c r="M1753" s="84" t="str">
        <x:f>IFERROR(VLOOKUP(L1753,'Reference Data'!$A$5:$F$40,2,FALSE),"Unknown Product")</x:f>
        <x:v>HD Webcam</x:v>
      </x:c>
      <x:c r="N1753" s="84" t="str">
        <x:f>IFERROR(VLOOKUP(L1753,'Reference Data'!$A$5:$F$40,3,FALSE),"Unknown")</x:f>
        <x:v>Electronics</x:v>
      </x:c>
      <x:c r="O1753" s="84" t="str">
        <x:f>IFERROR(VLOOKUP(L1753,'Reference Data'!$A$5:$F$40,4,FALSE),"Unknown")</x:f>
        <x:v>Computer Accessories</x:v>
      </x:c>
      <x:c r="P1753" s="92" t="n">
        <x:f>IFERROR(VLOOKUP(L1753,'Reference Data'!$A$5:$F$40,5,FALSE),0)</x:f>
        <x:v>79</x:v>
      </x:c>
      <x:c r="Q1753" s="92" t="n">
        <x:f>IFERROR(VLOOKUP(L1753,'Reference Data'!$A$5:$F$40,6,FALSE),0)</x:f>
        <x:v>37</x:v>
      </x:c>
      <x:c r="R1753" s="84" t="n">
        <x:f>'Raw Sales'!J1753</x:f>
        <x:v>1</x:v>
      </x:c>
      <x:c r="S1753" s="87" t="n">
        <x:f>'Raw Sales'!K1753</x:f>
        <x:v>0</x:v>
      </x:c>
      <x:c r="T1753" s="93" t="n">
        <x:f>P1753*R1753</x:f>
        <x:v>79</x:v>
      </x:c>
      <x:c r="U1753" s="93" t="n">
        <x:f>T1753*S1753</x:f>
        <x:v>0</x:v>
      </x:c>
      <x:c r="V1753" s="93" t="str">
        <x:f>PROPER(TRIM('Raw Sales'!L1753))</x:f>
        <x:v>Completed</x:v>
      </x:c>
      <x:c r="W1753" s="93" t="n">
        <x:f>IF(V1753="Returned",0,T1753-U1753)</x:f>
        <x:v>79</x:v>
      </x:c>
      <x:c r="X1753" s="93" t="n">
        <x:f>IF(V1753="Returned",Q1753*R1753*10%,Q1753*R1753)</x:f>
        <x:v>37</x:v>
      </x:c>
      <x:c r="Y1753" s="93" t="n">
        <x:f>W1753-X1753</x:f>
        <x:v>42</x:v>
      </x:c>
      <x:c r="Z1753" s="94" t="n">
        <x:f>IFERROR(Y1753/W1753,0)</x:f>
        <x:v>0.5316455696202531</x:v>
      </x:c>
      <x:c r="AA1753" s="84" t="str">
        <x:f>PROPER(TRIM('Raw Sales'!M1753))</x:f>
        <x:v>Credit Card</x:v>
      </x:c>
      <x:c r="AB1753" s="84" t="str">
        <x:f>PROPER(TRIM('Raw Sales'!N1753))</x:f>
        <x:v>Lucas Grant</x:v>
      </x:c>
      <x:c r="AC1753" s="85" t="n">
        <x:f>'Raw Sales'!O1753</x:f>
        <x:v>45865</x:v>
      </x:c>
      <x:c r="AD1753" s="84" t="n">
        <x:f>AC1753-B1753</x:f>
        <x:v>0</x:v>
      </x:c>
      <x:c r="AE1753" s="84" t="str">
        <x:f>IF(COUNTIF($A$5:A1753,A1753)&gt;1,"Duplicate","Keep")</x:f>
        <x:v>Keep</x:v>
      </x:c>
      <x:c r="AF1753" s="84" t="str">
        <x:f>IF(OR(R1753&lt;=0,AC1753&lt;B1753,H1753="Unknown",M1753="Unknown Product"),"Review","Valid")</x:f>
        <x:v>Valid</x:v>
      </x:c>
      <x:c r="AG1753" s="84" t="n">
        <x:f>IF(AND(AE1753="Keep",AF1753="Valid"),1,0)</x:f>
        <x:v>1</x:v>
      </x:c>
      <x:c r="AH1753" s="84" t="n">
        <x:f>IF(AND(AG1753=1,OR('Dashboard'!$B$4="All",I1753='Dashboard'!$B$4),OR('Dashboard'!$E$4="All",N1753='Dashboard'!$E$4),OR('Dashboard'!$H$4="All",K1753='Dashboard'!$H$4),OR('Dashboard'!$K$4="All",C1753='Dashboard'!$K$4)),1,0)</x:f>
        <x:v>1</x:v>
      </x:c>
      <x:c r="AI1753" s="84" t="n">
        <x:f>IF(AND(AG1753=1,OR('Dashboard'!$B$4="All",I1753='Dashboard'!$B$4),OR('Dashboard'!$E$4="All",N1753='Dashboard'!$E$4),OR('Dashboard'!$H$4="All",K1753='Dashboard'!$H$4)),1,0)</x:f>
        <x:v>1</x:v>
      </x:c>
    </x:row>
    <x:row r="1754">
      <x:c r="A1754" s="84" t="str">
        <x:f>'Raw Sales'!A1754</x:f>
        <x:v>ORD-2025-02347</x:v>
      </x:c>
      <x:c r="B1754" s="85" t="n">
        <x:f>'Raw Sales'!B1754</x:f>
        <x:v>45865</x:v>
      </x:c>
      <x:c r="C1754" s="84" t="n">
        <x:f>YEAR(B1754)</x:f>
        <x:v>2025</x:v>
      </x:c>
      <x:c r="D1754" s="91" t="n">
        <x:f>DATE(YEAR(B1754),MONTH(B1754),1)</x:f>
        <x:v>45839</x:v>
      </x:c>
      <x:c r="E1754" s="84" t="str">
        <x:f>TEXT(B1754,"mmm")</x:f>
        <x:v>Jul</x:v>
      </x:c>
      <x:c r="F1754" s="84" t="str">
        <x:f>'Raw Sales'!C1754</x:f>
        <x:v>CUST-0360</x:v>
      </x:c>
      <x:c r="G1754" s="84" t="str">
        <x:f>PROPER(TRIM('Raw Sales'!D1754))</x:f>
        <x:v>Elena Taylor</x:v>
      </x:c>
      <x:c r="H1754" s="84" t="str">
        <x:f>IF(TRIM('Raw Sales'!E1754)="","Unknown",PROPER(TRIM('Raw Sales'!E1754)))</x:f>
        <x:v>Corporate</x:v>
      </x:c>
      <x:c r="I1754" s="84" t="str">
        <x:f>PROPER(TRIM('Raw Sales'!F1754))</x:f>
        <x:v>Northeast</x:v>
      </x:c>
      <x:c r="J1754" s="84" t="str">
        <x:f>PROPER(TRIM('Raw Sales'!G1754))</x:f>
        <x:v>New York</x:v>
      </x:c>
      <x:c r="K1754" s="84" t="str">
        <x:f>PROPER(TRIM('Raw Sales'!H1754))</x:f>
        <x:v>Marketplace</x:v>
      </x:c>
      <x:c r="L1754" s="84" t="str">
        <x:f>'Raw Sales'!I1754</x:f>
        <x:v>HOME-005</x:v>
      </x:c>
      <x:c r="M1754" s="84" t="str">
        <x:f>IFERROR(VLOOKUP(L1754,'Reference Data'!$A$5:$F$40,2,FALSE),"Unknown Product")</x:f>
        <x:v>Cordless Vacuum</x:v>
      </x:c>
      <x:c r="N1754" s="84" t="str">
        <x:f>IFERROR(VLOOKUP(L1754,'Reference Data'!$A$5:$F$40,3,FALSE),"Unknown")</x:f>
        <x:v>Home &amp; Kitchen</x:v>
      </x:c>
      <x:c r="O1754" s="84" t="str">
        <x:f>IFERROR(VLOOKUP(L1754,'Reference Data'!$A$5:$F$40,4,FALSE),"Unknown")</x:f>
        <x:v>Cleaning</x:v>
      </x:c>
      <x:c r="P1754" s="92" t="n">
        <x:f>IFERROR(VLOOKUP(L1754,'Reference Data'!$A$5:$F$40,5,FALSE),0)</x:f>
        <x:v>179</x:v>
      </x:c>
      <x:c r="Q1754" s="92" t="n">
        <x:f>IFERROR(VLOOKUP(L1754,'Reference Data'!$A$5:$F$40,6,FALSE),0)</x:f>
        <x:v>102</x:v>
      </x:c>
      <x:c r="R1754" s="84" t="n">
        <x:f>'Raw Sales'!J1754</x:f>
        <x:v>8</x:v>
      </x:c>
      <x:c r="S1754" s="87" t="n">
        <x:f>'Raw Sales'!K1754</x:f>
        <x:v>0</x:v>
      </x:c>
      <x:c r="T1754" s="93" t="n">
        <x:f>P1754*R1754</x:f>
        <x:v>1432</x:v>
      </x:c>
      <x:c r="U1754" s="93" t="n">
        <x:f>T1754*S1754</x:f>
        <x:v>0</x:v>
      </x:c>
      <x:c r="V1754" s="93" t="str">
        <x:f>PROPER(TRIM('Raw Sales'!L1754))</x:f>
        <x:v>Completed</x:v>
      </x:c>
      <x:c r="W1754" s="93" t="n">
        <x:f>IF(V1754="Returned",0,T1754-U1754)</x:f>
        <x:v>1432</x:v>
      </x:c>
      <x:c r="X1754" s="93" t="n">
        <x:f>IF(V1754="Returned",Q1754*R1754*10%,Q1754*R1754)</x:f>
        <x:v>816</x:v>
      </x:c>
      <x:c r="Y1754" s="93" t="n">
        <x:f>W1754-X1754</x:f>
        <x:v>616</x:v>
      </x:c>
      <x:c r="Z1754" s="94" t="n">
        <x:f>IFERROR(Y1754/W1754,0)</x:f>
        <x:v>0.4301675977653631</x:v>
      </x:c>
      <x:c r="AA1754" s="84" t="str">
        <x:f>PROPER(TRIM('Raw Sales'!M1754))</x:f>
        <x:v>Paypal</x:v>
      </x:c>
      <x:c r="AB1754" s="84" t="str">
        <x:f>PROPER(TRIM('Raw Sales'!N1754))</x:f>
        <x:v>Ethan Cole</x:v>
      </x:c>
      <x:c r="AC1754" s="85" t="n">
        <x:f>'Raw Sales'!O1754</x:f>
        <x:v>45870</x:v>
      </x:c>
      <x:c r="AD1754" s="84" t="n">
        <x:f>AC1754-B1754</x:f>
        <x:v>5</x:v>
      </x:c>
      <x:c r="AE1754" s="84" t="str">
        <x:f>IF(COUNTIF($A$5:A1754,A1754)&gt;1,"Duplicate","Keep")</x:f>
        <x:v>Keep</x:v>
      </x:c>
      <x:c r="AF1754" s="84" t="str">
        <x:f>IF(OR(R1754&lt;=0,AC1754&lt;B1754,H1754="Unknown",M1754="Unknown Product"),"Review","Valid")</x:f>
        <x:v>Valid</x:v>
      </x:c>
      <x:c r="AG1754" s="84" t="n">
        <x:f>IF(AND(AE1754="Keep",AF1754="Valid"),1,0)</x:f>
        <x:v>1</x:v>
      </x:c>
      <x:c r="AH1754" s="84" t="n">
        <x:f>IF(AND(AG1754=1,OR('Dashboard'!$B$4="All",I1754='Dashboard'!$B$4),OR('Dashboard'!$E$4="All",N1754='Dashboard'!$E$4),OR('Dashboard'!$H$4="All",K1754='Dashboard'!$H$4),OR('Dashboard'!$K$4="All",C1754='Dashboard'!$K$4)),1,0)</x:f>
        <x:v>1</x:v>
      </x:c>
      <x:c r="AI1754" s="84" t="n">
        <x:f>IF(AND(AG1754=1,OR('Dashboard'!$B$4="All",I1754='Dashboard'!$B$4),OR('Dashboard'!$E$4="All",N1754='Dashboard'!$E$4),OR('Dashboard'!$H$4="All",K1754='Dashboard'!$H$4)),1,0)</x:f>
        <x:v>1</x:v>
      </x:c>
    </x:row>
    <x:row r="1755">
      <x:c r="A1755" s="84" t="str">
        <x:f>'Raw Sales'!A1755</x:f>
        <x:v>ORD-2025-00635</x:v>
      </x:c>
      <x:c r="B1755" s="85" t="n">
        <x:f>'Raw Sales'!B1755</x:f>
        <x:v>45866</x:v>
      </x:c>
      <x:c r="C1755" s="84" t="n">
        <x:f>YEAR(B1755)</x:f>
        <x:v>2025</x:v>
      </x:c>
      <x:c r="D1755" s="91" t="n">
        <x:f>DATE(YEAR(B1755),MONTH(B1755),1)</x:f>
        <x:v>45839</x:v>
      </x:c>
      <x:c r="E1755" s="84" t="str">
        <x:f>TEXT(B1755,"mmm")</x:f>
        <x:v>Jul</x:v>
      </x:c>
      <x:c r="F1755" s="84" t="str">
        <x:f>'Raw Sales'!C1755</x:f>
        <x:v>CUST-0156</x:v>
      </x:c>
      <x:c r="G1755" s="84" t="str">
        <x:f>PROPER(TRIM('Raw Sales'!D1755))</x:f>
        <x:v>Nina Ortiz</x:v>
      </x:c>
      <x:c r="H1755" s="84" t="str">
        <x:f>IF(TRIM('Raw Sales'!E1755)="","Unknown",PROPER(TRIM('Raw Sales'!E1755)))</x:f>
        <x:v>Consumer</x:v>
      </x:c>
      <x:c r="I1755" s="84" t="str">
        <x:f>PROPER(TRIM('Raw Sales'!F1755))</x:f>
        <x:v>Southeast</x:v>
      </x:c>
      <x:c r="J1755" s="84" t="str">
        <x:f>PROPER(TRIM('Raw Sales'!G1755))</x:f>
        <x:v>Charlotte</x:v>
      </x:c>
      <x:c r="K1755" s="84" t="str">
        <x:f>PROPER(TRIM('Raw Sales'!H1755))</x:f>
        <x:v>Online</x:v>
      </x:c>
      <x:c r="L1755" s="84" t="str">
        <x:f>'Raw Sales'!I1755</x:f>
        <x:v>OFFC-004</x:v>
      </x:c>
      <x:c r="M1755" s="84" t="str">
        <x:f>IFERROR(VLOOKUP(L1755,'Reference Data'!$A$5:$F$40,2,FALSE),"Unknown Product")</x:f>
        <x:v>Premium Notebook Pack</x:v>
      </x:c>
      <x:c r="N1755" s="84" t="str">
        <x:f>IFERROR(VLOOKUP(L1755,'Reference Data'!$A$5:$F$40,3,FALSE),"Unknown")</x:f>
        <x:v>Office</x:v>
      </x:c>
      <x:c r="O1755" s="84" t="str">
        <x:f>IFERROR(VLOOKUP(L1755,'Reference Data'!$A$5:$F$40,4,FALSE),"Unknown")</x:f>
        <x:v>Stationery</x:v>
      </x:c>
      <x:c r="P1755" s="92" t="n">
        <x:f>IFERROR(VLOOKUP(L1755,'Reference Data'!$A$5:$F$40,5,FALSE),0)</x:f>
        <x:v>18</x:v>
      </x:c>
      <x:c r="Q1755" s="92" t="n">
        <x:f>IFERROR(VLOOKUP(L1755,'Reference Data'!$A$5:$F$40,6,FALSE),0)</x:f>
        <x:v>6.5</x:v>
      </x:c>
      <x:c r="R1755" s="84" t="n">
        <x:f>'Raw Sales'!J1755</x:f>
        <x:v>3</x:v>
      </x:c>
      <x:c r="S1755" s="87" t="n">
        <x:f>'Raw Sales'!K1755</x:f>
        <x:v>0.05</x:v>
      </x:c>
      <x:c r="T1755" s="93" t="n">
        <x:f>P1755*R1755</x:f>
        <x:v>54</x:v>
      </x:c>
      <x:c r="U1755" s="93" t="n">
        <x:f>T1755*S1755</x:f>
        <x:v>2.7</x:v>
      </x:c>
      <x:c r="V1755" s="93" t="str">
        <x:f>PROPER(TRIM('Raw Sales'!L1755))</x:f>
        <x:v>Completed</x:v>
      </x:c>
      <x:c r="W1755" s="93" t="n">
        <x:f>IF(V1755="Returned",0,T1755-U1755)</x:f>
        <x:v>51.3</x:v>
      </x:c>
      <x:c r="X1755" s="93" t="n">
        <x:f>IF(V1755="Returned",Q1755*R1755*10%,Q1755*R1755)</x:f>
        <x:v>19.5</x:v>
      </x:c>
      <x:c r="Y1755" s="93" t="n">
        <x:f>W1755-X1755</x:f>
        <x:v>31.799999999999997</x:v>
      </x:c>
      <x:c r="Z1755" s="94" t="n">
        <x:f>IFERROR(Y1755/W1755,0)</x:f>
        <x:v>0.6198830409356725</x:v>
      </x:c>
      <x:c r="AA1755" s="84" t="str">
        <x:f>PROPER(TRIM('Raw Sales'!M1755))</x:f>
        <x:v>Credit Card</x:v>
      </x:c>
      <x:c r="AB1755" s="84" t="str">
        <x:f>PROPER(TRIM('Raw Sales'!N1755))</x:f>
        <x:v>Ava Mitchell</x:v>
      </x:c>
      <x:c r="AC1755" s="85" t="n">
        <x:f>'Raw Sales'!O1755</x:f>
        <x:v>45870</x:v>
      </x:c>
      <x:c r="AD1755" s="84" t="n">
        <x:f>AC1755-B1755</x:f>
        <x:v>4</x:v>
      </x:c>
      <x:c r="AE1755" s="84" t="str">
        <x:f>IF(COUNTIF($A$5:A1755,A1755)&gt;1,"Duplicate","Keep")</x:f>
        <x:v>Keep</x:v>
      </x:c>
      <x:c r="AF1755" s="84" t="str">
        <x:f>IF(OR(R1755&lt;=0,AC1755&lt;B1755,H1755="Unknown",M1755="Unknown Product"),"Review","Valid")</x:f>
        <x:v>Valid</x:v>
      </x:c>
      <x:c r="AG1755" s="84" t="n">
        <x:f>IF(AND(AE1755="Keep",AF1755="Valid"),1,0)</x:f>
        <x:v>1</x:v>
      </x:c>
      <x:c r="AH1755" s="84" t="n">
        <x:f>IF(AND(AG1755=1,OR('Dashboard'!$B$4="All",I1755='Dashboard'!$B$4),OR('Dashboard'!$E$4="All",N1755='Dashboard'!$E$4),OR('Dashboard'!$H$4="All",K1755='Dashboard'!$H$4),OR('Dashboard'!$K$4="All",C1755='Dashboard'!$K$4)),1,0)</x:f>
        <x:v>1</x:v>
      </x:c>
      <x:c r="AI1755" s="84" t="n">
        <x:f>IF(AND(AG1755=1,OR('Dashboard'!$B$4="All",I1755='Dashboard'!$B$4),OR('Dashboard'!$E$4="All",N1755='Dashboard'!$E$4),OR('Dashboard'!$H$4="All",K1755='Dashboard'!$H$4)),1,0)</x:f>
        <x:v>1</x:v>
      </x:c>
    </x:row>
    <x:row r="1756">
      <x:c r="A1756" s="84" t="str">
        <x:f>'Raw Sales'!A1756</x:f>
        <x:v>ORD-2025-00950</x:v>
      </x:c>
      <x:c r="B1756" s="85" t="n">
        <x:f>'Raw Sales'!B1756</x:f>
        <x:v>45866</x:v>
      </x:c>
      <x:c r="C1756" s="84" t="n">
        <x:f>YEAR(B1756)</x:f>
        <x:v>2025</x:v>
      </x:c>
      <x:c r="D1756" s="91" t="n">
        <x:f>DATE(YEAR(B1756),MONTH(B1756),1)</x:f>
        <x:v>45839</x:v>
      </x:c>
      <x:c r="E1756" s="84" t="str">
        <x:f>TEXT(B1756,"mmm")</x:f>
        <x:v>Jul</x:v>
      </x:c>
      <x:c r="F1756" s="84" t="str">
        <x:f>'Raw Sales'!C1756</x:f>
        <x:v>CUST-0165</x:v>
      </x:c>
      <x:c r="G1756" s="84" t="str">
        <x:f>PROPER(TRIM('Raw Sales'!D1756))</x:f>
        <x:v>Amelia Lewis</x:v>
      </x:c>
      <x:c r="H1756" s="84" t="str">
        <x:f>IF(TRIM('Raw Sales'!E1756)="","Unknown",PROPER(TRIM('Raw Sales'!E1756)))</x:f>
        <x:v>Consumer</x:v>
      </x:c>
      <x:c r="I1756" s="84" t="str">
        <x:f>PROPER(TRIM('Raw Sales'!F1756))</x:f>
        <x:v>Northeast</x:v>
      </x:c>
      <x:c r="J1756" s="84" t="str">
        <x:f>PROPER(TRIM('Raw Sales'!G1756))</x:f>
        <x:v>Philadelphia</x:v>
      </x:c>
      <x:c r="K1756" s="84" t="str">
        <x:f>PROPER(TRIM('Raw Sales'!H1756))</x:f>
        <x:v>Online</x:v>
      </x:c>
      <x:c r="L1756" s="84" t="str">
        <x:f>'Raw Sales'!I1756</x:f>
        <x:v>HOME-004</x:v>
      </x:c>
      <x:c r="M1756" s="84" t="str">
        <x:f>IFERROR(VLOOKUP(L1756,'Reference Data'!$A$5:$F$40,2,FALSE),"Unknown Product")</x:f>
        <x:v>Coffee Maker</x:v>
      </x:c>
      <x:c r="N1756" s="84" t="str">
        <x:f>IFERROR(VLOOKUP(L1756,'Reference Data'!$A$5:$F$40,3,FALSE),"Unknown")</x:f>
        <x:v>Home &amp; Kitchen</x:v>
      </x:c>
      <x:c r="O1756" s="84" t="str">
        <x:f>IFERROR(VLOOKUP(L1756,'Reference Data'!$A$5:$F$40,4,FALSE),"Unknown")</x:f>
        <x:v>Small Appliances</x:v>
      </x:c>
      <x:c r="P1756" s="92" t="n">
        <x:f>IFERROR(VLOOKUP(L1756,'Reference Data'!$A$5:$F$40,5,FALSE),0)</x:f>
        <x:v>99</x:v>
      </x:c>
      <x:c r="Q1756" s="92" t="n">
        <x:f>IFERROR(VLOOKUP(L1756,'Reference Data'!$A$5:$F$40,6,FALSE),0)</x:f>
        <x:v>51</x:v>
      </x:c>
      <x:c r="R1756" s="84" t="n">
        <x:f>'Raw Sales'!J1756</x:f>
        <x:v>2</x:v>
      </x:c>
      <x:c r="S1756" s="87" t="n">
        <x:f>'Raw Sales'!K1756</x:f>
        <x:v>0.1</x:v>
      </x:c>
      <x:c r="T1756" s="93" t="n">
        <x:f>P1756*R1756</x:f>
        <x:v>198</x:v>
      </x:c>
      <x:c r="U1756" s="93" t="n">
        <x:f>T1756*S1756</x:f>
        <x:v>19.8</x:v>
      </x:c>
      <x:c r="V1756" s="93" t="str">
        <x:f>PROPER(TRIM('Raw Sales'!L1756))</x:f>
        <x:v>Completed</x:v>
      </x:c>
      <x:c r="W1756" s="93" t="n">
        <x:f>IF(V1756="Returned",0,T1756-U1756)</x:f>
        <x:v>178.2</x:v>
      </x:c>
      <x:c r="X1756" s="93" t="n">
        <x:f>IF(V1756="Returned",Q1756*R1756*10%,Q1756*R1756)</x:f>
        <x:v>102</x:v>
      </x:c>
      <x:c r="Y1756" s="93" t="n">
        <x:f>W1756-X1756</x:f>
        <x:v>76.19999999999999</x:v>
      </x:c>
      <x:c r="Z1756" s="94" t="n">
        <x:f>IFERROR(Y1756/W1756,0)</x:f>
        <x:v>0.42760942760942755</x:v>
      </x:c>
      <x:c r="AA1756" s="84" t="str">
        <x:f>PROPER(TRIM('Raw Sales'!M1756))</x:f>
        <x:v>Debit Card</x:v>
      </x:c>
      <x:c r="AB1756" s="84" t="str">
        <x:f>PROPER(TRIM('Raw Sales'!N1756))</x:f>
        <x:v>Sofia Bennett</x:v>
      </x:c>
      <x:c r="AC1756" s="85" t="n">
        <x:f>'Raw Sales'!O1756</x:f>
        <x:v>45872</x:v>
      </x:c>
      <x:c r="AD1756" s="84" t="n">
        <x:f>AC1756-B1756</x:f>
        <x:v>6</x:v>
      </x:c>
      <x:c r="AE1756" s="84" t="str">
        <x:f>IF(COUNTIF($A$5:A1756,A1756)&gt;1,"Duplicate","Keep")</x:f>
        <x:v>Keep</x:v>
      </x:c>
      <x:c r="AF1756" s="84" t="str">
        <x:f>IF(OR(R1756&lt;=0,AC1756&lt;B1756,H1756="Unknown",M1756="Unknown Product"),"Review","Valid")</x:f>
        <x:v>Valid</x:v>
      </x:c>
      <x:c r="AG1756" s="84" t="n">
        <x:f>IF(AND(AE1756="Keep",AF1756="Valid"),1,0)</x:f>
        <x:v>1</x:v>
      </x:c>
      <x:c r="AH1756" s="84" t="n">
        <x:f>IF(AND(AG1756=1,OR('Dashboard'!$B$4="All",I1756='Dashboard'!$B$4),OR('Dashboard'!$E$4="All",N1756='Dashboard'!$E$4),OR('Dashboard'!$H$4="All",K1756='Dashboard'!$H$4),OR('Dashboard'!$K$4="All",C1756='Dashboard'!$K$4)),1,0)</x:f>
        <x:v>1</x:v>
      </x:c>
      <x:c r="AI1756" s="84" t="n">
        <x:f>IF(AND(AG1756=1,OR('Dashboard'!$B$4="All",I1756='Dashboard'!$B$4),OR('Dashboard'!$E$4="All",N1756='Dashboard'!$E$4),OR('Dashboard'!$H$4="All",K1756='Dashboard'!$H$4)),1,0)</x:f>
        <x:v>1</x:v>
      </x:c>
    </x:row>
    <x:row r="1757">
      <x:c r="A1757" s="84" t="str">
        <x:f>'Raw Sales'!A1757</x:f>
        <x:v>ORD-2025-01130</x:v>
      </x:c>
      <x:c r="B1757" s="85" t="n">
        <x:f>'Raw Sales'!B1757</x:f>
        <x:v>45866</x:v>
      </x:c>
      <x:c r="C1757" s="84" t="n">
        <x:f>YEAR(B1757)</x:f>
        <x:v>2025</x:v>
      </x:c>
      <x:c r="D1757" s="91" t="n">
        <x:f>DATE(YEAR(B1757),MONTH(B1757),1)</x:f>
        <x:v>45839</x:v>
      </x:c>
      <x:c r="E1757" s="84" t="str">
        <x:f>TEXT(B1757,"mmm")</x:f>
        <x:v>Jul</x:v>
      </x:c>
      <x:c r="F1757" s="84" t="str">
        <x:f>'Raw Sales'!C1757</x:f>
        <x:v>CUST-0117</x:v>
      </x:c>
      <x:c r="G1757" s="84" t="str">
        <x:f>PROPER(TRIM('Raw Sales'!D1757))</x:f>
        <x:v>Caleb Evans</x:v>
      </x:c>
      <x:c r="H1757" s="84" t="str">
        <x:f>IF(TRIM('Raw Sales'!E1757)="","Unknown",PROPER(TRIM('Raw Sales'!E1757)))</x:f>
        <x:v>Consumer</x:v>
      </x:c>
      <x:c r="I1757" s="84" t="str">
        <x:f>PROPER(TRIM('Raw Sales'!F1757))</x:f>
        <x:v>Northeast</x:v>
      </x:c>
      <x:c r="J1757" s="84" t="str">
        <x:f>PROPER(TRIM('Raw Sales'!G1757))</x:f>
        <x:v>Newark</x:v>
      </x:c>
      <x:c r="K1757" s="84" t="str">
        <x:f>PROPER(TRIM('Raw Sales'!H1757))</x:f>
        <x:v>Online</x:v>
      </x:c>
      <x:c r="L1757" s="84" t="str">
        <x:f>'Raw Sales'!I1757</x:f>
        <x:v>HOME-001</x:v>
      </x:c>
      <x:c r="M1757" s="84" t="str">
        <x:f>IFERROR(VLOOKUP(L1757,'Reference Data'!$A$5:$F$40,2,FALSE),"Unknown Product")</x:f>
        <x:v>Air Fryer</x:v>
      </x:c>
      <x:c r="N1757" s="84" t="str">
        <x:f>IFERROR(VLOOKUP(L1757,'Reference Data'!$A$5:$F$40,3,FALSE),"Unknown")</x:f>
        <x:v>Home &amp; Kitchen</x:v>
      </x:c>
      <x:c r="O1757" s="84" t="str">
        <x:f>IFERROR(VLOOKUP(L1757,'Reference Data'!$A$5:$F$40,4,FALSE),"Unknown")</x:f>
        <x:v>Small Appliances</x:v>
      </x:c>
      <x:c r="P1757" s="92" t="n">
        <x:f>IFERROR(VLOOKUP(L1757,'Reference Data'!$A$5:$F$40,5,FALSE),0)</x:f>
        <x:v>119</x:v>
      </x:c>
      <x:c r="Q1757" s="92" t="n">
        <x:f>IFERROR(VLOOKUP(L1757,'Reference Data'!$A$5:$F$40,6,FALSE),0)</x:f>
        <x:v>68</x:v>
      </x:c>
      <x:c r="R1757" s="84" t="n">
        <x:f>'Raw Sales'!J1757</x:f>
        <x:v>3</x:v>
      </x:c>
      <x:c r="S1757" s="87" t="n">
        <x:f>'Raw Sales'!K1757</x:f>
        <x:v>0</x:v>
      </x:c>
      <x:c r="T1757" s="93" t="n">
        <x:f>P1757*R1757</x:f>
        <x:v>357</x:v>
      </x:c>
      <x:c r="U1757" s="93" t="n">
        <x:f>T1757*S1757</x:f>
        <x:v>0</x:v>
      </x:c>
      <x:c r="V1757" s="93" t="str">
        <x:f>PROPER(TRIM('Raw Sales'!L1757))</x:f>
        <x:v>Completed</x:v>
      </x:c>
      <x:c r="W1757" s="93" t="n">
        <x:f>IF(V1757="Returned",0,T1757-U1757)</x:f>
        <x:v>357</x:v>
      </x:c>
      <x:c r="X1757" s="93" t="n">
        <x:f>IF(V1757="Returned",Q1757*R1757*10%,Q1757*R1757)</x:f>
        <x:v>204</x:v>
      </x:c>
      <x:c r="Y1757" s="93" t="n">
        <x:f>W1757-X1757</x:f>
        <x:v>153</x:v>
      </x:c>
      <x:c r="Z1757" s="94" t="n">
        <x:f>IFERROR(Y1757/W1757,0)</x:f>
        <x:v>0.42857142857142855</x:v>
      </x:c>
      <x:c r="AA1757" s="84" t="str">
        <x:f>PROPER(TRIM('Raw Sales'!M1757))</x:f>
        <x:v>Debit Card</x:v>
      </x:c>
      <x:c r="AB1757" s="84" t="str">
        <x:f>PROPER(TRIM('Raw Sales'!N1757))</x:f>
        <x:v>Maya Brooks</x:v>
      </x:c>
      <x:c r="AC1757" s="85" t="n">
        <x:f>'Raw Sales'!O1757</x:f>
        <x:v>45871</x:v>
      </x:c>
      <x:c r="AD1757" s="84" t="n">
        <x:f>AC1757-B1757</x:f>
        <x:v>5</x:v>
      </x:c>
      <x:c r="AE1757" s="84" t="str">
        <x:f>IF(COUNTIF($A$5:A1757,A1757)&gt;1,"Duplicate","Keep")</x:f>
        <x:v>Keep</x:v>
      </x:c>
      <x:c r="AF1757" s="84" t="str">
        <x:f>IF(OR(R1757&lt;=0,AC1757&lt;B1757,H1757="Unknown",M1757="Unknown Product"),"Review","Valid")</x:f>
        <x:v>Valid</x:v>
      </x:c>
      <x:c r="AG1757" s="84" t="n">
        <x:f>IF(AND(AE1757="Keep",AF1757="Valid"),1,0)</x:f>
        <x:v>1</x:v>
      </x:c>
      <x:c r="AH1757" s="84" t="n">
        <x:f>IF(AND(AG1757=1,OR('Dashboard'!$B$4="All",I1757='Dashboard'!$B$4),OR('Dashboard'!$E$4="All",N1757='Dashboard'!$E$4),OR('Dashboard'!$H$4="All",K1757='Dashboard'!$H$4),OR('Dashboard'!$K$4="All",C1757='Dashboard'!$K$4)),1,0)</x:f>
        <x:v>1</x:v>
      </x:c>
      <x:c r="AI1757" s="84" t="n">
        <x:f>IF(AND(AG1757=1,OR('Dashboard'!$B$4="All",I1757='Dashboard'!$B$4),OR('Dashboard'!$E$4="All",N1757='Dashboard'!$E$4),OR('Dashboard'!$H$4="All",K1757='Dashboard'!$H$4)),1,0)</x:f>
        <x:v>1</x:v>
      </x:c>
    </x:row>
    <x:row r="1758">
      <x:c r="A1758" s="84" t="str">
        <x:f>'Raw Sales'!A1758</x:f>
        <x:v>ORD-2025-01656</x:v>
      </x:c>
      <x:c r="B1758" s="85" t="n">
        <x:f>'Raw Sales'!B1758</x:f>
        <x:v>45866</x:v>
      </x:c>
      <x:c r="C1758" s="84" t="n">
        <x:f>YEAR(B1758)</x:f>
        <x:v>2025</x:v>
      </x:c>
      <x:c r="D1758" s="91" t="n">
        <x:f>DATE(YEAR(B1758),MONTH(B1758),1)</x:f>
        <x:v>45839</x:v>
      </x:c>
      <x:c r="E1758" s="84" t="str">
        <x:f>TEXT(B1758,"mmm")</x:f>
        <x:v>Jul</x:v>
      </x:c>
      <x:c r="F1758" s="84" t="str">
        <x:f>'Raw Sales'!C1758</x:f>
        <x:v>CUST-0616</x:v>
      </x:c>
      <x:c r="G1758" s="84" t="str">
        <x:f>PROPER(TRIM('Raw Sales'!D1758))</x:f>
        <x:v>Samuel Smith</x:v>
      </x:c>
      <x:c r="H1758" s="84" t="str">
        <x:f>IF(TRIM('Raw Sales'!E1758)="","Unknown",PROPER(TRIM('Raw Sales'!E1758)))</x:f>
        <x:v>Small Business</x:v>
      </x:c>
      <x:c r="I1758" s="84" t="str">
        <x:f>PROPER(TRIM('Raw Sales'!F1758))</x:f>
        <x:v>Northeast</x:v>
      </x:c>
      <x:c r="J1758" s="84" t="str">
        <x:f>PROPER(TRIM('Raw Sales'!G1758))</x:f>
        <x:v>Philadelphia</x:v>
      </x:c>
      <x:c r="K1758" s="84" t="str">
        <x:f>PROPER(TRIM('Raw Sales'!H1758))</x:f>
        <x:v>Retail Store</x:v>
      </x:c>
      <x:c r="L1758" s="84" t="str">
        <x:f>'Raw Sales'!I1758</x:f>
        <x:v>ACCS-003</x:v>
      </x:c>
      <x:c r="M1758" s="84" t="str">
        <x:f>IFERROR(VLOOKUP(L1758,'Reference Data'!$A$5:$F$40,2,FALSE),"Unknown Product")</x:f>
        <x:v>Polarized Sunglasses</x:v>
      </x:c>
      <x:c r="N1758" s="84" t="str">
        <x:f>IFERROR(VLOOKUP(L1758,'Reference Data'!$A$5:$F$40,3,FALSE),"Unknown")</x:f>
        <x:v>Accessories</x:v>
      </x:c>
      <x:c r="O1758" s="84" t="str">
        <x:f>IFERROR(VLOOKUP(L1758,'Reference Data'!$A$5:$F$40,4,FALSE),"Unknown")</x:f>
        <x:v>Eyewear</x:v>
      </x:c>
      <x:c r="P1758" s="92" t="n">
        <x:f>IFERROR(VLOOKUP(L1758,'Reference Data'!$A$5:$F$40,5,FALSE),0)</x:f>
        <x:v>59</x:v>
      </x:c>
      <x:c r="Q1758" s="92" t="n">
        <x:f>IFERROR(VLOOKUP(L1758,'Reference Data'!$A$5:$F$40,6,FALSE),0)</x:f>
        <x:v>17</x:v>
      </x:c>
      <x:c r="R1758" s="84" t="n">
        <x:f>'Raw Sales'!J1758</x:f>
        <x:v>1</x:v>
      </x:c>
      <x:c r="S1758" s="87" t="n">
        <x:f>'Raw Sales'!K1758</x:f>
        <x:v>0.05</x:v>
      </x:c>
      <x:c r="T1758" s="93" t="n">
        <x:f>P1758*R1758</x:f>
        <x:v>59</x:v>
      </x:c>
      <x:c r="U1758" s="93" t="n">
        <x:f>T1758*S1758</x:f>
        <x:v>2.95</x:v>
      </x:c>
      <x:c r="V1758" s="93" t="str">
        <x:f>PROPER(TRIM('Raw Sales'!L1758))</x:f>
        <x:v>Completed</x:v>
      </x:c>
      <x:c r="W1758" s="93" t="n">
        <x:f>IF(V1758="Returned",0,T1758-U1758)</x:f>
        <x:v>56.05</x:v>
      </x:c>
      <x:c r="X1758" s="93" t="n">
        <x:f>IF(V1758="Returned",Q1758*R1758*10%,Q1758*R1758)</x:f>
        <x:v>17</x:v>
      </x:c>
      <x:c r="Y1758" s="93" t="n">
        <x:f>W1758-X1758</x:f>
        <x:v>39.05</x:v>
      </x:c>
      <x:c r="Z1758" s="94" t="n">
        <x:f>IFERROR(Y1758/W1758,0)</x:f>
        <x:v>0.6966993755575379</x:v>
      </x:c>
      <x:c r="AA1758" s="84" t="str">
        <x:f>PROPER(TRIM('Raw Sales'!M1758))</x:f>
        <x:v>Cash</x:v>
      </x:c>
      <x:c r="AB1758" s="84" t="str">
        <x:f>PROPER(TRIM('Raw Sales'!N1758))</x:f>
        <x:v>Sofia Bennett</x:v>
      </x:c>
      <x:c r="AC1758" s="85" t="n">
        <x:f>'Raw Sales'!O1758</x:f>
        <x:v>45866</x:v>
      </x:c>
      <x:c r="AD1758" s="84" t="n">
        <x:f>AC1758-B1758</x:f>
        <x:v>0</x:v>
      </x:c>
      <x:c r="AE1758" s="84" t="str">
        <x:f>IF(COUNTIF($A$5:A1758,A1758)&gt;1,"Duplicate","Keep")</x:f>
        <x:v>Keep</x:v>
      </x:c>
      <x:c r="AF1758" s="84" t="str">
        <x:f>IF(OR(R1758&lt;=0,AC1758&lt;B1758,H1758="Unknown",M1758="Unknown Product"),"Review","Valid")</x:f>
        <x:v>Valid</x:v>
      </x:c>
      <x:c r="AG1758" s="84" t="n">
        <x:f>IF(AND(AE1758="Keep",AF1758="Valid"),1,0)</x:f>
        <x:v>1</x:v>
      </x:c>
      <x:c r="AH1758" s="84" t="n">
        <x:f>IF(AND(AG1758=1,OR('Dashboard'!$B$4="All",I1758='Dashboard'!$B$4),OR('Dashboard'!$E$4="All",N1758='Dashboard'!$E$4),OR('Dashboard'!$H$4="All",K1758='Dashboard'!$H$4),OR('Dashboard'!$K$4="All",C1758='Dashboard'!$K$4)),1,0)</x:f>
        <x:v>1</x:v>
      </x:c>
      <x:c r="AI1758" s="84" t="n">
        <x:f>IF(AND(AG1758=1,OR('Dashboard'!$B$4="All",I1758='Dashboard'!$B$4),OR('Dashboard'!$E$4="All",N1758='Dashboard'!$E$4),OR('Dashboard'!$H$4="All",K1758='Dashboard'!$H$4)),1,0)</x:f>
        <x:v>1</x:v>
      </x:c>
    </x:row>
    <x:row r="1759">
      <x:c r="A1759" s="84" t="str">
        <x:f>'Raw Sales'!A1759</x:f>
        <x:v>ORD-2025-01767</x:v>
      </x:c>
      <x:c r="B1759" s="85" t="n">
        <x:f>'Raw Sales'!B1759</x:f>
        <x:v>45866</x:v>
      </x:c>
      <x:c r="C1759" s="84" t="n">
        <x:f>YEAR(B1759)</x:f>
        <x:v>2025</x:v>
      </x:c>
      <x:c r="D1759" s="91" t="n">
        <x:f>DATE(YEAR(B1759),MONTH(B1759),1)</x:f>
        <x:v>45839</x:v>
      </x:c>
      <x:c r="E1759" s="84" t="str">
        <x:f>TEXT(B1759,"mmm")</x:f>
        <x:v>Jul</x:v>
      </x:c>
      <x:c r="F1759" s="84" t="str">
        <x:f>'Raw Sales'!C1759</x:f>
        <x:v>CUST-0636</x:v>
      </x:c>
      <x:c r="G1759" s="84" t="str">
        <x:f>PROPER(TRIM('Raw Sales'!D1759))</x:f>
        <x:v>Nina Baker</x:v>
      </x:c>
      <x:c r="H1759" s="84" t="str">
        <x:f>IF(TRIM('Raw Sales'!E1759)="","Unknown",PROPER(TRIM('Raw Sales'!E1759)))</x:f>
        <x:v>Small Business</x:v>
      </x:c>
      <x:c r="I1759" s="84" t="str">
        <x:f>PROPER(TRIM('Raw Sales'!F1759))</x:f>
        <x:v>Midwest</x:v>
      </x:c>
      <x:c r="J1759" s="84" t="str">
        <x:f>PROPER(TRIM('Raw Sales'!G1759))</x:f>
        <x:v>Chicago</x:v>
      </x:c>
      <x:c r="K1759" s="84" t="str">
        <x:f>PROPER(TRIM('Raw Sales'!H1759))</x:f>
        <x:v>Online</x:v>
      </x:c>
      <x:c r="L1759" s="84" t="str">
        <x:f>'Raw Sales'!I1759</x:f>
        <x:v>OFFC-004</x:v>
      </x:c>
      <x:c r="M1759" s="84" t="str">
        <x:f>IFERROR(VLOOKUP(L1759,'Reference Data'!$A$5:$F$40,2,FALSE),"Unknown Product")</x:f>
        <x:v>Premium Notebook Pack</x:v>
      </x:c>
      <x:c r="N1759" s="84" t="str">
        <x:f>IFERROR(VLOOKUP(L1759,'Reference Data'!$A$5:$F$40,3,FALSE),"Unknown")</x:f>
        <x:v>Office</x:v>
      </x:c>
      <x:c r="O1759" s="84" t="str">
        <x:f>IFERROR(VLOOKUP(L1759,'Reference Data'!$A$5:$F$40,4,FALSE),"Unknown")</x:f>
        <x:v>Stationery</x:v>
      </x:c>
      <x:c r="P1759" s="92" t="n">
        <x:f>IFERROR(VLOOKUP(L1759,'Reference Data'!$A$5:$F$40,5,FALSE),0)</x:f>
        <x:v>18</x:v>
      </x:c>
      <x:c r="Q1759" s="92" t="n">
        <x:f>IFERROR(VLOOKUP(L1759,'Reference Data'!$A$5:$F$40,6,FALSE),0)</x:f>
        <x:v>6.5</x:v>
      </x:c>
      <x:c r="R1759" s="84" t="n">
        <x:f>'Raw Sales'!J1759</x:f>
        <x:v>1</x:v>
      </x:c>
      <x:c r="S1759" s="87" t="n">
        <x:f>'Raw Sales'!K1759</x:f>
        <x:v>0</x:v>
      </x:c>
      <x:c r="T1759" s="93" t="n">
        <x:f>P1759*R1759</x:f>
        <x:v>18</x:v>
      </x:c>
      <x:c r="U1759" s="93" t="n">
        <x:f>T1759*S1759</x:f>
        <x:v>0</x:v>
      </x:c>
      <x:c r="V1759" s="93" t="str">
        <x:f>PROPER(TRIM('Raw Sales'!L1759))</x:f>
        <x:v>Completed</x:v>
      </x:c>
      <x:c r="W1759" s="93" t="n">
        <x:f>IF(V1759="Returned",0,T1759-U1759)</x:f>
        <x:v>18</x:v>
      </x:c>
      <x:c r="X1759" s="93" t="n">
        <x:f>IF(V1759="Returned",Q1759*R1759*10%,Q1759*R1759)</x:f>
        <x:v>6.5</x:v>
      </x:c>
      <x:c r="Y1759" s="93" t="n">
        <x:f>W1759-X1759</x:f>
        <x:v>11.5</x:v>
      </x:c>
      <x:c r="Z1759" s="94" t="n">
        <x:f>IFERROR(Y1759/W1759,0)</x:f>
        <x:v>0.6388888888888888</x:v>
      </x:c>
      <x:c r="AA1759" s="84" t="str">
        <x:f>PROPER(TRIM('Raw Sales'!M1759))</x:f>
        <x:v>Paypal</x:v>
      </x:c>
      <x:c r="AB1759" s="84" t="str">
        <x:f>PROPER(TRIM('Raw Sales'!N1759))</x:f>
        <x:v>Lucas Grant</x:v>
      </x:c>
      <x:c r="AC1759" s="85" t="n">
        <x:f>'Raw Sales'!O1759</x:f>
        <x:v>45870</x:v>
      </x:c>
      <x:c r="AD1759" s="84" t="n">
        <x:f>AC1759-B1759</x:f>
        <x:v>4</x:v>
      </x:c>
      <x:c r="AE1759" s="84" t="str">
        <x:f>IF(COUNTIF($A$5:A1759,A1759)&gt;1,"Duplicate","Keep")</x:f>
        <x:v>Keep</x:v>
      </x:c>
      <x:c r="AF1759" s="84" t="str">
        <x:f>IF(OR(R1759&lt;=0,AC1759&lt;B1759,H1759="Unknown",M1759="Unknown Product"),"Review","Valid")</x:f>
        <x:v>Valid</x:v>
      </x:c>
      <x:c r="AG1759" s="84" t="n">
        <x:f>IF(AND(AE1759="Keep",AF1759="Valid"),1,0)</x:f>
        <x:v>1</x:v>
      </x:c>
      <x:c r="AH1759" s="84" t="n">
        <x:f>IF(AND(AG1759=1,OR('Dashboard'!$B$4="All",I1759='Dashboard'!$B$4),OR('Dashboard'!$E$4="All",N1759='Dashboard'!$E$4),OR('Dashboard'!$H$4="All",K1759='Dashboard'!$H$4),OR('Dashboard'!$K$4="All",C1759='Dashboard'!$K$4)),1,0)</x:f>
        <x:v>1</x:v>
      </x:c>
      <x:c r="AI1759" s="84" t="n">
        <x:f>IF(AND(AG1759=1,OR('Dashboard'!$B$4="All",I1759='Dashboard'!$B$4),OR('Dashboard'!$E$4="All",N1759='Dashboard'!$E$4),OR('Dashboard'!$H$4="All",K1759='Dashboard'!$H$4)),1,0)</x:f>
        <x:v>1</x:v>
      </x:c>
    </x:row>
    <x:row r="1760">
      <x:c r="A1760" s="84" t="str">
        <x:f>'Raw Sales'!A1760</x:f>
        <x:v>ORD-2025-00349</x:v>
      </x:c>
      <x:c r="B1760" s="85" t="n">
        <x:f>'Raw Sales'!B1760</x:f>
        <x:v>45867</x:v>
      </x:c>
      <x:c r="C1760" s="84" t="n">
        <x:f>YEAR(B1760)</x:f>
        <x:v>2025</x:v>
      </x:c>
      <x:c r="D1760" s="91" t="n">
        <x:f>DATE(YEAR(B1760),MONTH(B1760),1)</x:f>
        <x:v>45839</x:v>
      </x:c>
      <x:c r="E1760" s="84" t="str">
        <x:f>TEXT(B1760,"mmm")</x:f>
        <x:v>Jul</x:v>
      </x:c>
      <x:c r="F1760" s="84" t="str">
        <x:f>'Raw Sales'!C1760</x:f>
        <x:v>CUST-0210</x:v>
      </x:c>
      <x:c r="G1760" s="84" t="str">
        <x:f>PROPER(TRIM('Raw Sales'!D1760))</x:f>
        <x:v>Jonah Walker</x:v>
      </x:c>
      <x:c r="H1760" s="84" t="str">
        <x:f>IF(TRIM('Raw Sales'!E1760)="","Unknown",PROPER(TRIM('Raw Sales'!E1760)))</x:f>
        <x:v>Consumer</x:v>
      </x:c>
      <x:c r="I1760" s="84" t="str">
        <x:f>PROPER(TRIM('Raw Sales'!F1760))</x:f>
        <x:v>West</x:v>
      </x:c>
      <x:c r="J1760" s="84" t="str">
        <x:f>PROPER(TRIM('Raw Sales'!G1760))</x:f>
        <x:v>Los Angeles</x:v>
      </x:c>
      <x:c r="K1760" s="84" t="str">
        <x:f>PROPER(TRIM('Raw Sales'!H1760))</x:f>
        <x:v>Retail Store</x:v>
      </x:c>
      <x:c r="L1760" s="84" t="str">
        <x:f>'Raw Sales'!I1760</x:f>
        <x:v>OFFC-006</x:v>
      </x:c>
      <x:c r="M1760" s="84" t="str">
        <x:f>IFERROR(VLOOKUP(L1760,'Reference Data'!$A$5:$F$40,2,FALSE),"Unknown Product")</x:f>
        <x:v>Monitor Stand</x:v>
      </x:c>
      <x:c r="N1760" s="84" t="str">
        <x:f>IFERROR(VLOOKUP(L1760,'Reference Data'!$A$5:$F$40,3,FALSE),"Unknown")</x:f>
        <x:v>Office</x:v>
      </x:c>
      <x:c r="O1760" s="84" t="str">
        <x:f>IFERROR(VLOOKUP(L1760,'Reference Data'!$A$5:$F$40,4,FALSE),"Unknown")</x:f>
        <x:v>Desk Accessories</x:v>
      </x:c>
      <x:c r="P1760" s="92" t="n">
        <x:f>IFERROR(VLOOKUP(L1760,'Reference Data'!$A$5:$F$40,5,FALSE),0)</x:f>
        <x:v>49</x:v>
      </x:c>
      <x:c r="Q1760" s="92" t="n">
        <x:f>IFERROR(VLOOKUP(L1760,'Reference Data'!$A$5:$F$40,6,FALSE),0)</x:f>
        <x:v>21</x:v>
      </x:c>
      <x:c r="R1760" s="84" t="n">
        <x:f>'Raw Sales'!J1760</x:f>
        <x:v>1</x:v>
      </x:c>
      <x:c r="S1760" s="87" t="n">
        <x:f>'Raw Sales'!K1760</x:f>
        <x:v>0.05</x:v>
      </x:c>
      <x:c r="T1760" s="93" t="n">
        <x:f>P1760*R1760</x:f>
        <x:v>49</x:v>
      </x:c>
      <x:c r="U1760" s="93" t="n">
        <x:f>T1760*S1760</x:f>
        <x:v>2.45</x:v>
      </x:c>
      <x:c r="V1760" s="93" t="str">
        <x:f>PROPER(TRIM('Raw Sales'!L1760))</x:f>
        <x:v>Completed</x:v>
      </x:c>
      <x:c r="W1760" s="93" t="n">
        <x:f>IF(V1760="Returned",0,T1760-U1760)</x:f>
        <x:v>46.55</x:v>
      </x:c>
      <x:c r="X1760" s="93" t="n">
        <x:f>IF(V1760="Returned",Q1760*R1760*10%,Q1760*R1760)</x:f>
        <x:v>21</x:v>
      </x:c>
      <x:c r="Y1760" s="93" t="n">
        <x:f>W1760-X1760</x:f>
        <x:v>25.549999999999997</x:v>
      </x:c>
      <x:c r="Z1760" s="94" t="n">
        <x:f>IFERROR(Y1760/W1760,0)</x:f>
        <x:v>0.5488721804511278</x:v>
      </x:c>
      <x:c r="AA1760" s="84" t="str">
        <x:f>PROPER(TRIM('Raw Sales'!M1760))</x:f>
        <x:v>Debit Card</x:v>
      </x:c>
      <x:c r="AB1760" s="84" t="str">
        <x:f>PROPER(TRIM('Raw Sales'!N1760))</x:f>
        <x:v>Mia Chen</x:v>
      </x:c>
      <x:c r="AC1760" s="85" t="n">
        <x:f>'Raw Sales'!O1760</x:f>
        <x:v>45867</x:v>
      </x:c>
      <x:c r="AD1760" s="84" t="n">
        <x:f>AC1760-B1760</x:f>
        <x:v>0</x:v>
      </x:c>
      <x:c r="AE1760" s="84" t="str">
        <x:f>IF(COUNTIF($A$5:A1760,A1760)&gt;1,"Duplicate","Keep")</x:f>
        <x:v>Keep</x:v>
      </x:c>
      <x:c r="AF1760" s="84" t="str">
        <x:f>IF(OR(R1760&lt;=0,AC1760&lt;B1760,H1760="Unknown",M1760="Unknown Product"),"Review","Valid")</x:f>
        <x:v>Valid</x:v>
      </x:c>
      <x:c r="AG1760" s="84" t="n">
        <x:f>IF(AND(AE1760="Keep",AF1760="Valid"),1,0)</x:f>
        <x:v>1</x:v>
      </x:c>
      <x:c r="AH1760" s="84" t="n">
        <x:f>IF(AND(AG1760=1,OR('Dashboard'!$B$4="All",I1760='Dashboard'!$B$4),OR('Dashboard'!$E$4="All",N1760='Dashboard'!$E$4),OR('Dashboard'!$H$4="All",K1760='Dashboard'!$H$4),OR('Dashboard'!$K$4="All",C1760='Dashboard'!$K$4)),1,0)</x:f>
        <x:v>1</x:v>
      </x:c>
      <x:c r="AI1760" s="84" t="n">
        <x:f>IF(AND(AG1760=1,OR('Dashboard'!$B$4="All",I1760='Dashboard'!$B$4),OR('Dashboard'!$E$4="All",N1760='Dashboard'!$E$4),OR('Dashboard'!$H$4="All",K1760='Dashboard'!$H$4)),1,0)</x:f>
        <x:v>1</x:v>
      </x:c>
    </x:row>
    <x:row r="1761">
      <x:c r="A1761" s="84" t="str">
        <x:f>'Raw Sales'!A1761</x:f>
        <x:v>ORD-2025-01507</x:v>
      </x:c>
      <x:c r="B1761" s="85" t="n">
        <x:f>'Raw Sales'!B1761</x:f>
        <x:v>45867</x:v>
      </x:c>
      <x:c r="C1761" s="84" t="n">
        <x:f>YEAR(B1761)</x:f>
        <x:v>2025</x:v>
      </x:c>
      <x:c r="D1761" s="91" t="n">
        <x:f>DATE(YEAR(B1761),MONTH(B1761),1)</x:f>
        <x:v>45839</x:v>
      </x:c>
      <x:c r="E1761" s="84" t="str">
        <x:f>TEXT(B1761,"mmm")</x:f>
        <x:v>Jul</x:v>
      </x:c>
      <x:c r="F1761" s="84" t="str">
        <x:f>'Raw Sales'!C1761</x:f>
        <x:v>CUST-0098</x:v>
      </x:c>
      <x:c r="G1761" s="84" t="str">
        <x:f>PROPER(TRIM('Raw Sales'!D1761))</x:f>
        <x:v>Sara Irwin</x:v>
      </x:c>
      <x:c r="H1761" s="84" t="str">
        <x:f>IF(TRIM('Raw Sales'!E1761)="","Unknown",PROPER(TRIM('Raw Sales'!E1761)))</x:f>
        <x:v>Small Business</x:v>
      </x:c>
      <x:c r="I1761" s="84" t="str">
        <x:f>PROPER(TRIM('Raw Sales'!F1761))</x:f>
        <x:v>Southeast</x:v>
      </x:c>
      <x:c r="J1761" s="84" t="str">
        <x:f>PROPER(TRIM('Raw Sales'!G1761))</x:f>
        <x:v>Nashville</x:v>
      </x:c>
      <x:c r="K1761" s="84" t="str">
        <x:f>PROPER(TRIM('Raw Sales'!H1761))</x:f>
        <x:v>Online</x:v>
      </x:c>
      <x:c r="L1761" s="84" t="str">
        <x:f>'Raw Sales'!I1761</x:f>
        <x:v>ELEC-002</x:v>
      </x:c>
      <x:c r="M1761" s="84" t="str">
        <x:f>IFERROR(VLOOKUP(L1761,'Reference Data'!$A$5:$F$40,2,FALSE),"Unknown Product")</x:f>
        <x:v>Smartwatch</x:v>
      </x:c>
      <x:c r="N1761" s="84" t="str">
        <x:f>IFERROR(VLOOKUP(L1761,'Reference Data'!$A$5:$F$40,3,FALSE),"Unknown")</x:f>
        <x:v>Electronics</x:v>
      </x:c>
      <x:c r="O1761" s="84" t="str">
        <x:f>IFERROR(VLOOKUP(L1761,'Reference Data'!$A$5:$F$40,4,FALSE),"Unknown")</x:f>
        <x:v>Wearables</x:v>
      </x:c>
      <x:c r="P1761" s="92" t="n">
        <x:f>IFERROR(VLOOKUP(L1761,'Reference Data'!$A$5:$F$40,5,FALSE),0)</x:f>
        <x:v>159</x:v>
      </x:c>
      <x:c r="Q1761" s="92" t="n">
        <x:f>IFERROR(VLOOKUP(L1761,'Reference Data'!$A$5:$F$40,6,FALSE),0)</x:f>
        <x:v>92</x:v>
      </x:c>
      <x:c r="R1761" s="84" t="n">
        <x:f>'Raw Sales'!J1761</x:f>
        <x:v>3</x:v>
      </x:c>
      <x:c r="S1761" s="87" t="n">
        <x:f>'Raw Sales'!K1761</x:f>
        <x:v>0.15</x:v>
      </x:c>
      <x:c r="T1761" s="93" t="n">
        <x:f>P1761*R1761</x:f>
        <x:v>477</x:v>
      </x:c>
      <x:c r="U1761" s="93" t="n">
        <x:f>T1761*S1761</x:f>
        <x:v>71.55</x:v>
      </x:c>
      <x:c r="V1761" s="93" t="str">
        <x:f>PROPER(TRIM('Raw Sales'!L1761))</x:f>
        <x:v>Completed</x:v>
      </x:c>
      <x:c r="W1761" s="93" t="n">
        <x:f>IF(V1761="Returned",0,T1761-U1761)</x:f>
        <x:v>405.45</x:v>
      </x:c>
      <x:c r="X1761" s="93" t="n">
        <x:f>IF(V1761="Returned",Q1761*R1761*10%,Q1761*R1761)</x:f>
        <x:v>276</x:v>
      </x:c>
      <x:c r="Y1761" s="93" t="n">
        <x:f>W1761-X1761</x:f>
        <x:v>129.45</x:v>
      </x:c>
      <x:c r="Z1761" s="94" t="n">
        <x:f>IFERROR(Y1761/W1761,0)</x:f>
        <x:v>0.31927487976322605</x:v>
      </x:c>
      <x:c r="AA1761" s="84" t="str">
        <x:f>PROPER(TRIM('Raw Sales'!M1761))</x:f>
        <x:v>Credit Card</x:v>
      </x:c>
      <x:c r="AB1761" s="84" t="str">
        <x:f>PROPER(TRIM('Raw Sales'!N1761))</x:f>
        <x:v>Noah Reed</x:v>
      </x:c>
      <x:c r="AC1761" s="85" t="n">
        <x:f>'Raw Sales'!O1761</x:f>
        <x:v>45869</x:v>
      </x:c>
      <x:c r="AD1761" s="84" t="n">
        <x:f>AC1761-B1761</x:f>
        <x:v>2</x:v>
      </x:c>
      <x:c r="AE1761" s="84" t="str">
        <x:f>IF(COUNTIF($A$5:A1761,A1761)&gt;1,"Duplicate","Keep")</x:f>
        <x:v>Keep</x:v>
      </x:c>
      <x:c r="AF1761" s="84" t="str">
        <x:f>IF(OR(R1761&lt;=0,AC1761&lt;B1761,H1761="Unknown",M1761="Unknown Product"),"Review","Valid")</x:f>
        <x:v>Valid</x:v>
      </x:c>
      <x:c r="AG1761" s="84" t="n">
        <x:f>IF(AND(AE1761="Keep",AF1761="Valid"),1,0)</x:f>
        <x:v>1</x:v>
      </x:c>
      <x:c r="AH1761" s="84" t="n">
        <x:f>IF(AND(AG1761=1,OR('Dashboard'!$B$4="All",I1761='Dashboard'!$B$4),OR('Dashboard'!$E$4="All",N1761='Dashboard'!$E$4),OR('Dashboard'!$H$4="All",K1761='Dashboard'!$H$4),OR('Dashboard'!$K$4="All",C1761='Dashboard'!$K$4)),1,0)</x:f>
        <x:v>1</x:v>
      </x:c>
      <x:c r="AI1761" s="84" t="n">
        <x:f>IF(AND(AG1761=1,OR('Dashboard'!$B$4="All",I1761='Dashboard'!$B$4),OR('Dashboard'!$E$4="All",N1761='Dashboard'!$E$4),OR('Dashboard'!$H$4="All",K1761='Dashboard'!$H$4)),1,0)</x:f>
        <x:v>1</x:v>
      </x:c>
    </x:row>
    <x:row r="1762">
      <x:c r="A1762" s="84" t="str">
        <x:f>'Raw Sales'!A1762</x:f>
        <x:v>ORD-2025-02025</x:v>
      </x:c>
      <x:c r="B1762" s="85" t="n">
        <x:f>'Raw Sales'!B1762</x:f>
        <x:v>45867</x:v>
      </x:c>
      <x:c r="C1762" s="84" t="n">
        <x:f>YEAR(B1762)</x:f>
        <x:v>2025</x:v>
      </x:c>
      <x:c r="D1762" s="91" t="n">
        <x:f>DATE(YEAR(B1762),MONTH(B1762),1)</x:f>
        <x:v>45839</x:v>
      </x:c>
      <x:c r="E1762" s="84" t="str">
        <x:f>TEXT(B1762,"mmm")</x:f>
        <x:v>Jul</x:v>
      </x:c>
      <x:c r="F1762" s="84" t="str">
        <x:f>'Raw Sales'!C1762</x:f>
        <x:v>CUST-0047</x:v>
      </x:c>
      <x:c r="G1762" s="84" t="str">
        <x:f>PROPER(TRIM('Raw Sales'!D1762))</x:f>
        <x:v>Isaac Adams</x:v>
      </x:c>
      <x:c r="H1762" s="84" t="str">
        <x:f>IF(TRIM('Raw Sales'!E1762)="","Unknown",PROPER(TRIM('Raw Sales'!E1762)))</x:f>
        <x:v>Consumer</x:v>
      </x:c>
      <x:c r="I1762" s="84" t="str">
        <x:f>PROPER(TRIM('Raw Sales'!F1762))</x:f>
        <x:v>Southeast</x:v>
      </x:c>
      <x:c r="J1762" s="84" t="str">
        <x:f>PROPER(TRIM('Raw Sales'!G1762))</x:f>
        <x:v>Nashville</x:v>
      </x:c>
      <x:c r="K1762" s="84" t="str">
        <x:f>PROPER(TRIM('Raw Sales'!H1762))</x:f>
        <x:v>Online</x:v>
      </x:c>
      <x:c r="L1762" s="84" t="str">
        <x:f>'Raw Sales'!I1762</x:f>
        <x:v>ELEC-005</x:v>
      </x:c>
      <x:c r="M1762" s="84" t="str">
        <x:f>IFERROR(VLOOKUP(L1762,'Reference Data'!$A$5:$F$40,2,FALSE),"Unknown Product")</x:f>
        <x:v>HD Webcam</x:v>
      </x:c>
      <x:c r="N1762" s="84" t="str">
        <x:f>IFERROR(VLOOKUP(L1762,'Reference Data'!$A$5:$F$40,3,FALSE),"Unknown")</x:f>
        <x:v>Electronics</x:v>
      </x:c>
      <x:c r="O1762" s="84" t="str">
        <x:f>IFERROR(VLOOKUP(L1762,'Reference Data'!$A$5:$F$40,4,FALSE),"Unknown")</x:f>
        <x:v>Computer Accessories</x:v>
      </x:c>
      <x:c r="P1762" s="92" t="n">
        <x:f>IFERROR(VLOOKUP(L1762,'Reference Data'!$A$5:$F$40,5,FALSE),0)</x:f>
        <x:v>79</x:v>
      </x:c>
      <x:c r="Q1762" s="92" t="n">
        <x:f>IFERROR(VLOOKUP(L1762,'Reference Data'!$A$5:$F$40,6,FALSE),0)</x:f>
        <x:v>37</x:v>
      </x:c>
      <x:c r="R1762" s="84" t="n">
        <x:f>'Raw Sales'!J1762</x:f>
        <x:v>1</x:v>
      </x:c>
      <x:c r="S1762" s="87" t="n">
        <x:f>'Raw Sales'!K1762</x:f>
        <x:v>0.15</x:v>
      </x:c>
      <x:c r="T1762" s="93" t="n">
        <x:f>P1762*R1762</x:f>
        <x:v>79</x:v>
      </x:c>
      <x:c r="U1762" s="93" t="n">
        <x:f>T1762*S1762</x:f>
        <x:v>11.85</x:v>
      </x:c>
      <x:c r="V1762" s="93" t="str">
        <x:f>PROPER(TRIM('Raw Sales'!L1762))</x:f>
        <x:v>Completed</x:v>
      </x:c>
      <x:c r="W1762" s="93" t="n">
        <x:f>IF(V1762="Returned",0,T1762-U1762)</x:f>
        <x:v>67.15</x:v>
      </x:c>
      <x:c r="X1762" s="93" t="n">
        <x:f>IF(V1762="Returned",Q1762*R1762*10%,Q1762*R1762)</x:f>
        <x:v>37</x:v>
      </x:c>
      <x:c r="Y1762" s="93" t="n">
        <x:f>W1762-X1762</x:f>
        <x:v>30.150000000000006</x:v>
      </x:c>
      <x:c r="Z1762" s="94" t="n">
        <x:f>IFERROR(Y1762/W1762,0)</x:f>
        <x:v>0.4489947877885332</x:v>
      </x:c>
      <x:c r="AA1762" s="84" t="str">
        <x:f>PROPER(TRIM('Raw Sales'!M1762))</x:f>
        <x:v>Mobile Wallet</x:v>
      </x:c>
      <x:c r="AB1762" s="84" t="str">
        <x:f>PROPER(TRIM('Raw Sales'!N1762))</x:f>
        <x:v>Liam Parker</x:v>
      </x:c>
      <x:c r="AC1762" s="85" t="n">
        <x:f>'Raw Sales'!O1762</x:f>
        <x:v>45870</x:v>
      </x:c>
      <x:c r="AD1762" s="84" t="n">
        <x:f>AC1762-B1762</x:f>
        <x:v>3</x:v>
      </x:c>
      <x:c r="AE1762" s="84" t="str">
        <x:f>IF(COUNTIF($A$5:A1762,A1762)&gt;1,"Duplicate","Keep")</x:f>
        <x:v>Keep</x:v>
      </x:c>
      <x:c r="AF1762" s="84" t="str">
        <x:f>IF(OR(R1762&lt;=0,AC1762&lt;B1762,H1762="Unknown",M1762="Unknown Product"),"Review","Valid")</x:f>
        <x:v>Valid</x:v>
      </x:c>
      <x:c r="AG1762" s="84" t="n">
        <x:f>IF(AND(AE1762="Keep",AF1762="Valid"),1,0)</x:f>
        <x:v>1</x:v>
      </x:c>
      <x:c r="AH1762" s="84" t="n">
        <x:f>IF(AND(AG1762=1,OR('Dashboard'!$B$4="All",I1762='Dashboard'!$B$4),OR('Dashboard'!$E$4="All",N1762='Dashboard'!$E$4),OR('Dashboard'!$H$4="All",K1762='Dashboard'!$H$4),OR('Dashboard'!$K$4="All",C1762='Dashboard'!$K$4)),1,0)</x:f>
        <x:v>1</x:v>
      </x:c>
      <x:c r="AI1762" s="84" t="n">
        <x:f>IF(AND(AG1762=1,OR('Dashboard'!$B$4="All",I1762='Dashboard'!$B$4),OR('Dashboard'!$E$4="All",N1762='Dashboard'!$E$4),OR('Dashboard'!$H$4="All",K1762='Dashboard'!$H$4)),1,0)</x:f>
        <x:v>1</x:v>
      </x:c>
    </x:row>
    <x:row r="1763">
      <x:c r="A1763" s="84" t="str">
        <x:f>'Raw Sales'!A1763</x:f>
        <x:v>ORD-2025-01116</x:v>
      </x:c>
      <x:c r="B1763" s="85" t="n">
        <x:f>'Raw Sales'!B1763</x:f>
        <x:v>45869</x:v>
      </x:c>
      <x:c r="C1763" s="84" t="n">
        <x:f>YEAR(B1763)</x:f>
        <x:v>2025</x:v>
      </x:c>
      <x:c r="D1763" s="91" t="n">
        <x:f>DATE(YEAR(B1763),MONTH(B1763),1)</x:f>
        <x:v>45839</x:v>
      </x:c>
      <x:c r="E1763" s="84" t="str">
        <x:f>TEXT(B1763,"mmm")</x:f>
        <x:v>Jul</x:v>
      </x:c>
      <x:c r="F1763" s="84" t="str">
        <x:f>'Raw Sales'!C1763</x:f>
        <x:v>CUST-0285</x:v>
      </x:c>
      <x:c r="G1763" s="84" t="str">
        <x:f>PROPER(TRIM('Raw Sales'!D1763))</x:f>
        <x:v>Caleb Evans</x:v>
      </x:c>
      <x:c r="H1763" s="84" t="str">
        <x:f>IF(TRIM('Raw Sales'!E1763)="","Unknown",PROPER(TRIM('Raw Sales'!E1763)))</x:f>
        <x:v>Consumer</x:v>
      </x:c>
      <x:c r="I1763" s="84" t="str">
        <x:f>PROPER(TRIM('Raw Sales'!F1763))</x:f>
        <x:v>Southeast</x:v>
      </x:c>
      <x:c r="J1763" s="84" t="str">
        <x:f>PROPER(TRIM('Raw Sales'!G1763))</x:f>
        <x:v>Charlotte</x:v>
      </x:c>
      <x:c r="K1763" s="84" t="str">
        <x:f>PROPER(TRIM('Raw Sales'!H1763))</x:f>
        <x:v>Retail Store</x:v>
      </x:c>
      <x:c r="L1763" s="84" t="str">
        <x:f>'Raw Sales'!I1763</x:f>
        <x:v>ELEC-004</x:v>
      </x:c>
      <x:c r="M1763" s="84" t="str">
        <x:f>IFERROR(VLOOKUP(L1763,'Reference Data'!$A$5:$F$40,2,FALSE),"Unknown Product")</x:f>
        <x:v>Power Bank</x:v>
      </x:c>
      <x:c r="N1763" s="84" t="str">
        <x:f>IFERROR(VLOOKUP(L1763,'Reference Data'!$A$5:$F$40,3,FALSE),"Unknown")</x:f>
        <x:v>Electronics</x:v>
      </x:c>
      <x:c r="O1763" s="84" t="str">
        <x:f>IFERROR(VLOOKUP(L1763,'Reference Data'!$A$5:$F$40,4,FALSE),"Unknown")</x:f>
        <x:v>Mobile Accessories</x:v>
      </x:c>
      <x:c r="P1763" s="92" t="n">
        <x:f>IFERROR(VLOOKUP(L1763,'Reference Data'!$A$5:$F$40,5,FALSE),0)</x:f>
        <x:v>39</x:v>
      </x:c>
      <x:c r="Q1763" s="92" t="n">
        <x:f>IFERROR(VLOOKUP(L1763,'Reference Data'!$A$5:$F$40,6,FALSE),0)</x:f>
        <x:v>18</x:v>
      </x:c>
      <x:c r="R1763" s="84" t="n">
        <x:f>'Raw Sales'!J1763</x:f>
        <x:v>2</x:v>
      </x:c>
      <x:c r="S1763" s="87" t="n">
        <x:f>'Raw Sales'!K1763</x:f>
        <x:v>0.05</x:v>
      </x:c>
      <x:c r="T1763" s="93" t="n">
        <x:f>P1763*R1763</x:f>
        <x:v>78</x:v>
      </x:c>
      <x:c r="U1763" s="93" t="n">
        <x:f>T1763*S1763</x:f>
        <x:v>3.9000000000000004</x:v>
      </x:c>
      <x:c r="V1763" s="93" t="str">
        <x:f>PROPER(TRIM('Raw Sales'!L1763))</x:f>
        <x:v>Completed</x:v>
      </x:c>
      <x:c r="W1763" s="93" t="n">
        <x:f>IF(V1763="Returned",0,T1763-U1763)</x:f>
        <x:v>74.1</x:v>
      </x:c>
      <x:c r="X1763" s="93" t="n">
        <x:f>IF(V1763="Returned",Q1763*R1763*10%,Q1763*R1763)</x:f>
        <x:v>36</x:v>
      </x:c>
      <x:c r="Y1763" s="93" t="n">
        <x:f>W1763-X1763</x:f>
        <x:v>38.099999999999994</x:v>
      </x:c>
      <x:c r="Z1763" s="94" t="n">
        <x:f>IFERROR(Y1763/W1763,0)</x:f>
        <x:v>0.5141700404858299</x:v>
      </x:c>
      <x:c r="AA1763" s="84" t="str">
        <x:f>PROPER(TRIM('Raw Sales'!M1763))</x:f>
        <x:v>Credit Card</x:v>
      </x:c>
      <x:c r="AB1763" s="84" t="str">
        <x:f>PROPER(TRIM('Raw Sales'!N1763))</x:f>
        <x:v>Noah Reed</x:v>
      </x:c>
      <x:c r="AC1763" s="85" t="n">
        <x:f>'Raw Sales'!O1763</x:f>
        <x:v>45869</x:v>
      </x:c>
      <x:c r="AD1763" s="84" t="n">
        <x:f>AC1763-B1763</x:f>
        <x:v>0</x:v>
      </x:c>
      <x:c r="AE1763" s="84" t="str">
        <x:f>IF(COUNTIF($A$5:A1763,A1763)&gt;1,"Duplicate","Keep")</x:f>
        <x:v>Keep</x:v>
      </x:c>
      <x:c r="AF1763" s="84" t="str">
        <x:f>IF(OR(R1763&lt;=0,AC1763&lt;B1763,H1763="Unknown",M1763="Unknown Product"),"Review","Valid")</x:f>
        <x:v>Valid</x:v>
      </x:c>
      <x:c r="AG1763" s="84" t="n">
        <x:f>IF(AND(AE1763="Keep",AF1763="Valid"),1,0)</x:f>
        <x:v>1</x:v>
      </x:c>
      <x:c r="AH1763" s="84" t="n">
        <x:f>IF(AND(AG1763=1,OR('Dashboard'!$B$4="All",I1763='Dashboard'!$B$4),OR('Dashboard'!$E$4="All",N1763='Dashboard'!$E$4),OR('Dashboard'!$H$4="All",K1763='Dashboard'!$H$4),OR('Dashboard'!$K$4="All",C1763='Dashboard'!$K$4)),1,0)</x:f>
        <x:v>1</x:v>
      </x:c>
      <x:c r="AI1763" s="84" t="n">
        <x:f>IF(AND(AG1763=1,OR('Dashboard'!$B$4="All",I1763='Dashboard'!$B$4),OR('Dashboard'!$E$4="All",N1763='Dashboard'!$E$4),OR('Dashboard'!$H$4="All",K1763='Dashboard'!$H$4)),1,0)</x:f>
        <x:v>1</x:v>
      </x:c>
    </x:row>
    <x:row r="1764">
      <x:c r="A1764" s="84" t="str">
        <x:f>'Raw Sales'!A1764</x:f>
        <x:v>ORD-2025-01437</x:v>
      </x:c>
      <x:c r="B1764" s="85" t="n">
        <x:f>'Raw Sales'!B1764</x:f>
        <x:v>45869</x:v>
      </x:c>
      <x:c r="C1764" s="84" t="n">
        <x:f>YEAR(B1764)</x:f>
        <x:v>2025</x:v>
      </x:c>
      <x:c r="D1764" s="91" t="n">
        <x:f>DATE(YEAR(B1764),MONTH(B1764),1)</x:f>
        <x:v>45839</x:v>
      </x:c>
      <x:c r="E1764" s="84" t="str">
        <x:f>TEXT(B1764,"mmm")</x:f>
        <x:v>Jul</x:v>
      </x:c>
      <x:c r="F1764" s="84" t="str">
        <x:f>'Raw Sales'!C1764</x:f>
        <x:v>CUST-0292</x:v>
      </x:c>
      <x:c r="G1764" s="84" t="str">
        <x:f>PROPER(TRIM('Raw Sales'!D1764))</x:f>
        <x:v>Caleb Nelson</x:v>
      </x:c>
      <x:c r="H1764" s="84" t="str">
        <x:f>IF(TRIM('Raw Sales'!E1764)="","Unknown",PROPER(TRIM('Raw Sales'!E1764)))</x:f>
        <x:v>Small Business</x:v>
      </x:c>
      <x:c r="I1764" s="84" t="str">
        <x:f>PROPER(TRIM('Raw Sales'!F1764))</x:f>
        <x:v>Midwest</x:v>
      </x:c>
      <x:c r="J1764" s="84" t="str">
        <x:f>PROPER(TRIM('Raw Sales'!G1764))</x:f>
        <x:v>Columbus</x:v>
      </x:c>
      <x:c r="K1764" s="84" t="str">
        <x:f>PROPER(TRIM('Raw Sales'!H1764))</x:f>
        <x:v>Retail Store</x:v>
      </x:c>
      <x:c r="L1764" s="84" t="str">
        <x:f>'Raw Sales'!I1764</x:f>
        <x:v>FITN-002</x:v>
      </x:c>
      <x:c r="M1764" s="84" t="str">
        <x:f>IFERROR(VLOOKUP(L1764,'Reference Data'!$A$5:$F$40,2,FALSE),"Unknown Product")</x:f>
        <x:v>Adjustable Dumbbell Set</x:v>
      </x:c>
      <x:c r="N1764" s="84" t="str">
        <x:f>IFERROR(VLOOKUP(L1764,'Reference Data'!$A$5:$F$40,3,FALSE),"Unknown")</x:f>
        <x:v>Fitness</x:v>
      </x:c>
      <x:c r="O1764" s="84" t="str">
        <x:f>IFERROR(VLOOKUP(L1764,'Reference Data'!$A$5:$F$40,4,FALSE),"Unknown")</x:f>
        <x:v>Strength</x:v>
      </x:c>
      <x:c r="P1764" s="92" t="n">
        <x:f>IFERROR(VLOOKUP(L1764,'Reference Data'!$A$5:$F$40,5,FALSE),0)</x:f>
        <x:v>99</x:v>
      </x:c>
      <x:c r="Q1764" s="92" t="n">
        <x:f>IFERROR(VLOOKUP(L1764,'Reference Data'!$A$5:$F$40,6,FALSE),0)</x:f>
        <x:v>57</x:v>
      </x:c>
      <x:c r="R1764" s="84" t="n">
        <x:f>'Raw Sales'!J1764</x:f>
        <x:v>1</x:v>
      </x:c>
      <x:c r="S1764" s="87" t="n">
        <x:f>'Raw Sales'!K1764</x:f>
        <x:v>0.05</x:v>
      </x:c>
      <x:c r="T1764" s="93" t="n">
        <x:f>P1764*R1764</x:f>
        <x:v>99</x:v>
      </x:c>
      <x:c r="U1764" s="93" t="n">
        <x:f>T1764*S1764</x:f>
        <x:v>4.95</x:v>
      </x:c>
      <x:c r="V1764" s="93" t="str">
        <x:f>PROPER(TRIM('Raw Sales'!L1764))</x:f>
        <x:v>Completed</x:v>
      </x:c>
      <x:c r="W1764" s="93" t="n">
        <x:f>IF(V1764="Returned",0,T1764-U1764)</x:f>
        <x:v>94.05</x:v>
      </x:c>
      <x:c r="X1764" s="93" t="n">
        <x:f>IF(V1764="Returned",Q1764*R1764*10%,Q1764*R1764)</x:f>
        <x:v>57</x:v>
      </x:c>
      <x:c r="Y1764" s="93" t="n">
        <x:f>W1764-X1764</x:f>
        <x:v>37.05</x:v>
      </x:c>
      <x:c r="Z1764" s="94" t="n">
        <x:f>IFERROR(Y1764/W1764,0)</x:f>
        <x:v>0.3939393939393939</x:v>
      </x:c>
      <x:c r="AA1764" s="84" t="str">
        <x:f>PROPER(TRIM('Raw Sales'!M1764))</x:f>
        <x:v>Cash</x:v>
      </x:c>
      <x:c r="AB1764" s="84" t="str">
        <x:f>PROPER(TRIM('Raw Sales'!N1764))</x:f>
        <x:v>Emma Hayes</x:v>
      </x:c>
      <x:c r="AC1764" s="85" t="n">
        <x:f>'Raw Sales'!O1764</x:f>
        <x:v>45869</x:v>
      </x:c>
      <x:c r="AD1764" s="84" t="n">
        <x:f>AC1764-B1764</x:f>
        <x:v>0</x:v>
      </x:c>
      <x:c r="AE1764" s="84" t="str">
        <x:f>IF(COUNTIF($A$5:A1764,A1764)&gt;1,"Duplicate","Keep")</x:f>
        <x:v>Keep</x:v>
      </x:c>
      <x:c r="AF1764" s="84" t="str">
        <x:f>IF(OR(R1764&lt;=0,AC1764&lt;B1764,H1764="Unknown",M1764="Unknown Product"),"Review","Valid")</x:f>
        <x:v>Valid</x:v>
      </x:c>
      <x:c r="AG1764" s="84" t="n">
        <x:f>IF(AND(AE1764="Keep",AF1764="Valid"),1,0)</x:f>
        <x:v>1</x:v>
      </x:c>
      <x:c r="AH1764" s="84" t="n">
        <x:f>IF(AND(AG1764=1,OR('Dashboard'!$B$4="All",I1764='Dashboard'!$B$4),OR('Dashboard'!$E$4="All",N1764='Dashboard'!$E$4),OR('Dashboard'!$H$4="All",K1764='Dashboard'!$H$4),OR('Dashboard'!$K$4="All",C1764='Dashboard'!$K$4)),1,0)</x:f>
        <x:v>1</x:v>
      </x:c>
      <x:c r="AI1764" s="84" t="n">
        <x:f>IF(AND(AG1764=1,OR('Dashboard'!$B$4="All",I1764='Dashboard'!$B$4),OR('Dashboard'!$E$4="All",N1764='Dashboard'!$E$4),OR('Dashboard'!$H$4="All",K1764='Dashboard'!$H$4)),1,0)</x:f>
        <x:v>1</x:v>
      </x:c>
    </x:row>
    <x:row r="1765">
      <x:c r="A1765" s="84" t="str">
        <x:f>'Raw Sales'!A1765</x:f>
        <x:v>ORD-2025-00305</x:v>
      </x:c>
      <x:c r="B1765" s="85" t="n">
        <x:f>'Raw Sales'!B1765</x:f>
        <x:v>45870</x:v>
      </x:c>
      <x:c r="C1765" s="84" t="n">
        <x:f>YEAR(B1765)</x:f>
        <x:v>2025</x:v>
      </x:c>
      <x:c r="D1765" s="91" t="n">
        <x:f>DATE(YEAR(B1765),MONTH(B1765),1)</x:f>
        <x:v>45870</x:v>
      </x:c>
      <x:c r="E1765" s="84" t="str">
        <x:f>TEXT(B1765,"mmm")</x:f>
        <x:v>Aug</x:v>
      </x:c>
      <x:c r="F1765" s="84" t="str">
        <x:f>'Raw Sales'!C1765</x:f>
        <x:v>CUST-0024</x:v>
      </x:c>
      <x:c r="G1765" s="84" t="str">
        <x:f>PROPER(TRIM('Raw Sales'!D1765))</x:f>
        <x:v>Zara Quinn</x:v>
      </x:c>
      <x:c r="H1765" s="84" t="str">
        <x:f>IF(TRIM('Raw Sales'!E1765)="","Unknown",PROPER(TRIM('Raw Sales'!E1765)))</x:f>
        <x:v>Unknown</x:v>
      </x:c>
      <x:c r="I1765" s="84" t="str">
        <x:f>PROPER(TRIM('Raw Sales'!F1765))</x:f>
        <x:v>Midwest</x:v>
      </x:c>
      <x:c r="J1765" s="84" t="str">
        <x:f>PROPER(TRIM('Raw Sales'!G1765))</x:f>
        <x:v>Columbus</x:v>
      </x:c>
      <x:c r="K1765" s="84" t="str">
        <x:f>PROPER(TRIM('Raw Sales'!H1765))</x:f>
        <x:v>Online</x:v>
      </x:c>
      <x:c r="L1765" s="84" t="str">
        <x:f>'Raw Sales'!I1765</x:f>
        <x:v>ELEC-005</x:v>
      </x:c>
      <x:c r="M1765" s="84" t="str">
        <x:f>IFERROR(VLOOKUP(L1765,'Reference Data'!$A$5:$F$40,2,FALSE),"Unknown Product")</x:f>
        <x:v>HD Webcam</x:v>
      </x:c>
      <x:c r="N1765" s="84" t="str">
        <x:f>IFERROR(VLOOKUP(L1765,'Reference Data'!$A$5:$F$40,3,FALSE),"Unknown")</x:f>
        <x:v>Electronics</x:v>
      </x:c>
      <x:c r="O1765" s="84" t="str">
        <x:f>IFERROR(VLOOKUP(L1765,'Reference Data'!$A$5:$F$40,4,FALSE),"Unknown")</x:f>
        <x:v>Computer Accessories</x:v>
      </x:c>
      <x:c r="P1765" s="92" t="n">
        <x:f>IFERROR(VLOOKUP(L1765,'Reference Data'!$A$5:$F$40,5,FALSE),0)</x:f>
        <x:v>79</x:v>
      </x:c>
      <x:c r="Q1765" s="92" t="n">
        <x:f>IFERROR(VLOOKUP(L1765,'Reference Data'!$A$5:$F$40,6,FALSE),0)</x:f>
        <x:v>37</x:v>
      </x:c>
      <x:c r="R1765" s="84" t="n">
        <x:f>'Raw Sales'!J1765</x:f>
        <x:v>1</x:v>
      </x:c>
      <x:c r="S1765" s="87" t="n">
        <x:f>'Raw Sales'!K1765</x:f>
        <x:v>0.1</x:v>
      </x:c>
      <x:c r="T1765" s="93" t="n">
        <x:f>P1765*R1765</x:f>
        <x:v>79</x:v>
      </x:c>
      <x:c r="U1765" s="93" t="n">
        <x:f>T1765*S1765</x:f>
        <x:v>7.9</x:v>
      </x:c>
      <x:c r="V1765" s="93" t="str">
        <x:f>PROPER(TRIM('Raw Sales'!L1765))</x:f>
        <x:v>Completed</x:v>
      </x:c>
      <x:c r="W1765" s="93" t="n">
        <x:f>IF(V1765="Returned",0,T1765-U1765)</x:f>
        <x:v>71.1</x:v>
      </x:c>
      <x:c r="X1765" s="93" t="n">
        <x:f>IF(V1765="Returned",Q1765*R1765*10%,Q1765*R1765)</x:f>
        <x:v>37</x:v>
      </x:c>
      <x:c r="Y1765" s="93" t="n">
        <x:f>W1765-X1765</x:f>
        <x:v>34.099999999999994</x:v>
      </x:c>
      <x:c r="Z1765" s="94" t="n">
        <x:f>IFERROR(Y1765/W1765,0)</x:f>
        <x:v>0.4796061884669479</x:v>
      </x:c>
      <x:c r="AA1765" s="84" t="str">
        <x:f>PROPER(TRIM('Raw Sales'!M1765))</x:f>
        <x:v>Debit Card</x:v>
      </x:c>
      <x:c r="AB1765" s="84" t="str">
        <x:f>PROPER(TRIM('Raw Sales'!N1765))</x:f>
        <x:v>Lucas Grant</x:v>
      </x:c>
      <x:c r="AC1765" s="85" t="n">
        <x:f>'Raw Sales'!O1765</x:f>
        <x:v>45876</x:v>
      </x:c>
      <x:c r="AD1765" s="84" t="n">
        <x:f>AC1765-B1765</x:f>
        <x:v>6</x:v>
      </x:c>
      <x:c r="AE1765" s="84" t="str">
        <x:f>IF(COUNTIF($A$5:A1765,A1765)&gt;1,"Duplicate","Keep")</x:f>
        <x:v>Keep</x:v>
      </x:c>
      <x:c r="AF1765" s="84" t="str">
        <x:f>IF(OR(R1765&lt;=0,AC1765&lt;B1765,H1765="Unknown",M1765="Unknown Product"),"Review","Valid")</x:f>
        <x:v>Review</x:v>
      </x:c>
      <x:c r="AG1765" s="84" t="n">
        <x:f>IF(AND(AE1765="Keep",AF1765="Valid"),1,0)</x:f>
        <x:v>0</x:v>
      </x:c>
      <x:c r="AH1765" s="84" t="n">
        <x:f>IF(AND(AG1765=1,OR('Dashboard'!$B$4="All",I1765='Dashboard'!$B$4),OR('Dashboard'!$E$4="All",N1765='Dashboard'!$E$4),OR('Dashboard'!$H$4="All",K1765='Dashboard'!$H$4),OR('Dashboard'!$K$4="All",C1765='Dashboard'!$K$4)),1,0)</x:f>
        <x:v>0</x:v>
      </x:c>
      <x:c r="AI1765" s="84" t="n">
        <x:f>IF(AND(AG1765=1,OR('Dashboard'!$B$4="All",I1765='Dashboard'!$B$4),OR('Dashboard'!$E$4="All",N1765='Dashboard'!$E$4),OR('Dashboard'!$H$4="All",K1765='Dashboard'!$H$4)),1,0)</x:f>
        <x:v>0</x:v>
      </x:c>
    </x:row>
    <x:row r="1766">
      <x:c r="A1766" s="84" t="str">
        <x:f>'Raw Sales'!A1766</x:f>
        <x:v>ORD-2025-00862</x:v>
      </x:c>
      <x:c r="B1766" s="85" t="n">
        <x:f>'Raw Sales'!B1766</x:f>
        <x:v>45870</x:v>
      </x:c>
      <x:c r="C1766" s="84" t="n">
        <x:f>YEAR(B1766)</x:f>
        <x:v>2025</x:v>
      </x:c>
      <x:c r="D1766" s="91" t="n">
        <x:f>DATE(YEAR(B1766),MONTH(B1766),1)</x:f>
        <x:v>45870</x:v>
      </x:c>
      <x:c r="E1766" s="84" t="str">
        <x:f>TEXT(B1766,"mmm")</x:f>
        <x:v>Aug</x:v>
      </x:c>
      <x:c r="F1766" s="84" t="str">
        <x:f>'Raw Sales'!C1766</x:f>
        <x:v>CUST-0370</x:v>
      </x:c>
      <x:c r="G1766" s="84" t="str">
        <x:f>PROPER(TRIM('Raw Sales'!D1766))</x:f>
        <x:v>Aiden Moore</x:v>
      </x:c>
      <x:c r="H1766" s="84" t="str">
        <x:f>IF(TRIM('Raw Sales'!E1766)="","Unknown",PROPER(TRIM('Raw Sales'!E1766)))</x:f>
        <x:v>Small Business</x:v>
      </x:c>
      <x:c r="I1766" s="84" t="str">
        <x:f>PROPER(TRIM('Raw Sales'!F1766))</x:f>
        <x:v>West</x:v>
      </x:c>
      <x:c r="J1766" s="84" t="str">
        <x:f>PROPER(TRIM('Raw Sales'!G1766))</x:f>
        <x:v>Phoenix</x:v>
      </x:c>
      <x:c r="K1766" s="84" t="str">
        <x:f>PROPER(TRIM('Raw Sales'!H1766))</x:f>
        <x:v>Retail Store</x:v>
      </x:c>
      <x:c r="L1766" s="84" t="str">
        <x:f>'Raw Sales'!I1766</x:f>
        <x:v>HOME-006</x:v>
      </x:c>
      <x:c r="M1766" s="84" t="str">
        <x:f>IFERROR(VLOOKUP(L1766,'Reference Data'!$A$5:$F$40,2,FALSE),"Unknown Product")</x:f>
        <x:v>Food Storage Set</x:v>
      </x:c>
      <x:c r="N1766" s="84" t="str">
        <x:f>IFERROR(VLOOKUP(L1766,'Reference Data'!$A$5:$F$40,3,FALSE),"Unknown")</x:f>
        <x:v>Home &amp; Kitchen</x:v>
      </x:c>
      <x:c r="O1766" s="84" t="str">
        <x:f>IFERROR(VLOOKUP(L1766,'Reference Data'!$A$5:$F$40,4,FALSE),"Unknown")</x:f>
        <x:v>Kitchenware</x:v>
      </x:c>
      <x:c r="P1766" s="92" t="n">
        <x:f>IFERROR(VLOOKUP(L1766,'Reference Data'!$A$5:$F$40,5,FALSE),0)</x:f>
        <x:v>34</x:v>
      </x:c>
      <x:c r="Q1766" s="92" t="n">
        <x:f>IFERROR(VLOOKUP(L1766,'Reference Data'!$A$5:$F$40,6,FALSE),0)</x:f>
        <x:v>15</x:v>
      </x:c>
      <x:c r="R1766" s="84" t="n">
        <x:f>'Raw Sales'!J1766</x:f>
        <x:v>2</x:v>
      </x:c>
      <x:c r="S1766" s="87" t="n">
        <x:f>'Raw Sales'!K1766</x:f>
        <x:v>0</x:v>
      </x:c>
      <x:c r="T1766" s="93" t="n">
        <x:f>P1766*R1766</x:f>
        <x:v>68</x:v>
      </x:c>
      <x:c r="U1766" s="93" t="n">
        <x:f>T1766*S1766</x:f>
        <x:v>0</x:v>
      </x:c>
      <x:c r="V1766" s="93" t="str">
        <x:f>PROPER(TRIM('Raw Sales'!L1766))</x:f>
        <x:v>Completed</x:v>
      </x:c>
      <x:c r="W1766" s="93" t="n">
        <x:f>IF(V1766="Returned",0,T1766-U1766)</x:f>
        <x:v>68</x:v>
      </x:c>
      <x:c r="X1766" s="93" t="n">
        <x:f>IF(V1766="Returned",Q1766*R1766*10%,Q1766*R1766)</x:f>
        <x:v>30</x:v>
      </x:c>
      <x:c r="Y1766" s="93" t="n">
        <x:f>W1766-X1766</x:f>
        <x:v>38</x:v>
      </x:c>
      <x:c r="Z1766" s="94" t="n">
        <x:f>IFERROR(Y1766/W1766,0)</x:f>
        <x:v>0.5588235294117647</x:v>
      </x:c>
      <x:c r="AA1766" s="84" t="str">
        <x:f>PROPER(TRIM('Raw Sales'!M1766))</x:f>
        <x:v>Mobile Wallet</x:v>
      </x:c>
      <x:c r="AB1766" s="84" t="str">
        <x:f>PROPER(TRIM('Raw Sales'!N1766))</x:f>
        <x:v>Mia Chen</x:v>
      </x:c>
      <x:c r="AC1766" s="85" t="n">
        <x:f>'Raw Sales'!O1766</x:f>
        <x:v>45871</x:v>
      </x:c>
      <x:c r="AD1766" s="84" t="n">
        <x:f>AC1766-B1766</x:f>
        <x:v>1</x:v>
      </x:c>
      <x:c r="AE1766" s="84" t="str">
        <x:f>IF(COUNTIF($A$5:A1766,A1766)&gt;1,"Duplicate","Keep")</x:f>
        <x:v>Keep</x:v>
      </x:c>
      <x:c r="AF1766" s="84" t="str">
        <x:f>IF(OR(R1766&lt;=0,AC1766&lt;B1766,H1766="Unknown",M1766="Unknown Product"),"Review","Valid")</x:f>
        <x:v>Valid</x:v>
      </x:c>
      <x:c r="AG1766" s="84" t="n">
        <x:f>IF(AND(AE1766="Keep",AF1766="Valid"),1,0)</x:f>
        <x:v>1</x:v>
      </x:c>
      <x:c r="AH1766" s="84" t="n">
        <x:f>IF(AND(AG1766=1,OR('Dashboard'!$B$4="All",I1766='Dashboard'!$B$4),OR('Dashboard'!$E$4="All",N1766='Dashboard'!$E$4),OR('Dashboard'!$H$4="All",K1766='Dashboard'!$H$4),OR('Dashboard'!$K$4="All",C1766='Dashboard'!$K$4)),1,0)</x:f>
        <x:v>1</x:v>
      </x:c>
      <x:c r="AI1766" s="84" t="n">
        <x:f>IF(AND(AG1766=1,OR('Dashboard'!$B$4="All",I1766='Dashboard'!$B$4),OR('Dashboard'!$E$4="All",N1766='Dashboard'!$E$4),OR('Dashboard'!$H$4="All",K1766='Dashboard'!$H$4)),1,0)</x:f>
        <x:v>1</x:v>
      </x:c>
    </x:row>
    <x:row r="1767">
      <x:c r="A1767" s="84" t="str">
        <x:f>'Raw Sales'!A1767</x:f>
        <x:v>ORD-2025-01138</x:v>
      </x:c>
      <x:c r="B1767" s="85" t="n">
        <x:f>'Raw Sales'!B1767</x:f>
        <x:v>45870</x:v>
      </x:c>
      <x:c r="C1767" s="84" t="n">
        <x:f>YEAR(B1767)</x:f>
        <x:v>2025</x:v>
      </x:c>
      <x:c r="D1767" s="91" t="n">
        <x:f>DATE(YEAR(B1767),MONTH(B1767),1)</x:f>
        <x:v>45870</x:v>
      </x:c>
      <x:c r="E1767" s="84" t="str">
        <x:f>TEXT(B1767,"mmm")</x:f>
        <x:v>Aug</x:v>
      </x:c>
      <x:c r="F1767" s="84" t="str">
        <x:f>'Raw Sales'!C1767</x:f>
        <x:v>CUST-0107</x:v>
      </x:c>
      <x:c r="G1767" s="84" t="str">
        <x:f>PROPER(TRIM('Raw Sales'!D1767))</x:f>
        <x:v>Elena Hall</x:v>
      </x:c>
      <x:c r="H1767" s="84" t="str">
        <x:f>IF(TRIM('Raw Sales'!E1767)="","Unknown",PROPER(TRIM('Raw Sales'!E1767)))</x:f>
        <x:v>Consumer</x:v>
      </x:c>
      <x:c r="I1767" s="84" t="str">
        <x:f>PROPER(TRIM('Raw Sales'!F1767))</x:f>
        <x:v>Midwest</x:v>
      </x:c>
      <x:c r="J1767" s="84" t="str">
        <x:f>PROPER(TRIM('Raw Sales'!G1767))</x:f>
        <x:v>Columbus</x:v>
      </x:c>
      <x:c r="K1767" s="84" t="str">
        <x:f>PROPER(TRIM('Raw Sales'!H1767))</x:f>
        <x:v>Retail Store</x:v>
      </x:c>
      <x:c r="L1767" s="84" t="str">
        <x:f>'Raw Sales'!I1767</x:f>
        <x:v>ACCS-005</x:v>
      </x:c>
      <x:c r="M1767" s="84" t="str">
        <x:f>IFERROR(VLOOKUP(L1767,'Reference Data'!$A$5:$F$40,2,FALSE),"Unknown Product")</x:f>
        <x:v>Protective Phone Case</x:v>
      </x:c>
      <x:c r="N1767" s="84" t="str">
        <x:f>IFERROR(VLOOKUP(L1767,'Reference Data'!$A$5:$F$40,3,FALSE),"Unknown")</x:f>
        <x:v>Accessories</x:v>
      </x:c>
      <x:c r="O1767" s="84" t="str">
        <x:f>IFERROR(VLOOKUP(L1767,'Reference Data'!$A$5:$F$40,4,FALSE),"Unknown")</x:f>
        <x:v>Mobile Accessories</x:v>
      </x:c>
      <x:c r="P1767" s="92" t="n">
        <x:f>IFERROR(VLOOKUP(L1767,'Reference Data'!$A$5:$F$40,5,FALSE),0)</x:f>
        <x:v>24</x:v>
      </x:c>
      <x:c r="Q1767" s="92" t="n">
        <x:f>IFERROR(VLOOKUP(L1767,'Reference Data'!$A$5:$F$40,6,FALSE),0)</x:f>
        <x:v>5</x:v>
      </x:c>
      <x:c r="R1767" s="84" t="n">
        <x:f>'Raw Sales'!J1767</x:f>
        <x:v>4</x:v>
      </x:c>
      <x:c r="S1767" s="87" t="n">
        <x:f>'Raw Sales'!K1767</x:f>
        <x:v>0.15</x:v>
      </x:c>
      <x:c r="T1767" s="93" t="n">
        <x:f>P1767*R1767</x:f>
        <x:v>96</x:v>
      </x:c>
      <x:c r="U1767" s="93" t="n">
        <x:f>T1767*S1767</x:f>
        <x:v>14.399999999999999</x:v>
      </x:c>
      <x:c r="V1767" s="93" t="str">
        <x:f>PROPER(TRIM('Raw Sales'!L1767))</x:f>
        <x:v>Completed</x:v>
      </x:c>
      <x:c r="W1767" s="93" t="n">
        <x:f>IF(V1767="Returned",0,T1767-U1767)</x:f>
        <x:v>81.6</x:v>
      </x:c>
      <x:c r="X1767" s="93" t="n">
        <x:f>IF(V1767="Returned",Q1767*R1767*10%,Q1767*R1767)</x:f>
        <x:v>20</x:v>
      </x:c>
      <x:c r="Y1767" s="93" t="n">
        <x:f>W1767-X1767</x:f>
        <x:v>61.599999999999994</x:v>
      </x:c>
      <x:c r="Z1767" s="94" t="n">
        <x:f>IFERROR(Y1767/W1767,0)</x:f>
        <x:v>0.7549019607843137</x:v>
      </x:c>
      <x:c r="AA1767" s="84" t="str">
        <x:f>PROPER(TRIM('Raw Sales'!M1767))</x:f>
        <x:v>Debit Card</x:v>
      </x:c>
      <x:c r="AB1767" s="84" t="str">
        <x:f>PROPER(TRIM('Raw Sales'!N1767))</x:f>
        <x:v>Emma Hayes</x:v>
      </x:c>
      <x:c r="AC1767" s="85" t="n">
        <x:f>'Raw Sales'!O1767</x:f>
        <x:v>45870</x:v>
      </x:c>
      <x:c r="AD1767" s="84" t="n">
        <x:f>AC1767-B1767</x:f>
        <x:v>0</x:v>
      </x:c>
      <x:c r="AE1767" s="84" t="str">
        <x:f>IF(COUNTIF($A$5:A1767,A1767)&gt;1,"Duplicate","Keep")</x:f>
        <x:v>Keep</x:v>
      </x:c>
      <x:c r="AF1767" s="84" t="str">
        <x:f>IF(OR(R1767&lt;=0,AC1767&lt;B1767,H1767="Unknown",M1767="Unknown Product"),"Review","Valid")</x:f>
        <x:v>Valid</x:v>
      </x:c>
      <x:c r="AG1767" s="84" t="n">
        <x:f>IF(AND(AE1767="Keep",AF1767="Valid"),1,0)</x:f>
        <x:v>1</x:v>
      </x:c>
      <x:c r="AH1767" s="84" t="n">
        <x:f>IF(AND(AG1767=1,OR('Dashboard'!$B$4="All",I1767='Dashboard'!$B$4),OR('Dashboard'!$E$4="All",N1767='Dashboard'!$E$4),OR('Dashboard'!$H$4="All",K1767='Dashboard'!$H$4),OR('Dashboard'!$K$4="All",C1767='Dashboard'!$K$4)),1,0)</x:f>
        <x:v>1</x:v>
      </x:c>
      <x:c r="AI1767" s="84" t="n">
        <x:f>IF(AND(AG1767=1,OR('Dashboard'!$B$4="All",I1767='Dashboard'!$B$4),OR('Dashboard'!$E$4="All",N1767='Dashboard'!$E$4),OR('Dashboard'!$H$4="All",K1767='Dashboard'!$H$4)),1,0)</x:f>
        <x:v>1</x:v>
      </x:c>
    </x:row>
    <x:row r="1768">
      <x:c r="A1768" s="84" t="str">
        <x:f>'Raw Sales'!A1768</x:f>
        <x:v>ORD-2025-01869</x:v>
      </x:c>
      <x:c r="B1768" s="85" t="n">
        <x:f>'Raw Sales'!B1768</x:f>
        <x:v>45870</x:v>
      </x:c>
      <x:c r="C1768" s="84" t="n">
        <x:f>YEAR(B1768)</x:f>
        <x:v>2025</x:v>
      </x:c>
      <x:c r="D1768" s="91" t="n">
        <x:f>DATE(YEAR(B1768),MONTH(B1768),1)</x:f>
        <x:v>45870</x:v>
      </x:c>
      <x:c r="E1768" s="84" t="str">
        <x:f>TEXT(B1768,"mmm")</x:f>
        <x:v>Aug</x:v>
      </x:c>
      <x:c r="F1768" s="84" t="str">
        <x:f>'Raw Sales'!C1768</x:f>
        <x:v>CUST-0585</x:v>
      </x:c>
      <x:c r="G1768" s="84" t="str">
        <x:f>PROPER(TRIM('Raw Sales'!D1768))</x:f>
        <x:v>Isaac Patel</x:v>
      </x:c>
      <x:c r="H1768" s="84" t="str">
        <x:f>IF(TRIM('Raw Sales'!E1768)="","Unknown",PROPER(TRIM('Raw Sales'!E1768)))</x:f>
        <x:v>Consumer</x:v>
      </x:c>
      <x:c r="I1768" s="84" t="str">
        <x:f>PROPER(TRIM('Raw Sales'!F1768))</x:f>
        <x:v>Northeast</x:v>
      </x:c>
      <x:c r="J1768" s="84" t="str">
        <x:f>PROPER(TRIM('Raw Sales'!G1768))</x:f>
        <x:v>New York</x:v>
      </x:c>
      <x:c r="K1768" s="84" t="str">
        <x:f>PROPER(TRIM('Raw Sales'!H1768))</x:f>
        <x:v>Online</x:v>
      </x:c>
      <x:c r="L1768" s="84" t="str">
        <x:f>'Raw Sales'!I1768</x:f>
        <x:v>CARE-005</x:v>
      </x:c>
      <x:c r="M1768" s="84" t="str">
        <x:f>IFERROR(VLOOKUP(L1768,'Reference Data'!$A$5:$F$40,2,FALSE),"Unknown Product")</x:f>
        <x:v>Skin Care Starter Kit</x:v>
      </x:c>
      <x:c r="N1768" s="84" t="str">
        <x:f>IFERROR(VLOOKUP(L1768,'Reference Data'!$A$5:$F$40,3,FALSE),"Unknown")</x:f>
        <x:v>Personal Care</x:v>
      </x:c>
      <x:c r="O1768" s="84" t="str">
        <x:f>IFERROR(VLOOKUP(L1768,'Reference Data'!$A$5:$F$40,4,FALSE),"Unknown")</x:f>
        <x:v>Skin Care</x:v>
      </x:c>
      <x:c r="P1768" s="92" t="n">
        <x:f>IFERROR(VLOOKUP(L1768,'Reference Data'!$A$5:$F$40,5,FALSE),0)</x:f>
        <x:v>58</x:v>
      </x:c>
      <x:c r="Q1768" s="92" t="n">
        <x:f>IFERROR(VLOOKUP(L1768,'Reference Data'!$A$5:$F$40,6,FALSE),0)</x:f>
        <x:v>24</x:v>
      </x:c>
      <x:c r="R1768" s="84" t="n">
        <x:f>'Raw Sales'!J1768</x:f>
        <x:v>1</x:v>
      </x:c>
      <x:c r="S1768" s="87" t="n">
        <x:f>'Raw Sales'!K1768</x:f>
        <x:v>0</x:v>
      </x:c>
      <x:c r="T1768" s="93" t="n">
        <x:f>P1768*R1768</x:f>
        <x:v>58</x:v>
      </x:c>
      <x:c r="U1768" s="93" t="n">
        <x:f>T1768*S1768</x:f>
        <x:v>0</x:v>
      </x:c>
      <x:c r="V1768" s="93" t="str">
        <x:f>PROPER(TRIM('Raw Sales'!L1768))</x:f>
        <x:v>Completed</x:v>
      </x:c>
      <x:c r="W1768" s="93" t="n">
        <x:f>IF(V1768="Returned",0,T1768-U1768)</x:f>
        <x:v>58</x:v>
      </x:c>
      <x:c r="X1768" s="93" t="n">
        <x:f>IF(V1768="Returned",Q1768*R1768*10%,Q1768*R1768)</x:f>
        <x:v>24</x:v>
      </x:c>
      <x:c r="Y1768" s="93" t="n">
        <x:f>W1768-X1768</x:f>
        <x:v>34</x:v>
      </x:c>
      <x:c r="Z1768" s="94" t="n">
        <x:f>IFERROR(Y1768/W1768,0)</x:f>
        <x:v>0.5862068965517241</x:v>
      </x:c>
      <x:c r="AA1768" s="84" t="str">
        <x:f>PROPER(TRIM('Raw Sales'!M1768))</x:f>
        <x:v>Credit Card</x:v>
      </x:c>
      <x:c r="AB1768" s="84" t="str">
        <x:f>PROPER(TRIM('Raw Sales'!N1768))</x:f>
        <x:v>Ethan Cole</x:v>
      </x:c>
      <x:c r="AC1768" s="85" t="n">
        <x:f>'Raw Sales'!O1768</x:f>
        <x:v>45872</x:v>
      </x:c>
      <x:c r="AD1768" s="84" t="n">
        <x:f>AC1768-B1768</x:f>
        <x:v>2</x:v>
      </x:c>
      <x:c r="AE1768" s="84" t="str">
        <x:f>IF(COUNTIF($A$5:A1768,A1768)&gt;1,"Duplicate","Keep")</x:f>
        <x:v>Keep</x:v>
      </x:c>
      <x:c r="AF1768" s="84" t="str">
        <x:f>IF(OR(R1768&lt;=0,AC1768&lt;B1768,H1768="Unknown",M1768="Unknown Product"),"Review","Valid")</x:f>
        <x:v>Valid</x:v>
      </x:c>
      <x:c r="AG1768" s="84" t="n">
        <x:f>IF(AND(AE1768="Keep",AF1768="Valid"),1,0)</x:f>
        <x:v>1</x:v>
      </x:c>
      <x:c r="AH1768" s="84" t="n">
        <x:f>IF(AND(AG1768=1,OR('Dashboard'!$B$4="All",I1768='Dashboard'!$B$4),OR('Dashboard'!$E$4="All",N1768='Dashboard'!$E$4),OR('Dashboard'!$H$4="All",K1768='Dashboard'!$H$4),OR('Dashboard'!$K$4="All",C1768='Dashboard'!$K$4)),1,0)</x:f>
        <x:v>1</x:v>
      </x:c>
      <x:c r="AI1768" s="84" t="n">
        <x:f>IF(AND(AG1768=1,OR('Dashboard'!$B$4="All",I1768='Dashboard'!$B$4),OR('Dashboard'!$E$4="All",N1768='Dashboard'!$E$4),OR('Dashboard'!$H$4="All",K1768='Dashboard'!$H$4)),1,0)</x:f>
        <x:v>1</x:v>
      </x:c>
    </x:row>
    <x:row r="1769">
      <x:c r="A1769" s="84" t="str">
        <x:f>'Raw Sales'!A1769</x:f>
        <x:v>ORD-2025-00162</x:v>
      </x:c>
      <x:c r="B1769" s="85" t="n">
        <x:f>'Raw Sales'!B1769</x:f>
        <x:v>45871</x:v>
      </x:c>
      <x:c r="C1769" s="84" t="n">
        <x:f>YEAR(B1769)</x:f>
        <x:v>2025</x:v>
      </x:c>
      <x:c r="D1769" s="91" t="n">
        <x:f>DATE(YEAR(B1769),MONTH(B1769),1)</x:f>
        <x:v>45870</x:v>
      </x:c>
      <x:c r="E1769" s="84" t="str">
        <x:f>TEXT(B1769,"mmm")</x:f>
        <x:v>Aug</x:v>
      </x:c>
      <x:c r="F1769" s="84" t="str">
        <x:f>'Raw Sales'!C1769</x:f>
        <x:v>CUST-0090</x:v>
      </x:c>
      <x:c r="G1769" s="84" t="str">
        <x:f>PROPER(TRIM('Raw Sales'!D1769))</x:f>
        <x:v>Jasmine Baker</x:v>
      </x:c>
      <x:c r="H1769" s="84" t="str">
        <x:f>IF(TRIM('Raw Sales'!E1769)="","Unknown",PROPER(TRIM('Raw Sales'!E1769)))</x:f>
        <x:v>Consumer</x:v>
      </x:c>
      <x:c r="I1769" s="84" t="str">
        <x:f>PROPER(TRIM('Raw Sales'!F1769))</x:f>
        <x:v>West</x:v>
      </x:c>
      <x:c r="J1769" s="84" t="str">
        <x:f>PROPER(TRIM('Raw Sales'!G1769))</x:f>
        <x:v>Los Angeles</x:v>
      </x:c>
      <x:c r="K1769" s="84" t="str">
        <x:f>PROPER(TRIM('Raw Sales'!H1769))</x:f>
        <x:v>Online</x:v>
      </x:c>
      <x:c r="L1769" s="84" t="str">
        <x:f>'Raw Sales'!I1769</x:f>
        <x:v>ACCS-002</x:v>
      </x:c>
      <x:c r="M1769" s="84" t="str">
        <x:f>IFERROR(VLOOKUP(L1769,'Reference Data'!$A$5:$F$40,2,FALSE),"Unknown Product")</x:f>
        <x:v>Travel Backpack</x:v>
      </x:c>
      <x:c r="N1769" s="84" t="str">
        <x:f>IFERROR(VLOOKUP(L1769,'Reference Data'!$A$5:$F$40,3,FALSE),"Unknown")</x:f>
        <x:v>Accessories</x:v>
      </x:c>
      <x:c r="O1769" s="84" t="str">
        <x:f>IFERROR(VLOOKUP(L1769,'Reference Data'!$A$5:$F$40,4,FALSE),"Unknown")</x:f>
        <x:v>Bags</x:v>
      </x:c>
      <x:c r="P1769" s="92" t="n">
        <x:f>IFERROR(VLOOKUP(L1769,'Reference Data'!$A$5:$F$40,5,FALSE),0)</x:f>
        <x:v>89</x:v>
      </x:c>
      <x:c r="Q1769" s="92" t="n">
        <x:f>IFERROR(VLOOKUP(L1769,'Reference Data'!$A$5:$F$40,6,FALSE),0)</x:f>
        <x:v>36</x:v>
      </x:c>
      <x:c r="R1769" s="84" t="n">
        <x:f>'Raw Sales'!J1769</x:f>
        <x:v>2</x:v>
      </x:c>
      <x:c r="S1769" s="87" t="n">
        <x:f>'Raw Sales'!K1769</x:f>
        <x:v>0</x:v>
      </x:c>
      <x:c r="T1769" s="93" t="n">
        <x:f>P1769*R1769</x:f>
        <x:v>178</x:v>
      </x:c>
      <x:c r="U1769" s="93" t="n">
        <x:f>T1769*S1769</x:f>
        <x:v>0</x:v>
      </x:c>
      <x:c r="V1769" s="93" t="str">
        <x:f>PROPER(TRIM('Raw Sales'!L1769))</x:f>
        <x:v>Completed</x:v>
      </x:c>
      <x:c r="W1769" s="93" t="n">
        <x:f>IF(V1769="Returned",0,T1769-U1769)</x:f>
        <x:v>178</x:v>
      </x:c>
      <x:c r="X1769" s="93" t="n">
        <x:f>IF(V1769="Returned",Q1769*R1769*10%,Q1769*R1769)</x:f>
        <x:v>72</x:v>
      </x:c>
      <x:c r="Y1769" s="93" t="n">
        <x:f>W1769-X1769</x:f>
        <x:v>106</x:v>
      </x:c>
      <x:c r="Z1769" s="94" t="n">
        <x:f>IFERROR(Y1769/W1769,0)</x:f>
        <x:v>0.5955056179775281</x:v>
      </x:c>
      <x:c r="AA1769" s="84" t="str">
        <x:f>PROPER(TRIM('Raw Sales'!M1769))</x:f>
        <x:v>Mobile Wallet</x:v>
      </x:c>
      <x:c r="AB1769" s="84" t="str">
        <x:f>PROPER(TRIM('Raw Sales'!N1769))</x:f>
        <x:v>Mia Chen</x:v>
      </x:c>
      <x:c r="AC1769" s="85" t="n">
        <x:f>'Raw Sales'!O1769</x:f>
        <x:v>45876</x:v>
      </x:c>
      <x:c r="AD1769" s="84" t="n">
        <x:f>AC1769-B1769</x:f>
        <x:v>5</x:v>
      </x:c>
      <x:c r="AE1769" s="84" t="str">
        <x:f>IF(COUNTIF($A$5:A1769,A1769)&gt;1,"Duplicate","Keep")</x:f>
        <x:v>Keep</x:v>
      </x:c>
      <x:c r="AF1769" s="84" t="str">
        <x:f>IF(OR(R1769&lt;=0,AC1769&lt;B1769,H1769="Unknown",M1769="Unknown Product"),"Review","Valid")</x:f>
        <x:v>Valid</x:v>
      </x:c>
      <x:c r="AG1769" s="84" t="n">
        <x:f>IF(AND(AE1769="Keep",AF1769="Valid"),1,0)</x:f>
        <x:v>1</x:v>
      </x:c>
      <x:c r="AH1769" s="84" t="n">
        <x:f>IF(AND(AG1769=1,OR('Dashboard'!$B$4="All",I1769='Dashboard'!$B$4),OR('Dashboard'!$E$4="All",N1769='Dashboard'!$E$4),OR('Dashboard'!$H$4="All",K1769='Dashboard'!$H$4),OR('Dashboard'!$K$4="All",C1769='Dashboard'!$K$4)),1,0)</x:f>
        <x:v>1</x:v>
      </x:c>
      <x:c r="AI1769" s="84" t="n">
        <x:f>IF(AND(AG1769=1,OR('Dashboard'!$B$4="All",I1769='Dashboard'!$B$4),OR('Dashboard'!$E$4="All",N1769='Dashboard'!$E$4),OR('Dashboard'!$H$4="All",K1769='Dashboard'!$H$4)),1,0)</x:f>
        <x:v>1</x:v>
      </x:c>
    </x:row>
    <x:row r="1770">
      <x:c r="A1770" s="84" t="str">
        <x:f>'Raw Sales'!A1770</x:f>
        <x:v>ORD-2025-00242</x:v>
      </x:c>
      <x:c r="B1770" s="85" t="n">
        <x:f>'Raw Sales'!B1770</x:f>
        <x:v>45871</x:v>
      </x:c>
      <x:c r="C1770" s="84" t="n">
        <x:f>YEAR(B1770)</x:f>
        <x:v>2025</x:v>
      </x:c>
      <x:c r="D1770" s="91" t="n">
        <x:f>DATE(YEAR(B1770),MONTH(B1770),1)</x:f>
        <x:v>45870</x:v>
      </x:c>
      <x:c r="E1770" s="84" t="str">
        <x:f>TEXT(B1770,"mmm")</x:f>
        <x:v>Aug</x:v>
      </x:c>
      <x:c r="F1770" s="84" t="str">
        <x:f>'Raw Sales'!C1770</x:f>
        <x:v>CUST-0319</x:v>
      </x:c>
      <x:c r="G1770" s="84" t="str">
        <x:f>PROPER(TRIM('Raw Sales'!D1770))</x:f>
        <x:v>Amelia Young</x:v>
      </x:c>
      <x:c r="H1770" s="84" t="str">
        <x:f>IF(TRIM('Raw Sales'!E1770)="","Unknown",PROPER(TRIM('Raw Sales'!E1770)))</x:f>
        <x:v>Consumer</x:v>
      </x:c>
      <x:c r="I1770" s="84" t="str">
        <x:f>PROPER(TRIM('Raw Sales'!F1770))</x:f>
        <x:v>Southeast</x:v>
      </x:c>
      <x:c r="J1770" s="84" t="str">
        <x:f>PROPER(TRIM('Raw Sales'!G1770))</x:f>
        <x:v>Nashville</x:v>
      </x:c>
      <x:c r="K1770" s="84" t="str">
        <x:f>PROPER(TRIM('Raw Sales'!H1770))</x:f>
        <x:v>Online</x:v>
      </x:c>
      <x:c r="L1770" s="84" t="str">
        <x:f>'Raw Sales'!I1770</x:f>
        <x:v>ACCS-006</x:v>
      </x:c>
      <x:c r="M1770" s="84" t="str">
        <x:f>IFERROR(VLOOKUP(L1770,'Reference Data'!$A$5:$F$40,2,FALSE),"Unknown Product")</x:f>
        <x:v>Insulated Lunch Bag</x:v>
      </x:c>
      <x:c r="N1770" s="84" t="str">
        <x:f>IFERROR(VLOOKUP(L1770,'Reference Data'!$A$5:$F$40,3,FALSE),"Unknown")</x:f>
        <x:v>Accessories</x:v>
      </x:c>
      <x:c r="O1770" s="84" t="str">
        <x:f>IFERROR(VLOOKUP(L1770,'Reference Data'!$A$5:$F$40,4,FALSE),"Unknown")</x:f>
        <x:v>Bags</x:v>
      </x:c>
      <x:c r="P1770" s="92" t="n">
        <x:f>IFERROR(VLOOKUP(L1770,'Reference Data'!$A$5:$F$40,5,FALSE),0)</x:f>
        <x:v>29</x:v>
      </x:c>
      <x:c r="Q1770" s="92" t="n">
        <x:f>IFERROR(VLOOKUP(L1770,'Reference Data'!$A$5:$F$40,6,FALSE),0)</x:f>
        <x:v>10</x:v>
      </x:c>
      <x:c r="R1770" s="84" t="n">
        <x:f>'Raw Sales'!J1770</x:f>
        <x:v>2</x:v>
      </x:c>
      <x:c r="S1770" s="87" t="n">
        <x:f>'Raw Sales'!K1770</x:f>
        <x:v>0</x:v>
      </x:c>
      <x:c r="T1770" s="93" t="n">
        <x:f>P1770*R1770</x:f>
        <x:v>58</x:v>
      </x:c>
      <x:c r="U1770" s="93" t="n">
        <x:f>T1770*S1770</x:f>
        <x:v>0</x:v>
      </x:c>
      <x:c r="V1770" s="93" t="str">
        <x:f>PROPER(TRIM('Raw Sales'!L1770))</x:f>
        <x:v>Completed</x:v>
      </x:c>
      <x:c r="W1770" s="93" t="n">
        <x:f>IF(V1770="Returned",0,T1770-U1770)</x:f>
        <x:v>58</x:v>
      </x:c>
      <x:c r="X1770" s="93" t="n">
        <x:f>IF(V1770="Returned",Q1770*R1770*10%,Q1770*R1770)</x:f>
        <x:v>20</x:v>
      </x:c>
      <x:c r="Y1770" s="93" t="n">
        <x:f>W1770-X1770</x:f>
        <x:v>38</x:v>
      </x:c>
      <x:c r="Z1770" s="94" t="n">
        <x:f>IFERROR(Y1770/W1770,0)</x:f>
        <x:v>0.6551724137931034</x:v>
      </x:c>
      <x:c r="AA1770" s="84" t="str">
        <x:f>PROPER(TRIM('Raw Sales'!M1770))</x:f>
        <x:v>Mobile Wallet</x:v>
      </x:c>
      <x:c r="AB1770" s="84" t="str">
        <x:f>PROPER(TRIM('Raw Sales'!N1770))</x:f>
        <x:v>Noah Reed</x:v>
      </x:c>
      <x:c r="AC1770" s="85" t="n">
        <x:f>'Raw Sales'!O1770</x:f>
        <x:v>45874</x:v>
      </x:c>
      <x:c r="AD1770" s="84" t="n">
        <x:f>AC1770-B1770</x:f>
        <x:v>3</x:v>
      </x:c>
      <x:c r="AE1770" s="84" t="str">
        <x:f>IF(COUNTIF($A$5:A1770,A1770)&gt;1,"Duplicate","Keep")</x:f>
        <x:v>Keep</x:v>
      </x:c>
      <x:c r="AF1770" s="84" t="str">
        <x:f>IF(OR(R1770&lt;=0,AC1770&lt;B1770,H1770="Unknown",M1770="Unknown Product"),"Review","Valid")</x:f>
        <x:v>Valid</x:v>
      </x:c>
      <x:c r="AG1770" s="84" t="n">
        <x:f>IF(AND(AE1770="Keep",AF1770="Valid"),1,0)</x:f>
        <x:v>1</x:v>
      </x:c>
      <x:c r="AH1770" s="84" t="n">
        <x:f>IF(AND(AG1770=1,OR('Dashboard'!$B$4="All",I1770='Dashboard'!$B$4),OR('Dashboard'!$E$4="All",N1770='Dashboard'!$E$4),OR('Dashboard'!$H$4="All",K1770='Dashboard'!$H$4),OR('Dashboard'!$K$4="All",C1770='Dashboard'!$K$4)),1,0)</x:f>
        <x:v>1</x:v>
      </x:c>
      <x:c r="AI1770" s="84" t="n">
        <x:f>IF(AND(AG1770=1,OR('Dashboard'!$B$4="All",I1770='Dashboard'!$B$4),OR('Dashboard'!$E$4="All",N1770='Dashboard'!$E$4),OR('Dashboard'!$H$4="All",K1770='Dashboard'!$H$4)),1,0)</x:f>
        <x:v>1</x:v>
      </x:c>
    </x:row>
    <x:row r="1771">
      <x:c r="A1771" s="84" t="str">
        <x:f>'Raw Sales'!A1771</x:f>
        <x:v>ORD-2025-00242</x:v>
      </x:c>
      <x:c r="B1771" s="85" t="n">
        <x:f>'Raw Sales'!B1771</x:f>
        <x:v>45871</x:v>
      </x:c>
      <x:c r="C1771" s="84" t="n">
        <x:f>YEAR(B1771)</x:f>
        <x:v>2025</x:v>
      </x:c>
      <x:c r="D1771" s="91" t="n">
        <x:f>DATE(YEAR(B1771),MONTH(B1771),1)</x:f>
        <x:v>45870</x:v>
      </x:c>
      <x:c r="E1771" s="84" t="str">
        <x:f>TEXT(B1771,"mmm")</x:f>
        <x:v>Aug</x:v>
      </x:c>
      <x:c r="F1771" s="84" t="str">
        <x:f>'Raw Sales'!C1771</x:f>
        <x:v>CUST-0319</x:v>
      </x:c>
      <x:c r="G1771" s="84" t="str">
        <x:f>PROPER(TRIM('Raw Sales'!D1771))</x:f>
        <x:v>Amelia Young</x:v>
      </x:c>
      <x:c r="H1771" s="84" t="str">
        <x:f>IF(TRIM('Raw Sales'!E1771)="","Unknown",PROPER(TRIM('Raw Sales'!E1771)))</x:f>
        <x:v>Consumer</x:v>
      </x:c>
      <x:c r="I1771" s="84" t="str">
        <x:f>PROPER(TRIM('Raw Sales'!F1771))</x:f>
        <x:v>Southeast</x:v>
      </x:c>
      <x:c r="J1771" s="84" t="str">
        <x:f>PROPER(TRIM('Raw Sales'!G1771))</x:f>
        <x:v>Nashville</x:v>
      </x:c>
      <x:c r="K1771" s="84" t="str">
        <x:f>PROPER(TRIM('Raw Sales'!H1771))</x:f>
        <x:v>Online</x:v>
      </x:c>
      <x:c r="L1771" s="84" t="str">
        <x:f>'Raw Sales'!I1771</x:f>
        <x:v>ACCS-006</x:v>
      </x:c>
      <x:c r="M1771" s="84" t="str">
        <x:f>IFERROR(VLOOKUP(L1771,'Reference Data'!$A$5:$F$40,2,FALSE),"Unknown Product")</x:f>
        <x:v>Insulated Lunch Bag</x:v>
      </x:c>
      <x:c r="N1771" s="84" t="str">
        <x:f>IFERROR(VLOOKUP(L1771,'Reference Data'!$A$5:$F$40,3,FALSE),"Unknown")</x:f>
        <x:v>Accessories</x:v>
      </x:c>
      <x:c r="O1771" s="84" t="str">
        <x:f>IFERROR(VLOOKUP(L1771,'Reference Data'!$A$5:$F$40,4,FALSE),"Unknown")</x:f>
        <x:v>Bags</x:v>
      </x:c>
      <x:c r="P1771" s="92" t="n">
        <x:f>IFERROR(VLOOKUP(L1771,'Reference Data'!$A$5:$F$40,5,FALSE),0)</x:f>
        <x:v>29</x:v>
      </x:c>
      <x:c r="Q1771" s="92" t="n">
        <x:f>IFERROR(VLOOKUP(L1771,'Reference Data'!$A$5:$F$40,6,FALSE),0)</x:f>
        <x:v>10</x:v>
      </x:c>
      <x:c r="R1771" s="84" t="n">
        <x:f>'Raw Sales'!J1771</x:f>
        <x:v>2</x:v>
      </x:c>
      <x:c r="S1771" s="87" t="n">
        <x:f>'Raw Sales'!K1771</x:f>
        <x:v>0</x:v>
      </x:c>
      <x:c r="T1771" s="93" t="n">
        <x:f>P1771*R1771</x:f>
        <x:v>58</x:v>
      </x:c>
      <x:c r="U1771" s="93" t="n">
        <x:f>T1771*S1771</x:f>
        <x:v>0</x:v>
      </x:c>
      <x:c r="V1771" s="93" t="str">
        <x:f>PROPER(TRIM('Raw Sales'!L1771))</x:f>
        <x:v>Completed</x:v>
      </x:c>
      <x:c r="W1771" s="93" t="n">
        <x:f>IF(V1771="Returned",0,T1771-U1771)</x:f>
        <x:v>58</x:v>
      </x:c>
      <x:c r="X1771" s="93" t="n">
        <x:f>IF(V1771="Returned",Q1771*R1771*10%,Q1771*R1771)</x:f>
        <x:v>20</x:v>
      </x:c>
      <x:c r="Y1771" s="93" t="n">
        <x:f>W1771-X1771</x:f>
        <x:v>38</x:v>
      </x:c>
      <x:c r="Z1771" s="94" t="n">
        <x:f>IFERROR(Y1771/W1771,0)</x:f>
        <x:v>0.6551724137931034</x:v>
      </x:c>
      <x:c r="AA1771" s="84" t="str">
        <x:f>PROPER(TRIM('Raw Sales'!M1771))</x:f>
        <x:v>Mobile Wallet</x:v>
      </x:c>
      <x:c r="AB1771" s="84" t="str">
        <x:f>PROPER(TRIM('Raw Sales'!N1771))</x:f>
        <x:v>Noah Reed</x:v>
      </x:c>
      <x:c r="AC1771" s="85" t="n">
        <x:f>'Raw Sales'!O1771</x:f>
        <x:v>45874</x:v>
      </x:c>
      <x:c r="AD1771" s="84" t="n">
        <x:f>AC1771-B1771</x:f>
        <x:v>3</x:v>
      </x:c>
      <x:c r="AE1771" s="84" t="str">
        <x:f>IF(COUNTIF($A$5:A1771,A1771)&gt;1,"Duplicate","Keep")</x:f>
        <x:v>Duplicate</x:v>
      </x:c>
      <x:c r="AF1771" s="84" t="str">
        <x:f>IF(OR(R1771&lt;=0,AC1771&lt;B1771,H1771="Unknown",M1771="Unknown Product"),"Review","Valid")</x:f>
        <x:v>Valid</x:v>
      </x:c>
      <x:c r="AG1771" s="84" t="n">
        <x:f>IF(AND(AE1771="Keep",AF1771="Valid"),1,0)</x:f>
        <x:v>0</x:v>
      </x:c>
      <x:c r="AH1771" s="84" t="n">
        <x:f>IF(AND(AG1771=1,OR('Dashboard'!$B$4="All",I1771='Dashboard'!$B$4),OR('Dashboard'!$E$4="All",N1771='Dashboard'!$E$4),OR('Dashboard'!$H$4="All",K1771='Dashboard'!$H$4),OR('Dashboard'!$K$4="All",C1771='Dashboard'!$K$4)),1,0)</x:f>
        <x:v>0</x:v>
      </x:c>
      <x:c r="AI1771" s="84" t="n">
        <x:f>IF(AND(AG1771=1,OR('Dashboard'!$B$4="All",I1771='Dashboard'!$B$4),OR('Dashboard'!$E$4="All",N1771='Dashboard'!$E$4),OR('Dashboard'!$H$4="All",K1771='Dashboard'!$H$4)),1,0)</x:f>
        <x:v>0</x:v>
      </x:c>
    </x:row>
    <x:row r="1772">
      <x:c r="A1772" s="84" t="str">
        <x:f>'Raw Sales'!A1772</x:f>
        <x:v>ORD-2025-00269</x:v>
      </x:c>
      <x:c r="B1772" s="85" t="n">
        <x:f>'Raw Sales'!B1772</x:f>
        <x:v>45871</x:v>
      </x:c>
      <x:c r="C1772" s="84" t="n">
        <x:f>YEAR(B1772)</x:f>
        <x:v>2025</x:v>
      </x:c>
      <x:c r="D1772" s="91" t="n">
        <x:f>DATE(YEAR(B1772),MONTH(B1772),1)</x:f>
        <x:v>45870</x:v>
      </x:c>
      <x:c r="E1772" s="84" t="str">
        <x:f>TEXT(B1772,"mmm")</x:f>
        <x:v>Aug</x:v>
      </x:c>
      <x:c r="F1772" s="84" t="str">
        <x:f>'Raw Sales'!C1772</x:f>
        <x:v>CUST-0357</x:v>
      </x:c>
      <x:c r="G1772" s="84" t="str">
        <x:f>PROPER(TRIM('Raw Sales'!D1772))</x:f>
        <x:v>Priya Baker</x:v>
      </x:c>
      <x:c r="H1772" s="84" t="str">
        <x:f>IF(TRIM('Raw Sales'!E1772)="","Unknown",PROPER(TRIM('Raw Sales'!E1772)))</x:f>
        <x:v>Consumer</x:v>
      </x:c>
      <x:c r="I1772" s="84" t="str">
        <x:f>PROPER(TRIM('Raw Sales'!F1772))</x:f>
        <x:v>Southeast</x:v>
      </x:c>
      <x:c r="J1772" s="84" t="str">
        <x:f>PROPER(TRIM('Raw Sales'!G1772))</x:f>
        <x:v>Atlanta</x:v>
      </x:c>
      <x:c r="K1772" s="84" t="str">
        <x:f>PROPER(TRIM('Raw Sales'!H1772))</x:f>
        <x:v>Online</x:v>
      </x:c>
      <x:c r="L1772" s="84" t="str">
        <x:f>'Raw Sales'!I1772</x:f>
        <x:v>HOME-006</x:v>
      </x:c>
      <x:c r="M1772" s="84" t="str">
        <x:f>IFERROR(VLOOKUP(L1772,'Reference Data'!$A$5:$F$40,2,FALSE),"Unknown Product")</x:f>
        <x:v>Food Storage Set</x:v>
      </x:c>
      <x:c r="N1772" s="84" t="str">
        <x:f>IFERROR(VLOOKUP(L1772,'Reference Data'!$A$5:$F$40,3,FALSE),"Unknown")</x:f>
        <x:v>Home &amp; Kitchen</x:v>
      </x:c>
      <x:c r="O1772" s="84" t="str">
        <x:f>IFERROR(VLOOKUP(L1772,'Reference Data'!$A$5:$F$40,4,FALSE),"Unknown")</x:f>
        <x:v>Kitchenware</x:v>
      </x:c>
      <x:c r="P1772" s="92" t="n">
        <x:f>IFERROR(VLOOKUP(L1772,'Reference Data'!$A$5:$F$40,5,FALSE),0)</x:f>
        <x:v>34</x:v>
      </x:c>
      <x:c r="Q1772" s="92" t="n">
        <x:f>IFERROR(VLOOKUP(L1772,'Reference Data'!$A$5:$F$40,6,FALSE),0)</x:f>
        <x:v>15</x:v>
      </x:c>
      <x:c r="R1772" s="84" t="n">
        <x:f>'Raw Sales'!J1772</x:f>
        <x:v>1</x:v>
      </x:c>
      <x:c r="S1772" s="87" t="n">
        <x:f>'Raw Sales'!K1772</x:f>
        <x:v>0.15</x:v>
      </x:c>
      <x:c r="T1772" s="93" t="n">
        <x:f>P1772*R1772</x:f>
        <x:v>34</x:v>
      </x:c>
      <x:c r="U1772" s="93" t="n">
        <x:f>T1772*S1772</x:f>
        <x:v>5.1</x:v>
      </x:c>
      <x:c r="V1772" s="93" t="str">
        <x:f>PROPER(TRIM('Raw Sales'!L1772))</x:f>
        <x:v>Completed</x:v>
      </x:c>
      <x:c r="W1772" s="93" t="n">
        <x:f>IF(V1772="Returned",0,T1772-U1772)</x:f>
        <x:v>28.9</x:v>
      </x:c>
      <x:c r="X1772" s="93" t="n">
        <x:f>IF(V1772="Returned",Q1772*R1772*10%,Q1772*R1772)</x:f>
        <x:v>15</x:v>
      </x:c>
      <x:c r="Y1772" s="93" t="n">
        <x:f>W1772-X1772</x:f>
        <x:v>13.899999999999999</x:v>
      </x:c>
      <x:c r="Z1772" s="94" t="n">
        <x:f>IFERROR(Y1772/W1772,0)</x:f>
        <x:v>0.4809688581314879</x:v>
      </x:c>
      <x:c r="AA1772" s="84" t="str">
        <x:f>PROPER(TRIM('Raw Sales'!M1772))</x:f>
        <x:v>Debit Card</x:v>
      </x:c>
      <x:c r="AB1772" s="84" t="str">
        <x:f>PROPER(TRIM('Raw Sales'!N1772))</x:f>
        <x:v>Noah Reed</x:v>
      </x:c>
      <x:c r="AC1772" s="85" t="n">
        <x:f>'Raw Sales'!O1772</x:f>
        <x:v>45875</x:v>
      </x:c>
      <x:c r="AD1772" s="84" t="n">
        <x:f>AC1772-B1772</x:f>
        <x:v>4</x:v>
      </x:c>
      <x:c r="AE1772" s="84" t="str">
        <x:f>IF(COUNTIF($A$5:A1772,A1772)&gt;1,"Duplicate","Keep")</x:f>
        <x:v>Keep</x:v>
      </x:c>
      <x:c r="AF1772" s="84" t="str">
        <x:f>IF(OR(R1772&lt;=0,AC1772&lt;B1772,H1772="Unknown",M1772="Unknown Product"),"Review","Valid")</x:f>
        <x:v>Valid</x:v>
      </x:c>
      <x:c r="AG1772" s="84" t="n">
        <x:f>IF(AND(AE1772="Keep",AF1772="Valid"),1,0)</x:f>
        <x:v>1</x:v>
      </x:c>
      <x:c r="AH1772" s="84" t="n">
        <x:f>IF(AND(AG1772=1,OR('Dashboard'!$B$4="All",I1772='Dashboard'!$B$4),OR('Dashboard'!$E$4="All",N1772='Dashboard'!$E$4),OR('Dashboard'!$H$4="All",K1772='Dashboard'!$H$4),OR('Dashboard'!$K$4="All",C1772='Dashboard'!$K$4)),1,0)</x:f>
        <x:v>1</x:v>
      </x:c>
      <x:c r="AI1772" s="84" t="n">
        <x:f>IF(AND(AG1772=1,OR('Dashboard'!$B$4="All",I1772='Dashboard'!$B$4),OR('Dashboard'!$E$4="All",N1772='Dashboard'!$E$4),OR('Dashboard'!$H$4="All",K1772='Dashboard'!$H$4)),1,0)</x:f>
        <x:v>1</x:v>
      </x:c>
    </x:row>
    <x:row r="1773">
      <x:c r="A1773" s="84" t="str">
        <x:f>'Raw Sales'!A1773</x:f>
        <x:v>ORD-2025-01315</x:v>
      </x:c>
      <x:c r="B1773" s="85" t="n">
        <x:f>'Raw Sales'!B1773</x:f>
        <x:v>45871</x:v>
      </x:c>
      <x:c r="C1773" s="84" t="n">
        <x:f>YEAR(B1773)</x:f>
        <x:v>2025</x:v>
      </x:c>
      <x:c r="D1773" s="91" t="n">
        <x:f>DATE(YEAR(B1773),MONTH(B1773),1)</x:f>
        <x:v>45870</x:v>
      </x:c>
      <x:c r="E1773" s="84" t="str">
        <x:f>TEXT(B1773,"mmm")</x:f>
        <x:v>Aug</x:v>
      </x:c>
      <x:c r="F1773" s="84" t="str">
        <x:f>'Raw Sales'!C1773</x:f>
        <x:v>CUST-0360</x:v>
      </x:c>
      <x:c r="G1773" s="84" t="str">
        <x:f>PROPER(TRIM('Raw Sales'!D1773))</x:f>
        <x:v>Elena Taylor</x:v>
      </x:c>
      <x:c r="H1773" s="84" t="str">
        <x:f>IF(TRIM('Raw Sales'!E1773)="","Unknown",PROPER(TRIM('Raw Sales'!E1773)))</x:f>
        <x:v>Corporate</x:v>
      </x:c>
      <x:c r="I1773" s="84" t="str">
        <x:f>PROPER(TRIM('Raw Sales'!F1773))</x:f>
        <x:v>Northeast</x:v>
      </x:c>
      <x:c r="J1773" s="84" t="str">
        <x:f>PROPER(TRIM('Raw Sales'!G1773))</x:f>
        <x:v>New York</x:v>
      </x:c>
      <x:c r="K1773" s="84" t="str">
        <x:f>PROPER(TRIM('Raw Sales'!H1773))</x:f>
        <x:v>Online</x:v>
      </x:c>
      <x:c r="L1773" s="84" t="str">
        <x:f>'Raw Sales'!I1773</x:f>
        <x:v>HOME-001</x:v>
      </x:c>
      <x:c r="M1773" s="84" t="str">
        <x:f>IFERROR(VLOOKUP(L1773,'Reference Data'!$A$5:$F$40,2,FALSE),"Unknown Product")</x:f>
        <x:v>Air Fryer</x:v>
      </x:c>
      <x:c r="N1773" s="84" t="str">
        <x:f>IFERROR(VLOOKUP(L1773,'Reference Data'!$A$5:$F$40,3,FALSE),"Unknown")</x:f>
        <x:v>Home &amp; Kitchen</x:v>
      </x:c>
      <x:c r="O1773" s="84" t="str">
        <x:f>IFERROR(VLOOKUP(L1773,'Reference Data'!$A$5:$F$40,4,FALSE),"Unknown")</x:f>
        <x:v>Small Appliances</x:v>
      </x:c>
      <x:c r="P1773" s="92" t="n">
        <x:f>IFERROR(VLOOKUP(L1773,'Reference Data'!$A$5:$F$40,5,FALSE),0)</x:f>
        <x:v>119</x:v>
      </x:c>
      <x:c r="Q1773" s="92" t="n">
        <x:f>IFERROR(VLOOKUP(L1773,'Reference Data'!$A$5:$F$40,6,FALSE),0)</x:f>
        <x:v>68</x:v>
      </x:c>
      <x:c r="R1773" s="84" t="n">
        <x:f>'Raw Sales'!J1773</x:f>
        <x:v>2</x:v>
      </x:c>
      <x:c r="S1773" s="87" t="n">
        <x:f>'Raw Sales'!K1773</x:f>
        <x:v>0.15</x:v>
      </x:c>
      <x:c r="T1773" s="93" t="n">
        <x:f>P1773*R1773</x:f>
        <x:v>238</x:v>
      </x:c>
      <x:c r="U1773" s="93" t="n">
        <x:f>T1773*S1773</x:f>
        <x:v>35.699999999999996</x:v>
      </x:c>
      <x:c r="V1773" s="93" t="str">
        <x:f>PROPER(TRIM('Raw Sales'!L1773))</x:f>
        <x:v>Completed</x:v>
      </x:c>
      <x:c r="W1773" s="93" t="n">
        <x:f>IF(V1773="Returned",0,T1773-U1773)</x:f>
        <x:v>202.3</x:v>
      </x:c>
      <x:c r="X1773" s="93" t="n">
        <x:f>IF(V1773="Returned",Q1773*R1773*10%,Q1773*R1773)</x:f>
        <x:v>136</x:v>
      </x:c>
      <x:c r="Y1773" s="93" t="n">
        <x:f>W1773-X1773</x:f>
        <x:v>66.30000000000001</x:v>
      </x:c>
      <x:c r="Z1773" s="94" t="n">
        <x:f>IFERROR(Y1773/W1773,0)</x:f>
        <x:v>0.32773109243697485</x:v>
      </x:c>
      <x:c r="AA1773" s="84" t="str">
        <x:f>PROPER(TRIM('Raw Sales'!M1773))</x:f>
        <x:v>Credit Card</x:v>
      </x:c>
      <x:c r="AB1773" s="84" t="str">
        <x:f>PROPER(TRIM('Raw Sales'!N1773))</x:f>
        <x:v>Sofia Bennett</x:v>
      </x:c>
      <x:c r="AC1773" s="85" t="n">
        <x:f>'Raw Sales'!O1773</x:f>
        <x:v>45874</x:v>
      </x:c>
      <x:c r="AD1773" s="84" t="n">
        <x:f>AC1773-B1773</x:f>
        <x:v>3</x:v>
      </x:c>
      <x:c r="AE1773" s="84" t="str">
        <x:f>IF(COUNTIF($A$5:A1773,A1773)&gt;1,"Duplicate","Keep")</x:f>
        <x:v>Keep</x:v>
      </x:c>
      <x:c r="AF1773" s="84" t="str">
        <x:f>IF(OR(R1773&lt;=0,AC1773&lt;B1773,H1773="Unknown",M1773="Unknown Product"),"Review","Valid")</x:f>
        <x:v>Valid</x:v>
      </x:c>
      <x:c r="AG1773" s="84" t="n">
        <x:f>IF(AND(AE1773="Keep",AF1773="Valid"),1,0)</x:f>
        <x:v>1</x:v>
      </x:c>
      <x:c r="AH1773" s="84" t="n">
        <x:f>IF(AND(AG1773=1,OR('Dashboard'!$B$4="All",I1773='Dashboard'!$B$4),OR('Dashboard'!$E$4="All",N1773='Dashboard'!$E$4),OR('Dashboard'!$H$4="All",K1773='Dashboard'!$H$4),OR('Dashboard'!$K$4="All",C1773='Dashboard'!$K$4)),1,0)</x:f>
        <x:v>1</x:v>
      </x:c>
      <x:c r="AI1773" s="84" t="n">
        <x:f>IF(AND(AG1773=1,OR('Dashboard'!$B$4="All",I1773='Dashboard'!$B$4),OR('Dashboard'!$E$4="All",N1773='Dashboard'!$E$4),OR('Dashboard'!$H$4="All",K1773='Dashboard'!$H$4)),1,0)</x:f>
        <x:v>1</x:v>
      </x:c>
    </x:row>
    <x:row r="1774">
      <x:c r="A1774" s="84" t="str">
        <x:f>'Raw Sales'!A1774</x:f>
        <x:v>ORD-2025-00996</x:v>
      </x:c>
      <x:c r="B1774" s="85" t="n">
        <x:f>'Raw Sales'!B1774</x:f>
        <x:v>45872</x:v>
      </x:c>
      <x:c r="C1774" s="84" t="n">
        <x:f>YEAR(B1774)</x:f>
        <x:v>2025</x:v>
      </x:c>
      <x:c r="D1774" s="91" t="n">
        <x:f>DATE(YEAR(B1774),MONTH(B1774),1)</x:f>
        <x:v>45870</x:v>
      </x:c>
      <x:c r="E1774" s="84" t="str">
        <x:f>TEXT(B1774,"mmm")</x:f>
        <x:v>Aug</x:v>
      </x:c>
      <x:c r="F1774" s="84" t="str">
        <x:f>'Raw Sales'!C1774</x:f>
        <x:v>CUST-0150</x:v>
      </x:c>
      <x:c r="G1774" s="84" t="str">
        <x:f>PROPER(TRIM('Raw Sales'!D1774))</x:f>
        <x:v>Aiden Carter</x:v>
      </x:c>
      <x:c r="H1774" s="84" t="str">
        <x:f>IF(TRIM('Raw Sales'!E1774)="","Unknown",PROPER(TRIM('Raw Sales'!E1774)))</x:f>
        <x:v>Consumer</x:v>
      </x:c>
      <x:c r="I1774" s="84" t="str">
        <x:f>PROPER(TRIM('Raw Sales'!F1774))</x:f>
        <x:v>Southeast</x:v>
      </x:c>
      <x:c r="J1774" s="84" t="str">
        <x:f>PROPER(TRIM('Raw Sales'!G1774))</x:f>
        <x:v>Atlanta</x:v>
      </x:c>
      <x:c r="K1774" s="84" t="str">
        <x:f>PROPER(TRIM('Raw Sales'!H1774))</x:f>
        <x:v>Online</x:v>
      </x:c>
      <x:c r="L1774" s="84" t="str">
        <x:f>'Raw Sales'!I1774</x:f>
        <x:v>FITN-005</x:v>
      </x:c>
      <x:c r="M1774" s="84" t="str">
        <x:f>IFERROR(VLOOKUP(L1774,'Reference Data'!$A$5:$F$40,2,FALSE),"Unknown Product")</x:f>
        <x:v>Sports Water Bottle</x:v>
      </x:c>
      <x:c r="N1774" s="84" t="str">
        <x:f>IFERROR(VLOOKUP(L1774,'Reference Data'!$A$5:$F$40,3,FALSE),"Unknown")</x:f>
        <x:v>Fitness</x:v>
      </x:c>
      <x:c r="O1774" s="84" t="str">
        <x:f>IFERROR(VLOOKUP(L1774,'Reference Data'!$A$5:$F$40,4,FALSE),"Unknown")</x:f>
        <x:v>Accessories</x:v>
      </x:c>
      <x:c r="P1774" s="92" t="n">
        <x:f>IFERROR(VLOOKUP(L1774,'Reference Data'!$A$5:$F$40,5,FALSE),0)</x:f>
        <x:v>22</x:v>
      </x:c>
      <x:c r="Q1774" s="92" t="n">
        <x:f>IFERROR(VLOOKUP(L1774,'Reference Data'!$A$5:$F$40,6,FALSE),0)</x:f>
        <x:v>7</x:v>
      </x:c>
      <x:c r="R1774" s="84" t="n">
        <x:f>'Raw Sales'!J1774</x:f>
        <x:v>2</x:v>
      </x:c>
      <x:c r="S1774" s="87" t="n">
        <x:f>'Raw Sales'!K1774</x:f>
        <x:v>0.1</x:v>
      </x:c>
      <x:c r="T1774" s="93" t="n">
        <x:f>P1774*R1774</x:f>
        <x:v>44</x:v>
      </x:c>
      <x:c r="U1774" s="93" t="n">
        <x:f>T1774*S1774</x:f>
        <x:v>4.4</x:v>
      </x:c>
      <x:c r="V1774" s="93" t="str">
        <x:f>PROPER(TRIM('Raw Sales'!L1774))</x:f>
        <x:v>Completed</x:v>
      </x:c>
      <x:c r="W1774" s="93" t="n">
        <x:f>IF(V1774="Returned",0,T1774-U1774)</x:f>
        <x:v>39.6</x:v>
      </x:c>
      <x:c r="X1774" s="93" t="n">
        <x:f>IF(V1774="Returned",Q1774*R1774*10%,Q1774*R1774)</x:f>
        <x:v>14</x:v>
      </x:c>
      <x:c r="Y1774" s="93" t="n">
        <x:f>W1774-X1774</x:f>
        <x:v>25.6</x:v>
      </x:c>
      <x:c r="Z1774" s="94" t="n">
        <x:f>IFERROR(Y1774/W1774,0)</x:f>
        <x:v>0.6464646464646465</x:v>
      </x:c>
      <x:c r="AA1774" s="84" t="str">
        <x:f>PROPER(TRIM('Raw Sales'!M1774))</x:f>
        <x:v>Credit Card</x:v>
      </x:c>
      <x:c r="AB1774" s="84" t="str">
        <x:f>PROPER(TRIM('Raw Sales'!N1774))</x:f>
        <x:v>Ava Mitchell</x:v>
      </x:c>
      <x:c r="AC1774" s="85" t="n">
        <x:f>'Raw Sales'!O1774</x:f>
        <x:v>45875</x:v>
      </x:c>
      <x:c r="AD1774" s="84" t="n">
        <x:f>AC1774-B1774</x:f>
        <x:v>3</x:v>
      </x:c>
      <x:c r="AE1774" s="84" t="str">
        <x:f>IF(COUNTIF($A$5:A1774,A1774)&gt;1,"Duplicate","Keep")</x:f>
        <x:v>Keep</x:v>
      </x:c>
      <x:c r="AF1774" s="84" t="str">
        <x:f>IF(OR(R1774&lt;=0,AC1774&lt;B1774,H1774="Unknown",M1774="Unknown Product"),"Review","Valid")</x:f>
        <x:v>Valid</x:v>
      </x:c>
      <x:c r="AG1774" s="84" t="n">
        <x:f>IF(AND(AE1774="Keep",AF1774="Valid"),1,0)</x:f>
        <x:v>1</x:v>
      </x:c>
      <x:c r="AH1774" s="84" t="n">
        <x:f>IF(AND(AG1774=1,OR('Dashboard'!$B$4="All",I1774='Dashboard'!$B$4),OR('Dashboard'!$E$4="All",N1774='Dashboard'!$E$4),OR('Dashboard'!$H$4="All",K1774='Dashboard'!$H$4),OR('Dashboard'!$K$4="All",C1774='Dashboard'!$K$4)),1,0)</x:f>
        <x:v>1</x:v>
      </x:c>
      <x:c r="AI1774" s="84" t="n">
        <x:f>IF(AND(AG1774=1,OR('Dashboard'!$B$4="All",I1774='Dashboard'!$B$4),OR('Dashboard'!$E$4="All",N1774='Dashboard'!$E$4),OR('Dashboard'!$H$4="All",K1774='Dashboard'!$H$4)),1,0)</x:f>
        <x:v>1</x:v>
      </x:c>
    </x:row>
    <x:row r="1775">
      <x:c r="A1775" s="84" t="str">
        <x:f>'Raw Sales'!A1775</x:f>
        <x:v>ORD-2025-01115</x:v>
      </x:c>
      <x:c r="B1775" s="85" t="n">
        <x:f>'Raw Sales'!B1775</x:f>
        <x:v>45872</x:v>
      </x:c>
      <x:c r="C1775" s="84" t="n">
        <x:f>YEAR(B1775)</x:f>
        <x:v>2025</x:v>
      </x:c>
      <x:c r="D1775" s="91" t="n">
        <x:f>DATE(YEAR(B1775),MONTH(B1775),1)</x:f>
        <x:v>45870</x:v>
      </x:c>
      <x:c r="E1775" s="84" t="str">
        <x:f>TEXT(B1775,"mmm")</x:f>
        <x:v>Aug</x:v>
      </x:c>
      <x:c r="F1775" s="84" t="str">
        <x:f>'Raw Sales'!C1775</x:f>
        <x:v>CUST-0457</x:v>
      </x:c>
      <x:c r="G1775" s="84" t="str">
        <x:f>PROPER(TRIM('Raw Sales'!D1775))</x:f>
        <x:v>Amelia Carter</x:v>
      </x:c>
      <x:c r="H1775" s="84" t="str">
        <x:f>IF(TRIM('Raw Sales'!E1775)="","Unknown",PROPER(TRIM('Raw Sales'!E1775)))</x:f>
        <x:v>Small Business</x:v>
      </x:c>
      <x:c r="I1775" s="84" t="str">
        <x:f>PROPER(TRIM('Raw Sales'!F1775))</x:f>
        <x:v>Midwest</x:v>
      </x:c>
      <x:c r="J1775" s="84" t="str">
        <x:f>PROPER(TRIM('Raw Sales'!G1775))</x:f>
        <x:v>Columbus</x:v>
      </x:c>
      <x:c r="K1775" s="84" t="str">
        <x:f>PROPER(TRIM('Raw Sales'!H1775))</x:f>
        <x:v>Online</x:v>
      </x:c>
      <x:c r="L1775" s="84" t="str">
        <x:f>'Raw Sales'!I1775</x:f>
        <x:v>FITN-001</x:v>
      </x:c>
      <x:c r="M1775" s="84" t="str">
        <x:f>IFERROR(VLOOKUP(L1775,'Reference Data'!$A$5:$F$40,2,FALSE),"Unknown Product")</x:f>
        <x:v>Yoga Mat</x:v>
      </x:c>
      <x:c r="N1775" s="84" t="str">
        <x:f>IFERROR(VLOOKUP(L1775,'Reference Data'!$A$5:$F$40,3,FALSE),"Unknown")</x:f>
        <x:v>Fitness</x:v>
      </x:c>
      <x:c r="O1775" s="84" t="str">
        <x:f>IFERROR(VLOOKUP(L1775,'Reference Data'!$A$5:$F$40,4,FALSE),"Unknown")</x:f>
        <x:v>Yoga</x:v>
      </x:c>
      <x:c r="P1775" s="92" t="n">
        <x:f>IFERROR(VLOOKUP(L1775,'Reference Data'!$A$5:$F$40,5,FALSE),0)</x:f>
        <x:v>35</x:v>
      </x:c>
      <x:c r="Q1775" s="92" t="n">
        <x:f>IFERROR(VLOOKUP(L1775,'Reference Data'!$A$5:$F$40,6,FALSE),0)</x:f>
        <x:v>13</x:v>
      </x:c>
      <x:c r="R1775" s="84" t="n">
        <x:f>'Raw Sales'!J1775</x:f>
        <x:v>2</x:v>
      </x:c>
      <x:c r="S1775" s="87" t="n">
        <x:f>'Raw Sales'!K1775</x:f>
        <x:v>0</x:v>
      </x:c>
      <x:c r="T1775" s="93" t="n">
        <x:f>P1775*R1775</x:f>
        <x:v>70</x:v>
      </x:c>
      <x:c r="U1775" s="93" t="n">
        <x:f>T1775*S1775</x:f>
        <x:v>0</x:v>
      </x:c>
      <x:c r="V1775" s="93" t="str">
        <x:f>PROPER(TRIM('Raw Sales'!L1775))</x:f>
        <x:v>Returned</x:v>
      </x:c>
      <x:c r="W1775" s="93" t="n">
        <x:f>IF(V1775="Returned",0,T1775-U1775)</x:f>
        <x:v>0</x:v>
      </x:c>
      <x:c r="X1775" s="93" t="n">
        <x:f>IF(V1775="Returned",Q1775*R1775*10%,Q1775*R1775)</x:f>
        <x:v>2.6</x:v>
      </x:c>
      <x:c r="Y1775" s="93" t="n">
        <x:f>W1775-X1775</x:f>
        <x:v>-2.6</x:v>
      </x:c>
      <x:c r="Z1775" s="94" t="n">
        <x:f>IFERROR(Y1775/W1775,0)</x:f>
        <x:v>0</x:v>
      </x:c>
      <x:c r="AA1775" s="84" t="str">
        <x:f>PROPER(TRIM('Raw Sales'!M1775))</x:f>
        <x:v>Credit Card</x:v>
      </x:c>
      <x:c r="AB1775" s="84" t="str">
        <x:f>PROPER(TRIM('Raw Sales'!N1775))</x:f>
        <x:v>Zoe Turner</x:v>
      </x:c>
      <x:c r="AC1775" s="85" t="n">
        <x:f>'Raw Sales'!O1775</x:f>
        <x:v>45875</x:v>
      </x:c>
      <x:c r="AD1775" s="84" t="n">
        <x:f>AC1775-B1775</x:f>
        <x:v>3</x:v>
      </x:c>
      <x:c r="AE1775" s="84" t="str">
        <x:f>IF(COUNTIF($A$5:A1775,A1775)&gt;1,"Duplicate","Keep")</x:f>
        <x:v>Keep</x:v>
      </x:c>
      <x:c r="AF1775" s="84" t="str">
        <x:f>IF(OR(R1775&lt;=0,AC1775&lt;B1775,H1775="Unknown",M1775="Unknown Product"),"Review","Valid")</x:f>
        <x:v>Valid</x:v>
      </x:c>
      <x:c r="AG1775" s="84" t="n">
        <x:f>IF(AND(AE1775="Keep",AF1775="Valid"),1,0)</x:f>
        <x:v>1</x:v>
      </x:c>
      <x:c r="AH1775" s="84" t="n">
        <x:f>IF(AND(AG1775=1,OR('Dashboard'!$B$4="All",I1775='Dashboard'!$B$4),OR('Dashboard'!$E$4="All",N1775='Dashboard'!$E$4),OR('Dashboard'!$H$4="All",K1775='Dashboard'!$H$4),OR('Dashboard'!$K$4="All",C1775='Dashboard'!$K$4)),1,0)</x:f>
        <x:v>1</x:v>
      </x:c>
      <x:c r="AI1775" s="84" t="n">
        <x:f>IF(AND(AG1775=1,OR('Dashboard'!$B$4="All",I1775='Dashboard'!$B$4),OR('Dashboard'!$E$4="All",N1775='Dashboard'!$E$4),OR('Dashboard'!$H$4="All",K1775='Dashboard'!$H$4)),1,0)</x:f>
        <x:v>1</x:v>
      </x:c>
    </x:row>
    <x:row r="1776">
      <x:c r="A1776" s="84" t="str">
        <x:f>'Raw Sales'!A1776</x:f>
        <x:v>ORD-2025-01297</x:v>
      </x:c>
      <x:c r="B1776" s="85" t="n">
        <x:f>'Raw Sales'!B1776</x:f>
        <x:v>45872</x:v>
      </x:c>
      <x:c r="C1776" s="84" t="n">
        <x:f>YEAR(B1776)</x:f>
        <x:v>2025</x:v>
      </x:c>
      <x:c r="D1776" s="91" t="n">
        <x:f>DATE(YEAR(B1776),MONTH(B1776),1)</x:f>
        <x:v>45870</x:v>
      </x:c>
      <x:c r="E1776" s="84" t="str">
        <x:f>TEXT(B1776,"mmm")</x:f>
        <x:v>Aug</x:v>
      </x:c>
      <x:c r="F1776" s="84" t="str">
        <x:f>'Raw Sales'!C1776</x:f>
        <x:v>CUST-0490</x:v>
      </x:c>
      <x:c r="G1776" s="84" t="str">
        <x:f>PROPER(TRIM('Raw Sales'!D1776))</x:f>
        <x:v>Maya Nelson</x:v>
      </x:c>
      <x:c r="H1776" s="84" t="str">
        <x:f>IF(TRIM('Raw Sales'!E1776)="","Unknown",PROPER(TRIM('Raw Sales'!E1776)))</x:f>
        <x:v>Small Business</x:v>
      </x:c>
      <x:c r="I1776" s="84" t="str">
        <x:f>PROPER(TRIM('Raw Sales'!F1776))</x:f>
        <x:v>Northeast</x:v>
      </x:c>
      <x:c r="J1776" s="84" t="str">
        <x:f>PROPER(TRIM('Raw Sales'!G1776))</x:f>
        <x:v>Philadelphia</x:v>
      </x:c>
      <x:c r="K1776" s="84" t="str">
        <x:f>PROPER(TRIM('Raw Sales'!H1776))</x:f>
        <x:v>Online</x:v>
      </x:c>
      <x:c r="L1776" s="84" t="str">
        <x:f>'Raw Sales'!I1776</x:f>
        <x:v>OFFC-002</x:v>
      </x:c>
      <x:c r="M1776" s="84" t="str">
        <x:f>IFERROR(VLOOKUP(L1776,'Reference Data'!$A$5:$F$40,2,FALSE),"Unknown Product")</x:f>
        <x:v>Standing Desk</x:v>
      </x:c>
      <x:c r="N1776" s="84" t="str">
        <x:f>IFERROR(VLOOKUP(L1776,'Reference Data'!$A$5:$F$40,3,FALSE),"Unknown")</x:f>
        <x:v>Office</x:v>
      </x:c>
      <x:c r="O1776" s="84" t="str">
        <x:f>IFERROR(VLOOKUP(L1776,'Reference Data'!$A$5:$F$40,4,FALSE),"Unknown")</x:f>
        <x:v>Furniture</x:v>
      </x:c>
      <x:c r="P1776" s="92" t="n">
        <x:f>IFERROR(VLOOKUP(L1776,'Reference Data'!$A$5:$F$40,5,FALSE),0)</x:f>
        <x:v>399</x:v>
      </x:c>
      <x:c r="Q1776" s="92" t="n">
        <x:f>IFERROR(VLOOKUP(L1776,'Reference Data'!$A$5:$F$40,6,FALSE),0)</x:f>
        <x:v>235</x:v>
      </x:c>
      <x:c r="R1776" s="84" t="n">
        <x:f>'Raw Sales'!J1776</x:f>
        <x:v>4</x:v>
      </x:c>
      <x:c r="S1776" s="87" t="n">
        <x:f>'Raw Sales'!K1776</x:f>
        <x:v>0.1</x:v>
      </x:c>
      <x:c r="T1776" s="93" t="n">
        <x:f>P1776*R1776</x:f>
        <x:v>1596</x:v>
      </x:c>
      <x:c r="U1776" s="93" t="n">
        <x:f>T1776*S1776</x:f>
        <x:v>159.60000000000002</x:v>
      </x:c>
      <x:c r="V1776" s="93" t="str">
        <x:f>PROPER(TRIM('Raw Sales'!L1776))</x:f>
        <x:v>Completed</x:v>
      </x:c>
      <x:c r="W1776" s="93" t="n">
        <x:f>IF(V1776="Returned",0,T1776-U1776)</x:f>
        <x:v>1436.4</x:v>
      </x:c>
      <x:c r="X1776" s="93" t="n">
        <x:f>IF(V1776="Returned",Q1776*R1776*10%,Q1776*R1776)</x:f>
        <x:v>940</x:v>
      </x:c>
      <x:c r="Y1776" s="93" t="n">
        <x:f>W1776-X1776</x:f>
        <x:v>496.4000000000001</x:v>
      </x:c>
      <x:c r="Z1776" s="94" t="n">
        <x:f>IFERROR(Y1776/W1776,0)</x:f>
        <x:v>0.3455861876914509</x:v>
      </x:c>
      <x:c r="AA1776" s="84" t="str">
        <x:f>PROPER(TRIM('Raw Sales'!M1776))</x:f>
        <x:v>Paypal</x:v>
      </x:c>
      <x:c r="AB1776" s="84" t="str">
        <x:f>PROPER(TRIM('Raw Sales'!N1776))</x:f>
        <x:v>Maya Brooks</x:v>
      </x:c>
      <x:c r="AC1776" s="85" t="n">
        <x:f>'Raw Sales'!O1776</x:f>
        <x:v>45874</x:v>
      </x:c>
      <x:c r="AD1776" s="84" t="n">
        <x:f>AC1776-B1776</x:f>
        <x:v>2</x:v>
      </x:c>
      <x:c r="AE1776" s="84" t="str">
        <x:f>IF(COUNTIF($A$5:A1776,A1776)&gt;1,"Duplicate","Keep")</x:f>
        <x:v>Keep</x:v>
      </x:c>
      <x:c r="AF1776" s="84" t="str">
        <x:f>IF(OR(R1776&lt;=0,AC1776&lt;B1776,H1776="Unknown",M1776="Unknown Product"),"Review","Valid")</x:f>
        <x:v>Valid</x:v>
      </x:c>
      <x:c r="AG1776" s="84" t="n">
        <x:f>IF(AND(AE1776="Keep",AF1776="Valid"),1,0)</x:f>
        <x:v>1</x:v>
      </x:c>
      <x:c r="AH1776" s="84" t="n">
        <x:f>IF(AND(AG1776=1,OR('Dashboard'!$B$4="All",I1776='Dashboard'!$B$4),OR('Dashboard'!$E$4="All",N1776='Dashboard'!$E$4),OR('Dashboard'!$H$4="All",K1776='Dashboard'!$H$4),OR('Dashboard'!$K$4="All",C1776='Dashboard'!$K$4)),1,0)</x:f>
        <x:v>1</x:v>
      </x:c>
      <x:c r="AI1776" s="84" t="n">
        <x:f>IF(AND(AG1776=1,OR('Dashboard'!$B$4="All",I1776='Dashboard'!$B$4),OR('Dashboard'!$E$4="All",N1776='Dashboard'!$E$4),OR('Dashboard'!$H$4="All",K1776='Dashboard'!$H$4)),1,0)</x:f>
        <x:v>1</x:v>
      </x:c>
    </x:row>
    <x:row r="1777">
      <x:c r="A1777" s="84" t="str">
        <x:f>'Raw Sales'!A1777</x:f>
        <x:v>ORD-2025-01347</x:v>
      </x:c>
      <x:c r="B1777" s="85" t="n">
        <x:f>'Raw Sales'!B1777</x:f>
        <x:v>45872</x:v>
      </x:c>
      <x:c r="C1777" s="84" t="n">
        <x:f>YEAR(B1777)</x:f>
        <x:v>2025</x:v>
      </x:c>
      <x:c r="D1777" s="91" t="n">
        <x:f>DATE(YEAR(B1777),MONTH(B1777),1)</x:f>
        <x:v>45870</x:v>
      </x:c>
      <x:c r="E1777" s="84" t="str">
        <x:f>TEXT(B1777,"mmm")</x:f>
        <x:v>Aug</x:v>
      </x:c>
      <x:c r="F1777" s="84" t="str">
        <x:f>'Raw Sales'!C1777</x:f>
        <x:v>CUST-0472</x:v>
      </x:c>
      <x:c r="G1777" s="84" t="str">
        <x:f>PROPER(TRIM('Raw Sales'!D1777))</x:f>
        <x:v>Owen Davis</x:v>
      </x:c>
      <x:c r="H1777" s="84" t="str">
        <x:f>IF(TRIM('Raw Sales'!E1777)="","Unknown",PROPER(TRIM('Raw Sales'!E1777)))</x:f>
        <x:v>Corporate</x:v>
      </x:c>
      <x:c r="I1777" s="84" t="str">
        <x:f>PROPER(TRIM('Raw Sales'!F1777))</x:f>
        <x:v>West</x:v>
      </x:c>
      <x:c r="J1777" s="84" t="str">
        <x:f>PROPER(TRIM('Raw Sales'!G1777))</x:f>
        <x:v>Los Angeles</x:v>
      </x:c>
      <x:c r="K1777" s="84" t="str">
        <x:f>PROPER(TRIM('Raw Sales'!H1777))</x:f>
        <x:v>Marketplace</x:v>
      </x:c>
      <x:c r="L1777" s="84" t="str">
        <x:f>'Raw Sales'!I1777</x:f>
        <x:v>HOME-006</x:v>
      </x:c>
      <x:c r="M1777" s="84" t="str">
        <x:f>IFERROR(VLOOKUP(L1777,'Reference Data'!$A$5:$F$40,2,FALSE),"Unknown Product")</x:f>
        <x:v>Food Storage Set</x:v>
      </x:c>
      <x:c r="N1777" s="84" t="str">
        <x:f>IFERROR(VLOOKUP(L1777,'Reference Data'!$A$5:$F$40,3,FALSE),"Unknown")</x:f>
        <x:v>Home &amp; Kitchen</x:v>
      </x:c>
      <x:c r="O1777" s="84" t="str">
        <x:f>IFERROR(VLOOKUP(L1777,'Reference Data'!$A$5:$F$40,4,FALSE),"Unknown")</x:f>
        <x:v>Kitchenware</x:v>
      </x:c>
      <x:c r="P1777" s="92" t="n">
        <x:f>IFERROR(VLOOKUP(L1777,'Reference Data'!$A$5:$F$40,5,FALSE),0)</x:f>
        <x:v>34</x:v>
      </x:c>
      <x:c r="Q1777" s="92" t="n">
        <x:f>IFERROR(VLOOKUP(L1777,'Reference Data'!$A$5:$F$40,6,FALSE),0)</x:f>
        <x:v>15</x:v>
      </x:c>
      <x:c r="R1777" s="84" t="n">
        <x:f>'Raw Sales'!J1777</x:f>
        <x:v>6</x:v>
      </x:c>
      <x:c r="S1777" s="87" t="n">
        <x:f>'Raw Sales'!K1777</x:f>
        <x:v>0.1</x:v>
      </x:c>
      <x:c r="T1777" s="93" t="n">
        <x:f>P1777*R1777</x:f>
        <x:v>204</x:v>
      </x:c>
      <x:c r="U1777" s="93" t="n">
        <x:f>T1777*S1777</x:f>
        <x:v>20.400000000000002</x:v>
      </x:c>
      <x:c r="V1777" s="93" t="str">
        <x:f>PROPER(TRIM('Raw Sales'!L1777))</x:f>
        <x:v>Completed</x:v>
      </x:c>
      <x:c r="W1777" s="93" t="n">
        <x:f>IF(V1777="Returned",0,T1777-U1777)</x:f>
        <x:v>183.6</x:v>
      </x:c>
      <x:c r="X1777" s="93" t="n">
        <x:f>IF(V1777="Returned",Q1777*R1777*10%,Q1777*R1777)</x:f>
        <x:v>90</x:v>
      </x:c>
      <x:c r="Y1777" s="93" t="n">
        <x:f>W1777-X1777</x:f>
        <x:v>93.6</x:v>
      </x:c>
      <x:c r="Z1777" s="94" t="n">
        <x:f>IFERROR(Y1777/W1777,0)</x:f>
        <x:v>0.5098039215686274</x:v>
      </x:c>
      <x:c r="AA1777" s="84" t="str">
        <x:f>PROPER(TRIM('Raw Sales'!M1777))</x:f>
        <x:v>Mobile Wallet</x:v>
      </x:c>
      <x:c r="AB1777" s="84" t="str">
        <x:f>PROPER(TRIM('Raw Sales'!N1777))</x:f>
        <x:v>Leo Martinez</x:v>
      </x:c>
      <x:c r="AC1777" s="85" t="n">
        <x:f>'Raw Sales'!O1777</x:f>
        <x:v>45877</x:v>
      </x:c>
      <x:c r="AD1777" s="84" t="n">
        <x:f>AC1777-B1777</x:f>
        <x:v>5</x:v>
      </x:c>
      <x:c r="AE1777" s="84" t="str">
        <x:f>IF(COUNTIF($A$5:A1777,A1777)&gt;1,"Duplicate","Keep")</x:f>
        <x:v>Keep</x:v>
      </x:c>
      <x:c r="AF1777" s="84" t="str">
        <x:f>IF(OR(R1777&lt;=0,AC1777&lt;B1777,H1777="Unknown",M1777="Unknown Product"),"Review","Valid")</x:f>
        <x:v>Valid</x:v>
      </x:c>
      <x:c r="AG1777" s="84" t="n">
        <x:f>IF(AND(AE1777="Keep",AF1777="Valid"),1,0)</x:f>
        <x:v>1</x:v>
      </x:c>
      <x:c r="AH1777" s="84" t="n">
        <x:f>IF(AND(AG1777=1,OR('Dashboard'!$B$4="All",I1777='Dashboard'!$B$4),OR('Dashboard'!$E$4="All",N1777='Dashboard'!$E$4),OR('Dashboard'!$H$4="All",K1777='Dashboard'!$H$4),OR('Dashboard'!$K$4="All",C1777='Dashboard'!$K$4)),1,0)</x:f>
        <x:v>1</x:v>
      </x:c>
      <x:c r="AI1777" s="84" t="n">
        <x:f>IF(AND(AG1777=1,OR('Dashboard'!$B$4="All",I1777='Dashboard'!$B$4),OR('Dashboard'!$E$4="All",N1777='Dashboard'!$E$4),OR('Dashboard'!$H$4="All",K1777='Dashboard'!$H$4)),1,0)</x:f>
        <x:v>1</x:v>
      </x:c>
    </x:row>
    <x:row r="1778">
      <x:c r="A1778" s="84" t="str">
        <x:f>'Raw Sales'!A1778</x:f>
        <x:v>ORD-2025-01434</x:v>
      </x:c>
      <x:c r="B1778" s="85" t="n">
        <x:f>'Raw Sales'!B1778</x:f>
        <x:v>45872</x:v>
      </x:c>
      <x:c r="C1778" s="84" t="n">
        <x:f>YEAR(B1778)</x:f>
        <x:v>2025</x:v>
      </x:c>
      <x:c r="D1778" s="91" t="n">
        <x:f>DATE(YEAR(B1778),MONTH(B1778),1)</x:f>
        <x:v>45870</x:v>
      </x:c>
      <x:c r="E1778" s="84" t="str">
        <x:f>TEXT(B1778,"mmm")</x:f>
        <x:v>Aug</x:v>
      </x:c>
      <x:c r="F1778" s="84" t="str">
        <x:f>'Raw Sales'!C1778</x:f>
        <x:v>CUST-0119</x:v>
      </x:c>
      <x:c r="G1778" s="84" t="str">
        <x:f>PROPER(TRIM('Raw Sales'!D1778))</x:f>
        <x:v>Grace Nelson</x:v>
      </x:c>
      <x:c r="H1778" s="84" t="str">
        <x:f>IF(TRIM('Raw Sales'!E1778)="","Unknown",PROPER(TRIM('Raw Sales'!E1778)))</x:f>
        <x:v>Small Business</x:v>
      </x:c>
      <x:c r="I1778" s="84" t="str">
        <x:f>PROPER(TRIM('Raw Sales'!F1778))</x:f>
        <x:v>West</x:v>
      </x:c>
      <x:c r="J1778" s="84" t="str">
        <x:f>PROPER(TRIM('Raw Sales'!G1778))</x:f>
        <x:v>Denver</x:v>
      </x:c>
      <x:c r="K1778" s="84" t="str">
        <x:f>PROPER(TRIM('Raw Sales'!H1778))</x:f>
        <x:v>Online</x:v>
      </x:c>
      <x:c r="L1778" s="84" t="str">
        <x:f>'Raw Sales'!I1778</x:f>
        <x:v>HOME-003</x:v>
      </x:c>
      <x:c r="M1778" s="84" t="str">
        <x:f>IFERROR(VLOOKUP(L1778,'Reference Data'!$A$5:$F$40,2,FALSE),"Unknown Product")</x:f>
        <x:v>Countertop Blender</x:v>
      </x:c>
      <x:c r="N1778" s="84" t="str">
        <x:f>IFERROR(VLOOKUP(L1778,'Reference Data'!$A$5:$F$40,3,FALSE),"Unknown")</x:f>
        <x:v>Home &amp; Kitchen</x:v>
      </x:c>
      <x:c r="O1778" s="84" t="str">
        <x:f>IFERROR(VLOOKUP(L1778,'Reference Data'!$A$5:$F$40,4,FALSE),"Unknown")</x:f>
        <x:v>Small Appliances</x:v>
      </x:c>
      <x:c r="P1778" s="92" t="n">
        <x:f>IFERROR(VLOOKUP(L1778,'Reference Data'!$A$5:$F$40,5,FALSE),0)</x:f>
        <x:v>89</x:v>
      </x:c>
      <x:c r="Q1778" s="92" t="n">
        <x:f>IFERROR(VLOOKUP(L1778,'Reference Data'!$A$5:$F$40,6,FALSE),0)</x:f>
        <x:v>46</x:v>
      </x:c>
      <x:c r="R1778" s="84" t="n">
        <x:f>'Raw Sales'!J1778</x:f>
        <x:v>1</x:v>
      </x:c>
      <x:c r="S1778" s="87" t="n">
        <x:f>'Raw Sales'!K1778</x:f>
        <x:v>0</x:v>
      </x:c>
      <x:c r="T1778" s="93" t="n">
        <x:f>P1778*R1778</x:f>
        <x:v>89</x:v>
      </x:c>
      <x:c r="U1778" s="93" t="n">
        <x:f>T1778*S1778</x:f>
        <x:v>0</x:v>
      </x:c>
      <x:c r="V1778" s="93" t="str">
        <x:f>PROPER(TRIM('Raw Sales'!L1778))</x:f>
        <x:v>Returned</x:v>
      </x:c>
      <x:c r="W1778" s="93" t="n">
        <x:f>IF(V1778="Returned",0,T1778-U1778)</x:f>
        <x:v>0</x:v>
      </x:c>
      <x:c r="X1778" s="93" t="n">
        <x:f>IF(V1778="Returned",Q1778*R1778*10%,Q1778*R1778)</x:f>
        <x:v>4.6000000000000005</x:v>
      </x:c>
      <x:c r="Y1778" s="93" t="n">
        <x:f>W1778-X1778</x:f>
        <x:v>-4.6000000000000005</x:v>
      </x:c>
      <x:c r="Z1778" s="94" t="n">
        <x:f>IFERROR(Y1778/W1778,0)</x:f>
        <x:v>0</x:v>
      </x:c>
      <x:c r="AA1778" s="84" t="str">
        <x:f>PROPER(TRIM('Raw Sales'!M1778))</x:f>
        <x:v>Credit Card</x:v>
      </x:c>
      <x:c r="AB1778" s="84" t="str">
        <x:f>PROPER(TRIM('Raw Sales'!N1778))</x:f>
        <x:v>Nora Kim</x:v>
      </x:c>
      <x:c r="AC1778" s="85" t="n">
        <x:f>'Raw Sales'!O1778</x:f>
        <x:v>45875</x:v>
      </x:c>
      <x:c r="AD1778" s="84" t="n">
        <x:f>AC1778-B1778</x:f>
        <x:v>3</x:v>
      </x:c>
      <x:c r="AE1778" s="84" t="str">
        <x:f>IF(COUNTIF($A$5:A1778,A1778)&gt;1,"Duplicate","Keep")</x:f>
        <x:v>Keep</x:v>
      </x:c>
      <x:c r="AF1778" s="84" t="str">
        <x:f>IF(OR(R1778&lt;=0,AC1778&lt;B1778,H1778="Unknown",M1778="Unknown Product"),"Review","Valid")</x:f>
        <x:v>Valid</x:v>
      </x:c>
      <x:c r="AG1778" s="84" t="n">
        <x:f>IF(AND(AE1778="Keep",AF1778="Valid"),1,0)</x:f>
        <x:v>1</x:v>
      </x:c>
      <x:c r="AH1778" s="84" t="n">
        <x:f>IF(AND(AG1778=1,OR('Dashboard'!$B$4="All",I1778='Dashboard'!$B$4),OR('Dashboard'!$E$4="All",N1778='Dashboard'!$E$4),OR('Dashboard'!$H$4="All",K1778='Dashboard'!$H$4),OR('Dashboard'!$K$4="All",C1778='Dashboard'!$K$4)),1,0)</x:f>
        <x:v>1</x:v>
      </x:c>
      <x:c r="AI1778" s="84" t="n">
        <x:f>IF(AND(AG1778=1,OR('Dashboard'!$B$4="All",I1778='Dashboard'!$B$4),OR('Dashboard'!$E$4="All",N1778='Dashboard'!$E$4),OR('Dashboard'!$H$4="All",K1778='Dashboard'!$H$4)),1,0)</x:f>
        <x:v>1</x:v>
      </x:c>
    </x:row>
    <x:row r="1779">
      <x:c r="A1779" s="84" t="str">
        <x:f>'Raw Sales'!A1779</x:f>
        <x:v>ORD-2025-01648</x:v>
      </x:c>
      <x:c r="B1779" s="85" t="n">
        <x:f>'Raw Sales'!B1779</x:f>
        <x:v>45872</x:v>
      </x:c>
      <x:c r="C1779" s="84" t="n">
        <x:f>YEAR(B1779)</x:f>
        <x:v>2025</x:v>
      </x:c>
      <x:c r="D1779" s="91" t="n">
        <x:f>DATE(YEAR(B1779),MONTH(B1779),1)</x:f>
        <x:v>45870</x:v>
      </x:c>
      <x:c r="E1779" s="84" t="str">
        <x:f>TEXT(B1779,"mmm")</x:f>
        <x:v>Aug</x:v>
      </x:c>
      <x:c r="F1779" s="84" t="str">
        <x:f>'Raw Sales'!C1779</x:f>
        <x:v>CUST-0552</x:v>
      </x:c>
      <x:c r="G1779" s="84" t="str">
        <x:f>PROPER(TRIM('Raw Sales'!D1779))</x:f>
        <x:v>Victoria Foster</x:v>
      </x:c>
      <x:c r="H1779" s="84" t="str">
        <x:f>IF(TRIM('Raw Sales'!E1779)="","Unknown",PROPER(TRIM('Raw Sales'!E1779)))</x:f>
        <x:v>Corporate</x:v>
      </x:c>
      <x:c r="I1779" s="84" t="str">
        <x:f>PROPER(TRIM('Raw Sales'!F1779))</x:f>
        <x:v>Southeast</x:v>
      </x:c>
      <x:c r="J1779" s="84" t="str">
        <x:f>PROPER(TRIM('Raw Sales'!G1779))</x:f>
        <x:v>Miami</x:v>
      </x:c>
      <x:c r="K1779" s="84" t="str">
        <x:f>PROPER(TRIM('Raw Sales'!H1779))</x:f>
        <x:v>Online</x:v>
      </x:c>
      <x:c r="L1779" s="84" t="str">
        <x:f>'Raw Sales'!I1779</x:f>
        <x:v>CARE-006</x:v>
      </x:c>
      <x:c r="M1779" s="84" t="str">
        <x:f>IFERROR(VLOOKUP(L1779,'Reference Data'!$A$5:$F$40,2,FALSE),"Unknown Product")</x:f>
        <x:v>Percussion Massage Gun</x:v>
      </x:c>
      <x:c r="N1779" s="84" t="str">
        <x:f>IFERROR(VLOOKUP(L1779,'Reference Data'!$A$5:$F$40,3,FALSE),"Unknown")</x:f>
        <x:v>Personal Care</x:v>
      </x:c>
      <x:c r="O1779" s="84" t="str">
        <x:f>IFERROR(VLOOKUP(L1779,'Reference Data'!$A$5:$F$40,4,FALSE),"Unknown")</x:f>
        <x:v>Wellness</x:v>
      </x:c>
      <x:c r="P1779" s="92" t="n">
        <x:f>IFERROR(VLOOKUP(L1779,'Reference Data'!$A$5:$F$40,5,FALSE),0)</x:f>
        <x:v>129</x:v>
      </x:c>
      <x:c r="Q1779" s="92" t="n">
        <x:f>IFERROR(VLOOKUP(L1779,'Reference Data'!$A$5:$F$40,6,FALSE),0)</x:f>
        <x:v>70</x:v>
      </x:c>
      <x:c r="R1779" s="84" t="n">
        <x:f>'Raw Sales'!J1779</x:f>
        <x:v>4</x:v>
      </x:c>
      <x:c r="S1779" s="87" t="n">
        <x:f>'Raw Sales'!K1779</x:f>
        <x:v>0.15</x:v>
      </x:c>
      <x:c r="T1779" s="93" t="n">
        <x:f>P1779*R1779</x:f>
        <x:v>516</x:v>
      </x:c>
      <x:c r="U1779" s="93" t="n">
        <x:f>T1779*S1779</x:f>
        <x:v>77.39999999999999</x:v>
      </x:c>
      <x:c r="V1779" s="93" t="str">
        <x:f>PROPER(TRIM('Raw Sales'!L1779))</x:f>
        <x:v>Completed</x:v>
      </x:c>
      <x:c r="W1779" s="93" t="n">
        <x:f>IF(V1779="Returned",0,T1779-U1779)</x:f>
        <x:v>438.6</x:v>
      </x:c>
      <x:c r="X1779" s="93" t="n">
        <x:f>IF(V1779="Returned",Q1779*R1779*10%,Q1779*R1779)</x:f>
        <x:v>280</x:v>
      </x:c>
      <x:c r="Y1779" s="93" t="n">
        <x:f>W1779-X1779</x:f>
        <x:v>158.60000000000002</x:v>
      </x:c>
      <x:c r="Z1779" s="94" t="n">
        <x:f>IFERROR(Y1779/W1779,0)</x:f>
        <x:v>0.36160510715914274</x:v>
      </x:c>
      <x:c r="AA1779" s="84" t="str">
        <x:f>PROPER(TRIM('Raw Sales'!M1779))</x:f>
        <x:v>Paypal</x:v>
      </x:c>
      <x:c r="AB1779" s="84" t="str">
        <x:f>PROPER(TRIM('Raw Sales'!N1779))</x:f>
        <x:v>Noah Reed</x:v>
      </x:c>
      <x:c r="AC1779" s="85" t="n">
        <x:f>'Raw Sales'!O1779</x:f>
        <x:v>45874</x:v>
      </x:c>
      <x:c r="AD1779" s="84" t="n">
        <x:f>AC1779-B1779</x:f>
        <x:v>2</x:v>
      </x:c>
      <x:c r="AE1779" s="84" t="str">
        <x:f>IF(COUNTIF($A$5:A1779,A1779)&gt;1,"Duplicate","Keep")</x:f>
        <x:v>Keep</x:v>
      </x:c>
      <x:c r="AF1779" s="84" t="str">
        <x:f>IF(OR(R1779&lt;=0,AC1779&lt;B1779,H1779="Unknown",M1779="Unknown Product"),"Review","Valid")</x:f>
        <x:v>Valid</x:v>
      </x:c>
      <x:c r="AG1779" s="84" t="n">
        <x:f>IF(AND(AE1779="Keep",AF1779="Valid"),1,0)</x:f>
        <x:v>1</x:v>
      </x:c>
      <x:c r="AH1779" s="84" t="n">
        <x:f>IF(AND(AG1779=1,OR('Dashboard'!$B$4="All",I1779='Dashboard'!$B$4),OR('Dashboard'!$E$4="All",N1779='Dashboard'!$E$4),OR('Dashboard'!$H$4="All",K1779='Dashboard'!$H$4),OR('Dashboard'!$K$4="All",C1779='Dashboard'!$K$4)),1,0)</x:f>
        <x:v>1</x:v>
      </x:c>
      <x:c r="AI1779" s="84" t="n">
        <x:f>IF(AND(AG1779=1,OR('Dashboard'!$B$4="All",I1779='Dashboard'!$B$4),OR('Dashboard'!$E$4="All",N1779='Dashboard'!$E$4),OR('Dashboard'!$H$4="All",K1779='Dashboard'!$H$4)),1,0)</x:f>
        <x:v>1</x:v>
      </x:c>
    </x:row>
    <x:row r="1780">
      <x:c r="A1780" s="84" t="str">
        <x:f>'Raw Sales'!A1780</x:f>
        <x:v>ORD-2025-01947</x:v>
      </x:c>
      <x:c r="B1780" s="85" t="n">
        <x:f>'Raw Sales'!B1780</x:f>
        <x:v>45872</x:v>
      </x:c>
      <x:c r="C1780" s="84" t="n">
        <x:f>YEAR(B1780)</x:f>
        <x:v>2025</x:v>
      </x:c>
      <x:c r="D1780" s="91" t="n">
        <x:f>DATE(YEAR(B1780),MONTH(B1780),1)</x:f>
        <x:v>45870</x:v>
      </x:c>
      <x:c r="E1780" s="84" t="str">
        <x:f>TEXT(B1780,"mmm")</x:f>
        <x:v>Aug</x:v>
      </x:c>
      <x:c r="F1780" s="84" t="str">
        <x:f>'Raw Sales'!C1780</x:f>
        <x:v>CUST-0551</x:v>
      </x:c>
      <x:c r="G1780" s="84" t="str">
        <x:f>PROPER(TRIM('Raw Sales'!D1780))</x:f>
        <x:v>Isaac Johnson</x:v>
      </x:c>
      <x:c r="H1780" s="84" t="str">
        <x:f>IF(TRIM('Raw Sales'!E1780)="","Unknown",PROPER(TRIM('Raw Sales'!E1780)))</x:f>
        <x:v>Consumer</x:v>
      </x:c>
      <x:c r="I1780" s="84" t="str">
        <x:f>PROPER(TRIM('Raw Sales'!F1780))</x:f>
        <x:v>Southeast</x:v>
      </x:c>
      <x:c r="J1780" s="84" t="str">
        <x:f>PROPER(TRIM('Raw Sales'!G1780))</x:f>
        <x:v>Atlanta</x:v>
      </x:c>
      <x:c r="K1780" s="84" t="str">
        <x:f>PROPER(TRIM('Raw Sales'!H1780))</x:f>
        <x:v>Online</x:v>
      </x:c>
      <x:c r="L1780" s="84" t="str">
        <x:f>'Raw Sales'!I1780</x:f>
        <x:v>ELEC-004</x:v>
      </x:c>
      <x:c r="M1780" s="84" t="str">
        <x:f>IFERROR(VLOOKUP(L1780,'Reference Data'!$A$5:$F$40,2,FALSE),"Unknown Product")</x:f>
        <x:v>Power Bank</x:v>
      </x:c>
      <x:c r="N1780" s="84" t="str">
        <x:f>IFERROR(VLOOKUP(L1780,'Reference Data'!$A$5:$F$40,3,FALSE),"Unknown")</x:f>
        <x:v>Electronics</x:v>
      </x:c>
      <x:c r="O1780" s="84" t="str">
        <x:f>IFERROR(VLOOKUP(L1780,'Reference Data'!$A$5:$F$40,4,FALSE),"Unknown")</x:f>
        <x:v>Mobile Accessories</x:v>
      </x:c>
      <x:c r="P1780" s="92" t="n">
        <x:f>IFERROR(VLOOKUP(L1780,'Reference Data'!$A$5:$F$40,5,FALSE),0)</x:f>
        <x:v>39</x:v>
      </x:c>
      <x:c r="Q1780" s="92" t="n">
        <x:f>IFERROR(VLOOKUP(L1780,'Reference Data'!$A$5:$F$40,6,FALSE),0)</x:f>
        <x:v>18</x:v>
      </x:c>
      <x:c r="R1780" s="84" t="n">
        <x:f>'Raw Sales'!J1780</x:f>
        <x:v>1</x:v>
      </x:c>
      <x:c r="S1780" s="87" t="n">
        <x:f>'Raw Sales'!K1780</x:f>
        <x:v>0.05</x:v>
      </x:c>
      <x:c r="T1780" s="93" t="n">
        <x:f>P1780*R1780</x:f>
        <x:v>39</x:v>
      </x:c>
      <x:c r="U1780" s="93" t="n">
        <x:f>T1780*S1780</x:f>
        <x:v>1.9500000000000002</x:v>
      </x:c>
      <x:c r="V1780" s="93" t="str">
        <x:f>PROPER(TRIM('Raw Sales'!L1780))</x:f>
        <x:v>Completed</x:v>
      </x:c>
      <x:c r="W1780" s="93" t="n">
        <x:f>IF(V1780="Returned",0,T1780-U1780)</x:f>
        <x:v>37.05</x:v>
      </x:c>
      <x:c r="X1780" s="93" t="n">
        <x:f>IF(V1780="Returned",Q1780*R1780*10%,Q1780*R1780)</x:f>
        <x:v>18</x:v>
      </x:c>
      <x:c r="Y1780" s="93" t="n">
        <x:f>W1780-X1780</x:f>
        <x:v>19.049999999999997</x:v>
      </x:c>
      <x:c r="Z1780" s="94" t="n">
        <x:f>IFERROR(Y1780/W1780,0)</x:f>
        <x:v>0.5141700404858299</x:v>
      </x:c>
      <x:c r="AA1780" s="84" t="str">
        <x:f>PROPER(TRIM('Raw Sales'!M1780))</x:f>
        <x:v>Credit Card</x:v>
      </x:c>
      <x:c r="AB1780" s="84" t="str">
        <x:f>PROPER(TRIM('Raw Sales'!N1780))</x:f>
        <x:v>Liam Parker</x:v>
      </x:c>
      <x:c r="AC1780" s="85" t="n">
        <x:f>'Raw Sales'!O1780</x:f>
        <x:v>45877</x:v>
      </x:c>
      <x:c r="AD1780" s="84" t="n">
        <x:f>AC1780-B1780</x:f>
        <x:v>5</x:v>
      </x:c>
      <x:c r="AE1780" s="84" t="str">
        <x:f>IF(COUNTIF($A$5:A1780,A1780)&gt;1,"Duplicate","Keep")</x:f>
        <x:v>Keep</x:v>
      </x:c>
      <x:c r="AF1780" s="84" t="str">
        <x:f>IF(OR(R1780&lt;=0,AC1780&lt;B1780,H1780="Unknown",M1780="Unknown Product"),"Review","Valid")</x:f>
        <x:v>Valid</x:v>
      </x:c>
      <x:c r="AG1780" s="84" t="n">
        <x:f>IF(AND(AE1780="Keep",AF1780="Valid"),1,0)</x:f>
        <x:v>1</x:v>
      </x:c>
      <x:c r="AH1780" s="84" t="n">
        <x:f>IF(AND(AG1780=1,OR('Dashboard'!$B$4="All",I1780='Dashboard'!$B$4),OR('Dashboard'!$E$4="All",N1780='Dashboard'!$E$4),OR('Dashboard'!$H$4="All",K1780='Dashboard'!$H$4),OR('Dashboard'!$K$4="All",C1780='Dashboard'!$K$4)),1,0)</x:f>
        <x:v>1</x:v>
      </x:c>
      <x:c r="AI1780" s="84" t="n">
        <x:f>IF(AND(AG1780=1,OR('Dashboard'!$B$4="All",I1780='Dashboard'!$B$4),OR('Dashboard'!$E$4="All",N1780='Dashboard'!$E$4),OR('Dashboard'!$H$4="All",K1780='Dashboard'!$H$4)),1,0)</x:f>
        <x:v>1</x:v>
      </x:c>
    </x:row>
    <x:row r="1781">
      <x:c r="A1781" s="84" t="str">
        <x:f>'Raw Sales'!A1781</x:f>
        <x:v>ORD-2025-00411</x:v>
      </x:c>
      <x:c r="B1781" s="85" t="n">
        <x:f>'Raw Sales'!B1781</x:f>
        <x:v>45873</x:v>
      </x:c>
      <x:c r="C1781" s="84" t="n">
        <x:f>YEAR(B1781)</x:f>
        <x:v>2025</x:v>
      </x:c>
      <x:c r="D1781" s="91" t="n">
        <x:f>DATE(YEAR(B1781),MONTH(B1781),1)</x:f>
        <x:v>45870</x:v>
      </x:c>
      <x:c r="E1781" s="84" t="str">
        <x:f>TEXT(B1781,"mmm")</x:f>
        <x:v>Aug</x:v>
      </x:c>
      <x:c r="F1781" s="84" t="str">
        <x:f>'Raw Sales'!C1781</x:f>
        <x:v>CUST-0088</x:v>
      </x:c>
      <x:c r="G1781" s="84" t="str">
        <x:f>PROPER(TRIM('Raw Sales'!D1781))</x:f>
        <x:v>Jasmine Khan</x:v>
      </x:c>
      <x:c r="H1781" s="84" t="str">
        <x:f>IF(TRIM('Raw Sales'!E1781)="","Unknown",PROPER(TRIM('Raw Sales'!E1781)))</x:f>
        <x:v>Consumer</x:v>
      </x:c>
      <x:c r="I1781" s="84" t="str">
        <x:f>PROPER(TRIM('Raw Sales'!F1781))</x:f>
        <x:v>Northeast</x:v>
      </x:c>
      <x:c r="J1781" s="84" t="str">
        <x:f>PROPER(TRIM('Raw Sales'!G1781))</x:f>
        <x:v>Boston</x:v>
      </x:c>
      <x:c r="K1781" s="84" t="str">
        <x:f>PROPER(TRIM('Raw Sales'!H1781))</x:f>
        <x:v>Online</x:v>
      </x:c>
      <x:c r="L1781" s="84" t="str">
        <x:f>'Raw Sales'!I1781</x:f>
        <x:v>ELEC-006</x:v>
      </x:c>
      <x:c r="M1781" s="84" t="str">
        <x:f>IFERROR(VLOOKUP(L1781,'Reference Data'!$A$5:$F$40,2,FALSE),"Unknown Product")</x:f>
        <x:v>Portable SSD</x:v>
      </x:c>
      <x:c r="N1781" s="84" t="str">
        <x:f>IFERROR(VLOOKUP(L1781,'Reference Data'!$A$5:$F$40,3,FALSE),"Unknown")</x:f>
        <x:v>Electronics</x:v>
      </x:c>
      <x:c r="O1781" s="84" t="str">
        <x:f>IFERROR(VLOOKUP(L1781,'Reference Data'!$A$5:$F$40,4,FALSE),"Unknown")</x:f>
        <x:v>Storage</x:v>
      </x:c>
      <x:c r="P1781" s="92" t="n">
        <x:f>IFERROR(VLOOKUP(L1781,'Reference Data'!$A$5:$F$40,5,FALSE),0)</x:f>
        <x:v>129</x:v>
      </x:c>
      <x:c r="Q1781" s="92" t="n">
        <x:f>IFERROR(VLOOKUP(L1781,'Reference Data'!$A$5:$F$40,6,FALSE),0)</x:f>
        <x:v>75</x:v>
      </x:c>
      <x:c r="R1781" s="84" t="n">
        <x:f>'Raw Sales'!J1781</x:f>
        <x:v>2</x:v>
      </x:c>
      <x:c r="S1781" s="87" t="n">
        <x:f>'Raw Sales'!K1781</x:f>
        <x:v>0.05</x:v>
      </x:c>
      <x:c r="T1781" s="93" t="n">
        <x:f>P1781*R1781</x:f>
        <x:v>258</x:v>
      </x:c>
      <x:c r="U1781" s="93" t="n">
        <x:f>T1781*S1781</x:f>
        <x:v>12.9</x:v>
      </x:c>
      <x:c r="V1781" s="93" t="str">
        <x:f>PROPER(TRIM('Raw Sales'!L1781))</x:f>
        <x:v>Completed</x:v>
      </x:c>
      <x:c r="W1781" s="93" t="n">
        <x:f>IF(V1781="Returned",0,T1781-U1781)</x:f>
        <x:v>245.1</x:v>
      </x:c>
      <x:c r="X1781" s="93" t="n">
        <x:f>IF(V1781="Returned",Q1781*R1781*10%,Q1781*R1781)</x:f>
        <x:v>150</x:v>
      </x:c>
      <x:c r="Y1781" s="93" t="n">
        <x:f>W1781-X1781</x:f>
        <x:v>95.1</x:v>
      </x:c>
      <x:c r="Z1781" s="94" t="n">
        <x:f>IFERROR(Y1781/W1781,0)</x:f>
        <x:v>0.3880048959608323</x:v>
      </x:c>
      <x:c r="AA1781" s="84" t="str">
        <x:f>PROPER(TRIM('Raw Sales'!M1781))</x:f>
        <x:v>Debit Card</x:v>
      </x:c>
      <x:c r="AB1781" s="84" t="str">
        <x:f>PROPER(TRIM('Raw Sales'!N1781))</x:f>
        <x:v>Maya Brooks</x:v>
      </x:c>
      <x:c r="AC1781" s="85" t="n">
        <x:f>'Raw Sales'!O1781</x:f>
        <x:v>45877</x:v>
      </x:c>
      <x:c r="AD1781" s="84" t="n">
        <x:f>AC1781-B1781</x:f>
        <x:v>4</x:v>
      </x:c>
      <x:c r="AE1781" s="84" t="str">
        <x:f>IF(COUNTIF($A$5:A1781,A1781)&gt;1,"Duplicate","Keep")</x:f>
        <x:v>Keep</x:v>
      </x:c>
      <x:c r="AF1781" s="84" t="str">
        <x:f>IF(OR(R1781&lt;=0,AC1781&lt;B1781,H1781="Unknown",M1781="Unknown Product"),"Review","Valid")</x:f>
        <x:v>Valid</x:v>
      </x:c>
      <x:c r="AG1781" s="84" t="n">
        <x:f>IF(AND(AE1781="Keep",AF1781="Valid"),1,0)</x:f>
        <x:v>1</x:v>
      </x:c>
      <x:c r="AH1781" s="84" t="n">
        <x:f>IF(AND(AG1781=1,OR('Dashboard'!$B$4="All",I1781='Dashboard'!$B$4),OR('Dashboard'!$E$4="All",N1781='Dashboard'!$E$4),OR('Dashboard'!$H$4="All",K1781='Dashboard'!$H$4),OR('Dashboard'!$K$4="All",C1781='Dashboard'!$K$4)),1,0)</x:f>
        <x:v>1</x:v>
      </x:c>
      <x:c r="AI1781" s="84" t="n">
        <x:f>IF(AND(AG1781=1,OR('Dashboard'!$B$4="All",I1781='Dashboard'!$B$4),OR('Dashboard'!$E$4="All",N1781='Dashboard'!$E$4),OR('Dashboard'!$H$4="All",K1781='Dashboard'!$H$4)),1,0)</x:f>
        <x:v>1</x:v>
      </x:c>
    </x:row>
    <x:row r="1782">
      <x:c r="A1782" s="84" t="str">
        <x:f>'Raw Sales'!A1782</x:f>
        <x:v>ORD-2025-01479</x:v>
      </x:c>
      <x:c r="B1782" s="85" t="n">
        <x:f>'Raw Sales'!B1782</x:f>
        <x:v>45873</x:v>
      </x:c>
      <x:c r="C1782" s="84" t="n">
        <x:f>YEAR(B1782)</x:f>
        <x:v>2025</x:v>
      </x:c>
      <x:c r="D1782" s="91" t="n">
        <x:f>DATE(YEAR(B1782),MONTH(B1782),1)</x:f>
        <x:v>45870</x:v>
      </x:c>
      <x:c r="E1782" s="84" t="str">
        <x:f>TEXT(B1782,"mmm")</x:f>
        <x:v>Aug</x:v>
      </x:c>
      <x:c r="F1782" s="84" t="str">
        <x:f>'Raw Sales'!C1782</x:f>
        <x:v>CUST-0321</x:v>
      </x:c>
      <x:c r="G1782" s="84" t="str">
        <x:f>PROPER(TRIM('Raw Sales'!D1782))</x:f>
        <x:v>Grace Smith</x:v>
      </x:c>
      <x:c r="H1782" s="84" t="str">
        <x:f>IF(TRIM('Raw Sales'!E1782)="","Unknown",PROPER(TRIM('Raw Sales'!E1782)))</x:f>
        <x:v>Corporate</x:v>
      </x:c>
      <x:c r="I1782" s="84" t="str">
        <x:f>PROPER(TRIM('Raw Sales'!F1782))</x:f>
        <x:v>Southeast</x:v>
      </x:c>
      <x:c r="J1782" s="84" t="str">
        <x:f>PROPER(TRIM('Raw Sales'!G1782))</x:f>
        <x:v>Miami</x:v>
      </x:c>
      <x:c r="K1782" s="84" t="str">
        <x:f>PROPER(TRIM('Raw Sales'!H1782))</x:f>
        <x:v>Marketplace</x:v>
      </x:c>
      <x:c r="L1782" s="84" t="str">
        <x:f>'Raw Sales'!I1782</x:f>
        <x:v>ELEC-006</x:v>
      </x:c>
      <x:c r="M1782" s="84" t="str">
        <x:f>IFERROR(VLOOKUP(L1782,'Reference Data'!$A$5:$F$40,2,FALSE),"Unknown Product")</x:f>
        <x:v>Portable SSD</x:v>
      </x:c>
      <x:c r="N1782" s="84" t="str">
        <x:f>IFERROR(VLOOKUP(L1782,'Reference Data'!$A$5:$F$40,3,FALSE),"Unknown")</x:f>
        <x:v>Electronics</x:v>
      </x:c>
      <x:c r="O1782" s="84" t="str">
        <x:f>IFERROR(VLOOKUP(L1782,'Reference Data'!$A$5:$F$40,4,FALSE),"Unknown")</x:f>
        <x:v>Storage</x:v>
      </x:c>
      <x:c r="P1782" s="92" t="n">
        <x:f>IFERROR(VLOOKUP(L1782,'Reference Data'!$A$5:$F$40,5,FALSE),0)</x:f>
        <x:v>129</x:v>
      </x:c>
      <x:c r="Q1782" s="92" t="n">
        <x:f>IFERROR(VLOOKUP(L1782,'Reference Data'!$A$5:$F$40,6,FALSE),0)</x:f>
        <x:v>75</x:v>
      </x:c>
      <x:c r="R1782" s="84" t="n">
        <x:f>'Raw Sales'!J1782</x:f>
        <x:v>1</x:v>
      </x:c>
      <x:c r="S1782" s="87" t="n">
        <x:f>'Raw Sales'!K1782</x:f>
        <x:v>0.1</x:v>
      </x:c>
      <x:c r="T1782" s="93" t="n">
        <x:f>P1782*R1782</x:f>
        <x:v>129</x:v>
      </x:c>
      <x:c r="U1782" s="93" t="n">
        <x:f>T1782*S1782</x:f>
        <x:v>12.9</x:v>
      </x:c>
      <x:c r="V1782" s="93" t="str">
        <x:f>PROPER(TRIM('Raw Sales'!L1782))</x:f>
        <x:v>Completed</x:v>
      </x:c>
      <x:c r="W1782" s="93" t="n">
        <x:f>IF(V1782="Returned",0,T1782-U1782)</x:f>
        <x:v>116.1</x:v>
      </x:c>
      <x:c r="X1782" s="93" t="n">
        <x:f>IF(V1782="Returned",Q1782*R1782*10%,Q1782*R1782)</x:f>
        <x:v>75</x:v>
      </x:c>
      <x:c r="Y1782" s="93" t="n">
        <x:f>W1782-X1782</x:f>
        <x:v>41.099999999999994</x:v>
      </x:c>
      <x:c r="Z1782" s="94" t="n">
        <x:f>IFERROR(Y1782/W1782,0)</x:f>
        <x:v>0.3540051679586563</x:v>
      </x:c>
      <x:c r="AA1782" s="84" t="str">
        <x:f>PROPER(TRIM('Raw Sales'!M1782))</x:f>
        <x:v>Credit Card</x:v>
      </x:c>
      <x:c r="AB1782" s="84" t="str">
        <x:f>PROPER(TRIM('Raw Sales'!N1782))</x:f>
        <x:v>Ava Mitchell</x:v>
      </x:c>
      <x:c r="AC1782" s="85" t="n">
        <x:f>'Raw Sales'!O1782</x:f>
        <x:v>45878</x:v>
      </x:c>
      <x:c r="AD1782" s="84" t="n">
        <x:f>AC1782-B1782</x:f>
        <x:v>5</x:v>
      </x:c>
      <x:c r="AE1782" s="84" t="str">
        <x:f>IF(COUNTIF($A$5:A1782,A1782)&gt;1,"Duplicate","Keep")</x:f>
        <x:v>Keep</x:v>
      </x:c>
      <x:c r="AF1782" s="84" t="str">
        <x:f>IF(OR(R1782&lt;=0,AC1782&lt;B1782,H1782="Unknown",M1782="Unknown Product"),"Review","Valid")</x:f>
        <x:v>Valid</x:v>
      </x:c>
      <x:c r="AG1782" s="84" t="n">
        <x:f>IF(AND(AE1782="Keep",AF1782="Valid"),1,0)</x:f>
        <x:v>1</x:v>
      </x:c>
      <x:c r="AH1782" s="84" t="n">
        <x:f>IF(AND(AG1782=1,OR('Dashboard'!$B$4="All",I1782='Dashboard'!$B$4),OR('Dashboard'!$E$4="All",N1782='Dashboard'!$E$4),OR('Dashboard'!$H$4="All",K1782='Dashboard'!$H$4),OR('Dashboard'!$K$4="All",C1782='Dashboard'!$K$4)),1,0)</x:f>
        <x:v>1</x:v>
      </x:c>
      <x:c r="AI1782" s="84" t="n">
        <x:f>IF(AND(AG1782=1,OR('Dashboard'!$B$4="All",I1782='Dashboard'!$B$4),OR('Dashboard'!$E$4="All",N1782='Dashboard'!$E$4),OR('Dashboard'!$H$4="All",K1782='Dashboard'!$H$4)),1,0)</x:f>
        <x:v>1</x:v>
      </x:c>
    </x:row>
    <x:row r="1783">
      <x:c r="A1783" s="84" t="str">
        <x:f>'Raw Sales'!A1783</x:f>
        <x:v>ORD-2025-01598</x:v>
      </x:c>
      <x:c r="B1783" s="85" t="n">
        <x:f>'Raw Sales'!B1783</x:f>
        <x:v>45873</x:v>
      </x:c>
      <x:c r="C1783" s="84" t="n">
        <x:f>YEAR(B1783)</x:f>
        <x:v>2025</x:v>
      </x:c>
      <x:c r="D1783" s="91" t="n">
        <x:f>DATE(YEAR(B1783),MONTH(B1783),1)</x:f>
        <x:v>45870</x:v>
      </x:c>
      <x:c r="E1783" s="84" t="str">
        <x:f>TEXT(B1783,"mmm")</x:f>
        <x:v>Aug</x:v>
      </x:c>
      <x:c r="F1783" s="84" t="str">
        <x:f>'Raw Sales'!C1783</x:f>
        <x:v>CUST-0096</x:v>
      </x:c>
      <x:c r="G1783" s="84" t="str">
        <x:f>PROPER(TRIM('Raw Sales'!D1783))</x:f>
        <x:v>Nina Irwin</x:v>
      </x:c>
      <x:c r="H1783" s="84" t="str">
        <x:f>IF(TRIM('Raw Sales'!E1783)="","Unknown",PROPER(TRIM('Raw Sales'!E1783)))</x:f>
        <x:v>Consumer</x:v>
      </x:c>
      <x:c r="I1783" s="84" t="str">
        <x:f>PROPER(TRIM('Raw Sales'!F1783))</x:f>
        <x:v>Southeast</x:v>
      </x:c>
      <x:c r="J1783" s="84" t="str">
        <x:f>PROPER(TRIM('Raw Sales'!G1783))</x:f>
        <x:v>Miami</x:v>
      </x:c>
      <x:c r="K1783" s="84" t="str">
        <x:f>PROPER(TRIM('Raw Sales'!H1783))</x:f>
        <x:v>Online</x:v>
      </x:c>
      <x:c r="L1783" s="84" t="str">
        <x:f>'Raw Sales'!I1783</x:f>
        <x:v>HOME-004</x:v>
      </x:c>
      <x:c r="M1783" s="84" t="str">
        <x:f>IFERROR(VLOOKUP(L1783,'Reference Data'!$A$5:$F$40,2,FALSE),"Unknown Product")</x:f>
        <x:v>Coffee Maker</x:v>
      </x:c>
      <x:c r="N1783" s="84" t="str">
        <x:f>IFERROR(VLOOKUP(L1783,'Reference Data'!$A$5:$F$40,3,FALSE),"Unknown")</x:f>
        <x:v>Home &amp; Kitchen</x:v>
      </x:c>
      <x:c r="O1783" s="84" t="str">
        <x:f>IFERROR(VLOOKUP(L1783,'Reference Data'!$A$5:$F$40,4,FALSE),"Unknown")</x:f>
        <x:v>Small Appliances</x:v>
      </x:c>
      <x:c r="P1783" s="92" t="n">
        <x:f>IFERROR(VLOOKUP(L1783,'Reference Data'!$A$5:$F$40,5,FALSE),0)</x:f>
        <x:v>99</x:v>
      </x:c>
      <x:c r="Q1783" s="92" t="n">
        <x:f>IFERROR(VLOOKUP(L1783,'Reference Data'!$A$5:$F$40,6,FALSE),0)</x:f>
        <x:v>51</x:v>
      </x:c>
      <x:c r="R1783" s="84" t="n">
        <x:f>'Raw Sales'!J1783</x:f>
        <x:v>1</x:v>
      </x:c>
      <x:c r="S1783" s="87" t="n">
        <x:f>'Raw Sales'!K1783</x:f>
        <x:v>0</x:v>
      </x:c>
      <x:c r="T1783" s="93" t="n">
        <x:f>P1783*R1783</x:f>
        <x:v>99</x:v>
      </x:c>
      <x:c r="U1783" s="93" t="n">
        <x:f>T1783*S1783</x:f>
        <x:v>0</x:v>
      </x:c>
      <x:c r="V1783" s="93" t="str">
        <x:f>PROPER(TRIM('Raw Sales'!L1783))</x:f>
        <x:v>Completed</x:v>
      </x:c>
      <x:c r="W1783" s="93" t="n">
        <x:f>IF(V1783="Returned",0,T1783-U1783)</x:f>
        <x:v>99</x:v>
      </x:c>
      <x:c r="X1783" s="93" t="n">
        <x:f>IF(V1783="Returned",Q1783*R1783*10%,Q1783*R1783)</x:f>
        <x:v>51</x:v>
      </x:c>
      <x:c r="Y1783" s="93" t="n">
        <x:f>W1783-X1783</x:f>
        <x:v>48</x:v>
      </x:c>
      <x:c r="Z1783" s="94" t="n">
        <x:f>IFERROR(Y1783/W1783,0)</x:f>
        <x:v>0.48484848484848486</x:v>
      </x:c>
      <x:c r="AA1783" s="84" t="str">
        <x:f>PROPER(TRIM('Raw Sales'!M1783))</x:f>
        <x:v>Debit Card</x:v>
      </x:c>
      <x:c r="AB1783" s="84" t="str">
        <x:f>PROPER(TRIM('Raw Sales'!N1783))</x:f>
        <x:v>Liam Parker</x:v>
      </x:c>
      <x:c r="AC1783" s="85" t="n">
        <x:f>'Raw Sales'!O1783</x:f>
        <x:v>45875</x:v>
      </x:c>
      <x:c r="AD1783" s="84" t="n">
        <x:f>AC1783-B1783</x:f>
        <x:v>2</x:v>
      </x:c>
      <x:c r="AE1783" s="84" t="str">
        <x:f>IF(COUNTIF($A$5:A1783,A1783)&gt;1,"Duplicate","Keep")</x:f>
        <x:v>Keep</x:v>
      </x:c>
      <x:c r="AF1783" s="84" t="str">
        <x:f>IF(OR(R1783&lt;=0,AC1783&lt;B1783,H1783="Unknown",M1783="Unknown Product"),"Review","Valid")</x:f>
        <x:v>Valid</x:v>
      </x:c>
      <x:c r="AG1783" s="84" t="n">
        <x:f>IF(AND(AE1783="Keep",AF1783="Valid"),1,0)</x:f>
        <x:v>1</x:v>
      </x:c>
      <x:c r="AH1783" s="84" t="n">
        <x:f>IF(AND(AG1783=1,OR('Dashboard'!$B$4="All",I1783='Dashboard'!$B$4),OR('Dashboard'!$E$4="All",N1783='Dashboard'!$E$4),OR('Dashboard'!$H$4="All",K1783='Dashboard'!$H$4),OR('Dashboard'!$K$4="All",C1783='Dashboard'!$K$4)),1,0)</x:f>
        <x:v>1</x:v>
      </x:c>
      <x:c r="AI1783" s="84" t="n">
        <x:f>IF(AND(AG1783=1,OR('Dashboard'!$B$4="All",I1783='Dashboard'!$B$4),OR('Dashboard'!$E$4="All",N1783='Dashboard'!$E$4),OR('Dashboard'!$H$4="All",K1783='Dashboard'!$H$4)),1,0)</x:f>
        <x:v>1</x:v>
      </x:c>
    </x:row>
    <x:row r="1784">
      <x:c r="A1784" s="84" t="str">
        <x:f>'Raw Sales'!A1784</x:f>
        <x:v>ORD-2025-01928</x:v>
      </x:c>
      <x:c r="B1784" s="85" t="n">
        <x:f>'Raw Sales'!B1784</x:f>
        <x:v>45873</x:v>
      </x:c>
      <x:c r="C1784" s="84" t="n">
        <x:f>YEAR(B1784)</x:f>
        <x:v>2025</x:v>
      </x:c>
      <x:c r="D1784" s="91" t="n">
        <x:f>DATE(YEAR(B1784),MONTH(B1784),1)</x:f>
        <x:v>45870</x:v>
      </x:c>
      <x:c r="E1784" s="84" t="str">
        <x:f>TEXT(B1784,"mmm")</x:f>
        <x:v>Aug</x:v>
      </x:c>
      <x:c r="F1784" s="84" t="str">
        <x:f>'Raw Sales'!C1784</x:f>
        <x:v>CUST-0262</x:v>
      </x:c>
      <x:c r="G1784" s="84" t="str">
        <x:f>PROPER(TRIM('Raw Sales'!D1784))</x:f>
        <x:v>Owen Carter</x:v>
      </x:c>
      <x:c r="H1784" s="84" t="str">
        <x:f>IF(TRIM('Raw Sales'!E1784)="","Unknown",PROPER(TRIM('Raw Sales'!E1784)))</x:f>
        <x:v>Small Business</x:v>
      </x:c>
      <x:c r="I1784" s="84" t="str">
        <x:f>PROPER(TRIM('Raw Sales'!F1784))</x:f>
        <x:v>Northeast</x:v>
      </x:c>
      <x:c r="J1784" s="84" t="str">
        <x:f>PROPER(TRIM('Raw Sales'!G1784))</x:f>
        <x:v>New York</x:v>
      </x:c>
      <x:c r="K1784" s="84" t="str">
        <x:f>PROPER(TRIM('Raw Sales'!H1784))</x:f>
        <x:v>Retail Store</x:v>
      </x:c>
      <x:c r="L1784" s="84" t="str">
        <x:f>'Raw Sales'!I1784</x:f>
        <x:v>CARE-002</x:v>
      </x:c>
      <x:c r="M1784" s="84" t="str">
        <x:f>IFERROR(VLOOKUP(L1784,'Reference Data'!$A$5:$F$40,2,FALSE),"Unknown Product")</x:f>
        <x:v>Rechargeable Trimmer</x:v>
      </x:c>
      <x:c r="N1784" s="84" t="str">
        <x:f>IFERROR(VLOOKUP(L1784,'Reference Data'!$A$5:$F$40,3,FALSE),"Unknown")</x:f>
        <x:v>Personal Care</x:v>
      </x:c>
      <x:c r="O1784" s="84" t="str">
        <x:f>IFERROR(VLOOKUP(L1784,'Reference Data'!$A$5:$F$40,4,FALSE),"Unknown")</x:f>
        <x:v>Grooming</x:v>
      </x:c>
      <x:c r="P1784" s="92" t="n">
        <x:f>IFERROR(VLOOKUP(L1784,'Reference Data'!$A$5:$F$40,5,FALSE),0)</x:f>
        <x:v>45</x:v>
      </x:c>
      <x:c r="Q1784" s="92" t="n">
        <x:f>IFERROR(VLOOKUP(L1784,'Reference Data'!$A$5:$F$40,6,FALSE),0)</x:f>
        <x:v>19</x:v>
      </x:c>
      <x:c r="R1784" s="84" t="n">
        <x:f>'Raw Sales'!J1784</x:f>
        <x:v>1</x:v>
      </x:c>
      <x:c r="S1784" s="87" t="n">
        <x:f>'Raw Sales'!K1784</x:f>
        <x:v>0.05</x:v>
      </x:c>
      <x:c r="T1784" s="93" t="n">
        <x:f>P1784*R1784</x:f>
        <x:v>45</x:v>
      </x:c>
      <x:c r="U1784" s="93" t="n">
        <x:f>T1784*S1784</x:f>
        <x:v>2.25</x:v>
      </x:c>
      <x:c r="V1784" s="93" t="str">
        <x:f>PROPER(TRIM('Raw Sales'!L1784))</x:f>
        <x:v>Completed</x:v>
      </x:c>
      <x:c r="W1784" s="93" t="n">
        <x:f>IF(V1784="Returned",0,T1784-U1784)</x:f>
        <x:v>42.75</x:v>
      </x:c>
      <x:c r="X1784" s="93" t="n">
        <x:f>IF(V1784="Returned",Q1784*R1784*10%,Q1784*R1784)</x:f>
        <x:v>19</x:v>
      </x:c>
      <x:c r="Y1784" s="93" t="n">
        <x:f>W1784-X1784</x:f>
        <x:v>23.75</x:v>
      </x:c>
      <x:c r="Z1784" s="94" t="n">
        <x:f>IFERROR(Y1784/W1784,0)</x:f>
        <x:v>0.5555555555555556</x:v>
      </x:c>
      <x:c r="AA1784" s="84" t="str">
        <x:f>PROPER(TRIM('Raw Sales'!M1784))</x:f>
        <x:v>Debit Card</x:v>
      </x:c>
      <x:c r="AB1784" s="84" t="str">
        <x:f>PROPER(TRIM('Raw Sales'!N1784))</x:f>
        <x:v>Sofia Bennett</x:v>
      </x:c>
      <x:c r="AC1784" s="85" t="n">
        <x:f>'Raw Sales'!O1784</x:f>
        <x:v>45874</x:v>
      </x:c>
      <x:c r="AD1784" s="84" t="n">
        <x:f>AC1784-B1784</x:f>
        <x:v>1</x:v>
      </x:c>
      <x:c r="AE1784" s="84" t="str">
        <x:f>IF(COUNTIF($A$5:A1784,A1784)&gt;1,"Duplicate","Keep")</x:f>
        <x:v>Keep</x:v>
      </x:c>
      <x:c r="AF1784" s="84" t="str">
        <x:f>IF(OR(R1784&lt;=0,AC1784&lt;B1784,H1784="Unknown",M1784="Unknown Product"),"Review","Valid")</x:f>
        <x:v>Valid</x:v>
      </x:c>
      <x:c r="AG1784" s="84" t="n">
        <x:f>IF(AND(AE1784="Keep",AF1784="Valid"),1,0)</x:f>
        <x:v>1</x:v>
      </x:c>
      <x:c r="AH1784" s="84" t="n">
        <x:f>IF(AND(AG1784=1,OR('Dashboard'!$B$4="All",I1784='Dashboard'!$B$4),OR('Dashboard'!$E$4="All",N1784='Dashboard'!$E$4),OR('Dashboard'!$H$4="All",K1784='Dashboard'!$H$4),OR('Dashboard'!$K$4="All",C1784='Dashboard'!$K$4)),1,0)</x:f>
        <x:v>1</x:v>
      </x:c>
      <x:c r="AI1784" s="84" t="n">
        <x:f>IF(AND(AG1784=1,OR('Dashboard'!$B$4="All",I1784='Dashboard'!$B$4),OR('Dashboard'!$E$4="All",N1784='Dashboard'!$E$4),OR('Dashboard'!$H$4="All",K1784='Dashboard'!$H$4)),1,0)</x:f>
        <x:v>1</x:v>
      </x:c>
    </x:row>
    <x:row r="1785">
      <x:c r="A1785" s="84" t="str">
        <x:f>'Raw Sales'!A1785</x:f>
        <x:v>ORD-2025-00885</x:v>
      </x:c>
      <x:c r="B1785" s="85" t="n">
        <x:f>'Raw Sales'!B1785</x:f>
        <x:v>45874</x:v>
      </x:c>
      <x:c r="C1785" s="84" t="n">
        <x:f>YEAR(B1785)</x:f>
        <x:v>2025</x:v>
      </x:c>
      <x:c r="D1785" s="91" t="n">
        <x:f>DATE(YEAR(B1785),MONTH(B1785),1)</x:f>
        <x:v>45870</x:v>
      </x:c>
      <x:c r="E1785" s="84" t="str">
        <x:f>TEXT(B1785,"mmm")</x:f>
        <x:v>Aug</x:v>
      </x:c>
      <x:c r="F1785" s="84" t="str">
        <x:f>'Raw Sales'!C1785</x:f>
        <x:v>CUST-0535</x:v>
      </x:c>
      <x:c r="G1785" s="84" t="str">
        <x:f>PROPER(TRIM('Raw Sales'!D1785))</x:f>
        <x:v>Caleb Walker</x:v>
      </x:c>
      <x:c r="H1785" s="84" t="str">
        <x:f>IF(TRIM('Raw Sales'!E1785)="","Unknown",PROPER(TRIM('Raw Sales'!E1785)))</x:f>
        <x:v>Corporate</x:v>
      </x:c>
      <x:c r="I1785" s="84" t="str">
        <x:f>PROPER(TRIM('Raw Sales'!F1785))</x:f>
        <x:v>Southeast</x:v>
      </x:c>
      <x:c r="J1785" s="84" t="str">
        <x:f>PROPER(TRIM('Raw Sales'!G1785))</x:f>
        <x:v>Miami</x:v>
      </x:c>
      <x:c r="K1785" s="84" t="str">
        <x:f>PROPER(TRIM('Raw Sales'!H1785))</x:f>
        <x:v>Online</x:v>
      </x:c>
      <x:c r="L1785" s="84" t="str">
        <x:f>'Raw Sales'!I1785</x:f>
        <x:v>OFFC-004</x:v>
      </x:c>
      <x:c r="M1785" s="84" t="str">
        <x:f>IFERROR(VLOOKUP(L1785,'Reference Data'!$A$5:$F$40,2,FALSE),"Unknown Product")</x:f>
        <x:v>Premium Notebook Pack</x:v>
      </x:c>
      <x:c r="N1785" s="84" t="str">
        <x:f>IFERROR(VLOOKUP(L1785,'Reference Data'!$A$5:$F$40,3,FALSE),"Unknown")</x:f>
        <x:v>Office</x:v>
      </x:c>
      <x:c r="O1785" s="84" t="str">
        <x:f>IFERROR(VLOOKUP(L1785,'Reference Data'!$A$5:$F$40,4,FALSE),"Unknown")</x:f>
        <x:v>Stationery</x:v>
      </x:c>
      <x:c r="P1785" s="92" t="n">
        <x:f>IFERROR(VLOOKUP(L1785,'Reference Data'!$A$5:$F$40,5,FALSE),0)</x:f>
        <x:v>18</x:v>
      </x:c>
      <x:c r="Q1785" s="92" t="n">
        <x:f>IFERROR(VLOOKUP(L1785,'Reference Data'!$A$5:$F$40,6,FALSE),0)</x:f>
        <x:v>6.5</x:v>
      </x:c>
      <x:c r="R1785" s="84" t="n">
        <x:f>'Raw Sales'!J1785</x:f>
        <x:v>1</x:v>
      </x:c>
      <x:c r="S1785" s="87" t="n">
        <x:f>'Raw Sales'!K1785</x:f>
        <x:v>0</x:v>
      </x:c>
      <x:c r="T1785" s="93" t="n">
        <x:f>P1785*R1785</x:f>
        <x:v>18</x:v>
      </x:c>
      <x:c r="U1785" s="93" t="n">
        <x:f>T1785*S1785</x:f>
        <x:v>0</x:v>
      </x:c>
      <x:c r="V1785" s="93" t="str">
        <x:f>PROPER(TRIM('Raw Sales'!L1785))</x:f>
        <x:v>Completed</x:v>
      </x:c>
      <x:c r="W1785" s="93" t="n">
        <x:f>IF(V1785="Returned",0,T1785-U1785)</x:f>
        <x:v>18</x:v>
      </x:c>
      <x:c r="X1785" s="93" t="n">
        <x:f>IF(V1785="Returned",Q1785*R1785*10%,Q1785*R1785)</x:f>
        <x:v>6.5</x:v>
      </x:c>
      <x:c r="Y1785" s="93" t="n">
        <x:f>W1785-X1785</x:f>
        <x:v>11.5</x:v>
      </x:c>
      <x:c r="Z1785" s="94" t="n">
        <x:f>IFERROR(Y1785/W1785,0)</x:f>
        <x:v>0.6388888888888888</x:v>
      </x:c>
      <x:c r="AA1785" s="84" t="str">
        <x:f>PROPER(TRIM('Raw Sales'!M1785))</x:f>
        <x:v>Credit Card</x:v>
      </x:c>
      <x:c r="AB1785" s="84" t="str">
        <x:f>PROPER(TRIM('Raw Sales'!N1785))</x:f>
        <x:v>Ava Mitchell</x:v>
      </x:c>
      <x:c r="AC1785" s="85" t="n">
        <x:f>'Raw Sales'!O1785</x:f>
        <x:v>45878</x:v>
      </x:c>
      <x:c r="AD1785" s="84" t="n">
        <x:f>AC1785-B1785</x:f>
        <x:v>4</x:v>
      </x:c>
      <x:c r="AE1785" s="84" t="str">
        <x:f>IF(COUNTIF($A$5:A1785,A1785)&gt;1,"Duplicate","Keep")</x:f>
        <x:v>Keep</x:v>
      </x:c>
      <x:c r="AF1785" s="84" t="str">
        <x:f>IF(OR(R1785&lt;=0,AC1785&lt;B1785,H1785="Unknown",M1785="Unknown Product"),"Review","Valid")</x:f>
        <x:v>Valid</x:v>
      </x:c>
      <x:c r="AG1785" s="84" t="n">
        <x:f>IF(AND(AE1785="Keep",AF1785="Valid"),1,0)</x:f>
        <x:v>1</x:v>
      </x:c>
      <x:c r="AH1785" s="84" t="n">
        <x:f>IF(AND(AG1785=1,OR('Dashboard'!$B$4="All",I1785='Dashboard'!$B$4),OR('Dashboard'!$E$4="All",N1785='Dashboard'!$E$4),OR('Dashboard'!$H$4="All",K1785='Dashboard'!$H$4),OR('Dashboard'!$K$4="All",C1785='Dashboard'!$K$4)),1,0)</x:f>
        <x:v>1</x:v>
      </x:c>
      <x:c r="AI1785" s="84" t="n">
        <x:f>IF(AND(AG1785=1,OR('Dashboard'!$B$4="All",I1785='Dashboard'!$B$4),OR('Dashboard'!$E$4="All",N1785='Dashboard'!$E$4),OR('Dashboard'!$H$4="All",K1785='Dashboard'!$H$4)),1,0)</x:f>
        <x:v>1</x:v>
      </x:c>
    </x:row>
    <x:row r="1786">
      <x:c r="A1786" s="84" t="str">
        <x:f>'Raw Sales'!A1786</x:f>
        <x:v>ORD-2025-00247</x:v>
      </x:c>
      <x:c r="B1786" s="85" t="n">
        <x:f>'Raw Sales'!B1786</x:f>
        <x:v>45875</x:v>
      </x:c>
      <x:c r="C1786" s="84" t="n">
        <x:f>YEAR(B1786)</x:f>
        <x:v>2025</x:v>
      </x:c>
      <x:c r="D1786" s="91" t="n">
        <x:f>DATE(YEAR(B1786),MONTH(B1786),1)</x:f>
        <x:v>45870</x:v>
      </x:c>
      <x:c r="E1786" s="84" t="str">
        <x:f>TEXT(B1786,"mmm")</x:f>
        <x:v>Aug</x:v>
      </x:c>
      <x:c r="F1786" s="84" t="str">
        <x:f>'Raw Sales'!C1786</x:f>
        <x:v>CUST-0055</x:v>
      </x:c>
      <x:c r="G1786" s="84" t="str">
        <x:f>PROPER(TRIM('Raw Sales'!D1786))</x:f>
        <x:v>Isaac Baker</x:v>
      </x:c>
      <x:c r="H1786" s="84" t="str">
        <x:f>IF(TRIM('Raw Sales'!E1786)="","Unknown",PROPER(TRIM('Raw Sales'!E1786)))</x:f>
        <x:v>Small Business</x:v>
      </x:c>
      <x:c r="I1786" s="84" t="str">
        <x:f>PROPER(TRIM('Raw Sales'!F1786))</x:f>
        <x:v>Midwest</x:v>
      </x:c>
      <x:c r="J1786" s="84" t="str">
        <x:f>PROPER(TRIM('Raw Sales'!G1786))</x:f>
        <x:v>Detroit</x:v>
      </x:c>
      <x:c r="K1786" s="84" t="str">
        <x:f>PROPER(TRIM('Raw Sales'!H1786))</x:f>
        <x:v>Online</x:v>
      </x:c>
      <x:c r="L1786" s="84" t="str">
        <x:f>'Raw Sales'!I1786</x:f>
        <x:v>OFFC-002</x:v>
      </x:c>
      <x:c r="M1786" s="84" t="str">
        <x:f>IFERROR(VLOOKUP(L1786,'Reference Data'!$A$5:$F$40,2,FALSE),"Unknown Product")</x:f>
        <x:v>Standing Desk</x:v>
      </x:c>
      <x:c r="N1786" s="84" t="str">
        <x:f>IFERROR(VLOOKUP(L1786,'Reference Data'!$A$5:$F$40,3,FALSE),"Unknown")</x:f>
        <x:v>Office</x:v>
      </x:c>
      <x:c r="O1786" s="84" t="str">
        <x:f>IFERROR(VLOOKUP(L1786,'Reference Data'!$A$5:$F$40,4,FALSE),"Unknown")</x:f>
        <x:v>Furniture</x:v>
      </x:c>
      <x:c r="P1786" s="92" t="n">
        <x:f>IFERROR(VLOOKUP(L1786,'Reference Data'!$A$5:$F$40,5,FALSE),0)</x:f>
        <x:v>399</x:v>
      </x:c>
      <x:c r="Q1786" s="92" t="n">
        <x:f>IFERROR(VLOOKUP(L1786,'Reference Data'!$A$5:$F$40,6,FALSE),0)</x:f>
        <x:v>235</x:v>
      </x:c>
      <x:c r="R1786" s="84" t="n">
        <x:f>'Raw Sales'!J1786</x:f>
        <x:v>2</x:v>
      </x:c>
      <x:c r="S1786" s="87" t="n">
        <x:f>'Raw Sales'!K1786</x:f>
        <x:v>0.1</x:v>
      </x:c>
      <x:c r="T1786" s="93" t="n">
        <x:f>P1786*R1786</x:f>
        <x:v>798</x:v>
      </x:c>
      <x:c r="U1786" s="93" t="n">
        <x:f>T1786*S1786</x:f>
        <x:v>79.80000000000001</x:v>
      </x:c>
      <x:c r="V1786" s="93" t="str">
        <x:f>PROPER(TRIM('Raw Sales'!L1786))</x:f>
        <x:v>Completed</x:v>
      </x:c>
      <x:c r="W1786" s="93" t="n">
        <x:f>IF(V1786="Returned",0,T1786-U1786)</x:f>
        <x:v>718.2</x:v>
      </x:c>
      <x:c r="X1786" s="93" t="n">
        <x:f>IF(V1786="Returned",Q1786*R1786*10%,Q1786*R1786)</x:f>
        <x:v>470</x:v>
      </x:c>
      <x:c r="Y1786" s="93" t="n">
        <x:f>W1786-X1786</x:f>
        <x:v>248.20000000000005</x:v>
      </x:c>
      <x:c r="Z1786" s="94" t="n">
        <x:f>IFERROR(Y1786/W1786,0)</x:f>
        <x:v>0.3455861876914509</x:v>
      </x:c>
      <x:c r="AA1786" s="84" t="str">
        <x:f>PROPER(TRIM('Raw Sales'!M1786))</x:f>
        <x:v>Mobile Wallet</x:v>
      </x:c>
      <x:c r="AB1786" s="84" t="str">
        <x:f>PROPER(TRIM('Raw Sales'!N1786))</x:f>
        <x:v>Emma Hayes</x:v>
      </x:c>
      <x:c r="AC1786" s="85" t="n">
        <x:f>'Raw Sales'!O1786</x:f>
        <x:v>45878</x:v>
      </x:c>
      <x:c r="AD1786" s="84" t="n">
        <x:f>AC1786-B1786</x:f>
        <x:v>3</x:v>
      </x:c>
      <x:c r="AE1786" s="84" t="str">
        <x:f>IF(COUNTIF($A$5:A1786,A1786)&gt;1,"Duplicate","Keep")</x:f>
        <x:v>Keep</x:v>
      </x:c>
      <x:c r="AF1786" s="84" t="str">
        <x:f>IF(OR(R1786&lt;=0,AC1786&lt;B1786,H1786="Unknown",M1786="Unknown Product"),"Review","Valid")</x:f>
        <x:v>Valid</x:v>
      </x:c>
      <x:c r="AG1786" s="84" t="n">
        <x:f>IF(AND(AE1786="Keep",AF1786="Valid"),1,0)</x:f>
        <x:v>1</x:v>
      </x:c>
      <x:c r="AH1786" s="84" t="n">
        <x:f>IF(AND(AG1786=1,OR('Dashboard'!$B$4="All",I1786='Dashboard'!$B$4),OR('Dashboard'!$E$4="All",N1786='Dashboard'!$E$4),OR('Dashboard'!$H$4="All",K1786='Dashboard'!$H$4),OR('Dashboard'!$K$4="All",C1786='Dashboard'!$K$4)),1,0)</x:f>
        <x:v>1</x:v>
      </x:c>
      <x:c r="AI1786" s="84" t="n">
        <x:f>IF(AND(AG1786=1,OR('Dashboard'!$B$4="All",I1786='Dashboard'!$B$4),OR('Dashboard'!$E$4="All",N1786='Dashboard'!$E$4),OR('Dashboard'!$H$4="All",K1786='Dashboard'!$H$4)),1,0)</x:f>
        <x:v>1</x:v>
      </x:c>
    </x:row>
    <x:row r="1787">
      <x:c r="A1787" s="84" t="str">
        <x:f>'Raw Sales'!A1787</x:f>
        <x:v>ORD-2025-00800</x:v>
      </x:c>
      <x:c r="B1787" s="85" t="n">
        <x:f>'Raw Sales'!B1787</x:f>
        <x:v>45875</x:v>
      </x:c>
      <x:c r="C1787" s="84" t="n">
        <x:f>YEAR(B1787)</x:f>
        <x:v>2025</x:v>
      </x:c>
      <x:c r="D1787" s="91" t="n">
        <x:f>DATE(YEAR(B1787),MONTH(B1787),1)</x:f>
        <x:v>45870</x:v>
      </x:c>
      <x:c r="E1787" s="84" t="str">
        <x:f>TEXT(B1787,"mmm")</x:f>
        <x:v>Aug</x:v>
      </x:c>
      <x:c r="F1787" s="84" t="str">
        <x:f>'Raw Sales'!C1787</x:f>
        <x:v>CUST-0594</x:v>
      </x:c>
      <x:c r="G1787" s="84" t="str">
        <x:f>PROPER(TRIM('Raw Sales'!D1787))</x:f>
        <x:v>Theo Patel</x:v>
      </x:c>
      <x:c r="H1787" s="84" t="str">
        <x:f>IF(TRIM('Raw Sales'!E1787)="","Unknown",PROPER(TRIM('Raw Sales'!E1787)))</x:f>
        <x:v>Consumer</x:v>
      </x:c>
      <x:c r="I1787" s="84" t="str">
        <x:f>PROPER(TRIM('Raw Sales'!F1787))</x:f>
        <x:v>Northeast</x:v>
      </x:c>
      <x:c r="J1787" s="84" t="str">
        <x:f>PROPER(TRIM('Raw Sales'!G1787))</x:f>
        <x:v>Newark</x:v>
      </x:c>
      <x:c r="K1787" s="84" t="str">
        <x:f>PROPER(TRIM('Raw Sales'!H1787))</x:f>
        <x:v>Online</x:v>
      </x:c>
      <x:c r="L1787" s="84" t="str">
        <x:f>'Raw Sales'!I1787</x:f>
        <x:v>OFFC-001</x:v>
      </x:c>
      <x:c r="M1787" s="84" t="str">
        <x:f>IFERROR(VLOOKUP(L1787,'Reference Data'!$A$5:$F$40,2,FALSE),"Unknown Product")</x:f>
        <x:v>Ergonomic Chair</x:v>
      </x:c>
      <x:c r="N1787" s="84" t="str">
        <x:f>IFERROR(VLOOKUP(L1787,'Reference Data'!$A$5:$F$40,3,FALSE),"Unknown")</x:f>
        <x:v>Office</x:v>
      </x:c>
      <x:c r="O1787" s="84" t="str">
        <x:f>IFERROR(VLOOKUP(L1787,'Reference Data'!$A$5:$F$40,4,FALSE),"Unknown")</x:f>
        <x:v>Furniture</x:v>
      </x:c>
      <x:c r="P1787" s="92" t="n">
        <x:f>IFERROR(VLOOKUP(L1787,'Reference Data'!$A$5:$F$40,5,FALSE),0)</x:f>
        <x:v>249</x:v>
      </x:c>
      <x:c r="Q1787" s="92" t="n">
        <x:f>IFERROR(VLOOKUP(L1787,'Reference Data'!$A$5:$F$40,6,FALSE),0)</x:f>
        <x:v>145</x:v>
      </x:c>
      <x:c r="R1787" s="84" t="n">
        <x:f>'Raw Sales'!J1787</x:f>
        <x:v>1</x:v>
      </x:c>
      <x:c r="S1787" s="87" t="n">
        <x:f>'Raw Sales'!K1787</x:f>
        <x:v>0</x:v>
      </x:c>
      <x:c r="T1787" s="93" t="n">
        <x:f>P1787*R1787</x:f>
        <x:v>249</x:v>
      </x:c>
      <x:c r="U1787" s="93" t="n">
        <x:f>T1787*S1787</x:f>
        <x:v>0</x:v>
      </x:c>
      <x:c r="V1787" s="93" t="str">
        <x:f>PROPER(TRIM('Raw Sales'!L1787))</x:f>
        <x:v>Completed</x:v>
      </x:c>
      <x:c r="W1787" s="93" t="n">
        <x:f>IF(V1787="Returned",0,T1787-U1787)</x:f>
        <x:v>249</x:v>
      </x:c>
      <x:c r="X1787" s="93" t="n">
        <x:f>IF(V1787="Returned",Q1787*R1787*10%,Q1787*R1787)</x:f>
        <x:v>145</x:v>
      </x:c>
      <x:c r="Y1787" s="93" t="n">
        <x:f>W1787-X1787</x:f>
        <x:v>104</x:v>
      </x:c>
      <x:c r="Z1787" s="94" t="n">
        <x:f>IFERROR(Y1787/W1787,0)</x:f>
        <x:v>0.41767068273092367</x:v>
      </x:c>
      <x:c r="AA1787" s="84" t="str">
        <x:f>PROPER(TRIM('Raw Sales'!M1787))</x:f>
        <x:v>Debit Card</x:v>
      </x:c>
      <x:c r="AB1787" s="84" t="str">
        <x:f>PROPER(TRIM('Raw Sales'!N1787))</x:f>
        <x:v>Sofia Bennett</x:v>
      </x:c>
      <x:c r="AC1787" s="85" t="n">
        <x:f>'Raw Sales'!O1787</x:f>
        <x:v>45879</x:v>
      </x:c>
      <x:c r="AD1787" s="84" t="n">
        <x:f>AC1787-B1787</x:f>
        <x:v>4</x:v>
      </x:c>
      <x:c r="AE1787" s="84" t="str">
        <x:f>IF(COUNTIF($A$5:A1787,A1787)&gt;1,"Duplicate","Keep")</x:f>
        <x:v>Keep</x:v>
      </x:c>
      <x:c r="AF1787" s="84" t="str">
        <x:f>IF(OR(R1787&lt;=0,AC1787&lt;B1787,H1787="Unknown",M1787="Unknown Product"),"Review","Valid")</x:f>
        <x:v>Valid</x:v>
      </x:c>
      <x:c r="AG1787" s="84" t="n">
        <x:f>IF(AND(AE1787="Keep",AF1787="Valid"),1,0)</x:f>
        <x:v>1</x:v>
      </x:c>
      <x:c r="AH1787" s="84" t="n">
        <x:f>IF(AND(AG1787=1,OR('Dashboard'!$B$4="All",I1787='Dashboard'!$B$4),OR('Dashboard'!$E$4="All",N1787='Dashboard'!$E$4),OR('Dashboard'!$H$4="All",K1787='Dashboard'!$H$4),OR('Dashboard'!$K$4="All",C1787='Dashboard'!$K$4)),1,0)</x:f>
        <x:v>1</x:v>
      </x:c>
      <x:c r="AI1787" s="84" t="n">
        <x:f>IF(AND(AG1787=1,OR('Dashboard'!$B$4="All",I1787='Dashboard'!$B$4),OR('Dashboard'!$E$4="All",N1787='Dashboard'!$E$4),OR('Dashboard'!$H$4="All",K1787='Dashboard'!$H$4)),1,0)</x:f>
        <x:v>1</x:v>
      </x:c>
    </x:row>
    <x:row r="1788">
      <x:c r="A1788" s="84" t="str">
        <x:f>'Raw Sales'!A1788</x:f>
        <x:v>ORD-2025-00821</x:v>
      </x:c>
      <x:c r="B1788" s="85" t="n">
        <x:f>'Raw Sales'!B1788</x:f>
        <x:v>45875</x:v>
      </x:c>
      <x:c r="C1788" s="84" t="n">
        <x:f>YEAR(B1788)</x:f>
        <x:v>2025</x:v>
      </x:c>
      <x:c r="D1788" s="91" t="n">
        <x:f>DATE(YEAR(B1788),MONTH(B1788),1)</x:f>
        <x:v>45870</x:v>
      </x:c>
      <x:c r="E1788" s="84" t="str">
        <x:f>TEXT(B1788,"mmm")</x:f>
        <x:v>Aug</x:v>
      </x:c>
      <x:c r="F1788" s="84" t="str">
        <x:f>'Raw Sales'!C1788</x:f>
        <x:v>CUST-0577</x:v>
      </x:c>
      <x:c r="G1788" s="84" t="str">
        <x:f>PROPER(TRIM('Raw Sales'!D1788))</x:f>
        <x:v>Grace Young</x:v>
      </x:c>
      <x:c r="H1788" s="84" t="str">
        <x:f>IF(TRIM('Raw Sales'!E1788)="","Unknown",PROPER(TRIM('Raw Sales'!E1788)))</x:f>
        <x:v>Consumer</x:v>
      </x:c>
      <x:c r="I1788" s="84" t="str">
        <x:f>PROPER(TRIM('Raw Sales'!F1788))</x:f>
        <x:v>Southeast</x:v>
      </x:c>
      <x:c r="J1788" s="84" t="str">
        <x:f>PROPER(TRIM('Raw Sales'!G1788))</x:f>
        <x:v>Charlotte</x:v>
      </x:c>
      <x:c r="K1788" s="84" t="str">
        <x:f>PROPER(TRIM('Raw Sales'!H1788))</x:f>
        <x:v>Online</x:v>
      </x:c>
      <x:c r="L1788" s="84" t="str">
        <x:f>'Raw Sales'!I1788</x:f>
        <x:v>OFFC-006</x:v>
      </x:c>
      <x:c r="M1788" s="84" t="str">
        <x:f>IFERROR(VLOOKUP(L1788,'Reference Data'!$A$5:$F$40,2,FALSE),"Unknown Product")</x:f>
        <x:v>Monitor Stand</x:v>
      </x:c>
      <x:c r="N1788" s="84" t="str">
        <x:f>IFERROR(VLOOKUP(L1788,'Reference Data'!$A$5:$F$40,3,FALSE),"Unknown")</x:f>
        <x:v>Office</x:v>
      </x:c>
      <x:c r="O1788" s="84" t="str">
        <x:f>IFERROR(VLOOKUP(L1788,'Reference Data'!$A$5:$F$40,4,FALSE),"Unknown")</x:f>
        <x:v>Desk Accessories</x:v>
      </x:c>
      <x:c r="P1788" s="92" t="n">
        <x:f>IFERROR(VLOOKUP(L1788,'Reference Data'!$A$5:$F$40,5,FALSE),0)</x:f>
        <x:v>49</x:v>
      </x:c>
      <x:c r="Q1788" s="92" t="n">
        <x:f>IFERROR(VLOOKUP(L1788,'Reference Data'!$A$5:$F$40,6,FALSE),0)</x:f>
        <x:v>21</x:v>
      </x:c>
      <x:c r="R1788" s="84" t="n">
        <x:f>'Raw Sales'!J1788</x:f>
        <x:v>2</x:v>
      </x:c>
      <x:c r="S1788" s="87" t="n">
        <x:f>'Raw Sales'!K1788</x:f>
        <x:v>0.15</x:v>
      </x:c>
      <x:c r="T1788" s="93" t="n">
        <x:f>P1788*R1788</x:f>
        <x:v>98</x:v>
      </x:c>
      <x:c r="U1788" s="93" t="n">
        <x:f>T1788*S1788</x:f>
        <x:v>14.7</x:v>
      </x:c>
      <x:c r="V1788" s="93" t="str">
        <x:f>PROPER(TRIM('Raw Sales'!L1788))</x:f>
        <x:v>Completed</x:v>
      </x:c>
      <x:c r="W1788" s="93" t="n">
        <x:f>IF(V1788="Returned",0,T1788-U1788)</x:f>
        <x:v>83.3</x:v>
      </x:c>
      <x:c r="X1788" s="93" t="n">
        <x:f>IF(V1788="Returned",Q1788*R1788*10%,Q1788*R1788)</x:f>
        <x:v>42</x:v>
      </x:c>
      <x:c r="Y1788" s="93" t="n">
        <x:f>W1788-X1788</x:f>
        <x:v>41.3</x:v>
      </x:c>
      <x:c r="Z1788" s="94" t="n">
        <x:f>IFERROR(Y1788/W1788,0)</x:f>
        <x:v>0.49579831932773105</x:v>
      </x:c>
      <x:c r="AA1788" s="84" t="str">
        <x:f>PROPER(TRIM('Raw Sales'!M1788))</x:f>
        <x:v>Credit Card</x:v>
      </x:c>
      <x:c r="AB1788" s="84" t="str">
        <x:f>PROPER(TRIM('Raw Sales'!N1788))</x:f>
        <x:v>Ava Mitchell</x:v>
      </x:c>
      <x:c r="AC1788" s="85" t="n">
        <x:f>'Raw Sales'!O1788</x:f>
        <x:v>45878</x:v>
      </x:c>
      <x:c r="AD1788" s="84" t="n">
        <x:f>AC1788-B1788</x:f>
        <x:v>3</x:v>
      </x:c>
      <x:c r="AE1788" s="84" t="str">
        <x:f>IF(COUNTIF($A$5:A1788,A1788)&gt;1,"Duplicate","Keep")</x:f>
        <x:v>Keep</x:v>
      </x:c>
      <x:c r="AF1788" s="84" t="str">
        <x:f>IF(OR(R1788&lt;=0,AC1788&lt;B1788,H1788="Unknown",M1788="Unknown Product"),"Review","Valid")</x:f>
        <x:v>Valid</x:v>
      </x:c>
      <x:c r="AG1788" s="84" t="n">
        <x:f>IF(AND(AE1788="Keep",AF1788="Valid"),1,0)</x:f>
        <x:v>1</x:v>
      </x:c>
      <x:c r="AH1788" s="84" t="n">
        <x:f>IF(AND(AG1788=1,OR('Dashboard'!$B$4="All",I1788='Dashboard'!$B$4),OR('Dashboard'!$E$4="All",N1788='Dashboard'!$E$4),OR('Dashboard'!$H$4="All",K1788='Dashboard'!$H$4),OR('Dashboard'!$K$4="All",C1788='Dashboard'!$K$4)),1,0)</x:f>
        <x:v>1</x:v>
      </x:c>
      <x:c r="AI1788" s="84" t="n">
        <x:f>IF(AND(AG1788=1,OR('Dashboard'!$B$4="All",I1788='Dashboard'!$B$4),OR('Dashboard'!$E$4="All",N1788='Dashboard'!$E$4),OR('Dashboard'!$H$4="All",K1788='Dashboard'!$H$4)),1,0)</x:f>
        <x:v>1</x:v>
      </x:c>
    </x:row>
    <x:row r="1789">
      <x:c r="A1789" s="84" t="str">
        <x:f>'Raw Sales'!A1789</x:f>
        <x:v>ORD-2025-01273</x:v>
      </x:c>
      <x:c r="B1789" s="85" t="n">
        <x:f>'Raw Sales'!B1789</x:f>
        <x:v>45875</x:v>
      </x:c>
      <x:c r="C1789" s="84" t="n">
        <x:f>YEAR(B1789)</x:f>
        <x:v>2025</x:v>
      </x:c>
      <x:c r="D1789" s="91" t="n">
        <x:f>DATE(YEAR(B1789),MONTH(B1789),1)</x:f>
        <x:v>45870</x:v>
      </x:c>
      <x:c r="E1789" s="84" t="str">
        <x:f>TEXT(B1789,"mmm")</x:f>
        <x:v>Aug</x:v>
      </x:c>
      <x:c r="F1789" s="84" t="str">
        <x:f>'Raw Sales'!C1789</x:f>
        <x:v>CUST-0054</x:v>
      </x:c>
      <x:c r="G1789" s="84" t="str">
        <x:f>PROPER(TRIM('Raw Sales'!D1789))</x:f>
        <x:v>Priya Roberts</x:v>
      </x:c>
      <x:c r="H1789" s="84" t="str">
        <x:f>IF(TRIM('Raw Sales'!E1789)="","Unknown",PROPER(TRIM('Raw Sales'!E1789)))</x:f>
        <x:v>Consumer</x:v>
      </x:c>
      <x:c r="I1789" s="84" t="str">
        <x:f>PROPER(TRIM('Raw Sales'!F1789))</x:f>
        <x:v>West</x:v>
      </x:c>
      <x:c r="J1789" s="84" t="str">
        <x:f>PROPER(TRIM('Raw Sales'!G1789))</x:f>
        <x:v>Phoenix</x:v>
      </x:c>
      <x:c r="K1789" s="84" t="str">
        <x:f>PROPER(TRIM('Raw Sales'!H1789))</x:f>
        <x:v>Online</x:v>
      </x:c>
      <x:c r="L1789" s="84" t="str">
        <x:f>'Raw Sales'!I1789</x:f>
        <x:v>ELEC-006</x:v>
      </x:c>
      <x:c r="M1789" s="84" t="str">
        <x:f>IFERROR(VLOOKUP(L1789,'Reference Data'!$A$5:$F$40,2,FALSE),"Unknown Product")</x:f>
        <x:v>Portable SSD</x:v>
      </x:c>
      <x:c r="N1789" s="84" t="str">
        <x:f>IFERROR(VLOOKUP(L1789,'Reference Data'!$A$5:$F$40,3,FALSE),"Unknown")</x:f>
        <x:v>Electronics</x:v>
      </x:c>
      <x:c r="O1789" s="84" t="str">
        <x:f>IFERROR(VLOOKUP(L1789,'Reference Data'!$A$5:$F$40,4,FALSE),"Unknown")</x:f>
        <x:v>Storage</x:v>
      </x:c>
      <x:c r="P1789" s="92" t="n">
        <x:f>IFERROR(VLOOKUP(L1789,'Reference Data'!$A$5:$F$40,5,FALSE),0)</x:f>
        <x:v>129</x:v>
      </x:c>
      <x:c r="Q1789" s="92" t="n">
        <x:f>IFERROR(VLOOKUP(L1789,'Reference Data'!$A$5:$F$40,6,FALSE),0)</x:f>
        <x:v>75</x:v>
      </x:c>
      <x:c r="R1789" s="84" t="n">
        <x:f>'Raw Sales'!J1789</x:f>
        <x:v>2</x:v>
      </x:c>
      <x:c r="S1789" s="87" t="n">
        <x:f>'Raw Sales'!K1789</x:f>
        <x:v>0</x:v>
      </x:c>
      <x:c r="T1789" s="93" t="n">
        <x:f>P1789*R1789</x:f>
        <x:v>258</x:v>
      </x:c>
      <x:c r="U1789" s="93" t="n">
        <x:f>T1789*S1789</x:f>
        <x:v>0</x:v>
      </x:c>
      <x:c r="V1789" s="93" t="str">
        <x:f>PROPER(TRIM('Raw Sales'!L1789))</x:f>
        <x:v>Completed</x:v>
      </x:c>
      <x:c r="W1789" s="93" t="n">
        <x:f>IF(V1789="Returned",0,T1789-U1789)</x:f>
        <x:v>258</x:v>
      </x:c>
      <x:c r="X1789" s="93" t="n">
        <x:f>IF(V1789="Returned",Q1789*R1789*10%,Q1789*R1789)</x:f>
        <x:v>150</x:v>
      </x:c>
      <x:c r="Y1789" s="93" t="n">
        <x:f>W1789-X1789</x:f>
        <x:v>108</x:v>
      </x:c>
      <x:c r="Z1789" s="94" t="n">
        <x:f>IFERROR(Y1789/W1789,0)</x:f>
        <x:v>0.4186046511627907</x:v>
      </x:c>
      <x:c r="AA1789" s="84" t="str">
        <x:f>PROPER(TRIM('Raw Sales'!M1789))</x:f>
        <x:v>Credit Card</x:v>
      </x:c>
      <x:c r="AB1789" s="84" t="str">
        <x:f>PROPER(TRIM('Raw Sales'!N1789))</x:f>
        <x:v>Nora Kim</x:v>
      </x:c>
      <x:c r="AC1789" s="85" t="n">
        <x:f>'Raw Sales'!O1789</x:f>
        <x:v>45879</x:v>
      </x:c>
      <x:c r="AD1789" s="84" t="n">
        <x:f>AC1789-B1789</x:f>
        <x:v>4</x:v>
      </x:c>
      <x:c r="AE1789" s="84" t="str">
        <x:f>IF(COUNTIF($A$5:A1789,A1789)&gt;1,"Duplicate","Keep")</x:f>
        <x:v>Keep</x:v>
      </x:c>
      <x:c r="AF1789" s="84" t="str">
        <x:f>IF(OR(R1789&lt;=0,AC1789&lt;B1789,H1789="Unknown",M1789="Unknown Product"),"Review","Valid")</x:f>
        <x:v>Valid</x:v>
      </x:c>
      <x:c r="AG1789" s="84" t="n">
        <x:f>IF(AND(AE1789="Keep",AF1789="Valid"),1,0)</x:f>
        <x:v>1</x:v>
      </x:c>
      <x:c r="AH1789" s="84" t="n">
        <x:f>IF(AND(AG1789=1,OR('Dashboard'!$B$4="All",I1789='Dashboard'!$B$4),OR('Dashboard'!$E$4="All",N1789='Dashboard'!$E$4),OR('Dashboard'!$H$4="All",K1789='Dashboard'!$H$4),OR('Dashboard'!$K$4="All",C1789='Dashboard'!$K$4)),1,0)</x:f>
        <x:v>1</x:v>
      </x:c>
      <x:c r="AI1789" s="84" t="n">
        <x:f>IF(AND(AG1789=1,OR('Dashboard'!$B$4="All",I1789='Dashboard'!$B$4),OR('Dashboard'!$E$4="All",N1789='Dashboard'!$E$4),OR('Dashboard'!$H$4="All",K1789='Dashboard'!$H$4)),1,0)</x:f>
        <x:v>1</x:v>
      </x:c>
    </x:row>
    <x:row r="1790">
      <x:c r="A1790" s="84" t="str">
        <x:f>'Raw Sales'!A1790</x:f>
        <x:v>ORD-2025-01423</x:v>
      </x:c>
      <x:c r="B1790" s="85" t="n">
        <x:f>'Raw Sales'!B1790</x:f>
        <x:v>45875</x:v>
      </x:c>
      <x:c r="C1790" s="84" t="n">
        <x:f>YEAR(B1790)</x:f>
        <x:v>2025</x:v>
      </x:c>
      <x:c r="D1790" s="91" t="n">
        <x:f>DATE(YEAR(B1790),MONTH(B1790),1)</x:f>
        <x:v>45870</x:v>
      </x:c>
      <x:c r="E1790" s="84" t="str">
        <x:f>TEXT(B1790,"mmm")</x:f>
        <x:v>Aug</x:v>
      </x:c>
      <x:c r="F1790" s="84" t="str">
        <x:f>'Raw Sales'!C1790</x:f>
        <x:v>CUST-0489</x:v>
      </x:c>
      <x:c r="G1790" s="84" t="str">
        <x:f>PROPER(TRIM('Raw Sales'!D1790))</x:f>
        <x:v>William Quinn</x:v>
      </x:c>
      <x:c r="H1790" s="84" t="str">
        <x:f>IF(TRIM('Raw Sales'!E1790)="","Unknown",PROPER(TRIM('Raw Sales'!E1790)))</x:f>
        <x:v>Consumer</x:v>
      </x:c>
      <x:c r="I1790" s="84" t="str">
        <x:f>PROPER(TRIM('Raw Sales'!F1790))</x:f>
        <x:v>West</x:v>
      </x:c>
      <x:c r="J1790" s="84" t="str">
        <x:f>PROPER(TRIM('Raw Sales'!G1790))</x:f>
        <x:v>Los Angeles</x:v>
      </x:c>
      <x:c r="K1790" s="84" t="str">
        <x:f>PROPER(TRIM('Raw Sales'!H1790))</x:f>
        <x:v>Retail Store</x:v>
      </x:c>
      <x:c r="L1790" s="84" t="str">
        <x:f>'Raw Sales'!I1790</x:f>
        <x:v>FITN-003</x:v>
      </x:c>
      <x:c r="M1790" s="84" t="str">
        <x:f>IFERROR(VLOOKUP(L1790,'Reference Data'!$A$5:$F$40,2,FALSE),"Unknown Product")</x:f>
        <x:v>Resistance Band Set</x:v>
      </x:c>
      <x:c r="N1790" s="84" t="str">
        <x:f>IFERROR(VLOOKUP(L1790,'Reference Data'!$A$5:$F$40,3,FALSE),"Unknown")</x:f>
        <x:v>Fitness</x:v>
      </x:c>
      <x:c r="O1790" s="84" t="str">
        <x:f>IFERROR(VLOOKUP(L1790,'Reference Data'!$A$5:$F$40,4,FALSE),"Unknown")</x:f>
        <x:v>Strength</x:v>
      </x:c>
      <x:c r="P1790" s="92" t="n">
        <x:f>IFERROR(VLOOKUP(L1790,'Reference Data'!$A$5:$F$40,5,FALSE),0)</x:f>
        <x:v>24</x:v>
      </x:c>
      <x:c r="Q1790" s="92" t="n">
        <x:f>IFERROR(VLOOKUP(L1790,'Reference Data'!$A$5:$F$40,6,FALSE),0)</x:f>
        <x:v>8</x:v>
      </x:c>
      <x:c r="R1790" s="84" t="n">
        <x:f>'Raw Sales'!J1790</x:f>
        <x:v>1</x:v>
      </x:c>
      <x:c r="S1790" s="87" t="n">
        <x:f>'Raw Sales'!K1790</x:f>
        <x:v>0</x:v>
      </x:c>
      <x:c r="T1790" s="93" t="n">
        <x:f>P1790*R1790</x:f>
        <x:v>24</x:v>
      </x:c>
      <x:c r="U1790" s="93" t="n">
        <x:f>T1790*S1790</x:f>
        <x:v>0</x:v>
      </x:c>
      <x:c r="V1790" s="93" t="str">
        <x:f>PROPER(TRIM('Raw Sales'!L1790))</x:f>
        <x:v>Completed</x:v>
      </x:c>
      <x:c r="W1790" s="93" t="n">
        <x:f>IF(V1790="Returned",0,T1790-U1790)</x:f>
        <x:v>24</x:v>
      </x:c>
      <x:c r="X1790" s="93" t="n">
        <x:f>IF(V1790="Returned",Q1790*R1790*10%,Q1790*R1790)</x:f>
        <x:v>8</x:v>
      </x:c>
      <x:c r="Y1790" s="93" t="n">
        <x:f>W1790-X1790</x:f>
        <x:v>16</x:v>
      </x:c>
      <x:c r="Z1790" s="94" t="n">
        <x:f>IFERROR(Y1790/W1790,0)</x:f>
        <x:v>0.6666666666666666</x:v>
      </x:c>
      <x:c r="AA1790" s="84" t="str">
        <x:f>PROPER(TRIM('Raw Sales'!M1790))</x:f>
        <x:v>Cash</x:v>
      </x:c>
      <x:c r="AB1790" s="84" t="str">
        <x:f>PROPER(TRIM('Raw Sales'!N1790))</x:f>
        <x:v>Nora Kim</x:v>
      </x:c>
      <x:c r="AC1790" s="85" t="n">
        <x:f>'Raw Sales'!O1790</x:f>
        <x:v>45875</x:v>
      </x:c>
      <x:c r="AD1790" s="84" t="n">
        <x:f>AC1790-B1790</x:f>
        <x:v>0</x:v>
      </x:c>
      <x:c r="AE1790" s="84" t="str">
        <x:f>IF(COUNTIF($A$5:A1790,A1790)&gt;1,"Duplicate","Keep")</x:f>
        <x:v>Keep</x:v>
      </x:c>
      <x:c r="AF1790" s="84" t="str">
        <x:f>IF(OR(R1790&lt;=0,AC1790&lt;B1790,H1790="Unknown",M1790="Unknown Product"),"Review","Valid")</x:f>
        <x:v>Valid</x:v>
      </x:c>
      <x:c r="AG1790" s="84" t="n">
        <x:f>IF(AND(AE1790="Keep",AF1790="Valid"),1,0)</x:f>
        <x:v>1</x:v>
      </x:c>
      <x:c r="AH1790" s="84" t="n">
        <x:f>IF(AND(AG1790=1,OR('Dashboard'!$B$4="All",I1790='Dashboard'!$B$4),OR('Dashboard'!$E$4="All",N1790='Dashboard'!$E$4),OR('Dashboard'!$H$4="All",K1790='Dashboard'!$H$4),OR('Dashboard'!$K$4="All",C1790='Dashboard'!$K$4)),1,0)</x:f>
        <x:v>1</x:v>
      </x:c>
      <x:c r="AI1790" s="84" t="n">
        <x:f>IF(AND(AG1790=1,OR('Dashboard'!$B$4="All",I1790='Dashboard'!$B$4),OR('Dashboard'!$E$4="All",N1790='Dashboard'!$E$4),OR('Dashboard'!$H$4="All",K1790='Dashboard'!$H$4)),1,0)</x:f>
        <x:v>1</x:v>
      </x:c>
    </x:row>
    <x:row r="1791">
      <x:c r="A1791" s="84" t="str">
        <x:f>'Raw Sales'!A1791</x:f>
        <x:v>ORD-2025-02234</x:v>
      </x:c>
      <x:c r="B1791" s="85" t="n">
        <x:f>'Raw Sales'!B1791</x:f>
        <x:v>45875</x:v>
      </x:c>
      <x:c r="C1791" s="84" t="n">
        <x:f>YEAR(B1791)</x:f>
        <x:v>2025</x:v>
      </x:c>
      <x:c r="D1791" s="91" t="n">
        <x:f>DATE(YEAR(B1791),MONTH(B1791),1)</x:f>
        <x:v>45870</x:v>
      </x:c>
      <x:c r="E1791" s="84" t="str">
        <x:f>TEXT(B1791,"mmm")</x:f>
        <x:v>Aug</x:v>
      </x:c>
      <x:c r="F1791" s="84" t="str">
        <x:f>'Raw Sales'!C1791</x:f>
        <x:v>CUST-0054</x:v>
      </x:c>
      <x:c r="G1791" s="84" t="str">
        <x:f>PROPER(TRIM('Raw Sales'!D1791))</x:f>
        <x:v>Priya Roberts</x:v>
      </x:c>
      <x:c r="H1791" s="84" t="str">
        <x:f>IF(TRIM('Raw Sales'!E1791)="","Unknown",PROPER(TRIM('Raw Sales'!E1791)))</x:f>
        <x:v>Consumer</x:v>
      </x:c>
      <x:c r="I1791" s="84" t="str">
        <x:f>PROPER(TRIM('Raw Sales'!F1791))</x:f>
        <x:v>West</x:v>
      </x:c>
      <x:c r="J1791" s="84" t="str">
        <x:f>PROPER(TRIM('Raw Sales'!G1791))</x:f>
        <x:v>Phoenix</x:v>
      </x:c>
      <x:c r="K1791" s="84" t="str">
        <x:f>PROPER(TRIM('Raw Sales'!H1791))</x:f>
        <x:v>Online</x:v>
      </x:c>
      <x:c r="L1791" s="84" t="str">
        <x:f>'Raw Sales'!I1791</x:f>
        <x:v>OFFC-005</x:v>
      </x:c>
      <x:c r="M1791" s="84" t="str">
        <x:f>IFERROR(VLOOKUP(L1791,'Reference Data'!$A$5:$F$40,2,FALSE),"Unknown Product")</x:f>
        <x:v>Wireless Keyboard</x:v>
      </x:c>
      <x:c r="N1791" s="84" t="str">
        <x:f>IFERROR(VLOOKUP(L1791,'Reference Data'!$A$5:$F$40,3,FALSE),"Unknown")</x:f>
        <x:v>Office</x:v>
      </x:c>
      <x:c r="O1791" s="84" t="str">
        <x:f>IFERROR(VLOOKUP(L1791,'Reference Data'!$A$5:$F$40,4,FALSE),"Unknown")</x:f>
        <x:v>Computer Accessories</x:v>
      </x:c>
      <x:c r="P1791" s="92" t="n">
        <x:f>IFERROR(VLOOKUP(L1791,'Reference Data'!$A$5:$F$40,5,FALSE),0)</x:f>
        <x:v>59</x:v>
      </x:c>
      <x:c r="Q1791" s="92" t="n">
        <x:f>IFERROR(VLOOKUP(L1791,'Reference Data'!$A$5:$F$40,6,FALSE),0)</x:f>
        <x:v>28</x:v>
      </x:c>
      <x:c r="R1791" s="84" t="n">
        <x:f>'Raw Sales'!J1791</x:f>
        <x:v>2</x:v>
      </x:c>
      <x:c r="S1791" s="87" t="n">
        <x:f>'Raw Sales'!K1791</x:f>
        <x:v>0</x:v>
      </x:c>
      <x:c r="T1791" s="93" t="n">
        <x:f>P1791*R1791</x:f>
        <x:v>118</x:v>
      </x:c>
      <x:c r="U1791" s="93" t="n">
        <x:f>T1791*S1791</x:f>
        <x:v>0</x:v>
      </x:c>
      <x:c r="V1791" s="93" t="str">
        <x:f>PROPER(TRIM('Raw Sales'!L1791))</x:f>
        <x:v>Completed</x:v>
      </x:c>
      <x:c r="W1791" s="93" t="n">
        <x:f>IF(V1791="Returned",0,T1791-U1791)</x:f>
        <x:v>118</x:v>
      </x:c>
      <x:c r="X1791" s="93" t="n">
        <x:f>IF(V1791="Returned",Q1791*R1791*10%,Q1791*R1791)</x:f>
        <x:v>56</x:v>
      </x:c>
      <x:c r="Y1791" s="93" t="n">
        <x:f>W1791-X1791</x:f>
        <x:v>62</x:v>
      </x:c>
      <x:c r="Z1791" s="94" t="n">
        <x:f>IFERROR(Y1791/W1791,0)</x:f>
        <x:v>0.5254237288135594</x:v>
      </x:c>
      <x:c r="AA1791" s="84" t="str">
        <x:f>PROPER(TRIM('Raw Sales'!M1791))</x:f>
        <x:v>Debit Card</x:v>
      </x:c>
      <x:c r="AB1791" s="84" t="str">
        <x:f>PROPER(TRIM('Raw Sales'!N1791))</x:f>
        <x:v>Mia Chen</x:v>
      </x:c>
      <x:c r="AC1791" s="85" t="n">
        <x:f>'Raw Sales'!O1791</x:f>
        <x:v>45878</x:v>
      </x:c>
      <x:c r="AD1791" s="84" t="n">
        <x:f>AC1791-B1791</x:f>
        <x:v>3</x:v>
      </x:c>
      <x:c r="AE1791" s="84" t="str">
        <x:f>IF(COUNTIF($A$5:A1791,A1791)&gt;1,"Duplicate","Keep")</x:f>
        <x:v>Keep</x:v>
      </x:c>
      <x:c r="AF1791" s="84" t="str">
        <x:f>IF(OR(R1791&lt;=0,AC1791&lt;B1791,H1791="Unknown",M1791="Unknown Product"),"Review","Valid")</x:f>
        <x:v>Valid</x:v>
      </x:c>
      <x:c r="AG1791" s="84" t="n">
        <x:f>IF(AND(AE1791="Keep",AF1791="Valid"),1,0)</x:f>
        <x:v>1</x:v>
      </x:c>
      <x:c r="AH1791" s="84" t="n">
        <x:f>IF(AND(AG1791=1,OR('Dashboard'!$B$4="All",I1791='Dashboard'!$B$4),OR('Dashboard'!$E$4="All",N1791='Dashboard'!$E$4),OR('Dashboard'!$H$4="All",K1791='Dashboard'!$H$4),OR('Dashboard'!$K$4="All",C1791='Dashboard'!$K$4)),1,0)</x:f>
        <x:v>1</x:v>
      </x:c>
      <x:c r="AI1791" s="84" t="n">
        <x:f>IF(AND(AG1791=1,OR('Dashboard'!$B$4="All",I1791='Dashboard'!$B$4),OR('Dashboard'!$E$4="All",N1791='Dashboard'!$E$4),OR('Dashboard'!$H$4="All",K1791='Dashboard'!$H$4)),1,0)</x:f>
        <x:v>1</x:v>
      </x:c>
    </x:row>
    <x:row r="1792">
      <x:c r="A1792" s="84" t="str">
        <x:f>'Raw Sales'!A1792</x:f>
        <x:v>ORD-2025-02272</x:v>
      </x:c>
      <x:c r="B1792" s="85" t="n">
        <x:f>'Raw Sales'!B1792</x:f>
        <x:v>45875</x:v>
      </x:c>
      <x:c r="C1792" s="84" t="n">
        <x:f>YEAR(B1792)</x:f>
        <x:v>2025</x:v>
      </x:c>
      <x:c r="D1792" s="91" t="n">
        <x:f>DATE(YEAR(B1792),MONTH(B1792),1)</x:f>
        <x:v>45870</x:v>
      </x:c>
      <x:c r="E1792" s="84" t="str">
        <x:f>TEXT(B1792,"mmm")</x:f>
        <x:v>Aug</x:v>
      </x:c>
      <x:c r="F1792" s="84" t="str">
        <x:f>'Raw Sales'!C1792</x:f>
        <x:v>CUST-0456</x:v>
      </x:c>
      <x:c r="G1792" s="84" t="str">
        <x:f>PROPER(TRIM('Raw Sales'!D1792))</x:f>
        <x:v>Elias Carter</x:v>
      </x:c>
      <x:c r="H1792" s="84" t="str">
        <x:f>IF(TRIM('Raw Sales'!E1792)="","Unknown",PROPER(TRIM('Raw Sales'!E1792)))</x:f>
        <x:v>Consumer</x:v>
      </x:c>
      <x:c r="I1792" s="84" t="str">
        <x:f>PROPER(TRIM('Raw Sales'!F1792))</x:f>
        <x:v>Northeast</x:v>
      </x:c>
      <x:c r="J1792" s="84" t="str">
        <x:f>PROPER(TRIM('Raw Sales'!G1792))</x:f>
        <x:v>Boston</x:v>
      </x:c>
      <x:c r="K1792" s="84" t="str">
        <x:f>PROPER(TRIM('Raw Sales'!H1792))</x:f>
        <x:v>Retail Store</x:v>
      </x:c>
      <x:c r="L1792" s="84" t="str">
        <x:f>'Raw Sales'!I1792</x:f>
        <x:v>FITN-004</x:v>
      </x:c>
      <x:c r="M1792" s="84" t="str">
        <x:f>IFERROR(VLOOKUP(L1792,'Reference Data'!$A$5:$F$40,2,FALSE),"Unknown Product")</x:f>
        <x:v>Fitness Tracker</x:v>
      </x:c>
      <x:c r="N1792" s="84" t="str">
        <x:f>IFERROR(VLOOKUP(L1792,'Reference Data'!$A$5:$F$40,3,FALSE),"Unknown")</x:f>
        <x:v>Fitness</x:v>
      </x:c>
      <x:c r="O1792" s="84" t="str">
        <x:f>IFERROR(VLOOKUP(L1792,'Reference Data'!$A$5:$F$40,4,FALSE),"Unknown")</x:f>
        <x:v>Wearables</x:v>
      </x:c>
      <x:c r="P1792" s="92" t="n">
        <x:f>IFERROR(VLOOKUP(L1792,'Reference Data'!$A$5:$F$40,5,FALSE),0)</x:f>
        <x:v>89</x:v>
      </x:c>
      <x:c r="Q1792" s="92" t="n">
        <x:f>IFERROR(VLOOKUP(L1792,'Reference Data'!$A$5:$F$40,6,FALSE),0)</x:f>
        <x:v>44</x:v>
      </x:c>
      <x:c r="R1792" s="84" t="n">
        <x:f>'Raw Sales'!J1792</x:f>
        <x:v>1</x:v>
      </x:c>
      <x:c r="S1792" s="87" t="n">
        <x:f>'Raw Sales'!K1792</x:f>
        <x:v>0.2</x:v>
      </x:c>
      <x:c r="T1792" s="93" t="n">
        <x:f>P1792*R1792</x:f>
        <x:v>89</x:v>
      </x:c>
      <x:c r="U1792" s="93" t="n">
        <x:f>T1792*S1792</x:f>
        <x:v>17.8</x:v>
      </x:c>
      <x:c r="V1792" s="93" t="str">
        <x:f>PROPER(TRIM('Raw Sales'!L1792))</x:f>
        <x:v>Completed</x:v>
      </x:c>
      <x:c r="W1792" s="93" t="n">
        <x:f>IF(V1792="Returned",0,T1792-U1792)</x:f>
        <x:v>71.2</x:v>
      </x:c>
      <x:c r="X1792" s="93" t="n">
        <x:f>IF(V1792="Returned",Q1792*R1792*10%,Q1792*R1792)</x:f>
        <x:v>44</x:v>
      </x:c>
      <x:c r="Y1792" s="93" t="n">
        <x:f>W1792-X1792</x:f>
        <x:v>27.200000000000003</x:v>
      </x:c>
      <x:c r="Z1792" s="94" t="n">
        <x:f>IFERROR(Y1792/W1792,0)</x:f>
        <x:v>0.3820224719101124</x:v>
      </x:c>
      <x:c r="AA1792" s="84" t="str">
        <x:f>PROPER(TRIM('Raw Sales'!M1792))</x:f>
        <x:v>Credit Card</x:v>
      </x:c>
      <x:c r="AB1792" s="84" t="str">
        <x:f>PROPER(TRIM('Raw Sales'!N1792))</x:f>
        <x:v>Ethan Cole</x:v>
      </x:c>
      <x:c r="AC1792" s="85" t="n">
        <x:f>'Raw Sales'!O1792</x:f>
        <x:v>45876</x:v>
      </x:c>
      <x:c r="AD1792" s="84" t="n">
        <x:f>AC1792-B1792</x:f>
        <x:v>1</x:v>
      </x:c>
      <x:c r="AE1792" s="84" t="str">
        <x:f>IF(COUNTIF($A$5:A1792,A1792)&gt;1,"Duplicate","Keep")</x:f>
        <x:v>Keep</x:v>
      </x:c>
      <x:c r="AF1792" s="84" t="str">
        <x:f>IF(OR(R1792&lt;=0,AC1792&lt;B1792,H1792="Unknown",M1792="Unknown Product"),"Review","Valid")</x:f>
        <x:v>Valid</x:v>
      </x:c>
      <x:c r="AG1792" s="84" t="n">
        <x:f>IF(AND(AE1792="Keep",AF1792="Valid"),1,0)</x:f>
        <x:v>1</x:v>
      </x:c>
      <x:c r="AH1792" s="84" t="n">
        <x:f>IF(AND(AG1792=1,OR('Dashboard'!$B$4="All",I1792='Dashboard'!$B$4),OR('Dashboard'!$E$4="All",N1792='Dashboard'!$E$4),OR('Dashboard'!$H$4="All",K1792='Dashboard'!$H$4),OR('Dashboard'!$K$4="All",C1792='Dashboard'!$K$4)),1,0)</x:f>
        <x:v>1</x:v>
      </x:c>
      <x:c r="AI1792" s="84" t="n">
        <x:f>IF(AND(AG1792=1,OR('Dashboard'!$B$4="All",I1792='Dashboard'!$B$4),OR('Dashboard'!$E$4="All",N1792='Dashboard'!$E$4),OR('Dashboard'!$H$4="All",K1792='Dashboard'!$H$4)),1,0)</x:f>
        <x:v>1</x:v>
      </x:c>
    </x:row>
    <x:row r="1793">
      <x:c r="A1793" s="84" t="str">
        <x:f>'Raw Sales'!A1793</x:f>
        <x:v>ORD-2025-02358</x:v>
      </x:c>
      <x:c r="B1793" s="85" t="n">
        <x:f>'Raw Sales'!B1793</x:f>
        <x:v>45875</x:v>
      </x:c>
      <x:c r="C1793" s="84" t="n">
        <x:f>YEAR(B1793)</x:f>
        <x:v>2025</x:v>
      </x:c>
      <x:c r="D1793" s="91" t="n">
        <x:f>DATE(YEAR(B1793),MONTH(B1793),1)</x:f>
        <x:v>45870</x:v>
      </x:c>
      <x:c r="E1793" s="84" t="str">
        <x:f>TEXT(B1793,"mmm")</x:f>
        <x:v>Aug</x:v>
      </x:c>
      <x:c r="F1793" s="84" t="str">
        <x:f>'Raw Sales'!C1793</x:f>
        <x:v>CUST-0306</x:v>
      </x:c>
      <x:c r="G1793" s="84" t="str">
        <x:f>PROPER(TRIM('Raw Sales'!D1793))</x:f>
        <x:v>Sara Garcia</x:v>
      </x:c>
      <x:c r="H1793" s="84" t="str">
        <x:f>IF(TRIM('Raw Sales'!E1793)="","Unknown",PROPER(TRIM('Raw Sales'!E1793)))</x:f>
        <x:v>Consumer</x:v>
      </x:c>
      <x:c r="I1793" s="84" t="str">
        <x:f>PROPER(TRIM('Raw Sales'!F1793))</x:f>
        <x:v>Southeast</x:v>
      </x:c>
      <x:c r="J1793" s="84" t="str">
        <x:f>PROPER(TRIM('Raw Sales'!G1793))</x:f>
        <x:v>Atlanta</x:v>
      </x:c>
      <x:c r="K1793" s="84" t="str">
        <x:f>PROPER(TRIM('Raw Sales'!H1793))</x:f>
        <x:v>Online</x:v>
      </x:c>
      <x:c r="L1793" s="84" t="str">
        <x:f>'Raw Sales'!I1793</x:f>
        <x:v>CARE-001</x:v>
      </x:c>
      <x:c r="M1793" s="84" t="str">
        <x:f>IFERROR(VLOOKUP(L1793,'Reference Data'!$A$5:$F$40,2,FALSE),"Unknown Product")</x:f>
        <x:v>Ionic Hair Dryer</x:v>
      </x:c>
      <x:c r="N1793" s="84" t="str">
        <x:f>IFERROR(VLOOKUP(L1793,'Reference Data'!$A$5:$F$40,3,FALSE),"Unknown")</x:f>
        <x:v>Personal Care</x:v>
      </x:c>
      <x:c r="O1793" s="84" t="str">
        <x:f>IFERROR(VLOOKUP(L1793,'Reference Data'!$A$5:$F$40,4,FALSE),"Unknown")</x:f>
        <x:v>Hair Care</x:v>
      </x:c>
      <x:c r="P1793" s="92" t="n">
        <x:f>IFERROR(VLOOKUP(L1793,'Reference Data'!$A$5:$F$40,5,FALSE),0)</x:f>
        <x:v>54</x:v>
      </x:c>
      <x:c r="Q1793" s="92" t="n">
        <x:f>IFERROR(VLOOKUP(L1793,'Reference Data'!$A$5:$F$40,6,FALSE),0)</x:f>
        <x:v>25</x:v>
      </x:c>
      <x:c r="R1793" s="84" t="n">
        <x:f>'Raw Sales'!J1793</x:f>
        <x:v>3</x:v>
      </x:c>
      <x:c r="S1793" s="87" t="n">
        <x:f>'Raw Sales'!K1793</x:f>
        <x:v>0</x:v>
      </x:c>
      <x:c r="T1793" s="93" t="n">
        <x:f>P1793*R1793</x:f>
        <x:v>162</x:v>
      </x:c>
      <x:c r="U1793" s="93" t="n">
        <x:f>T1793*S1793</x:f>
        <x:v>0</x:v>
      </x:c>
      <x:c r="V1793" s="93" t="str">
        <x:f>PROPER(TRIM('Raw Sales'!L1793))</x:f>
        <x:v>Completed</x:v>
      </x:c>
      <x:c r="W1793" s="93" t="n">
        <x:f>IF(V1793="Returned",0,T1793-U1793)</x:f>
        <x:v>162</x:v>
      </x:c>
      <x:c r="X1793" s="93" t="n">
        <x:f>IF(V1793="Returned",Q1793*R1793*10%,Q1793*R1793)</x:f>
        <x:v>75</x:v>
      </x:c>
      <x:c r="Y1793" s="93" t="n">
        <x:f>W1793-X1793</x:f>
        <x:v>87</x:v>
      </x:c>
      <x:c r="Z1793" s="94" t="n">
        <x:f>IFERROR(Y1793/W1793,0)</x:f>
        <x:v>0.5370370370370371</x:v>
      </x:c>
      <x:c r="AA1793" s="84" t="str">
        <x:f>PROPER(TRIM('Raw Sales'!M1793))</x:f>
        <x:v>Credit Card</x:v>
      </x:c>
      <x:c r="AB1793" s="84" t="str">
        <x:f>PROPER(TRIM('Raw Sales'!N1793))</x:f>
        <x:v>Noah Reed</x:v>
      </x:c>
      <x:c r="AC1793" s="85" t="n">
        <x:f>'Raw Sales'!O1793</x:f>
        <x:v>45878</x:v>
      </x:c>
      <x:c r="AD1793" s="84" t="n">
        <x:f>AC1793-B1793</x:f>
        <x:v>3</x:v>
      </x:c>
      <x:c r="AE1793" s="84" t="str">
        <x:f>IF(COUNTIF($A$5:A1793,A1793)&gt;1,"Duplicate","Keep")</x:f>
        <x:v>Keep</x:v>
      </x:c>
      <x:c r="AF1793" s="84" t="str">
        <x:f>IF(OR(R1793&lt;=0,AC1793&lt;B1793,H1793="Unknown",M1793="Unknown Product"),"Review","Valid")</x:f>
        <x:v>Valid</x:v>
      </x:c>
      <x:c r="AG1793" s="84" t="n">
        <x:f>IF(AND(AE1793="Keep",AF1793="Valid"),1,0)</x:f>
        <x:v>1</x:v>
      </x:c>
      <x:c r="AH1793" s="84" t="n">
        <x:f>IF(AND(AG1793=1,OR('Dashboard'!$B$4="All",I1793='Dashboard'!$B$4),OR('Dashboard'!$E$4="All",N1793='Dashboard'!$E$4),OR('Dashboard'!$H$4="All",K1793='Dashboard'!$H$4),OR('Dashboard'!$K$4="All",C1793='Dashboard'!$K$4)),1,0)</x:f>
        <x:v>1</x:v>
      </x:c>
      <x:c r="AI1793" s="84" t="n">
        <x:f>IF(AND(AG1793=1,OR('Dashboard'!$B$4="All",I1793='Dashboard'!$B$4),OR('Dashboard'!$E$4="All",N1793='Dashboard'!$E$4),OR('Dashboard'!$H$4="All",K1793='Dashboard'!$H$4)),1,0)</x:f>
        <x:v>1</x:v>
      </x:c>
    </x:row>
    <x:row r="1794">
      <x:c r="A1794" s="84" t="str">
        <x:f>'Raw Sales'!A1794</x:f>
        <x:v>ORD-2025-00049</x:v>
      </x:c>
      <x:c r="B1794" s="85" t="n">
        <x:f>'Raw Sales'!B1794</x:f>
        <x:v>45876</x:v>
      </x:c>
      <x:c r="C1794" s="84" t="n">
        <x:f>YEAR(B1794)</x:f>
        <x:v>2025</x:v>
      </x:c>
      <x:c r="D1794" s="91" t="n">
        <x:f>DATE(YEAR(B1794),MONTH(B1794),1)</x:f>
        <x:v>45870</x:v>
      </x:c>
      <x:c r="E1794" s="84" t="str">
        <x:f>TEXT(B1794,"mmm")</x:f>
        <x:v>Aug</x:v>
      </x:c>
      <x:c r="F1794" s="84" t="str">
        <x:f>'Raw Sales'!C1794</x:f>
        <x:v>CUST-0490</x:v>
      </x:c>
      <x:c r="G1794" s="84" t="str">
        <x:f>PROPER(TRIM('Raw Sales'!D1794))</x:f>
        <x:v>Maya Nelson</x:v>
      </x:c>
      <x:c r="H1794" s="84" t="str">
        <x:f>IF(TRIM('Raw Sales'!E1794)="","Unknown",PROPER(TRIM('Raw Sales'!E1794)))</x:f>
        <x:v>Small Business</x:v>
      </x:c>
      <x:c r="I1794" s="84" t="str">
        <x:f>PROPER(TRIM('Raw Sales'!F1794))</x:f>
        <x:v>Northeast</x:v>
      </x:c>
      <x:c r="J1794" s="84" t="str">
        <x:f>PROPER(TRIM('Raw Sales'!G1794))</x:f>
        <x:v>Philadelphia</x:v>
      </x:c>
      <x:c r="K1794" s="84" t="str">
        <x:f>PROPER(TRIM('Raw Sales'!H1794))</x:f>
        <x:v>Online</x:v>
      </x:c>
      <x:c r="L1794" s="84" t="str">
        <x:f>'Raw Sales'!I1794</x:f>
        <x:v>FITN-005</x:v>
      </x:c>
      <x:c r="M1794" s="84" t="str">
        <x:f>IFERROR(VLOOKUP(L1794,'Reference Data'!$A$5:$F$40,2,FALSE),"Unknown Product")</x:f>
        <x:v>Sports Water Bottle</x:v>
      </x:c>
      <x:c r="N1794" s="84" t="str">
        <x:f>IFERROR(VLOOKUP(L1794,'Reference Data'!$A$5:$F$40,3,FALSE),"Unknown")</x:f>
        <x:v>Fitness</x:v>
      </x:c>
      <x:c r="O1794" s="84" t="str">
        <x:f>IFERROR(VLOOKUP(L1794,'Reference Data'!$A$5:$F$40,4,FALSE),"Unknown")</x:f>
        <x:v>Accessories</x:v>
      </x:c>
      <x:c r="P1794" s="92" t="n">
        <x:f>IFERROR(VLOOKUP(L1794,'Reference Data'!$A$5:$F$40,5,FALSE),0)</x:f>
        <x:v>22</x:v>
      </x:c>
      <x:c r="Q1794" s="92" t="n">
        <x:f>IFERROR(VLOOKUP(L1794,'Reference Data'!$A$5:$F$40,6,FALSE),0)</x:f>
        <x:v>7</x:v>
      </x:c>
      <x:c r="R1794" s="84" t="n">
        <x:f>'Raw Sales'!J1794</x:f>
        <x:v>1</x:v>
      </x:c>
      <x:c r="S1794" s="87" t="n">
        <x:f>'Raw Sales'!K1794</x:f>
        <x:v>0</x:v>
      </x:c>
      <x:c r="T1794" s="93" t="n">
        <x:f>P1794*R1794</x:f>
        <x:v>22</x:v>
      </x:c>
      <x:c r="U1794" s="93" t="n">
        <x:f>T1794*S1794</x:f>
        <x:v>0</x:v>
      </x:c>
      <x:c r="V1794" s="93" t="str">
        <x:f>PROPER(TRIM('Raw Sales'!L1794))</x:f>
        <x:v>Completed</x:v>
      </x:c>
      <x:c r="W1794" s="93" t="n">
        <x:f>IF(V1794="Returned",0,T1794-U1794)</x:f>
        <x:v>22</x:v>
      </x:c>
      <x:c r="X1794" s="93" t="n">
        <x:f>IF(V1794="Returned",Q1794*R1794*10%,Q1794*R1794)</x:f>
        <x:v>7</x:v>
      </x:c>
      <x:c r="Y1794" s="93" t="n">
        <x:f>W1794-X1794</x:f>
        <x:v>15</x:v>
      </x:c>
      <x:c r="Z1794" s="94" t="n">
        <x:f>IFERROR(Y1794/W1794,0)</x:f>
        <x:v>0.6818181818181818</x:v>
      </x:c>
      <x:c r="AA1794" s="84" t="str">
        <x:f>PROPER(TRIM('Raw Sales'!M1794))</x:f>
        <x:v>Credit Card</x:v>
      </x:c>
      <x:c r="AB1794" s="84" t="str">
        <x:f>PROPER(TRIM('Raw Sales'!N1794))</x:f>
        <x:v>Maya Brooks</x:v>
      </x:c>
      <x:c r="AC1794" s="85" t="n">
        <x:f>'Raw Sales'!O1794</x:f>
        <x:v>45878</x:v>
      </x:c>
      <x:c r="AD1794" s="84" t="n">
        <x:f>AC1794-B1794</x:f>
        <x:v>2</x:v>
      </x:c>
      <x:c r="AE1794" s="84" t="str">
        <x:f>IF(COUNTIF($A$5:A1794,A1794)&gt;1,"Duplicate","Keep")</x:f>
        <x:v>Keep</x:v>
      </x:c>
      <x:c r="AF1794" s="84" t="str">
        <x:f>IF(OR(R1794&lt;=0,AC1794&lt;B1794,H1794="Unknown",M1794="Unknown Product"),"Review","Valid")</x:f>
        <x:v>Valid</x:v>
      </x:c>
      <x:c r="AG1794" s="84" t="n">
        <x:f>IF(AND(AE1794="Keep",AF1794="Valid"),1,0)</x:f>
        <x:v>1</x:v>
      </x:c>
      <x:c r="AH1794" s="84" t="n">
        <x:f>IF(AND(AG1794=1,OR('Dashboard'!$B$4="All",I1794='Dashboard'!$B$4),OR('Dashboard'!$E$4="All",N1794='Dashboard'!$E$4),OR('Dashboard'!$H$4="All",K1794='Dashboard'!$H$4),OR('Dashboard'!$K$4="All",C1794='Dashboard'!$K$4)),1,0)</x:f>
        <x:v>1</x:v>
      </x:c>
      <x:c r="AI1794" s="84" t="n">
        <x:f>IF(AND(AG1794=1,OR('Dashboard'!$B$4="All",I1794='Dashboard'!$B$4),OR('Dashboard'!$E$4="All",N1794='Dashboard'!$E$4),OR('Dashboard'!$H$4="All",K1794='Dashboard'!$H$4)),1,0)</x:f>
        <x:v>1</x:v>
      </x:c>
    </x:row>
    <x:row r="1795">
      <x:c r="A1795" s="84" t="str">
        <x:f>'Raw Sales'!A1795</x:f>
        <x:v>ORD-2025-00736</x:v>
      </x:c>
      <x:c r="B1795" s="85" t="n">
        <x:f>'Raw Sales'!B1795</x:f>
        <x:v>45876</x:v>
      </x:c>
      <x:c r="C1795" s="84" t="n">
        <x:f>YEAR(B1795)</x:f>
        <x:v>2025</x:v>
      </x:c>
      <x:c r="D1795" s="91" t="n">
        <x:f>DATE(YEAR(B1795),MONTH(B1795),1)</x:f>
        <x:v>45870</x:v>
      </x:c>
      <x:c r="E1795" s="84" t="str">
        <x:f>TEXT(B1795,"mmm")</x:f>
        <x:v>Aug</x:v>
      </x:c>
      <x:c r="F1795" s="84" t="str">
        <x:f>'Raw Sales'!C1795</x:f>
        <x:v>CUST-0428</x:v>
      </x:c>
      <x:c r="G1795" s="84" t="str">
        <x:f>PROPER(TRIM('Raw Sales'!D1795))</x:f>
        <x:v>Theo Taylor</x:v>
      </x:c>
      <x:c r="H1795" s="84" t="str">
        <x:f>IF(TRIM('Raw Sales'!E1795)="","Unknown",PROPER(TRIM('Raw Sales'!E1795)))</x:f>
        <x:v>Consumer</x:v>
      </x:c>
      <x:c r="I1795" s="84" t="str">
        <x:f>PROPER(TRIM('Raw Sales'!F1795))</x:f>
        <x:v>Midwest</x:v>
      </x:c>
      <x:c r="J1795" s="84" t="str">
        <x:f>PROPER(TRIM('Raw Sales'!G1795))</x:f>
        <x:v>Chicago</x:v>
      </x:c>
      <x:c r="K1795" s="84" t="str">
        <x:f>PROPER(TRIM('Raw Sales'!H1795))</x:f>
        <x:v>Retail Store</x:v>
      </x:c>
      <x:c r="L1795" s="84" t="str">
        <x:f>'Raw Sales'!I1795</x:f>
        <x:v>FITN-004</x:v>
      </x:c>
      <x:c r="M1795" s="84" t="str">
        <x:f>IFERROR(VLOOKUP(L1795,'Reference Data'!$A$5:$F$40,2,FALSE),"Unknown Product")</x:f>
        <x:v>Fitness Tracker</x:v>
      </x:c>
      <x:c r="N1795" s="84" t="str">
        <x:f>IFERROR(VLOOKUP(L1795,'Reference Data'!$A$5:$F$40,3,FALSE),"Unknown")</x:f>
        <x:v>Fitness</x:v>
      </x:c>
      <x:c r="O1795" s="84" t="str">
        <x:f>IFERROR(VLOOKUP(L1795,'Reference Data'!$A$5:$F$40,4,FALSE),"Unknown")</x:f>
        <x:v>Wearables</x:v>
      </x:c>
      <x:c r="P1795" s="92" t="n">
        <x:f>IFERROR(VLOOKUP(L1795,'Reference Data'!$A$5:$F$40,5,FALSE),0)</x:f>
        <x:v>89</x:v>
      </x:c>
      <x:c r="Q1795" s="92" t="n">
        <x:f>IFERROR(VLOOKUP(L1795,'Reference Data'!$A$5:$F$40,6,FALSE),0)</x:f>
        <x:v>44</x:v>
      </x:c>
      <x:c r="R1795" s="84" t="n">
        <x:f>'Raw Sales'!J1795</x:f>
        <x:v>3</x:v>
      </x:c>
      <x:c r="S1795" s="87" t="n">
        <x:f>'Raw Sales'!K1795</x:f>
        <x:v>0</x:v>
      </x:c>
      <x:c r="T1795" s="93" t="n">
        <x:f>P1795*R1795</x:f>
        <x:v>267</x:v>
      </x:c>
      <x:c r="U1795" s="93" t="n">
        <x:f>T1795*S1795</x:f>
        <x:v>0</x:v>
      </x:c>
      <x:c r="V1795" s="93" t="str">
        <x:f>PROPER(TRIM('Raw Sales'!L1795))</x:f>
        <x:v>Completed</x:v>
      </x:c>
      <x:c r="W1795" s="93" t="n">
        <x:f>IF(V1795="Returned",0,T1795-U1795)</x:f>
        <x:v>267</x:v>
      </x:c>
      <x:c r="X1795" s="93" t="n">
        <x:f>IF(V1795="Returned",Q1795*R1795*10%,Q1795*R1795)</x:f>
        <x:v>132</x:v>
      </x:c>
      <x:c r="Y1795" s="93" t="n">
        <x:f>W1795-X1795</x:f>
        <x:v>135</x:v>
      </x:c>
      <x:c r="Z1795" s="94" t="n">
        <x:f>IFERROR(Y1795/W1795,0)</x:f>
        <x:v>0.5056179775280899</x:v>
      </x:c>
      <x:c r="AA1795" s="84" t="str">
        <x:f>PROPER(TRIM('Raw Sales'!M1795))</x:f>
        <x:v>Credit Card</x:v>
      </x:c>
      <x:c r="AB1795" s="84" t="str">
        <x:f>PROPER(TRIM('Raw Sales'!N1795))</x:f>
        <x:v>Emma Hayes</x:v>
      </x:c>
      <x:c r="AC1795" s="85" t="n">
        <x:f>'Raw Sales'!O1795</x:f>
        <x:v>45877</x:v>
      </x:c>
      <x:c r="AD1795" s="84" t="n">
        <x:f>AC1795-B1795</x:f>
        <x:v>1</x:v>
      </x:c>
      <x:c r="AE1795" s="84" t="str">
        <x:f>IF(COUNTIF($A$5:A1795,A1795)&gt;1,"Duplicate","Keep")</x:f>
        <x:v>Keep</x:v>
      </x:c>
      <x:c r="AF1795" s="84" t="str">
        <x:f>IF(OR(R1795&lt;=0,AC1795&lt;B1795,H1795="Unknown",M1795="Unknown Product"),"Review","Valid")</x:f>
        <x:v>Valid</x:v>
      </x:c>
      <x:c r="AG1795" s="84" t="n">
        <x:f>IF(AND(AE1795="Keep",AF1795="Valid"),1,0)</x:f>
        <x:v>1</x:v>
      </x:c>
      <x:c r="AH1795" s="84" t="n">
        <x:f>IF(AND(AG1795=1,OR('Dashboard'!$B$4="All",I1795='Dashboard'!$B$4),OR('Dashboard'!$E$4="All",N1795='Dashboard'!$E$4),OR('Dashboard'!$H$4="All",K1795='Dashboard'!$H$4),OR('Dashboard'!$K$4="All",C1795='Dashboard'!$K$4)),1,0)</x:f>
        <x:v>1</x:v>
      </x:c>
      <x:c r="AI1795" s="84" t="n">
        <x:f>IF(AND(AG1795=1,OR('Dashboard'!$B$4="All",I1795='Dashboard'!$B$4),OR('Dashboard'!$E$4="All",N1795='Dashboard'!$E$4),OR('Dashboard'!$H$4="All",K1795='Dashboard'!$H$4)),1,0)</x:f>
        <x:v>1</x:v>
      </x:c>
    </x:row>
    <x:row r="1796">
      <x:c r="A1796" s="84" t="str">
        <x:f>'Raw Sales'!A1796</x:f>
        <x:v>ORD-2025-01986</x:v>
      </x:c>
      <x:c r="B1796" s="85" t="n">
        <x:f>'Raw Sales'!B1796</x:f>
        <x:v>45876</x:v>
      </x:c>
      <x:c r="C1796" s="84" t="n">
        <x:f>YEAR(B1796)</x:f>
        <x:v>2025</x:v>
      </x:c>
      <x:c r="D1796" s="91" t="n">
        <x:f>DATE(YEAR(B1796),MONTH(B1796),1)</x:f>
        <x:v>45870</x:v>
      </x:c>
      <x:c r="E1796" s="84" t="str">
        <x:f>TEXT(B1796,"mmm")</x:f>
        <x:v>Aug</x:v>
      </x:c>
      <x:c r="F1796" s="84" t="str">
        <x:f>'Raw Sales'!C1796</x:f>
        <x:v>CUST-0428</x:v>
      </x:c>
      <x:c r="G1796" s="84" t="str">
        <x:f>PROPER(TRIM('Raw Sales'!D1796))</x:f>
        <x:v>Theo Taylor</x:v>
      </x:c>
      <x:c r="H1796" s="84" t="str">
        <x:f>IF(TRIM('Raw Sales'!E1796)="","Unknown",PROPER(TRIM('Raw Sales'!E1796)))</x:f>
        <x:v>Consumer</x:v>
      </x:c>
      <x:c r="I1796" s="84" t="str">
        <x:f>PROPER(TRIM('Raw Sales'!F1796))</x:f>
        <x:v>Midwest</x:v>
      </x:c>
      <x:c r="J1796" s="84" t="str">
        <x:f>PROPER(TRIM('Raw Sales'!G1796))</x:f>
        <x:v>Chicago</x:v>
      </x:c>
      <x:c r="K1796" s="84" t="str">
        <x:f>PROPER(TRIM('Raw Sales'!H1796))</x:f>
        <x:v>Retail Store</x:v>
      </x:c>
      <x:c r="L1796" s="84" t="str">
        <x:f>'Raw Sales'!I1796</x:f>
        <x:v>OFFC-002</x:v>
      </x:c>
      <x:c r="M1796" s="84" t="str">
        <x:f>IFERROR(VLOOKUP(L1796,'Reference Data'!$A$5:$F$40,2,FALSE),"Unknown Product")</x:f>
        <x:v>Standing Desk</x:v>
      </x:c>
      <x:c r="N1796" s="84" t="str">
        <x:f>IFERROR(VLOOKUP(L1796,'Reference Data'!$A$5:$F$40,3,FALSE),"Unknown")</x:f>
        <x:v>Office</x:v>
      </x:c>
      <x:c r="O1796" s="84" t="str">
        <x:f>IFERROR(VLOOKUP(L1796,'Reference Data'!$A$5:$F$40,4,FALSE),"Unknown")</x:f>
        <x:v>Furniture</x:v>
      </x:c>
      <x:c r="P1796" s="92" t="n">
        <x:f>IFERROR(VLOOKUP(L1796,'Reference Data'!$A$5:$F$40,5,FALSE),0)</x:f>
        <x:v>399</x:v>
      </x:c>
      <x:c r="Q1796" s="92" t="n">
        <x:f>IFERROR(VLOOKUP(L1796,'Reference Data'!$A$5:$F$40,6,FALSE),0)</x:f>
        <x:v>235</x:v>
      </x:c>
      <x:c r="R1796" s="84" t="n">
        <x:f>'Raw Sales'!J1796</x:f>
        <x:v>1</x:v>
      </x:c>
      <x:c r="S1796" s="87" t="n">
        <x:f>'Raw Sales'!K1796</x:f>
        <x:v>0</x:v>
      </x:c>
      <x:c r="T1796" s="93" t="n">
        <x:f>P1796*R1796</x:f>
        <x:v>399</x:v>
      </x:c>
      <x:c r="U1796" s="93" t="n">
        <x:f>T1796*S1796</x:f>
        <x:v>0</x:v>
      </x:c>
      <x:c r="V1796" s="93" t="str">
        <x:f>PROPER(TRIM('Raw Sales'!L1796))</x:f>
        <x:v>Completed</x:v>
      </x:c>
      <x:c r="W1796" s="93" t="n">
        <x:f>IF(V1796="Returned",0,T1796-U1796)</x:f>
        <x:v>399</x:v>
      </x:c>
      <x:c r="X1796" s="93" t="n">
        <x:f>IF(V1796="Returned",Q1796*R1796*10%,Q1796*R1796)</x:f>
        <x:v>235</x:v>
      </x:c>
      <x:c r="Y1796" s="93" t="n">
        <x:f>W1796-X1796</x:f>
        <x:v>164</x:v>
      </x:c>
      <x:c r="Z1796" s="94" t="n">
        <x:f>IFERROR(Y1796/W1796,0)</x:f>
        <x:v>0.41102756892230574</x:v>
      </x:c>
      <x:c r="AA1796" s="84" t="str">
        <x:f>PROPER(TRIM('Raw Sales'!M1796))</x:f>
        <x:v>Debit Card</x:v>
      </x:c>
      <x:c r="AB1796" s="84" t="str">
        <x:f>PROPER(TRIM('Raw Sales'!N1796))</x:f>
        <x:v>Lucas Grant</x:v>
      </x:c>
      <x:c r="AC1796" s="85" t="n">
        <x:f>'Raw Sales'!O1796</x:f>
        <x:v>45876</x:v>
      </x:c>
      <x:c r="AD1796" s="84" t="n">
        <x:f>AC1796-B1796</x:f>
        <x:v>0</x:v>
      </x:c>
      <x:c r="AE1796" s="84" t="str">
        <x:f>IF(COUNTIF($A$5:A1796,A1796)&gt;1,"Duplicate","Keep")</x:f>
        <x:v>Keep</x:v>
      </x:c>
      <x:c r="AF1796" s="84" t="str">
        <x:f>IF(OR(R1796&lt;=0,AC1796&lt;B1796,H1796="Unknown",M1796="Unknown Product"),"Review","Valid")</x:f>
        <x:v>Valid</x:v>
      </x:c>
      <x:c r="AG1796" s="84" t="n">
        <x:f>IF(AND(AE1796="Keep",AF1796="Valid"),1,0)</x:f>
        <x:v>1</x:v>
      </x:c>
      <x:c r="AH1796" s="84" t="n">
        <x:f>IF(AND(AG1796=1,OR('Dashboard'!$B$4="All",I1796='Dashboard'!$B$4),OR('Dashboard'!$E$4="All",N1796='Dashboard'!$E$4),OR('Dashboard'!$H$4="All",K1796='Dashboard'!$H$4),OR('Dashboard'!$K$4="All",C1796='Dashboard'!$K$4)),1,0)</x:f>
        <x:v>1</x:v>
      </x:c>
      <x:c r="AI1796" s="84" t="n">
        <x:f>IF(AND(AG1796=1,OR('Dashboard'!$B$4="All",I1796='Dashboard'!$B$4),OR('Dashboard'!$E$4="All",N1796='Dashboard'!$E$4),OR('Dashboard'!$H$4="All",K1796='Dashboard'!$H$4)),1,0)</x:f>
        <x:v>1</x:v>
      </x:c>
    </x:row>
    <x:row r="1797">
      <x:c r="A1797" s="84" t="str">
        <x:f>'Raw Sales'!A1797</x:f>
        <x:v>ORD-2025-00797</x:v>
      </x:c>
      <x:c r="B1797" s="85" t="n">
        <x:f>'Raw Sales'!B1797</x:f>
        <x:v>45877</x:v>
      </x:c>
      <x:c r="C1797" s="84" t="n">
        <x:f>YEAR(B1797)</x:f>
        <x:v>2025</x:v>
      </x:c>
      <x:c r="D1797" s="91" t="n">
        <x:f>DATE(YEAR(B1797),MONTH(B1797),1)</x:f>
        <x:v>45870</x:v>
      </x:c>
      <x:c r="E1797" s="84" t="str">
        <x:f>TEXT(B1797,"mmm")</x:f>
        <x:v>Aug</x:v>
      </x:c>
      <x:c r="F1797" s="84" t="str">
        <x:f>'Raw Sales'!C1797</x:f>
        <x:v>CUST-0065</x:v>
      </x:c>
      <x:c r="G1797" s="84" t="str">
        <x:f>PROPER(TRIM('Raw Sales'!D1797))</x:f>
        <x:v>Marcus Young</x:v>
      </x:c>
      <x:c r="H1797" s="84" t="str">
        <x:f>IF(TRIM('Raw Sales'!E1797)="","Unknown",PROPER(TRIM('Raw Sales'!E1797)))</x:f>
        <x:v>Small Business</x:v>
      </x:c>
      <x:c r="I1797" s="84" t="str">
        <x:f>PROPER(TRIM('Raw Sales'!F1797))</x:f>
        <x:v>West</x:v>
      </x:c>
      <x:c r="J1797" s="84" t="str">
        <x:f>PROPER(TRIM('Raw Sales'!G1797))</x:f>
        <x:v>Seattle</x:v>
      </x:c>
      <x:c r="K1797" s="84" t="str">
        <x:f>PROPER(TRIM('Raw Sales'!H1797))</x:f>
        <x:v>Online</x:v>
      </x:c>
      <x:c r="L1797" s="84" t="str">
        <x:f>'Raw Sales'!I1797</x:f>
        <x:v>ELEC-001</x:v>
      </x:c>
      <x:c r="M1797" s="84" t="str">
        <x:f>IFERROR(VLOOKUP(L1797,'Reference Data'!$A$5:$F$40,2,FALSE),"Unknown Product")</x:f>
        <x:v>Wireless Earbuds</x:v>
      </x:c>
      <x:c r="N1797" s="84" t="str">
        <x:f>IFERROR(VLOOKUP(L1797,'Reference Data'!$A$5:$F$40,3,FALSE),"Unknown")</x:f>
        <x:v>Electronics</x:v>
      </x:c>
      <x:c r="O1797" s="84" t="str">
        <x:f>IFERROR(VLOOKUP(L1797,'Reference Data'!$A$5:$F$40,4,FALSE),"Unknown")</x:f>
        <x:v>Audio</x:v>
      </x:c>
      <x:c r="P1797" s="92" t="n">
        <x:f>IFERROR(VLOOKUP(L1797,'Reference Data'!$A$5:$F$40,5,FALSE),0)</x:f>
        <x:v>69</x:v>
      </x:c>
      <x:c r="Q1797" s="92" t="n">
        <x:f>IFERROR(VLOOKUP(L1797,'Reference Data'!$A$5:$F$40,6,FALSE),0)</x:f>
        <x:v>36</x:v>
      </x:c>
      <x:c r="R1797" s="84" t="n">
        <x:f>'Raw Sales'!J1797</x:f>
        <x:v>2</x:v>
      </x:c>
      <x:c r="S1797" s="87" t="n">
        <x:f>'Raw Sales'!K1797</x:f>
        <x:v>0</x:v>
      </x:c>
      <x:c r="T1797" s="93" t="n">
        <x:f>P1797*R1797</x:f>
        <x:v>138</x:v>
      </x:c>
      <x:c r="U1797" s="93" t="n">
        <x:f>T1797*S1797</x:f>
        <x:v>0</x:v>
      </x:c>
      <x:c r="V1797" s="93" t="str">
        <x:f>PROPER(TRIM('Raw Sales'!L1797))</x:f>
        <x:v>Completed</x:v>
      </x:c>
      <x:c r="W1797" s="93" t="n">
        <x:f>IF(V1797="Returned",0,T1797-U1797)</x:f>
        <x:v>138</x:v>
      </x:c>
      <x:c r="X1797" s="93" t="n">
        <x:f>IF(V1797="Returned",Q1797*R1797*10%,Q1797*R1797)</x:f>
        <x:v>72</x:v>
      </x:c>
      <x:c r="Y1797" s="93" t="n">
        <x:f>W1797-X1797</x:f>
        <x:v>66</x:v>
      </x:c>
      <x:c r="Z1797" s="94" t="n">
        <x:f>IFERROR(Y1797/W1797,0)</x:f>
        <x:v>0.4782608695652174</x:v>
      </x:c>
      <x:c r="AA1797" s="84" t="str">
        <x:f>PROPER(TRIM('Raw Sales'!M1797))</x:f>
        <x:v>Debit Card</x:v>
      </x:c>
      <x:c r="AB1797" s="84" t="str">
        <x:f>PROPER(TRIM('Raw Sales'!N1797))</x:f>
        <x:v>Mia Chen</x:v>
      </x:c>
      <x:c r="AC1797" s="85" t="n">
        <x:f>'Raw Sales'!O1797</x:f>
        <x:v>45880</x:v>
      </x:c>
      <x:c r="AD1797" s="84" t="n">
        <x:f>AC1797-B1797</x:f>
        <x:v>3</x:v>
      </x:c>
      <x:c r="AE1797" s="84" t="str">
        <x:f>IF(COUNTIF($A$5:A1797,A1797)&gt;1,"Duplicate","Keep")</x:f>
        <x:v>Keep</x:v>
      </x:c>
      <x:c r="AF1797" s="84" t="str">
        <x:f>IF(OR(R1797&lt;=0,AC1797&lt;B1797,H1797="Unknown",M1797="Unknown Product"),"Review","Valid")</x:f>
        <x:v>Valid</x:v>
      </x:c>
      <x:c r="AG1797" s="84" t="n">
        <x:f>IF(AND(AE1797="Keep",AF1797="Valid"),1,0)</x:f>
        <x:v>1</x:v>
      </x:c>
      <x:c r="AH1797" s="84" t="n">
        <x:f>IF(AND(AG1797=1,OR('Dashboard'!$B$4="All",I1797='Dashboard'!$B$4),OR('Dashboard'!$E$4="All",N1797='Dashboard'!$E$4),OR('Dashboard'!$H$4="All",K1797='Dashboard'!$H$4),OR('Dashboard'!$K$4="All",C1797='Dashboard'!$K$4)),1,0)</x:f>
        <x:v>1</x:v>
      </x:c>
      <x:c r="AI1797" s="84" t="n">
        <x:f>IF(AND(AG1797=1,OR('Dashboard'!$B$4="All",I1797='Dashboard'!$B$4),OR('Dashboard'!$E$4="All",N1797='Dashboard'!$E$4),OR('Dashboard'!$H$4="All",K1797='Dashboard'!$H$4)),1,0)</x:f>
        <x:v>1</x:v>
      </x:c>
    </x:row>
    <x:row r="1798">
      <x:c r="A1798" s="84" t="str">
        <x:f>'Raw Sales'!A1798</x:f>
        <x:v>ORD-2025-01236</x:v>
      </x:c>
      <x:c r="B1798" s="85" t="n">
        <x:f>'Raw Sales'!B1798</x:f>
        <x:v>45877</x:v>
      </x:c>
      <x:c r="C1798" s="84" t="n">
        <x:f>YEAR(B1798)</x:f>
        <x:v>2025</x:v>
      </x:c>
      <x:c r="D1798" s="91" t="n">
        <x:f>DATE(YEAR(B1798),MONTH(B1798),1)</x:f>
        <x:v>45870</x:v>
      </x:c>
      <x:c r="E1798" s="84" t="str">
        <x:f>TEXT(B1798,"mmm")</x:f>
        <x:v>Aug</x:v>
      </x:c>
      <x:c r="F1798" s="84" t="str">
        <x:f>'Raw Sales'!C1798</x:f>
        <x:v>CUST-0488</x:v>
      </x:c>
      <x:c r="G1798" s="84" t="str">
        <x:f>PROPER(TRIM('Raw Sales'!D1798))</x:f>
        <x:v>Nathan Moore</x:v>
      </x:c>
      <x:c r="H1798" s="84" t="str">
        <x:f>IF(TRIM('Raw Sales'!E1798)="","Unknown",PROPER(TRIM('Raw Sales'!E1798)))</x:f>
        <x:v>Consumer</x:v>
      </x:c>
      <x:c r="I1798" s="84" t="str">
        <x:f>PROPER(TRIM('Raw Sales'!F1798))</x:f>
        <x:v>Northeast</x:v>
      </x:c>
      <x:c r="J1798" s="84" t="str">
        <x:f>PROPER(TRIM('Raw Sales'!G1798))</x:f>
        <x:v>New York</x:v>
      </x:c>
      <x:c r="K1798" s="84" t="str">
        <x:f>PROPER(TRIM('Raw Sales'!H1798))</x:f>
        <x:v>Retail Store</x:v>
      </x:c>
      <x:c r="L1798" s="84" t="str">
        <x:f>'Raw Sales'!I1798</x:f>
        <x:v>HOME-003</x:v>
      </x:c>
      <x:c r="M1798" s="84" t="str">
        <x:f>IFERROR(VLOOKUP(L1798,'Reference Data'!$A$5:$F$40,2,FALSE),"Unknown Product")</x:f>
        <x:v>Countertop Blender</x:v>
      </x:c>
      <x:c r="N1798" s="84" t="str">
        <x:f>IFERROR(VLOOKUP(L1798,'Reference Data'!$A$5:$F$40,3,FALSE),"Unknown")</x:f>
        <x:v>Home &amp; Kitchen</x:v>
      </x:c>
      <x:c r="O1798" s="84" t="str">
        <x:f>IFERROR(VLOOKUP(L1798,'Reference Data'!$A$5:$F$40,4,FALSE),"Unknown")</x:f>
        <x:v>Small Appliances</x:v>
      </x:c>
      <x:c r="P1798" s="92" t="n">
        <x:f>IFERROR(VLOOKUP(L1798,'Reference Data'!$A$5:$F$40,5,FALSE),0)</x:f>
        <x:v>89</x:v>
      </x:c>
      <x:c r="Q1798" s="92" t="n">
        <x:f>IFERROR(VLOOKUP(L1798,'Reference Data'!$A$5:$F$40,6,FALSE),0)</x:f>
        <x:v>46</x:v>
      </x:c>
      <x:c r="R1798" s="84" t="n">
        <x:f>'Raw Sales'!J1798</x:f>
        <x:v>1</x:v>
      </x:c>
      <x:c r="S1798" s="87" t="n">
        <x:f>'Raw Sales'!K1798</x:f>
        <x:v>0</x:v>
      </x:c>
      <x:c r="T1798" s="93" t="n">
        <x:f>P1798*R1798</x:f>
        <x:v>89</x:v>
      </x:c>
      <x:c r="U1798" s="93" t="n">
        <x:f>T1798*S1798</x:f>
        <x:v>0</x:v>
      </x:c>
      <x:c r="V1798" s="93" t="str">
        <x:f>PROPER(TRIM('Raw Sales'!L1798))</x:f>
        <x:v>Completed</x:v>
      </x:c>
      <x:c r="W1798" s="93" t="n">
        <x:f>IF(V1798="Returned",0,T1798-U1798)</x:f>
        <x:v>89</x:v>
      </x:c>
      <x:c r="X1798" s="93" t="n">
        <x:f>IF(V1798="Returned",Q1798*R1798*10%,Q1798*R1798)</x:f>
        <x:v>46</x:v>
      </x:c>
      <x:c r="Y1798" s="93" t="n">
        <x:f>W1798-X1798</x:f>
        <x:v>43</x:v>
      </x:c>
      <x:c r="Z1798" s="94" t="n">
        <x:f>IFERROR(Y1798/W1798,0)</x:f>
        <x:v>0.48314606741573035</x:v>
      </x:c>
      <x:c r="AA1798" s="84" t="str">
        <x:f>PROPER(TRIM('Raw Sales'!M1798))</x:f>
        <x:v>Mobile Wallet</x:v>
      </x:c>
      <x:c r="AB1798" s="84" t="str">
        <x:f>PROPER(TRIM('Raw Sales'!N1798))</x:f>
        <x:v>Ethan Cole</x:v>
      </x:c>
      <x:c r="AC1798" s="85" t="n">
        <x:f>'Raw Sales'!O1798</x:f>
        <x:v>45877</x:v>
      </x:c>
      <x:c r="AD1798" s="84" t="n">
        <x:f>AC1798-B1798</x:f>
        <x:v>0</x:v>
      </x:c>
      <x:c r="AE1798" s="84" t="str">
        <x:f>IF(COUNTIF($A$5:A1798,A1798)&gt;1,"Duplicate","Keep")</x:f>
        <x:v>Keep</x:v>
      </x:c>
      <x:c r="AF1798" s="84" t="str">
        <x:f>IF(OR(R1798&lt;=0,AC1798&lt;B1798,H1798="Unknown",M1798="Unknown Product"),"Review","Valid")</x:f>
        <x:v>Valid</x:v>
      </x:c>
      <x:c r="AG1798" s="84" t="n">
        <x:f>IF(AND(AE1798="Keep",AF1798="Valid"),1,0)</x:f>
        <x:v>1</x:v>
      </x:c>
      <x:c r="AH1798" s="84" t="n">
        <x:f>IF(AND(AG1798=1,OR('Dashboard'!$B$4="All",I1798='Dashboard'!$B$4),OR('Dashboard'!$E$4="All",N1798='Dashboard'!$E$4),OR('Dashboard'!$H$4="All",K1798='Dashboard'!$H$4),OR('Dashboard'!$K$4="All",C1798='Dashboard'!$K$4)),1,0)</x:f>
        <x:v>1</x:v>
      </x:c>
      <x:c r="AI1798" s="84" t="n">
        <x:f>IF(AND(AG1798=1,OR('Dashboard'!$B$4="All",I1798='Dashboard'!$B$4),OR('Dashboard'!$E$4="All",N1798='Dashboard'!$E$4),OR('Dashboard'!$H$4="All",K1798='Dashboard'!$H$4)),1,0)</x:f>
        <x:v>1</x:v>
      </x:c>
    </x:row>
    <x:row r="1799">
      <x:c r="A1799" s="84" t="str">
        <x:f>'Raw Sales'!A1799</x:f>
        <x:v>ORD-2025-00617</x:v>
      </x:c>
      <x:c r="B1799" s="85" t="n">
        <x:f>'Raw Sales'!B1799</x:f>
        <x:v>45878</x:v>
      </x:c>
      <x:c r="C1799" s="84" t="n">
        <x:f>YEAR(B1799)</x:f>
        <x:v>2025</x:v>
      </x:c>
      <x:c r="D1799" s="91" t="n">
        <x:f>DATE(YEAR(B1799),MONTH(B1799),1)</x:f>
        <x:v>45870</x:v>
      </x:c>
      <x:c r="E1799" s="84" t="str">
        <x:f>TEXT(B1799,"mmm")</x:f>
        <x:v>Aug</x:v>
      </x:c>
      <x:c r="F1799" s="84" t="str">
        <x:f>'Raw Sales'!C1799</x:f>
        <x:v>CUST-0052</x:v>
      </x:c>
      <x:c r="G1799" s="84" t="str">
        <x:f>PROPER(TRIM('Raw Sales'!D1799))</x:f>
        <x:v>Elias Adams</x:v>
      </x:c>
      <x:c r="H1799" s="84" t="str">
        <x:f>IF(TRIM('Raw Sales'!E1799)="","Unknown",PROPER(TRIM('Raw Sales'!E1799)))</x:f>
        <x:v>Consumer</x:v>
      </x:c>
      <x:c r="I1799" s="84" t="str">
        <x:f>PROPER(TRIM('Raw Sales'!F1799))</x:f>
        <x:v>Southeast</x:v>
      </x:c>
      <x:c r="J1799" s="84" t="str">
        <x:f>PROPER(TRIM('Raw Sales'!G1799))</x:f>
        <x:v>Atlanta</x:v>
      </x:c>
      <x:c r="K1799" s="84" t="str">
        <x:f>PROPER(TRIM('Raw Sales'!H1799))</x:f>
        <x:v>Retail Store</x:v>
      </x:c>
      <x:c r="L1799" s="84" t="str">
        <x:f>'Raw Sales'!I1799</x:f>
        <x:v>HOME-005</x:v>
      </x:c>
      <x:c r="M1799" s="84" t="str">
        <x:f>IFERROR(VLOOKUP(L1799,'Reference Data'!$A$5:$F$40,2,FALSE),"Unknown Product")</x:f>
        <x:v>Cordless Vacuum</x:v>
      </x:c>
      <x:c r="N1799" s="84" t="str">
        <x:f>IFERROR(VLOOKUP(L1799,'Reference Data'!$A$5:$F$40,3,FALSE),"Unknown")</x:f>
        <x:v>Home &amp; Kitchen</x:v>
      </x:c>
      <x:c r="O1799" s="84" t="str">
        <x:f>IFERROR(VLOOKUP(L1799,'Reference Data'!$A$5:$F$40,4,FALSE),"Unknown")</x:f>
        <x:v>Cleaning</x:v>
      </x:c>
      <x:c r="P1799" s="92" t="n">
        <x:f>IFERROR(VLOOKUP(L1799,'Reference Data'!$A$5:$F$40,5,FALSE),0)</x:f>
        <x:v>179</x:v>
      </x:c>
      <x:c r="Q1799" s="92" t="n">
        <x:f>IFERROR(VLOOKUP(L1799,'Reference Data'!$A$5:$F$40,6,FALSE),0)</x:f>
        <x:v>102</x:v>
      </x:c>
      <x:c r="R1799" s="84" t="n">
        <x:f>'Raw Sales'!J1799</x:f>
        <x:v>1</x:v>
      </x:c>
      <x:c r="S1799" s="87" t="n">
        <x:f>'Raw Sales'!K1799</x:f>
        <x:v>0.1</x:v>
      </x:c>
      <x:c r="T1799" s="93" t="n">
        <x:f>P1799*R1799</x:f>
        <x:v>179</x:v>
      </x:c>
      <x:c r="U1799" s="93" t="n">
        <x:f>T1799*S1799</x:f>
        <x:v>17.900000000000002</x:v>
      </x:c>
      <x:c r="V1799" s="93" t="str">
        <x:f>PROPER(TRIM('Raw Sales'!L1799))</x:f>
        <x:v>Completed</x:v>
      </x:c>
      <x:c r="W1799" s="93" t="n">
        <x:f>IF(V1799="Returned",0,T1799-U1799)</x:f>
        <x:v>161.1</x:v>
      </x:c>
      <x:c r="X1799" s="93" t="n">
        <x:f>IF(V1799="Returned",Q1799*R1799*10%,Q1799*R1799)</x:f>
        <x:v>102</x:v>
      </x:c>
      <x:c r="Y1799" s="93" t="n">
        <x:f>W1799-X1799</x:f>
        <x:v>59.099999999999994</x:v>
      </x:c>
      <x:c r="Z1799" s="94" t="n">
        <x:f>IFERROR(Y1799/W1799,0)</x:f>
        <x:v>0.36685288640595903</x:v>
      </x:c>
      <x:c r="AA1799" s="84" t="str">
        <x:f>PROPER(TRIM('Raw Sales'!M1799))</x:f>
        <x:v>Credit Card</x:v>
      </x:c>
      <x:c r="AB1799" s="84" t="str">
        <x:f>PROPER(TRIM('Raw Sales'!N1799))</x:f>
        <x:v>Noah Reed</x:v>
      </x:c>
      <x:c r="AC1799" s="85" t="n">
        <x:f>'Raw Sales'!O1799</x:f>
        <x:v>45878</x:v>
      </x:c>
      <x:c r="AD1799" s="84" t="n">
        <x:f>AC1799-B1799</x:f>
        <x:v>0</x:v>
      </x:c>
      <x:c r="AE1799" s="84" t="str">
        <x:f>IF(COUNTIF($A$5:A1799,A1799)&gt;1,"Duplicate","Keep")</x:f>
        <x:v>Keep</x:v>
      </x:c>
      <x:c r="AF1799" s="84" t="str">
        <x:f>IF(OR(R1799&lt;=0,AC1799&lt;B1799,H1799="Unknown",M1799="Unknown Product"),"Review","Valid")</x:f>
        <x:v>Valid</x:v>
      </x:c>
      <x:c r="AG1799" s="84" t="n">
        <x:f>IF(AND(AE1799="Keep",AF1799="Valid"),1,0)</x:f>
        <x:v>1</x:v>
      </x:c>
      <x:c r="AH1799" s="84" t="n">
        <x:f>IF(AND(AG1799=1,OR('Dashboard'!$B$4="All",I1799='Dashboard'!$B$4),OR('Dashboard'!$E$4="All",N1799='Dashboard'!$E$4),OR('Dashboard'!$H$4="All",K1799='Dashboard'!$H$4),OR('Dashboard'!$K$4="All",C1799='Dashboard'!$K$4)),1,0)</x:f>
        <x:v>1</x:v>
      </x:c>
      <x:c r="AI1799" s="84" t="n">
        <x:f>IF(AND(AG1799=1,OR('Dashboard'!$B$4="All",I1799='Dashboard'!$B$4),OR('Dashboard'!$E$4="All",N1799='Dashboard'!$E$4),OR('Dashboard'!$H$4="All",K1799='Dashboard'!$H$4)),1,0)</x:f>
        <x:v>1</x:v>
      </x:c>
    </x:row>
    <x:row r="1800">
      <x:c r="A1800" s="84" t="str">
        <x:f>'Raw Sales'!A1800</x:f>
        <x:v>ORD-2025-00716</x:v>
      </x:c>
      <x:c r="B1800" s="85" t="n">
        <x:f>'Raw Sales'!B1800</x:f>
        <x:v>45878</x:v>
      </x:c>
      <x:c r="C1800" s="84" t="n">
        <x:f>YEAR(B1800)</x:f>
        <x:v>2025</x:v>
      </x:c>
      <x:c r="D1800" s="91" t="n">
        <x:f>DATE(YEAR(B1800),MONTH(B1800),1)</x:f>
        <x:v>45870</x:v>
      </x:c>
      <x:c r="E1800" s="84" t="str">
        <x:f>TEXT(B1800,"mmm")</x:f>
        <x:v>Aug</x:v>
      </x:c>
      <x:c r="F1800" s="84" t="str">
        <x:f>'Raw Sales'!C1800</x:f>
        <x:v>CUST-0185</x:v>
      </x:c>
      <x:c r="G1800" s="84" t="str">
        <x:f>PROPER(TRIM('Raw Sales'!D1800))</x:f>
        <x:v>Caleb Foster</x:v>
      </x:c>
      <x:c r="H1800" s="84" t="str">
        <x:f>IF(TRIM('Raw Sales'!E1800)="","Unknown",PROPER(TRIM('Raw Sales'!E1800)))</x:f>
        <x:v>Corporate</x:v>
      </x:c>
      <x:c r="I1800" s="84" t="str">
        <x:f>PROPER(TRIM('Raw Sales'!F1800))</x:f>
        <x:v>Midwest</x:v>
      </x:c>
      <x:c r="J1800" s="84" t="str">
        <x:f>PROPER(TRIM('Raw Sales'!G1800))</x:f>
        <x:v>Minneapolis</x:v>
      </x:c>
      <x:c r="K1800" s="84" t="str">
        <x:f>PROPER(TRIM('Raw Sales'!H1800))</x:f>
        <x:v>Retail Store</x:v>
      </x:c>
      <x:c r="L1800" s="84" t="str">
        <x:f>'Raw Sales'!I1800</x:f>
        <x:v>CARE-002</x:v>
      </x:c>
      <x:c r="M1800" s="84" t="str">
        <x:f>IFERROR(VLOOKUP(L1800,'Reference Data'!$A$5:$F$40,2,FALSE),"Unknown Product")</x:f>
        <x:v>Rechargeable Trimmer</x:v>
      </x:c>
      <x:c r="N1800" s="84" t="str">
        <x:f>IFERROR(VLOOKUP(L1800,'Reference Data'!$A$5:$F$40,3,FALSE),"Unknown")</x:f>
        <x:v>Personal Care</x:v>
      </x:c>
      <x:c r="O1800" s="84" t="str">
        <x:f>IFERROR(VLOOKUP(L1800,'Reference Data'!$A$5:$F$40,4,FALSE),"Unknown")</x:f>
        <x:v>Grooming</x:v>
      </x:c>
      <x:c r="P1800" s="92" t="n">
        <x:f>IFERROR(VLOOKUP(L1800,'Reference Data'!$A$5:$F$40,5,FALSE),0)</x:f>
        <x:v>45</x:v>
      </x:c>
      <x:c r="Q1800" s="92" t="n">
        <x:f>IFERROR(VLOOKUP(L1800,'Reference Data'!$A$5:$F$40,6,FALSE),0)</x:f>
        <x:v>19</x:v>
      </x:c>
      <x:c r="R1800" s="84" t="n">
        <x:f>'Raw Sales'!J1800</x:f>
        <x:v>5</x:v>
      </x:c>
      <x:c r="S1800" s="87" t="n">
        <x:f>'Raw Sales'!K1800</x:f>
        <x:v>0</x:v>
      </x:c>
      <x:c r="T1800" s="93" t="n">
        <x:f>P1800*R1800</x:f>
        <x:v>225</x:v>
      </x:c>
      <x:c r="U1800" s="93" t="n">
        <x:f>T1800*S1800</x:f>
        <x:v>0</x:v>
      </x:c>
      <x:c r="V1800" s="93" t="str">
        <x:f>PROPER(TRIM('Raw Sales'!L1800))</x:f>
        <x:v>Completed</x:v>
      </x:c>
      <x:c r="W1800" s="93" t="n">
        <x:f>IF(V1800="Returned",0,T1800-U1800)</x:f>
        <x:v>225</x:v>
      </x:c>
      <x:c r="X1800" s="93" t="n">
        <x:f>IF(V1800="Returned",Q1800*R1800*10%,Q1800*R1800)</x:f>
        <x:v>95</x:v>
      </x:c>
      <x:c r="Y1800" s="93" t="n">
        <x:f>W1800-X1800</x:f>
        <x:v>130</x:v>
      </x:c>
      <x:c r="Z1800" s="94" t="n">
        <x:f>IFERROR(Y1800/W1800,0)</x:f>
        <x:v>0.5777777777777777</x:v>
      </x:c>
      <x:c r="AA1800" s="84" t="str">
        <x:f>PROPER(TRIM('Raw Sales'!M1800))</x:f>
        <x:v>Credit Card</x:v>
      </x:c>
      <x:c r="AB1800" s="84" t="str">
        <x:f>PROPER(TRIM('Raw Sales'!N1800))</x:f>
        <x:v>Lucas Grant</x:v>
      </x:c>
      <x:c r="AC1800" s="85" t="n">
        <x:f>'Raw Sales'!O1800</x:f>
        <x:v>45879</x:v>
      </x:c>
      <x:c r="AD1800" s="84" t="n">
        <x:f>AC1800-B1800</x:f>
        <x:v>1</x:v>
      </x:c>
      <x:c r="AE1800" s="84" t="str">
        <x:f>IF(COUNTIF($A$5:A1800,A1800)&gt;1,"Duplicate","Keep")</x:f>
        <x:v>Keep</x:v>
      </x:c>
      <x:c r="AF1800" s="84" t="str">
        <x:f>IF(OR(R1800&lt;=0,AC1800&lt;B1800,H1800="Unknown",M1800="Unknown Product"),"Review","Valid")</x:f>
        <x:v>Valid</x:v>
      </x:c>
      <x:c r="AG1800" s="84" t="n">
        <x:f>IF(AND(AE1800="Keep",AF1800="Valid"),1,0)</x:f>
        <x:v>1</x:v>
      </x:c>
      <x:c r="AH1800" s="84" t="n">
        <x:f>IF(AND(AG1800=1,OR('Dashboard'!$B$4="All",I1800='Dashboard'!$B$4),OR('Dashboard'!$E$4="All",N1800='Dashboard'!$E$4),OR('Dashboard'!$H$4="All",K1800='Dashboard'!$H$4),OR('Dashboard'!$K$4="All",C1800='Dashboard'!$K$4)),1,0)</x:f>
        <x:v>1</x:v>
      </x:c>
      <x:c r="AI1800" s="84" t="n">
        <x:f>IF(AND(AG1800=1,OR('Dashboard'!$B$4="All",I1800='Dashboard'!$B$4),OR('Dashboard'!$E$4="All",N1800='Dashboard'!$E$4),OR('Dashboard'!$H$4="All",K1800='Dashboard'!$H$4)),1,0)</x:f>
        <x:v>1</x:v>
      </x:c>
    </x:row>
    <x:row r="1801">
      <x:c r="A1801" s="84" t="str">
        <x:f>'Raw Sales'!A1801</x:f>
        <x:v>ORD-2025-00857</x:v>
      </x:c>
      <x:c r="B1801" s="85" t="n">
        <x:f>'Raw Sales'!B1801</x:f>
        <x:v>45878</x:v>
      </x:c>
      <x:c r="C1801" s="84" t="n">
        <x:f>YEAR(B1801)</x:f>
        <x:v>2025</x:v>
      </x:c>
      <x:c r="D1801" s="91" t="n">
        <x:f>DATE(YEAR(B1801),MONTH(B1801),1)</x:f>
        <x:v>45870</x:v>
      </x:c>
      <x:c r="E1801" s="84" t="str">
        <x:f>TEXT(B1801,"mmm")</x:f>
        <x:v>Aug</x:v>
      </x:c>
      <x:c r="F1801" s="84" t="str">
        <x:f>'Raw Sales'!C1801</x:f>
        <x:v>CUST-0495</x:v>
      </x:c>
      <x:c r="G1801" s="84" t="str">
        <x:f>PROPER(TRIM('Raw Sales'!D1801))</x:f>
        <x:v>Victoria Walker</x:v>
      </x:c>
      <x:c r="H1801" s="84" t="str">
        <x:f>IF(TRIM('Raw Sales'!E1801)="","Unknown",PROPER(TRIM('Raw Sales'!E1801)))</x:f>
        <x:v>Consumer</x:v>
      </x:c>
      <x:c r="I1801" s="84" t="str">
        <x:f>PROPER(TRIM('Raw Sales'!F1801))</x:f>
        <x:v>West</x:v>
      </x:c>
      <x:c r="J1801" s="84" t="str">
        <x:f>PROPER(TRIM('Raw Sales'!G1801))</x:f>
        <x:v>Denver</x:v>
      </x:c>
      <x:c r="K1801" s="84" t="str">
        <x:f>PROPER(TRIM('Raw Sales'!H1801))</x:f>
        <x:v>Retail Store</x:v>
      </x:c>
      <x:c r="L1801" s="84" t="str">
        <x:f>'Raw Sales'!I1801</x:f>
        <x:v>ACCS-005</x:v>
      </x:c>
      <x:c r="M1801" s="84" t="str">
        <x:f>IFERROR(VLOOKUP(L1801,'Reference Data'!$A$5:$F$40,2,FALSE),"Unknown Product")</x:f>
        <x:v>Protective Phone Case</x:v>
      </x:c>
      <x:c r="N1801" s="84" t="str">
        <x:f>IFERROR(VLOOKUP(L1801,'Reference Data'!$A$5:$F$40,3,FALSE),"Unknown")</x:f>
        <x:v>Accessories</x:v>
      </x:c>
      <x:c r="O1801" s="84" t="str">
        <x:f>IFERROR(VLOOKUP(L1801,'Reference Data'!$A$5:$F$40,4,FALSE),"Unknown")</x:f>
        <x:v>Mobile Accessories</x:v>
      </x:c>
      <x:c r="P1801" s="92" t="n">
        <x:f>IFERROR(VLOOKUP(L1801,'Reference Data'!$A$5:$F$40,5,FALSE),0)</x:f>
        <x:v>24</x:v>
      </x:c>
      <x:c r="Q1801" s="92" t="n">
        <x:f>IFERROR(VLOOKUP(L1801,'Reference Data'!$A$5:$F$40,6,FALSE),0)</x:f>
        <x:v>5</x:v>
      </x:c>
      <x:c r="R1801" s="84" t="n">
        <x:f>'Raw Sales'!J1801</x:f>
        <x:v>1</x:v>
      </x:c>
      <x:c r="S1801" s="87" t="n">
        <x:f>'Raw Sales'!K1801</x:f>
        <x:v>0.15</x:v>
      </x:c>
      <x:c r="T1801" s="93" t="n">
        <x:f>P1801*R1801</x:f>
        <x:v>24</x:v>
      </x:c>
      <x:c r="U1801" s="93" t="n">
        <x:f>T1801*S1801</x:f>
        <x:v>3.5999999999999996</x:v>
      </x:c>
      <x:c r="V1801" s="93" t="str">
        <x:f>PROPER(TRIM('Raw Sales'!L1801))</x:f>
        <x:v>Completed</x:v>
      </x:c>
      <x:c r="W1801" s="93" t="n">
        <x:f>IF(V1801="Returned",0,T1801-U1801)</x:f>
        <x:v>20.4</x:v>
      </x:c>
      <x:c r="X1801" s="93" t="n">
        <x:f>IF(V1801="Returned",Q1801*R1801*10%,Q1801*R1801)</x:f>
        <x:v>5</x:v>
      </x:c>
      <x:c r="Y1801" s="93" t="n">
        <x:f>W1801-X1801</x:f>
        <x:v>15.399999999999999</x:v>
      </x:c>
      <x:c r="Z1801" s="94" t="n">
        <x:f>IFERROR(Y1801/W1801,0)</x:f>
        <x:v>0.7549019607843137</x:v>
      </x:c>
      <x:c r="AA1801" s="84" t="str">
        <x:f>PROPER(TRIM('Raw Sales'!M1801))</x:f>
        <x:v>Credit Card</x:v>
      </x:c>
      <x:c r="AB1801" s="84" t="str">
        <x:f>PROPER(TRIM('Raw Sales'!N1801))</x:f>
        <x:v>Mia Chen</x:v>
      </x:c>
      <x:c r="AC1801" s="85" t="n">
        <x:f>'Raw Sales'!O1801</x:f>
        <x:v>45878</x:v>
      </x:c>
      <x:c r="AD1801" s="84" t="n">
        <x:f>AC1801-B1801</x:f>
        <x:v>0</x:v>
      </x:c>
      <x:c r="AE1801" s="84" t="str">
        <x:f>IF(COUNTIF($A$5:A1801,A1801)&gt;1,"Duplicate","Keep")</x:f>
        <x:v>Keep</x:v>
      </x:c>
      <x:c r="AF1801" s="84" t="str">
        <x:f>IF(OR(R1801&lt;=0,AC1801&lt;B1801,H1801="Unknown",M1801="Unknown Product"),"Review","Valid")</x:f>
        <x:v>Valid</x:v>
      </x:c>
      <x:c r="AG1801" s="84" t="n">
        <x:f>IF(AND(AE1801="Keep",AF1801="Valid"),1,0)</x:f>
        <x:v>1</x:v>
      </x:c>
      <x:c r="AH1801" s="84" t="n">
        <x:f>IF(AND(AG1801=1,OR('Dashboard'!$B$4="All",I1801='Dashboard'!$B$4),OR('Dashboard'!$E$4="All",N1801='Dashboard'!$E$4),OR('Dashboard'!$H$4="All",K1801='Dashboard'!$H$4),OR('Dashboard'!$K$4="All",C1801='Dashboard'!$K$4)),1,0)</x:f>
        <x:v>1</x:v>
      </x:c>
      <x:c r="AI1801" s="84" t="n">
        <x:f>IF(AND(AG1801=1,OR('Dashboard'!$B$4="All",I1801='Dashboard'!$B$4),OR('Dashboard'!$E$4="All",N1801='Dashboard'!$E$4),OR('Dashboard'!$H$4="All",K1801='Dashboard'!$H$4)),1,0)</x:f>
        <x:v>1</x:v>
      </x:c>
    </x:row>
    <x:row r="1802">
      <x:c r="A1802" s="84" t="str">
        <x:f>'Raw Sales'!A1802</x:f>
        <x:v>ORD-2025-01793</x:v>
      </x:c>
      <x:c r="B1802" s="85" t="n">
        <x:f>'Raw Sales'!B1802</x:f>
        <x:v>45878</x:v>
      </x:c>
      <x:c r="C1802" s="84" t="n">
        <x:f>YEAR(B1802)</x:f>
        <x:v>2025</x:v>
      </x:c>
      <x:c r="D1802" s="91" t="n">
        <x:f>DATE(YEAR(B1802),MONTH(B1802),1)</x:f>
        <x:v>45870</x:v>
      </x:c>
      <x:c r="E1802" s="84" t="str">
        <x:f>TEXT(B1802,"mmm")</x:f>
        <x:v>Aug</x:v>
      </x:c>
      <x:c r="F1802" s="84" t="str">
        <x:f>'Raw Sales'!C1802</x:f>
        <x:v>CUST-0422</x:v>
      </x:c>
      <x:c r="G1802" s="84" t="str">
        <x:f>PROPER(TRIM('Raw Sales'!D1802))</x:f>
        <x:v>William Adams</x:v>
      </x:c>
      <x:c r="H1802" s="84" t="str">
        <x:f>IF(TRIM('Raw Sales'!E1802)="","Unknown",PROPER(TRIM('Raw Sales'!E1802)))</x:f>
        <x:v>Consumer</x:v>
      </x:c>
      <x:c r="I1802" s="84" t="str">
        <x:f>PROPER(TRIM('Raw Sales'!F1802))</x:f>
        <x:v>Midwest</x:v>
      </x:c>
      <x:c r="J1802" s="84" t="str">
        <x:f>PROPER(TRIM('Raw Sales'!G1802))</x:f>
        <x:v>Detroit</x:v>
      </x:c>
      <x:c r="K1802" s="84" t="str">
        <x:f>PROPER(TRIM('Raw Sales'!H1802))</x:f>
        <x:v>Online</x:v>
      </x:c>
      <x:c r="L1802" s="84" t="str">
        <x:f>'Raw Sales'!I1802</x:f>
        <x:v>FITN-005</x:v>
      </x:c>
      <x:c r="M1802" s="84" t="str">
        <x:f>IFERROR(VLOOKUP(L1802,'Reference Data'!$A$5:$F$40,2,FALSE),"Unknown Product")</x:f>
        <x:v>Sports Water Bottle</x:v>
      </x:c>
      <x:c r="N1802" s="84" t="str">
        <x:f>IFERROR(VLOOKUP(L1802,'Reference Data'!$A$5:$F$40,3,FALSE),"Unknown")</x:f>
        <x:v>Fitness</x:v>
      </x:c>
      <x:c r="O1802" s="84" t="str">
        <x:f>IFERROR(VLOOKUP(L1802,'Reference Data'!$A$5:$F$40,4,FALSE),"Unknown")</x:f>
        <x:v>Accessories</x:v>
      </x:c>
      <x:c r="P1802" s="92" t="n">
        <x:f>IFERROR(VLOOKUP(L1802,'Reference Data'!$A$5:$F$40,5,FALSE),0)</x:f>
        <x:v>22</x:v>
      </x:c>
      <x:c r="Q1802" s="92" t="n">
        <x:f>IFERROR(VLOOKUP(L1802,'Reference Data'!$A$5:$F$40,6,FALSE),0)</x:f>
        <x:v>7</x:v>
      </x:c>
      <x:c r="R1802" s="84" t="n">
        <x:f>'Raw Sales'!J1802</x:f>
        <x:v>1</x:v>
      </x:c>
      <x:c r="S1802" s="87" t="n">
        <x:f>'Raw Sales'!K1802</x:f>
        <x:v>0.05</x:v>
      </x:c>
      <x:c r="T1802" s="93" t="n">
        <x:f>P1802*R1802</x:f>
        <x:v>22</x:v>
      </x:c>
      <x:c r="U1802" s="93" t="n">
        <x:f>T1802*S1802</x:f>
        <x:v>1.1</x:v>
      </x:c>
      <x:c r="V1802" s="93" t="str">
        <x:f>PROPER(TRIM('Raw Sales'!L1802))</x:f>
        <x:v>Completed</x:v>
      </x:c>
      <x:c r="W1802" s="93" t="n">
        <x:f>IF(V1802="Returned",0,T1802-U1802)</x:f>
        <x:v>20.9</x:v>
      </x:c>
      <x:c r="X1802" s="93" t="n">
        <x:f>IF(V1802="Returned",Q1802*R1802*10%,Q1802*R1802)</x:f>
        <x:v>7</x:v>
      </x:c>
      <x:c r="Y1802" s="93" t="n">
        <x:f>W1802-X1802</x:f>
        <x:v>13.899999999999999</x:v>
      </x:c>
      <x:c r="Z1802" s="94" t="n">
        <x:f>IFERROR(Y1802/W1802,0)</x:f>
        <x:v>0.6650717703349283</x:v>
      </x:c>
      <x:c r="AA1802" s="84" t="str">
        <x:f>PROPER(TRIM('Raw Sales'!M1802))</x:f>
        <x:v>Credit Card</x:v>
      </x:c>
      <x:c r="AB1802" s="84" t="str">
        <x:f>PROPER(TRIM('Raw Sales'!N1802))</x:f>
        <x:v>Lucas Grant</x:v>
      </x:c>
      <x:c r="AC1802" s="85" t="n">
        <x:f>'Raw Sales'!O1802</x:f>
        <x:v>45883</x:v>
      </x:c>
      <x:c r="AD1802" s="84" t="n">
        <x:f>AC1802-B1802</x:f>
        <x:v>5</x:v>
      </x:c>
      <x:c r="AE1802" s="84" t="str">
        <x:f>IF(COUNTIF($A$5:A1802,A1802)&gt;1,"Duplicate","Keep")</x:f>
        <x:v>Keep</x:v>
      </x:c>
      <x:c r="AF1802" s="84" t="str">
        <x:f>IF(OR(R1802&lt;=0,AC1802&lt;B1802,H1802="Unknown",M1802="Unknown Product"),"Review","Valid")</x:f>
        <x:v>Valid</x:v>
      </x:c>
      <x:c r="AG1802" s="84" t="n">
        <x:f>IF(AND(AE1802="Keep",AF1802="Valid"),1,0)</x:f>
        <x:v>1</x:v>
      </x:c>
      <x:c r="AH1802" s="84" t="n">
        <x:f>IF(AND(AG1802=1,OR('Dashboard'!$B$4="All",I1802='Dashboard'!$B$4),OR('Dashboard'!$E$4="All",N1802='Dashboard'!$E$4),OR('Dashboard'!$H$4="All",K1802='Dashboard'!$H$4),OR('Dashboard'!$K$4="All",C1802='Dashboard'!$K$4)),1,0)</x:f>
        <x:v>1</x:v>
      </x:c>
      <x:c r="AI1802" s="84" t="n">
        <x:f>IF(AND(AG1802=1,OR('Dashboard'!$B$4="All",I1802='Dashboard'!$B$4),OR('Dashboard'!$E$4="All",N1802='Dashboard'!$E$4),OR('Dashboard'!$H$4="All",K1802='Dashboard'!$H$4)),1,0)</x:f>
        <x:v>1</x:v>
      </x:c>
    </x:row>
    <x:row r="1803">
      <x:c r="A1803" s="84" t="str">
        <x:f>'Raw Sales'!A1803</x:f>
        <x:v>ORD-2025-00384</x:v>
      </x:c>
      <x:c r="B1803" s="85" t="n">
        <x:f>'Raw Sales'!B1803</x:f>
        <x:v>45879</x:v>
      </x:c>
      <x:c r="C1803" s="84" t="n">
        <x:f>YEAR(B1803)</x:f>
        <x:v>2025</x:v>
      </x:c>
      <x:c r="D1803" s="91" t="n">
        <x:f>DATE(YEAR(B1803),MONTH(B1803),1)</x:f>
        <x:v>45870</x:v>
      </x:c>
      <x:c r="E1803" s="84" t="str">
        <x:f>TEXT(B1803,"mmm")</x:f>
        <x:v>Aug</x:v>
      </x:c>
      <x:c r="F1803" s="84" t="str">
        <x:f>'Raw Sales'!C1803</x:f>
        <x:v>CUST-0110</x:v>
      </x:c>
      <x:c r="G1803" s="84" t="str">
        <x:f>PROPER(TRIM('Raw Sales'!D1803))</x:f>
        <x:v>Chloe Hall</x:v>
      </x:c>
      <x:c r="H1803" s="84" t="str">
        <x:f>IF(TRIM('Raw Sales'!E1803)="","Unknown",PROPER(TRIM('Raw Sales'!E1803)))</x:f>
        <x:v>Corporate</x:v>
      </x:c>
      <x:c r="I1803" s="84" t="str">
        <x:f>PROPER(TRIM('Raw Sales'!F1803))</x:f>
        <x:v>Southeast</x:v>
      </x:c>
      <x:c r="J1803" s="84" t="str">
        <x:f>PROPER(TRIM('Raw Sales'!G1803))</x:f>
        <x:v>Atlanta</x:v>
      </x:c>
      <x:c r="K1803" s="84" t="str">
        <x:f>PROPER(TRIM('Raw Sales'!H1803))</x:f>
        <x:v>Retail Store</x:v>
      </x:c>
      <x:c r="L1803" s="84" t="str">
        <x:f>'Raw Sales'!I1803</x:f>
        <x:v>HOME-001</x:v>
      </x:c>
      <x:c r="M1803" s="84" t="str">
        <x:f>IFERROR(VLOOKUP(L1803,'Reference Data'!$A$5:$F$40,2,FALSE),"Unknown Product")</x:f>
        <x:v>Air Fryer</x:v>
      </x:c>
      <x:c r="N1803" s="84" t="str">
        <x:f>IFERROR(VLOOKUP(L1803,'Reference Data'!$A$5:$F$40,3,FALSE),"Unknown")</x:f>
        <x:v>Home &amp; Kitchen</x:v>
      </x:c>
      <x:c r="O1803" s="84" t="str">
        <x:f>IFERROR(VLOOKUP(L1803,'Reference Data'!$A$5:$F$40,4,FALSE),"Unknown")</x:f>
        <x:v>Small Appliances</x:v>
      </x:c>
      <x:c r="P1803" s="92" t="n">
        <x:f>IFERROR(VLOOKUP(L1803,'Reference Data'!$A$5:$F$40,5,FALSE),0)</x:f>
        <x:v>119</x:v>
      </x:c>
      <x:c r="Q1803" s="92" t="n">
        <x:f>IFERROR(VLOOKUP(L1803,'Reference Data'!$A$5:$F$40,6,FALSE),0)</x:f>
        <x:v>68</x:v>
      </x:c>
      <x:c r="R1803" s="84" t="n">
        <x:f>'Raw Sales'!J1803</x:f>
        <x:v>8</x:v>
      </x:c>
      <x:c r="S1803" s="87" t="n">
        <x:f>'Raw Sales'!K1803</x:f>
        <x:v>0.05</x:v>
      </x:c>
      <x:c r="T1803" s="93" t="n">
        <x:f>P1803*R1803</x:f>
        <x:v>952</x:v>
      </x:c>
      <x:c r="U1803" s="93" t="n">
        <x:f>T1803*S1803</x:f>
        <x:v>47.6</x:v>
      </x:c>
      <x:c r="V1803" s="93" t="str">
        <x:f>PROPER(TRIM('Raw Sales'!L1803))</x:f>
        <x:v>Completed</x:v>
      </x:c>
      <x:c r="W1803" s="93" t="n">
        <x:f>IF(V1803="Returned",0,T1803-U1803)</x:f>
        <x:v>904.4</x:v>
      </x:c>
      <x:c r="X1803" s="93" t="n">
        <x:f>IF(V1803="Returned",Q1803*R1803*10%,Q1803*R1803)</x:f>
        <x:v>544</x:v>
      </x:c>
      <x:c r="Y1803" s="93" t="n">
        <x:f>W1803-X1803</x:f>
        <x:v>360.4</x:v>
      </x:c>
      <x:c r="Z1803" s="94" t="n">
        <x:f>IFERROR(Y1803/W1803,0)</x:f>
        <x:v>0.39849624060150374</x:v>
      </x:c>
      <x:c r="AA1803" s="84" t="str">
        <x:f>PROPER(TRIM('Raw Sales'!M1803))</x:f>
        <x:v>Debit Card</x:v>
      </x:c>
      <x:c r="AB1803" s="84" t="str">
        <x:f>PROPER(TRIM('Raw Sales'!N1803))</x:f>
        <x:v>Ava Mitchell</x:v>
      </x:c>
      <x:c r="AC1803" s="85" t="n">
        <x:f>'Raw Sales'!O1803</x:f>
        <x:v>45879</x:v>
      </x:c>
      <x:c r="AD1803" s="84" t="n">
        <x:f>AC1803-B1803</x:f>
        <x:v>0</x:v>
      </x:c>
      <x:c r="AE1803" s="84" t="str">
        <x:f>IF(COUNTIF($A$5:A1803,A1803)&gt;1,"Duplicate","Keep")</x:f>
        <x:v>Keep</x:v>
      </x:c>
      <x:c r="AF1803" s="84" t="str">
        <x:f>IF(OR(R1803&lt;=0,AC1803&lt;B1803,H1803="Unknown",M1803="Unknown Product"),"Review","Valid")</x:f>
        <x:v>Valid</x:v>
      </x:c>
      <x:c r="AG1803" s="84" t="n">
        <x:f>IF(AND(AE1803="Keep",AF1803="Valid"),1,0)</x:f>
        <x:v>1</x:v>
      </x:c>
      <x:c r="AH1803" s="84" t="n">
        <x:f>IF(AND(AG1803=1,OR('Dashboard'!$B$4="All",I1803='Dashboard'!$B$4),OR('Dashboard'!$E$4="All",N1803='Dashboard'!$E$4),OR('Dashboard'!$H$4="All",K1803='Dashboard'!$H$4),OR('Dashboard'!$K$4="All",C1803='Dashboard'!$K$4)),1,0)</x:f>
        <x:v>1</x:v>
      </x:c>
      <x:c r="AI1803" s="84" t="n">
        <x:f>IF(AND(AG1803=1,OR('Dashboard'!$B$4="All",I1803='Dashboard'!$B$4),OR('Dashboard'!$E$4="All",N1803='Dashboard'!$E$4),OR('Dashboard'!$H$4="All",K1803='Dashboard'!$H$4)),1,0)</x:f>
        <x:v>1</x:v>
      </x:c>
    </x:row>
    <x:row r="1804">
      <x:c r="A1804" s="84" t="str">
        <x:f>'Raw Sales'!A1804</x:f>
        <x:v>ORD-2025-00509</x:v>
      </x:c>
      <x:c r="B1804" s="85" t="n">
        <x:f>'Raw Sales'!B1804</x:f>
        <x:v>45879</x:v>
      </x:c>
      <x:c r="C1804" s="84" t="n">
        <x:f>YEAR(B1804)</x:f>
        <x:v>2025</x:v>
      </x:c>
      <x:c r="D1804" s="91" t="n">
        <x:f>DATE(YEAR(B1804),MONTH(B1804),1)</x:f>
        <x:v>45870</x:v>
      </x:c>
      <x:c r="E1804" s="84" t="str">
        <x:f>TEXT(B1804,"mmm")</x:f>
        <x:v>Aug</x:v>
      </x:c>
      <x:c r="F1804" s="84" t="str">
        <x:f>'Raw Sales'!C1804</x:f>
        <x:v>CUST-0577</x:v>
      </x:c>
      <x:c r="G1804" s="84" t="str">
        <x:f>PROPER(TRIM('Raw Sales'!D1804))</x:f>
        <x:v>Grace Young</x:v>
      </x:c>
      <x:c r="H1804" s="84" t="str">
        <x:f>IF(TRIM('Raw Sales'!E1804)="","Unknown",PROPER(TRIM('Raw Sales'!E1804)))</x:f>
        <x:v>Consumer</x:v>
      </x:c>
      <x:c r="I1804" s="84" t="str">
        <x:f>PROPER(TRIM('Raw Sales'!F1804))</x:f>
        <x:v>Southeast</x:v>
      </x:c>
      <x:c r="J1804" s="84" t="str">
        <x:f>PROPER(TRIM('Raw Sales'!G1804))</x:f>
        <x:v>Charlotte</x:v>
      </x:c>
      <x:c r="K1804" s="84" t="str">
        <x:f>PROPER(TRIM('Raw Sales'!H1804))</x:f>
        <x:v>Retail Store</x:v>
      </x:c>
      <x:c r="L1804" s="84" t="str">
        <x:f>'Raw Sales'!I1804</x:f>
        <x:v>ELEC-002</x:v>
      </x:c>
      <x:c r="M1804" s="84" t="str">
        <x:f>IFERROR(VLOOKUP(L1804,'Reference Data'!$A$5:$F$40,2,FALSE),"Unknown Product")</x:f>
        <x:v>Smartwatch</x:v>
      </x:c>
      <x:c r="N1804" s="84" t="str">
        <x:f>IFERROR(VLOOKUP(L1804,'Reference Data'!$A$5:$F$40,3,FALSE),"Unknown")</x:f>
        <x:v>Electronics</x:v>
      </x:c>
      <x:c r="O1804" s="84" t="str">
        <x:f>IFERROR(VLOOKUP(L1804,'Reference Data'!$A$5:$F$40,4,FALSE),"Unknown")</x:f>
        <x:v>Wearables</x:v>
      </x:c>
      <x:c r="P1804" s="92" t="n">
        <x:f>IFERROR(VLOOKUP(L1804,'Reference Data'!$A$5:$F$40,5,FALSE),0)</x:f>
        <x:v>159</x:v>
      </x:c>
      <x:c r="Q1804" s="92" t="n">
        <x:f>IFERROR(VLOOKUP(L1804,'Reference Data'!$A$5:$F$40,6,FALSE),0)</x:f>
        <x:v>92</x:v>
      </x:c>
      <x:c r="R1804" s="84" t="n">
        <x:f>'Raw Sales'!J1804</x:f>
        <x:v>1</x:v>
      </x:c>
      <x:c r="S1804" s="87" t="n">
        <x:f>'Raw Sales'!K1804</x:f>
        <x:v>0.1</x:v>
      </x:c>
      <x:c r="T1804" s="93" t="n">
        <x:f>P1804*R1804</x:f>
        <x:v>159</x:v>
      </x:c>
      <x:c r="U1804" s="93" t="n">
        <x:f>T1804*S1804</x:f>
        <x:v>15.9</x:v>
      </x:c>
      <x:c r="V1804" s="93" t="str">
        <x:f>PROPER(TRIM('Raw Sales'!L1804))</x:f>
        <x:v>Completed</x:v>
      </x:c>
      <x:c r="W1804" s="93" t="n">
        <x:f>IF(V1804="Returned",0,T1804-U1804)</x:f>
        <x:v>143.1</x:v>
      </x:c>
      <x:c r="X1804" s="93" t="n">
        <x:f>IF(V1804="Returned",Q1804*R1804*10%,Q1804*R1804)</x:f>
        <x:v>92</x:v>
      </x:c>
      <x:c r="Y1804" s="93" t="n">
        <x:f>W1804-X1804</x:f>
        <x:v>51.099999999999994</x:v>
      </x:c>
      <x:c r="Z1804" s="94" t="n">
        <x:f>IFERROR(Y1804/W1804,0)</x:f>
        <x:v>0.35709294199860236</x:v>
      </x:c>
      <x:c r="AA1804" s="84" t="str">
        <x:f>PROPER(TRIM('Raw Sales'!M1804))</x:f>
        <x:v>Debit Card</x:v>
      </x:c>
      <x:c r="AB1804" s="84" t="str">
        <x:f>PROPER(TRIM('Raw Sales'!N1804))</x:f>
        <x:v>Ava Mitchell</x:v>
      </x:c>
      <x:c r="AC1804" s="85" t="n">
        <x:f>'Raw Sales'!O1804</x:f>
        <x:v>45879</x:v>
      </x:c>
      <x:c r="AD1804" s="84" t="n">
        <x:f>AC1804-B1804</x:f>
        <x:v>0</x:v>
      </x:c>
      <x:c r="AE1804" s="84" t="str">
        <x:f>IF(COUNTIF($A$5:A1804,A1804)&gt;1,"Duplicate","Keep")</x:f>
        <x:v>Keep</x:v>
      </x:c>
      <x:c r="AF1804" s="84" t="str">
        <x:f>IF(OR(R1804&lt;=0,AC1804&lt;B1804,H1804="Unknown",M1804="Unknown Product"),"Review","Valid")</x:f>
        <x:v>Valid</x:v>
      </x:c>
      <x:c r="AG1804" s="84" t="n">
        <x:f>IF(AND(AE1804="Keep",AF1804="Valid"),1,0)</x:f>
        <x:v>1</x:v>
      </x:c>
      <x:c r="AH1804" s="84" t="n">
        <x:f>IF(AND(AG1804=1,OR('Dashboard'!$B$4="All",I1804='Dashboard'!$B$4),OR('Dashboard'!$E$4="All",N1804='Dashboard'!$E$4),OR('Dashboard'!$H$4="All",K1804='Dashboard'!$H$4),OR('Dashboard'!$K$4="All",C1804='Dashboard'!$K$4)),1,0)</x:f>
        <x:v>1</x:v>
      </x:c>
      <x:c r="AI1804" s="84" t="n">
        <x:f>IF(AND(AG1804=1,OR('Dashboard'!$B$4="All",I1804='Dashboard'!$B$4),OR('Dashboard'!$E$4="All",N1804='Dashboard'!$E$4),OR('Dashboard'!$H$4="All",K1804='Dashboard'!$H$4)),1,0)</x:f>
        <x:v>1</x:v>
      </x:c>
    </x:row>
    <x:row r="1805">
      <x:c r="A1805" s="84" t="str">
        <x:f>'Raw Sales'!A1805</x:f>
        <x:v>ORD-2025-00755</x:v>
      </x:c>
      <x:c r="B1805" s="85" t="n">
        <x:f>'Raw Sales'!B1805</x:f>
        <x:v>45879</x:v>
      </x:c>
      <x:c r="C1805" s="84" t="n">
        <x:f>YEAR(B1805)</x:f>
        <x:v>2025</x:v>
      </x:c>
      <x:c r="D1805" s="91" t="n">
        <x:f>DATE(YEAR(B1805),MONTH(B1805),1)</x:f>
        <x:v>45870</x:v>
      </x:c>
      <x:c r="E1805" s="84" t="str">
        <x:f>TEXT(B1805,"mmm")</x:f>
        <x:v>Aug</x:v>
      </x:c>
      <x:c r="F1805" s="84" t="str">
        <x:f>'Raw Sales'!C1805</x:f>
        <x:v>CUST-0566</x:v>
      </x:c>
      <x:c r="G1805" s="84" t="str">
        <x:f>PROPER(TRIM('Raw Sales'!D1805))</x:f>
        <x:v>Jonah Quinn</x:v>
      </x:c>
      <x:c r="H1805" s="84" t="str">
        <x:f>IF(TRIM('Raw Sales'!E1805)="","Unknown",PROPER(TRIM('Raw Sales'!E1805)))</x:f>
        <x:v>Small Business</x:v>
      </x:c>
      <x:c r="I1805" s="84" t="str">
        <x:f>PROPER(TRIM('Raw Sales'!F1805))</x:f>
        <x:v>Northeast</x:v>
      </x:c>
      <x:c r="J1805" s="84" t="str">
        <x:f>PROPER(TRIM('Raw Sales'!G1805))</x:f>
        <x:v>New York</x:v>
      </x:c>
      <x:c r="K1805" s="84" t="str">
        <x:f>PROPER(TRIM('Raw Sales'!H1805))</x:f>
        <x:v>Retail Store</x:v>
      </x:c>
      <x:c r="L1805" s="84" t="str">
        <x:f>'Raw Sales'!I1805</x:f>
        <x:v>OFFC-002</x:v>
      </x:c>
      <x:c r="M1805" s="84" t="str">
        <x:f>IFERROR(VLOOKUP(L1805,'Reference Data'!$A$5:$F$40,2,FALSE),"Unknown Product")</x:f>
        <x:v>Standing Desk</x:v>
      </x:c>
      <x:c r="N1805" s="84" t="str">
        <x:f>IFERROR(VLOOKUP(L1805,'Reference Data'!$A$5:$F$40,3,FALSE),"Unknown")</x:f>
        <x:v>Office</x:v>
      </x:c>
      <x:c r="O1805" s="84" t="str">
        <x:f>IFERROR(VLOOKUP(L1805,'Reference Data'!$A$5:$F$40,4,FALSE),"Unknown")</x:f>
        <x:v>Furniture</x:v>
      </x:c>
      <x:c r="P1805" s="92" t="n">
        <x:f>IFERROR(VLOOKUP(L1805,'Reference Data'!$A$5:$F$40,5,FALSE),0)</x:f>
        <x:v>399</x:v>
      </x:c>
      <x:c r="Q1805" s="92" t="n">
        <x:f>IFERROR(VLOOKUP(L1805,'Reference Data'!$A$5:$F$40,6,FALSE),0)</x:f>
        <x:v>235</x:v>
      </x:c>
      <x:c r="R1805" s="84" t="n">
        <x:f>'Raw Sales'!J1805</x:f>
        <x:v>1</x:v>
      </x:c>
      <x:c r="S1805" s="87" t="n">
        <x:f>'Raw Sales'!K1805</x:f>
        <x:v>0.05</x:v>
      </x:c>
      <x:c r="T1805" s="93" t="n">
        <x:f>P1805*R1805</x:f>
        <x:v>399</x:v>
      </x:c>
      <x:c r="U1805" s="93" t="n">
        <x:f>T1805*S1805</x:f>
        <x:v>19.950000000000003</x:v>
      </x:c>
      <x:c r="V1805" s="93" t="str">
        <x:f>PROPER(TRIM('Raw Sales'!L1805))</x:f>
        <x:v>Completed</x:v>
      </x:c>
      <x:c r="W1805" s="93" t="n">
        <x:f>IF(V1805="Returned",0,T1805-U1805)</x:f>
        <x:v>379.05</x:v>
      </x:c>
      <x:c r="X1805" s="93" t="n">
        <x:f>IF(V1805="Returned",Q1805*R1805*10%,Q1805*R1805)</x:f>
        <x:v>235</x:v>
      </x:c>
      <x:c r="Y1805" s="93" t="n">
        <x:f>W1805-X1805</x:f>
        <x:v>144.05</x:v>
      </x:c>
      <x:c r="Z1805" s="94" t="n">
        <x:f>IFERROR(Y1805/W1805,0)</x:f>
        <x:v>0.38002901991821664</x:v>
      </x:c>
      <x:c r="AA1805" s="84" t="str">
        <x:f>PROPER(TRIM('Raw Sales'!M1805))</x:f>
        <x:v>Credit Card</x:v>
      </x:c>
      <x:c r="AB1805" s="84" t="str">
        <x:f>PROPER(TRIM('Raw Sales'!N1805))</x:f>
        <x:v>Sofia Bennett</x:v>
      </x:c>
      <x:c r="AC1805" s="85" t="n">
        <x:f>'Raw Sales'!O1805</x:f>
        <x:v>45880</x:v>
      </x:c>
      <x:c r="AD1805" s="84" t="n">
        <x:f>AC1805-B1805</x:f>
        <x:v>1</x:v>
      </x:c>
      <x:c r="AE1805" s="84" t="str">
        <x:f>IF(COUNTIF($A$5:A1805,A1805)&gt;1,"Duplicate","Keep")</x:f>
        <x:v>Keep</x:v>
      </x:c>
      <x:c r="AF1805" s="84" t="str">
        <x:f>IF(OR(R1805&lt;=0,AC1805&lt;B1805,H1805="Unknown",M1805="Unknown Product"),"Review","Valid")</x:f>
        <x:v>Valid</x:v>
      </x:c>
      <x:c r="AG1805" s="84" t="n">
        <x:f>IF(AND(AE1805="Keep",AF1805="Valid"),1,0)</x:f>
        <x:v>1</x:v>
      </x:c>
      <x:c r="AH1805" s="84" t="n">
        <x:f>IF(AND(AG1805=1,OR('Dashboard'!$B$4="All",I1805='Dashboard'!$B$4),OR('Dashboard'!$E$4="All",N1805='Dashboard'!$E$4),OR('Dashboard'!$H$4="All",K1805='Dashboard'!$H$4),OR('Dashboard'!$K$4="All",C1805='Dashboard'!$K$4)),1,0)</x:f>
        <x:v>1</x:v>
      </x:c>
      <x:c r="AI1805" s="84" t="n">
        <x:f>IF(AND(AG1805=1,OR('Dashboard'!$B$4="All",I1805='Dashboard'!$B$4),OR('Dashboard'!$E$4="All",N1805='Dashboard'!$E$4),OR('Dashboard'!$H$4="All",K1805='Dashboard'!$H$4)),1,0)</x:f>
        <x:v>1</x:v>
      </x:c>
    </x:row>
    <x:row r="1806">
      <x:c r="A1806" s="84" t="str">
        <x:f>'Raw Sales'!A1806</x:f>
        <x:v>ORD-2025-02055</x:v>
      </x:c>
      <x:c r="B1806" s="85" t="n">
        <x:f>'Raw Sales'!B1806</x:f>
        <x:v>45879</x:v>
      </x:c>
      <x:c r="C1806" s="84" t="n">
        <x:f>YEAR(B1806)</x:f>
        <x:v>2025</x:v>
      </x:c>
      <x:c r="D1806" s="91" t="n">
        <x:f>DATE(YEAR(B1806),MONTH(B1806),1)</x:f>
        <x:v>45870</x:v>
      </x:c>
      <x:c r="E1806" s="84" t="str">
        <x:f>TEXT(B1806,"mmm")</x:f>
        <x:v>Aug</x:v>
      </x:c>
      <x:c r="F1806" s="84" t="str">
        <x:f>'Raw Sales'!C1806</x:f>
        <x:v>CUST-0638</x:v>
      </x:c>
      <x:c r="G1806" s="84" t="str">
        <x:f>PROPER(TRIM('Raw Sales'!D1806))</x:f>
        <x:v>Zara Roberts</x:v>
      </x:c>
      <x:c r="H1806" s="84" t="str">
        <x:f>IF(TRIM('Raw Sales'!E1806)="","Unknown",PROPER(TRIM('Raw Sales'!E1806)))</x:f>
        <x:v>Consumer</x:v>
      </x:c>
      <x:c r="I1806" s="84" t="str">
        <x:f>PROPER(TRIM('Raw Sales'!F1806))</x:f>
        <x:v>Northeast</x:v>
      </x:c>
      <x:c r="J1806" s="84" t="str">
        <x:f>PROPER(TRIM('Raw Sales'!G1806))</x:f>
        <x:v>Philadelphia</x:v>
      </x:c>
      <x:c r="K1806" s="84" t="str">
        <x:f>PROPER(TRIM('Raw Sales'!H1806))</x:f>
        <x:v>Online</x:v>
      </x:c>
      <x:c r="L1806" s="84" t="str">
        <x:f>'Raw Sales'!I1806</x:f>
        <x:v>OFFC-001</x:v>
      </x:c>
      <x:c r="M1806" s="84" t="str">
        <x:f>IFERROR(VLOOKUP(L1806,'Reference Data'!$A$5:$F$40,2,FALSE),"Unknown Product")</x:f>
        <x:v>Ergonomic Chair</x:v>
      </x:c>
      <x:c r="N1806" s="84" t="str">
        <x:f>IFERROR(VLOOKUP(L1806,'Reference Data'!$A$5:$F$40,3,FALSE),"Unknown")</x:f>
        <x:v>Office</x:v>
      </x:c>
      <x:c r="O1806" s="84" t="str">
        <x:f>IFERROR(VLOOKUP(L1806,'Reference Data'!$A$5:$F$40,4,FALSE),"Unknown")</x:f>
        <x:v>Furniture</x:v>
      </x:c>
      <x:c r="P1806" s="92" t="n">
        <x:f>IFERROR(VLOOKUP(L1806,'Reference Data'!$A$5:$F$40,5,FALSE),0)</x:f>
        <x:v>249</x:v>
      </x:c>
      <x:c r="Q1806" s="92" t="n">
        <x:f>IFERROR(VLOOKUP(L1806,'Reference Data'!$A$5:$F$40,6,FALSE),0)</x:f>
        <x:v>145</x:v>
      </x:c>
      <x:c r="R1806" s="84" t="n">
        <x:f>'Raw Sales'!J1806</x:f>
        <x:v>2</x:v>
      </x:c>
      <x:c r="S1806" s="87" t="n">
        <x:f>'Raw Sales'!K1806</x:f>
        <x:v>0.1</x:v>
      </x:c>
      <x:c r="T1806" s="93" t="n">
        <x:f>P1806*R1806</x:f>
        <x:v>498</x:v>
      </x:c>
      <x:c r="U1806" s="93" t="n">
        <x:f>T1806*S1806</x:f>
        <x:v>49.800000000000004</x:v>
      </x:c>
      <x:c r="V1806" s="93" t="str">
        <x:f>PROPER(TRIM('Raw Sales'!L1806))</x:f>
        <x:v>Completed</x:v>
      </x:c>
      <x:c r="W1806" s="93" t="n">
        <x:f>IF(V1806="Returned",0,T1806-U1806)</x:f>
        <x:v>448.2</x:v>
      </x:c>
      <x:c r="X1806" s="93" t="n">
        <x:f>IF(V1806="Returned",Q1806*R1806*10%,Q1806*R1806)</x:f>
        <x:v>290</x:v>
      </x:c>
      <x:c r="Y1806" s="93" t="n">
        <x:f>W1806-X1806</x:f>
        <x:v>158.2</x:v>
      </x:c>
      <x:c r="Z1806" s="94" t="n">
        <x:f>IFERROR(Y1806/W1806,0)</x:f>
        <x:v>0.35296742525658187</x:v>
      </x:c>
      <x:c r="AA1806" s="84" t="str">
        <x:f>PROPER(TRIM('Raw Sales'!M1806))</x:f>
        <x:v>Paypal</x:v>
      </x:c>
      <x:c r="AB1806" s="84" t="str">
        <x:f>PROPER(TRIM('Raw Sales'!N1806))</x:f>
        <x:v>Maya Brooks</x:v>
      </x:c>
      <x:c r="AC1806" s="85" t="n">
        <x:f>'Raw Sales'!O1806</x:f>
        <x:v>45883</x:v>
      </x:c>
      <x:c r="AD1806" s="84" t="n">
        <x:f>AC1806-B1806</x:f>
        <x:v>4</x:v>
      </x:c>
      <x:c r="AE1806" s="84" t="str">
        <x:f>IF(COUNTIF($A$5:A1806,A1806)&gt;1,"Duplicate","Keep")</x:f>
        <x:v>Keep</x:v>
      </x:c>
      <x:c r="AF1806" s="84" t="str">
        <x:f>IF(OR(R1806&lt;=0,AC1806&lt;B1806,H1806="Unknown",M1806="Unknown Product"),"Review","Valid")</x:f>
        <x:v>Valid</x:v>
      </x:c>
      <x:c r="AG1806" s="84" t="n">
        <x:f>IF(AND(AE1806="Keep",AF1806="Valid"),1,0)</x:f>
        <x:v>1</x:v>
      </x:c>
      <x:c r="AH1806" s="84" t="n">
        <x:f>IF(AND(AG1806=1,OR('Dashboard'!$B$4="All",I1806='Dashboard'!$B$4),OR('Dashboard'!$E$4="All",N1806='Dashboard'!$E$4),OR('Dashboard'!$H$4="All",K1806='Dashboard'!$H$4),OR('Dashboard'!$K$4="All",C1806='Dashboard'!$K$4)),1,0)</x:f>
        <x:v>1</x:v>
      </x:c>
      <x:c r="AI1806" s="84" t="n">
        <x:f>IF(AND(AG1806=1,OR('Dashboard'!$B$4="All",I1806='Dashboard'!$B$4),OR('Dashboard'!$E$4="All",N1806='Dashboard'!$E$4),OR('Dashboard'!$H$4="All",K1806='Dashboard'!$H$4)),1,0)</x:f>
        <x:v>1</x:v>
      </x:c>
    </x:row>
    <x:row r="1807">
      <x:c r="A1807" s="84" t="str">
        <x:f>'Raw Sales'!A1807</x:f>
        <x:v>ORD-2025-02138</x:v>
      </x:c>
      <x:c r="B1807" s="85" t="n">
        <x:f>'Raw Sales'!B1807</x:f>
        <x:v>45879</x:v>
      </x:c>
      <x:c r="C1807" s="84" t="n">
        <x:f>YEAR(B1807)</x:f>
        <x:v>2025</x:v>
      </x:c>
      <x:c r="D1807" s="91" t="n">
        <x:f>DATE(YEAR(B1807),MONTH(B1807),1)</x:f>
        <x:v>45870</x:v>
      </x:c>
      <x:c r="E1807" s="84" t="str">
        <x:f>TEXT(B1807,"mmm")</x:f>
        <x:v>Aug</x:v>
      </x:c>
      <x:c r="F1807" s="84" t="str">
        <x:f>'Raw Sales'!C1807</x:f>
        <x:v>CUST-0105</x:v>
      </x:c>
      <x:c r="G1807" s="84" t="str">
        <x:f>PROPER(TRIM('Raw Sales'!D1807))</x:f>
        <x:v>Chloe Ortiz</x:v>
      </x:c>
      <x:c r="H1807" s="84" t="str">
        <x:f>IF(TRIM('Raw Sales'!E1807)="","Unknown",PROPER(TRIM('Raw Sales'!E1807)))</x:f>
        <x:v>Corporate</x:v>
      </x:c>
      <x:c r="I1807" s="84" t="str">
        <x:f>PROPER(TRIM('Raw Sales'!F1807))</x:f>
        <x:v>West</x:v>
      </x:c>
      <x:c r="J1807" s="84" t="str">
        <x:f>PROPER(TRIM('Raw Sales'!G1807))</x:f>
        <x:v>Phoenix</x:v>
      </x:c>
      <x:c r="K1807" s="84" t="str">
        <x:f>PROPER(TRIM('Raw Sales'!H1807))</x:f>
        <x:v>Marketplace</x:v>
      </x:c>
      <x:c r="L1807" s="84" t="str">
        <x:f>'Raw Sales'!I1807</x:f>
        <x:v>FITN-006</x:v>
      </x:c>
      <x:c r="M1807" s="84" t="str">
        <x:f>IFERROR(VLOOKUP(L1807,'Reference Data'!$A$5:$F$40,2,FALSE),"Unknown Product")</x:f>
        <x:v>Foam Roller</x:v>
      </x:c>
      <x:c r="N1807" s="84" t="str">
        <x:f>IFERROR(VLOOKUP(L1807,'Reference Data'!$A$5:$F$40,3,FALSE),"Unknown")</x:f>
        <x:v>Fitness</x:v>
      </x:c>
      <x:c r="O1807" s="84" t="str">
        <x:f>IFERROR(VLOOKUP(L1807,'Reference Data'!$A$5:$F$40,4,FALSE),"Unknown")</x:f>
        <x:v>Recovery</x:v>
      </x:c>
      <x:c r="P1807" s="92" t="n">
        <x:f>IFERROR(VLOOKUP(L1807,'Reference Data'!$A$5:$F$40,5,FALSE),0)</x:f>
        <x:v>31</x:v>
      </x:c>
      <x:c r="Q1807" s="92" t="n">
        <x:f>IFERROR(VLOOKUP(L1807,'Reference Data'!$A$5:$F$40,6,FALSE),0)</x:f>
        <x:v>12</x:v>
      </x:c>
      <x:c r="R1807" s="84" t="n">
        <x:f>'Raw Sales'!J1807</x:f>
        <x:v>6</x:v>
      </x:c>
      <x:c r="S1807" s="87" t="n">
        <x:f>'Raw Sales'!K1807</x:f>
        <x:v>0.05</x:v>
      </x:c>
      <x:c r="T1807" s="93" t="n">
        <x:f>P1807*R1807</x:f>
        <x:v>186</x:v>
      </x:c>
      <x:c r="U1807" s="93" t="n">
        <x:f>T1807*S1807</x:f>
        <x:v>9.3</x:v>
      </x:c>
      <x:c r="V1807" s="93" t="str">
        <x:f>PROPER(TRIM('Raw Sales'!L1807))</x:f>
        <x:v>Completed</x:v>
      </x:c>
      <x:c r="W1807" s="93" t="n">
        <x:f>IF(V1807="Returned",0,T1807-U1807)</x:f>
        <x:v>176.7</x:v>
      </x:c>
      <x:c r="X1807" s="93" t="n">
        <x:f>IF(V1807="Returned",Q1807*R1807*10%,Q1807*R1807)</x:f>
        <x:v>72</x:v>
      </x:c>
      <x:c r="Y1807" s="93" t="n">
        <x:f>W1807-X1807</x:f>
        <x:v>104.69999999999999</x:v>
      </x:c>
      <x:c r="Z1807" s="94" t="n">
        <x:f>IFERROR(Y1807/W1807,0)</x:f>
        <x:v>0.5925297113752122</x:v>
      </x:c>
      <x:c r="AA1807" s="84" t="str">
        <x:f>PROPER(TRIM('Raw Sales'!M1807))</x:f>
        <x:v>Credit Card</x:v>
      </x:c>
      <x:c r="AB1807" s="84" t="str">
        <x:f>PROPER(TRIM('Raw Sales'!N1807))</x:f>
        <x:v>Nora Kim</x:v>
      </x:c>
      <x:c r="AC1807" s="85" t="n">
        <x:f>'Raw Sales'!O1807</x:f>
        <x:v>45885</x:v>
      </x:c>
      <x:c r="AD1807" s="84" t="n">
        <x:f>AC1807-B1807</x:f>
        <x:v>6</x:v>
      </x:c>
      <x:c r="AE1807" s="84" t="str">
        <x:f>IF(COUNTIF($A$5:A1807,A1807)&gt;1,"Duplicate","Keep")</x:f>
        <x:v>Keep</x:v>
      </x:c>
      <x:c r="AF1807" s="84" t="str">
        <x:f>IF(OR(R1807&lt;=0,AC1807&lt;B1807,H1807="Unknown",M1807="Unknown Product"),"Review","Valid")</x:f>
        <x:v>Valid</x:v>
      </x:c>
      <x:c r="AG1807" s="84" t="n">
        <x:f>IF(AND(AE1807="Keep",AF1807="Valid"),1,0)</x:f>
        <x:v>1</x:v>
      </x:c>
      <x:c r="AH1807" s="84" t="n">
        <x:f>IF(AND(AG1807=1,OR('Dashboard'!$B$4="All",I1807='Dashboard'!$B$4),OR('Dashboard'!$E$4="All",N1807='Dashboard'!$E$4),OR('Dashboard'!$H$4="All",K1807='Dashboard'!$H$4),OR('Dashboard'!$K$4="All",C1807='Dashboard'!$K$4)),1,0)</x:f>
        <x:v>1</x:v>
      </x:c>
      <x:c r="AI1807" s="84" t="n">
        <x:f>IF(AND(AG1807=1,OR('Dashboard'!$B$4="All",I1807='Dashboard'!$B$4),OR('Dashboard'!$E$4="All",N1807='Dashboard'!$E$4),OR('Dashboard'!$H$4="All",K1807='Dashboard'!$H$4)),1,0)</x:f>
        <x:v>1</x:v>
      </x:c>
    </x:row>
    <x:row r="1808">
      <x:c r="A1808" s="84" t="str">
        <x:f>'Raw Sales'!A1808</x:f>
        <x:v>ORD-2025-00220</x:v>
      </x:c>
      <x:c r="B1808" s="85" t="n">
        <x:f>'Raw Sales'!B1808</x:f>
        <x:v>45880</x:v>
      </x:c>
      <x:c r="C1808" s="84" t="n">
        <x:f>YEAR(B1808)</x:f>
        <x:v>2025</x:v>
      </x:c>
      <x:c r="D1808" s="91" t="n">
        <x:f>DATE(YEAR(B1808),MONTH(B1808),1)</x:f>
        <x:v>45870</x:v>
      </x:c>
      <x:c r="E1808" s="84" t="str">
        <x:f>TEXT(B1808,"mmm")</x:f>
        <x:v>Aug</x:v>
      </x:c>
      <x:c r="F1808" s="84" t="str">
        <x:f>'Raw Sales'!C1808</x:f>
        <x:v>CUST-0492</x:v>
      </x:c>
      <x:c r="G1808" s="84" t="str">
        <x:f>PROPER(TRIM('Raw Sales'!D1808))</x:f>
        <x:v>Jonah Garcia</x:v>
      </x:c>
      <x:c r="H1808" s="84" t="str">
        <x:f>IF(TRIM('Raw Sales'!E1808)="","Unknown",PROPER(TRIM('Raw Sales'!E1808)))</x:f>
        <x:v>Small Business</x:v>
      </x:c>
      <x:c r="I1808" s="84" t="str">
        <x:f>PROPER(TRIM('Raw Sales'!F1808))</x:f>
        <x:v>Southeast</x:v>
      </x:c>
      <x:c r="J1808" s="84" t="str">
        <x:f>PROPER(TRIM('Raw Sales'!G1808))</x:f>
        <x:v>Charlotte</x:v>
      </x:c>
      <x:c r="K1808" s="84" t="str">
        <x:f>PROPER(TRIM('Raw Sales'!H1808))</x:f>
        <x:v>Retail Store</x:v>
      </x:c>
      <x:c r="L1808" s="84" t="str">
        <x:f>'Raw Sales'!I1808</x:f>
        <x:v>ELEC-006</x:v>
      </x:c>
      <x:c r="M1808" s="84" t="str">
        <x:f>IFERROR(VLOOKUP(L1808,'Reference Data'!$A$5:$F$40,2,FALSE),"Unknown Product")</x:f>
        <x:v>Portable SSD</x:v>
      </x:c>
      <x:c r="N1808" s="84" t="str">
        <x:f>IFERROR(VLOOKUP(L1808,'Reference Data'!$A$5:$F$40,3,FALSE),"Unknown")</x:f>
        <x:v>Electronics</x:v>
      </x:c>
      <x:c r="O1808" s="84" t="str">
        <x:f>IFERROR(VLOOKUP(L1808,'Reference Data'!$A$5:$F$40,4,FALSE),"Unknown")</x:f>
        <x:v>Storage</x:v>
      </x:c>
      <x:c r="P1808" s="92" t="n">
        <x:f>IFERROR(VLOOKUP(L1808,'Reference Data'!$A$5:$F$40,5,FALSE),0)</x:f>
        <x:v>129</x:v>
      </x:c>
      <x:c r="Q1808" s="92" t="n">
        <x:f>IFERROR(VLOOKUP(L1808,'Reference Data'!$A$5:$F$40,6,FALSE),0)</x:f>
        <x:v>75</x:v>
      </x:c>
      <x:c r="R1808" s="84" t="n">
        <x:f>'Raw Sales'!J1808</x:f>
        <x:v>1</x:v>
      </x:c>
      <x:c r="S1808" s="87" t="n">
        <x:f>'Raw Sales'!K1808</x:f>
        <x:v>0.1</x:v>
      </x:c>
      <x:c r="T1808" s="93" t="n">
        <x:f>P1808*R1808</x:f>
        <x:v>129</x:v>
      </x:c>
      <x:c r="U1808" s="93" t="n">
        <x:f>T1808*S1808</x:f>
        <x:v>12.9</x:v>
      </x:c>
      <x:c r="V1808" s="93" t="str">
        <x:f>PROPER(TRIM('Raw Sales'!L1808))</x:f>
        <x:v>Completed</x:v>
      </x:c>
      <x:c r="W1808" s="93" t="n">
        <x:f>IF(V1808="Returned",0,T1808-U1808)</x:f>
        <x:v>116.1</x:v>
      </x:c>
      <x:c r="X1808" s="93" t="n">
        <x:f>IF(V1808="Returned",Q1808*R1808*10%,Q1808*R1808)</x:f>
        <x:v>75</x:v>
      </x:c>
      <x:c r="Y1808" s="93" t="n">
        <x:f>W1808-X1808</x:f>
        <x:v>41.099999999999994</x:v>
      </x:c>
      <x:c r="Z1808" s="94" t="n">
        <x:f>IFERROR(Y1808/W1808,0)</x:f>
        <x:v>0.3540051679586563</x:v>
      </x:c>
      <x:c r="AA1808" s="84" t="str">
        <x:f>PROPER(TRIM('Raw Sales'!M1808))</x:f>
        <x:v>Credit Card</x:v>
      </x:c>
      <x:c r="AB1808" s="84" t="str">
        <x:f>PROPER(TRIM('Raw Sales'!N1808))</x:f>
        <x:v>Noah Reed</x:v>
      </x:c>
      <x:c r="AC1808" s="85" t="n">
        <x:f>'Raw Sales'!O1808</x:f>
        <x:v>45880</x:v>
      </x:c>
      <x:c r="AD1808" s="84" t="n">
        <x:f>AC1808-B1808</x:f>
        <x:v>0</x:v>
      </x:c>
      <x:c r="AE1808" s="84" t="str">
        <x:f>IF(COUNTIF($A$5:A1808,A1808)&gt;1,"Duplicate","Keep")</x:f>
        <x:v>Keep</x:v>
      </x:c>
      <x:c r="AF1808" s="84" t="str">
        <x:f>IF(OR(R1808&lt;=0,AC1808&lt;B1808,H1808="Unknown",M1808="Unknown Product"),"Review","Valid")</x:f>
        <x:v>Valid</x:v>
      </x:c>
      <x:c r="AG1808" s="84" t="n">
        <x:f>IF(AND(AE1808="Keep",AF1808="Valid"),1,0)</x:f>
        <x:v>1</x:v>
      </x:c>
      <x:c r="AH1808" s="84" t="n">
        <x:f>IF(AND(AG1808=1,OR('Dashboard'!$B$4="All",I1808='Dashboard'!$B$4),OR('Dashboard'!$E$4="All",N1808='Dashboard'!$E$4),OR('Dashboard'!$H$4="All",K1808='Dashboard'!$H$4),OR('Dashboard'!$K$4="All",C1808='Dashboard'!$K$4)),1,0)</x:f>
        <x:v>1</x:v>
      </x:c>
      <x:c r="AI1808" s="84" t="n">
        <x:f>IF(AND(AG1808=1,OR('Dashboard'!$B$4="All",I1808='Dashboard'!$B$4),OR('Dashboard'!$E$4="All",N1808='Dashboard'!$E$4),OR('Dashboard'!$H$4="All",K1808='Dashboard'!$H$4)),1,0)</x:f>
        <x:v>1</x:v>
      </x:c>
    </x:row>
    <x:row r="1809">
      <x:c r="A1809" s="84" t="str">
        <x:f>'Raw Sales'!A1809</x:f>
        <x:v>ORD-2025-01088</x:v>
      </x:c>
      <x:c r="B1809" s="85" t="n">
        <x:f>'Raw Sales'!B1809</x:f>
        <x:v>45880</x:v>
      </x:c>
      <x:c r="C1809" s="84" t="n">
        <x:f>YEAR(B1809)</x:f>
        <x:v>2025</x:v>
      </x:c>
      <x:c r="D1809" s="91" t="n">
        <x:f>DATE(YEAR(B1809),MONTH(B1809),1)</x:f>
        <x:v>45870</x:v>
      </x:c>
      <x:c r="E1809" s="84" t="str">
        <x:f>TEXT(B1809,"mmm")</x:f>
        <x:v>Aug</x:v>
      </x:c>
      <x:c r="F1809" s="84" t="str">
        <x:f>'Raw Sales'!C1809</x:f>
        <x:v>CUST-0387</x:v>
      </x:c>
      <x:c r="G1809" s="84" t="str">
        <x:f>PROPER(TRIM('Raw Sales'!D1809))</x:f>
        <x:v>Samuel Evans</x:v>
      </x:c>
      <x:c r="H1809" s="84" t="str">
        <x:f>IF(TRIM('Raw Sales'!E1809)="","Unknown",PROPER(TRIM('Raw Sales'!E1809)))</x:f>
        <x:v>Small Business</x:v>
      </x:c>
      <x:c r="I1809" s="84" t="str">
        <x:f>PROPER(TRIM('Raw Sales'!F1809))</x:f>
        <x:v>West</x:v>
      </x:c>
      <x:c r="J1809" s="84" t="str">
        <x:f>PROPER(TRIM('Raw Sales'!G1809))</x:f>
        <x:v>Denver</x:v>
      </x:c>
      <x:c r="K1809" s="84" t="str">
        <x:f>PROPER(TRIM('Raw Sales'!H1809))</x:f>
        <x:v>Online</x:v>
      </x:c>
      <x:c r="L1809" s="84" t="str">
        <x:f>'Raw Sales'!I1809</x:f>
        <x:v>FITN-003</x:v>
      </x:c>
      <x:c r="M1809" s="84" t="str">
        <x:f>IFERROR(VLOOKUP(L1809,'Reference Data'!$A$5:$F$40,2,FALSE),"Unknown Product")</x:f>
        <x:v>Resistance Band Set</x:v>
      </x:c>
      <x:c r="N1809" s="84" t="str">
        <x:f>IFERROR(VLOOKUP(L1809,'Reference Data'!$A$5:$F$40,3,FALSE),"Unknown")</x:f>
        <x:v>Fitness</x:v>
      </x:c>
      <x:c r="O1809" s="84" t="str">
        <x:f>IFERROR(VLOOKUP(L1809,'Reference Data'!$A$5:$F$40,4,FALSE),"Unknown")</x:f>
        <x:v>Strength</x:v>
      </x:c>
      <x:c r="P1809" s="92" t="n">
        <x:f>IFERROR(VLOOKUP(L1809,'Reference Data'!$A$5:$F$40,5,FALSE),0)</x:f>
        <x:v>24</x:v>
      </x:c>
      <x:c r="Q1809" s="92" t="n">
        <x:f>IFERROR(VLOOKUP(L1809,'Reference Data'!$A$5:$F$40,6,FALSE),0)</x:f>
        <x:v>8</x:v>
      </x:c>
      <x:c r="R1809" s="84" t="n">
        <x:f>'Raw Sales'!J1809</x:f>
        <x:v>1</x:v>
      </x:c>
      <x:c r="S1809" s="87" t="n">
        <x:f>'Raw Sales'!K1809</x:f>
        <x:v>0</x:v>
      </x:c>
      <x:c r="T1809" s="93" t="n">
        <x:f>P1809*R1809</x:f>
        <x:v>24</x:v>
      </x:c>
      <x:c r="U1809" s="93" t="n">
        <x:f>T1809*S1809</x:f>
        <x:v>0</x:v>
      </x:c>
      <x:c r="V1809" s="93" t="str">
        <x:f>PROPER(TRIM('Raw Sales'!L1809))</x:f>
        <x:v>Returned</x:v>
      </x:c>
      <x:c r="W1809" s="93" t="n">
        <x:f>IF(V1809="Returned",0,T1809-U1809)</x:f>
        <x:v>0</x:v>
      </x:c>
      <x:c r="X1809" s="93" t="n">
        <x:f>IF(V1809="Returned",Q1809*R1809*10%,Q1809*R1809)</x:f>
        <x:v>0.8</x:v>
      </x:c>
      <x:c r="Y1809" s="93" t="n">
        <x:f>W1809-X1809</x:f>
        <x:v>-0.8</x:v>
      </x:c>
      <x:c r="Z1809" s="94" t="n">
        <x:f>IFERROR(Y1809/W1809,0)</x:f>
        <x:v>0</x:v>
      </x:c>
      <x:c r="AA1809" s="84" t="str">
        <x:f>PROPER(TRIM('Raw Sales'!M1809))</x:f>
        <x:v>Paypal</x:v>
      </x:c>
      <x:c r="AB1809" s="84" t="str">
        <x:f>PROPER(TRIM('Raw Sales'!N1809))</x:f>
        <x:v>Nora Kim</x:v>
      </x:c>
      <x:c r="AC1809" s="85" t="n">
        <x:f>'Raw Sales'!O1809</x:f>
        <x:v>45883</x:v>
      </x:c>
      <x:c r="AD1809" s="84" t="n">
        <x:f>AC1809-B1809</x:f>
        <x:v>3</x:v>
      </x:c>
      <x:c r="AE1809" s="84" t="str">
        <x:f>IF(COUNTIF($A$5:A1809,A1809)&gt;1,"Duplicate","Keep")</x:f>
        <x:v>Keep</x:v>
      </x:c>
      <x:c r="AF1809" s="84" t="str">
        <x:f>IF(OR(R1809&lt;=0,AC1809&lt;B1809,H1809="Unknown",M1809="Unknown Product"),"Review","Valid")</x:f>
        <x:v>Valid</x:v>
      </x:c>
      <x:c r="AG1809" s="84" t="n">
        <x:f>IF(AND(AE1809="Keep",AF1809="Valid"),1,0)</x:f>
        <x:v>1</x:v>
      </x:c>
      <x:c r="AH1809" s="84" t="n">
        <x:f>IF(AND(AG1809=1,OR('Dashboard'!$B$4="All",I1809='Dashboard'!$B$4),OR('Dashboard'!$E$4="All",N1809='Dashboard'!$E$4),OR('Dashboard'!$H$4="All",K1809='Dashboard'!$H$4),OR('Dashboard'!$K$4="All",C1809='Dashboard'!$K$4)),1,0)</x:f>
        <x:v>1</x:v>
      </x:c>
      <x:c r="AI1809" s="84" t="n">
        <x:f>IF(AND(AG1809=1,OR('Dashboard'!$B$4="All",I1809='Dashboard'!$B$4),OR('Dashboard'!$E$4="All",N1809='Dashboard'!$E$4),OR('Dashboard'!$H$4="All",K1809='Dashboard'!$H$4)),1,0)</x:f>
        <x:v>1</x:v>
      </x:c>
    </x:row>
    <x:row r="1810">
      <x:c r="A1810" s="84" t="str">
        <x:f>'Raw Sales'!A1810</x:f>
        <x:v>ORD-2025-01299</x:v>
      </x:c>
      <x:c r="B1810" s="85" t="n">
        <x:f>'Raw Sales'!B1810</x:f>
        <x:v>45880</x:v>
      </x:c>
      <x:c r="C1810" s="84" t="n">
        <x:f>YEAR(B1810)</x:f>
        <x:v>2025</x:v>
      </x:c>
      <x:c r="D1810" s="91" t="n">
        <x:f>DATE(YEAR(B1810),MONTH(B1810),1)</x:f>
        <x:v>45870</x:v>
      </x:c>
      <x:c r="E1810" s="84" t="str">
        <x:f>TEXT(B1810,"mmm")</x:f>
        <x:v>Aug</x:v>
      </x:c>
      <x:c r="F1810" s="84" t="str">
        <x:f>'Raw Sales'!C1810</x:f>
        <x:v>CUST-0396</x:v>
      </x:c>
      <x:c r="G1810" s="84" t="str">
        <x:f>PROPER(TRIM('Raw Sales'!D1810))</x:f>
        <x:v>Victoria Carter</x:v>
      </x:c>
      <x:c r="H1810" s="84" t="str">
        <x:f>IF(TRIM('Raw Sales'!E1810)="","Unknown",PROPER(TRIM('Raw Sales'!E1810)))</x:f>
        <x:v>Consumer</x:v>
      </x:c>
      <x:c r="I1810" s="84" t="str">
        <x:f>PROPER(TRIM('Raw Sales'!F1810))</x:f>
        <x:v>Southeast</x:v>
      </x:c>
      <x:c r="J1810" s="84" t="str">
        <x:f>PROPER(TRIM('Raw Sales'!G1810))</x:f>
        <x:v>Nashville</x:v>
      </x:c>
      <x:c r="K1810" s="84" t="str">
        <x:f>PROPER(TRIM('Raw Sales'!H1810))</x:f>
        <x:v>Retail Store</x:v>
      </x:c>
      <x:c r="L1810" s="84" t="str">
        <x:f>'Raw Sales'!I1810</x:f>
        <x:v>CARE-003</x:v>
      </x:c>
      <x:c r="M1810" s="84" t="str">
        <x:f>IFERROR(VLOOKUP(L1810,'Reference Data'!$A$5:$F$40,2,FALSE),"Unknown Product")</x:f>
        <x:v>Facial Cleanser</x:v>
      </x:c>
      <x:c r="N1810" s="84" t="str">
        <x:f>IFERROR(VLOOKUP(L1810,'Reference Data'!$A$5:$F$40,3,FALSE),"Unknown")</x:f>
        <x:v>Personal Care</x:v>
      </x:c>
      <x:c r="O1810" s="84" t="str">
        <x:f>IFERROR(VLOOKUP(L1810,'Reference Data'!$A$5:$F$40,4,FALSE),"Unknown")</x:f>
        <x:v>Skin Care</x:v>
      </x:c>
      <x:c r="P1810" s="92" t="n">
        <x:f>IFERROR(VLOOKUP(L1810,'Reference Data'!$A$5:$F$40,5,FALSE),0)</x:f>
        <x:v>18</x:v>
      </x:c>
      <x:c r="Q1810" s="92" t="n">
        <x:f>IFERROR(VLOOKUP(L1810,'Reference Data'!$A$5:$F$40,6,FALSE),0)</x:f>
        <x:v>6</x:v>
      </x:c>
      <x:c r="R1810" s="84" t="n">
        <x:f>'Raw Sales'!J1810</x:f>
        <x:v>1</x:v>
      </x:c>
      <x:c r="S1810" s="87" t="n">
        <x:f>'Raw Sales'!K1810</x:f>
        <x:v>0.1</x:v>
      </x:c>
      <x:c r="T1810" s="93" t="n">
        <x:f>P1810*R1810</x:f>
        <x:v>18</x:v>
      </x:c>
      <x:c r="U1810" s="93" t="n">
        <x:f>T1810*S1810</x:f>
        <x:v>1.8</x:v>
      </x:c>
      <x:c r="V1810" s="93" t="str">
        <x:f>PROPER(TRIM('Raw Sales'!L1810))</x:f>
        <x:v>Completed</x:v>
      </x:c>
      <x:c r="W1810" s="93" t="n">
        <x:f>IF(V1810="Returned",0,T1810-U1810)</x:f>
        <x:v>16.2</x:v>
      </x:c>
      <x:c r="X1810" s="93" t="n">
        <x:f>IF(V1810="Returned",Q1810*R1810*10%,Q1810*R1810)</x:f>
        <x:v>6</x:v>
      </x:c>
      <x:c r="Y1810" s="93" t="n">
        <x:f>W1810-X1810</x:f>
        <x:v>10.2</x:v>
      </x:c>
      <x:c r="Z1810" s="94" t="n">
        <x:f>IFERROR(Y1810/W1810,0)</x:f>
        <x:v>0.6296296296296297</x:v>
      </x:c>
      <x:c r="AA1810" s="84" t="str">
        <x:f>PROPER(TRIM('Raw Sales'!M1810))</x:f>
        <x:v>Cash</x:v>
      </x:c>
      <x:c r="AB1810" s="84" t="str">
        <x:f>PROPER(TRIM('Raw Sales'!N1810))</x:f>
        <x:v>Liam Parker</x:v>
      </x:c>
      <x:c r="AC1810" s="85" t="n">
        <x:f>'Raw Sales'!O1810</x:f>
        <x:v>45881</x:v>
      </x:c>
      <x:c r="AD1810" s="84" t="n">
        <x:f>AC1810-B1810</x:f>
        <x:v>1</x:v>
      </x:c>
      <x:c r="AE1810" s="84" t="str">
        <x:f>IF(COUNTIF($A$5:A1810,A1810)&gt;1,"Duplicate","Keep")</x:f>
        <x:v>Keep</x:v>
      </x:c>
      <x:c r="AF1810" s="84" t="str">
        <x:f>IF(OR(R1810&lt;=0,AC1810&lt;B1810,H1810="Unknown",M1810="Unknown Product"),"Review","Valid")</x:f>
        <x:v>Valid</x:v>
      </x:c>
      <x:c r="AG1810" s="84" t="n">
        <x:f>IF(AND(AE1810="Keep",AF1810="Valid"),1,0)</x:f>
        <x:v>1</x:v>
      </x:c>
      <x:c r="AH1810" s="84" t="n">
        <x:f>IF(AND(AG1810=1,OR('Dashboard'!$B$4="All",I1810='Dashboard'!$B$4),OR('Dashboard'!$E$4="All",N1810='Dashboard'!$E$4),OR('Dashboard'!$H$4="All",K1810='Dashboard'!$H$4),OR('Dashboard'!$K$4="All",C1810='Dashboard'!$K$4)),1,0)</x:f>
        <x:v>1</x:v>
      </x:c>
      <x:c r="AI1810" s="84" t="n">
        <x:f>IF(AND(AG1810=1,OR('Dashboard'!$B$4="All",I1810='Dashboard'!$B$4),OR('Dashboard'!$E$4="All",N1810='Dashboard'!$E$4),OR('Dashboard'!$H$4="All",K1810='Dashboard'!$H$4)),1,0)</x:f>
        <x:v>1</x:v>
      </x:c>
    </x:row>
    <x:row r="1811">
      <x:c r="A1811" s="84" t="str">
        <x:f>'Raw Sales'!A1811</x:f>
        <x:v>ORD-2025-00016</x:v>
      </x:c>
      <x:c r="B1811" s="85" t="n">
        <x:f>'Raw Sales'!B1811</x:f>
        <x:v>45881</x:v>
      </x:c>
      <x:c r="C1811" s="84" t="n">
        <x:f>YEAR(B1811)</x:f>
        <x:v>2025</x:v>
      </x:c>
      <x:c r="D1811" s="91" t="n">
        <x:f>DATE(YEAR(B1811),MONTH(B1811),1)</x:f>
        <x:v>45870</x:v>
      </x:c>
      <x:c r="E1811" s="84" t="str">
        <x:f>TEXT(B1811,"mmm")</x:f>
        <x:v>Aug</x:v>
      </x:c>
      <x:c r="F1811" s="84" t="str">
        <x:f>'Raw Sales'!C1811</x:f>
        <x:v>CUST-0590</x:v>
      </x:c>
      <x:c r="G1811" s="84" t="str">
        <x:f>PROPER(TRIM('Raw Sales'!D1811))</x:f>
        <x:v>Theo Young</x:v>
      </x:c>
      <x:c r="H1811" s="84" t="str">
        <x:f>IF(TRIM('Raw Sales'!E1811)="","Unknown",PROPER(TRIM('Raw Sales'!E1811)))</x:f>
        <x:v>Consumer</x:v>
      </x:c>
      <x:c r="I1811" s="84" t="str">
        <x:f>PROPER(TRIM('Raw Sales'!F1811))</x:f>
        <x:v>Southeast</x:v>
      </x:c>
      <x:c r="J1811" s="84" t="str">
        <x:f>PROPER(TRIM('Raw Sales'!G1811))</x:f>
        <x:v>Atlanta</x:v>
      </x:c>
      <x:c r="K1811" s="84" t="str">
        <x:f>PROPER(TRIM('Raw Sales'!H1811))</x:f>
        <x:v>Online</x:v>
      </x:c>
      <x:c r="L1811" s="84" t="str">
        <x:f>'Raw Sales'!I1811</x:f>
        <x:v>HOME-001</x:v>
      </x:c>
      <x:c r="M1811" s="84" t="str">
        <x:f>IFERROR(VLOOKUP(L1811,'Reference Data'!$A$5:$F$40,2,FALSE),"Unknown Product")</x:f>
        <x:v>Air Fryer</x:v>
      </x:c>
      <x:c r="N1811" s="84" t="str">
        <x:f>IFERROR(VLOOKUP(L1811,'Reference Data'!$A$5:$F$40,3,FALSE),"Unknown")</x:f>
        <x:v>Home &amp; Kitchen</x:v>
      </x:c>
      <x:c r="O1811" s="84" t="str">
        <x:f>IFERROR(VLOOKUP(L1811,'Reference Data'!$A$5:$F$40,4,FALSE),"Unknown")</x:f>
        <x:v>Small Appliances</x:v>
      </x:c>
      <x:c r="P1811" s="92" t="n">
        <x:f>IFERROR(VLOOKUP(L1811,'Reference Data'!$A$5:$F$40,5,FALSE),0)</x:f>
        <x:v>119</x:v>
      </x:c>
      <x:c r="Q1811" s="92" t="n">
        <x:f>IFERROR(VLOOKUP(L1811,'Reference Data'!$A$5:$F$40,6,FALSE),0)</x:f>
        <x:v>68</x:v>
      </x:c>
      <x:c r="R1811" s="84" t="n">
        <x:f>'Raw Sales'!J1811</x:f>
        <x:v>1</x:v>
      </x:c>
      <x:c r="S1811" s="87" t="n">
        <x:f>'Raw Sales'!K1811</x:f>
        <x:v>0</x:v>
      </x:c>
      <x:c r="T1811" s="93" t="n">
        <x:f>P1811*R1811</x:f>
        <x:v>119</x:v>
      </x:c>
      <x:c r="U1811" s="93" t="n">
        <x:f>T1811*S1811</x:f>
        <x:v>0</x:v>
      </x:c>
      <x:c r="V1811" s="93" t="str">
        <x:f>PROPER(TRIM('Raw Sales'!L1811))</x:f>
        <x:v>Completed</x:v>
      </x:c>
      <x:c r="W1811" s="93" t="n">
        <x:f>IF(V1811="Returned",0,T1811-U1811)</x:f>
        <x:v>119</x:v>
      </x:c>
      <x:c r="X1811" s="93" t="n">
        <x:f>IF(V1811="Returned",Q1811*R1811*10%,Q1811*R1811)</x:f>
        <x:v>68</x:v>
      </x:c>
      <x:c r="Y1811" s="93" t="n">
        <x:f>W1811-X1811</x:f>
        <x:v>51</x:v>
      </x:c>
      <x:c r="Z1811" s="94" t="n">
        <x:f>IFERROR(Y1811/W1811,0)</x:f>
        <x:v>0.42857142857142855</x:v>
      </x:c>
      <x:c r="AA1811" s="84" t="str">
        <x:f>PROPER(TRIM('Raw Sales'!M1811))</x:f>
        <x:v>Paypal</x:v>
      </x:c>
      <x:c r="AB1811" s="84" t="str">
        <x:f>PROPER(TRIM('Raw Sales'!N1811))</x:f>
        <x:v>Liam Parker</x:v>
      </x:c>
      <x:c r="AC1811" s="85" t="n">
        <x:f>'Raw Sales'!O1811</x:f>
        <x:v>45884</x:v>
      </x:c>
      <x:c r="AD1811" s="84" t="n">
        <x:f>AC1811-B1811</x:f>
        <x:v>3</x:v>
      </x:c>
      <x:c r="AE1811" s="84" t="str">
        <x:f>IF(COUNTIF($A$5:A1811,A1811)&gt;1,"Duplicate","Keep")</x:f>
        <x:v>Keep</x:v>
      </x:c>
      <x:c r="AF1811" s="84" t="str">
        <x:f>IF(OR(R1811&lt;=0,AC1811&lt;B1811,H1811="Unknown",M1811="Unknown Product"),"Review","Valid")</x:f>
        <x:v>Valid</x:v>
      </x:c>
      <x:c r="AG1811" s="84" t="n">
        <x:f>IF(AND(AE1811="Keep",AF1811="Valid"),1,0)</x:f>
        <x:v>1</x:v>
      </x:c>
      <x:c r="AH1811" s="84" t="n">
        <x:f>IF(AND(AG1811=1,OR('Dashboard'!$B$4="All",I1811='Dashboard'!$B$4),OR('Dashboard'!$E$4="All",N1811='Dashboard'!$E$4),OR('Dashboard'!$H$4="All",K1811='Dashboard'!$H$4),OR('Dashboard'!$K$4="All",C1811='Dashboard'!$K$4)),1,0)</x:f>
        <x:v>1</x:v>
      </x:c>
      <x:c r="AI1811" s="84" t="n">
        <x:f>IF(AND(AG1811=1,OR('Dashboard'!$B$4="All",I1811='Dashboard'!$B$4),OR('Dashboard'!$E$4="All",N1811='Dashboard'!$E$4),OR('Dashboard'!$H$4="All",K1811='Dashboard'!$H$4)),1,0)</x:f>
        <x:v>1</x:v>
      </x:c>
    </x:row>
    <x:row r="1812">
      <x:c r="A1812" s="84" t="str">
        <x:f>'Raw Sales'!A1812</x:f>
        <x:v>ORD-2025-00347</x:v>
      </x:c>
      <x:c r="B1812" s="85" t="n">
        <x:f>'Raw Sales'!B1812</x:f>
        <x:v>45881</x:v>
      </x:c>
      <x:c r="C1812" s="84" t="n">
        <x:f>YEAR(B1812)</x:f>
        <x:v>2025</x:v>
      </x:c>
      <x:c r="D1812" s="91" t="n">
        <x:f>DATE(YEAR(B1812),MONTH(B1812),1)</x:f>
        <x:v>45870</x:v>
      </x:c>
      <x:c r="E1812" s="84" t="str">
        <x:f>TEXT(B1812,"mmm")</x:f>
        <x:v>Aug</x:v>
      </x:c>
      <x:c r="F1812" s="84" t="str">
        <x:f>'Raw Sales'!C1812</x:f>
        <x:v>CUST-0154</x:v>
      </x:c>
      <x:c r="G1812" s="84" t="str">
        <x:f>PROPER(TRIM('Raw Sales'!D1812))</x:f>
        <x:v>Priya Moore</x:v>
      </x:c>
      <x:c r="H1812" s="84" t="str">
        <x:f>IF(TRIM('Raw Sales'!E1812)="","Unknown",PROPER(TRIM('Raw Sales'!E1812)))</x:f>
        <x:v>Consumer</x:v>
      </x:c>
      <x:c r="I1812" s="84" t="str">
        <x:f>PROPER(TRIM('Raw Sales'!F1812))</x:f>
        <x:v>West</x:v>
      </x:c>
      <x:c r="J1812" s="84" t="str">
        <x:f>PROPER(TRIM('Raw Sales'!G1812))</x:f>
        <x:v>Denver</x:v>
      </x:c>
      <x:c r="K1812" s="84" t="str">
        <x:f>PROPER(TRIM('Raw Sales'!H1812))</x:f>
        <x:v>Marketplace</x:v>
      </x:c>
      <x:c r="L1812" s="84" t="str">
        <x:f>'Raw Sales'!I1812</x:f>
        <x:v>OFFC-005</x:v>
      </x:c>
      <x:c r="M1812" s="84" t="str">
        <x:f>IFERROR(VLOOKUP(L1812,'Reference Data'!$A$5:$F$40,2,FALSE),"Unknown Product")</x:f>
        <x:v>Wireless Keyboard</x:v>
      </x:c>
      <x:c r="N1812" s="84" t="str">
        <x:f>IFERROR(VLOOKUP(L1812,'Reference Data'!$A$5:$F$40,3,FALSE),"Unknown")</x:f>
        <x:v>Office</x:v>
      </x:c>
      <x:c r="O1812" s="84" t="str">
        <x:f>IFERROR(VLOOKUP(L1812,'Reference Data'!$A$5:$F$40,4,FALSE),"Unknown")</x:f>
        <x:v>Computer Accessories</x:v>
      </x:c>
      <x:c r="P1812" s="92" t="n">
        <x:f>IFERROR(VLOOKUP(L1812,'Reference Data'!$A$5:$F$40,5,FALSE),0)</x:f>
        <x:v>59</x:v>
      </x:c>
      <x:c r="Q1812" s="92" t="n">
        <x:f>IFERROR(VLOOKUP(L1812,'Reference Data'!$A$5:$F$40,6,FALSE),0)</x:f>
        <x:v>28</x:v>
      </x:c>
      <x:c r="R1812" s="84" t="n">
        <x:f>'Raw Sales'!J1812</x:f>
        <x:v>1</x:v>
      </x:c>
      <x:c r="S1812" s="87" t="n">
        <x:f>'Raw Sales'!K1812</x:f>
        <x:v>0.15</x:v>
      </x:c>
      <x:c r="T1812" s="93" t="n">
        <x:f>P1812*R1812</x:f>
        <x:v>59</x:v>
      </x:c>
      <x:c r="U1812" s="93" t="n">
        <x:f>T1812*S1812</x:f>
        <x:v>8.85</x:v>
      </x:c>
      <x:c r="V1812" s="93" t="str">
        <x:f>PROPER(TRIM('Raw Sales'!L1812))</x:f>
        <x:v>Completed</x:v>
      </x:c>
      <x:c r="W1812" s="93" t="n">
        <x:f>IF(V1812="Returned",0,T1812-U1812)</x:f>
        <x:v>50.15</x:v>
      </x:c>
      <x:c r="X1812" s="93" t="n">
        <x:f>IF(V1812="Returned",Q1812*R1812*10%,Q1812*R1812)</x:f>
        <x:v>28</x:v>
      </x:c>
      <x:c r="Y1812" s="93" t="n">
        <x:f>W1812-X1812</x:f>
        <x:v>22.15</x:v>
      </x:c>
      <x:c r="Z1812" s="94" t="n">
        <x:f>IFERROR(Y1812/W1812,0)</x:f>
        <x:v>0.44167497507477566</x:v>
      </x:c>
      <x:c r="AA1812" s="84" t="str">
        <x:f>PROPER(TRIM('Raw Sales'!M1812))</x:f>
        <x:v>Paypal</x:v>
      </x:c>
      <x:c r="AB1812" s="84" t="str">
        <x:f>PROPER(TRIM('Raw Sales'!N1812))</x:f>
        <x:v>Leo Martinez</x:v>
      </x:c>
      <x:c r="AC1812" s="85" t="n">
        <x:f>'Raw Sales'!O1812</x:f>
        <x:v>45887</x:v>
      </x:c>
      <x:c r="AD1812" s="84" t="n">
        <x:f>AC1812-B1812</x:f>
        <x:v>6</x:v>
      </x:c>
      <x:c r="AE1812" s="84" t="str">
        <x:f>IF(COUNTIF($A$5:A1812,A1812)&gt;1,"Duplicate","Keep")</x:f>
        <x:v>Keep</x:v>
      </x:c>
      <x:c r="AF1812" s="84" t="str">
        <x:f>IF(OR(R1812&lt;=0,AC1812&lt;B1812,H1812="Unknown",M1812="Unknown Product"),"Review","Valid")</x:f>
        <x:v>Valid</x:v>
      </x:c>
      <x:c r="AG1812" s="84" t="n">
        <x:f>IF(AND(AE1812="Keep",AF1812="Valid"),1,0)</x:f>
        <x:v>1</x:v>
      </x:c>
      <x:c r="AH1812" s="84" t="n">
        <x:f>IF(AND(AG1812=1,OR('Dashboard'!$B$4="All",I1812='Dashboard'!$B$4),OR('Dashboard'!$E$4="All",N1812='Dashboard'!$E$4),OR('Dashboard'!$H$4="All",K1812='Dashboard'!$H$4),OR('Dashboard'!$K$4="All",C1812='Dashboard'!$K$4)),1,0)</x:f>
        <x:v>1</x:v>
      </x:c>
      <x:c r="AI1812" s="84" t="n">
        <x:f>IF(AND(AG1812=1,OR('Dashboard'!$B$4="All",I1812='Dashboard'!$B$4),OR('Dashboard'!$E$4="All",N1812='Dashboard'!$E$4),OR('Dashboard'!$H$4="All",K1812='Dashboard'!$H$4)),1,0)</x:f>
        <x:v>1</x:v>
      </x:c>
    </x:row>
    <x:row r="1813">
      <x:c r="A1813" s="84" t="str">
        <x:f>'Raw Sales'!A1813</x:f>
        <x:v>ORD-2025-01989</x:v>
      </x:c>
      <x:c r="B1813" s="85" t="n">
        <x:f>'Raw Sales'!B1813</x:f>
        <x:v>45881</x:v>
      </x:c>
      <x:c r="C1813" s="84" t="n">
        <x:f>YEAR(B1813)</x:f>
        <x:v>2025</x:v>
      </x:c>
      <x:c r="D1813" s="91" t="n">
        <x:f>DATE(YEAR(B1813),MONTH(B1813),1)</x:f>
        <x:v>45870</x:v>
      </x:c>
      <x:c r="E1813" s="84" t="str">
        <x:f>TEXT(B1813,"mmm")</x:f>
        <x:v>Aug</x:v>
      </x:c>
      <x:c r="F1813" s="84" t="str">
        <x:f>'Raw Sales'!C1813</x:f>
        <x:v>CUST-0082</x:v>
      </x:c>
      <x:c r="G1813" s="84" t="str">
        <x:f>PROPER(TRIM('Raw Sales'!D1813))</x:f>
        <x:v>Isaac Patel</x:v>
      </x:c>
      <x:c r="H1813" s="84" t="str">
        <x:f>IF(TRIM('Raw Sales'!E1813)="","Unknown",PROPER(TRIM('Raw Sales'!E1813)))</x:f>
        <x:v>Small Business</x:v>
      </x:c>
      <x:c r="I1813" s="84" t="str">
        <x:f>PROPER(TRIM('Raw Sales'!F1813))</x:f>
        <x:v>West</x:v>
      </x:c>
      <x:c r="J1813" s="84" t="str">
        <x:f>PROPER(TRIM('Raw Sales'!G1813))</x:f>
        <x:v>Denver</x:v>
      </x:c>
      <x:c r="K1813" s="84" t="str">
        <x:f>PROPER(TRIM('Raw Sales'!H1813))</x:f>
        <x:v>Online</x:v>
      </x:c>
      <x:c r="L1813" s="84" t="str">
        <x:f>'Raw Sales'!I1813</x:f>
        <x:v>FITN-002</x:v>
      </x:c>
      <x:c r="M1813" s="84" t="str">
        <x:f>IFERROR(VLOOKUP(L1813,'Reference Data'!$A$5:$F$40,2,FALSE),"Unknown Product")</x:f>
        <x:v>Adjustable Dumbbell Set</x:v>
      </x:c>
      <x:c r="N1813" s="84" t="str">
        <x:f>IFERROR(VLOOKUP(L1813,'Reference Data'!$A$5:$F$40,3,FALSE),"Unknown")</x:f>
        <x:v>Fitness</x:v>
      </x:c>
      <x:c r="O1813" s="84" t="str">
        <x:f>IFERROR(VLOOKUP(L1813,'Reference Data'!$A$5:$F$40,4,FALSE),"Unknown")</x:f>
        <x:v>Strength</x:v>
      </x:c>
      <x:c r="P1813" s="92" t="n">
        <x:f>IFERROR(VLOOKUP(L1813,'Reference Data'!$A$5:$F$40,5,FALSE),0)</x:f>
        <x:v>99</x:v>
      </x:c>
      <x:c r="Q1813" s="92" t="n">
        <x:f>IFERROR(VLOOKUP(L1813,'Reference Data'!$A$5:$F$40,6,FALSE),0)</x:f>
        <x:v>57</x:v>
      </x:c>
      <x:c r="R1813" s="84" t="n">
        <x:f>'Raw Sales'!J1813</x:f>
        <x:v>1</x:v>
      </x:c>
      <x:c r="S1813" s="87" t="n">
        <x:f>'Raw Sales'!K1813</x:f>
        <x:v>0.1</x:v>
      </x:c>
      <x:c r="T1813" s="93" t="n">
        <x:f>P1813*R1813</x:f>
        <x:v>99</x:v>
      </x:c>
      <x:c r="U1813" s="93" t="n">
        <x:f>T1813*S1813</x:f>
        <x:v>9.9</x:v>
      </x:c>
      <x:c r="V1813" s="93" t="str">
        <x:f>PROPER(TRIM('Raw Sales'!L1813))</x:f>
        <x:v>Completed</x:v>
      </x:c>
      <x:c r="W1813" s="93" t="n">
        <x:f>IF(V1813="Returned",0,T1813-U1813)</x:f>
        <x:v>89.1</x:v>
      </x:c>
      <x:c r="X1813" s="93" t="n">
        <x:f>IF(V1813="Returned",Q1813*R1813*10%,Q1813*R1813)</x:f>
        <x:v>57</x:v>
      </x:c>
      <x:c r="Y1813" s="93" t="n">
        <x:f>W1813-X1813</x:f>
        <x:v>32.099999999999994</x:v>
      </x:c>
      <x:c r="Z1813" s="94" t="n">
        <x:f>IFERROR(Y1813/W1813,0)</x:f>
        <x:v>0.36026936026936024</x:v>
      </x:c>
      <x:c r="AA1813" s="84" t="str">
        <x:f>PROPER(TRIM('Raw Sales'!M1813))</x:f>
        <x:v>Credit Card</x:v>
      </x:c>
      <x:c r="AB1813" s="84" t="str">
        <x:f>PROPER(TRIM('Raw Sales'!N1813))</x:f>
        <x:v>Mia Chen</x:v>
      </x:c>
      <x:c r="AC1813" s="85" t="n">
        <x:f>'Raw Sales'!O1813</x:f>
        <x:v>45884</x:v>
      </x:c>
      <x:c r="AD1813" s="84" t="n">
        <x:f>AC1813-B1813</x:f>
        <x:v>3</x:v>
      </x:c>
      <x:c r="AE1813" s="84" t="str">
        <x:f>IF(COUNTIF($A$5:A1813,A1813)&gt;1,"Duplicate","Keep")</x:f>
        <x:v>Keep</x:v>
      </x:c>
      <x:c r="AF1813" s="84" t="str">
        <x:f>IF(OR(R1813&lt;=0,AC1813&lt;B1813,H1813="Unknown",M1813="Unknown Product"),"Review","Valid")</x:f>
        <x:v>Valid</x:v>
      </x:c>
      <x:c r="AG1813" s="84" t="n">
        <x:f>IF(AND(AE1813="Keep",AF1813="Valid"),1,0)</x:f>
        <x:v>1</x:v>
      </x:c>
      <x:c r="AH1813" s="84" t="n">
        <x:f>IF(AND(AG1813=1,OR('Dashboard'!$B$4="All",I1813='Dashboard'!$B$4),OR('Dashboard'!$E$4="All",N1813='Dashboard'!$E$4),OR('Dashboard'!$H$4="All",K1813='Dashboard'!$H$4),OR('Dashboard'!$K$4="All",C1813='Dashboard'!$K$4)),1,0)</x:f>
        <x:v>1</x:v>
      </x:c>
      <x:c r="AI1813" s="84" t="n">
        <x:f>IF(AND(AG1813=1,OR('Dashboard'!$B$4="All",I1813='Dashboard'!$B$4),OR('Dashboard'!$E$4="All",N1813='Dashboard'!$E$4),OR('Dashboard'!$H$4="All",K1813='Dashboard'!$H$4)),1,0)</x:f>
        <x:v>1</x:v>
      </x:c>
    </x:row>
    <x:row r="1814">
      <x:c r="A1814" s="84" t="str">
        <x:f>'Raw Sales'!A1814</x:f>
        <x:v>ORD-2025-00185</x:v>
      </x:c>
      <x:c r="B1814" s="85" t="n">
        <x:f>'Raw Sales'!B1814</x:f>
        <x:v>45882</x:v>
      </x:c>
      <x:c r="C1814" s="84" t="n">
        <x:f>YEAR(B1814)</x:f>
        <x:v>2025</x:v>
      </x:c>
      <x:c r="D1814" s="91" t="n">
        <x:f>DATE(YEAR(B1814),MONTH(B1814),1)</x:f>
        <x:v>45870</x:v>
      </x:c>
      <x:c r="E1814" s="84" t="str">
        <x:f>TEXT(B1814,"mmm")</x:f>
        <x:v>Aug</x:v>
      </x:c>
      <x:c r="F1814" s="84" t="str">
        <x:f>'Raw Sales'!C1814</x:f>
        <x:v>CUST-0377</x:v>
      </x:c>
      <x:c r="G1814" s="84" t="str">
        <x:f>PROPER(TRIM('Raw Sales'!D1814))</x:f>
        <x:v>Owen Adams</x:v>
      </x:c>
      <x:c r="H1814" s="84" t="str">
        <x:f>IF(TRIM('Raw Sales'!E1814)="","Unknown",PROPER(TRIM('Raw Sales'!E1814)))</x:f>
        <x:v>Consumer</x:v>
      </x:c>
      <x:c r="I1814" s="84" t="str">
        <x:f>PROPER(TRIM('Raw Sales'!F1814))</x:f>
        <x:v>Northeast</x:v>
      </x:c>
      <x:c r="J1814" s="84" t="str">
        <x:f>PROPER(TRIM('Raw Sales'!G1814))</x:f>
        <x:v>Boston</x:v>
      </x:c>
      <x:c r="K1814" s="84" t="str">
        <x:f>PROPER(TRIM('Raw Sales'!H1814))</x:f>
        <x:v>Online</x:v>
      </x:c>
      <x:c r="L1814" s="84" t="str">
        <x:f>'Raw Sales'!I1814</x:f>
        <x:v>ELEC-001</x:v>
      </x:c>
      <x:c r="M1814" s="84" t="str">
        <x:f>IFERROR(VLOOKUP(L1814,'Reference Data'!$A$5:$F$40,2,FALSE),"Unknown Product")</x:f>
        <x:v>Wireless Earbuds</x:v>
      </x:c>
      <x:c r="N1814" s="84" t="str">
        <x:f>IFERROR(VLOOKUP(L1814,'Reference Data'!$A$5:$F$40,3,FALSE),"Unknown")</x:f>
        <x:v>Electronics</x:v>
      </x:c>
      <x:c r="O1814" s="84" t="str">
        <x:f>IFERROR(VLOOKUP(L1814,'Reference Data'!$A$5:$F$40,4,FALSE),"Unknown")</x:f>
        <x:v>Audio</x:v>
      </x:c>
      <x:c r="P1814" s="92" t="n">
        <x:f>IFERROR(VLOOKUP(L1814,'Reference Data'!$A$5:$F$40,5,FALSE),0)</x:f>
        <x:v>69</x:v>
      </x:c>
      <x:c r="Q1814" s="92" t="n">
        <x:f>IFERROR(VLOOKUP(L1814,'Reference Data'!$A$5:$F$40,6,FALSE),0)</x:f>
        <x:v>36</x:v>
      </x:c>
      <x:c r="R1814" s="84" t="n">
        <x:f>'Raw Sales'!J1814</x:f>
        <x:v>1</x:v>
      </x:c>
      <x:c r="S1814" s="87" t="n">
        <x:f>'Raw Sales'!K1814</x:f>
        <x:v>0.1</x:v>
      </x:c>
      <x:c r="T1814" s="93" t="n">
        <x:f>P1814*R1814</x:f>
        <x:v>69</x:v>
      </x:c>
      <x:c r="U1814" s="93" t="n">
        <x:f>T1814*S1814</x:f>
        <x:v>6.9</x:v>
      </x:c>
      <x:c r="V1814" s="93" t="str">
        <x:f>PROPER(TRIM('Raw Sales'!L1814))</x:f>
        <x:v>Completed</x:v>
      </x:c>
      <x:c r="W1814" s="93" t="n">
        <x:f>IF(V1814="Returned",0,T1814-U1814)</x:f>
        <x:v>62.1</x:v>
      </x:c>
      <x:c r="X1814" s="93" t="n">
        <x:f>IF(V1814="Returned",Q1814*R1814*10%,Q1814*R1814)</x:f>
        <x:v>36</x:v>
      </x:c>
      <x:c r="Y1814" s="93" t="n">
        <x:f>W1814-X1814</x:f>
        <x:v>26.1</x:v>
      </x:c>
      <x:c r="Z1814" s="94" t="n">
        <x:f>IFERROR(Y1814/W1814,0)</x:f>
        <x:v>0.4202898550724638</x:v>
      </x:c>
      <x:c r="AA1814" s="84" t="str">
        <x:f>PROPER(TRIM('Raw Sales'!M1814))</x:f>
        <x:v>Credit Card</x:v>
      </x:c>
      <x:c r="AB1814" s="84" t="str">
        <x:f>PROPER(TRIM('Raw Sales'!N1814))</x:f>
        <x:v>Ethan Cole</x:v>
      </x:c>
      <x:c r="AC1814" s="85" t="n">
        <x:f>'Raw Sales'!O1814</x:f>
        <x:v>45884</x:v>
      </x:c>
      <x:c r="AD1814" s="84" t="n">
        <x:f>AC1814-B1814</x:f>
        <x:v>2</x:v>
      </x:c>
      <x:c r="AE1814" s="84" t="str">
        <x:f>IF(COUNTIF($A$5:A1814,A1814)&gt;1,"Duplicate","Keep")</x:f>
        <x:v>Keep</x:v>
      </x:c>
      <x:c r="AF1814" s="84" t="str">
        <x:f>IF(OR(R1814&lt;=0,AC1814&lt;B1814,H1814="Unknown",M1814="Unknown Product"),"Review","Valid")</x:f>
        <x:v>Valid</x:v>
      </x:c>
      <x:c r="AG1814" s="84" t="n">
        <x:f>IF(AND(AE1814="Keep",AF1814="Valid"),1,0)</x:f>
        <x:v>1</x:v>
      </x:c>
      <x:c r="AH1814" s="84" t="n">
        <x:f>IF(AND(AG1814=1,OR('Dashboard'!$B$4="All",I1814='Dashboard'!$B$4),OR('Dashboard'!$E$4="All",N1814='Dashboard'!$E$4),OR('Dashboard'!$H$4="All",K1814='Dashboard'!$H$4),OR('Dashboard'!$K$4="All",C1814='Dashboard'!$K$4)),1,0)</x:f>
        <x:v>1</x:v>
      </x:c>
      <x:c r="AI1814" s="84" t="n">
        <x:f>IF(AND(AG1814=1,OR('Dashboard'!$B$4="All",I1814='Dashboard'!$B$4),OR('Dashboard'!$E$4="All",N1814='Dashboard'!$E$4),OR('Dashboard'!$H$4="All",K1814='Dashboard'!$H$4)),1,0)</x:f>
        <x:v>1</x:v>
      </x:c>
    </x:row>
    <x:row r="1815">
      <x:c r="A1815" s="84" t="str">
        <x:f>'Raw Sales'!A1815</x:f>
        <x:v>ORD-2025-01804</x:v>
      </x:c>
      <x:c r="B1815" s="85" t="n">
        <x:f>'Raw Sales'!B1815</x:f>
        <x:v>45882</x:v>
      </x:c>
      <x:c r="C1815" s="84" t="n">
        <x:f>YEAR(B1815)</x:f>
        <x:v>2025</x:v>
      </x:c>
      <x:c r="D1815" s="91" t="n">
        <x:f>DATE(YEAR(B1815),MONTH(B1815),1)</x:f>
        <x:v>45870</x:v>
      </x:c>
      <x:c r="E1815" s="84" t="str">
        <x:f>TEXT(B1815,"mmm")</x:f>
        <x:v>Aug</x:v>
      </x:c>
      <x:c r="F1815" s="84" t="str">
        <x:f>'Raw Sales'!C1815</x:f>
        <x:v>CUST-0205</x:v>
      </x:c>
      <x:c r="G1815" s="84" t="str">
        <x:f>PROPER(TRIM('Raw Sales'!D1815))</x:f>
        <x:v>Elena Young</x:v>
      </x:c>
      <x:c r="H1815" s="84" t="str">
        <x:f>IF(TRIM('Raw Sales'!E1815)="","Unknown",PROPER(TRIM('Raw Sales'!E1815)))</x:f>
        <x:v>Corporate</x:v>
      </x:c>
      <x:c r="I1815" s="84" t="str">
        <x:f>PROPER(TRIM('Raw Sales'!F1815))</x:f>
        <x:v>West</x:v>
      </x:c>
      <x:c r="J1815" s="84" t="str">
        <x:f>PROPER(TRIM('Raw Sales'!G1815))</x:f>
        <x:v>Denver</x:v>
      </x:c>
      <x:c r="K1815" s="84" t="str">
        <x:f>PROPER(TRIM('Raw Sales'!H1815))</x:f>
        <x:v>Retail Store</x:v>
      </x:c>
      <x:c r="L1815" s="84" t="str">
        <x:f>'Raw Sales'!I1815</x:f>
        <x:v>ACCS-003</x:v>
      </x:c>
      <x:c r="M1815" s="84" t="str">
        <x:f>IFERROR(VLOOKUP(L1815,'Reference Data'!$A$5:$F$40,2,FALSE),"Unknown Product")</x:f>
        <x:v>Polarized Sunglasses</x:v>
      </x:c>
      <x:c r="N1815" s="84" t="str">
        <x:f>IFERROR(VLOOKUP(L1815,'Reference Data'!$A$5:$F$40,3,FALSE),"Unknown")</x:f>
        <x:v>Accessories</x:v>
      </x:c>
      <x:c r="O1815" s="84" t="str">
        <x:f>IFERROR(VLOOKUP(L1815,'Reference Data'!$A$5:$F$40,4,FALSE),"Unknown")</x:f>
        <x:v>Eyewear</x:v>
      </x:c>
      <x:c r="P1815" s="92" t="n">
        <x:f>IFERROR(VLOOKUP(L1815,'Reference Data'!$A$5:$F$40,5,FALSE),0)</x:f>
        <x:v>59</x:v>
      </x:c>
      <x:c r="Q1815" s="92" t="n">
        <x:f>IFERROR(VLOOKUP(L1815,'Reference Data'!$A$5:$F$40,6,FALSE),0)</x:f>
        <x:v>17</x:v>
      </x:c>
      <x:c r="R1815" s="84" t="n">
        <x:f>'Raw Sales'!J1815</x:f>
        <x:v>3</x:v>
      </x:c>
      <x:c r="S1815" s="87" t="n">
        <x:f>'Raw Sales'!K1815</x:f>
        <x:v>0.1</x:v>
      </x:c>
      <x:c r="T1815" s="93" t="n">
        <x:f>P1815*R1815</x:f>
        <x:v>177</x:v>
      </x:c>
      <x:c r="U1815" s="93" t="n">
        <x:f>T1815*S1815</x:f>
        <x:v>17.7</x:v>
      </x:c>
      <x:c r="V1815" s="93" t="str">
        <x:f>PROPER(TRIM('Raw Sales'!L1815))</x:f>
        <x:v>Completed</x:v>
      </x:c>
      <x:c r="W1815" s="93" t="n">
        <x:f>IF(V1815="Returned",0,T1815-U1815)</x:f>
        <x:v>159.3</x:v>
      </x:c>
      <x:c r="X1815" s="93" t="n">
        <x:f>IF(V1815="Returned",Q1815*R1815*10%,Q1815*R1815)</x:f>
        <x:v>51</x:v>
      </x:c>
      <x:c r="Y1815" s="93" t="n">
        <x:f>W1815-X1815</x:f>
        <x:v>108.30000000000001</x:v>
      </x:c>
      <x:c r="Z1815" s="94" t="n">
        <x:f>IFERROR(Y1815/W1815,0)</x:f>
        <x:v>0.67984934086629</x:v>
      </x:c>
      <x:c r="AA1815" s="84" t="str">
        <x:f>PROPER(TRIM('Raw Sales'!M1815))</x:f>
        <x:v>Credit Card</x:v>
      </x:c>
      <x:c r="AB1815" s="84" t="str">
        <x:f>PROPER(TRIM('Raw Sales'!N1815))</x:f>
        <x:v>Leo Martinez</x:v>
      </x:c>
      <x:c r="AC1815" s="85" t="n">
        <x:f>'Raw Sales'!O1815</x:f>
        <x:v>45882</x:v>
      </x:c>
      <x:c r="AD1815" s="84" t="n">
        <x:f>AC1815-B1815</x:f>
        <x:v>0</x:v>
      </x:c>
      <x:c r="AE1815" s="84" t="str">
        <x:f>IF(COUNTIF($A$5:A1815,A1815)&gt;1,"Duplicate","Keep")</x:f>
        <x:v>Keep</x:v>
      </x:c>
      <x:c r="AF1815" s="84" t="str">
        <x:f>IF(OR(R1815&lt;=0,AC1815&lt;B1815,H1815="Unknown",M1815="Unknown Product"),"Review","Valid")</x:f>
        <x:v>Valid</x:v>
      </x:c>
      <x:c r="AG1815" s="84" t="n">
        <x:f>IF(AND(AE1815="Keep",AF1815="Valid"),1,0)</x:f>
        <x:v>1</x:v>
      </x:c>
      <x:c r="AH1815" s="84" t="n">
        <x:f>IF(AND(AG1815=1,OR('Dashboard'!$B$4="All",I1815='Dashboard'!$B$4),OR('Dashboard'!$E$4="All",N1815='Dashboard'!$E$4),OR('Dashboard'!$H$4="All",K1815='Dashboard'!$H$4),OR('Dashboard'!$K$4="All",C1815='Dashboard'!$K$4)),1,0)</x:f>
        <x:v>1</x:v>
      </x:c>
      <x:c r="AI1815" s="84" t="n">
        <x:f>IF(AND(AG1815=1,OR('Dashboard'!$B$4="All",I1815='Dashboard'!$B$4),OR('Dashboard'!$E$4="All",N1815='Dashboard'!$E$4),OR('Dashboard'!$H$4="All",K1815='Dashboard'!$H$4)),1,0)</x:f>
        <x:v>1</x:v>
      </x:c>
    </x:row>
    <x:row r="1816">
      <x:c r="A1816" s="84" t="str">
        <x:f>'Raw Sales'!A1816</x:f>
        <x:v>ORD-2025-02369</x:v>
      </x:c>
      <x:c r="B1816" s="85" t="n">
        <x:f>'Raw Sales'!B1816</x:f>
        <x:v>45882</x:v>
      </x:c>
      <x:c r="C1816" s="84" t="n">
        <x:f>YEAR(B1816)</x:f>
        <x:v>2025</x:v>
      </x:c>
      <x:c r="D1816" s="91" t="n">
        <x:f>DATE(YEAR(B1816),MONTH(B1816),1)</x:f>
        <x:v>45870</x:v>
      </x:c>
      <x:c r="E1816" s="84" t="str">
        <x:f>TEXT(B1816,"mmm")</x:f>
        <x:v>Aug</x:v>
      </x:c>
      <x:c r="F1816" s="84" t="str">
        <x:f>'Raw Sales'!C1816</x:f>
        <x:v>CUST-0151</x:v>
      </x:c>
      <x:c r="G1816" s="84" t="str">
        <x:f>PROPER(TRIM('Raw Sales'!D1816))</x:f>
        <x:v>Theo Davis</x:v>
      </x:c>
      <x:c r="H1816" s="84" t="str">
        <x:f>IF(TRIM('Raw Sales'!E1816)="","Unknown",PROPER(TRIM('Raw Sales'!E1816)))</x:f>
        <x:v>Small Business</x:v>
      </x:c>
      <x:c r="I1816" s="84" t="str">
        <x:f>PROPER(TRIM('Raw Sales'!F1816))</x:f>
        <x:v>Southeast</x:v>
      </x:c>
      <x:c r="J1816" s="84" t="str">
        <x:f>PROPER(TRIM('Raw Sales'!G1816))</x:f>
        <x:v>Nashville</x:v>
      </x:c>
      <x:c r="K1816" s="84" t="str">
        <x:f>PROPER(TRIM('Raw Sales'!H1816))</x:f>
        <x:v>Online</x:v>
      </x:c>
      <x:c r="L1816" s="84" t="str">
        <x:f>'Raw Sales'!I1816</x:f>
        <x:v>CARE-005</x:v>
      </x:c>
      <x:c r="M1816" s="84" t="str">
        <x:f>IFERROR(VLOOKUP(L1816,'Reference Data'!$A$5:$F$40,2,FALSE),"Unknown Product")</x:f>
        <x:v>Skin Care Starter Kit</x:v>
      </x:c>
      <x:c r="N1816" s="84" t="str">
        <x:f>IFERROR(VLOOKUP(L1816,'Reference Data'!$A$5:$F$40,3,FALSE),"Unknown")</x:f>
        <x:v>Personal Care</x:v>
      </x:c>
      <x:c r="O1816" s="84" t="str">
        <x:f>IFERROR(VLOOKUP(L1816,'Reference Data'!$A$5:$F$40,4,FALSE),"Unknown")</x:f>
        <x:v>Skin Care</x:v>
      </x:c>
      <x:c r="P1816" s="92" t="n">
        <x:f>IFERROR(VLOOKUP(L1816,'Reference Data'!$A$5:$F$40,5,FALSE),0)</x:f>
        <x:v>58</x:v>
      </x:c>
      <x:c r="Q1816" s="92" t="n">
        <x:f>IFERROR(VLOOKUP(L1816,'Reference Data'!$A$5:$F$40,6,FALSE),0)</x:f>
        <x:v>24</x:v>
      </x:c>
      <x:c r="R1816" s="84" t="n">
        <x:f>'Raw Sales'!J1816</x:f>
        <x:v>2</x:v>
      </x:c>
      <x:c r="S1816" s="87" t="n">
        <x:f>'Raw Sales'!K1816</x:f>
        <x:v>0.1</x:v>
      </x:c>
      <x:c r="T1816" s="93" t="n">
        <x:f>P1816*R1816</x:f>
        <x:v>116</x:v>
      </x:c>
      <x:c r="U1816" s="93" t="n">
        <x:f>T1816*S1816</x:f>
        <x:v>11.600000000000001</x:v>
      </x:c>
      <x:c r="V1816" s="93" t="str">
        <x:f>PROPER(TRIM('Raw Sales'!L1816))</x:f>
        <x:v>Completed</x:v>
      </x:c>
      <x:c r="W1816" s="93" t="n">
        <x:f>IF(V1816="Returned",0,T1816-U1816)</x:f>
        <x:v>104.4</x:v>
      </x:c>
      <x:c r="X1816" s="93" t="n">
        <x:f>IF(V1816="Returned",Q1816*R1816*10%,Q1816*R1816)</x:f>
        <x:v>48</x:v>
      </x:c>
      <x:c r="Y1816" s="93" t="n">
        <x:f>W1816-X1816</x:f>
        <x:v>56.400000000000006</x:v>
      </x:c>
      <x:c r="Z1816" s="94" t="n">
        <x:f>IFERROR(Y1816/W1816,0)</x:f>
        <x:v>0.5402298850574713</x:v>
      </x:c>
      <x:c r="AA1816" s="84" t="str">
        <x:f>PROPER(TRIM('Raw Sales'!M1816))</x:f>
        <x:v>Debit Card</x:v>
      </x:c>
      <x:c r="AB1816" s="84" t="str">
        <x:f>PROPER(TRIM('Raw Sales'!N1816))</x:f>
        <x:v>Noah Reed</x:v>
      </x:c>
      <x:c r="AC1816" s="85" t="n">
        <x:f>'Raw Sales'!O1816</x:f>
        <x:v>45885</x:v>
      </x:c>
      <x:c r="AD1816" s="84" t="n">
        <x:f>AC1816-B1816</x:f>
        <x:v>3</x:v>
      </x:c>
      <x:c r="AE1816" s="84" t="str">
        <x:f>IF(COUNTIF($A$5:A1816,A1816)&gt;1,"Duplicate","Keep")</x:f>
        <x:v>Keep</x:v>
      </x:c>
      <x:c r="AF1816" s="84" t="str">
        <x:f>IF(OR(R1816&lt;=0,AC1816&lt;B1816,H1816="Unknown",M1816="Unknown Product"),"Review","Valid")</x:f>
        <x:v>Valid</x:v>
      </x:c>
      <x:c r="AG1816" s="84" t="n">
        <x:f>IF(AND(AE1816="Keep",AF1816="Valid"),1,0)</x:f>
        <x:v>1</x:v>
      </x:c>
      <x:c r="AH1816" s="84" t="n">
        <x:f>IF(AND(AG1816=1,OR('Dashboard'!$B$4="All",I1816='Dashboard'!$B$4),OR('Dashboard'!$E$4="All",N1816='Dashboard'!$E$4),OR('Dashboard'!$H$4="All",K1816='Dashboard'!$H$4),OR('Dashboard'!$K$4="All",C1816='Dashboard'!$K$4)),1,0)</x:f>
        <x:v>1</x:v>
      </x:c>
      <x:c r="AI1816" s="84" t="n">
        <x:f>IF(AND(AG1816=1,OR('Dashboard'!$B$4="All",I1816='Dashboard'!$B$4),OR('Dashboard'!$E$4="All",N1816='Dashboard'!$E$4),OR('Dashboard'!$H$4="All",K1816='Dashboard'!$H$4)),1,0)</x:f>
        <x:v>1</x:v>
      </x:c>
    </x:row>
    <x:row r="1817">
      <x:c r="A1817" s="84" t="str">
        <x:f>'Raw Sales'!A1817</x:f>
        <x:v>ORD-2025-00283</x:v>
      </x:c>
      <x:c r="B1817" s="85" t="n">
        <x:f>'Raw Sales'!B1817</x:f>
        <x:v>45883</x:v>
      </x:c>
      <x:c r="C1817" s="84" t="n">
        <x:f>YEAR(B1817)</x:f>
        <x:v>2025</x:v>
      </x:c>
      <x:c r="D1817" s="91" t="n">
        <x:f>DATE(YEAR(B1817),MONTH(B1817),1)</x:f>
        <x:v>45870</x:v>
      </x:c>
      <x:c r="E1817" s="84" t="str">
        <x:f>TEXT(B1817,"mmm")</x:f>
        <x:v>Aug</x:v>
      </x:c>
      <x:c r="F1817" s="84" t="str">
        <x:f>'Raw Sales'!C1817</x:f>
        <x:v>CUST-0051</x:v>
      </x:c>
      <x:c r="G1817" s="84" t="str">
        <x:f>PROPER(TRIM('Raw Sales'!D1817))</x:f>
        <x:v>Marcus Moore</x:v>
      </x:c>
      <x:c r="H1817" s="84" t="str">
        <x:f>IF(TRIM('Raw Sales'!E1817)="","Unknown",PROPER(TRIM('Raw Sales'!E1817)))</x:f>
        <x:v>Consumer</x:v>
      </x:c>
      <x:c r="I1817" s="84" t="str">
        <x:f>PROPER(TRIM('Raw Sales'!F1817))</x:f>
        <x:v>West</x:v>
      </x:c>
      <x:c r="J1817" s="84" t="str">
        <x:f>PROPER(TRIM('Raw Sales'!G1817))</x:f>
        <x:v>Seattle</x:v>
      </x:c>
      <x:c r="K1817" s="84" t="str">
        <x:f>PROPER(TRIM('Raw Sales'!H1817))</x:f>
        <x:v>Online</x:v>
      </x:c>
      <x:c r="L1817" s="84" t="str">
        <x:f>'Raw Sales'!I1817</x:f>
        <x:v>HOME-006</x:v>
      </x:c>
      <x:c r="M1817" s="84" t="str">
        <x:f>IFERROR(VLOOKUP(L1817,'Reference Data'!$A$5:$F$40,2,FALSE),"Unknown Product")</x:f>
        <x:v>Food Storage Set</x:v>
      </x:c>
      <x:c r="N1817" s="84" t="str">
        <x:f>IFERROR(VLOOKUP(L1817,'Reference Data'!$A$5:$F$40,3,FALSE),"Unknown")</x:f>
        <x:v>Home &amp; Kitchen</x:v>
      </x:c>
      <x:c r="O1817" s="84" t="str">
        <x:f>IFERROR(VLOOKUP(L1817,'Reference Data'!$A$5:$F$40,4,FALSE),"Unknown")</x:f>
        <x:v>Kitchenware</x:v>
      </x:c>
      <x:c r="P1817" s="92" t="n">
        <x:f>IFERROR(VLOOKUP(L1817,'Reference Data'!$A$5:$F$40,5,FALSE),0)</x:f>
        <x:v>34</x:v>
      </x:c>
      <x:c r="Q1817" s="92" t="n">
        <x:f>IFERROR(VLOOKUP(L1817,'Reference Data'!$A$5:$F$40,6,FALSE),0)</x:f>
        <x:v>15</x:v>
      </x:c>
      <x:c r="R1817" s="84" t="n">
        <x:f>'Raw Sales'!J1817</x:f>
        <x:v>1</x:v>
      </x:c>
      <x:c r="S1817" s="87" t="n">
        <x:f>'Raw Sales'!K1817</x:f>
        <x:v>0.05</x:v>
      </x:c>
      <x:c r="T1817" s="93" t="n">
        <x:f>P1817*R1817</x:f>
        <x:v>34</x:v>
      </x:c>
      <x:c r="U1817" s="93" t="n">
        <x:f>T1817*S1817</x:f>
        <x:v>1.7000000000000002</x:v>
      </x:c>
      <x:c r="V1817" s="93" t="str">
        <x:f>PROPER(TRIM('Raw Sales'!L1817))</x:f>
        <x:v>Completed</x:v>
      </x:c>
      <x:c r="W1817" s="93" t="n">
        <x:f>IF(V1817="Returned",0,T1817-U1817)</x:f>
        <x:v>32.3</x:v>
      </x:c>
      <x:c r="X1817" s="93" t="n">
        <x:f>IF(V1817="Returned",Q1817*R1817*10%,Q1817*R1817)</x:f>
        <x:v>15</x:v>
      </x:c>
      <x:c r="Y1817" s="93" t="n">
        <x:f>W1817-X1817</x:f>
        <x:v>17.299999999999997</x:v>
      </x:c>
      <x:c r="Z1817" s="94" t="n">
        <x:f>IFERROR(Y1817/W1817,0)</x:f>
        <x:v>0.5356037151702786</x:v>
      </x:c>
      <x:c r="AA1817" s="84" t="str">
        <x:f>PROPER(TRIM('Raw Sales'!M1817))</x:f>
        <x:v>Credit Card</x:v>
      </x:c>
      <x:c r="AB1817" s="84" t="str">
        <x:f>PROPER(TRIM('Raw Sales'!N1817))</x:f>
        <x:v>Mia Chen</x:v>
      </x:c>
      <x:c r="AC1817" s="85" t="n">
        <x:f>'Raw Sales'!O1817</x:f>
        <x:v>45886</x:v>
      </x:c>
      <x:c r="AD1817" s="84" t="n">
        <x:f>AC1817-B1817</x:f>
        <x:v>3</x:v>
      </x:c>
      <x:c r="AE1817" s="84" t="str">
        <x:f>IF(COUNTIF($A$5:A1817,A1817)&gt;1,"Duplicate","Keep")</x:f>
        <x:v>Keep</x:v>
      </x:c>
      <x:c r="AF1817" s="84" t="str">
        <x:f>IF(OR(R1817&lt;=0,AC1817&lt;B1817,H1817="Unknown",M1817="Unknown Product"),"Review","Valid")</x:f>
        <x:v>Valid</x:v>
      </x:c>
      <x:c r="AG1817" s="84" t="n">
        <x:f>IF(AND(AE1817="Keep",AF1817="Valid"),1,0)</x:f>
        <x:v>1</x:v>
      </x:c>
      <x:c r="AH1817" s="84" t="n">
        <x:f>IF(AND(AG1817=1,OR('Dashboard'!$B$4="All",I1817='Dashboard'!$B$4),OR('Dashboard'!$E$4="All",N1817='Dashboard'!$E$4),OR('Dashboard'!$H$4="All",K1817='Dashboard'!$H$4),OR('Dashboard'!$K$4="All",C1817='Dashboard'!$K$4)),1,0)</x:f>
        <x:v>1</x:v>
      </x:c>
      <x:c r="AI1817" s="84" t="n">
        <x:f>IF(AND(AG1817=1,OR('Dashboard'!$B$4="All",I1817='Dashboard'!$B$4),OR('Dashboard'!$E$4="All",N1817='Dashboard'!$E$4),OR('Dashboard'!$H$4="All",K1817='Dashboard'!$H$4)),1,0)</x:f>
        <x:v>1</x:v>
      </x:c>
    </x:row>
    <x:row r="1818">
      <x:c r="A1818" s="84" t="str">
        <x:f>'Raw Sales'!A1818</x:f>
        <x:v>ORD-2025-00638</x:v>
      </x:c>
      <x:c r="B1818" s="85" t="n">
        <x:f>'Raw Sales'!B1818</x:f>
        <x:v>45883</x:v>
      </x:c>
      <x:c r="C1818" s="84" t="n">
        <x:f>YEAR(B1818)</x:f>
        <x:v>2025</x:v>
      </x:c>
      <x:c r="D1818" s="91" t="n">
        <x:f>DATE(YEAR(B1818),MONTH(B1818),1)</x:f>
        <x:v>45870</x:v>
      </x:c>
      <x:c r="E1818" s="84" t="str">
        <x:f>TEXT(B1818,"mmm")</x:f>
        <x:v>Aug</x:v>
      </x:c>
      <x:c r="F1818" s="84" t="str">
        <x:f>'Raw Sales'!C1818</x:f>
        <x:v>CUST-0429</x:v>
      </x:c>
      <x:c r="G1818" s="84" t="str">
        <x:f>PROPER(TRIM('Raw Sales'!D1818))</x:f>
        <x:v>Maya Smith</x:v>
      </x:c>
      <x:c r="H1818" s="84" t="str">
        <x:f>IF(TRIM('Raw Sales'!E1818)="","Unknown",PROPER(TRIM('Raw Sales'!E1818)))</x:f>
        <x:v>Small Business</x:v>
      </x:c>
      <x:c r="I1818" s="84" t="str">
        <x:f>PROPER(TRIM('Raw Sales'!F1818))</x:f>
        <x:v>West</x:v>
      </x:c>
      <x:c r="J1818" s="84" t="str">
        <x:f>PROPER(TRIM('Raw Sales'!G1818))</x:f>
        <x:v>Los Angeles</x:v>
      </x:c>
      <x:c r="K1818" s="84" t="str">
        <x:f>PROPER(TRIM('Raw Sales'!H1818))</x:f>
        <x:v>Retail Store</x:v>
      </x:c>
      <x:c r="L1818" s="84" t="str">
        <x:f>'Raw Sales'!I1818</x:f>
        <x:v>ELEC-002</x:v>
      </x:c>
      <x:c r="M1818" s="84" t="str">
        <x:f>IFERROR(VLOOKUP(L1818,'Reference Data'!$A$5:$F$40,2,FALSE),"Unknown Product")</x:f>
        <x:v>Smartwatch</x:v>
      </x:c>
      <x:c r="N1818" s="84" t="str">
        <x:f>IFERROR(VLOOKUP(L1818,'Reference Data'!$A$5:$F$40,3,FALSE),"Unknown")</x:f>
        <x:v>Electronics</x:v>
      </x:c>
      <x:c r="O1818" s="84" t="str">
        <x:f>IFERROR(VLOOKUP(L1818,'Reference Data'!$A$5:$F$40,4,FALSE),"Unknown")</x:f>
        <x:v>Wearables</x:v>
      </x:c>
      <x:c r="P1818" s="92" t="n">
        <x:f>IFERROR(VLOOKUP(L1818,'Reference Data'!$A$5:$F$40,5,FALSE),0)</x:f>
        <x:v>159</x:v>
      </x:c>
      <x:c r="Q1818" s="92" t="n">
        <x:f>IFERROR(VLOOKUP(L1818,'Reference Data'!$A$5:$F$40,6,FALSE),0)</x:f>
        <x:v>92</x:v>
      </x:c>
      <x:c r="R1818" s="84" t="n">
        <x:f>'Raw Sales'!J1818</x:f>
        <x:v>1</x:v>
      </x:c>
      <x:c r="S1818" s="87" t="n">
        <x:f>'Raw Sales'!K1818</x:f>
        <x:v>0</x:v>
      </x:c>
      <x:c r="T1818" s="93" t="n">
        <x:f>P1818*R1818</x:f>
        <x:v>159</x:v>
      </x:c>
      <x:c r="U1818" s="93" t="n">
        <x:f>T1818*S1818</x:f>
        <x:v>0</x:v>
      </x:c>
      <x:c r="V1818" s="93" t="str">
        <x:f>PROPER(TRIM('Raw Sales'!L1818))</x:f>
        <x:v>Completed</x:v>
      </x:c>
      <x:c r="W1818" s="93" t="n">
        <x:f>IF(V1818="Returned",0,T1818-U1818)</x:f>
        <x:v>159</x:v>
      </x:c>
      <x:c r="X1818" s="93" t="n">
        <x:f>IF(V1818="Returned",Q1818*R1818*10%,Q1818*R1818)</x:f>
        <x:v>92</x:v>
      </x:c>
      <x:c r="Y1818" s="93" t="n">
        <x:f>W1818-X1818</x:f>
        <x:v>67</x:v>
      </x:c>
      <x:c r="Z1818" s="94" t="n">
        <x:f>IFERROR(Y1818/W1818,0)</x:f>
        <x:v>0.42138364779874216</x:v>
      </x:c>
      <x:c r="AA1818" s="84" t="str">
        <x:f>PROPER(TRIM('Raw Sales'!M1818))</x:f>
        <x:v>Credit Card</x:v>
      </x:c>
      <x:c r="AB1818" s="84" t="str">
        <x:f>PROPER(TRIM('Raw Sales'!N1818))</x:f>
        <x:v>Leo Martinez</x:v>
      </x:c>
      <x:c r="AC1818" s="85" t="n">
        <x:f>'Raw Sales'!O1818</x:f>
        <x:v>45883</x:v>
      </x:c>
      <x:c r="AD1818" s="84" t="n">
        <x:f>AC1818-B1818</x:f>
        <x:v>0</x:v>
      </x:c>
      <x:c r="AE1818" s="84" t="str">
        <x:f>IF(COUNTIF($A$5:A1818,A1818)&gt;1,"Duplicate","Keep")</x:f>
        <x:v>Keep</x:v>
      </x:c>
      <x:c r="AF1818" s="84" t="str">
        <x:f>IF(OR(R1818&lt;=0,AC1818&lt;B1818,H1818="Unknown",M1818="Unknown Product"),"Review","Valid")</x:f>
        <x:v>Valid</x:v>
      </x:c>
      <x:c r="AG1818" s="84" t="n">
        <x:f>IF(AND(AE1818="Keep",AF1818="Valid"),1,0)</x:f>
        <x:v>1</x:v>
      </x:c>
      <x:c r="AH1818" s="84" t="n">
        <x:f>IF(AND(AG1818=1,OR('Dashboard'!$B$4="All",I1818='Dashboard'!$B$4),OR('Dashboard'!$E$4="All",N1818='Dashboard'!$E$4),OR('Dashboard'!$H$4="All",K1818='Dashboard'!$H$4),OR('Dashboard'!$K$4="All",C1818='Dashboard'!$K$4)),1,0)</x:f>
        <x:v>1</x:v>
      </x:c>
      <x:c r="AI1818" s="84" t="n">
        <x:f>IF(AND(AG1818=1,OR('Dashboard'!$B$4="All",I1818='Dashboard'!$B$4),OR('Dashboard'!$E$4="All",N1818='Dashboard'!$E$4),OR('Dashboard'!$H$4="All",K1818='Dashboard'!$H$4)),1,0)</x:f>
        <x:v>1</x:v>
      </x:c>
    </x:row>
    <x:row r="1819">
      <x:c r="A1819" s="84" t="str">
        <x:f>'Raw Sales'!A1819</x:f>
        <x:v>ORD-2025-01004</x:v>
      </x:c>
      <x:c r="B1819" s="85" t="n">
        <x:f>'Raw Sales'!B1819</x:f>
        <x:v>45883</x:v>
      </x:c>
      <x:c r="C1819" s="84" t="n">
        <x:f>YEAR(B1819)</x:f>
        <x:v>2025</x:v>
      </x:c>
      <x:c r="D1819" s="91" t="n">
        <x:f>DATE(YEAR(B1819),MONTH(B1819),1)</x:f>
        <x:v>45870</x:v>
      </x:c>
      <x:c r="E1819" s="84" t="str">
        <x:f>TEXT(B1819,"mmm")</x:f>
        <x:v>Aug</x:v>
      </x:c>
      <x:c r="F1819" s="84" t="str">
        <x:f>'Raw Sales'!C1819</x:f>
        <x:v>CUST-0035</x:v>
      </x:c>
      <x:c r="G1819" s="84" t="str">
        <x:f>PROPER(TRIM('Raw Sales'!D1819))</x:f>
        <x:v>Nathan Ortiz</x:v>
      </x:c>
      <x:c r="H1819" s="84" t="str">
        <x:f>IF(TRIM('Raw Sales'!E1819)="","Unknown",PROPER(TRIM('Raw Sales'!E1819)))</x:f>
        <x:v>Corporate</x:v>
      </x:c>
      <x:c r="I1819" s="84" t="str">
        <x:f>PROPER(TRIM('Raw Sales'!F1819))</x:f>
        <x:v>Southeast</x:v>
      </x:c>
      <x:c r="J1819" s="84" t="str">
        <x:f>PROPER(TRIM('Raw Sales'!G1819))</x:f>
        <x:v>Charlotte</x:v>
      </x:c>
      <x:c r="K1819" s="84" t="str">
        <x:f>PROPER(TRIM('Raw Sales'!H1819))</x:f>
        <x:v>Retail Store</x:v>
      </x:c>
      <x:c r="L1819" s="84" t="str">
        <x:f>'Raw Sales'!I1819</x:f>
        <x:v>FITN-005</x:v>
      </x:c>
      <x:c r="M1819" s="84" t="str">
        <x:f>IFERROR(VLOOKUP(L1819,'Reference Data'!$A$5:$F$40,2,FALSE),"Unknown Product")</x:f>
        <x:v>Sports Water Bottle</x:v>
      </x:c>
      <x:c r="N1819" s="84" t="str">
        <x:f>IFERROR(VLOOKUP(L1819,'Reference Data'!$A$5:$F$40,3,FALSE),"Unknown")</x:f>
        <x:v>Fitness</x:v>
      </x:c>
      <x:c r="O1819" s="84" t="str">
        <x:f>IFERROR(VLOOKUP(L1819,'Reference Data'!$A$5:$F$40,4,FALSE),"Unknown")</x:f>
        <x:v>Accessories</x:v>
      </x:c>
      <x:c r="P1819" s="92" t="n">
        <x:f>IFERROR(VLOOKUP(L1819,'Reference Data'!$A$5:$F$40,5,FALSE),0)</x:f>
        <x:v>22</x:v>
      </x:c>
      <x:c r="Q1819" s="92" t="n">
        <x:f>IFERROR(VLOOKUP(L1819,'Reference Data'!$A$5:$F$40,6,FALSE),0)</x:f>
        <x:v>7</x:v>
      </x:c>
      <x:c r="R1819" s="84" t="n">
        <x:f>'Raw Sales'!J1819</x:f>
        <x:v>6</x:v>
      </x:c>
      <x:c r="S1819" s="87" t="n">
        <x:f>'Raw Sales'!K1819</x:f>
        <x:v>0.1</x:v>
      </x:c>
      <x:c r="T1819" s="93" t="n">
        <x:f>P1819*R1819</x:f>
        <x:v>132</x:v>
      </x:c>
      <x:c r="U1819" s="93" t="n">
        <x:f>T1819*S1819</x:f>
        <x:v>13.200000000000001</x:v>
      </x:c>
      <x:c r="V1819" s="93" t="str">
        <x:f>PROPER(TRIM('Raw Sales'!L1819))</x:f>
        <x:v>Completed</x:v>
      </x:c>
      <x:c r="W1819" s="93" t="n">
        <x:f>IF(V1819="Returned",0,T1819-U1819)</x:f>
        <x:v>118.8</x:v>
      </x:c>
      <x:c r="X1819" s="93" t="n">
        <x:f>IF(V1819="Returned",Q1819*R1819*10%,Q1819*R1819)</x:f>
        <x:v>42</x:v>
      </x:c>
      <x:c r="Y1819" s="93" t="n">
        <x:f>W1819-X1819</x:f>
        <x:v>76.8</x:v>
      </x:c>
      <x:c r="Z1819" s="94" t="n">
        <x:f>IFERROR(Y1819/W1819,0)</x:f>
        <x:v>0.6464646464646464</x:v>
      </x:c>
      <x:c r="AA1819" s="84" t="str">
        <x:f>PROPER(TRIM('Raw Sales'!M1819))</x:f>
        <x:v>Credit Card</x:v>
      </x:c>
      <x:c r="AB1819" s="84" t="str">
        <x:f>PROPER(TRIM('Raw Sales'!N1819))</x:f>
        <x:v>Noah Reed</x:v>
      </x:c>
      <x:c r="AC1819" s="85" t="n">
        <x:f>'Raw Sales'!O1819</x:f>
        <x:v>45883</x:v>
      </x:c>
      <x:c r="AD1819" s="84" t="n">
        <x:f>AC1819-B1819</x:f>
        <x:v>0</x:v>
      </x:c>
      <x:c r="AE1819" s="84" t="str">
        <x:f>IF(COUNTIF($A$5:A1819,A1819)&gt;1,"Duplicate","Keep")</x:f>
        <x:v>Keep</x:v>
      </x:c>
      <x:c r="AF1819" s="84" t="str">
        <x:f>IF(OR(R1819&lt;=0,AC1819&lt;B1819,H1819="Unknown",M1819="Unknown Product"),"Review","Valid")</x:f>
        <x:v>Valid</x:v>
      </x:c>
      <x:c r="AG1819" s="84" t="n">
        <x:f>IF(AND(AE1819="Keep",AF1819="Valid"),1,0)</x:f>
        <x:v>1</x:v>
      </x:c>
      <x:c r="AH1819" s="84" t="n">
        <x:f>IF(AND(AG1819=1,OR('Dashboard'!$B$4="All",I1819='Dashboard'!$B$4),OR('Dashboard'!$E$4="All",N1819='Dashboard'!$E$4),OR('Dashboard'!$H$4="All",K1819='Dashboard'!$H$4),OR('Dashboard'!$K$4="All",C1819='Dashboard'!$K$4)),1,0)</x:f>
        <x:v>1</x:v>
      </x:c>
      <x:c r="AI1819" s="84" t="n">
        <x:f>IF(AND(AG1819=1,OR('Dashboard'!$B$4="All",I1819='Dashboard'!$B$4),OR('Dashboard'!$E$4="All",N1819='Dashboard'!$E$4),OR('Dashboard'!$H$4="All",K1819='Dashboard'!$H$4)),1,0)</x:f>
        <x:v>1</x:v>
      </x:c>
    </x:row>
    <x:row r="1820">
      <x:c r="A1820" s="84" t="str">
        <x:f>'Raw Sales'!A1820</x:f>
        <x:v>ORD-2025-02012</x:v>
      </x:c>
      <x:c r="B1820" s="85" t="n">
        <x:f>'Raw Sales'!B1820</x:f>
        <x:v>45883</x:v>
      </x:c>
      <x:c r="C1820" s="84" t="n">
        <x:f>YEAR(B1820)</x:f>
        <x:v>2025</x:v>
      </x:c>
      <x:c r="D1820" s="91" t="n">
        <x:f>DATE(YEAR(B1820),MONTH(B1820),1)</x:f>
        <x:v>45870</x:v>
      </x:c>
      <x:c r="E1820" s="84" t="str">
        <x:f>TEXT(B1820,"mmm")</x:f>
        <x:v>Aug</x:v>
      </x:c>
      <x:c r="F1820" s="84" t="str">
        <x:f>'Raw Sales'!C1820</x:f>
        <x:v>CUST-0565</x:v>
      </x:c>
      <x:c r="G1820" s="84" t="str">
        <x:f>PROPER(TRIM('Raw Sales'!D1820))</x:f>
        <x:v>Nathan Taylor</x:v>
      </x:c>
      <x:c r="H1820" s="84" t="str">
        <x:f>IF(TRIM('Raw Sales'!E1820)="","Unknown",PROPER(TRIM('Raw Sales'!E1820)))</x:f>
        <x:v>Consumer</x:v>
      </x:c>
      <x:c r="I1820" s="84" t="str">
        <x:f>PROPER(TRIM('Raw Sales'!F1820))</x:f>
        <x:v>West</x:v>
      </x:c>
      <x:c r="J1820" s="84" t="str">
        <x:f>PROPER(TRIM('Raw Sales'!G1820))</x:f>
        <x:v>Phoenix</x:v>
      </x:c>
      <x:c r="K1820" s="84" t="str">
        <x:f>PROPER(TRIM('Raw Sales'!H1820))</x:f>
        <x:v>Marketplace</x:v>
      </x:c>
      <x:c r="L1820" s="84" t="str">
        <x:f>'Raw Sales'!I1820</x:f>
        <x:v>FITN-002</x:v>
      </x:c>
      <x:c r="M1820" s="84" t="str">
        <x:f>IFERROR(VLOOKUP(L1820,'Reference Data'!$A$5:$F$40,2,FALSE),"Unknown Product")</x:f>
        <x:v>Adjustable Dumbbell Set</x:v>
      </x:c>
      <x:c r="N1820" s="84" t="str">
        <x:f>IFERROR(VLOOKUP(L1820,'Reference Data'!$A$5:$F$40,3,FALSE),"Unknown")</x:f>
        <x:v>Fitness</x:v>
      </x:c>
      <x:c r="O1820" s="84" t="str">
        <x:f>IFERROR(VLOOKUP(L1820,'Reference Data'!$A$5:$F$40,4,FALSE),"Unknown")</x:f>
        <x:v>Strength</x:v>
      </x:c>
      <x:c r="P1820" s="92" t="n">
        <x:f>IFERROR(VLOOKUP(L1820,'Reference Data'!$A$5:$F$40,5,FALSE),0)</x:f>
        <x:v>99</x:v>
      </x:c>
      <x:c r="Q1820" s="92" t="n">
        <x:f>IFERROR(VLOOKUP(L1820,'Reference Data'!$A$5:$F$40,6,FALSE),0)</x:f>
        <x:v>57</x:v>
      </x:c>
      <x:c r="R1820" s="84" t="n">
        <x:f>'Raw Sales'!J1820</x:f>
        <x:v>1</x:v>
      </x:c>
      <x:c r="S1820" s="87" t="n">
        <x:f>'Raw Sales'!K1820</x:f>
        <x:v>0.1</x:v>
      </x:c>
      <x:c r="T1820" s="93" t="n">
        <x:f>P1820*R1820</x:f>
        <x:v>99</x:v>
      </x:c>
      <x:c r="U1820" s="93" t="n">
        <x:f>T1820*S1820</x:f>
        <x:v>9.9</x:v>
      </x:c>
      <x:c r="V1820" s="93" t="str">
        <x:f>PROPER(TRIM('Raw Sales'!L1820))</x:f>
        <x:v>Completed</x:v>
      </x:c>
      <x:c r="W1820" s="93" t="n">
        <x:f>IF(V1820="Returned",0,T1820-U1820)</x:f>
        <x:v>89.1</x:v>
      </x:c>
      <x:c r="X1820" s="93" t="n">
        <x:f>IF(V1820="Returned",Q1820*R1820*10%,Q1820*R1820)</x:f>
        <x:v>57</x:v>
      </x:c>
      <x:c r="Y1820" s="93" t="n">
        <x:f>W1820-X1820</x:f>
        <x:v>32.099999999999994</x:v>
      </x:c>
      <x:c r="Z1820" s="94" t="n">
        <x:f>IFERROR(Y1820/W1820,0)</x:f>
        <x:v>0.36026936026936024</x:v>
      </x:c>
      <x:c r="AA1820" s="84" t="str">
        <x:f>PROPER(TRIM('Raw Sales'!M1820))</x:f>
        <x:v>Credit Card</x:v>
      </x:c>
      <x:c r="AB1820" s="84" t="str">
        <x:f>PROPER(TRIM('Raw Sales'!N1820))</x:f>
        <x:v>Leo Martinez</x:v>
      </x:c>
      <x:c r="AC1820" s="85" t="n">
        <x:f>'Raw Sales'!O1820</x:f>
        <x:v>45886</x:v>
      </x:c>
      <x:c r="AD1820" s="84" t="n">
        <x:f>AC1820-B1820</x:f>
        <x:v>3</x:v>
      </x:c>
      <x:c r="AE1820" s="84" t="str">
        <x:f>IF(COUNTIF($A$5:A1820,A1820)&gt;1,"Duplicate","Keep")</x:f>
        <x:v>Keep</x:v>
      </x:c>
      <x:c r="AF1820" s="84" t="str">
        <x:f>IF(OR(R1820&lt;=0,AC1820&lt;B1820,H1820="Unknown",M1820="Unknown Product"),"Review","Valid")</x:f>
        <x:v>Valid</x:v>
      </x:c>
      <x:c r="AG1820" s="84" t="n">
        <x:f>IF(AND(AE1820="Keep",AF1820="Valid"),1,0)</x:f>
        <x:v>1</x:v>
      </x:c>
      <x:c r="AH1820" s="84" t="n">
        <x:f>IF(AND(AG1820=1,OR('Dashboard'!$B$4="All",I1820='Dashboard'!$B$4),OR('Dashboard'!$E$4="All",N1820='Dashboard'!$E$4),OR('Dashboard'!$H$4="All",K1820='Dashboard'!$H$4),OR('Dashboard'!$K$4="All",C1820='Dashboard'!$K$4)),1,0)</x:f>
        <x:v>1</x:v>
      </x:c>
      <x:c r="AI1820" s="84" t="n">
        <x:f>IF(AND(AG1820=1,OR('Dashboard'!$B$4="All",I1820='Dashboard'!$B$4),OR('Dashboard'!$E$4="All",N1820='Dashboard'!$E$4),OR('Dashboard'!$H$4="All",K1820='Dashboard'!$H$4)),1,0)</x:f>
        <x:v>1</x:v>
      </x:c>
    </x:row>
    <x:row r="1821">
      <x:c r="A1821" s="84" t="str">
        <x:f>'Raw Sales'!A1821</x:f>
        <x:v>ORD-2025-00030</x:v>
      </x:c>
      <x:c r="B1821" s="85" t="n">
        <x:f>'Raw Sales'!B1821</x:f>
        <x:v>45884</x:v>
      </x:c>
      <x:c r="C1821" s="84" t="n">
        <x:f>YEAR(B1821)</x:f>
        <x:v>2025</x:v>
      </x:c>
      <x:c r="D1821" s="91" t="n">
        <x:f>DATE(YEAR(B1821),MONTH(B1821),1)</x:f>
        <x:v>45870</x:v>
      </x:c>
      <x:c r="E1821" s="84" t="str">
        <x:f>TEXT(B1821,"mmm")</x:f>
        <x:v>Aug</x:v>
      </x:c>
      <x:c r="F1821" s="84" t="str">
        <x:f>'Raw Sales'!C1821</x:f>
        <x:v>CUST-0371</x:v>
      </x:c>
      <x:c r="G1821" s="84" t="str">
        <x:f>PROPER(TRIM('Raw Sales'!D1821))</x:f>
        <x:v>Sara Moore</x:v>
      </x:c>
      <x:c r="H1821" s="84" t="str">
        <x:f>IF(TRIM('Raw Sales'!E1821)="","Unknown",PROPER(TRIM('Raw Sales'!E1821)))</x:f>
        <x:v>Small Business</x:v>
      </x:c>
      <x:c r="I1821" s="84" t="str">
        <x:f>PROPER(TRIM('Raw Sales'!F1821))</x:f>
        <x:v>West</x:v>
      </x:c>
      <x:c r="J1821" s="84" t="str">
        <x:f>PROPER(TRIM('Raw Sales'!G1821))</x:f>
        <x:v>Seattle</x:v>
      </x:c>
      <x:c r="K1821" s="84" t="str">
        <x:f>PROPER(TRIM('Raw Sales'!H1821))</x:f>
        <x:v>Online</x:v>
      </x:c>
      <x:c r="L1821" s="84" t="str">
        <x:f>'Raw Sales'!I1821</x:f>
        <x:v>FITN-002</x:v>
      </x:c>
      <x:c r="M1821" s="84" t="str">
        <x:f>IFERROR(VLOOKUP(L1821,'Reference Data'!$A$5:$F$40,2,FALSE),"Unknown Product")</x:f>
        <x:v>Adjustable Dumbbell Set</x:v>
      </x:c>
      <x:c r="N1821" s="84" t="str">
        <x:f>IFERROR(VLOOKUP(L1821,'Reference Data'!$A$5:$F$40,3,FALSE),"Unknown")</x:f>
        <x:v>Fitness</x:v>
      </x:c>
      <x:c r="O1821" s="84" t="str">
        <x:f>IFERROR(VLOOKUP(L1821,'Reference Data'!$A$5:$F$40,4,FALSE),"Unknown")</x:f>
        <x:v>Strength</x:v>
      </x:c>
      <x:c r="P1821" s="92" t="n">
        <x:f>IFERROR(VLOOKUP(L1821,'Reference Data'!$A$5:$F$40,5,FALSE),0)</x:f>
        <x:v>99</x:v>
      </x:c>
      <x:c r="Q1821" s="92" t="n">
        <x:f>IFERROR(VLOOKUP(L1821,'Reference Data'!$A$5:$F$40,6,FALSE),0)</x:f>
        <x:v>57</x:v>
      </x:c>
      <x:c r="R1821" s="84" t="n">
        <x:f>'Raw Sales'!J1821</x:f>
        <x:v>1</x:v>
      </x:c>
      <x:c r="S1821" s="87" t="n">
        <x:f>'Raw Sales'!K1821</x:f>
        <x:v>0.15</x:v>
      </x:c>
      <x:c r="T1821" s="93" t="n">
        <x:f>P1821*R1821</x:f>
        <x:v>99</x:v>
      </x:c>
      <x:c r="U1821" s="93" t="n">
        <x:f>T1821*S1821</x:f>
        <x:v>14.85</x:v>
      </x:c>
      <x:c r="V1821" s="93" t="str">
        <x:f>PROPER(TRIM('Raw Sales'!L1821))</x:f>
        <x:v>Completed</x:v>
      </x:c>
      <x:c r="W1821" s="93" t="n">
        <x:f>IF(V1821="Returned",0,T1821-U1821)</x:f>
        <x:v>84.15</x:v>
      </x:c>
      <x:c r="X1821" s="93" t="n">
        <x:f>IF(V1821="Returned",Q1821*R1821*10%,Q1821*R1821)</x:f>
        <x:v>57</x:v>
      </x:c>
      <x:c r="Y1821" s="93" t="n">
        <x:f>W1821-X1821</x:f>
        <x:v>27.150000000000006</x:v>
      </x:c>
      <x:c r="Z1821" s="94" t="n">
        <x:f>IFERROR(Y1821/W1821,0)</x:f>
        <x:v>0.322638146167558</x:v>
      </x:c>
      <x:c r="AA1821" s="84" t="str">
        <x:f>PROPER(TRIM('Raw Sales'!M1821))</x:f>
        <x:v>Credit Card</x:v>
      </x:c>
      <x:c r="AB1821" s="84" t="str">
        <x:f>PROPER(TRIM('Raw Sales'!N1821))</x:f>
        <x:v>Mia Chen</x:v>
      </x:c>
      <x:c r="AC1821" s="85" t="n">
        <x:f>'Raw Sales'!O1821</x:f>
        <x:v>45889</x:v>
      </x:c>
      <x:c r="AD1821" s="84" t="n">
        <x:f>AC1821-B1821</x:f>
        <x:v>5</x:v>
      </x:c>
      <x:c r="AE1821" s="84" t="str">
        <x:f>IF(COUNTIF($A$5:A1821,A1821)&gt;1,"Duplicate","Keep")</x:f>
        <x:v>Keep</x:v>
      </x:c>
      <x:c r="AF1821" s="84" t="str">
        <x:f>IF(OR(R1821&lt;=0,AC1821&lt;B1821,H1821="Unknown",M1821="Unknown Product"),"Review","Valid")</x:f>
        <x:v>Valid</x:v>
      </x:c>
      <x:c r="AG1821" s="84" t="n">
        <x:f>IF(AND(AE1821="Keep",AF1821="Valid"),1,0)</x:f>
        <x:v>1</x:v>
      </x:c>
      <x:c r="AH1821" s="84" t="n">
        <x:f>IF(AND(AG1821=1,OR('Dashboard'!$B$4="All",I1821='Dashboard'!$B$4),OR('Dashboard'!$E$4="All",N1821='Dashboard'!$E$4),OR('Dashboard'!$H$4="All",K1821='Dashboard'!$H$4),OR('Dashboard'!$K$4="All",C1821='Dashboard'!$K$4)),1,0)</x:f>
        <x:v>1</x:v>
      </x:c>
      <x:c r="AI1821" s="84" t="n">
        <x:f>IF(AND(AG1821=1,OR('Dashboard'!$B$4="All",I1821='Dashboard'!$B$4),OR('Dashboard'!$E$4="All",N1821='Dashboard'!$E$4),OR('Dashboard'!$H$4="All",K1821='Dashboard'!$H$4)),1,0)</x:f>
        <x:v>1</x:v>
      </x:c>
    </x:row>
    <x:row r="1822">
      <x:c r="A1822" s="84" t="str">
        <x:f>'Raw Sales'!A1822</x:f>
        <x:v>ORD-2025-01392</x:v>
      </x:c>
      <x:c r="B1822" s="85" t="n">
        <x:f>'Raw Sales'!B1822</x:f>
        <x:v>45884</x:v>
      </x:c>
      <x:c r="C1822" s="84" t="n">
        <x:f>YEAR(B1822)</x:f>
        <x:v>2025</x:v>
      </x:c>
      <x:c r="D1822" s="91" t="n">
        <x:f>DATE(YEAR(B1822),MONTH(B1822),1)</x:f>
        <x:v>45870</x:v>
      </x:c>
      <x:c r="E1822" s="84" t="str">
        <x:f>TEXT(B1822,"mmm")</x:f>
        <x:v>Aug</x:v>
      </x:c>
      <x:c r="F1822" s="84" t="str">
        <x:f>'Raw Sales'!C1822</x:f>
        <x:v>CUST-0560</x:v>
      </x:c>
      <x:c r="G1822" s="84" t="str">
        <x:f>PROPER(TRIM('Raw Sales'!D1822))</x:f>
        <x:v>Sara Khan</x:v>
      </x:c>
      <x:c r="H1822" s="84" t="str">
        <x:f>IF(TRIM('Raw Sales'!E1822)="","Unknown",PROPER(TRIM('Raw Sales'!E1822)))</x:f>
        <x:v>Consumer</x:v>
      </x:c>
      <x:c r="I1822" s="84" t="str">
        <x:f>PROPER(TRIM('Raw Sales'!F1822))</x:f>
        <x:v>Northeast</x:v>
      </x:c>
      <x:c r="J1822" s="84" t="str">
        <x:f>PROPER(TRIM('Raw Sales'!G1822))</x:f>
        <x:v>Philadelphia</x:v>
      </x:c>
      <x:c r="K1822" s="84" t="str">
        <x:f>PROPER(TRIM('Raw Sales'!H1822))</x:f>
        <x:v>Marketplace</x:v>
      </x:c>
      <x:c r="L1822" s="84" t="str">
        <x:f>'Raw Sales'!I1822</x:f>
        <x:v>FITN-004</x:v>
      </x:c>
      <x:c r="M1822" s="84" t="str">
        <x:f>IFERROR(VLOOKUP(L1822,'Reference Data'!$A$5:$F$40,2,FALSE),"Unknown Product")</x:f>
        <x:v>Fitness Tracker</x:v>
      </x:c>
      <x:c r="N1822" s="84" t="str">
        <x:f>IFERROR(VLOOKUP(L1822,'Reference Data'!$A$5:$F$40,3,FALSE),"Unknown")</x:f>
        <x:v>Fitness</x:v>
      </x:c>
      <x:c r="O1822" s="84" t="str">
        <x:f>IFERROR(VLOOKUP(L1822,'Reference Data'!$A$5:$F$40,4,FALSE),"Unknown")</x:f>
        <x:v>Wearables</x:v>
      </x:c>
      <x:c r="P1822" s="92" t="n">
        <x:f>IFERROR(VLOOKUP(L1822,'Reference Data'!$A$5:$F$40,5,FALSE),0)</x:f>
        <x:v>89</x:v>
      </x:c>
      <x:c r="Q1822" s="92" t="n">
        <x:f>IFERROR(VLOOKUP(L1822,'Reference Data'!$A$5:$F$40,6,FALSE),0)</x:f>
        <x:v>44</x:v>
      </x:c>
      <x:c r="R1822" s="84" t="n">
        <x:f>'Raw Sales'!J1822</x:f>
        <x:v>1</x:v>
      </x:c>
      <x:c r="S1822" s="87" t="n">
        <x:f>'Raw Sales'!K1822</x:f>
        <x:v>0.1</x:v>
      </x:c>
      <x:c r="T1822" s="93" t="n">
        <x:f>P1822*R1822</x:f>
        <x:v>89</x:v>
      </x:c>
      <x:c r="U1822" s="93" t="n">
        <x:f>T1822*S1822</x:f>
        <x:v>8.9</x:v>
      </x:c>
      <x:c r="V1822" s="93" t="str">
        <x:f>PROPER(TRIM('Raw Sales'!L1822))</x:f>
        <x:v>Completed</x:v>
      </x:c>
      <x:c r="W1822" s="93" t="n">
        <x:f>IF(V1822="Returned",0,T1822-U1822)</x:f>
        <x:v>80.1</x:v>
      </x:c>
      <x:c r="X1822" s="93" t="n">
        <x:f>IF(V1822="Returned",Q1822*R1822*10%,Q1822*R1822)</x:f>
        <x:v>44</x:v>
      </x:c>
      <x:c r="Y1822" s="93" t="n">
        <x:f>W1822-X1822</x:f>
        <x:v>36.099999999999994</x:v>
      </x:c>
      <x:c r="Z1822" s="94" t="n">
        <x:f>IFERROR(Y1822/W1822,0)</x:f>
        <x:v>0.4506866416978776</x:v>
      </x:c>
      <x:c r="AA1822" s="84" t="str">
        <x:f>PROPER(TRIM('Raw Sales'!M1822))</x:f>
        <x:v>Credit Card</x:v>
      </x:c>
      <x:c r="AB1822" s="84" t="str">
        <x:f>PROPER(TRIM('Raw Sales'!N1822))</x:f>
        <x:v>Sofia Bennett</x:v>
      </x:c>
      <x:c r="AC1822" s="85" t="n">
        <x:f>'Raw Sales'!O1822</x:f>
        <x:v>45890</x:v>
      </x:c>
      <x:c r="AD1822" s="84" t="n">
        <x:f>AC1822-B1822</x:f>
        <x:v>6</x:v>
      </x:c>
      <x:c r="AE1822" s="84" t="str">
        <x:f>IF(COUNTIF($A$5:A1822,A1822)&gt;1,"Duplicate","Keep")</x:f>
        <x:v>Keep</x:v>
      </x:c>
      <x:c r="AF1822" s="84" t="str">
        <x:f>IF(OR(R1822&lt;=0,AC1822&lt;B1822,H1822="Unknown",M1822="Unknown Product"),"Review","Valid")</x:f>
        <x:v>Valid</x:v>
      </x:c>
      <x:c r="AG1822" s="84" t="n">
        <x:f>IF(AND(AE1822="Keep",AF1822="Valid"),1,0)</x:f>
        <x:v>1</x:v>
      </x:c>
      <x:c r="AH1822" s="84" t="n">
        <x:f>IF(AND(AG1822=1,OR('Dashboard'!$B$4="All",I1822='Dashboard'!$B$4),OR('Dashboard'!$E$4="All",N1822='Dashboard'!$E$4),OR('Dashboard'!$H$4="All",K1822='Dashboard'!$H$4),OR('Dashboard'!$K$4="All",C1822='Dashboard'!$K$4)),1,0)</x:f>
        <x:v>1</x:v>
      </x:c>
      <x:c r="AI1822" s="84" t="n">
        <x:f>IF(AND(AG1822=1,OR('Dashboard'!$B$4="All",I1822='Dashboard'!$B$4),OR('Dashboard'!$E$4="All",N1822='Dashboard'!$E$4),OR('Dashboard'!$H$4="All",K1822='Dashboard'!$H$4)),1,0)</x:f>
        <x:v>1</x:v>
      </x:c>
    </x:row>
    <x:row r="1823">
      <x:c r="A1823" s="84" t="str">
        <x:f>'Raw Sales'!A1823</x:f>
        <x:v>ORD-2025-01472</x:v>
      </x:c>
      <x:c r="B1823" s="85" t="n">
        <x:f>'Raw Sales'!B1823</x:f>
        <x:v>45884</x:v>
      </x:c>
      <x:c r="C1823" s="84" t="n">
        <x:f>YEAR(B1823)</x:f>
        <x:v>2025</x:v>
      </x:c>
      <x:c r="D1823" s="91" t="n">
        <x:f>DATE(YEAR(B1823),MONTH(B1823),1)</x:f>
        <x:v>45870</x:v>
      </x:c>
      <x:c r="E1823" s="84" t="str">
        <x:f>TEXT(B1823,"mmm")</x:f>
        <x:v>Aug</x:v>
      </x:c>
      <x:c r="F1823" s="84" t="str">
        <x:f>'Raw Sales'!C1823</x:f>
        <x:v>CUST-0381</x:v>
      </x:c>
      <x:c r="G1823" s="84" t="str">
        <x:f>PROPER(TRIM('Raw Sales'!D1823))</x:f>
        <x:v>William Lewis</x:v>
      </x:c>
      <x:c r="H1823" s="84" t="str">
        <x:f>IF(TRIM('Raw Sales'!E1823)="","Unknown",PROPER(TRIM('Raw Sales'!E1823)))</x:f>
        <x:v>Corporate</x:v>
      </x:c>
      <x:c r="I1823" s="84" t="str">
        <x:f>PROPER(TRIM('Raw Sales'!F1823))</x:f>
        <x:v>Midwest</x:v>
      </x:c>
      <x:c r="J1823" s="84" t="str">
        <x:f>PROPER(TRIM('Raw Sales'!G1823))</x:f>
        <x:v>Columbus</x:v>
      </x:c>
      <x:c r="K1823" s="84" t="str">
        <x:f>PROPER(TRIM('Raw Sales'!H1823))</x:f>
        <x:v>Marketplace</x:v>
      </x:c>
      <x:c r="L1823" s="84" t="str">
        <x:f>'Raw Sales'!I1823</x:f>
        <x:v>CARE-001</x:v>
      </x:c>
      <x:c r="M1823" s="84" t="str">
        <x:f>IFERROR(VLOOKUP(L1823,'Reference Data'!$A$5:$F$40,2,FALSE),"Unknown Product")</x:f>
        <x:v>Ionic Hair Dryer</x:v>
      </x:c>
      <x:c r="N1823" s="84" t="str">
        <x:f>IFERROR(VLOOKUP(L1823,'Reference Data'!$A$5:$F$40,3,FALSE),"Unknown")</x:f>
        <x:v>Personal Care</x:v>
      </x:c>
      <x:c r="O1823" s="84" t="str">
        <x:f>IFERROR(VLOOKUP(L1823,'Reference Data'!$A$5:$F$40,4,FALSE),"Unknown")</x:f>
        <x:v>Hair Care</x:v>
      </x:c>
      <x:c r="P1823" s="92" t="n">
        <x:f>IFERROR(VLOOKUP(L1823,'Reference Data'!$A$5:$F$40,5,FALSE),0)</x:f>
        <x:v>54</x:v>
      </x:c>
      <x:c r="Q1823" s="92" t="n">
        <x:f>IFERROR(VLOOKUP(L1823,'Reference Data'!$A$5:$F$40,6,FALSE),0)</x:f>
        <x:v>25</x:v>
      </x:c>
      <x:c r="R1823" s="84" t="n">
        <x:f>'Raw Sales'!J1823</x:f>
        <x:v>5</x:v>
      </x:c>
      <x:c r="S1823" s="87" t="n">
        <x:f>'Raw Sales'!K1823</x:f>
        <x:v>0.15</x:v>
      </x:c>
      <x:c r="T1823" s="93" t="n">
        <x:f>P1823*R1823</x:f>
        <x:v>270</x:v>
      </x:c>
      <x:c r="U1823" s="93" t="n">
        <x:f>T1823*S1823</x:f>
        <x:v>40.5</x:v>
      </x:c>
      <x:c r="V1823" s="93" t="str">
        <x:f>PROPER(TRIM('Raw Sales'!L1823))</x:f>
        <x:v>Completed</x:v>
      </x:c>
      <x:c r="W1823" s="93" t="n">
        <x:f>IF(V1823="Returned",0,T1823-U1823)</x:f>
        <x:v>229.5</x:v>
      </x:c>
      <x:c r="X1823" s="93" t="n">
        <x:f>IF(V1823="Returned",Q1823*R1823*10%,Q1823*R1823)</x:f>
        <x:v>125</x:v>
      </x:c>
      <x:c r="Y1823" s="93" t="n">
        <x:f>W1823-X1823</x:f>
        <x:v>104.5</x:v>
      </x:c>
      <x:c r="Z1823" s="94" t="n">
        <x:f>IFERROR(Y1823/W1823,0)</x:f>
        <x:v>0.4553376906318083</x:v>
      </x:c>
      <x:c r="AA1823" s="84" t="str">
        <x:f>PROPER(TRIM('Raw Sales'!M1823))</x:f>
        <x:v>Debit Card</x:v>
      </x:c>
      <x:c r="AB1823" s="84" t="str">
        <x:f>PROPER(TRIM('Raw Sales'!N1823))</x:f>
        <x:v>Lucas Grant</x:v>
      </x:c>
      <x:c r="AC1823" s="85" t="n">
        <x:f>'Raw Sales'!O1823</x:f>
        <x:v>45888</x:v>
      </x:c>
      <x:c r="AD1823" s="84" t="n">
        <x:f>AC1823-B1823</x:f>
        <x:v>4</x:v>
      </x:c>
      <x:c r="AE1823" s="84" t="str">
        <x:f>IF(COUNTIF($A$5:A1823,A1823)&gt;1,"Duplicate","Keep")</x:f>
        <x:v>Keep</x:v>
      </x:c>
      <x:c r="AF1823" s="84" t="str">
        <x:f>IF(OR(R1823&lt;=0,AC1823&lt;B1823,H1823="Unknown",M1823="Unknown Product"),"Review","Valid")</x:f>
        <x:v>Valid</x:v>
      </x:c>
      <x:c r="AG1823" s="84" t="n">
        <x:f>IF(AND(AE1823="Keep",AF1823="Valid"),1,0)</x:f>
        <x:v>1</x:v>
      </x:c>
      <x:c r="AH1823" s="84" t="n">
        <x:f>IF(AND(AG1823=1,OR('Dashboard'!$B$4="All",I1823='Dashboard'!$B$4),OR('Dashboard'!$E$4="All",N1823='Dashboard'!$E$4),OR('Dashboard'!$H$4="All",K1823='Dashboard'!$H$4),OR('Dashboard'!$K$4="All",C1823='Dashboard'!$K$4)),1,0)</x:f>
        <x:v>1</x:v>
      </x:c>
      <x:c r="AI1823" s="84" t="n">
        <x:f>IF(AND(AG1823=1,OR('Dashboard'!$B$4="All",I1823='Dashboard'!$B$4),OR('Dashboard'!$E$4="All",N1823='Dashboard'!$E$4),OR('Dashboard'!$H$4="All",K1823='Dashboard'!$H$4)),1,0)</x:f>
        <x:v>1</x:v>
      </x:c>
    </x:row>
    <x:row r="1824">
      <x:c r="A1824" s="84" t="str">
        <x:f>'Raw Sales'!A1824</x:f>
        <x:v>ORD-2025-00096</x:v>
      </x:c>
      <x:c r="B1824" s="85" t="n">
        <x:f>'Raw Sales'!B1824</x:f>
        <x:v>45885</x:v>
      </x:c>
      <x:c r="C1824" s="84" t="n">
        <x:f>YEAR(B1824)</x:f>
        <x:v>2025</x:v>
      </x:c>
      <x:c r="D1824" s="91" t="n">
        <x:f>DATE(YEAR(B1824),MONTH(B1824),1)</x:f>
        <x:v>45870</x:v>
      </x:c>
      <x:c r="E1824" s="84" t="str">
        <x:f>TEXT(B1824,"mmm")</x:f>
        <x:v>Aug</x:v>
      </x:c>
      <x:c r="F1824" s="84" t="str">
        <x:f>'Raw Sales'!C1824</x:f>
        <x:v>CUST-0469</x:v>
      </x:c>
      <x:c r="G1824" s="84" t="str">
        <x:f>PROPER(TRIM('Raw Sales'!D1824))</x:f>
        <x:v>Layla Evans</x:v>
      </x:c>
      <x:c r="H1824" s="84" t="str">
        <x:f>IF(TRIM('Raw Sales'!E1824)="","Unknown",PROPER(TRIM('Raw Sales'!E1824)))</x:f>
        <x:v>Corporate</x:v>
      </x:c>
      <x:c r="I1824" s="84" t="str">
        <x:f>PROPER(TRIM('Raw Sales'!F1824))</x:f>
        <x:v>Midwest</x:v>
      </x:c>
      <x:c r="J1824" s="84" t="str">
        <x:f>PROPER(TRIM('Raw Sales'!G1824))</x:f>
        <x:v>Minneapolis</x:v>
      </x:c>
      <x:c r="K1824" s="84" t="str">
        <x:f>PROPER(TRIM('Raw Sales'!H1824))</x:f>
        <x:v>Retail Store</x:v>
      </x:c>
      <x:c r="L1824" s="84" t="str">
        <x:f>'Raw Sales'!I1824</x:f>
        <x:v>OFFC-005</x:v>
      </x:c>
      <x:c r="M1824" s="84" t="str">
        <x:f>IFERROR(VLOOKUP(L1824,'Reference Data'!$A$5:$F$40,2,FALSE),"Unknown Product")</x:f>
        <x:v>Wireless Keyboard</x:v>
      </x:c>
      <x:c r="N1824" s="84" t="str">
        <x:f>IFERROR(VLOOKUP(L1824,'Reference Data'!$A$5:$F$40,3,FALSE),"Unknown")</x:f>
        <x:v>Office</x:v>
      </x:c>
      <x:c r="O1824" s="84" t="str">
        <x:f>IFERROR(VLOOKUP(L1824,'Reference Data'!$A$5:$F$40,4,FALSE),"Unknown")</x:f>
        <x:v>Computer Accessories</x:v>
      </x:c>
      <x:c r="P1824" s="92" t="n">
        <x:f>IFERROR(VLOOKUP(L1824,'Reference Data'!$A$5:$F$40,5,FALSE),0)</x:f>
        <x:v>59</x:v>
      </x:c>
      <x:c r="Q1824" s="92" t="n">
        <x:f>IFERROR(VLOOKUP(L1824,'Reference Data'!$A$5:$F$40,6,FALSE),0)</x:f>
        <x:v>28</x:v>
      </x:c>
      <x:c r="R1824" s="84" t="n">
        <x:f>'Raw Sales'!J1824</x:f>
        <x:v>6</x:v>
      </x:c>
      <x:c r="S1824" s="87" t="n">
        <x:f>'Raw Sales'!K1824</x:f>
        <x:v>0.05</x:v>
      </x:c>
      <x:c r="T1824" s="93" t="n">
        <x:f>P1824*R1824</x:f>
        <x:v>354</x:v>
      </x:c>
      <x:c r="U1824" s="93" t="n">
        <x:f>T1824*S1824</x:f>
        <x:v>17.7</x:v>
      </x:c>
      <x:c r="V1824" s="93" t="str">
        <x:f>PROPER(TRIM('Raw Sales'!L1824))</x:f>
        <x:v>Completed</x:v>
      </x:c>
      <x:c r="W1824" s="93" t="n">
        <x:f>IF(V1824="Returned",0,T1824-U1824)</x:f>
        <x:v>336.3</x:v>
      </x:c>
      <x:c r="X1824" s="93" t="n">
        <x:f>IF(V1824="Returned",Q1824*R1824*10%,Q1824*R1824)</x:f>
        <x:v>168</x:v>
      </x:c>
      <x:c r="Y1824" s="93" t="n">
        <x:f>W1824-X1824</x:f>
        <x:v>168.3</x:v>
      </x:c>
      <x:c r="Z1824" s="94" t="n">
        <x:f>IFERROR(Y1824/W1824,0)</x:f>
        <x:v>0.5004460303300624</x:v>
      </x:c>
      <x:c r="AA1824" s="84" t="str">
        <x:f>PROPER(TRIM('Raw Sales'!M1824))</x:f>
        <x:v>Credit Card</x:v>
      </x:c>
      <x:c r="AB1824" s="84" t="str">
        <x:f>PROPER(TRIM('Raw Sales'!N1824))</x:f>
        <x:v>Lucas Grant</x:v>
      </x:c>
      <x:c r="AC1824" s="85" t="n">
        <x:f>'Raw Sales'!O1824</x:f>
        <x:v>45885</x:v>
      </x:c>
      <x:c r="AD1824" s="84" t="n">
        <x:f>AC1824-B1824</x:f>
        <x:v>0</x:v>
      </x:c>
      <x:c r="AE1824" s="84" t="str">
        <x:f>IF(COUNTIF($A$5:A1824,A1824)&gt;1,"Duplicate","Keep")</x:f>
        <x:v>Keep</x:v>
      </x:c>
      <x:c r="AF1824" s="84" t="str">
        <x:f>IF(OR(R1824&lt;=0,AC1824&lt;B1824,H1824="Unknown",M1824="Unknown Product"),"Review","Valid")</x:f>
        <x:v>Valid</x:v>
      </x:c>
      <x:c r="AG1824" s="84" t="n">
        <x:f>IF(AND(AE1824="Keep",AF1824="Valid"),1,0)</x:f>
        <x:v>1</x:v>
      </x:c>
      <x:c r="AH1824" s="84" t="n">
        <x:f>IF(AND(AG1824=1,OR('Dashboard'!$B$4="All",I1824='Dashboard'!$B$4),OR('Dashboard'!$E$4="All",N1824='Dashboard'!$E$4),OR('Dashboard'!$H$4="All",K1824='Dashboard'!$H$4),OR('Dashboard'!$K$4="All",C1824='Dashboard'!$K$4)),1,0)</x:f>
        <x:v>1</x:v>
      </x:c>
      <x:c r="AI1824" s="84" t="n">
        <x:f>IF(AND(AG1824=1,OR('Dashboard'!$B$4="All",I1824='Dashboard'!$B$4),OR('Dashboard'!$E$4="All",N1824='Dashboard'!$E$4),OR('Dashboard'!$H$4="All",K1824='Dashboard'!$H$4)),1,0)</x:f>
        <x:v>1</x:v>
      </x:c>
    </x:row>
    <x:row r="1825">
      <x:c r="A1825" s="84" t="str">
        <x:f>'Raw Sales'!A1825</x:f>
        <x:v>ORD-2025-00192</x:v>
      </x:c>
      <x:c r="B1825" s="85" t="n">
        <x:f>'Raw Sales'!B1825</x:f>
        <x:v>45885</x:v>
      </x:c>
      <x:c r="C1825" s="84" t="n">
        <x:f>YEAR(B1825)</x:f>
        <x:v>2025</x:v>
      </x:c>
      <x:c r="D1825" s="91" t="n">
        <x:f>DATE(YEAR(B1825),MONTH(B1825),1)</x:f>
        <x:v>45870</x:v>
      </x:c>
      <x:c r="E1825" s="84" t="str">
        <x:f>TEXT(B1825,"mmm")</x:f>
        <x:v>Aug</x:v>
      </x:c>
      <x:c r="F1825" s="84" t="str">
        <x:f>'Raw Sales'!C1825</x:f>
        <x:v>CUST-0244</x:v>
      </x:c>
      <x:c r="G1825" s="84" t="str">
        <x:f>PROPER(TRIM('Raw Sales'!D1825))</x:f>
        <x:v>Caleb Nelson</x:v>
      </x:c>
      <x:c r="H1825" s="84" t="str">
        <x:f>IF(TRIM('Raw Sales'!E1825)="","Unknown",PROPER(TRIM('Raw Sales'!E1825)))</x:f>
        <x:v>Small Business</x:v>
      </x:c>
      <x:c r="I1825" s="84" t="str">
        <x:f>PROPER(TRIM('Raw Sales'!F1825))</x:f>
        <x:v>Midwest</x:v>
      </x:c>
      <x:c r="J1825" s="84" t="str">
        <x:f>PROPER(TRIM('Raw Sales'!G1825))</x:f>
        <x:v>Detroit</x:v>
      </x:c>
      <x:c r="K1825" s="84" t="str">
        <x:f>PROPER(TRIM('Raw Sales'!H1825))</x:f>
        <x:v>Online</x:v>
      </x:c>
      <x:c r="L1825" s="84" t="str">
        <x:f>'Raw Sales'!I1825</x:f>
        <x:v>CARE-002</x:v>
      </x:c>
      <x:c r="M1825" s="84" t="str">
        <x:f>IFERROR(VLOOKUP(L1825,'Reference Data'!$A$5:$F$40,2,FALSE),"Unknown Product")</x:f>
        <x:v>Rechargeable Trimmer</x:v>
      </x:c>
      <x:c r="N1825" s="84" t="str">
        <x:f>IFERROR(VLOOKUP(L1825,'Reference Data'!$A$5:$F$40,3,FALSE),"Unknown")</x:f>
        <x:v>Personal Care</x:v>
      </x:c>
      <x:c r="O1825" s="84" t="str">
        <x:f>IFERROR(VLOOKUP(L1825,'Reference Data'!$A$5:$F$40,4,FALSE),"Unknown")</x:f>
        <x:v>Grooming</x:v>
      </x:c>
      <x:c r="P1825" s="92" t="n">
        <x:f>IFERROR(VLOOKUP(L1825,'Reference Data'!$A$5:$F$40,5,FALSE),0)</x:f>
        <x:v>45</x:v>
      </x:c>
      <x:c r="Q1825" s="92" t="n">
        <x:f>IFERROR(VLOOKUP(L1825,'Reference Data'!$A$5:$F$40,6,FALSE),0)</x:f>
        <x:v>19</x:v>
      </x:c>
      <x:c r="R1825" s="84" t="n">
        <x:f>'Raw Sales'!J1825</x:f>
        <x:v>2</x:v>
      </x:c>
      <x:c r="S1825" s="87" t="n">
        <x:f>'Raw Sales'!K1825</x:f>
        <x:v>0.05</x:v>
      </x:c>
      <x:c r="T1825" s="93" t="n">
        <x:f>P1825*R1825</x:f>
        <x:v>90</x:v>
      </x:c>
      <x:c r="U1825" s="93" t="n">
        <x:f>T1825*S1825</x:f>
        <x:v>4.5</x:v>
      </x:c>
      <x:c r="V1825" s="93" t="str">
        <x:f>PROPER(TRIM('Raw Sales'!L1825))</x:f>
        <x:v>Completed</x:v>
      </x:c>
      <x:c r="W1825" s="93" t="n">
        <x:f>IF(V1825="Returned",0,T1825-U1825)</x:f>
        <x:v>85.5</x:v>
      </x:c>
      <x:c r="X1825" s="93" t="n">
        <x:f>IF(V1825="Returned",Q1825*R1825*10%,Q1825*R1825)</x:f>
        <x:v>38</x:v>
      </x:c>
      <x:c r="Y1825" s="93" t="n">
        <x:f>W1825-X1825</x:f>
        <x:v>47.5</x:v>
      </x:c>
      <x:c r="Z1825" s="94" t="n">
        <x:f>IFERROR(Y1825/W1825,0)</x:f>
        <x:v>0.5555555555555556</x:v>
      </x:c>
      <x:c r="AA1825" s="84" t="str">
        <x:f>PROPER(TRIM('Raw Sales'!M1825))</x:f>
        <x:v>Paypal</x:v>
      </x:c>
      <x:c r="AB1825" s="84" t="str">
        <x:f>PROPER(TRIM('Raw Sales'!N1825))</x:f>
        <x:v>Zoe Turner</x:v>
      </x:c>
      <x:c r="AC1825" s="85" t="n">
        <x:f>'Raw Sales'!O1825</x:f>
        <x:v>45889</x:v>
      </x:c>
      <x:c r="AD1825" s="84" t="n">
        <x:f>AC1825-B1825</x:f>
        <x:v>4</x:v>
      </x:c>
      <x:c r="AE1825" s="84" t="str">
        <x:f>IF(COUNTIF($A$5:A1825,A1825)&gt;1,"Duplicate","Keep")</x:f>
        <x:v>Keep</x:v>
      </x:c>
      <x:c r="AF1825" s="84" t="str">
        <x:f>IF(OR(R1825&lt;=0,AC1825&lt;B1825,H1825="Unknown",M1825="Unknown Product"),"Review","Valid")</x:f>
        <x:v>Valid</x:v>
      </x:c>
      <x:c r="AG1825" s="84" t="n">
        <x:f>IF(AND(AE1825="Keep",AF1825="Valid"),1,0)</x:f>
        <x:v>1</x:v>
      </x:c>
      <x:c r="AH1825" s="84" t="n">
        <x:f>IF(AND(AG1825=1,OR('Dashboard'!$B$4="All",I1825='Dashboard'!$B$4),OR('Dashboard'!$E$4="All",N1825='Dashboard'!$E$4),OR('Dashboard'!$H$4="All",K1825='Dashboard'!$H$4),OR('Dashboard'!$K$4="All",C1825='Dashboard'!$K$4)),1,0)</x:f>
        <x:v>1</x:v>
      </x:c>
      <x:c r="AI1825" s="84" t="n">
        <x:f>IF(AND(AG1825=1,OR('Dashboard'!$B$4="All",I1825='Dashboard'!$B$4),OR('Dashboard'!$E$4="All",N1825='Dashboard'!$E$4),OR('Dashboard'!$H$4="All",K1825='Dashboard'!$H$4)),1,0)</x:f>
        <x:v>1</x:v>
      </x:c>
    </x:row>
    <x:row r="1826">
      <x:c r="A1826" s="84" t="str">
        <x:f>'Raw Sales'!A1826</x:f>
        <x:v>ORD-2025-00302</x:v>
      </x:c>
      <x:c r="B1826" s="85" t="n">
        <x:f>'Raw Sales'!B1826</x:f>
        <x:v>45885</x:v>
      </x:c>
      <x:c r="C1826" s="84" t="n">
        <x:f>YEAR(B1826)</x:f>
        <x:v>2025</x:v>
      </x:c>
      <x:c r="D1826" s="91" t="n">
        <x:f>DATE(YEAR(B1826),MONTH(B1826),1)</x:f>
        <x:v>45870</x:v>
      </x:c>
      <x:c r="E1826" s="84" t="str">
        <x:f>TEXT(B1826,"mmm")</x:f>
        <x:v>Aug</x:v>
      </x:c>
      <x:c r="F1826" s="84" t="str">
        <x:f>'Raw Sales'!C1826</x:f>
        <x:v>CUST-0168</x:v>
      </x:c>
      <x:c r="G1826" s="84" t="str">
        <x:f>PROPER(TRIM('Raw Sales'!D1826))</x:f>
        <x:v>Priya Foster</x:v>
      </x:c>
      <x:c r="H1826" s="84" t="str">
        <x:f>IF(TRIM('Raw Sales'!E1826)="","Unknown",PROPER(TRIM('Raw Sales'!E1826)))</x:f>
        <x:v>Small Business</x:v>
      </x:c>
      <x:c r="I1826" s="84" t="str">
        <x:f>PROPER(TRIM('Raw Sales'!F1826))</x:f>
        <x:v>Northeast</x:v>
      </x:c>
      <x:c r="J1826" s="84" t="str">
        <x:f>PROPER(TRIM('Raw Sales'!G1826))</x:f>
        <x:v>Newark</x:v>
      </x:c>
      <x:c r="K1826" s="84" t="str">
        <x:f>PROPER(TRIM('Raw Sales'!H1826))</x:f>
        <x:v>Marketplace</x:v>
      </x:c>
      <x:c r="L1826" s="84" t="str">
        <x:f>'Raw Sales'!I1826</x:f>
        <x:v>ELEC-003</x:v>
      </x:c>
      <x:c r="M1826" s="84" t="str">
        <x:f>IFERROR(VLOOKUP(L1826,'Reference Data'!$A$5:$F$40,2,FALSE),"Unknown Product")</x:f>
        <x:v>Bluetooth Speaker</x:v>
      </x:c>
      <x:c r="N1826" s="84" t="str">
        <x:f>IFERROR(VLOOKUP(L1826,'Reference Data'!$A$5:$F$40,3,FALSE),"Unknown")</x:f>
        <x:v>Electronics</x:v>
      </x:c>
      <x:c r="O1826" s="84" t="str">
        <x:f>IFERROR(VLOOKUP(L1826,'Reference Data'!$A$5:$F$40,4,FALSE),"Unknown")</x:f>
        <x:v>Audio</x:v>
      </x:c>
      <x:c r="P1826" s="92" t="n">
        <x:f>IFERROR(VLOOKUP(L1826,'Reference Data'!$A$5:$F$40,5,FALSE),0)</x:f>
        <x:v>89</x:v>
      </x:c>
      <x:c r="Q1826" s="92" t="n">
        <x:f>IFERROR(VLOOKUP(L1826,'Reference Data'!$A$5:$F$40,6,FALSE),0)</x:f>
        <x:v>44</x:v>
      </x:c>
      <x:c r="R1826" s="84" t="n">
        <x:f>'Raw Sales'!J1826</x:f>
        <x:v>1</x:v>
      </x:c>
      <x:c r="S1826" s="87" t="n">
        <x:f>'Raw Sales'!K1826</x:f>
        <x:v>0.1</x:v>
      </x:c>
      <x:c r="T1826" s="93" t="n">
        <x:f>P1826*R1826</x:f>
        <x:v>89</x:v>
      </x:c>
      <x:c r="U1826" s="93" t="n">
        <x:f>T1826*S1826</x:f>
        <x:v>8.9</x:v>
      </x:c>
      <x:c r="V1826" s="93" t="str">
        <x:f>PROPER(TRIM('Raw Sales'!L1826))</x:f>
        <x:v>Completed</x:v>
      </x:c>
      <x:c r="W1826" s="93" t="n">
        <x:f>IF(V1826="Returned",0,T1826-U1826)</x:f>
        <x:v>80.1</x:v>
      </x:c>
      <x:c r="X1826" s="93" t="n">
        <x:f>IF(V1826="Returned",Q1826*R1826*10%,Q1826*R1826)</x:f>
        <x:v>44</x:v>
      </x:c>
      <x:c r="Y1826" s="93" t="n">
        <x:f>W1826-X1826</x:f>
        <x:v>36.099999999999994</x:v>
      </x:c>
      <x:c r="Z1826" s="94" t="n">
        <x:f>IFERROR(Y1826/W1826,0)</x:f>
        <x:v>0.4506866416978776</x:v>
      </x:c>
      <x:c r="AA1826" s="84" t="str">
        <x:f>PROPER(TRIM('Raw Sales'!M1826))</x:f>
        <x:v>Credit Card</x:v>
      </x:c>
      <x:c r="AB1826" s="84" t="str">
        <x:f>PROPER(TRIM('Raw Sales'!N1826))</x:f>
        <x:v>Ethan Cole</x:v>
      </x:c>
      <x:c r="AC1826" s="85" t="n">
        <x:f>'Raw Sales'!O1826</x:f>
        <x:v>45891</x:v>
      </x:c>
      <x:c r="AD1826" s="84" t="n">
        <x:f>AC1826-B1826</x:f>
        <x:v>6</x:v>
      </x:c>
      <x:c r="AE1826" s="84" t="str">
        <x:f>IF(COUNTIF($A$5:A1826,A1826)&gt;1,"Duplicate","Keep")</x:f>
        <x:v>Keep</x:v>
      </x:c>
      <x:c r="AF1826" s="84" t="str">
        <x:f>IF(OR(R1826&lt;=0,AC1826&lt;B1826,H1826="Unknown",M1826="Unknown Product"),"Review","Valid")</x:f>
        <x:v>Valid</x:v>
      </x:c>
      <x:c r="AG1826" s="84" t="n">
        <x:f>IF(AND(AE1826="Keep",AF1826="Valid"),1,0)</x:f>
        <x:v>1</x:v>
      </x:c>
      <x:c r="AH1826" s="84" t="n">
        <x:f>IF(AND(AG1826=1,OR('Dashboard'!$B$4="All",I1826='Dashboard'!$B$4),OR('Dashboard'!$E$4="All",N1826='Dashboard'!$E$4),OR('Dashboard'!$H$4="All",K1826='Dashboard'!$H$4),OR('Dashboard'!$K$4="All",C1826='Dashboard'!$K$4)),1,0)</x:f>
        <x:v>1</x:v>
      </x:c>
      <x:c r="AI1826" s="84" t="n">
        <x:f>IF(AND(AG1826=1,OR('Dashboard'!$B$4="All",I1826='Dashboard'!$B$4),OR('Dashboard'!$E$4="All",N1826='Dashboard'!$E$4),OR('Dashboard'!$H$4="All",K1826='Dashboard'!$H$4)),1,0)</x:f>
        <x:v>1</x:v>
      </x:c>
    </x:row>
    <x:row r="1827">
      <x:c r="A1827" s="84" t="str">
        <x:f>'Raw Sales'!A1827</x:f>
        <x:v>ORD-2025-00535</x:v>
      </x:c>
      <x:c r="B1827" s="85" t="n">
        <x:f>'Raw Sales'!B1827</x:f>
        <x:v>45885</x:v>
      </x:c>
      <x:c r="C1827" s="84" t="n">
        <x:f>YEAR(B1827)</x:f>
        <x:v>2025</x:v>
      </x:c>
      <x:c r="D1827" s="91" t="n">
        <x:f>DATE(YEAR(B1827),MONTH(B1827),1)</x:f>
        <x:v>45870</x:v>
      </x:c>
      <x:c r="E1827" s="84" t="str">
        <x:f>TEXT(B1827,"mmm")</x:f>
        <x:v>Aug</x:v>
      </x:c>
      <x:c r="F1827" s="84" t="str">
        <x:f>'Raw Sales'!C1827</x:f>
        <x:v>CUST-0639</x:v>
      </x:c>
      <x:c r="G1827" s="84" t="str">
        <x:f>PROPER(TRIM('Raw Sales'!D1827))</x:f>
        <x:v>Isaac Evans</x:v>
      </x:c>
      <x:c r="H1827" s="84" t="str">
        <x:f>IF(TRIM('Raw Sales'!E1827)="","Unknown",PROPER(TRIM('Raw Sales'!E1827)))</x:f>
        <x:v>Consumer</x:v>
      </x:c>
      <x:c r="I1827" s="84" t="str">
        <x:f>PROPER(TRIM('Raw Sales'!F1827))</x:f>
        <x:v>Midwest</x:v>
      </x:c>
      <x:c r="J1827" s="84" t="str">
        <x:f>PROPER(TRIM('Raw Sales'!G1827))</x:f>
        <x:v>Columbus</x:v>
      </x:c>
      <x:c r="K1827" s="84" t="str">
        <x:f>PROPER(TRIM('Raw Sales'!H1827))</x:f>
        <x:v>Marketplace</x:v>
      </x:c>
      <x:c r="L1827" s="84" t="str">
        <x:f>'Raw Sales'!I1827</x:f>
        <x:v>ELEC-003</x:v>
      </x:c>
      <x:c r="M1827" s="84" t="str">
        <x:f>IFERROR(VLOOKUP(L1827,'Reference Data'!$A$5:$F$40,2,FALSE),"Unknown Product")</x:f>
        <x:v>Bluetooth Speaker</x:v>
      </x:c>
      <x:c r="N1827" s="84" t="str">
        <x:f>IFERROR(VLOOKUP(L1827,'Reference Data'!$A$5:$F$40,3,FALSE),"Unknown")</x:f>
        <x:v>Electronics</x:v>
      </x:c>
      <x:c r="O1827" s="84" t="str">
        <x:f>IFERROR(VLOOKUP(L1827,'Reference Data'!$A$5:$F$40,4,FALSE),"Unknown")</x:f>
        <x:v>Audio</x:v>
      </x:c>
      <x:c r="P1827" s="92" t="n">
        <x:f>IFERROR(VLOOKUP(L1827,'Reference Data'!$A$5:$F$40,5,FALSE),0)</x:f>
        <x:v>89</x:v>
      </x:c>
      <x:c r="Q1827" s="92" t="n">
        <x:f>IFERROR(VLOOKUP(L1827,'Reference Data'!$A$5:$F$40,6,FALSE),0)</x:f>
        <x:v>44</x:v>
      </x:c>
      <x:c r="R1827" s="84" t="n">
        <x:f>'Raw Sales'!J1827</x:f>
        <x:v>2</x:v>
      </x:c>
      <x:c r="S1827" s="87" t="n">
        <x:f>'Raw Sales'!K1827</x:f>
        <x:v>0.15</x:v>
      </x:c>
      <x:c r="T1827" s="93" t="n">
        <x:f>P1827*R1827</x:f>
        <x:v>178</x:v>
      </x:c>
      <x:c r="U1827" s="93" t="n">
        <x:f>T1827*S1827</x:f>
        <x:v>26.7</x:v>
      </x:c>
      <x:c r="V1827" s="93" t="str">
        <x:f>PROPER(TRIM('Raw Sales'!L1827))</x:f>
        <x:v>Completed</x:v>
      </x:c>
      <x:c r="W1827" s="93" t="n">
        <x:f>IF(V1827="Returned",0,T1827-U1827)</x:f>
        <x:v>151.3</x:v>
      </x:c>
      <x:c r="X1827" s="93" t="n">
        <x:f>IF(V1827="Returned",Q1827*R1827*10%,Q1827*R1827)</x:f>
        <x:v>88</x:v>
      </x:c>
      <x:c r="Y1827" s="93" t="n">
        <x:f>W1827-X1827</x:f>
        <x:v>63.30000000000001</x:v>
      </x:c>
      <x:c r="Z1827" s="94" t="n">
        <x:f>IFERROR(Y1827/W1827,0)</x:f>
        <x:v>0.4183740912095176</x:v>
      </x:c>
      <x:c r="AA1827" s="84" t="str">
        <x:f>PROPER(TRIM('Raw Sales'!M1827))</x:f>
        <x:v>Mobile Wallet</x:v>
      </x:c>
      <x:c r="AB1827" s="84" t="str">
        <x:f>PROPER(TRIM('Raw Sales'!N1827))</x:f>
        <x:v>Lucas Grant</x:v>
      </x:c>
      <x:c r="AC1827" s="85" t="n">
        <x:f>'Raw Sales'!O1827</x:f>
        <x:v>45893</x:v>
      </x:c>
      <x:c r="AD1827" s="84" t="n">
        <x:f>AC1827-B1827</x:f>
        <x:v>8</x:v>
      </x:c>
      <x:c r="AE1827" s="84" t="str">
        <x:f>IF(COUNTIF($A$5:A1827,A1827)&gt;1,"Duplicate","Keep")</x:f>
        <x:v>Keep</x:v>
      </x:c>
      <x:c r="AF1827" s="84" t="str">
        <x:f>IF(OR(R1827&lt;=0,AC1827&lt;B1827,H1827="Unknown",M1827="Unknown Product"),"Review","Valid")</x:f>
        <x:v>Valid</x:v>
      </x:c>
      <x:c r="AG1827" s="84" t="n">
        <x:f>IF(AND(AE1827="Keep",AF1827="Valid"),1,0)</x:f>
        <x:v>1</x:v>
      </x:c>
      <x:c r="AH1827" s="84" t="n">
        <x:f>IF(AND(AG1827=1,OR('Dashboard'!$B$4="All",I1827='Dashboard'!$B$4),OR('Dashboard'!$E$4="All",N1827='Dashboard'!$E$4),OR('Dashboard'!$H$4="All",K1827='Dashboard'!$H$4),OR('Dashboard'!$K$4="All",C1827='Dashboard'!$K$4)),1,0)</x:f>
        <x:v>1</x:v>
      </x:c>
      <x:c r="AI1827" s="84" t="n">
        <x:f>IF(AND(AG1827=1,OR('Dashboard'!$B$4="All",I1827='Dashboard'!$B$4),OR('Dashboard'!$E$4="All",N1827='Dashboard'!$E$4),OR('Dashboard'!$H$4="All",K1827='Dashboard'!$H$4)),1,0)</x:f>
        <x:v>1</x:v>
      </x:c>
    </x:row>
    <x:row r="1828">
      <x:c r="A1828" s="84" t="str">
        <x:f>'Raw Sales'!A1828</x:f>
        <x:v>ORD-2025-00679</x:v>
      </x:c>
      <x:c r="B1828" s="85" t="n">
        <x:f>'Raw Sales'!B1828</x:f>
        <x:v>45885</x:v>
      </x:c>
      <x:c r="C1828" s="84" t="n">
        <x:f>YEAR(B1828)</x:f>
        <x:v>2025</x:v>
      </x:c>
      <x:c r="D1828" s="91" t="n">
        <x:f>DATE(YEAR(B1828),MONTH(B1828),1)</x:f>
        <x:v>45870</x:v>
      </x:c>
      <x:c r="E1828" s="84" t="str">
        <x:f>TEXT(B1828,"mmm")</x:f>
        <x:v>Aug</x:v>
      </x:c>
      <x:c r="F1828" s="84" t="str">
        <x:f>'Raw Sales'!C1828</x:f>
        <x:v>CUST-0501</x:v>
      </x:c>
      <x:c r="G1828" s="84" t="str">
        <x:f>PROPER(TRIM('Raw Sales'!D1828))</x:f>
        <x:v>Priya Garcia</x:v>
      </x:c>
      <x:c r="H1828" s="84" t="str">
        <x:f>IF(TRIM('Raw Sales'!E1828)="","Unknown",PROPER(TRIM('Raw Sales'!E1828)))</x:f>
        <x:v>Consumer</x:v>
      </x:c>
      <x:c r="I1828" s="84" t="str">
        <x:f>PROPER(TRIM('Raw Sales'!F1828))</x:f>
        <x:v>Northeast</x:v>
      </x:c>
      <x:c r="J1828" s="84" t="str">
        <x:f>PROPER(TRIM('Raw Sales'!G1828))</x:f>
        <x:v>Boston</x:v>
      </x:c>
      <x:c r="K1828" s="84" t="str">
        <x:f>PROPER(TRIM('Raw Sales'!H1828))</x:f>
        <x:v>Marketplace</x:v>
      </x:c>
      <x:c r="L1828" s="84" t="str">
        <x:f>'Raw Sales'!I1828</x:f>
        <x:v>ELEC-004</x:v>
      </x:c>
      <x:c r="M1828" s="84" t="str">
        <x:f>IFERROR(VLOOKUP(L1828,'Reference Data'!$A$5:$F$40,2,FALSE),"Unknown Product")</x:f>
        <x:v>Power Bank</x:v>
      </x:c>
      <x:c r="N1828" s="84" t="str">
        <x:f>IFERROR(VLOOKUP(L1828,'Reference Data'!$A$5:$F$40,3,FALSE),"Unknown")</x:f>
        <x:v>Electronics</x:v>
      </x:c>
      <x:c r="O1828" s="84" t="str">
        <x:f>IFERROR(VLOOKUP(L1828,'Reference Data'!$A$5:$F$40,4,FALSE),"Unknown")</x:f>
        <x:v>Mobile Accessories</x:v>
      </x:c>
      <x:c r="P1828" s="92" t="n">
        <x:f>IFERROR(VLOOKUP(L1828,'Reference Data'!$A$5:$F$40,5,FALSE),0)</x:f>
        <x:v>39</x:v>
      </x:c>
      <x:c r="Q1828" s="92" t="n">
        <x:f>IFERROR(VLOOKUP(L1828,'Reference Data'!$A$5:$F$40,6,FALSE),0)</x:f>
        <x:v>18</x:v>
      </x:c>
      <x:c r="R1828" s="84" t="n">
        <x:f>'Raw Sales'!J1828</x:f>
        <x:v>1</x:v>
      </x:c>
      <x:c r="S1828" s="87" t="n">
        <x:f>'Raw Sales'!K1828</x:f>
        <x:v>0.05</x:v>
      </x:c>
      <x:c r="T1828" s="93" t="n">
        <x:f>P1828*R1828</x:f>
        <x:v>39</x:v>
      </x:c>
      <x:c r="U1828" s="93" t="n">
        <x:f>T1828*S1828</x:f>
        <x:v>1.9500000000000002</x:v>
      </x:c>
      <x:c r="V1828" s="93" t="str">
        <x:f>PROPER(TRIM('Raw Sales'!L1828))</x:f>
        <x:v>Completed</x:v>
      </x:c>
      <x:c r="W1828" s="93" t="n">
        <x:f>IF(V1828="Returned",0,T1828-U1828)</x:f>
        <x:v>37.05</x:v>
      </x:c>
      <x:c r="X1828" s="93" t="n">
        <x:f>IF(V1828="Returned",Q1828*R1828*10%,Q1828*R1828)</x:f>
        <x:v>18</x:v>
      </x:c>
      <x:c r="Y1828" s="93" t="n">
        <x:f>W1828-X1828</x:f>
        <x:v>19.049999999999997</x:v>
      </x:c>
      <x:c r="Z1828" s="94" t="n">
        <x:f>IFERROR(Y1828/W1828,0)</x:f>
        <x:v>0.5141700404858299</x:v>
      </x:c>
      <x:c r="AA1828" s="84" t="str">
        <x:f>PROPER(TRIM('Raw Sales'!M1828))</x:f>
        <x:v>Mobile Wallet</x:v>
      </x:c>
      <x:c r="AB1828" s="84" t="str">
        <x:f>PROPER(TRIM('Raw Sales'!N1828))</x:f>
        <x:v>Sofia Bennett</x:v>
      </x:c>
      <x:c r="AC1828" s="85" t="n">
        <x:f>'Raw Sales'!O1828</x:f>
        <x:v>45891</x:v>
      </x:c>
      <x:c r="AD1828" s="84" t="n">
        <x:f>AC1828-B1828</x:f>
        <x:v>6</x:v>
      </x:c>
      <x:c r="AE1828" s="84" t="str">
        <x:f>IF(COUNTIF($A$5:A1828,A1828)&gt;1,"Duplicate","Keep")</x:f>
        <x:v>Keep</x:v>
      </x:c>
      <x:c r="AF1828" s="84" t="str">
        <x:f>IF(OR(R1828&lt;=0,AC1828&lt;B1828,H1828="Unknown",M1828="Unknown Product"),"Review","Valid")</x:f>
        <x:v>Valid</x:v>
      </x:c>
      <x:c r="AG1828" s="84" t="n">
        <x:f>IF(AND(AE1828="Keep",AF1828="Valid"),1,0)</x:f>
        <x:v>1</x:v>
      </x:c>
      <x:c r="AH1828" s="84" t="n">
        <x:f>IF(AND(AG1828=1,OR('Dashboard'!$B$4="All",I1828='Dashboard'!$B$4),OR('Dashboard'!$E$4="All",N1828='Dashboard'!$E$4),OR('Dashboard'!$H$4="All",K1828='Dashboard'!$H$4),OR('Dashboard'!$K$4="All",C1828='Dashboard'!$K$4)),1,0)</x:f>
        <x:v>1</x:v>
      </x:c>
      <x:c r="AI1828" s="84" t="n">
        <x:f>IF(AND(AG1828=1,OR('Dashboard'!$B$4="All",I1828='Dashboard'!$B$4),OR('Dashboard'!$E$4="All",N1828='Dashboard'!$E$4),OR('Dashboard'!$H$4="All",K1828='Dashboard'!$H$4)),1,0)</x:f>
        <x:v>1</x:v>
      </x:c>
    </x:row>
    <x:row r="1829">
      <x:c r="A1829" s="84" t="str">
        <x:f>'Raw Sales'!A1829</x:f>
        <x:v>ORD-2025-00740</x:v>
      </x:c>
      <x:c r="B1829" s="85" t="n">
        <x:f>'Raw Sales'!B1829</x:f>
        <x:v>45885</x:v>
      </x:c>
      <x:c r="C1829" s="84" t="n">
        <x:f>YEAR(B1829)</x:f>
        <x:v>2025</x:v>
      </x:c>
      <x:c r="D1829" s="91" t="n">
        <x:f>DATE(YEAR(B1829),MONTH(B1829),1)</x:f>
        <x:v>45870</x:v>
      </x:c>
      <x:c r="E1829" s="84" t="str">
        <x:f>TEXT(B1829,"mmm")</x:f>
        <x:v>Aug</x:v>
      </x:c>
      <x:c r="F1829" s="84" t="str">
        <x:f>'Raw Sales'!C1829</x:f>
        <x:v>CUST-0153</x:v>
      </x:c>
      <x:c r="G1829" s="84" t="str">
        <x:f>PROPER(TRIM('Raw Sales'!D1829))</x:f>
        <x:v>Marcus Evans</x:v>
      </x:c>
      <x:c r="H1829" s="84" t="str">
        <x:f>IF(TRIM('Raw Sales'!E1829)="","Unknown",PROPER(TRIM('Raw Sales'!E1829)))</x:f>
        <x:v>Corporate</x:v>
      </x:c>
      <x:c r="I1829" s="84" t="str">
        <x:f>PROPER(TRIM('Raw Sales'!F1829))</x:f>
        <x:v>Northeast</x:v>
      </x:c>
      <x:c r="J1829" s="84" t="str">
        <x:f>PROPER(TRIM('Raw Sales'!G1829))</x:f>
        <x:v>Philadelphia</x:v>
      </x:c>
      <x:c r="K1829" s="84" t="str">
        <x:f>PROPER(TRIM('Raw Sales'!H1829))</x:f>
        <x:v>Online</x:v>
      </x:c>
      <x:c r="L1829" s="84" t="str">
        <x:f>'Raw Sales'!I1829</x:f>
        <x:v>FITN-004</x:v>
      </x:c>
      <x:c r="M1829" s="84" t="str">
        <x:f>IFERROR(VLOOKUP(L1829,'Reference Data'!$A$5:$F$40,2,FALSE),"Unknown Product")</x:f>
        <x:v>Fitness Tracker</x:v>
      </x:c>
      <x:c r="N1829" s="84" t="str">
        <x:f>IFERROR(VLOOKUP(L1829,'Reference Data'!$A$5:$F$40,3,FALSE),"Unknown")</x:f>
        <x:v>Fitness</x:v>
      </x:c>
      <x:c r="O1829" s="84" t="str">
        <x:f>IFERROR(VLOOKUP(L1829,'Reference Data'!$A$5:$F$40,4,FALSE),"Unknown")</x:f>
        <x:v>Wearables</x:v>
      </x:c>
      <x:c r="P1829" s="92" t="n">
        <x:f>IFERROR(VLOOKUP(L1829,'Reference Data'!$A$5:$F$40,5,FALSE),0)</x:f>
        <x:v>89</x:v>
      </x:c>
      <x:c r="Q1829" s="92" t="n">
        <x:f>IFERROR(VLOOKUP(L1829,'Reference Data'!$A$5:$F$40,6,FALSE),0)</x:f>
        <x:v>44</x:v>
      </x:c>
      <x:c r="R1829" s="84" t="n">
        <x:f>'Raw Sales'!J1829</x:f>
        <x:v>5</x:v>
      </x:c>
      <x:c r="S1829" s="87" t="n">
        <x:f>'Raw Sales'!K1829</x:f>
        <x:v>0.05</x:v>
      </x:c>
      <x:c r="T1829" s="93" t="n">
        <x:f>P1829*R1829</x:f>
        <x:v>445</x:v>
      </x:c>
      <x:c r="U1829" s="93" t="n">
        <x:f>T1829*S1829</x:f>
        <x:v>22.25</x:v>
      </x:c>
      <x:c r="V1829" s="93" t="str">
        <x:f>PROPER(TRIM('Raw Sales'!L1829))</x:f>
        <x:v>Completed</x:v>
      </x:c>
      <x:c r="W1829" s="93" t="n">
        <x:f>IF(V1829="Returned",0,T1829-U1829)</x:f>
        <x:v>422.75</x:v>
      </x:c>
      <x:c r="X1829" s="93" t="n">
        <x:f>IF(V1829="Returned",Q1829*R1829*10%,Q1829*R1829)</x:f>
        <x:v>220</x:v>
      </x:c>
      <x:c r="Y1829" s="93" t="n">
        <x:f>W1829-X1829</x:f>
        <x:v>202.75</x:v>
      </x:c>
      <x:c r="Z1829" s="94" t="n">
        <x:f>IFERROR(Y1829/W1829,0)</x:f>
        <x:v>0.47959787108219987</x:v>
      </x:c>
      <x:c r="AA1829" s="84" t="str">
        <x:f>PROPER(TRIM('Raw Sales'!M1829))</x:f>
        <x:v>Mobile Wallet</x:v>
      </x:c>
      <x:c r="AB1829" s="84" t="str">
        <x:f>PROPER(TRIM('Raw Sales'!N1829))</x:f>
        <x:v>Ethan Cole</x:v>
      </x:c>
      <x:c r="AC1829" s="85" t="n">
        <x:f>'Raw Sales'!O1829</x:f>
        <x:v>45889</x:v>
      </x:c>
      <x:c r="AD1829" s="84" t="n">
        <x:f>AC1829-B1829</x:f>
        <x:v>4</x:v>
      </x:c>
      <x:c r="AE1829" s="84" t="str">
        <x:f>IF(COUNTIF($A$5:A1829,A1829)&gt;1,"Duplicate","Keep")</x:f>
        <x:v>Keep</x:v>
      </x:c>
      <x:c r="AF1829" s="84" t="str">
        <x:f>IF(OR(R1829&lt;=0,AC1829&lt;B1829,H1829="Unknown",M1829="Unknown Product"),"Review","Valid")</x:f>
        <x:v>Valid</x:v>
      </x:c>
      <x:c r="AG1829" s="84" t="n">
        <x:f>IF(AND(AE1829="Keep",AF1829="Valid"),1,0)</x:f>
        <x:v>1</x:v>
      </x:c>
      <x:c r="AH1829" s="84" t="n">
        <x:f>IF(AND(AG1829=1,OR('Dashboard'!$B$4="All",I1829='Dashboard'!$B$4),OR('Dashboard'!$E$4="All",N1829='Dashboard'!$E$4),OR('Dashboard'!$H$4="All",K1829='Dashboard'!$H$4),OR('Dashboard'!$K$4="All",C1829='Dashboard'!$K$4)),1,0)</x:f>
        <x:v>1</x:v>
      </x:c>
      <x:c r="AI1829" s="84" t="n">
        <x:f>IF(AND(AG1829=1,OR('Dashboard'!$B$4="All",I1829='Dashboard'!$B$4),OR('Dashboard'!$E$4="All",N1829='Dashboard'!$E$4),OR('Dashboard'!$H$4="All",K1829='Dashboard'!$H$4)),1,0)</x:f>
        <x:v>1</x:v>
      </x:c>
    </x:row>
    <x:row r="1830">
      <x:c r="A1830" s="84" t="str">
        <x:f>'Raw Sales'!A1830</x:f>
        <x:v>ORD-2025-01170</x:v>
      </x:c>
      <x:c r="B1830" s="85" t="n">
        <x:f>'Raw Sales'!B1830</x:f>
        <x:v>45885</x:v>
      </x:c>
      <x:c r="C1830" s="84" t="n">
        <x:f>YEAR(B1830)</x:f>
        <x:v>2025</x:v>
      </x:c>
      <x:c r="D1830" s="91" t="n">
        <x:f>DATE(YEAR(B1830),MONTH(B1830),1)</x:f>
        <x:v>45870</x:v>
      </x:c>
      <x:c r="E1830" s="84" t="str">
        <x:f>TEXT(B1830,"mmm")</x:f>
        <x:v>Aug</x:v>
      </x:c>
      <x:c r="F1830" s="84" t="str">
        <x:f>'Raw Sales'!C1830</x:f>
        <x:v>CUST-0576</x:v>
      </x:c>
      <x:c r="G1830" s="84" t="str">
        <x:f>PROPER(TRIM('Raw Sales'!D1830))</x:f>
        <x:v>Maya Walker</x:v>
      </x:c>
      <x:c r="H1830" s="84" t="str">
        <x:f>IF(TRIM('Raw Sales'!E1830)="","Unknown",PROPER(TRIM('Raw Sales'!E1830)))</x:f>
        <x:v>Corporate</x:v>
      </x:c>
      <x:c r="I1830" s="84" t="str">
        <x:f>PROPER(TRIM('Raw Sales'!F1830))</x:f>
        <x:v>Northeast</x:v>
      </x:c>
      <x:c r="J1830" s="84" t="str">
        <x:f>PROPER(TRIM('Raw Sales'!G1830))</x:f>
        <x:v>New York</x:v>
      </x:c>
      <x:c r="K1830" s="84" t="str">
        <x:f>PROPER(TRIM('Raw Sales'!H1830))</x:f>
        <x:v>Retail Store</x:v>
      </x:c>
      <x:c r="L1830" s="84" t="str">
        <x:f>'Raw Sales'!I1830</x:f>
        <x:v>OFFC-001</x:v>
      </x:c>
      <x:c r="M1830" s="84" t="str">
        <x:f>IFERROR(VLOOKUP(L1830,'Reference Data'!$A$5:$F$40,2,FALSE),"Unknown Product")</x:f>
        <x:v>Ergonomic Chair</x:v>
      </x:c>
      <x:c r="N1830" s="84" t="str">
        <x:f>IFERROR(VLOOKUP(L1830,'Reference Data'!$A$5:$F$40,3,FALSE),"Unknown")</x:f>
        <x:v>Office</x:v>
      </x:c>
      <x:c r="O1830" s="84" t="str">
        <x:f>IFERROR(VLOOKUP(L1830,'Reference Data'!$A$5:$F$40,4,FALSE),"Unknown")</x:f>
        <x:v>Furniture</x:v>
      </x:c>
      <x:c r="P1830" s="92" t="n">
        <x:f>IFERROR(VLOOKUP(L1830,'Reference Data'!$A$5:$F$40,5,FALSE),0)</x:f>
        <x:v>249</x:v>
      </x:c>
      <x:c r="Q1830" s="92" t="n">
        <x:f>IFERROR(VLOOKUP(L1830,'Reference Data'!$A$5:$F$40,6,FALSE),0)</x:f>
        <x:v>145</x:v>
      </x:c>
      <x:c r="R1830" s="84" t="n">
        <x:f>'Raw Sales'!J1830</x:f>
        <x:v>4</x:v>
      </x:c>
      <x:c r="S1830" s="87" t="n">
        <x:f>'Raw Sales'!K1830</x:f>
        <x:v>0.1</x:v>
      </x:c>
      <x:c r="T1830" s="93" t="n">
        <x:f>P1830*R1830</x:f>
        <x:v>996</x:v>
      </x:c>
      <x:c r="U1830" s="93" t="n">
        <x:f>T1830*S1830</x:f>
        <x:v>99.60000000000001</x:v>
      </x:c>
      <x:c r="V1830" s="93" t="str">
        <x:f>PROPER(TRIM('Raw Sales'!L1830))</x:f>
        <x:v>Completed</x:v>
      </x:c>
      <x:c r="W1830" s="93" t="n">
        <x:f>IF(V1830="Returned",0,T1830-U1830)</x:f>
        <x:v>896.4</x:v>
      </x:c>
      <x:c r="X1830" s="93" t="n">
        <x:f>IF(V1830="Returned",Q1830*R1830*10%,Q1830*R1830)</x:f>
        <x:v>580</x:v>
      </x:c>
      <x:c r="Y1830" s="93" t="n">
        <x:f>W1830-X1830</x:f>
        <x:v>316.4</x:v>
      </x:c>
      <x:c r="Z1830" s="94" t="n">
        <x:f>IFERROR(Y1830/W1830,0)</x:f>
        <x:v>0.35296742525658187</x:v>
      </x:c>
      <x:c r="AA1830" s="84" t="str">
        <x:f>PROPER(TRIM('Raw Sales'!M1830))</x:f>
        <x:v>Credit Card</x:v>
      </x:c>
      <x:c r="AB1830" s="84" t="str">
        <x:f>PROPER(TRIM('Raw Sales'!N1830))</x:f>
        <x:v>Ethan Cole</x:v>
      </x:c>
      <x:c r="AC1830" s="85" t="n">
        <x:f>'Raw Sales'!O1830</x:f>
        <x:v>45885</x:v>
      </x:c>
      <x:c r="AD1830" s="84" t="n">
        <x:f>AC1830-B1830</x:f>
        <x:v>0</x:v>
      </x:c>
      <x:c r="AE1830" s="84" t="str">
        <x:f>IF(COUNTIF($A$5:A1830,A1830)&gt;1,"Duplicate","Keep")</x:f>
        <x:v>Keep</x:v>
      </x:c>
      <x:c r="AF1830" s="84" t="str">
        <x:f>IF(OR(R1830&lt;=0,AC1830&lt;B1830,H1830="Unknown",M1830="Unknown Product"),"Review","Valid")</x:f>
        <x:v>Valid</x:v>
      </x:c>
      <x:c r="AG1830" s="84" t="n">
        <x:f>IF(AND(AE1830="Keep",AF1830="Valid"),1,0)</x:f>
        <x:v>1</x:v>
      </x:c>
      <x:c r="AH1830" s="84" t="n">
        <x:f>IF(AND(AG1830=1,OR('Dashboard'!$B$4="All",I1830='Dashboard'!$B$4),OR('Dashboard'!$E$4="All",N1830='Dashboard'!$E$4),OR('Dashboard'!$H$4="All",K1830='Dashboard'!$H$4),OR('Dashboard'!$K$4="All",C1830='Dashboard'!$K$4)),1,0)</x:f>
        <x:v>1</x:v>
      </x:c>
      <x:c r="AI1830" s="84" t="n">
        <x:f>IF(AND(AG1830=1,OR('Dashboard'!$B$4="All",I1830='Dashboard'!$B$4),OR('Dashboard'!$E$4="All",N1830='Dashboard'!$E$4),OR('Dashboard'!$H$4="All",K1830='Dashboard'!$H$4)),1,0)</x:f>
        <x:v>1</x:v>
      </x:c>
    </x:row>
    <x:row r="1831">
      <x:c r="A1831" s="84" t="str">
        <x:f>'Raw Sales'!A1831</x:f>
        <x:v>ORD-2025-02320</x:v>
      </x:c>
      <x:c r="B1831" s="85" t="n">
        <x:f>'Raw Sales'!B1831</x:f>
        <x:v>45886</x:v>
      </x:c>
      <x:c r="C1831" s="84" t="n">
        <x:f>YEAR(B1831)</x:f>
        <x:v>2025</x:v>
      </x:c>
      <x:c r="D1831" s="91" t="n">
        <x:f>DATE(YEAR(B1831),MONTH(B1831),1)</x:f>
        <x:v>45870</x:v>
      </x:c>
      <x:c r="E1831" s="84" t="str">
        <x:f>TEXT(B1831,"mmm")</x:f>
        <x:v>Aug</x:v>
      </x:c>
      <x:c r="F1831" s="84" t="str">
        <x:f>'Raw Sales'!C1831</x:f>
        <x:v>CUST-0425</x:v>
      </x:c>
      <x:c r="G1831" s="84" t="str">
        <x:f>PROPER(TRIM('Raw Sales'!D1831))</x:f>
        <x:v>Elena Baker</x:v>
      </x:c>
      <x:c r="H1831" s="84" t="str">
        <x:f>IF(TRIM('Raw Sales'!E1831)="","Unknown",PROPER(TRIM('Raw Sales'!E1831)))</x:f>
        <x:v>Corporate</x:v>
      </x:c>
      <x:c r="I1831" s="84" t="str">
        <x:f>PROPER(TRIM('Raw Sales'!F1831))</x:f>
        <x:v>Midwest</x:v>
      </x:c>
      <x:c r="J1831" s="84" t="str">
        <x:f>PROPER(TRIM('Raw Sales'!G1831))</x:f>
        <x:v>Chicago</x:v>
      </x:c>
      <x:c r="K1831" s="84" t="str">
        <x:f>PROPER(TRIM('Raw Sales'!H1831))</x:f>
        <x:v>Online</x:v>
      </x:c>
      <x:c r="L1831" s="84" t="str">
        <x:f>'Raw Sales'!I1831</x:f>
        <x:v>HOME-006</x:v>
      </x:c>
      <x:c r="M1831" s="84" t="str">
        <x:f>IFERROR(VLOOKUP(L1831,'Reference Data'!$A$5:$F$40,2,FALSE),"Unknown Product")</x:f>
        <x:v>Food Storage Set</x:v>
      </x:c>
      <x:c r="N1831" s="84" t="str">
        <x:f>IFERROR(VLOOKUP(L1831,'Reference Data'!$A$5:$F$40,3,FALSE),"Unknown")</x:f>
        <x:v>Home &amp; Kitchen</x:v>
      </x:c>
      <x:c r="O1831" s="84" t="str">
        <x:f>IFERROR(VLOOKUP(L1831,'Reference Data'!$A$5:$F$40,4,FALSE),"Unknown")</x:f>
        <x:v>Kitchenware</x:v>
      </x:c>
      <x:c r="P1831" s="92" t="n">
        <x:f>IFERROR(VLOOKUP(L1831,'Reference Data'!$A$5:$F$40,5,FALSE),0)</x:f>
        <x:v>34</x:v>
      </x:c>
      <x:c r="Q1831" s="92" t="n">
        <x:f>IFERROR(VLOOKUP(L1831,'Reference Data'!$A$5:$F$40,6,FALSE),0)</x:f>
        <x:v>15</x:v>
      </x:c>
      <x:c r="R1831" s="84" t="n">
        <x:f>'Raw Sales'!J1831</x:f>
        <x:v>8</x:v>
      </x:c>
      <x:c r="S1831" s="87" t="n">
        <x:f>'Raw Sales'!K1831</x:f>
        <x:v>0.1</x:v>
      </x:c>
      <x:c r="T1831" s="93" t="n">
        <x:f>P1831*R1831</x:f>
        <x:v>272</x:v>
      </x:c>
      <x:c r="U1831" s="93" t="n">
        <x:f>T1831*S1831</x:f>
        <x:v>27.200000000000003</x:v>
      </x:c>
      <x:c r="V1831" s="93" t="str">
        <x:f>PROPER(TRIM('Raw Sales'!L1831))</x:f>
        <x:v>Completed</x:v>
      </x:c>
      <x:c r="W1831" s="93" t="n">
        <x:f>IF(V1831="Returned",0,T1831-U1831)</x:f>
        <x:v>244.8</x:v>
      </x:c>
      <x:c r="X1831" s="93" t="n">
        <x:f>IF(V1831="Returned",Q1831*R1831*10%,Q1831*R1831)</x:f>
        <x:v>120</x:v>
      </x:c>
      <x:c r="Y1831" s="93" t="n">
        <x:f>W1831-X1831</x:f>
        <x:v>124.80000000000001</x:v>
      </x:c>
      <x:c r="Z1831" s="94" t="n">
        <x:f>IFERROR(Y1831/W1831,0)</x:f>
        <x:v>0.5098039215686275</x:v>
      </x:c>
      <x:c r="AA1831" s="84" t="str">
        <x:f>PROPER(TRIM('Raw Sales'!M1831))</x:f>
        <x:v>Debit Card</x:v>
      </x:c>
      <x:c r="AB1831" s="84" t="str">
        <x:f>PROPER(TRIM('Raw Sales'!N1831))</x:f>
        <x:v>Zoe Turner</x:v>
      </x:c>
      <x:c r="AC1831" s="85" t="n">
        <x:f>'Raw Sales'!O1831</x:f>
        <x:v>45888</x:v>
      </x:c>
      <x:c r="AD1831" s="84" t="n">
        <x:f>AC1831-B1831</x:f>
        <x:v>2</x:v>
      </x:c>
      <x:c r="AE1831" s="84" t="str">
        <x:f>IF(COUNTIF($A$5:A1831,A1831)&gt;1,"Duplicate","Keep")</x:f>
        <x:v>Keep</x:v>
      </x:c>
      <x:c r="AF1831" s="84" t="str">
        <x:f>IF(OR(R1831&lt;=0,AC1831&lt;B1831,H1831="Unknown",M1831="Unknown Product"),"Review","Valid")</x:f>
        <x:v>Valid</x:v>
      </x:c>
      <x:c r="AG1831" s="84" t="n">
        <x:f>IF(AND(AE1831="Keep",AF1831="Valid"),1,0)</x:f>
        <x:v>1</x:v>
      </x:c>
      <x:c r="AH1831" s="84" t="n">
        <x:f>IF(AND(AG1831=1,OR('Dashboard'!$B$4="All",I1831='Dashboard'!$B$4),OR('Dashboard'!$E$4="All",N1831='Dashboard'!$E$4),OR('Dashboard'!$H$4="All",K1831='Dashboard'!$H$4),OR('Dashboard'!$K$4="All",C1831='Dashboard'!$K$4)),1,0)</x:f>
        <x:v>1</x:v>
      </x:c>
      <x:c r="AI1831" s="84" t="n">
        <x:f>IF(AND(AG1831=1,OR('Dashboard'!$B$4="All",I1831='Dashboard'!$B$4),OR('Dashboard'!$E$4="All",N1831='Dashboard'!$E$4),OR('Dashboard'!$H$4="All",K1831='Dashboard'!$H$4)),1,0)</x:f>
        <x:v>1</x:v>
      </x:c>
    </x:row>
    <x:row r="1832">
      <x:c r="A1832" s="84" t="str">
        <x:f>'Raw Sales'!A1832</x:f>
        <x:v>ORD-2025-00485</x:v>
      </x:c>
      <x:c r="B1832" s="85" t="n">
        <x:f>'Raw Sales'!B1832</x:f>
        <x:v>45887</x:v>
      </x:c>
      <x:c r="C1832" s="84" t="n">
        <x:f>YEAR(B1832)</x:f>
        <x:v>2025</x:v>
      </x:c>
      <x:c r="D1832" s="91" t="n">
        <x:f>DATE(YEAR(B1832),MONTH(B1832),1)</x:f>
        <x:v>45870</x:v>
      </x:c>
      <x:c r="E1832" s="84" t="str">
        <x:f>TEXT(B1832,"mmm")</x:f>
        <x:v>Aug</x:v>
      </x:c>
      <x:c r="F1832" s="84" t="str">
        <x:f>'Raw Sales'!C1832</x:f>
        <x:v>CUST-0488</x:v>
      </x:c>
      <x:c r="G1832" s="84" t="str">
        <x:f>PROPER(TRIM('Raw Sales'!D1832))</x:f>
        <x:v>Nathan Moore</x:v>
      </x:c>
      <x:c r="H1832" s="84" t="str">
        <x:f>IF(TRIM('Raw Sales'!E1832)="","Unknown",PROPER(TRIM('Raw Sales'!E1832)))</x:f>
        <x:v>Consumer</x:v>
      </x:c>
      <x:c r="I1832" s="84" t="str">
        <x:f>PROPER(TRIM('Raw Sales'!F1832))</x:f>
        <x:v>Northeast</x:v>
      </x:c>
      <x:c r="J1832" s="84" t="str">
        <x:f>PROPER(TRIM('Raw Sales'!G1832))</x:f>
        <x:v>New York</x:v>
      </x:c>
      <x:c r="K1832" s="84" t="str">
        <x:f>PROPER(TRIM('Raw Sales'!H1832))</x:f>
        <x:v>Retail Store</x:v>
      </x:c>
      <x:c r="L1832" s="84" t="str">
        <x:f>'Raw Sales'!I1832</x:f>
        <x:v>ELEC-001</x:v>
      </x:c>
      <x:c r="M1832" s="84" t="str">
        <x:f>IFERROR(VLOOKUP(L1832,'Reference Data'!$A$5:$F$40,2,FALSE),"Unknown Product")</x:f>
        <x:v>Wireless Earbuds</x:v>
      </x:c>
      <x:c r="N1832" s="84" t="str">
        <x:f>IFERROR(VLOOKUP(L1832,'Reference Data'!$A$5:$F$40,3,FALSE),"Unknown")</x:f>
        <x:v>Electronics</x:v>
      </x:c>
      <x:c r="O1832" s="84" t="str">
        <x:f>IFERROR(VLOOKUP(L1832,'Reference Data'!$A$5:$F$40,4,FALSE),"Unknown")</x:f>
        <x:v>Audio</x:v>
      </x:c>
      <x:c r="P1832" s="92" t="n">
        <x:f>IFERROR(VLOOKUP(L1832,'Reference Data'!$A$5:$F$40,5,FALSE),0)</x:f>
        <x:v>69</x:v>
      </x:c>
      <x:c r="Q1832" s="92" t="n">
        <x:f>IFERROR(VLOOKUP(L1832,'Reference Data'!$A$5:$F$40,6,FALSE),0)</x:f>
        <x:v>36</x:v>
      </x:c>
      <x:c r="R1832" s="84" t="n">
        <x:f>'Raw Sales'!J1832</x:f>
        <x:v>1</x:v>
      </x:c>
      <x:c r="S1832" s="87" t="n">
        <x:f>'Raw Sales'!K1832</x:f>
        <x:v>0.05</x:v>
      </x:c>
      <x:c r="T1832" s="93" t="n">
        <x:f>P1832*R1832</x:f>
        <x:v>69</x:v>
      </x:c>
      <x:c r="U1832" s="93" t="n">
        <x:f>T1832*S1832</x:f>
        <x:v>3.45</x:v>
      </x:c>
      <x:c r="V1832" s="93" t="str">
        <x:f>PROPER(TRIM('Raw Sales'!L1832))</x:f>
        <x:v>Completed</x:v>
      </x:c>
      <x:c r="W1832" s="93" t="n">
        <x:f>IF(V1832="Returned",0,T1832-U1832)</x:f>
        <x:v>65.55</x:v>
      </x:c>
      <x:c r="X1832" s="93" t="n">
        <x:f>IF(V1832="Returned",Q1832*R1832*10%,Q1832*R1832)</x:f>
        <x:v>36</x:v>
      </x:c>
      <x:c r="Y1832" s="93" t="n">
        <x:f>W1832-X1832</x:f>
        <x:v>29.549999999999997</x:v>
      </x:c>
      <x:c r="Z1832" s="94" t="n">
        <x:f>IFERROR(Y1832/W1832,0)</x:f>
        <x:v>0.45080091533180777</x:v>
      </x:c>
      <x:c r="AA1832" s="84" t="str">
        <x:f>PROPER(TRIM('Raw Sales'!M1832))</x:f>
        <x:v>Credit Card</x:v>
      </x:c>
      <x:c r="AB1832" s="84" t="str">
        <x:f>PROPER(TRIM('Raw Sales'!N1832))</x:f>
        <x:v>Sofia Bennett</x:v>
      </x:c>
      <x:c r="AC1832" s="85" t="n">
        <x:f>'Raw Sales'!O1832</x:f>
        <x:v>45887</x:v>
      </x:c>
      <x:c r="AD1832" s="84" t="n">
        <x:f>AC1832-B1832</x:f>
        <x:v>0</x:v>
      </x:c>
      <x:c r="AE1832" s="84" t="str">
        <x:f>IF(COUNTIF($A$5:A1832,A1832)&gt;1,"Duplicate","Keep")</x:f>
        <x:v>Keep</x:v>
      </x:c>
      <x:c r="AF1832" s="84" t="str">
        <x:f>IF(OR(R1832&lt;=0,AC1832&lt;B1832,H1832="Unknown",M1832="Unknown Product"),"Review","Valid")</x:f>
        <x:v>Valid</x:v>
      </x:c>
      <x:c r="AG1832" s="84" t="n">
        <x:f>IF(AND(AE1832="Keep",AF1832="Valid"),1,0)</x:f>
        <x:v>1</x:v>
      </x:c>
      <x:c r="AH1832" s="84" t="n">
        <x:f>IF(AND(AG1832=1,OR('Dashboard'!$B$4="All",I1832='Dashboard'!$B$4),OR('Dashboard'!$E$4="All",N1832='Dashboard'!$E$4),OR('Dashboard'!$H$4="All",K1832='Dashboard'!$H$4),OR('Dashboard'!$K$4="All",C1832='Dashboard'!$K$4)),1,0)</x:f>
        <x:v>1</x:v>
      </x:c>
      <x:c r="AI1832" s="84" t="n">
        <x:f>IF(AND(AG1832=1,OR('Dashboard'!$B$4="All",I1832='Dashboard'!$B$4),OR('Dashboard'!$E$4="All",N1832='Dashboard'!$E$4),OR('Dashboard'!$H$4="All",K1832='Dashboard'!$H$4)),1,0)</x:f>
        <x:v>1</x:v>
      </x:c>
    </x:row>
    <x:row r="1833">
      <x:c r="A1833" s="84" t="str">
        <x:f>'Raw Sales'!A1833</x:f>
        <x:v>ORD-2025-00540</x:v>
      </x:c>
      <x:c r="B1833" s="85" t="n">
        <x:f>'Raw Sales'!B1833</x:f>
        <x:v>45888</x:v>
      </x:c>
      <x:c r="C1833" s="84" t="n">
        <x:f>YEAR(B1833)</x:f>
        <x:v>2025</x:v>
      </x:c>
      <x:c r="D1833" s="91" t="n">
        <x:f>DATE(YEAR(B1833),MONTH(B1833),1)</x:f>
        <x:v>45870</x:v>
      </x:c>
      <x:c r="E1833" s="84" t="str">
        <x:f>TEXT(B1833,"mmm")</x:f>
        <x:v>Aug</x:v>
      </x:c>
      <x:c r="F1833" s="84" t="str">
        <x:f>'Raw Sales'!C1833</x:f>
        <x:v>CUST-0211</x:v>
      </x:c>
      <x:c r="G1833" s="84" t="str">
        <x:f>PROPER(TRIM('Raw Sales'!D1833))</x:f>
        <x:v>Caleb Roberts</x:v>
      </x:c>
      <x:c r="H1833" s="84" t="str">
        <x:f>IF(TRIM('Raw Sales'!E1833)="","Unknown",PROPER(TRIM('Raw Sales'!E1833)))</x:f>
        <x:v>Consumer</x:v>
      </x:c>
      <x:c r="I1833" s="84" t="str">
        <x:f>PROPER(TRIM('Raw Sales'!F1833))</x:f>
        <x:v>Northeast</x:v>
      </x:c>
      <x:c r="J1833" s="84" t="str">
        <x:f>PROPER(TRIM('Raw Sales'!G1833))</x:f>
        <x:v>New York</x:v>
      </x:c>
      <x:c r="K1833" s="84" t="str">
        <x:f>PROPER(TRIM('Raw Sales'!H1833))</x:f>
        <x:v>Online</x:v>
      </x:c>
      <x:c r="L1833" s="84" t="str">
        <x:f>'Raw Sales'!I1833</x:f>
        <x:v>ELEC-002</x:v>
      </x:c>
      <x:c r="M1833" s="84" t="str">
        <x:f>IFERROR(VLOOKUP(L1833,'Reference Data'!$A$5:$F$40,2,FALSE),"Unknown Product")</x:f>
        <x:v>Smartwatch</x:v>
      </x:c>
      <x:c r="N1833" s="84" t="str">
        <x:f>IFERROR(VLOOKUP(L1833,'Reference Data'!$A$5:$F$40,3,FALSE),"Unknown")</x:f>
        <x:v>Electronics</x:v>
      </x:c>
      <x:c r="O1833" s="84" t="str">
        <x:f>IFERROR(VLOOKUP(L1833,'Reference Data'!$A$5:$F$40,4,FALSE),"Unknown")</x:f>
        <x:v>Wearables</x:v>
      </x:c>
      <x:c r="P1833" s="92" t="n">
        <x:f>IFERROR(VLOOKUP(L1833,'Reference Data'!$A$5:$F$40,5,FALSE),0)</x:f>
        <x:v>159</x:v>
      </x:c>
      <x:c r="Q1833" s="92" t="n">
        <x:f>IFERROR(VLOOKUP(L1833,'Reference Data'!$A$5:$F$40,6,FALSE),0)</x:f>
        <x:v>92</x:v>
      </x:c>
      <x:c r="R1833" s="84" t="n">
        <x:f>'Raw Sales'!J1833</x:f>
        <x:v>2</x:v>
      </x:c>
      <x:c r="S1833" s="87" t="n">
        <x:f>'Raw Sales'!K1833</x:f>
        <x:v>0.05</x:v>
      </x:c>
      <x:c r="T1833" s="93" t="n">
        <x:f>P1833*R1833</x:f>
        <x:v>318</x:v>
      </x:c>
      <x:c r="U1833" s="93" t="n">
        <x:f>T1833*S1833</x:f>
        <x:v>15.9</x:v>
      </x:c>
      <x:c r="V1833" s="93" t="str">
        <x:f>PROPER(TRIM('Raw Sales'!L1833))</x:f>
        <x:v>Completed</x:v>
      </x:c>
      <x:c r="W1833" s="93" t="n">
        <x:f>IF(V1833="Returned",0,T1833-U1833)</x:f>
        <x:v>302.1</x:v>
      </x:c>
      <x:c r="X1833" s="93" t="n">
        <x:f>IF(V1833="Returned",Q1833*R1833*10%,Q1833*R1833)</x:f>
        <x:v>184</x:v>
      </x:c>
      <x:c r="Y1833" s="93" t="n">
        <x:f>W1833-X1833</x:f>
        <x:v>118.10000000000002</x:v>
      </x:c>
      <x:c r="Z1833" s="94" t="n">
        <x:f>IFERROR(Y1833/W1833,0)</x:f>
        <x:v>0.39093015557762334</x:v>
      </x:c>
      <x:c r="AA1833" s="84" t="str">
        <x:f>PROPER(TRIM('Raw Sales'!M1833))</x:f>
        <x:v>Paypal</x:v>
      </x:c>
      <x:c r="AB1833" s="84" t="str">
        <x:f>PROPER(TRIM('Raw Sales'!N1833))</x:f>
        <x:v>Ethan Cole</x:v>
      </x:c>
      <x:c r="AC1833" s="85" t="n">
        <x:f>'Raw Sales'!O1833</x:f>
        <x:v>45890</x:v>
      </x:c>
      <x:c r="AD1833" s="84" t="n">
        <x:f>AC1833-B1833</x:f>
        <x:v>2</x:v>
      </x:c>
      <x:c r="AE1833" s="84" t="str">
        <x:f>IF(COUNTIF($A$5:A1833,A1833)&gt;1,"Duplicate","Keep")</x:f>
        <x:v>Keep</x:v>
      </x:c>
      <x:c r="AF1833" s="84" t="str">
        <x:f>IF(OR(R1833&lt;=0,AC1833&lt;B1833,H1833="Unknown",M1833="Unknown Product"),"Review","Valid")</x:f>
        <x:v>Valid</x:v>
      </x:c>
      <x:c r="AG1833" s="84" t="n">
        <x:f>IF(AND(AE1833="Keep",AF1833="Valid"),1,0)</x:f>
        <x:v>1</x:v>
      </x:c>
      <x:c r="AH1833" s="84" t="n">
        <x:f>IF(AND(AG1833=1,OR('Dashboard'!$B$4="All",I1833='Dashboard'!$B$4),OR('Dashboard'!$E$4="All",N1833='Dashboard'!$E$4),OR('Dashboard'!$H$4="All",K1833='Dashboard'!$H$4),OR('Dashboard'!$K$4="All",C1833='Dashboard'!$K$4)),1,0)</x:f>
        <x:v>1</x:v>
      </x:c>
      <x:c r="AI1833" s="84" t="n">
        <x:f>IF(AND(AG1833=1,OR('Dashboard'!$B$4="All",I1833='Dashboard'!$B$4),OR('Dashboard'!$E$4="All",N1833='Dashboard'!$E$4),OR('Dashboard'!$H$4="All",K1833='Dashboard'!$H$4)),1,0)</x:f>
        <x:v>1</x:v>
      </x:c>
    </x:row>
    <x:row r="1834">
      <x:c r="A1834" s="84" t="str">
        <x:f>'Raw Sales'!A1834</x:f>
        <x:v>ORD-2025-00713</x:v>
      </x:c>
      <x:c r="B1834" s="85" t="n">
        <x:f>'Raw Sales'!B1834</x:f>
        <x:v>45888</x:v>
      </x:c>
      <x:c r="C1834" s="84" t="n">
        <x:f>YEAR(B1834)</x:f>
        <x:v>2025</x:v>
      </x:c>
      <x:c r="D1834" s="91" t="n">
        <x:f>DATE(YEAR(B1834),MONTH(B1834),1)</x:f>
        <x:v>45870</x:v>
      </x:c>
      <x:c r="E1834" s="84" t="str">
        <x:f>TEXT(B1834,"mmm")</x:f>
        <x:v>Aug</x:v>
      </x:c>
      <x:c r="F1834" s="84" t="str">
        <x:f>'Raw Sales'!C1834</x:f>
        <x:v>CUST-0322</x:v>
      </x:c>
      <x:c r="G1834" s="84" t="str">
        <x:f>PROPER(TRIM('Raw Sales'!D1834))</x:f>
        <x:v>Jasmine Khan</x:v>
      </x:c>
      <x:c r="H1834" s="84" t="str">
        <x:f>IF(TRIM('Raw Sales'!E1834)="","Unknown",PROPER(TRIM('Raw Sales'!E1834)))</x:f>
        <x:v>Corporate</x:v>
      </x:c>
      <x:c r="I1834" s="84" t="str">
        <x:f>PROPER(TRIM('Raw Sales'!F1834))</x:f>
        <x:v>Southeast</x:v>
      </x:c>
      <x:c r="J1834" s="84" t="str">
        <x:f>PROPER(TRIM('Raw Sales'!G1834))</x:f>
        <x:v>Atlanta</x:v>
      </x:c>
      <x:c r="K1834" s="84" t="str">
        <x:f>PROPER(TRIM('Raw Sales'!H1834))</x:f>
        <x:v>Retail Store</x:v>
      </x:c>
      <x:c r="L1834" s="84" t="str">
        <x:f>'Raw Sales'!I1834</x:f>
        <x:v>OFFC-004</x:v>
      </x:c>
      <x:c r="M1834" s="84" t="str">
        <x:f>IFERROR(VLOOKUP(L1834,'Reference Data'!$A$5:$F$40,2,FALSE),"Unknown Product")</x:f>
        <x:v>Premium Notebook Pack</x:v>
      </x:c>
      <x:c r="N1834" s="84" t="str">
        <x:f>IFERROR(VLOOKUP(L1834,'Reference Data'!$A$5:$F$40,3,FALSE),"Unknown")</x:f>
        <x:v>Office</x:v>
      </x:c>
      <x:c r="O1834" s="84" t="str">
        <x:f>IFERROR(VLOOKUP(L1834,'Reference Data'!$A$5:$F$40,4,FALSE),"Unknown")</x:f>
        <x:v>Stationery</x:v>
      </x:c>
      <x:c r="P1834" s="92" t="n">
        <x:f>IFERROR(VLOOKUP(L1834,'Reference Data'!$A$5:$F$40,5,FALSE),0)</x:f>
        <x:v>18</x:v>
      </x:c>
      <x:c r="Q1834" s="92" t="n">
        <x:f>IFERROR(VLOOKUP(L1834,'Reference Data'!$A$5:$F$40,6,FALSE),0)</x:f>
        <x:v>6.5</x:v>
      </x:c>
      <x:c r="R1834" s="84" t="n">
        <x:f>'Raw Sales'!J1834</x:f>
        <x:v>1</x:v>
      </x:c>
      <x:c r="S1834" s="87" t="n">
        <x:f>'Raw Sales'!K1834</x:f>
        <x:v>0.15</x:v>
      </x:c>
      <x:c r="T1834" s="93" t="n">
        <x:f>P1834*R1834</x:f>
        <x:v>18</x:v>
      </x:c>
      <x:c r="U1834" s="93" t="n">
        <x:f>T1834*S1834</x:f>
        <x:v>2.6999999999999997</x:v>
      </x:c>
      <x:c r="V1834" s="93" t="str">
        <x:f>PROPER(TRIM('Raw Sales'!L1834))</x:f>
        <x:v>Completed</x:v>
      </x:c>
      <x:c r="W1834" s="93" t="n">
        <x:f>IF(V1834="Returned",0,T1834-U1834)</x:f>
        <x:v>15.3</x:v>
      </x:c>
      <x:c r="X1834" s="93" t="n">
        <x:f>IF(V1834="Returned",Q1834*R1834*10%,Q1834*R1834)</x:f>
        <x:v>6.5</x:v>
      </x:c>
      <x:c r="Y1834" s="93" t="n">
        <x:f>W1834-X1834</x:f>
        <x:v>8.8</x:v>
      </x:c>
      <x:c r="Z1834" s="94" t="n">
        <x:f>IFERROR(Y1834/W1834,0)</x:f>
        <x:v>0.5751633986928105</x:v>
      </x:c>
      <x:c r="AA1834" s="84" t="str">
        <x:f>PROPER(TRIM('Raw Sales'!M1834))</x:f>
        <x:v>Cash</x:v>
      </x:c>
      <x:c r="AB1834" s="84" t="str">
        <x:f>PROPER(TRIM('Raw Sales'!N1834))</x:f>
        <x:v>Liam Parker</x:v>
      </x:c>
      <x:c r="AC1834" s="85" t="n">
        <x:f>'Raw Sales'!O1834</x:f>
        <x:v>45889</x:v>
      </x:c>
      <x:c r="AD1834" s="84" t="n">
        <x:f>AC1834-B1834</x:f>
        <x:v>1</x:v>
      </x:c>
      <x:c r="AE1834" s="84" t="str">
        <x:f>IF(COUNTIF($A$5:A1834,A1834)&gt;1,"Duplicate","Keep")</x:f>
        <x:v>Keep</x:v>
      </x:c>
      <x:c r="AF1834" s="84" t="str">
        <x:f>IF(OR(R1834&lt;=0,AC1834&lt;B1834,H1834="Unknown",M1834="Unknown Product"),"Review","Valid")</x:f>
        <x:v>Valid</x:v>
      </x:c>
      <x:c r="AG1834" s="84" t="n">
        <x:f>IF(AND(AE1834="Keep",AF1834="Valid"),1,0)</x:f>
        <x:v>1</x:v>
      </x:c>
      <x:c r="AH1834" s="84" t="n">
        <x:f>IF(AND(AG1834=1,OR('Dashboard'!$B$4="All",I1834='Dashboard'!$B$4),OR('Dashboard'!$E$4="All",N1834='Dashboard'!$E$4),OR('Dashboard'!$H$4="All",K1834='Dashboard'!$H$4),OR('Dashboard'!$K$4="All",C1834='Dashboard'!$K$4)),1,0)</x:f>
        <x:v>1</x:v>
      </x:c>
      <x:c r="AI1834" s="84" t="n">
        <x:f>IF(AND(AG1834=1,OR('Dashboard'!$B$4="All",I1834='Dashboard'!$B$4),OR('Dashboard'!$E$4="All",N1834='Dashboard'!$E$4),OR('Dashboard'!$H$4="All",K1834='Dashboard'!$H$4)),1,0)</x:f>
        <x:v>1</x:v>
      </x:c>
    </x:row>
    <x:row r="1835">
      <x:c r="A1835" s="84" t="str">
        <x:f>'Raw Sales'!A1835</x:f>
        <x:v>ORD-2025-01103</x:v>
      </x:c>
      <x:c r="B1835" s="85" t="n">
        <x:f>'Raw Sales'!B1835</x:f>
        <x:v>45888</x:v>
      </x:c>
      <x:c r="C1835" s="84" t="n">
        <x:f>YEAR(B1835)</x:f>
        <x:v>2025</x:v>
      </x:c>
      <x:c r="D1835" s="91" t="n">
        <x:f>DATE(YEAR(B1835),MONTH(B1835),1)</x:f>
        <x:v>45870</x:v>
      </x:c>
      <x:c r="E1835" s="84" t="str">
        <x:f>TEXT(B1835,"mmm")</x:f>
        <x:v>Aug</x:v>
      </x:c>
      <x:c r="F1835" s="84" t="str">
        <x:f>'Raw Sales'!C1835</x:f>
        <x:v>CUST-0465</x:v>
      </x:c>
      <x:c r="G1835" s="84" t="str">
        <x:f>PROPER(TRIM('Raw Sales'!D1835))</x:f>
        <x:v>Owen Irwin</x:v>
      </x:c>
      <x:c r="H1835" s="84" t="str">
        <x:f>IF(TRIM('Raw Sales'!E1835)="","Unknown",PROPER(TRIM('Raw Sales'!E1835)))</x:f>
        <x:v>Consumer</x:v>
      </x:c>
      <x:c r="I1835" s="84" t="str">
        <x:f>PROPER(TRIM('Raw Sales'!F1835))</x:f>
        <x:v>Midwest</x:v>
      </x:c>
      <x:c r="J1835" s="84" t="str">
        <x:f>PROPER(TRIM('Raw Sales'!G1835))</x:f>
        <x:v>Columbus</x:v>
      </x:c>
      <x:c r="K1835" s="84" t="str">
        <x:f>PROPER(TRIM('Raw Sales'!H1835))</x:f>
        <x:v>Online</x:v>
      </x:c>
      <x:c r="L1835" s="84" t="str">
        <x:f>'Raw Sales'!I1835</x:f>
        <x:v>OFFC-004</x:v>
      </x:c>
      <x:c r="M1835" s="84" t="str">
        <x:f>IFERROR(VLOOKUP(L1835,'Reference Data'!$A$5:$F$40,2,FALSE),"Unknown Product")</x:f>
        <x:v>Premium Notebook Pack</x:v>
      </x:c>
      <x:c r="N1835" s="84" t="str">
        <x:f>IFERROR(VLOOKUP(L1835,'Reference Data'!$A$5:$F$40,3,FALSE),"Unknown")</x:f>
        <x:v>Office</x:v>
      </x:c>
      <x:c r="O1835" s="84" t="str">
        <x:f>IFERROR(VLOOKUP(L1835,'Reference Data'!$A$5:$F$40,4,FALSE),"Unknown")</x:f>
        <x:v>Stationery</x:v>
      </x:c>
      <x:c r="P1835" s="92" t="n">
        <x:f>IFERROR(VLOOKUP(L1835,'Reference Data'!$A$5:$F$40,5,FALSE),0)</x:f>
        <x:v>18</x:v>
      </x:c>
      <x:c r="Q1835" s="92" t="n">
        <x:f>IFERROR(VLOOKUP(L1835,'Reference Data'!$A$5:$F$40,6,FALSE),0)</x:f>
        <x:v>6.5</x:v>
      </x:c>
      <x:c r="R1835" s="84" t="n">
        <x:f>'Raw Sales'!J1835</x:f>
        <x:v>1</x:v>
      </x:c>
      <x:c r="S1835" s="87" t="n">
        <x:f>'Raw Sales'!K1835</x:f>
        <x:v>0.1</x:v>
      </x:c>
      <x:c r="T1835" s="93" t="n">
        <x:f>P1835*R1835</x:f>
        <x:v>18</x:v>
      </x:c>
      <x:c r="U1835" s="93" t="n">
        <x:f>T1835*S1835</x:f>
        <x:v>1.8</x:v>
      </x:c>
      <x:c r="V1835" s="93" t="str">
        <x:f>PROPER(TRIM('Raw Sales'!L1835))</x:f>
        <x:v>Completed</x:v>
      </x:c>
      <x:c r="W1835" s="93" t="n">
        <x:f>IF(V1835="Returned",0,T1835-U1835)</x:f>
        <x:v>16.2</x:v>
      </x:c>
      <x:c r="X1835" s="93" t="n">
        <x:f>IF(V1835="Returned",Q1835*R1835*10%,Q1835*R1835)</x:f>
        <x:v>6.5</x:v>
      </x:c>
      <x:c r="Y1835" s="93" t="n">
        <x:f>W1835-X1835</x:f>
        <x:v>9.7</x:v>
      </x:c>
      <x:c r="Z1835" s="94" t="n">
        <x:f>IFERROR(Y1835/W1835,0)</x:f>
        <x:v>0.5987654320987654</x:v>
      </x:c>
      <x:c r="AA1835" s="84" t="str">
        <x:f>PROPER(TRIM('Raw Sales'!M1835))</x:f>
        <x:v>Paypal</x:v>
      </x:c>
      <x:c r="AB1835" s="84" t="str">
        <x:f>PROPER(TRIM('Raw Sales'!N1835))</x:f>
        <x:v>Lucas Grant</x:v>
      </x:c>
      <x:c r="AC1835" s="85" t="n">
        <x:f>'Raw Sales'!O1835</x:f>
        <x:v>45893</x:v>
      </x:c>
      <x:c r="AD1835" s="84" t="n">
        <x:f>AC1835-B1835</x:f>
        <x:v>5</x:v>
      </x:c>
      <x:c r="AE1835" s="84" t="str">
        <x:f>IF(COUNTIF($A$5:A1835,A1835)&gt;1,"Duplicate","Keep")</x:f>
        <x:v>Keep</x:v>
      </x:c>
      <x:c r="AF1835" s="84" t="str">
        <x:f>IF(OR(R1835&lt;=0,AC1835&lt;B1835,H1835="Unknown",M1835="Unknown Product"),"Review","Valid")</x:f>
        <x:v>Valid</x:v>
      </x:c>
      <x:c r="AG1835" s="84" t="n">
        <x:f>IF(AND(AE1835="Keep",AF1835="Valid"),1,0)</x:f>
        <x:v>1</x:v>
      </x:c>
      <x:c r="AH1835" s="84" t="n">
        <x:f>IF(AND(AG1835=1,OR('Dashboard'!$B$4="All",I1835='Dashboard'!$B$4),OR('Dashboard'!$E$4="All",N1835='Dashboard'!$E$4),OR('Dashboard'!$H$4="All",K1835='Dashboard'!$H$4),OR('Dashboard'!$K$4="All",C1835='Dashboard'!$K$4)),1,0)</x:f>
        <x:v>1</x:v>
      </x:c>
      <x:c r="AI1835" s="84" t="n">
        <x:f>IF(AND(AG1835=1,OR('Dashboard'!$B$4="All",I1835='Dashboard'!$B$4),OR('Dashboard'!$E$4="All",N1835='Dashboard'!$E$4),OR('Dashboard'!$H$4="All",K1835='Dashboard'!$H$4)),1,0)</x:f>
        <x:v>1</x:v>
      </x:c>
    </x:row>
    <x:row r="1836">
      <x:c r="A1836" s="84" t="str">
        <x:f>'Raw Sales'!A1836</x:f>
        <x:v>ORD-2025-01613</x:v>
      </x:c>
      <x:c r="B1836" s="85" t="n">
        <x:f>'Raw Sales'!B1836</x:f>
        <x:v>45888</x:v>
      </x:c>
      <x:c r="C1836" s="84" t="n">
        <x:f>YEAR(B1836)</x:f>
        <x:v>2025</x:v>
      </x:c>
      <x:c r="D1836" s="91" t="n">
        <x:f>DATE(YEAR(B1836),MONTH(B1836),1)</x:f>
        <x:v>45870</x:v>
      </x:c>
      <x:c r="E1836" s="84" t="str">
        <x:f>TEXT(B1836,"mmm")</x:f>
        <x:v>Aug</x:v>
      </x:c>
      <x:c r="F1836" s="84" t="str">
        <x:f>'Raw Sales'!C1836</x:f>
        <x:v>CUST-0512</x:v>
      </x:c>
      <x:c r="G1836" s="84" t="str">
        <x:f>PROPER(TRIM('Raw Sales'!D1836))</x:f>
        <x:v>Elena Carter</x:v>
      </x:c>
      <x:c r="H1836" s="84" t="str">
        <x:f>IF(TRIM('Raw Sales'!E1836)="","Unknown",PROPER(TRIM('Raw Sales'!E1836)))</x:f>
        <x:v>Consumer</x:v>
      </x:c>
      <x:c r="I1836" s="84" t="str">
        <x:f>PROPER(TRIM('Raw Sales'!F1836))</x:f>
        <x:v>West</x:v>
      </x:c>
      <x:c r="J1836" s="84" t="str">
        <x:f>PROPER(TRIM('Raw Sales'!G1836))</x:f>
        <x:v>Denver</x:v>
      </x:c>
      <x:c r="K1836" s="84" t="str">
        <x:f>PROPER(TRIM('Raw Sales'!H1836))</x:f>
        <x:v>Online</x:v>
      </x:c>
      <x:c r="L1836" s="84" t="str">
        <x:f>'Raw Sales'!I1836</x:f>
        <x:v>HOME-006</x:v>
      </x:c>
      <x:c r="M1836" s="84" t="str">
        <x:f>IFERROR(VLOOKUP(L1836,'Reference Data'!$A$5:$F$40,2,FALSE),"Unknown Product")</x:f>
        <x:v>Food Storage Set</x:v>
      </x:c>
      <x:c r="N1836" s="84" t="str">
        <x:f>IFERROR(VLOOKUP(L1836,'Reference Data'!$A$5:$F$40,3,FALSE),"Unknown")</x:f>
        <x:v>Home &amp; Kitchen</x:v>
      </x:c>
      <x:c r="O1836" s="84" t="str">
        <x:f>IFERROR(VLOOKUP(L1836,'Reference Data'!$A$5:$F$40,4,FALSE),"Unknown")</x:f>
        <x:v>Kitchenware</x:v>
      </x:c>
      <x:c r="P1836" s="92" t="n">
        <x:f>IFERROR(VLOOKUP(L1836,'Reference Data'!$A$5:$F$40,5,FALSE),0)</x:f>
        <x:v>34</x:v>
      </x:c>
      <x:c r="Q1836" s="92" t="n">
        <x:f>IFERROR(VLOOKUP(L1836,'Reference Data'!$A$5:$F$40,6,FALSE),0)</x:f>
        <x:v>15</x:v>
      </x:c>
      <x:c r="R1836" s="84" t="n">
        <x:f>'Raw Sales'!J1836</x:f>
        <x:v>1</x:v>
      </x:c>
      <x:c r="S1836" s="87" t="n">
        <x:f>'Raw Sales'!K1836</x:f>
        <x:v>0.1</x:v>
      </x:c>
      <x:c r="T1836" s="93" t="n">
        <x:f>P1836*R1836</x:f>
        <x:v>34</x:v>
      </x:c>
      <x:c r="U1836" s="93" t="n">
        <x:f>T1836*S1836</x:f>
        <x:v>3.4000000000000004</x:v>
      </x:c>
      <x:c r="V1836" s="93" t="str">
        <x:f>PROPER(TRIM('Raw Sales'!L1836))</x:f>
        <x:v>Completed</x:v>
      </x:c>
      <x:c r="W1836" s="93" t="n">
        <x:f>IF(V1836="Returned",0,T1836-U1836)</x:f>
        <x:v>30.6</x:v>
      </x:c>
      <x:c r="X1836" s="93" t="n">
        <x:f>IF(V1836="Returned",Q1836*R1836*10%,Q1836*R1836)</x:f>
        <x:v>15</x:v>
      </x:c>
      <x:c r="Y1836" s="93" t="n">
        <x:f>W1836-X1836</x:f>
        <x:v>15.600000000000001</x:v>
      </x:c>
      <x:c r="Z1836" s="94" t="n">
        <x:f>IFERROR(Y1836/W1836,0)</x:f>
        <x:v>0.5098039215686275</x:v>
      </x:c>
      <x:c r="AA1836" s="84" t="str">
        <x:f>PROPER(TRIM('Raw Sales'!M1836))</x:f>
        <x:v>Mobile Wallet</x:v>
      </x:c>
      <x:c r="AB1836" s="84" t="str">
        <x:f>PROPER(TRIM('Raw Sales'!N1836))</x:f>
        <x:v>Nora Kim</x:v>
      </x:c>
      <x:c r="AC1836" s="85" t="n">
        <x:f>'Raw Sales'!O1836</x:f>
        <x:v>45893</x:v>
      </x:c>
      <x:c r="AD1836" s="84" t="n">
        <x:f>AC1836-B1836</x:f>
        <x:v>5</x:v>
      </x:c>
      <x:c r="AE1836" s="84" t="str">
        <x:f>IF(COUNTIF($A$5:A1836,A1836)&gt;1,"Duplicate","Keep")</x:f>
        <x:v>Keep</x:v>
      </x:c>
      <x:c r="AF1836" s="84" t="str">
        <x:f>IF(OR(R1836&lt;=0,AC1836&lt;B1836,H1836="Unknown",M1836="Unknown Product"),"Review","Valid")</x:f>
        <x:v>Valid</x:v>
      </x:c>
      <x:c r="AG1836" s="84" t="n">
        <x:f>IF(AND(AE1836="Keep",AF1836="Valid"),1,0)</x:f>
        <x:v>1</x:v>
      </x:c>
      <x:c r="AH1836" s="84" t="n">
        <x:f>IF(AND(AG1836=1,OR('Dashboard'!$B$4="All",I1836='Dashboard'!$B$4),OR('Dashboard'!$E$4="All",N1836='Dashboard'!$E$4),OR('Dashboard'!$H$4="All",K1836='Dashboard'!$H$4),OR('Dashboard'!$K$4="All",C1836='Dashboard'!$K$4)),1,0)</x:f>
        <x:v>1</x:v>
      </x:c>
      <x:c r="AI1836" s="84" t="n">
        <x:f>IF(AND(AG1836=1,OR('Dashboard'!$B$4="All",I1836='Dashboard'!$B$4),OR('Dashboard'!$E$4="All",N1836='Dashboard'!$E$4),OR('Dashboard'!$H$4="All",K1836='Dashboard'!$H$4)),1,0)</x:f>
        <x:v>1</x:v>
      </x:c>
    </x:row>
    <x:row r="1837">
      <x:c r="A1837" s="84" t="str">
        <x:f>'Raw Sales'!A1837</x:f>
        <x:v>ORD-2025-00073</x:v>
      </x:c>
      <x:c r="B1837" s="85" t="n">
        <x:f>'Raw Sales'!B1837</x:f>
        <x:v>45889</x:v>
      </x:c>
      <x:c r="C1837" s="84" t="n">
        <x:f>YEAR(B1837)</x:f>
        <x:v>2025</x:v>
      </x:c>
      <x:c r="D1837" s="91" t="n">
        <x:f>DATE(YEAR(B1837),MONTH(B1837),1)</x:f>
        <x:v>45870</x:v>
      </x:c>
      <x:c r="E1837" s="84" t="str">
        <x:f>TEXT(B1837,"mmm")</x:f>
        <x:v>Aug</x:v>
      </x:c>
      <x:c r="F1837" s="84" t="str">
        <x:f>'Raw Sales'!C1837</x:f>
        <x:v>CUST-0049</x:v>
      </x:c>
      <x:c r="G1837" s="84" t="str">
        <x:f>PROPER(TRIM('Raw Sales'!D1837))</x:f>
        <x:v>Jasmine Lewis</x:v>
      </x:c>
      <x:c r="H1837" s="84" t="str">
        <x:f>IF(TRIM('Raw Sales'!E1837)="","Unknown",PROPER(TRIM('Raw Sales'!E1837)))</x:f>
        <x:v>Consumer</x:v>
      </x:c>
      <x:c r="I1837" s="84" t="str">
        <x:f>PROPER(TRIM('Raw Sales'!F1837))</x:f>
        <x:v>West</x:v>
      </x:c>
      <x:c r="J1837" s="84" t="str">
        <x:f>PROPER(TRIM('Raw Sales'!G1837))</x:f>
        <x:v>Seattle</x:v>
      </x:c>
      <x:c r="K1837" s="84" t="str">
        <x:f>PROPER(TRIM('Raw Sales'!H1837))</x:f>
        <x:v>Marketplace</x:v>
      </x:c>
      <x:c r="L1837" s="84" t="str">
        <x:f>'Raw Sales'!I1837</x:f>
        <x:v>CARE-002</x:v>
      </x:c>
      <x:c r="M1837" s="84" t="str">
        <x:f>IFERROR(VLOOKUP(L1837,'Reference Data'!$A$5:$F$40,2,FALSE),"Unknown Product")</x:f>
        <x:v>Rechargeable Trimmer</x:v>
      </x:c>
      <x:c r="N1837" s="84" t="str">
        <x:f>IFERROR(VLOOKUP(L1837,'Reference Data'!$A$5:$F$40,3,FALSE),"Unknown")</x:f>
        <x:v>Personal Care</x:v>
      </x:c>
      <x:c r="O1837" s="84" t="str">
        <x:f>IFERROR(VLOOKUP(L1837,'Reference Data'!$A$5:$F$40,4,FALSE),"Unknown")</x:f>
        <x:v>Grooming</x:v>
      </x:c>
      <x:c r="P1837" s="92" t="n">
        <x:f>IFERROR(VLOOKUP(L1837,'Reference Data'!$A$5:$F$40,5,FALSE),0)</x:f>
        <x:v>45</x:v>
      </x:c>
      <x:c r="Q1837" s="92" t="n">
        <x:f>IFERROR(VLOOKUP(L1837,'Reference Data'!$A$5:$F$40,6,FALSE),0)</x:f>
        <x:v>19</x:v>
      </x:c>
      <x:c r="R1837" s="84" t="n">
        <x:f>'Raw Sales'!J1837</x:f>
        <x:v>1</x:v>
      </x:c>
      <x:c r="S1837" s="87" t="n">
        <x:f>'Raw Sales'!K1837</x:f>
        <x:v>0.05</x:v>
      </x:c>
      <x:c r="T1837" s="93" t="n">
        <x:f>P1837*R1837</x:f>
        <x:v>45</x:v>
      </x:c>
      <x:c r="U1837" s="93" t="n">
        <x:f>T1837*S1837</x:f>
        <x:v>2.25</x:v>
      </x:c>
      <x:c r="V1837" s="93" t="str">
        <x:f>PROPER(TRIM('Raw Sales'!L1837))</x:f>
        <x:v>Completed</x:v>
      </x:c>
      <x:c r="W1837" s="93" t="n">
        <x:f>IF(V1837="Returned",0,T1837-U1837)</x:f>
        <x:v>42.75</x:v>
      </x:c>
      <x:c r="X1837" s="93" t="n">
        <x:f>IF(V1837="Returned",Q1837*R1837*10%,Q1837*R1837)</x:f>
        <x:v>19</x:v>
      </x:c>
      <x:c r="Y1837" s="93" t="n">
        <x:f>W1837-X1837</x:f>
        <x:v>23.75</x:v>
      </x:c>
      <x:c r="Z1837" s="94" t="n">
        <x:f>IFERROR(Y1837/W1837,0)</x:f>
        <x:v>0.5555555555555556</x:v>
      </x:c>
      <x:c r="AA1837" s="84" t="str">
        <x:f>PROPER(TRIM('Raw Sales'!M1837))</x:f>
        <x:v>Credit Card</x:v>
      </x:c>
      <x:c r="AB1837" s="84" t="str">
        <x:f>PROPER(TRIM('Raw Sales'!N1837))</x:f>
        <x:v>Leo Martinez</x:v>
      </x:c>
      <x:c r="AC1837" s="85" t="n">
        <x:f>'Raw Sales'!O1837</x:f>
        <x:v>45893</x:v>
      </x:c>
      <x:c r="AD1837" s="84" t="n">
        <x:f>AC1837-B1837</x:f>
        <x:v>4</x:v>
      </x:c>
      <x:c r="AE1837" s="84" t="str">
        <x:f>IF(COUNTIF($A$5:A1837,A1837)&gt;1,"Duplicate","Keep")</x:f>
        <x:v>Keep</x:v>
      </x:c>
      <x:c r="AF1837" s="84" t="str">
        <x:f>IF(OR(R1837&lt;=0,AC1837&lt;B1837,H1837="Unknown",M1837="Unknown Product"),"Review","Valid")</x:f>
        <x:v>Valid</x:v>
      </x:c>
      <x:c r="AG1837" s="84" t="n">
        <x:f>IF(AND(AE1837="Keep",AF1837="Valid"),1,0)</x:f>
        <x:v>1</x:v>
      </x:c>
      <x:c r="AH1837" s="84" t="n">
        <x:f>IF(AND(AG1837=1,OR('Dashboard'!$B$4="All",I1837='Dashboard'!$B$4),OR('Dashboard'!$E$4="All",N1837='Dashboard'!$E$4),OR('Dashboard'!$H$4="All",K1837='Dashboard'!$H$4),OR('Dashboard'!$K$4="All",C1837='Dashboard'!$K$4)),1,0)</x:f>
        <x:v>1</x:v>
      </x:c>
      <x:c r="AI1837" s="84" t="n">
        <x:f>IF(AND(AG1837=1,OR('Dashboard'!$B$4="All",I1837='Dashboard'!$B$4),OR('Dashboard'!$E$4="All",N1837='Dashboard'!$E$4),OR('Dashboard'!$H$4="All",K1837='Dashboard'!$H$4)),1,0)</x:f>
        <x:v>1</x:v>
      </x:c>
    </x:row>
    <x:row r="1838">
      <x:c r="A1838" s="84" t="str">
        <x:f>'Raw Sales'!A1838</x:f>
        <x:v>ORD-2025-00073</x:v>
      </x:c>
      <x:c r="B1838" s="85" t="n">
        <x:f>'Raw Sales'!B1838</x:f>
        <x:v>45889</x:v>
      </x:c>
      <x:c r="C1838" s="84" t="n">
        <x:f>YEAR(B1838)</x:f>
        <x:v>2025</x:v>
      </x:c>
      <x:c r="D1838" s="91" t="n">
        <x:f>DATE(YEAR(B1838),MONTH(B1838),1)</x:f>
        <x:v>45870</x:v>
      </x:c>
      <x:c r="E1838" s="84" t="str">
        <x:f>TEXT(B1838,"mmm")</x:f>
        <x:v>Aug</x:v>
      </x:c>
      <x:c r="F1838" s="84" t="str">
        <x:f>'Raw Sales'!C1838</x:f>
        <x:v>CUST-0049</x:v>
      </x:c>
      <x:c r="G1838" s="84" t="str">
        <x:f>PROPER(TRIM('Raw Sales'!D1838))</x:f>
        <x:v>Jasmine Lewis</x:v>
      </x:c>
      <x:c r="H1838" s="84" t="str">
        <x:f>IF(TRIM('Raw Sales'!E1838)="","Unknown",PROPER(TRIM('Raw Sales'!E1838)))</x:f>
        <x:v>Consumer</x:v>
      </x:c>
      <x:c r="I1838" s="84" t="str">
        <x:f>PROPER(TRIM('Raw Sales'!F1838))</x:f>
        <x:v>West</x:v>
      </x:c>
      <x:c r="J1838" s="84" t="str">
        <x:f>PROPER(TRIM('Raw Sales'!G1838))</x:f>
        <x:v>Seattle</x:v>
      </x:c>
      <x:c r="K1838" s="84" t="str">
        <x:f>PROPER(TRIM('Raw Sales'!H1838))</x:f>
        <x:v>Marketplace</x:v>
      </x:c>
      <x:c r="L1838" s="84" t="str">
        <x:f>'Raw Sales'!I1838</x:f>
        <x:v>CARE-002</x:v>
      </x:c>
      <x:c r="M1838" s="84" t="str">
        <x:f>IFERROR(VLOOKUP(L1838,'Reference Data'!$A$5:$F$40,2,FALSE),"Unknown Product")</x:f>
        <x:v>Rechargeable Trimmer</x:v>
      </x:c>
      <x:c r="N1838" s="84" t="str">
        <x:f>IFERROR(VLOOKUP(L1838,'Reference Data'!$A$5:$F$40,3,FALSE),"Unknown")</x:f>
        <x:v>Personal Care</x:v>
      </x:c>
      <x:c r="O1838" s="84" t="str">
        <x:f>IFERROR(VLOOKUP(L1838,'Reference Data'!$A$5:$F$40,4,FALSE),"Unknown")</x:f>
        <x:v>Grooming</x:v>
      </x:c>
      <x:c r="P1838" s="92" t="n">
        <x:f>IFERROR(VLOOKUP(L1838,'Reference Data'!$A$5:$F$40,5,FALSE),0)</x:f>
        <x:v>45</x:v>
      </x:c>
      <x:c r="Q1838" s="92" t="n">
        <x:f>IFERROR(VLOOKUP(L1838,'Reference Data'!$A$5:$F$40,6,FALSE),0)</x:f>
        <x:v>19</x:v>
      </x:c>
      <x:c r="R1838" s="84" t="n">
        <x:f>'Raw Sales'!J1838</x:f>
        <x:v>1</x:v>
      </x:c>
      <x:c r="S1838" s="87" t="n">
        <x:f>'Raw Sales'!K1838</x:f>
        <x:v>0.05</x:v>
      </x:c>
      <x:c r="T1838" s="93" t="n">
        <x:f>P1838*R1838</x:f>
        <x:v>45</x:v>
      </x:c>
      <x:c r="U1838" s="93" t="n">
        <x:f>T1838*S1838</x:f>
        <x:v>2.25</x:v>
      </x:c>
      <x:c r="V1838" s="93" t="str">
        <x:f>PROPER(TRIM('Raw Sales'!L1838))</x:f>
        <x:v>Completed</x:v>
      </x:c>
      <x:c r="W1838" s="93" t="n">
        <x:f>IF(V1838="Returned",0,T1838-U1838)</x:f>
        <x:v>42.75</x:v>
      </x:c>
      <x:c r="X1838" s="93" t="n">
        <x:f>IF(V1838="Returned",Q1838*R1838*10%,Q1838*R1838)</x:f>
        <x:v>19</x:v>
      </x:c>
      <x:c r="Y1838" s="93" t="n">
        <x:f>W1838-X1838</x:f>
        <x:v>23.75</x:v>
      </x:c>
      <x:c r="Z1838" s="94" t="n">
        <x:f>IFERROR(Y1838/W1838,0)</x:f>
        <x:v>0.5555555555555556</x:v>
      </x:c>
      <x:c r="AA1838" s="84" t="str">
        <x:f>PROPER(TRIM('Raw Sales'!M1838))</x:f>
        <x:v>Credit Card</x:v>
      </x:c>
      <x:c r="AB1838" s="84" t="str">
        <x:f>PROPER(TRIM('Raw Sales'!N1838))</x:f>
        <x:v>Leo Martinez</x:v>
      </x:c>
      <x:c r="AC1838" s="85" t="n">
        <x:f>'Raw Sales'!O1838</x:f>
        <x:v>45893</x:v>
      </x:c>
      <x:c r="AD1838" s="84" t="n">
        <x:f>AC1838-B1838</x:f>
        <x:v>4</x:v>
      </x:c>
      <x:c r="AE1838" s="84" t="str">
        <x:f>IF(COUNTIF($A$5:A1838,A1838)&gt;1,"Duplicate","Keep")</x:f>
        <x:v>Duplicate</x:v>
      </x:c>
      <x:c r="AF1838" s="84" t="str">
        <x:f>IF(OR(R1838&lt;=0,AC1838&lt;B1838,H1838="Unknown",M1838="Unknown Product"),"Review","Valid")</x:f>
        <x:v>Valid</x:v>
      </x:c>
      <x:c r="AG1838" s="84" t="n">
        <x:f>IF(AND(AE1838="Keep",AF1838="Valid"),1,0)</x:f>
        <x:v>0</x:v>
      </x:c>
      <x:c r="AH1838" s="84" t="n">
        <x:f>IF(AND(AG1838=1,OR('Dashboard'!$B$4="All",I1838='Dashboard'!$B$4),OR('Dashboard'!$E$4="All",N1838='Dashboard'!$E$4),OR('Dashboard'!$H$4="All",K1838='Dashboard'!$H$4),OR('Dashboard'!$K$4="All",C1838='Dashboard'!$K$4)),1,0)</x:f>
        <x:v>0</x:v>
      </x:c>
      <x:c r="AI1838" s="84" t="n">
        <x:f>IF(AND(AG1838=1,OR('Dashboard'!$B$4="All",I1838='Dashboard'!$B$4),OR('Dashboard'!$E$4="All",N1838='Dashboard'!$E$4),OR('Dashboard'!$H$4="All",K1838='Dashboard'!$H$4)),1,0)</x:f>
        <x:v>0</x:v>
      </x:c>
    </x:row>
    <x:row r="1839">
      <x:c r="A1839" s="84" t="str">
        <x:f>'Raw Sales'!A1839</x:f>
        <x:v>ORD-2025-00350</x:v>
      </x:c>
      <x:c r="B1839" s="85" t="n">
        <x:f>'Raw Sales'!B1839</x:f>
        <x:v>45889</x:v>
      </x:c>
      <x:c r="C1839" s="84" t="n">
        <x:f>YEAR(B1839)</x:f>
        <x:v>2025</x:v>
      </x:c>
      <x:c r="D1839" s="91" t="n">
        <x:f>DATE(YEAR(B1839),MONTH(B1839),1)</x:f>
        <x:v>45870</x:v>
      </x:c>
      <x:c r="E1839" s="84" t="str">
        <x:f>TEXT(B1839,"mmm")</x:f>
        <x:v>Aug</x:v>
      </x:c>
      <x:c r="F1839" s="84" t="str">
        <x:f>'Raw Sales'!C1839</x:f>
        <x:v>CUST-0608</x:v>
      </x:c>
      <x:c r="G1839" s="84" t="str">
        <x:f>PROPER(TRIM('Raw Sales'!D1839))</x:f>
        <x:v>Victoria Patel</x:v>
      </x:c>
      <x:c r="H1839" s="84" t="str">
        <x:f>IF(TRIM('Raw Sales'!E1839)="","Unknown",PROPER(TRIM('Raw Sales'!E1839)))</x:f>
        <x:v>Consumer</x:v>
      </x:c>
      <x:c r="I1839" s="84" t="str">
        <x:f>PROPER(TRIM('Raw Sales'!F1839))</x:f>
        <x:v>Midwest</x:v>
      </x:c>
      <x:c r="J1839" s="84" t="str">
        <x:f>PROPER(TRIM('Raw Sales'!G1839))</x:f>
        <x:v>Chicago</x:v>
      </x:c>
      <x:c r="K1839" s="84" t="str">
        <x:f>PROPER(TRIM('Raw Sales'!H1839))</x:f>
        <x:v>Online</x:v>
      </x:c>
      <x:c r="L1839" s="84" t="str">
        <x:f>'Raw Sales'!I1839</x:f>
        <x:v>FITN-006</x:v>
      </x:c>
      <x:c r="M1839" s="84" t="str">
        <x:f>IFERROR(VLOOKUP(L1839,'Reference Data'!$A$5:$F$40,2,FALSE),"Unknown Product")</x:f>
        <x:v>Foam Roller</x:v>
      </x:c>
      <x:c r="N1839" s="84" t="str">
        <x:f>IFERROR(VLOOKUP(L1839,'Reference Data'!$A$5:$F$40,3,FALSE),"Unknown")</x:f>
        <x:v>Fitness</x:v>
      </x:c>
      <x:c r="O1839" s="84" t="str">
        <x:f>IFERROR(VLOOKUP(L1839,'Reference Data'!$A$5:$F$40,4,FALSE),"Unknown")</x:f>
        <x:v>Recovery</x:v>
      </x:c>
      <x:c r="P1839" s="92" t="n">
        <x:f>IFERROR(VLOOKUP(L1839,'Reference Data'!$A$5:$F$40,5,FALSE),0)</x:f>
        <x:v>31</x:v>
      </x:c>
      <x:c r="Q1839" s="92" t="n">
        <x:f>IFERROR(VLOOKUP(L1839,'Reference Data'!$A$5:$F$40,6,FALSE),0)</x:f>
        <x:v>12</x:v>
      </x:c>
      <x:c r="R1839" s="84" t="n">
        <x:f>'Raw Sales'!J1839</x:f>
        <x:v>1</x:v>
      </x:c>
      <x:c r="S1839" s="87" t="n">
        <x:f>'Raw Sales'!K1839</x:f>
        <x:v>0</x:v>
      </x:c>
      <x:c r="T1839" s="93" t="n">
        <x:f>P1839*R1839</x:f>
        <x:v>31</x:v>
      </x:c>
      <x:c r="U1839" s="93" t="n">
        <x:f>T1839*S1839</x:f>
        <x:v>0</x:v>
      </x:c>
      <x:c r="V1839" s="93" t="str">
        <x:f>PROPER(TRIM('Raw Sales'!L1839))</x:f>
        <x:v>Completed</x:v>
      </x:c>
      <x:c r="W1839" s="93" t="n">
        <x:f>IF(V1839="Returned",0,T1839-U1839)</x:f>
        <x:v>31</x:v>
      </x:c>
      <x:c r="X1839" s="93" t="n">
        <x:f>IF(V1839="Returned",Q1839*R1839*10%,Q1839*R1839)</x:f>
        <x:v>12</x:v>
      </x:c>
      <x:c r="Y1839" s="93" t="n">
        <x:f>W1839-X1839</x:f>
        <x:v>19</x:v>
      </x:c>
      <x:c r="Z1839" s="94" t="n">
        <x:f>IFERROR(Y1839/W1839,0)</x:f>
        <x:v>0.6129032258064516</x:v>
      </x:c>
      <x:c r="AA1839" s="84" t="str">
        <x:f>PROPER(TRIM('Raw Sales'!M1839))</x:f>
        <x:v>Credit Card</x:v>
      </x:c>
      <x:c r="AB1839" s="84" t="str">
        <x:f>PROPER(TRIM('Raw Sales'!N1839))</x:f>
        <x:v>Zoe Turner</x:v>
      </x:c>
      <x:c r="AC1839" s="85" t="n">
        <x:f>'Raw Sales'!O1839</x:f>
        <x:v>45891</x:v>
      </x:c>
      <x:c r="AD1839" s="84" t="n">
        <x:f>AC1839-B1839</x:f>
        <x:v>2</x:v>
      </x:c>
      <x:c r="AE1839" s="84" t="str">
        <x:f>IF(COUNTIF($A$5:A1839,A1839)&gt;1,"Duplicate","Keep")</x:f>
        <x:v>Keep</x:v>
      </x:c>
      <x:c r="AF1839" s="84" t="str">
        <x:f>IF(OR(R1839&lt;=0,AC1839&lt;B1839,H1839="Unknown",M1839="Unknown Product"),"Review","Valid")</x:f>
        <x:v>Valid</x:v>
      </x:c>
      <x:c r="AG1839" s="84" t="n">
        <x:f>IF(AND(AE1839="Keep",AF1839="Valid"),1,0)</x:f>
        <x:v>1</x:v>
      </x:c>
      <x:c r="AH1839" s="84" t="n">
        <x:f>IF(AND(AG1839=1,OR('Dashboard'!$B$4="All",I1839='Dashboard'!$B$4),OR('Dashboard'!$E$4="All",N1839='Dashboard'!$E$4),OR('Dashboard'!$H$4="All",K1839='Dashboard'!$H$4),OR('Dashboard'!$K$4="All",C1839='Dashboard'!$K$4)),1,0)</x:f>
        <x:v>1</x:v>
      </x:c>
      <x:c r="AI1839" s="84" t="n">
        <x:f>IF(AND(AG1839=1,OR('Dashboard'!$B$4="All",I1839='Dashboard'!$B$4),OR('Dashboard'!$E$4="All",N1839='Dashboard'!$E$4),OR('Dashboard'!$H$4="All",K1839='Dashboard'!$H$4)),1,0)</x:f>
        <x:v>1</x:v>
      </x:c>
    </x:row>
    <x:row r="1840">
      <x:c r="A1840" s="84" t="str">
        <x:f>'Raw Sales'!A1840</x:f>
        <x:v>ORD-2025-00619</x:v>
      </x:c>
      <x:c r="B1840" s="85" t="n">
        <x:f>'Raw Sales'!B1840</x:f>
        <x:v>45889</x:v>
      </x:c>
      <x:c r="C1840" s="84" t="n">
        <x:f>YEAR(B1840)</x:f>
        <x:v>2025</x:v>
      </x:c>
      <x:c r="D1840" s="91" t="n">
        <x:f>DATE(YEAR(B1840),MONTH(B1840),1)</x:f>
        <x:v>45870</x:v>
      </x:c>
      <x:c r="E1840" s="84" t="str">
        <x:f>TEXT(B1840,"mmm")</x:f>
        <x:v>Aug</x:v>
      </x:c>
      <x:c r="F1840" s="84" t="str">
        <x:f>'Raw Sales'!C1840</x:f>
        <x:v>CUST-0465</x:v>
      </x:c>
      <x:c r="G1840" s="84" t="str">
        <x:f>PROPER(TRIM('Raw Sales'!D1840))</x:f>
        <x:v>Owen Irwin</x:v>
      </x:c>
      <x:c r="H1840" s="84" t="str">
        <x:f>IF(TRIM('Raw Sales'!E1840)="","Unknown",PROPER(TRIM('Raw Sales'!E1840)))</x:f>
        <x:v>Consumer</x:v>
      </x:c>
      <x:c r="I1840" s="84" t="str">
        <x:f>PROPER(TRIM('Raw Sales'!F1840))</x:f>
        <x:v>Midwest</x:v>
      </x:c>
      <x:c r="J1840" s="84" t="str">
        <x:f>PROPER(TRIM('Raw Sales'!G1840))</x:f>
        <x:v>Columbus</x:v>
      </x:c>
      <x:c r="K1840" s="84" t="str">
        <x:f>PROPER(TRIM('Raw Sales'!H1840))</x:f>
        <x:v>Online</x:v>
      </x:c>
      <x:c r="L1840" s="84" t="str">
        <x:f>'Raw Sales'!I1840</x:f>
        <x:v>OFFC-005</x:v>
      </x:c>
      <x:c r="M1840" s="84" t="str">
        <x:f>IFERROR(VLOOKUP(L1840,'Reference Data'!$A$5:$F$40,2,FALSE),"Unknown Product")</x:f>
        <x:v>Wireless Keyboard</x:v>
      </x:c>
      <x:c r="N1840" s="84" t="str">
        <x:f>IFERROR(VLOOKUP(L1840,'Reference Data'!$A$5:$F$40,3,FALSE),"Unknown")</x:f>
        <x:v>Office</x:v>
      </x:c>
      <x:c r="O1840" s="84" t="str">
        <x:f>IFERROR(VLOOKUP(L1840,'Reference Data'!$A$5:$F$40,4,FALSE),"Unknown")</x:f>
        <x:v>Computer Accessories</x:v>
      </x:c>
      <x:c r="P1840" s="92" t="n">
        <x:f>IFERROR(VLOOKUP(L1840,'Reference Data'!$A$5:$F$40,5,FALSE),0)</x:f>
        <x:v>59</x:v>
      </x:c>
      <x:c r="Q1840" s="92" t="n">
        <x:f>IFERROR(VLOOKUP(L1840,'Reference Data'!$A$5:$F$40,6,FALSE),0)</x:f>
        <x:v>28</x:v>
      </x:c>
      <x:c r="R1840" s="84" t="n">
        <x:f>'Raw Sales'!J1840</x:f>
        <x:v>1</x:v>
      </x:c>
      <x:c r="S1840" s="87" t="n">
        <x:f>'Raw Sales'!K1840</x:f>
        <x:v>0.05</x:v>
      </x:c>
      <x:c r="T1840" s="93" t="n">
        <x:f>P1840*R1840</x:f>
        <x:v>59</x:v>
      </x:c>
      <x:c r="U1840" s="93" t="n">
        <x:f>T1840*S1840</x:f>
        <x:v>2.95</x:v>
      </x:c>
      <x:c r="V1840" s="93" t="str">
        <x:f>PROPER(TRIM('Raw Sales'!L1840))</x:f>
        <x:v>Completed</x:v>
      </x:c>
      <x:c r="W1840" s="93" t="n">
        <x:f>IF(V1840="Returned",0,T1840-U1840)</x:f>
        <x:v>56.05</x:v>
      </x:c>
      <x:c r="X1840" s="93" t="n">
        <x:f>IF(V1840="Returned",Q1840*R1840*10%,Q1840*R1840)</x:f>
        <x:v>28</x:v>
      </x:c>
      <x:c r="Y1840" s="93" t="n">
        <x:f>W1840-X1840</x:f>
        <x:v>28.049999999999997</x:v>
      </x:c>
      <x:c r="Z1840" s="94" t="n">
        <x:f>IFERROR(Y1840/W1840,0)</x:f>
        <x:v>0.5004460303300624</x:v>
      </x:c>
      <x:c r="AA1840" s="84" t="str">
        <x:f>PROPER(TRIM('Raw Sales'!M1840))</x:f>
        <x:v>Mobile Wallet</x:v>
      </x:c>
      <x:c r="AB1840" s="84" t="str">
        <x:f>PROPER(TRIM('Raw Sales'!N1840))</x:f>
        <x:v>Emma Hayes</x:v>
      </x:c>
      <x:c r="AC1840" s="85" t="n">
        <x:f>'Raw Sales'!O1840</x:f>
        <x:v>45891</x:v>
      </x:c>
      <x:c r="AD1840" s="84" t="n">
        <x:f>AC1840-B1840</x:f>
        <x:v>2</x:v>
      </x:c>
      <x:c r="AE1840" s="84" t="str">
        <x:f>IF(COUNTIF($A$5:A1840,A1840)&gt;1,"Duplicate","Keep")</x:f>
        <x:v>Keep</x:v>
      </x:c>
      <x:c r="AF1840" s="84" t="str">
        <x:f>IF(OR(R1840&lt;=0,AC1840&lt;B1840,H1840="Unknown",M1840="Unknown Product"),"Review","Valid")</x:f>
        <x:v>Valid</x:v>
      </x:c>
      <x:c r="AG1840" s="84" t="n">
        <x:f>IF(AND(AE1840="Keep",AF1840="Valid"),1,0)</x:f>
        <x:v>1</x:v>
      </x:c>
      <x:c r="AH1840" s="84" t="n">
        <x:f>IF(AND(AG1840=1,OR('Dashboard'!$B$4="All",I1840='Dashboard'!$B$4),OR('Dashboard'!$E$4="All",N1840='Dashboard'!$E$4),OR('Dashboard'!$H$4="All",K1840='Dashboard'!$H$4),OR('Dashboard'!$K$4="All",C1840='Dashboard'!$K$4)),1,0)</x:f>
        <x:v>1</x:v>
      </x:c>
      <x:c r="AI1840" s="84" t="n">
        <x:f>IF(AND(AG1840=1,OR('Dashboard'!$B$4="All",I1840='Dashboard'!$B$4),OR('Dashboard'!$E$4="All",N1840='Dashboard'!$E$4),OR('Dashboard'!$H$4="All",K1840='Dashboard'!$H$4)),1,0)</x:f>
        <x:v>1</x:v>
      </x:c>
    </x:row>
    <x:row r="1841">
      <x:c r="A1841" s="84" t="str">
        <x:f>'Raw Sales'!A1841</x:f>
        <x:v>ORD-2025-00761</x:v>
      </x:c>
      <x:c r="B1841" s="85" t="n">
        <x:f>'Raw Sales'!B1841</x:f>
        <x:v>45889</x:v>
      </x:c>
      <x:c r="C1841" s="84" t="n">
        <x:f>YEAR(B1841)</x:f>
        <x:v>2025</x:v>
      </x:c>
      <x:c r="D1841" s="91" t="n">
        <x:f>DATE(YEAR(B1841),MONTH(B1841),1)</x:f>
        <x:v>45870</x:v>
      </x:c>
      <x:c r="E1841" s="84" t="str">
        <x:f>TEXT(B1841,"mmm")</x:f>
        <x:v>Aug</x:v>
      </x:c>
      <x:c r="F1841" s="84" t="str">
        <x:f>'Raw Sales'!C1841</x:f>
        <x:v>CUST-0193</x:v>
      </x:c>
      <x:c r="G1841" s="84" t="str">
        <x:f>PROPER(TRIM('Raw Sales'!D1841))</x:f>
        <x:v>Marcus Davis</x:v>
      </x:c>
      <x:c r="H1841" s="84" t="str">
        <x:f>IF(TRIM('Raw Sales'!E1841)="","Unknown",PROPER(TRIM('Raw Sales'!E1841)))</x:f>
        <x:v>Corporate</x:v>
      </x:c>
      <x:c r="I1841" s="84" t="str">
        <x:f>PROPER(TRIM('Raw Sales'!F1841))</x:f>
        <x:v>Midwest</x:v>
      </x:c>
      <x:c r="J1841" s="84" t="str">
        <x:f>PROPER(TRIM('Raw Sales'!G1841))</x:f>
        <x:v>Columbus</x:v>
      </x:c>
      <x:c r="K1841" s="84" t="str">
        <x:f>PROPER(TRIM('Raw Sales'!H1841))</x:f>
        <x:v>Online</x:v>
      </x:c>
      <x:c r="L1841" s="84" t="str">
        <x:f>'Raw Sales'!I1841</x:f>
        <x:v>CARE-006</x:v>
      </x:c>
      <x:c r="M1841" s="84" t="str">
        <x:f>IFERROR(VLOOKUP(L1841,'Reference Data'!$A$5:$F$40,2,FALSE),"Unknown Product")</x:f>
        <x:v>Percussion Massage Gun</x:v>
      </x:c>
      <x:c r="N1841" s="84" t="str">
        <x:f>IFERROR(VLOOKUP(L1841,'Reference Data'!$A$5:$F$40,3,FALSE),"Unknown")</x:f>
        <x:v>Personal Care</x:v>
      </x:c>
      <x:c r="O1841" s="84" t="str">
        <x:f>IFERROR(VLOOKUP(L1841,'Reference Data'!$A$5:$F$40,4,FALSE),"Unknown")</x:f>
        <x:v>Wellness</x:v>
      </x:c>
      <x:c r="P1841" s="92" t="n">
        <x:f>IFERROR(VLOOKUP(L1841,'Reference Data'!$A$5:$F$40,5,FALSE),0)</x:f>
        <x:v>129</x:v>
      </x:c>
      <x:c r="Q1841" s="92" t="n">
        <x:f>IFERROR(VLOOKUP(L1841,'Reference Data'!$A$5:$F$40,6,FALSE),0)</x:f>
        <x:v>70</x:v>
      </x:c>
      <x:c r="R1841" s="84" t="n">
        <x:f>'Raw Sales'!J1841</x:f>
        <x:v>4</x:v>
      </x:c>
      <x:c r="S1841" s="87" t="n">
        <x:f>'Raw Sales'!K1841</x:f>
        <x:v>0.1</x:v>
      </x:c>
      <x:c r="T1841" s="93" t="n">
        <x:f>P1841*R1841</x:f>
        <x:v>516</x:v>
      </x:c>
      <x:c r="U1841" s="93" t="n">
        <x:f>T1841*S1841</x:f>
        <x:v>51.6</x:v>
      </x:c>
      <x:c r="V1841" s="93" t="str">
        <x:f>PROPER(TRIM('Raw Sales'!L1841))</x:f>
        <x:v>Completed</x:v>
      </x:c>
      <x:c r="W1841" s="93" t="n">
        <x:f>IF(V1841="Returned",0,T1841-U1841)</x:f>
        <x:v>464.4</x:v>
      </x:c>
      <x:c r="X1841" s="93" t="n">
        <x:f>IF(V1841="Returned",Q1841*R1841*10%,Q1841*R1841)</x:f>
        <x:v>280</x:v>
      </x:c>
      <x:c r="Y1841" s="93" t="n">
        <x:f>W1841-X1841</x:f>
        <x:v>184.39999999999998</x:v>
      </x:c>
      <x:c r="Z1841" s="94" t="n">
        <x:f>IFERROR(Y1841/W1841,0)</x:f>
        <x:v>0.3970714900947459</x:v>
      </x:c>
      <x:c r="AA1841" s="84" t="str">
        <x:f>PROPER(TRIM('Raw Sales'!M1841))</x:f>
        <x:v>Debit Card</x:v>
      </x:c>
      <x:c r="AB1841" s="84" t="str">
        <x:f>PROPER(TRIM('Raw Sales'!N1841))</x:f>
        <x:v>Emma Hayes</x:v>
      </x:c>
      <x:c r="AC1841" s="85" t="n">
        <x:f>'Raw Sales'!O1841</x:f>
        <x:v>45892</x:v>
      </x:c>
      <x:c r="AD1841" s="84" t="n">
        <x:f>AC1841-B1841</x:f>
        <x:v>3</x:v>
      </x:c>
      <x:c r="AE1841" s="84" t="str">
        <x:f>IF(COUNTIF($A$5:A1841,A1841)&gt;1,"Duplicate","Keep")</x:f>
        <x:v>Keep</x:v>
      </x:c>
      <x:c r="AF1841" s="84" t="str">
        <x:f>IF(OR(R1841&lt;=0,AC1841&lt;B1841,H1841="Unknown",M1841="Unknown Product"),"Review","Valid")</x:f>
        <x:v>Valid</x:v>
      </x:c>
      <x:c r="AG1841" s="84" t="n">
        <x:f>IF(AND(AE1841="Keep",AF1841="Valid"),1,0)</x:f>
        <x:v>1</x:v>
      </x:c>
      <x:c r="AH1841" s="84" t="n">
        <x:f>IF(AND(AG1841=1,OR('Dashboard'!$B$4="All",I1841='Dashboard'!$B$4),OR('Dashboard'!$E$4="All",N1841='Dashboard'!$E$4),OR('Dashboard'!$H$4="All",K1841='Dashboard'!$H$4),OR('Dashboard'!$K$4="All",C1841='Dashboard'!$K$4)),1,0)</x:f>
        <x:v>1</x:v>
      </x:c>
      <x:c r="AI1841" s="84" t="n">
        <x:f>IF(AND(AG1841=1,OR('Dashboard'!$B$4="All",I1841='Dashboard'!$B$4),OR('Dashboard'!$E$4="All",N1841='Dashboard'!$E$4),OR('Dashboard'!$H$4="All",K1841='Dashboard'!$H$4)),1,0)</x:f>
        <x:v>1</x:v>
      </x:c>
    </x:row>
    <x:row r="1842">
      <x:c r="A1842" s="84" t="str">
        <x:f>'Raw Sales'!A1842</x:f>
        <x:v>ORD-2025-01415</x:v>
      </x:c>
      <x:c r="B1842" s="85" t="n">
        <x:f>'Raw Sales'!B1842</x:f>
        <x:v>45889</x:v>
      </x:c>
      <x:c r="C1842" s="84" t="n">
        <x:f>YEAR(B1842)</x:f>
        <x:v>2025</x:v>
      </x:c>
      <x:c r="D1842" s="91" t="n">
        <x:f>DATE(YEAR(B1842),MONTH(B1842),1)</x:f>
        <x:v>45870</x:v>
      </x:c>
      <x:c r="E1842" s="84" t="str">
        <x:f>TEXT(B1842,"mmm")</x:f>
        <x:v>Aug</x:v>
      </x:c>
      <x:c r="F1842" s="84" t="str">
        <x:f>'Raw Sales'!C1842</x:f>
        <x:v>CUST-0456</x:v>
      </x:c>
      <x:c r="G1842" s="84" t="str">
        <x:f>PROPER(TRIM('Raw Sales'!D1842))</x:f>
        <x:v>Elias Carter</x:v>
      </x:c>
      <x:c r="H1842" s="84" t="str">
        <x:f>IF(TRIM('Raw Sales'!E1842)="","Unknown",PROPER(TRIM('Raw Sales'!E1842)))</x:f>
        <x:v>Consumer</x:v>
      </x:c>
      <x:c r="I1842" s="84" t="str">
        <x:f>PROPER(TRIM('Raw Sales'!F1842))</x:f>
        <x:v>Northeast</x:v>
      </x:c>
      <x:c r="J1842" s="84" t="str">
        <x:f>PROPER(TRIM('Raw Sales'!G1842))</x:f>
        <x:v>Boston</x:v>
      </x:c>
      <x:c r="K1842" s="84" t="str">
        <x:f>PROPER(TRIM('Raw Sales'!H1842))</x:f>
        <x:v>Online</x:v>
      </x:c>
      <x:c r="L1842" s="84" t="str">
        <x:f>'Raw Sales'!I1842</x:f>
        <x:v>HOME-004</x:v>
      </x:c>
      <x:c r="M1842" s="84" t="str">
        <x:f>IFERROR(VLOOKUP(L1842,'Reference Data'!$A$5:$F$40,2,FALSE),"Unknown Product")</x:f>
        <x:v>Coffee Maker</x:v>
      </x:c>
      <x:c r="N1842" s="84" t="str">
        <x:f>IFERROR(VLOOKUP(L1842,'Reference Data'!$A$5:$F$40,3,FALSE),"Unknown")</x:f>
        <x:v>Home &amp; Kitchen</x:v>
      </x:c>
      <x:c r="O1842" s="84" t="str">
        <x:f>IFERROR(VLOOKUP(L1842,'Reference Data'!$A$5:$F$40,4,FALSE),"Unknown")</x:f>
        <x:v>Small Appliances</x:v>
      </x:c>
      <x:c r="P1842" s="92" t="n">
        <x:f>IFERROR(VLOOKUP(L1842,'Reference Data'!$A$5:$F$40,5,FALSE),0)</x:f>
        <x:v>99</x:v>
      </x:c>
      <x:c r="Q1842" s="92" t="n">
        <x:f>IFERROR(VLOOKUP(L1842,'Reference Data'!$A$5:$F$40,6,FALSE),0)</x:f>
        <x:v>51</x:v>
      </x:c>
      <x:c r="R1842" s="84" t="n">
        <x:f>'Raw Sales'!J1842</x:f>
        <x:v>1</x:v>
      </x:c>
      <x:c r="S1842" s="87" t="n">
        <x:f>'Raw Sales'!K1842</x:f>
        <x:v>0.05</x:v>
      </x:c>
      <x:c r="T1842" s="93" t="n">
        <x:f>P1842*R1842</x:f>
        <x:v>99</x:v>
      </x:c>
      <x:c r="U1842" s="93" t="n">
        <x:f>T1842*S1842</x:f>
        <x:v>4.95</x:v>
      </x:c>
      <x:c r="V1842" s="93" t="str">
        <x:f>PROPER(TRIM('Raw Sales'!L1842))</x:f>
        <x:v>Completed</x:v>
      </x:c>
      <x:c r="W1842" s="93" t="n">
        <x:f>IF(V1842="Returned",0,T1842-U1842)</x:f>
        <x:v>94.05</x:v>
      </x:c>
      <x:c r="X1842" s="93" t="n">
        <x:f>IF(V1842="Returned",Q1842*R1842*10%,Q1842*R1842)</x:f>
        <x:v>51</x:v>
      </x:c>
      <x:c r="Y1842" s="93" t="n">
        <x:f>W1842-X1842</x:f>
        <x:v>43.05</x:v>
      </x:c>
      <x:c r="Z1842" s="94" t="n">
        <x:f>IFERROR(Y1842/W1842,0)</x:f>
        <x:v>0.4577352472089314</x:v>
      </x:c>
      <x:c r="AA1842" s="84" t="str">
        <x:f>PROPER(TRIM('Raw Sales'!M1842))</x:f>
        <x:v>Debit Card</x:v>
      </x:c>
      <x:c r="AB1842" s="84" t="str">
        <x:f>PROPER(TRIM('Raw Sales'!N1842))</x:f>
        <x:v>Maya Brooks</x:v>
      </x:c>
      <x:c r="AC1842" s="85" t="n">
        <x:f>'Raw Sales'!O1842</x:f>
        <x:v>45891</x:v>
      </x:c>
      <x:c r="AD1842" s="84" t="n">
        <x:f>AC1842-B1842</x:f>
        <x:v>2</x:v>
      </x:c>
      <x:c r="AE1842" s="84" t="str">
        <x:f>IF(COUNTIF($A$5:A1842,A1842)&gt;1,"Duplicate","Keep")</x:f>
        <x:v>Keep</x:v>
      </x:c>
      <x:c r="AF1842" s="84" t="str">
        <x:f>IF(OR(R1842&lt;=0,AC1842&lt;B1842,H1842="Unknown",M1842="Unknown Product"),"Review","Valid")</x:f>
        <x:v>Valid</x:v>
      </x:c>
      <x:c r="AG1842" s="84" t="n">
        <x:f>IF(AND(AE1842="Keep",AF1842="Valid"),1,0)</x:f>
        <x:v>1</x:v>
      </x:c>
      <x:c r="AH1842" s="84" t="n">
        <x:f>IF(AND(AG1842=1,OR('Dashboard'!$B$4="All",I1842='Dashboard'!$B$4),OR('Dashboard'!$E$4="All",N1842='Dashboard'!$E$4),OR('Dashboard'!$H$4="All",K1842='Dashboard'!$H$4),OR('Dashboard'!$K$4="All",C1842='Dashboard'!$K$4)),1,0)</x:f>
        <x:v>1</x:v>
      </x:c>
      <x:c r="AI1842" s="84" t="n">
        <x:f>IF(AND(AG1842=1,OR('Dashboard'!$B$4="All",I1842='Dashboard'!$B$4),OR('Dashboard'!$E$4="All",N1842='Dashboard'!$E$4),OR('Dashboard'!$H$4="All",K1842='Dashboard'!$H$4)),1,0)</x:f>
        <x:v>1</x:v>
      </x:c>
    </x:row>
    <x:row r="1843">
      <x:c r="A1843" s="84" t="str">
        <x:f>'Raw Sales'!A1843</x:f>
        <x:v>ORD-2025-01576</x:v>
      </x:c>
      <x:c r="B1843" s="85" t="n">
        <x:f>'Raw Sales'!B1843</x:f>
        <x:v>45889</x:v>
      </x:c>
      <x:c r="C1843" s="84" t="n">
        <x:f>YEAR(B1843)</x:f>
        <x:v>2025</x:v>
      </x:c>
      <x:c r="D1843" s="91" t="n">
        <x:f>DATE(YEAR(B1843),MONTH(B1843),1)</x:f>
        <x:v>45870</x:v>
      </x:c>
      <x:c r="E1843" s="84" t="str">
        <x:f>TEXT(B1843,"mmm")</x:f>
        <x:v>Aug</x:v>
      </x:c>
      <x:c r="F1843" s="84" t="str">
        <x:f>'Raw Sales'!C1843</x:f>
        <x:v>CUST-0083</x:v>
      </x:c>
      <x:c r="G1843" s="84" t="str">
        <x:f>PROPER(TRIM('Raw Sales'!D1843))</x:f>
        <x:v>Theo Davis</x:v>
      </x:c>
      <x:c r="H1843" s="84" t="str">
        <x:f>IF(TRIM('Raw Sales'!E1843)="","Unknown",PROPER(TRIM('Raw Sales'!E1843)))</x:f>
        <x:v>Consumer</x:v>
      </x:c>
      <x:c r="I1843" s="84" t="str">
        <x:f>PROPER(TRIM('Raw Sales'!F1843))</x:f>
        <x:v>West</x:v>
      </x:c>
      <x:c r="J1843" s="84" t="str">
        <x:f>PROPER(TRIM('Raw Sales'!G1843))</x:f>
        <x:v>Phoenix</x:v>
      </x:c>
      <x:c r="K1843" s="84" t="str">
        <x:f>PROPER(TRIM('Raw Sales'!H1843))</x:f>
        <x:v>Online</x:v>
      </x:c>
      <x:c r="L1843" s="84" t="str">
        <x:f>'Raw Sales'!I1843</x:f>
        <x:v>ACCS-005</x:v>
      </x:c>
      <x:c r="M1843" s="84" t="str">
        <x:f>IFERROR(VLOOKUP(L1843,'Reference Data'!$A$5:$F$40,2,FALSE),"Unknown Product")</x:f>
        <x:v>Protective Phone Case</x:v>
      </x:c>
      <x:c r="N1843" s="84" t="str">
        <x:f>IFERROR(VLOOKUP(L1843,'Reference Data'!$A$5:$F$40,3,FALSE),"Unknown")</x:f>
        <x:v>Accessories</x:v>
      </x:c>
      <x:c r="O1843" s="84" t="str">
        <x:f>IFERROR(VLOOKUP(L1843,'Reference Data'!$A$5:$F$40,4,FALSE),"Unknown")</x:f>
        <x:v>Mobile Accessories</x:v>
      </x:c>
      <x:c r="P1843" s="92" t="n">
        <x:f>IFERROR(VLOOKUP(L1843,'Reference Data'!$A$5:$F$40,5,FALSE),0)</x:f>
        <x:v>24</x:v>
      </x:c>
      <x:c r="Q1843" s="92" t="n">
        <x:f>IFERROR(VLOOKUP(L1843,'Reference Data'!$A$5:$F$40,6,FALSE),0)</x:f>
        <x:v>5</x:v>
      </x:c>
      <x:c r="R1843" s="84" t="n">
        <x:f>'Raw Sales'!J1843</x:f>
        <x:v>3</x:v>
      </x:c>
      <x:c r="S1843" s="87" t="n">
        <x:f>'Raw Sales'!K1843</x:f>
        <x:v>0</x:v>
      </x:c>
      <x:c r="T1843" s="93" t="n">
        <x:f>P1843*R1843</x:f>
        <x:v>72</x:v>
      </x:c>
      <x:c r="U1843" s="93" t="n">
        <x:f>T1843*S1843</x:f>
        <x:v>0</x:v>
      </x:c>
      <x:c r="V1843" s="93" t="str">
        <x:f>PROPER(TRIM('Raw Sales'!L1843))</x:f>
        <x:v>Completed</x:v>
      </x:c>
      <x:c r="W1843" s="93" t="n">
        <x:f>IF(V1843="Returned",0,T1843-U1843)</x:f>
        <x:v>72</x:v>
      </x:c>
      <x:c r="X1843" s="93" t="n">
        <x:f>IF(V1843="Returned",Q1843*R1843*10%,Q1843*R1843)</x:f>
        <x:v>15</x:v>
      </x:c>
      <x:c r="Y1843" s="93" t="n">
        <x:f>W1843-X1843</x:f>
        <x:v>57</x:v>
      </x:c>
      <x:c r="Z1843" s="94" t="n">
        <x:f>IFERROR(Y1843/W1843,0)</x:f>
        <x:v>0.7916666666666666</x:v>
      </x:c>
      <x:c r="AA1843" s="84" t="str">
        <x:f>PROPER(TRIM('Raw Sales'!M1843))</x:f>
        <x:v>Mobile Wallet</x:v>
      </x:c>
      <x:c r="AB1843" s="84" t="str">
        <x:f>PROPER(TRIM('Raw Sales'!N1843))</x:f>
        <x:v>Nora Kim</x:v>
      </x:c>
      <x:c r="AC1843" s="85" t="n">
        <x:f>'Raw Sales'!O1843</x:f>
        <x:v>45893</x:v>
      </x:c>
      <x:c r="AD1843" s="84" t="n">
        <x:f>AC1843-B1843</x:f>
        <x:v>4</x:v>
      </x:c>
      <x:c r="AE1843" s="84" t="str">
        <x:f>IF(COUNTIF($A$5:A1843,A1843)&gt;1,"Duplicate","Keep")</x:f>
        <x:v>Keep</x:v>
      </x:c>
      <x:c r="AF1843" s="84" t="str">
        <x:f>IF(OR(R1843&lt;=0,AC1843&lt;B1843,H1843="Unknown",M1843="Unknown Product"),"Review","Valid")</x:f>
        <x:v>Valid</x:v>
      </x:c>
      <x:c r="AG1843" s="84" t="n">
        <x:f>IF(AND(AE1843="Keep",AF1843="Valid"),1,0)</x:f>
        <x:v>1</x:v>
      </x:c>
      <x:c r="AH1843" s="84" t="n">
        <x:f>IF(AND(AG1843=1,OR('Dashboard'!$B$4="All",I1843='Dashboard'!$B$4),OR('Dashboard'!$E$4="All",N1843='Dashboard'!$E$4),OR('Dashboard'!$H$4="All",K1843='Dashboard'!$H$4),OR('Dashboard'!$K$4="All",C1843='Dashboard'!$K$4)),1,0)</x:f>
        <x:v>1</x:v>
      </x:c>
      <x:c r="AI1843" s="84" t="n">
        <x:f>IF(AND(AG1843=1,OR('Dashboard'!$B$4="All",I1843='Dashboard'!$B$4),OR('Dashboard'!$E$4="All",N1843='Dashboard'!$E$4),OR('Dashboard'!$H$4="All",K1843='Dashboard'!$H$4)),1,0)</x:f>
        <x:v>1</x:v>
      </x:c>
    </x:row>
    <x:row r="1844">
      <x:c r="A1844" s="84" t="str">
        <x:f>'Raw Sales'!A1844</x:f>
        <x:v>ORD-2025-01018</x:v>
      </x:c>
      <x:c r="B1844" s="85" t="n">
        <x:f>'Raw Sales'!B1844</x:f>
        <x:v>45890</x:v>
      </x:c>
      <x:c r="C1844" s="84" t="n">
        <x:f>YEAR(B1844)</x:f>
        <x:v>2025</x:v>
      </x:c>
      <x:c r="D1844" s="91" t="n">
        <x:f>DATE(YEAR(B1844),MONTH(B1844),1)</x:f>
        <x:v>45870</x:v>
      </x:c>
      <x:c r="E1844" s="84" t="str">
        <x:f>TEXT(B1844,"mmm")</x:f>
        <x:v>Aug</x:v>
      </x:c>
      <x:c r="F1844" s="84" t="str">
        <x:f>'Raw Sales'!C1844</x:f>
        <x:v>CUST-0259</x:v>
      </x:c>
      <x:c r="G1844" s="84" t="str">
        <x:f>PROPER(TRIM('Raw Sales'!D1844))</x:f>
        <x:v>Caleb Foster</x:v>
      </x:c>
      <x:c r="H1844" s="84" t="str">
        <x:f>IF(TRIM('Raw Sales'!E1844)="","Unknown",PROPER(TRIM('Raw Sales'!E1844)))</x:f>
        <x:v>Consumer</x:v>
      </x:c>
      <x:c r="I1844" s="84" t="str">
        <x:f>PROPER(TRIM('Raw Sales'!F1844))</x:f>
        <x:v>Northeast</x:v>
      </x:c>
      <x:c r="J1844" s="84" t="str">
        <x:f>PROPER(TRIM('Raw Sales'!G1844))</x:f>
        <x:v>New York</x:v>
      </x:c>
      <x:c r="K1844" s="84" t="str">
        <x:f>PROPER(TRIM('Raw Sales'!H1844))</x:f>
        <x:v>Marketplace</x:v>
      </x:c>
      <x:c r="L1844" s="84" t="str">
        <x:f>'Raw Sales'!I1844</x:f>
        <x:v>FITN-001</x:v>
      </x:c>
      <x:c r="M1844" s="84" t="str">
        <x:f>IFERROR(VLOOKUP(L1844,'Reference Data'!$A$5:$F$40,2,FALSE),"Unknown Product")</x:f>
        <x:v>Yoga Mat</x:v>
      </x:c>
      <x:c r="N1844" s="84" t="str">
        <x:f>IFERROR(VLOOKUP(L1844,'Reference Data'!$A$5:$F$40,3,FALSE),"Unknown")</x:f>
        <x:v>Fitness</x:v>
      </x:c>
      <x:c r="O1844" s="84" t="str">
        <x:f>IFERROR(VLOOKUP(L1844,'Reference Data'!$A$5:$F$40,4,FALSE),"Unknown")</x:f>
        <x:v>Yoga</x:v>
      </x:c>
      <x:c r="P1844" s="92" t="n">
        <x:f>IFERROR(VLOOKUP(L1844,'Reference Data'!$A$5:$F$40,5,FALSE),0)</x:f>
        <x:v>35</x:v>
      </x:c>
      <x:c r="Q1844" s="92" t="n">
        <x:f>IFERROR(VLOOKUP(L1844,'Reference Data'!$A$5:$F$40,6,FALSE),0)</x:f>
        <x:v>13</x:v>
      </x:c>
      <x:c r="R1844" s="84" t="n">
        <x:f>'Raw Sales'!J1844</x:f>
        <x:v>1</x:v>
      </x:c>
      <x:c r="S1844" s="87" t="n">
        <x:f>'Raw Sales'!K1844</x:f>
        <x:v>0.05</x:v>
      </x:c>
      <x:c r="T1844" s="93" t="n">
        <x:f>P1844*R1844</x:f>
        <x:v>35</x:v>
      </x:c>
      <x:c r="U1844" s="93" t="n">
        <x:f>T1844*S1844</x:f>
        <x:v>1.75</x:v>
      </x:c>
      <x:c r="V1844" s="93" t="str">
        <x:f>PROPER(TRIM('Raw Sales'!L1844))</x:f>
        <x:v>Completed</x:v>
      </x:c>
      <x:c r="W1844" s="93" t="n">
        <x:f>IF(V1844="Returned",0,T1844-U1844)</x:f>
        <x:v>33.25</x:v>
      </x:c>
      <x:c r="X1844" s="93" t="n">
        <x:f>IF(V1844="Returned",Q1844*R1844*10%,Q1844*R1844)</x:f>
        <x:v>13</x:v>
      </x:c>
      <x:c r="Y1844" s="93" t="n">
        <x:f>W1844-X1844</x:f>
        <x:v>20.25</x:v>
      </x:c>
      <x:c r="Z1844" s="94" t="n">
        <x:f>IFERROR(Y1844/W1844,0)</x:f>
        <x:v>0.6090225563909775</x:v>
      </x:c>
      <x:c r="AA1844" s="84" t="str">
        <x:f>PROPER(TRIM('Raw Sales'!M1844))</x:f>
        <x:v>Paypal</x:v>
      </x:c>
      <x:c r="AB1844" s="84" t="str">
        <x:f>PROPER(TRIM('Raw Sales'!N1844))</x:f>
        <x:v>Ethan Cole</x:v>
      </x:c>
      <x:c r="AC1844" s="85" t="n">
        <x:f>'Raw Sales'!O1844</x:f>
        <x:v>45894</x:v>
      </x:c>
      <x:c r="AD1844" s="84" t="n">
        <x:f>AC1844-B1844</x:f>
        <x:v>4</x:v>
      </x:c>
      <x:c r="AE1844" s="84" t="str">
        <x:f>IF(COUNTIF($A$5:A1844,A1844)&gt;1,"Duplicate","Keep")</x:f>
        <x:v>Keep</x:v>
      </x:c>
      <x:c r="AF1844" s="84" t="str">
        <x:f>IF(OR(R1844&lt;=0,AC1844&lt;B1844,H1844="Unknown",M1844="Unknown Product"),"Review","Valid")</x:f>
        <x:v>Valid</x:v>
      </x:c>
      <x:c r="AG1844" s="84" t="n">
        <x:f>IF(AND(AE1844="Keep",AF1844="Valid"),1,0)</x:f>
        <x:v>1</x:v>
      </x:c>
      <x:c r="AH1844" s="84" t="n">
        <x:f>IF(AND(AG1844=1,OR('Dashboard'!$B$4="All",I1844='Dashboard'!$B$4),OR('Dashboard'!$E$4="All",N1844='Dashboard'!$E$4),OR('Dashboard'!$H$4="All",K1844='Dashboard'!$H$4),OR('Dashboard'!$K$4="All",C1844='Dashboard'!$K$4)),1,0)</x:f>
        <x:v>1</x:v>
      </x:c>
      <x:c r="AI1844" s="84" t="n">
        <x:f>IF(AND(AG1844=1,OR('Dashboard'!$B$4="All",I1844='Dashboard'!$B$4),OR('Dashboard'!$E$4="All",N1844='Dashboard'!$E$4),OR('Dashboard'!$H$4="All",K1844='Dashboard'!$H$4)),1,0)</x:f>
        <x:v>1</x:v>
      </x:c>
    </x:row>
    <x:row r="1845">
      <x:c r="A1845" s="84" t="str">
        <x:f>'Raw Sales'!A1845</x:f>
        <x:v>ORD-2025-01104</x:v>
      </x:c>
      <x:c r="B1845" s="85" t="n">
        <x:f>'Raw Sales'!B1845</x:f>
        <x:v>45890</x:v>
      </x:c>
      <x:c r="C1845" s="84" t="n">
        <x:f>YEAR(B1845)</x:f>
        <x:v>2025</x:v>
      </x:c>
      <x:c r="D1845" s="91" t="n">
        <x:f>DATE(YEAR(B1845),MONTH(B1845),1)</x:f>
        <x:v>45870</x:v>
      </x:c>
      <x:c r="E1845" s="84" t="str">
        <x:f>TEXT(B1845,"mmm")</x:f>
        <x:v>Aug</x:v>
      </x:c>
      <x:c r="F1845" s="84" t="str">
        <x:f>'Raw Sales'!C1845</x:f>
        <x:v>CUST-0482</x:v>
      </x:c>
      <x:c r="G1845" s="84" t="str">
        <x:f>PROPER(TRIM('Raw Sales'!D1845))</x:f>
        <x:v>Nathan Young</x:v>
      </x:c>
      <x:c r="H1845" s="84" t="str">
        <x:f>IF(TRIM('Raw Sales'!E1845)="","Unknown",PROPER(TRIM('Raw Sales'!E1845)))</x:f>
        <x:v>Small Business</x:v>
      </x:c>
      <x:c r="I1845" s="84" t="str">
        <x:f>PROPER(TRIM('Raw Sales'!F1845))</x:f>
        <x:v>Midwest</x:v>
      </x:c>
      <x:c r="J1845" s="84" t="str">
        <x:f>PROPER(TRIM('Raw Sales'!G1845))</x:f>
        <x:v>Chicago</x:v>
      </x:c>
      <x:c r="K1845" s="84" t="str">
        <x:f>PROPER(TRIM('Raw Sales'!H1845))</x:f>
        <x:v>Retail Store</x:v>
      </x:c>
      <x:c r="L1845" s="84" t="str">
        <x:f>'Raw Sales'!I1845</x:f>
        <x:v>CARE-004</x:v>
      </x:c>
      <x:c r="M1845" s="84" t="str">
        <x:f>IFERROR(VLOOKUP(L1845,'Reference Data'!$A$5:$F$40,2,FALSE),"Unknown Product")</x:f>
        <x:v>Electric Toothbrush</x:v>
      </x:c>
      <x:c r="N1845" s="84" t="str">
        <x:f>IFERROR(VLOOKUP(L1845,'Reference Data'!$A$5:$F$40,3,FALSE),"Unknown")</x:f>
        <x:v>Personal Care</x:v>
      </x:c>
      <x:c r="O1845" s="84" t="str">
        <x:f>IFERROR(VLOOKUP(L1845,'Reference Data'!$A$5:$F$40,4,FALSE),"Unknown")</x:f>
        <x:v>Oral Care</x:v>
      </x:c>
      <x:c r="P1845" s="92" t="n">
        <x:f>IFERROR(VLOOKUP(L1845,'Reference Data'!$A$5:$F$40,5,FALSE),0)</x:f>
        <x:v>69</x:v>
      </x:c>
      <x:c r="Q1845" s="92" t="n">
        <x:f>IFERROR(VLOOKUP(L1845,'Reference Data'!$A$5:$F$40,6,FALSE),0)</x:f>
        <x:v>31</x:v>
      </x:c>
      <x:c r="R1845" s="84" t="n">
        <x:f>'Raw Sales'!J1845</x:f>
        <x:v>2</x:v>
      </x:c>
      <x:c r="S1845" s="87" t="n">
        <x:f>'Raw Sales'!K1845</x:f>
        <x:v>0.1</x:v>
      </x:c>
      <x:c r="T1845" s="93" t="n">
        <x:f>P1845*R1845</x:f>
        <x:v>138</x:v>
      </x:c>
      <x:c r="U1845" s="93" t="n">
        <x:f>T1845*S1845</x:f>
        <x:v>13.8</x:v>
      </x:c>
      <x:c r="V1845" s="93" t="str">
        <x:f>PROPER(TRIM('Raw Sales'!L1845))</x:f>
        <x:v>Completed</x:v>
      </x:c>
      <x:c r="W1845" s="93" t="n">
        <x:f>IF(V1845="Returned",0,T1845-U1845)</x:f>
        <x:v>124.2</x:v>
      </x:c>
      <x:c r="X1845" s="93" t="n">
        <x:f>IF(V1845="Returned",Q1845*R1845*10%,Q1845*R1845)</x:f>
        <x:v>62</x:v>
      </x:c>
      <x:c r="Y1845" s="93" t="n">
        <x:f>W1845-X1845</x:f>
        <x:v>62.2</x:v>
      </x:c>
      <x:c r="Z1845" s="94" t="n">
        <x:f>IFERROR(Y1845/W1845,0)</x:f>
        <x:v>0.500805152979066</x:v>
      </x:c>
      <x:c r="AA1845" s="84" t="str">
        <x:f>PROPER(TRIM('Raw Sales'!M1845))</x:f>
        <x:v>Debit Card</x:v>
      </x:c>
      <x:c r="AB1845" s="84" t="str">
        <x:f>PROPER(TRIM('Raw Sales'!N1845))</x:f>
        <x:v>Zoe Turner</x:v>
      </x:c>
      <x:c r="AC1845" s="85" t="n">
        <x:f>'Raw Sales'!O1845</x:f>
        <x:v>45890</x:v>
      </x:c>
      <x:c r="AD1845" s="84" t="n">
        <x:f>AC1845-B1845</x:f>
        <x:v>0</x:v>
      </x:c>
      <x:c r="AE1845" s="84" t="str">
        <x:f>IF(COUNTIF($A$5:A1845,A1845)&gt;1,"Duplicate","Keep")</x:f>
        <x:v>Keep</x:v>
      </x:c>
      <x:c r="AF1845" s="84" t="str">
        <x:f>IF(OR(R1845&lt;=0,AC1845&lt;B1845,H1845="Unknown",M1845="Unknown Product"),"Review","Valid")</x:f>
        <x:v>Valid</x:v>
      </x:c>
      <x:c r="AG1845" s="84" t="n">
        <x:f>IF(AND(AE1845="Keep",AF1845="Valid"),1,0)</x:f>
        <x:v>1</x:v>
      </x:c>
      <x:c r="AH1845" s="84" t="n">
        <x:f>IF(AND(AG1845=1,OR('Dashboard'!$B$4="All",I1845='Dashboard'!$B$4),OR('Dashboard'!$E$4="All",N1845='Dashboard'!$E$4),OR('Dashboard'!$H$4="All",K1845='Dashboard'!$H$4),OR('Dashboard'!$K$4="All",C1845='Dashboard'!$K$4)),1,0)</x:f>
        <x:v>1</x:v>
      </x:c>
      <x:c r="AI1845" s="84" t="n">
        <x:f>IF(AND(AG1845=1,OR('Dashboard'!$B$4="All",I1845='Dashboard'!$B$4),OR('Dashboard'!$E$4="All",N1845='Dashboard'!$E$4),OR('Dashboard'!$H$4="All",K1845='Dashboard'!$H$4)),1,0)</x:f>
        <x:v>1</x:v>
      </x:c>
    </x:row>
    <x:row r="1846">
      <x:c r="A1846" s="84" t="str">
        <x:f>'Raw Sales'!A1846</x:f>
        <x:v>ORD-2025-01209</x:v>
      </x:c>
      <x:c r="B1846" s="85" t="n">
        <x:f>'Raw Sales'!B1846</x:f>
        <x:v>45890</x:v>
      </x:c>
      <x:c r="C1846" s="84" t="n">
        <x:f>YEAR(B1846)</x:f>
        <x:v>2025</x:v>
      </x:c>
      <x:c r="D1846" s="91" t="n">
        <x:f>DATE(YEAR(B1846),MONTH(B1846),1)</x:f>
        <x:v>45870</x:v>
      </x:c>
      <x:c r="E1846" s="84" t="str">
        <x:f>TEXT(B1846,"mmm")</x:f>
        <x:v>Aug</x:v>
      </x:c>
      <x:c r="F1846" s="84" t="str">
        <x:f>'Raw Sales'!C1846</x:f>
        <x:v>CUST-0411</x:v>
      </x:c>
      <x:c r="G1846" s="84" t="str">
        <x:f>PROPER(TRIM('Raw Sales'!D1846))</x:f>
        <x:v>Daniel Young</x:v>
      </x:c>
      <x:c r="H1846" s="84" t="str">
        <x:f>IF(TRIM('Raw Sales'!E1846)="","Unknown",PROPER(TRIM('Raw Sales'!E1846)))</x:f>
        <x:v>Corporate</x:v>
      </x:c>
      <x:c r="I1846" s="84" t="str">
        <x:f>PROPER(TRIM('Raw Sales'!F1846))</x:f>
        <x:v>West</x:v>
      </x:c>
      <x:c r="J1846" s="84" t="str">
        <x:f>PROPER(TRIM('Raw Sales'!G1846))</x:f>
        <x:v>Denver</x:v>
      </x:c>
      <x:c r="K1846" s="84" t="str">
        <x:f>PROPER(TRIM('Raw Sales'!H1846))</x:f>
        <x:v>Retail Store</x:v>
      </x:c>
      <x:c r="L1846" s="84" t="str">
        <x:f>'Raw Sales'!I1846</x:f>
        <x:v>HOME-005</x:v>
      </x:c>
      <x:c r="M1846" s="84" t="str">
        <x:f>IFERROR(VLOOKUP(L1846,'Reference Data'!$A$5:$F$40,2,FALSE),"Unknown Product")</x:f>
        <x:v>Cordless Vacuum</x:v>
      </x:c>
      <x:c r="N1846" s="84" t="str">
        <x:f>IFERROR(VLOOKUP(L1846,'Reference Data'!$A$5:$F$40,3,FALSE),"Unknown")</x:f>
        <x:v>Home &amp; Kitchen</x:v>
      </x:c>
      <x:c r="O1846" s="84" t="str">
        <x:f>IFERROR(VLOOKUP(L1846,'Reference Data'!$A$5:$F$40,4,FALSE),"Unknown")</x:f>
        <x:v>Cleaning</x:v>
      </x:c>
      <x:c r="P1846" s="92" t="n">
        <x:f>IFERROR(VLOOKUP(L1846,'Reference Data'!$A$5:$F$40,5,FALSE),0)</x:f>
        <x:v>179</x:v>
      </x:c>
      <x:c r="Q1846" s="92" t="n">
        <x:f>IFERROR(VLOOKUP(L1846,'Reference Data'!$A$5:$F$40,6,FALSE),0)</x:f>
        <x:v>102</x:v>
      </x:c>
      <x:c r="R1846" s="84" t="n">
        <x:f>'Raw Sales'!J1846</x:f>
        <x:v>8</x:v>
      </x:c>
      <x:c r="S1846" s="87" t="n">
        <x:f>'Raw Sales'!K1846</x:f>
        <x:v>0.05</x:v>
      </x:c>
      <x:c r="T1846" s="93" t="n">
        <x:f>P1846*R1846</x:f>
        <x:v>1432</x:v>
      </x:c>
      <x:c r="U1846" s="93" t="n">
        <x:f>T1846*S1846</x:f>
        <x:v>71.60000000000001</x:v>
      </x:c>
      <x:c r="V1846" s="93" t="str">
        <x:f>PROPER(TRIM('Raw Sales'!L1846))</x:f>
        <x:v>Completed</x:v>
      </x:c>
      <x:c r="W1846" s="93" t="n">
        <x:f>IF(V1846="Returned",0,T1846-U1846)</x:f>
        <x:v>1360.4</x:v>
      </x:c>
      <x:c r="X1846" s="93" t="n">
        <x:f>IF(V1846="Returned",Q1846*R1846*10%,Q1846*R1846)</x:f>
        <x:v>816</x:v>
      </x:c>
      <x:c r="Y1846" s="93" t="n">
        <x:f>W1846-X1846</x:f>
        <x:v>544.4000000000001</x:v>
      </x:c>
      <x:c r="Z1846" s="94" t="n">
        <x:f>IFERROR(Y1846/W1846,0)</x:f>
        <x:v>0.4001764187003823</x:v>
      </x:c>
      <x:c r="AA1846" s="84" t="str">
        <x:f>PROPER(TRIM('Raw Sales'!M1846))</x:f>
        <x:v>Debit Card</x:v>
      </x:c>
      <x:c r="AB1846" s="84" t="str">
        <x:f>PROPER(TRIM('Raw Sales'!N1846))</x:f>
        <x:v>Mia Chen</x:v>
      </x:c>
      <x:c r="AC1846" s="85" t="n">
        <x:f>'Raw Sales'!O1846</x:f>
        <x:v>45890</x:v>
      </x:c>
      <x:c r="AD1846" s="84" t="n">
        <x:f>AC1846-B1846</x:f>
        <x:v>0</x:v>
      </x:c>
      <x:c r="AE1846" s="84" t="str">
        <x:f>IF(COUNTIF($A$5:A1846,A1846)&gt;1,"Duplicate","Keep")</x:f>
        <x:v>Keep</x:v>
      </x:c>
      <x:c r="AF1846" s="84" t="str">
        <x:f>IF(OR(R1846&lt;=0,AC1846&lt;B1846,H1846="Unknown",M1846="Unknown Product"),"Review","Valid")</x:f>
        <x:v>Valid</x:v>
      </x:c>
      <x:c r="AG1846" s="84" t="n">
        <x:f>IF(AND(AE1846="Keep",AF1846="Valid"),1,0)</x:f>
        <x:v>1</x:v>
      </x:c>
      <x:c r="AH1846" s="84" t="n">
        <x:f>IF(AND(AG1846=1,OR('Dashboard'!$B$4="All",I1846='Dashboard'!$B$4),OR('Dashboard'!$E$4="All",N1846='Dashboard'!$E$4),OR('Dashboard'!$H$4="All",K1846='Dashboard'!$H$4),OR('Dashboard'!$K$4="All",C1846='Dashboard'!$K$4)),1,0)</x:f>
        <x:v>1</x:v>
      </x:c>
      <x:c r="AI1846" s="84" t="n">
        <x:f>IF(AND(AG1846=1,OR('Dashboard'!$B$4="All",I1846='Dashboard'!$B$4),OR('Dashboard'!$E$4="All",N1846='Dashboard'!$E$4),OR('Dashboard'!$H$4="All",K1846='Dashboard'!$H$4)),1,0)</x:f>
        <x:v>1</x:v>
      </x:c>
    </x:row>
    <x:row r="1847">
      <x:c r="A1847" s="84" t="str">
        <x:f>'Raw Sales'!A1847</x:f>
        <x:v>ORD-2025-01723</x:v>
      </x:c>
      <x:c r="B1847" s="85" t="n">
        <x:f>'Raw Sales'!B1847</x:f>
        <x:v>45890</x:v>
      </x:c>
      <x:c r="C1847" s="84" t="n">
        <x:f>YEAR(B1847)</x:f>
        <x:v>2025</x:v>
      </x:c>
      <x:c r="D1847" s="91" t="n">
        <x:f>DATE(YEAR(B1847),MONTH(B1847),1)</x:f>
        <x:v>45870</x:v>
      </x:c>
      <x:c r="E1847" s="84" t="str">
        <x:f>TEXT(B1847,"mmm")</x:f>
        <x:v>Aug</x:v>
      </x:c>
      <x:c r="F1847" s="84" t="str">
        <x:f>'Raw Sales'!C1847</x:f>
        <x:v>CUST-0597</x:v>
      </x:c>
      <x:c r="G1847" s="84" t="str">
        <x:f>PROPER(TRIM('Raw Sales'!D1847))</x:f>
        <x:v>Nathan Ortiz</x:v>
      </x:c>
      <x:c r="H1847" s="84" t="str">
        <x:f>IF(TRIM('Raw Sales'!E1847)="","Unknown",PROPER(TRIM('Raw Sales'!E1847)))</x:f>
        <x:v>Small Business</x:v>
      </x:c>
      <x:c r="I1847" s="84" t="str">
        <x:f>PROPER(TRIM('Raw Sales'!F1847))</x:f>
        <x:v>West</x:v>
      </x:c>
      <x:c r="J1847" s="84" t="str">
        <x:f>PROPER(TRIM('Raw Sales'!G1847))</x:f>
        <x:v>Phoenix</x:v>
      </x:c>
      <x:c r="K1847" s="84" t="str">
        <x:f>PROPER(TRIM('Raw Sales'!H1847))</x:f>
        <x:v>Retail Store</x:v>
      </x:c>
      <x:c r="L1847" s="84" t="str">
        <x:f>'Raw Sales'!I1847</x:f>
        <x:v>ACCS-001</x:v>
      </x:c>
      <x:c r="M1847" s="84" t="str">
        <x:f>IFERROR(VLOOKUP(L1847,'Reference Data'!$A$5:$F$40,2,FALSE),"Unknown Product")</x:f>
        <x:v>Canvas Tote Bag</x:v>
      </x:c>
      <x:c r="N1847" s="84" t="str">
        <x:f>IFERROR(VLOOKUP(L1847,'Reference Data'!$A$5:$F$40,3,FALSE),"Unknown")</x:f>
        <x:v>Accessories</x:v>
      </x:c>
      <x:c r="O1847" s="84" t="str">
        <x:f>IFERROR(VLOOKUP(L1847,'Reference Data'!$A$5:$F$40,4,FALSE),"Unknown")</x:f>
        <x:v>Bags</x:v>
      </x:c>
      <x:c r="P1847" s="92" t="n">
        <x:f>IFERROR(VLOOKUP(L1847,'Reference Data'!$A$5:$F$40,5,FALSE),0)</x:f>
        <x:v>39</x:v>
      </x:c>
      <x:c r="Q1847" s="92" t="n">
        <x:f>IFERROR(VLOOKUP(L1847,'Reference Data'!$A$5:$F$40,6,FALSE),0)</x:f>
        <x:v>14</x:v>
      </x:c>
      <x:c r="R1847" s="84" t="n">
        <x:f>'Raw Sales'!J1847</x:f>
        <x:v>2</x:v>
      </x:c>
      <x:c r="S1847" s="87" t="n">
        <x:f>'Raw Sales'!K1847</x:f>
        <x:v>0</x:v>
      </x:c>
      <x:c r="T1847" s="93" t="n">
        <x:f>P1847*R1847</x:f>
        <x:v>78</x:v>
      </x:c>
      <x:c r="U1847" s="93" t="n">
        <x:f>T1847*S1847</x:f>
        <x:v>0</x:v>
      </x:c>
      <x:c r="V1847" s="93" t="str">
        <x:f>PROPER(TRIM('Raw Sales'!L1847))</x:f>
        <x:v>Completed</x:v>
      </x:c>
      <x:c r="W1847" s="93" t="n">
        <x:f>IF(V1847="Returned",0,T1847-U1847)</x:f>
        <x:v>78</x:v>
      </x:c>
      <x:c r="X1847" s="93" t="n">
        <x:f>IF(V1847="Returned",Q1847*R1847*10%,Q1847*R1847)</x:f>
        <x:v>28</x:v>
      </x:c>
      <x:c r="Y1847" s="93" t="n">
        <x:f>W1847-X1847</x:f>
        <x:v>50</x:v>
      </x:c>
      <x:c r="Z1847" s="94" t="n">
        <x:f>IFERROR(Y1847/W1847,0)</x:f>
        <x:v>0.6410256410256411</x:v>
      </x:c>
      <x:c r="AA1847" s="84" t="str">
        <x:f>PROPER(TRIM('Raw Sales'!M1847))</x:f>
        <x:v>Cash</x:v>
      </x:c>
      <x:c r="AB1847" s="84" t="str">
        <x:f>PROPER(TRIM('Raw Sales'!N1847))</x:f>
        <x:v>Leo Martinez</x:v>
      </x:c>
      <x:c r="AC1847" s="85" t="n">
        <x:f>'Raw Sales'!O1847</x:f>
        <x:v>45890</x:v>
      </x:c>
      <x:c r="AD1847" s="84" t="n">
        <x:f>AC1847-B1847</x:f>
        <x:v>0</x:v>
      </x:c>
      <x:c r="AE1847" s="84" t="str">
        <x:f>IF(COUNTIF($A$5:A1847,A1847)&gt;1,"Duplicate","Keep")</x:f>
        <x:v>Keep</x:v>
      </x:c>
      <x:c r="AF1847" s="84" t="str">
        <x:f>IF(OR(R1847&lt;=0,AC1847&lt;B1847,H1847="Unknown",M1847="Unknown Product"),"Review","Valid")</x:f>
        <x:v>Valid</x:v>
      </x:c>
      <x:c r="AG1847" s="84" t="n">
        <x:f>IF(AND(AE1847="Keep",AF1847="Valid"),1,0)</x:f>
        <x:v>1</x:v>
      </x:c>
      <x:c r="AH1847" s="84" t="n">
        <x:f>IF(AND(AG1847=1,OR('Dashboard'!$B$4="All",I1847='Dashboard'!$B$4),OR('Dashboard'!$E$4="All",N1847='Dashboard'!$E$4),OR('Dashboard'!$H$4="All",K1847='Dashboard'!$H$4),OR('Dashboard'!$K$4="All",C1847='Dashboard'!$K$4)),1,0)</x:f>
        <x:v>1</x:v>
      </x:c>
      <x:c r="AI1847" s="84" t="n">
        <x:f>IF(AND(AG1847=1,OR('Dashboard'!$B$4="All",I1847='Dashboard'!$B$4),OR('Dashboard'!$E$4="All",N1847='Dashboard'!$E$4),OR('Dashboard'!$H$4="All",K1847='Dashboard'!$H$4)),1,0)</x:f>
        <x:v>1</x:v>
      </x:c>
    </x:row>
    <x:row r="1848">
      <x:c r="A1848" s="84" t="str">
        <x:f>'Raw Sales'!A1848</x:f>
        <x:v>ORD-2025-01990</x:v>
      </x:c>
      <x:c r="B1848" s="85" t="n">
        <x:f>'Raw Sales'!B1848</x:f>
        <x:v>45890</x:v>
      </x:c>
      <x:c r="C1848" s="84" t="n">
        <x:f>YEAR(B1848)</x:f>
        <x:v>2025</x:v>
      </x:c>
      <x:c r="D1848" s="91" t="n">
        <x:f>DATE(YEAR(B1848),MONTH(B1848),1)</x:f>
        <x:v>45870</x:v>
      </x:c>
      <x:c r="E1848" s="84" t="str">
        <x:f>TEXT(B1848,"mmm")</x:f>
        <x:v>Aug</x:v>
      </x:c>
      <x:c r="F1848" s="84" t="str">
        <x:f>'Raw Sales'!C1848</x:f>
        <x:v>CUST-0162</x:v>
      </x:c>
      <x:c r="G1848" s="84" t="str">
        <x:f>PROPER(TRIM('Raw Sales'!D1848))</x:f>
        <x:v>Amelia Young</x:v>
      </x:c>
      <x:c r="H1848" s="84" t="str">
        <x:f>IF(TRIM('Raw Sales'!E1848)="","Unknown",PROPER(TRIM('Raw Sales'!E1848)))</x:f>
        <x:v>Corporate</x:v>
      </x:c>
      <x:c r="I1848" s="84" t="str">
        <x:f>PROPER(TRIM('Raw Sales'!F1848))</x:f>
        <x:v>West</x:v>
      </x:c>
      <x:c r="J1848" s="84" t="str">
        <x:f>PROPER(TRIM('Raw Sales'!G1848))</x:f>
        <x:v>Seattle</x:v>
      </x:c>
      <x:c r="K1848" s="84" t="str">
        <x:f>PROPER(TRIM('Raw Sales'!H1848))</x:f>
        <x:v>Retail Store</x:v>
      </x:c>
      <x:c r="L1848" s="84" t="str">
        <x:f>'Raw Sales'!I1848</x:f>
        <x:v>CARE-001</x:v>
      </x:c>
      <x:c r="M1848" s="84" t="str">
        <x:f>IFERROR(VLOOKUP(L1848,'Reference Data'!$A$5:$F$40,2,FALSE),"Unknown Product")</x:f>
        <x:v>Ionic Hair Dryer</x:v>
      </x:c>
      <x:c r="N1848" s="84" t="str">
        <x:f>IFERROR(VLOOKUP(L1848,'Reference Data'!$A$5:$F$40,3,FALSE),"Unknown")</x:f>
        <x:v>Personal Care</x:v>
      </x:c>
      <x:c r="O1848" s="84" t="str">
        <x:f>IFERROR(VLOOKUP(L1848,'Reference Data'!$A$5:$F$40,4,FALSE),"Unknown")</x:f>
        <x:v>Hair Care</x:v>
      </x:c>
      <x:c r="P1848" s="92" t="n">
        <x:f>IFERROR(VLOOKUP(L1848,'Reference Data'!$A$5:$F$40,5,FALSE),0)</x:f>
        <x:v>54</x:v>
      </x:c>
      <x:c r="Q1848" s="92" t="n">
        <x:f>IFERROR(VLOOKUP(L1848,'Reference Data'!$A$5:$F$40,6,FALSE),0)</x:f>
        <x:v>25</x:v>
      </x:c>
      <x:c r="R1848" s="84" t="n">
        <x:f>'Raw Sales'!J1848</x:f>
        <x:v>8</x:v>
      </x:c>
      <x:c r="S1848" s="87" t="n">
        <x:f>'Raw Sales'!K1848</x:f>
        <x:v>0.1</x:v>
      </x:c>
      <x:c r="T1848" s="93" t="n">
        <x:f>P1848*R1848</x:f>
        <x:v>432</x:v>
      </x:c>
      <x:c r="U1848" s="93" t="n">
        <x:f>T1848*S1848</x:f>
        <x:v>43.2</x:v>
      </x:c>
      <x:c r="V1848" s="93" t="str">
        <x:f>PROPER(TRIM('Raw Sales'!L1848))</x:f>
        <x:v>Completed</x:v>
      </x:c>
      <x:c r="W1848" s="93" t="n">
        <x:f>IF(V1848="Returned",0,T1848-U1848)</x:f>
        <x:v>388.8</x:v>
      </x:c>
      <x:c r="X1848" s="93" t="n">
        <x:f>IF(V1848="Returned",Q1848*R1848*10%,Q1848*R1848)</x:f>
        <x:v>200</x:v>
      </x:c>
      <x:c r="Y1848" s="93" t="n">
        <x:f>W1848-X1848</x:f>
        <x:v>188.8</x:v>
      </x:c>
      <x:c r="Z1848" s="94" t="n">
        <x:f>IFERROR(Y1848/W1848,0)</x:f>
        <x:v>0.48559670781893005</x:v>
      </x:c>
      <x:c r="AA1848" s="84" t="str">
        <x:f>PROPER(TRIM('Raw Sales'!M1848))</x:f>
        <x:v>Cash</x:v>
      </x:c>
      <x:c r="AB1848" s="84" t="str">
        <x:f>PROPER(TRIM('Raw Sales'!N1848))</x:f>
        <x:v>Mia Chen</x:v>
      </x:c>
      <x:c r="AC1848" s="85" t="n">
        <x:f>'Raw Sales'!O1848</x:f>
        <x:v>45890</x:v>
      </x:c>
      <x:c r="AD1848" s="84" t="n">
        <x:f>AC1848-B1848</x:f>
        <x:v>0</x:v>
      </x:c>
      <x:c r="AE1848" s="84" t="str">
        <x:f>IF(COUNTIF($A$5:A1848,A1848)&gt;1,"Duplicate","Keep")</x:f>
        <x:v>Keep</x:v>
      </x:c>
      <x:c r="AF1848" s="84" t="str">
        <x:f>IF(OR(R1848&lt;=0,AC1848&lt;B1848,H1848="Unknown",M1848="Unknown Product"),"Review","Valid")</x:f>
        <x:v>Valid</x:v>
      </x:c>
      <x:c r="AG1848" s="84" t="n">
        <x:f>IF(AND(AE1848="Keep",AF1848="Valid"),1,0)</x:f>
        <x:v>1</x:v>
      </x:c>
      <x:c r="AH1848" s="84" t="n">
        <x:f>IF(AND(AG1848=1,OR('Dashboard'!$B$4="All",I1848='Dashboard'!$B$4),OR('Dashboard'!$E$4="All",N1848='Dashboard'!$E$4),OR('Dashboard'!$H$4="All",K1848='Dashboard'!$H$4),OR('Dashboard'!$K$4="All",C1848='Dashboard'!$K$4)),1,0)</x:f>
        <x:v>1</x:v>
      </x:c>
      <x:c r="AI1848" s="84" t="n">
        <x:f>IF(AND(AG1848=1,OR('Dashboard'!$B$4="All",I1848='Dashboard'!$B$4),OR('Dashboard'!$E$4="All",N1848='Dashboard'!$E$4),OR('Dashboard'!$H$4="All",K1848='Dashboard'!$H$4)),1,0)</x:f>
        <x:v>1</x:v>
      </x:c>
    </x:row>
    <x:row r="1849">
      <x:c r="A1849" s="84" t="str">
        <x:f>'Raw Sales'!A1849</x:f>
        <x:v>ORD-2025-00142</x:v>
      </x:c>
      <x:c r="B1849" s="85" t="n">
        <x:f>'Raw Sales'!B1849</x:f>
        <x:v>45891</x:v>
      </x:c>
      <x:c r="C1849" s="84" t="n">
        <x:f>YEAR(B1849)</x:f>
        <x:v>2025</x:v>
      </x:c>
      <x:c r="D1849" s="91" t="n">
        <x:f>DATE(YEAR(B1849),MONTH(B1849),1)</x:f>
        <x:v>45870</x:v>
      </x:c>
      <x:c r="E1849" s="84" t="str">
        <x:f>TEXT(B1849,"mmm")</x:f>
        <x:v>Aug</x:v>
      </x:c>
      <x:c r="F1849" s="84" t="str">
        <x:f>'Raw Sales'!C1849</x:f>
        <x:v>CUST-0431</x:v>
      </x:c>
      <x:c r="G1849" s="84" t="str">
        <x:f>PROPER(TRIM('Raw Sales'!D1849))</x:f>
        <x:v>Jonah Garcia</x:v>
      </x:c>
      <x:c r="H1849" s="84" t="str">
        <x:f>IF(TRIM('Raw Sales'!E1849)="","Unknown",PROPER(TRIM('Raw Sales'!E1849)))</x:f>
        <x:v>Corporate</x:v>
      </x:c>
      <x:c r="I1849" s="84" t="str">
        <x:f>PROPER(TRIM('Raw Sales'!F1849))</x:f>
        <x:v>West</x:v>
      </x:c>
      <x:c r="J1849" s="84" t="str">
        <x:f>PROPER(TRIM('Raw Sales'!G1849))</x:f>
        <x:v>Denver</x:v>
      </x:c>
      <x:c r="K1849" s="84" t="str">
        <x:f>PROPER(TRIM('Raw Sales'!H1849))</x:f>
        <x:v>Retail Store</x:v>
      </x:c>
      <x:c r="L1849" s="84" t="str">
        <x:f>'Raw Sales'!I1849</x:f>
        <x:v>ACCS-003</x:v>
      </x:c>
      <x:c r="M1849" s="84" t="str">
        <x:f>IFERROR(VLOOKUP(L1849,'Reference Data'!$A$5:$F$40,2,FALSE),"Unknown Product")</x:f>
        <x:v>Polarized Sunglasses</x:v>
      </x:c>
      <x:c r="N1849" s="84" t="str">
        <x:f>IFERROR(VLOOKUP(L1849,'Reference Data'!$A$5:$F$40,3,FALSE),"Unknown")</x:f>
        <x:v>Accessories</x:v>
      </x:c>
      <x:c r="O1849" s="84" t="str">
        <x:f>IFERROR(VLOOKUP(L1849,'Reference Data'!$A$5:$F$40,4,FALSE),"Unknown")</x:f>
        <x:v>Eyewear</x:v>
      </x:c>
      <x:c r="P1849" s="92" t="n">
        <x:f>IFERROR(VLOOKUP(L1849,'Reference Data'!$A$5:$F$40,5,FALSE),0)</x:f>
        <x:v>59</x:v>
      </x:c>
      <x:c r="Q1849" s="92" t="n">
        <x:f>IFERROR(VLOOKUP(L1849,'Reference Data'!$A$5:$F$40,6,FALSE),0)</x:f>
        <x:v>17</x:v>
      </x:c>
      <x:c r="R1849" s="84" t="n">
        <x:f>'Raw Sales'!J1849</x:f>
        <x:v>2</x:v>
      </x:c>
      <x:c r="S1849" s="87" t="n">
        <x:f>'Raw Sales'!K1849</x:f>
        <x:v>0.15</x:v>
      </x:c>
      <x:c r="T1849" s="93" t="n">
        <x:f>P1849*R1849</x:f>
        <x:v>118</x:v>
      </x:c>
      <x:c r="U1849" s="93" t="n">
        <x:f>T1849*S1849</x:f>
        <x:v>17.7</x:v>
      </x:c>
      <x:c r="V1849" s="93" t="str">
        <x:f>PROPER(TRIM('Raw Sales'!L1849))</x:f>
        <x:v>Completed</x:v>
      </x:c>
      <x:c r="W1849" s="93" t="n">
        <x:f>IF(V1849="Returned",0,T1849-U1849)</x:f>
        <x:v>100.3</x:v>
      </x:c>
      <x:c r="X1849" s="93" t="n">
        <x:f>IF(V1849="Returned",Q1849*R1849*10%,Q1849*R1849)</x:f>
        <x:v>34</x:v>
      </x:c>
      <x:c r="Y1849" s="93" t="n">
        <x:f>W1849-X1849</x:f>
        <x:v>66.3</x:v>
      </x:c>
      <x:c r="Z1849" s="94" t="n">
        <x:f>IFERROR(Y1849/W1849,0)</x:f>
        <x:v>0.6610169491525424</x:v>
      </x:c>
      <x:c r="AA1849" s="84" t="str">
        <x:f>PROPER(TRIM('Raw Sales'!M1849))</x:f>
        <x:v>Mobile Wallet</x:v>
      </x:c>
      <x:c r="AB1849" s="84" t="str">
        <x:f>PROPER(TRIM('Raw Sales'!N1849))</x:f>
        <x:v>Leo Martinez</x:v>
      </x:c>
      <x:c r="AC1849" s="85" t="n">
        <x:f>'Raw Sales'!O1849</x:f>
        <x:v>45891</x:v>
      </x:c>
      <x:c r="AD1849" s="84" t="n">
        <x:f>AC1849-B1849</x:f>
        <x:v>0</x:v>
      </x:c>
      <x:c r="AE1849" s="84" t="str">
        <x:f>IF(COUNTIF($A$5:A1849,A1849)&gt;1,"Duplicate","Keep")</x:f>
        <x:v>Keep</x:v>
      </x:c>
      <x:c r="AF1849" s="84" t="str">
        <x:f>IF(OR(R1849&lt;=0,AC1849&lt;B1849,H1849="Unknown",M1849="Unknown Product"),"Review","Valid")</x:f>
        <x:v>Valid</x:v>
      </x:c>
      <x:c r="AG1849" s="84" t="n">
        <x:f>IF(AND(AE1849="Keep",AF1849="Valid"),1,0)</x:f>
        <x:v>1</x:v>
      </x:c>
      <x:c r="AH1849" s="84" t="n">
        <x:f>IF(AND(AG1849=1,OR('Dashboard'!$B$4="All",I1849='Dashboard'!$B$4),OR('Dashboard'!$E$4="All",N1849='Dashboard'!$E$4),OR('Dashboard'!$H$4="All",K1849='Dashboard'!$H$4),OR('Dashboard'!$K$4="All",C1849='Dashboard'!$K$4)),1,0)</x:f>
        <x:v>1</x:v>
      </x:c>
      <x:c r="AI1849" s="84" t="n">
        <x:f>IF(AND(AG1849=1,OR('Dashboard'!$B$4="All",I1849='Dashboard'!$B$4),OR('Dashboard'!$E$4="All",N1849='Dashboard'!$E$4),OR('Dashboard'!$H$4="All",K1849='Dashboard'!$H$4)),1,0)</x:f>
        <x:v>1</x:v>
      </x:c>
    </x:row>
    <x:row r="1850">
      <x:c r="A1850" s="84" t="str">
        <x:f>'Raw Sales'!A1850</x:f>
        <x:v>ORD-2025-00342</x:v>
      </x:c>
      <x:c r="B1850" s="85" t="n">
        <x:f>'Raw Sales'!B1850</x:f>
        <x:v>45891</x:v>
      </x:c>
      <x:c r="C1850" s="84" t="n">
        <x:f>YEAR(B1850)</x:f>
        <x:v>2025</x:v>
      </x:c>
      <x:c r="D1850" s="91" t="n">
        <x:f>DATE(YEAR(B1850),MONTH(B1850),1)</x:f>
        <x:v>45870</x:v>
      </x:c>
      <x:c r="E1850" s="84" t="str">
        <x:f>TEXT(B1850,"mmm")</x:f>
        <x:v>Aug</x:v>
      </x:c>
      <x:c r="F1850" s="84" t="str">
        <x:f>'Raw Sales'!C1850</x:f>
        <x:v>CUST-0263</x:v>
      </x:c>
      <x:c r="G1850" s="84" t="str">
        <x:f>PROPER(TRIM('Raw Sales'!D1850))</x:f>
        <x:v>Theo Smith</x:v>
      </x:c>
      <x:c r="H1850" s="84" t="str">
        <x:f>IF(TRIM('Raw Sales'!E1850)="","Unknown",PROPER(TRIM('Raw Sales'!E1850)))</x:f>
        <x:v>Consumer</x:v>
      </x:c>
      <x:c r="I1850" s="84" t="str">
        <x:f>PROPER(TRIM('Raw Sales'!F1850))</x:f>
        <x:v>West</x:v>
      </x:c>
      <x:c r="J1850" s="84" t="str">
        <x:f>PROPER(TRIM('Raw Sales'!G1850))</x:f>
        <x:v>Seattle</x:v>
      </x:c>
      <x:c r="K1850" s="84" t="str">
        <x:f>PROPER(TRIM('Raw Sales'!H1850))</x:f>
        <x:v>Retail Store</x:v>
      </x:c>
      <x:c r="L1850" s="84" t="str">
        <x:f>'Raw Sales'!I1850</x:f>
        <x:v>ACCS-001</x:v>
      </x:c>
      <x:c r="M1850" s="84" t="str">
        <x:f>IFERROR(VLOOKUP(L1850,'Reference Data'!$A$5:$F$40,2,FALSE),"Unknown Product")</x:f>
        <x:v>Canvas Tote Bag</x:v>
      </x:c>
      <x:c r="N1850" s="84" t="str">
        <x:f>IFERROR(VLOOKUP(L1850,'Reference Data'!$A$5:$F$40,3,FALSE),"Unknown")</x:f>
        <x:v>Accessories</x:v>
      </x:c>
      <x:c r="O1850" s="84" t="str">
        <x:f>IFERROR(VLOOKUP(L1850,'Reference Data'!$A$5:$F$40,4,FALSE),"Unknown")</x:f>
        <x:v>Bags</x:v>
      </x:c>
      <x:c r="P1850" s="92" t="n">
        <x:f>IFERROR(VLOOKUP(L1850,'Reference Data'!$A$5:$F$40,5,FALSE),0)</x:f>
        <x:v>39</x:v>
      </x:c>
      <x:c r="Q1850" s="92" t="n">
        <x:f>IFERROR(VLOOKUP(L1850,'Reference Data'!$A$5:$F$40,6,FALSE),0)</x:f>
        <x:v>14</x:v>
      </x:c>
      <x:c r="R1850" s="84" t="n">
        <x:f>'Raw Sales'!J1850</x:f>
        <x:v>1</x:v>
      </x:c>
      <x:c r="S1850" s="87" t="n">
        <x:f>'Raw Sales'!K1850</x:f>
        <x:v>0.1</x:v>
      </x:c>
      <x:c r="T1850" s="93" t="n">
        <x:f>P1850*R1850</x:f>
        <x:v>39</x:v>
      </x:c>
      <x:c r="U1850" s="93" t="n">
        <x:f>T1850*S1850</x:f>
        <x:v>3.9000000000000004</x:v>
      </x:c>
      <x:c r="V1850" s="93" t="str">
        <x:f>PROPER(TRIM('Raw Sales'!L1850))</x:f>
        <x:v>Completed</x:v>
      </x:c>
      <x:c r="W1850" s="93" t="n">
        <x:f>IF(V1850="Returned",0,T1850-U1850)</x:f>
        <x:v>35.1</x:v>
      </x:c>
      <x:c r="X1850" s="93" t="n">
        <x:f>IF(V1850="Returned",Q1850*R1850*10%,Q1850*R1850)</x:f>
        <x:v>14</x:v>
      </x:c>
      <x:c r="Y1850" s="93" t="n">
        <x:f>W1850-X1850</x:f>
        <x:v>21.1</x:v>
      </x:c>
      <x:c r="Z1850" s="94" t="n">
        <x:f>IFERROR(Y1850/W1850,0)</x:f>
        <x:v>0.6011396011396012</x:v>
      </x:c>
      <x:c r="AA1850" s="84" t="str">
        <x:f>PROPER(TRIM('Raw Sales'!M1850))</x:f>
        <x:v>Mobile Wallet</x:v>
      </x:c>
      <x:c r="AB1850" s="84" t="str">
        <x:f>PROPER(TRIM('Raw Sales'!N1850))</x:f>
        <x:v>Leo Martinez</x:v>
      </x:c>
      <x:c r="AC1850" s="85" t="n">
        <x:f>'Raw Sales'!O1850</x:f>
        <x:v>45892</x:v>
      </x:c>
      <x:c r="AD1850" s="84" t="n">
        <x:f>AC1850-B1850</x:f>
        <x:v>1</x:v>
      </x:c>
      <x:c r="AE1850" s="84" t="str">
        <x:f>IF(COUNTIF($A$5:A1850,A1850)&gt;1,"Duplicate","Keep")</x:f>
        <x:v>Keep</x:v>
      </x:c>
      <x:c r="AF1850" s="84" t="str">
        <x:f>IF(OR(R1850&lt;=0,AC1850&lt;B1850,H1850="Unknown",M1850="Unknown Product"),"Review","Valid")</x:f>
        <x:v>Valid</x:v>
      </x:c>
      <x:c r="AG1850" s="84" t="n">
        <x:f>IF(AND(AE1850="Keep",AF1850="Valid"),1,0)</x:f>
        <x:v>1</x:v>
      </x:c>
      <x:c r="AH1850" s="84" t="n">
        <x:f>IF(AND(AG1850=1,OR('Dashboard'!$B$4="All",I1850='Dashboard'!$B$4),OR('Dashboard'!$E$4="All",N1850='Dashboard'!$E$4),OR('Dashboard'!$H$4="All",K1850='Dashboard'!$H$4),OR('Dashboard'!$K$4="All",C1850='Dashboard'!$K$4)),1,0)</x:f>
        <x:v>1</x:v>
      </x:c>
      <x:c r="AI1850" s="84" t="n">
        <x:f>IF(AND(AG1850=1,OR('Dashboard'!$B$4="All",I1850='Dashboard'!$B$4),OR('Dashboard'!$E$4="All",N1850='Dashboard'!$E$4),OR('Dashboard'!$H$4="All",K1850='Dashboard'!$H$4)),1,0)</x:f>
        <x:v>1</x:v>
      </x:c>
    </x:row>
    <x:row r="1851">
      <x:c r="A1851" s="84" t="str">
        <x:f>'Raw Sales'!A1851</x:f>
        <x:v>ORD-2025-01364</x:v>
      </x:c>
      <x:c r="B1851" s="85" t="n">
        <x:f>'Raw Sales'!B1851</x:f>
        <x:v>45891</x:v>
      </x:c>
      <x:c r="C1851" s="84" t="n">
        <x:f>YEAR(B1851)</x:f>
        <x:v>2025</x:v>
      </x:c>
      <x:c r="D1851" s="91" t="n">
        <x:f>DATE(YEAR(B1851),MONTH(B1851),1)</x:f>
        <x:v>45870</x:v>
      </x:c>
      <x:c r="E1851" s="84" t="str">
        <x:f>TEXT(B1851,"mmm")</x:f>
        <x:v>Aug</x:v>
      </x:c>
      <x:c r="F1851" s="84" t="str">
        <x:f>'Raw Sales'!C1851</x:f>
        <x:v>CUST-0218</x:v>
      </x:c>
      <x:c r="G1851" s="84" t="str">
        <x:f>PROPER(TRIM('Raw Sales'!D1851))</x:f>
        <x:v>Grace Walker</x:v>
      </x:c>
      <x:c r="H1851" s="84" t="str">
        <x:f>IF(TRIM('Raw Sales'!E1851)="","Unknown",PROPER(TRIM('Raw Sales'!E1851)))</x:f>
        <x:v>Consumer</x:v>
      </x:c>
      <x:c r="I1851" s="84" t="str">
        <x:f>PROPER(TRIM('Raw Sales'!F1851))</x:f>
        <x:v>Northeast</x:v>
      </x:c>
      <x:c r="J1851" s="84" t="str">
        <x:f>PROPER(TRIM('Raw Sales'!G1851))</x:f>
        <x:v>Philadelphia</x:v>
      </x:c>
      <x:c r="K1851" s="84" t="str">
        <x:f>PROPER(TRIM('Raw Sales'!H1851))</x:f>
        <x:v>Retail Store</x:v>
      </x:c>
      <x:c r="L1851" s="84" t="str">
        <x:f>'Raw Sales'!I1851</x:f>
        <x:v>HOME-004</x:v>
      </x:c>
      <x:c r="M1851" s="84" t="str">
        <x:f>IFERROR(VLOOKUP(L1851,'Reference Data'!$A$5:$F$40,2,FALSE),"Unknown Product")</x:f>
        <x:v>Coffee Maker</x:v>
      </x:c>
      <x:c r="N1851" s="84" t="str">
        <x:f>IFERROR(VLOOKUP(L1851,'Reference Data'!$A$5:$F$40,3,FALSE),"Unknown")</x:f>
        <x:v>Home &amp; Kitchen</x:v>
      </x:c>
      <x:c r="O1851" s="84" t="str">
        <x:f>IFERROR(VLOOKUP(L1851,'Reference Data'!$A$5:$F$40,4,FALSE),"Unknown")</x:f>
        <x:v>Small Appliances</x:v>
      </x:c>
      <x:c r="P1851" s="92" t="n">
        <x:f>IFERROR(VLOOKUP(L1851,'Reference Data'!$A$5:$F$40,5,FALSE),0)</x:f>
        <x:v>99</x:v>
      </x:c>
      <x:c r="Q1851" s="92" t="n">
        <x:f>IFERROR(VLOOKUP(L1851,'Reference Data'!$A$5:$F$40,6,FALSE),0)</x:f>
        <x:v>51</x:v>
      </x:c>
      <x:c r="R1851" s="84" t="n">
        <x:f>'Raw Sales'!J1851</x:f>
        <x:v>1</x:v>
      </x:c>
      <x:c r="S1851" s="87" t="n">
        <x:f>'Raw Sales'!K1851</x:f>
        <x:v>0.15</x:v>
      </x:c>
      <x:c r="T1851" s="93" t="n">
        <x:f>P1851*R1851</x:f>
        <x:v>99</x:v>
      </x:c>
      <x:c r="U1851" s="93" t="n">
        <x:f>T1851*S1851</x:f>
        <x:v>14.85</x:v>
      </x:c>
      <x:c r="V1851" s="93" t="str">
        <x:f>PROPER(TRIM('Raw Sales'!L1851))</x:f>
        <x:v>Completed</x:v>
      </x:c>
      <x:c r="W1851" s="93" t="n">
        <x:f>IF(V1851="Returned",0,T1851-U1851)</x:f>
        <x:v>84.15</x:v>
      </x:c>
      <x:c r="X1851" s="93" t="n">
        <x:f>IF(V1851="Returned",Q1851*R1851*10%,Q1851*R1851)</x:f>
        <x:v>51</x:v>
      </x:c>
      <x:c r="Y1851" s="93" t="n">
        <x:f>W1851-X1851</x:f>
        <x:v>33.150000000000006</x:v>
      </x:c>
      <x:c r="Z1851" s="94" t="n">
        <x:f>IFERROR(Y1851/W1851,0)</x:f>
        <x:v>0.393939393939394</x:v>
      </x:c>
      <x:c r="AA1851" s="84" t="str">
        <x:f>PROPER(TRIM('Raw Sales'!M1851))</x:f>
        <x:v>Debit Card</x:v>
      </x:c>
      <x:c r="AB1851" s="84" t="str">
        <x:f>PROPER(TRIM('Raw Sales'!N1851))</x:f>
        <x:v>Maya Brooks</x:v>
      </x:c>
      <x:c r="AC1851" s="85" t="n">
        <x:f>'Raw Sales'!O1851</x:f>
        <x:v>45891</x:v>
      </x:c>
      <x:c r="AD1851" s="84" t="n">
        <x:f>AC1851-B1851</x:f>
        <x:v>0</x:v>
      </x:c>
      <x:c r="AE1851" s="84" t="str">
        <x:f>IF(COUNTIF($A$5:A1851,A1851)&gt;1,"Duplicate","Keep")</x:f>
        <x:v>Keep</x:v>
      </x:c>
      <x:c r="AF1851" s="84" t="str">
        <x:f>IF(OR(R1851&lt;=0,AC1851&lt;B1851,H1851="Unknown",M1851="Unknown Product"),"Review","Valid")</x:f>
        <x:v>Valid</x:v>
      </x:c>
      <x:c r="AG1851" s="84" t="n">
        <x:f>IF(AND(AE1851="Keep",AF1851="Valid"),1,0)</x:f>
        <x:v>1</x:v>
      </x:c>
      <x:c r="AH1851" s="84" t="n">
        <x:f>IF(AND(AG1851=1,OR('Dashboard'!$B$4="All",I1851='Dashboard'!$B$4),OR('Dashboard'!$E$4="All",N1851='Dashboard'!$E$4),OR('Dashboard'!$H$4="All",K1851='Dashboard'!$H$4),OR('Dashboard'!$K$4="All",C1851='Dashboard'!$K$4)),1,0)</x:f>
        <x:v>1</x:v>
      </x:c>
      <x:c r="AI1851" s="84" t="n">
        <x:f>IF(AND(AG1851=1,OR('Dashboard'!$B$4="All",I1851='Dashboard'!$B$4),OR('Dashboard'!$E$4="All",N1851='Dashboard'!$E$4),OR('Dashboard'!$H$4="All",K1851='Dashboard'!$H$4)),1,0)</x:f>
        <x:v>1</x:v>
      </x:c>
    </x:row>
    <x:row r="1852">
      <x:c r="A1852" s="84" t="str">
        <x:f>'Raw Sales'!A1852</x:f>
        <x:v>ORD-2025-01442</x:v>
      </x:c>
      <x:c r="B1852" s="85" t="n">
        <x:f>'Raw Sales'!B1852</x:f>
        <x:v>45891</x:v>
      </x:c>
      <x:c r="C1852" s="84" t="n">
        <x:f>YEAR(B1852)</x:f>
        <x:v>2025</x:v>
      </x:c>
      <x:c r="D1852" s="91" t="n">
        <x:f>DATE(YEAR(B1852),MONTH(B1852),1)</x:f>
        <x:v>45870</x:v>
      </x:c>
      <x:c r="E1852" s="84" t="str">
        <x:f>TEXT(B1852,"mmm")</x:f>
        <x:v>Aug</x:v>
      </x:c>
      <x:c r="F1852" s="84" t="str">
        <x:f>'Raw Sales'!C1852</x:f>
        <x:v>CUST-0213</x:v>
      </x:c>
      <x:c r="G1852" s="84" t="str">
        <x:f>PROPER(TRIM('Raw Sales'!D1852))</x:f>
        <x:v>Caleb Foster</x:v>
      </x:c>
      <x:c r="H1852" s="84" t="str">
        <x:f>IF(TRIM('Raw Sales'!E1852)="","Unknown",PROPER(TRIM('Raw Sales'!E1852)))</x:f>
        <x:v>Corporate</x:v>
      </x:c>
      <x:c r="I1852" s="84" t="str">
        <x:f>PROPER(TRIM('Raw Sales'!F1852))</x:f>
        <x:v>Midwest</x:v>
      </x:c>
      <x:c r="J1852" s="84" t="str">
        <x:f>PROPER(TRIM('Raw Sales'!G1852))</x:f>
        <x:v>Chicago</x:v>
      </x:c>
      <x:c r="K1852" s="84" t="str">
        <x:f>PROPER(TRIM('Raw Sales'!H1852))</x:f>
        <x:v>Online</x:v>
      </x:c>
      <x:c r="L1852" s="84" t="str">
        <x:f>'Raw Sales'!I1852</x:f>
        <x:v>OFFC-006</x:v>
      </x:c>
      <x:c r="M1852" s="84" t="str">
        <x:f>IFERROR(VLOOKUP(L1852,'Reference Data'!$A$5:$F$40,2,FALSE),"Unknown Product")</x:f>
        <x:v>Monitor Stand</x:v>
      </x:c>
      <x:c r="N1852" s="84" t="str">
        <x:f>IFERROR(VLOOKUP(L1852,'Reference Data'!$A$5:$F$40,3,FALSE),"Unknown")</x:f>
        <x:v>Office</x:v>
      </x:c>
      <x:c r="O1852" s="84" t="str">
        <x:f>IFERROR(VLOOKUP(L1852,'Reference Data'!$A$5:$F$40,4,FALSE),"Unknown")</x:f>
        <x:v>Desk Accessories</x:v>
      </x:c>
      <x:c r="P1852" s="92" t="n">
        <x:f>IFERROR(VLOOKUP(L1852,'Reference Data'!$A$5:$F$40,5,FALSE),0)</x:f>
        <x:v>49</x:v>
      </x:c>
      <x:c r="Q1852" s="92" t="n">
        <x:f>IFERROR(VLOOKUP(L1852,'Reference Data'!$A$5:$F$40,6,FALSE),0)</x:f>
        <x:v>21</x:v>
      </x:c>
      <x:c r="R1852" s="84" t="n">
        <x:f>'Raw Sales'!J1852</x:f>
        <x:v>4</x:v>
      </x:c>
      <x:c r="S1852" s="87" t="n">
        <x:f>'Raw Sales'!K1852</x:f>
        <x:v>0.05</x:v>
      </x:c>
      <x:c r="T1852" s="93" t="n">
        <x:f>P1852*R1852</x:f>
        <x:v>196</x:v>
      </x:c>
      <x:c r="U1852" s="93" t="n">
        <x:f>T1852*S1852</x:f>
        <x:v>9.8</x:v>
      </x:c>
      <x:c r="V1852" s="93" t="str">
        <x:f>PROPER(TRIM('Raw Sales'!L1852))</x:f>
        <x:v>Completed</x:v>
      </x:c>
      <x:c r="W1852" s="93" t="n">
        <x:f>IF(V1852="Returned",0,T1852-U1852)</x:f>
        <x:v>186.2</x:v>
      </x:c>
      <x:c r="X1852" s="93" t="n">
        <x:f>IF(V1852="Returned",Q1852*R1852*10%,Q1852*R1852)</x:f>
        <x:v>84</x:v>
      </x:c>
      <x:c r="Y1852" s="93" t="n">
        <x:f>W1852-X1852</x:f>
        <x:v>102.19999999999999</x:v>
      </x:c>
      <x:c r="Z1852" s="94" t="n">
        <x:f>IFERROR(Y1852/W1852,0)</x:f>
        <x:v>0.5488721804511278</x:v>
      </x:c>
      <x:c r="AA1852" s="84" t="str">
        <x:f>PROPER(TRIM('Raw Sales'!M1852))</x:f>
        <x:v>Paypal</x:v>
      </x:c>
      <x:c r="AB1852" s="84" t="str">
        <x:f>PROPER(TRIM('Raw Sales'!N1852))</x:f>
        <x:v>Zoe Turner</x:v>
      </x:c>
      <x:c r="AC1852" s="85" t="n">
        <x:f>'Raw Sales'!O1852</x:f>
        <x:v>45895</x:v>
      </x:c>
      <x:c r="AD1852" s="84" t="n">
        <x:f>AC1852-B1852</x:f>
        <x:v>4</x:v>
      </x:c>
      <x:c r="AE1852" s="84" t="str">
        <x:f>IF(COUNTIF($A$5:A1852,A1852)&gt;1,"Duplicate","Keep")</x:f>
        <x:v>Keep</x:v>
      </x:c>
      <x:c r="AF1852" s="84" t="str">
        <x:f>IF(OR(R1852&lt;=0,AC1852&lt;B1852,H1852="Unknown",M1852="Unknown Product"),"Review","Valid")</x:f>
        <x:v>Valid</x:v>
      </x:c>
      <x:c r="AG1852" s="84" t="n">
        <x:f>IF(AND(AE1852="Keep",AF1852="Valid"),1,0)</x:f>
        <x:v>1</x:v>
      </x:c>
      <x:c r="AH1852" s="84" t="n">
        <x:f>IF(AND(AG1852=1,OR('Dashboard'!$B$4="All",I1852='Dashboard'!$B$4),OR('Dashboard'!$E$4="All",N1852='Dashboard'!$E$4),OR('Dashboard'!$H$4="All",K1852='Dashboard'!$H$4),OR('Dashboard'!$K$4="All",C1852='Dashboard'!$K$4)),1,0)</x:f>
        <x:v>1</x:v>
      </x:c>
      <x:c r="AI1852" s="84" t="n">
        <x:f>IF(AND(AG1852=1,OR('Dashboard'!$B$4="All",I1852='Dashboard'!$B$4),OR('Dashboard'!$E$4="All",N1852='Dashboard'!$E$4),OR('Dashboard'!$H$4="All",K1852='Dashboard'!$H$4)),1,0)</x:f>
        <x:v>1</x:v>
      </x:c>
    </x:row>
    <x:row r="1853">
      <x:c r="A1853" s="84" t="str">
        <x:f>'Raw Sales'!A1853</x:f>
        <x:v>ORD-2025-02076</x:v>
      </x:c>
      <x:c r="B1853" s="85" t="n">
        <x:f>'Raw Sales'!B1853</x:f>
        <x:v>45891</x:v>
      </x:c>
      <x:c r="C1853" s="84" t="n">
        <x:f>YEAR(B1853)</x:f>
        <x:v>2025</x:v>
      </x:c>
      <x:c r="D1853" s="91" t="n">
        <x:f>DATE(YEAR(B1853),MONTH(B1853),1)</x:f>
        <x:v>45870</x:v>
      </x:c>
      <x:c r="E1853" s="84" t="str">
        <x:f>TEXT(B1853,"mmm")</x:f>
        <x:v>Aug</x:v>
      </x:c>
      <x:c r="F1853" s="84" t="str">
        <x:f>'Raw Sales'!C1853</x:f>
        <x:v>CUST-0117</x:v>
      </x:c>
      <x:c r="G1853" s="84" t="str">
        <x:f>PROPER(TRIM('Raw Sales'!D1853))</x:f>
        <x:v>Caleb Evans</x:v>
      </x:c>
      <x:c r="H1853" s="84" t="str">
        <x:f>IF(TRIM('Raw Sales'!E1853)="","Unknown",PROPER(TRIM('Raw Sales'!E1853)))</x:f>
        <x:v>Consumer</x:v>
      </x:c>
      <x:c r="I1853" s="84" t="str">
        <x:f>PROPER(TRIM('Raw Sales'!F1853))</x:f>
        <x:v>Northeast</x:v>
      </x:c>
      <x:c r="J1853" s="84" t="str">
        <x:f>PROPER(TRIM('Raw Sales'!G1853))</x:f>
        <x:v>Newark</x:v>
      </x:c>
      <x:c r="K1853" s="84" t="str">
        <x:f>PROPER(TRIM('Raw Sales'!H1853))</x:f>
        <x:v>Online</x:v>
      </x:c>
      <x:c r="L1853" s="84" t="str">
        <x:f>'Raw Sales'!I1853</x:f>
        <x:v>OFFC-002</x:v>
      </x:c>
      <x:c r="M1853" s="84" t="str">
        <x:f>IFERROR(VLOOKUP(L1853,'Reference Data'!$A$5:$F$40,2,FALSE),"Unknown Product")</x:f>
        <x:v>Standing Desk</x:v>
      </x:c>
      <x:c r="N1853" s="84" t="str">
        <x:f>IFERROR(VLOOKUP(L1853,'Reference Data'!$A$5:$F$40,3,FALSE),"Unknown")</x:f>
        <x:v>Office</x:v>
      </x:c>
      <x:c r="O1853" s="84" t="str">
        <x:f>IFERROR(VLOOKUP(L1853,'Reference Data'!$A$5:$F$40,4,FALSE),"Unknown")</x:f>
        <x:v>Furniture</x:v>
      </x:c>
      <x:c r="P1853" s="92" t="n">
        <x:f>IFERROR(VLOOKUP(L1853,'Reference Data'!$A$5:$F$40,5,FALSE),0)</x:f>
        <x:v>399</x:v>
      </x:c>
      <x:c r="Q1853" s="92" t="n">
        <x:f>IFERROR(VLOOKUP(L1853,'Reference Data'!$A$5:$F$40,6,FALSE),0)</x:f>
        <x:v>235</x:v>
      </x:c>
      <x:c r="R1853" s="84" t="n">
        <x:f>'Raw Sales'!J1853</x:f>
        <x:v>1</x:v>
      </x:c>
      <x:c r="S1853" s="87" t="n">
        <x:f>'Raw Sales'!K1853</x:f>
        <x:v>0.05</x:v>
      </x:c>
      <x:c r="T1853" s="93" t="n">
        <x:f>P1853*R1853</x:f>
        <x:v>399</x:v>
      </x:c>
      <x:c r="U1853" s="93" t="n">
        <x:f>T1853*S1853</x:f>
        <x:v>19.950000000000003</x:v>
      </x:c>
      <x:c r="V1853" s="93" t="str">
        <x:f>PROPER(TRIM('Raw Sales'!L1853))</x:f>
        <x:v>Completed</x:v>
      </x:c>
      <x:c r="W1853" s="93" t="n">
        <x:f>IF(V1853="Returned",0,T1853-U1853)</x:f>
        <x:v>379.05</x:v>
      </x:c>
      <x:c r="X1853" s="93" t="n">
        <x:f>IF(V1853="Returned",Q1853*R1853*10%,Q1853*R1853)</x:f>
        <x:v>235</x:v>
      </x:c>
      <x:c r="Y1853" s="93" t="n">
        <x:f>W1853-X1853</x:f>
        <x:v>144.05</x:v>
      </x:c>
      <x:c r="Z1853" s="94" t="n">
        <x:f>IFERROR(Y1853/W1853,0)</x:f>
        <x:v>0.38002901991821664</x:v>
      </x:c>
      <x:c r="AA1853" s="84" t="str">
        <x:f>PROPER(TRIM('Raw Sales'!M1853))</x:f>
        <x:v>Debit Card</x:v>
      </x:c>
      <x:c r="AB1853" s="84" t="str">
        <x:f>PROPER(TRIM('Raw Sales'!N1853))</x:f>
        <x:v>Sofia Bennett</x:v>
      </x:c>
      <x:c r="AC1853" s="85" t="n">
        <x:f>'Raw Sales'!O1853</x:f>
        <x:v>45896</x:v>
      </x:c>
      <x:c r="AD1853" s="84" t="n">
        <x:f>AC1853-B1853</x:f>
        <x:v>5</x:v>
      </x:c>
      <x:c r="AE1853" s="84" t="str">
        <x:f>IF(COUNTIF($A$5:A1853,A1853)&gt;1,"Duplicate","Keep")</x:f>
        <x:v>Keep</x:v>
      </x:c>
      <x:c r="AF1853" s="84" t="str">
        <x:f>IF(OR(R1853&lt;=0,AC1853&lt;B1853,H1853="Unknown",M1853="Unknown Product"),"Review","Valid")</x:f>
        <x:v>Valid</x:v>
      </x:c>
      <x:c r="AG1853" s="84" t="n">
        <x:f>IF(AND(AE1853="Keep",AF1853="Valid"),1,0)</x:f>
        <x:v>1</x:v>
      </x:c>
      <x:c r="AH1853" s="84" t="n">
        <x:f>IF(AND(AG1853=1,OR('Dashboard'!$B$4="All",I1853='Dashboard'!$B$4),OR('Dashboard'!$E$4="All",N1853='Dashboard'!$E$4),OR('Dashboard'!$H$4="All",K1853='Dashboard'!$H$4),OR('Dashboard'!$K$4="All",C1853='Dashboard'!$K$4)),1,0)</x:f>
        <x:v>1</x:v>
      </x:c>
      <x:c r="AI1853" s="84" t="n">
        <x:f>IF(AND(AG1853=1,OR('Dashboard'!$B$4="All",I1853='Dashboard'!$B$4),OR('Dashboard'!$E$4="All",N1853='Dashboard'!$E$4),OR('Dashboard'!$H$4="All",K1853='Dashboard'!$H$4)),1,0)</x:f>
        <x:v>1</x:v>
      </x:c>
    </x:row>
    <x:row r="1854">
      <x:c r="A1854" s="84" t="str">
        <x:f>'Raw Sales'!A1854</x:f>
        <x:v>ORD-2025-02210</x:v>
      </x:c>
      <x:c r="B1854" s="85" t="n">
        <x:f>'Raw Sales'!B1854</x:f>
        <x:v>45891</x:v>
      </x:c>
      <x:c r="C1854" s="84" t="n">
        <x:f>YEAR(B1854)</x:f>
        <x:v>2025</x:v>
      </x:c>
      <x:c r="D1854" s="91" t="n">
        <x:f>DATE(YEAR(B1854),MONTH(B1854),1)</x:f>
        <x:v>45870</x:v>
      </x:c>
      <x:c r="E1854" s="84" t="str">
        <x:f>TEXT(B1854,"mmm")</x:f>
        <x:v>Aug</x:v>
      </x:c>
      <x:c r="F1854" s="84" t="str">
        <x:f>'Raw Sales'!C1854</x:f>
        <x:v>CUST-0208</x:v>
      </x:c>
      <x:c r="G1854" s="84" t="str">
        <x:f>PROPER(TRIM('Raw Sales'!D1854))</x:f>
        <x:v>Layla Patel</x:v>
      </x:c>
      <x:c r="H1854" s="84" t="str">
        <x:f>IF(TRIM('Raw Sales'!E1854)="","Unknown",PROPER(TRIM('Raw Sales'!E1854)))</x:f>
        <x:v>Consumer</x:v>
      </x:c>
      <x:c r="I1854" s="84" t="str">
        <x:f>PROPER(TRIM('Raw Sales'!F1854))</x:f>
        <x:v>West</x:v>
      </x:c>
      <x:c r="J1854" s="84" t="str">
        <x:f>PROPER(TRIM('Raw Sales'!G1854))</x:f>
        <x:v>Los Angeles</x:v>
      </x:c>
      <x:c r="K1854" s="84" t="str">
        <x:f>PROPER(TRIM('Raw Sales'!H1854))</x:f>
        <x:v>Retail Store</x:v>
      </x:c>
      <x:c r="L1854" s="84" t="str">
        <x:f>'Raw Sales'!I1854</x:f>
        <x:v>FITN-004</x:v>
      </x:c>
      <x:c r="M1854" s="84" t="str">
        <x:f>IFERROR(VLOOKUP(L1854,'Reference Data'!$A$5:$F$40,2,FALSE),"Unknown Product")</x:f>
        <x:v>Fitness Tracker</x:v>
      </x:c>
      <x:c r="N1854" s="84" t="str">
        <x:f>IFERROR(VLOOKUP(L1854,'Reference Data'!$A$5:$F$40,3,FALSE),"Unknown")</x:f>
        <x:v>Fitness</x:v>
      </x:c>
      <x:c r="O1854" s="84" t="str">
        <x:f>IFERROR(VLOOKUP(L1854,'Reference Data'!$A$5:$F$40,4,FALSE),"Unknown")</x:f>
        <x:v>Wearables</x:v>
      </x:c>
      <x:c r="P1854" s="92" t="n">
        <x:f>IFERROR(VLOOKUP(L1854,'Reference Data'!$A$5:$F$40,5,FALSE),0)</x:f>
        <x:v>89</x:v>
      </x:c>
      <x:c r="Q1854" s="92" t="n">
        <x:f>IFERROR(VLOOKUP(L1854,'Reference Data'!$A$5:$F$40,6,FALSE),0)</x:f>
        <x:v>44</x:v>
      </x:c>
      <x:c r="R1854" s="84" t="n">
        <x:f>'Raw Sales'!J1854</x:f>
        <x:v>1</x:v>
      </x:c>
      <x:c r="S1854" s="87" t="n">
        <x:f>'Raw Sales'!K1854</x:f>
        <x:v>0.05</x:v>
      </x:c>
      <x:c r="T1854" s="93" t="n">
        <x:f>P1854*R1854</x:f>
        <x:v>89</x:v>
      </x:c>
      <x:c r="U1854" s="93" t="n">
        <x:f>T1854*S1854</x:f>
        <x:v>4.45</x:v>
      </x:c>
      <x:c r="V1854" s="93" t="str">
        <x:f>PROPER(TRIM('Raw Sales'!L1854))</x:f>
        <x:v>Completed</x:v>
      </x:c>
      <x:c r="W1854" s="93" t="n">
        <x:f>IF(V1854="Returned",0,T1854-U1854)</x:f>
        <x:v>84.55</x:v>
      </x:c>
      <x:c r="X1854" s="93" t="n">
        <x:f>IF(V1854="Returned",Q1854*R1854*10%,Q1854*R1854)</x:f>
        <x:v>44</x:v>
      </x:c>
      <x:c r="Y1854" s="93" t="n">
        <x:f>W1854-X1854</x:f>
        <x:v>40.55</x:v>
      </x:c>
      <x:c r="Z1854" s="94" t="n">
        <x:f>IFERROR(Y1854/W1854,0)</x:f>
        <x:v>0.47959787108219987</x:v>
      </x:c>
      <x:c r="AA1854" s="84" t="str">
        <x:f>PROPER(TRIM('Raw Sales'!M1854))</x:f>
        <x:v>Credit Card</x:v>
      </x:c>
      <x:c r="AB1854" s="84" t="str">
        <x:f>PROPER(TRIM('Raw Sales'!N1854))</x:f>
        <x:v>Mia Chen</x:v>
      </x:c>
      <x:c r="AC1854" s="85" t="n">
        <x:f>'Raw Sales'!O1854</x:f>
        <x:v>45891</x:v>
      </x:c>
      <x:c r="AD1854" s="84" t="n">
        <x:f>AC1854-B1854</x:f>
        <x:v>0</x:v>
      </x:c>
      <x:c r="AE1854" s="84" t="str">
        <x:f>IF(COUNTIF($A$5:A1854,A1854)&gt;1,"Duplicate","Keep")</x:f>
        <x:v>Keep</x:v>
      </x:c>
      <x:c r="AF1854" s="84" t="str">
        <x:f>IF(OR(R1854&lt;=0,AC1854&lt;B1854,H1854="Unknown",M1854="Unknown Product"),"Review","Valid")</x:f>
        <x:v>Valid</x:v>
      </x:c>
      <x:c r="AG1854" s="84" t="n">
        <x:f>IF(AND(AE1854="Keep",AF1854="Valid"),1,0)</x:f>
        <x:v>1</x:v>
      </x:c>
      <x:c r="AH1854" s="84" t="n">
        <x:f>IF(AND(AG1854=1,OR('Dashboard'!$B$4="All",I1854='Dashboard'!$B$4),OR('Dashboard'!$E$4="All",N1854='Dashboard'!$E$4),OR('Dashboard'!$H$4="All",K1854='Dashboard'!$H$4),OR('Dashboard'!$K$4="All",C1854='Dashboard'!$K$4)),1,0)</x:f>
        <x:v>1</x:v>
      </x:c>
      <x:c r="AI1854" s="84" t="n">
        <x:f>IF(AND(AG1854=1,OR('Dashboard'!$B$4="All",I1854='Dashboard'!$B$4),OR('Dashboard'!$E$4="All",N1854='Dashboard'!$E$4),OR('Dashboard'!$H$4="All",K1854='Dashboard'!$H$4)),1,0)</x:f>
        <x:v>1</x:v>
      </x:c>
    </x:row>
    <x:row r="1855">
      <x:c r="A1855" s="84" t="str">
        <x:f>'Raw Sales'!A1855</x:f>
        <x:v>ORD-2025-00809</x:v>
      </x:c>
      <x:c r="B1855" s="85" t="n">
        <x:f>'Raw Sales'!B1855</x:f>
        <x:v>45892</x:v>
      </x:c>
      <x:c r="C1855" s="84" t="n">
        <x:f>YEAR(B1855)</x:f>
        <x:v>2025</x:v>
      </x:c>
      <x:c r="D1855" s="91" t="n">
        <x:f>DATE(YEAR(B1855),MONTH(B1855),1)</x:f>
        <x:v>45870</x:v>
      </x:c>
      <x:c r="E1855" s="84" t="str">
        <x:f>TEXT(B1855,"mmm")</x:f>
        <x:v>Aug</x:v>
      </x:c>
      <x:c r="F1855" s="84" t="str">
        <x:f>'Raw Sales'!C1855</x:f>
        <x:v>CUST-0113</x:v>
      </x:c>
      <x:c r="G1855" s="84" t="str">
        <x:f>PROPER(TRIM('Raw Sales'!D1855))</x:f>
        <x:v>Amelia Patel</x:v>
      </x:c>
      <x:c r="H1855" s="84" t="str">
        <x:f>IF(TRIM('Raw Sales'!E1855)="","Unknown",PROPER(TRIM('Raw Sales'!E1855)))</x:f>
        <x:v>Consumer</x:v>
      </x:c>
      <x:c r="I1855" s="84" t="str">
        <x:f>PROPER(TRIM('Raw Sales'!F1855))</x:f>
        <x:v>Southeast</x:v>
      </x:c>
      <x:c r="J1855" s="84" t="str">
        <x:f>PROPER(TRIM('Raw Sales'!G1855))</x:f>
        <x:v>Atlanta</x:v>
      </x:c>
      <x:c r="K1855" s="84" t="str">
        <x:f>PROPER(TRIM('Raw Sales'!H1855))</x:f>
        <x:v>Online</x:v>
      </x:c>
      <x:c r="L1855" s="84" t="str">
        <x:f>'Raw Sales'!I1855</x:f>
        <x:v>ELEC-002</x:v>
      </x:c>
      <x:c r="M1855" s="84" t="str">
        <x:f>IFERROR(VLOOKUP(L1855,'Reference Data'!$A$5:$F$40,2,FALSE),"Unknown Product")</x:f>
        <x:v>Smartwatch</x:v>
      </x:c>
      <x:c r="N1855" s="84" t="str">
        <x:f>IFERROR(VLOOKUP(L1855,'Reference Data'!$A$5:$F$40,3,FALSE),"Unknown")</x:f>
        <x:v>Electronics</x:v>
      </x:c>
      <x:c r="O1855" s="84" t="str">
        <x:f>IFERROR(VLOOKUP(L1855,'Reference Data'!$A$5:$F$40,4,FALSE),"Unknown")</x:f>
        <x:v>Wearables</x:v>
      </x:c>
      <x:c r="P1855" s="92" t="n">
        <x:f>IFERROR(VLOOKUP(L1855,'Reference Data'!$A$5:$F$40,5,FALSE),0)</x:f>
        <x:v>159</x:v>
      </x:c>
      <x:c r="Q1855" s="92" t="n">
        <x:f>IFERROR(VLOOKUP(L1855,'Reference Data'!$A$5:$F$40,6,FALSE),0)</x:f>
        <x:v>92</x:v>
      </x:c>
      <x:c r="R1855" s="84" t="n">
        <x:f>'Raw Sales'!J1855</x:f>
        <x:v>2</x:v>
      </x:c>
      <x:c r="S1855" s="87" t="n">
        <x:f>'Raw Sales'!K1855</x:f>
        <x:v>0.15</x:v>
      </x:c>
      <x:c r="T1855" s="93" t="n">
        <x:f>P1855*R1855</x:f>
        <x:v>318</x:v>
      </x:c>
      <x:c r="U1855" s="93" t="n">
        <x:f>T1855*S1855</x:f>
        <x:v>47.699999999999996</x:v>
      </x:c>
      <x:c r="V1855" s="93" t="str">
        <x:f>PROPER(TRIM('Raw Sales'!L1855))</x:f>
        <x:v>Completed</x:v>
      </x:c>
      <x:c r="W1855" s="93" t="n">
        <x:f>IF(V1855="Returned",0,T1855-U1855)</x:f>
        <x:v>270.3</x:v>
      </x:c>
      <x:c r="X1855" s="93" t="n">
        <x:f>IF(V1855="Returned",Q1855*R1855*10%,Q1855*R1855)</x:f>
        <x:v>184</x:v>
      </x:c>
      <x:c r="Y1855" s="93" t="n">
        <x:f>W1855-X1855</x:f>
        <x:v>86.30000000000001</x:v>
      </x:c>
      <x:c r="Z1855" s="94" t="n">
        <x:f>IFERROR(Y1855/W1855,0)</x:f>
        <x:v>0.31927487976322605</x:v>
      </x:c>
      <x:c r="AA1855" s="84" t="str">
        <x:f>PROPER(TRIM('Raw Sales'!M1855))</x:f>
        <x:v>Credit Card</x:v>
      </x:c>
      <x:c r="AB1855" s="84" t="str">
        <x:f>PROPER(TRIM('Raw Sales'!N1855))</x:f>
        <x:v>Liam Parker</x:v>
      </x:c>
      <x:c r="AC1855" s="85" t="n">
        <x:f>'Raw Sales'!O1855</x:f>
        <x:v>45898</x:v>
      </x:c>
      <x:c r="AD1855" s="84" t="n">
        <x:f>AC1855-B1855</x:f>
        <x:v>6</x:v>
      </x:c>
      <x:c r="AE1855" s="84" t="str">
        <x:f>IF(COUNTIF($A$5:A1855,A1855)&gt;1,"Duplicate","Keep")</x:f>
        <x:v>Keep</x:v>
      </x:c>
      <x:c r="AF1855" s="84" t="str">
        <x:f>IF(OR(R1855&lt;=0,AC1855&lt;B1855,H1855="Unknown",M1855="Unknown Product"),"Review","Valid")</x:f>
        <x:v>Valid</x:v>
      </x:c>
      <x:c r="AG1855" s="84" t="n">
        <x:f>IF(AND(AE1855="Keep",AF1855="Valid"),1,0)</x:f>
        <x:v>1</x:v>
      </x:c>
      <x:c r="AH1855" s="84" t="n">
        <x:f>IF(AND(AG1855=1,OR('Dashboard'!$B$4="All",I1855='Dashboard'!$B$4),OR('Dashboard'!$E$4="All",N1855='Dashboard'!$E$4),OR('Dashboard'!$H$4="All",K1855='Dashboard'!$H$4),OR('Dashboard'!$K$4="All",C1855='Dashboard'!$K$4)),1,0)</x:f>
        <x:v>1</x:v>
      </x:c>
      <x:c r="AI1855" s="84" t="n">
        <x:f>IF(AND(AG1855=1,OR('Dashboard'!$B$4="All",I1855='Dashboard'!$B$4),OR('Dashboard'!$E$4="All",N1855='Dashboard'!$E$4),OR('Dashboard'!$H$4="All",K1855='Dashboard'!$H$4)),1,0)</x:f>
        <x:v>1</x:v>
      </x:c>
    </x:row>
    <x:row r="1856">
      <x:c r="A1856" s="84" t="str">
        <x:f>'Raw Sales'!A1856</x:f>
        <x:v>ORD-2025-00981</x:v>
      </x:c>
      <x:c r="B1856" s="85" t="n">
        <x:f>'Raw Sales'!B1856</x:f>
        <x:v>45892</x:v>
      </x:c>
      <x:c r="C1856" s="84" t="n">
        <x:f>YEAR(B1856)</x:f>
        <x:v>2025</x:v>
      </x:c>
      <x:c r="D1856" s="91" t="n">
        <x:f>DATE(YEAR(B1856),MONTH(B1856),1)</x:f>
        <x:v>45870</x:v>
      </x:c>
      <x:c r="E1856" s="84" t="str">
        <x:f>TEXT(B1856,"mmm")</x:f>
        <x:v>Aug</x:v>
      </x:c>
      <x:c r="F1856" s="84" t="str">
        <x:f>'Raw Sales'!C1856</x:f>
        <x:v>CUST-0305</x:v>
      </x:c>
      <x:c r="G1856" s="84" t="str">
        <x:f>PROPER(TRIM('Raw Sales'!D1856))</x:f>
        <x:v>Theo Young</x:v>
      </x:c>
      <x:c r="H1856" s="84" t="str">
        <x:f>IF(TRIM('Raw Sales'!E1856)="","Unknown",PROPER(TRIM('Raw Sales'!E1856)))</x:f>
        <x:v>Consumer</x:v>
      </x:c>
      <x:c r="I1856" s="84" t="str">
        <x:f>PROPER(TRIM('Raw Sales'!F1856))</x:f>
        <x:v>Midwest</x:v>
      </x:c>
      <x:c r="J1856" s="84" t="str">
        <x:f>PROPER(TRIM('Raw Sales'!G1856))</x:f>
        <x:v>Minneapolis</x:v>
      </x:c>
      <x:c r="K1856" s="84" t="str">
        <x:f>PROPER(TRIM('Raw Sales'!H1856))</x:f>
        <x:v>Online</x:v>
      </x:c>
      <x:c r="L1856" s="84" t="str">
        <x:f>'Raw Sales'!I1856</x:f>
        <x:v>OFFC-006</x:v>
      </x:c>
      <x:c r="M1856" s="84" t="str">
        <x:f>IFERROR(VLOOKUP(L1856,'Reference Data'!$A$5:$F$40,2,FALSE),"Unknown Product")</x:f>
        <x:v>Monitor Stand</x:v>
      </x:c>
      <x:c r="N1856" s="84" t="str">
        <x:f>IFERROR(VLOOKUP(L1856,'Reference Data'!$A$5:$F$40,3,FALSE),"Unknown")</x:f>
        <x:v>Office</x:v>
      </x:c>
      <x:c r="O1856" s="84" t="str">
        <x:f>IFERROR(VLOOKUP(L1856,'Reference Data'!$A$5:$F$40,4,FALSE),"Unknown")</x:f>
        <x:v>Desk Accessories</x:v>
      </x:c>
      <x:c r="P1856" s="92" t="n">
        <x:f>IFERROR(VLOOKUP(L1856,'Reference Data'!$A$5:$F$40,5,FALSE),0)</x:f>
        <x:v>49</x:v>
      </x:c>
      <x:c r="Q1856" s="92" t="n">
        <x:f>IFERROR(VLOOKUP(L1856,'Reference Data'!$A$5:$F$40,6,FALSE),0)</x:f>
        <x:v>21</x:v>
      </x:c>
      <x:c r="R1856" s="84" t="n">
        <x:f>'Raw Sales'!J1856</x:f>
        <x:v>1</x:v>
      </x:c>
      <x:c r="S1856" s="87" t="n">
        <x:f>'Raw Sales'!K1856</x:f>
        <x:v>0</x:v>
      </x:c>
      <x:c r="T1856" s="93" t="n">
        <x:f>P1856*R1856</x:f>
        <x:v>49</x:v>
      </x:c>
      <x:c r="U1856" s="93" t="n">
        <x:f>T1856*S1856</x:f>
        <x:v>0</x:v>
      </x:c>
      <x:c r="V1856" s="93" t="str">
        <x:f>PROPER(TRIM('Raw Sales'!L1856))</x:f>
        <x:v>Completed</x:v>
      </x:c>
      <x:c r="W1856" s="93" t="n">
        <x:f>IF(V1856="Returned",0,T1856-U1856)</x:f>
        <x:v>49</x:v>
      </x:c>
      <x:c r="X1856" s="93" t="n">
        <x:f>IF(V1856="Returned",Q1856*R1856*10%,Q1856*R1856)</x:f>
        <x:v>21</x:v>
      </x:c>
      <x:c r="Y1856" s="93" t="n">
        <x:f>W1856-X1856</x:f>
        <x:v>28</x:v>
      </x:c>
      <x:c r="Z1856" s="94" t="n">
        <x:f>IFERROR(Y1856/W1856,0)</x:f>
        <x:v>0.5714285714285714</x:v>
      </x:c>
      <x:c r="AA1856" s="84" t="str">
        <x:f>PROPER(TRIM('Raw Sales'!M1856))</x:f>
        <x:v>Paypal</x:v>
      </x:c>
      <x:c r="AB1856" s="84" t="str">
        <x:f>PROPER(TRIM('Raw Sales'!N1856))</x:f>
        <x:v>Lucas Grant</x:v>
      </x:c>
      <x:c r="AC1856" s="85" t="n">
        <x:f>'Raw Sales'!O1856</x:f>
        <x:v>45894</x:v>
      </x:c>
      <x:c r="AD1856" s="84" t="n">
        <x:f>AC1856-B1856</x:f>
        <x:v>2</x:v>
      </x:c>
      <x:c r="AE1856" s="84" t="str">
        <x:f>IF(COUNTIF($A$5:A1856,A1856)&gt;1,"Duplicate","Keep")</x:f>
        <x:v>Keep</x:v>
      </x:c>
      <x:c r="AF1856" s="84" t="str">
        <x:f>IF(OR(R1856&lt;=0,AC1856&lt;B1856,H1856="Unknown",M1856="Unknown Product"),"Review","Valid")</x:f>
        <x:v>Valid</x:v>
      </x:c>
      <x:c r="AG1856" s="84" t="n">
        <x:f>IF(AND(AE1856="Keep",AF1856="Valid"),1,0)</x:f>
        <x:v>1</x:v>
      </x:c>
      <x:c r="AH1856" s="84" t="n">
        <x:f>IF(AND(AG1856=1,OR('Dashboard'!$B$4="All",I1856='Dashboard'!$B$4),OR('Dashboard'!$E$4="All",N1856='Dashboard'!$E$4),OR('Dashboard'!$H$4="All",K1856='Dashboard'!$H$4),OR('Dashboard'!$K$4="All",C1856='Dashboard'!$K$4)),1,0)</x:f>
        <x:v>1</x:v>
      </x:c>
      <x:c r="AI1856" s="84" t="n">
        <x:f>IF(AND(AG1856=1,OR('Dashboard'!$B$4="All",I1856='Dashboard'!$B$4),OR('Dashboard'!$E$4="All",N1856='Dashboard'!$E$4),OR('Dashboard'!$H$4="All",K1856='Dashboard'!$H$4)),1,0)</x:f>
        <x:v>1</x:v>
      </x:c>
    </x:row>
    <x:row r="1857">
      <x:c r="A1857" s="84" t="str">
        <x:f>'Raw Sales'!A1857</x:f>
        <x:v>ORD-2025-02338</x:v>
      </x:c>
      <x:c r="B1857" s="85" t="n">
        <x:f>'Raw Sales'!B1857</x:f>
        <x:v>45892</x:v>
      </x:c>
      <x:c r="C1857" s="84" t="n">
        <x:f>YEAR(B1857)</x:f>
        <x:v>2025</x:v>
      </x:c>
      <x:c r="D1857" s="91" t="n">
        <x:f>DATE(YEAR(B1857),MONTH(B1857),1)</x:f>
        <x:v>45870</x:v>
      </x:c>
      <x:c r="E1857" s="84" t="str">
        <x:f>TEXT(B1857,"mmm")</x:f>
        <x:v>Aug</x:v>
      </x:c>
      <x:c r="F1857" s="84" t="str">
        <x:f>'Raw Sales'!C1857</x:f>
        <x:v>CUST-0013</x:v>
      </x:c>
      <x:c r="G1857" s="84" t="str">
        <x:f>PROPER(TRIM('Raw Sales'!D1857))</x:f>
        <x:v>Marcus Moore</x:v>
      </x:c>
      <x:c r="H1857" s="84" t="str">
        <x:f>IF(TRIM('Raw Sales'!E1857)="","Unknown",PROPER(TRIM('Raw Sales'!E1857)))</x:f>
        <x:v>Consumer</x:v>
      </x:c>
      <x:c r="I1857" s="84" t="str">
        <x:f>PROPER(TRIM('Raw Sales'!F1857))</x:f>
        <x:v>Midwest</x:v>
      </x:c>
      <x:c r="J1857" s="84" t="str">
        <x:f>PROPER(TRIM('Raw Sales'!G1857))</x:f>
        <x:v>Columbus</x:v>
      </x:c>
      <x:c r="K1857" s="84" t="str">
        <x:f>PROPER(TRIM('Raw Sales'!H1857))</x:f>
        <x:v>Retail Store</x:v>
      </x:c>
      <x:c r="L1857" s="84" t="str">
        <x:f>'Raw Sales'!I1857</x:f>
        <x:v>ELEC-005</x:v>
      </x:c>
      <x:c r="M1857" s="84" t="str">
        <x:f>IFERROR(VLOOKUP(L1857,'Reference Data'!$A$5:$F$40,2,FALSE),"Unknown Product")</x:f>
        <x:v>HD Webcam</x:v>
      </x:c>
      <x:c r="N1857" s="84" t="str">
        <x:f>IFERROR(VLOOKUP(L1857,'Reference Data'!$A$5:$F$40,3,FALSE),"Unknown")</x:f>
        <x:v>Electronics</x:v>
      </x:c>
      <x:c r="O1857" s="84" t="str">
        <x:f>IFERROR(VLOOKUP(L1857,'Reference Data'!$A$5:$F$40,4,FALSE),"Unknown")</x:f>
        <x:v>Computer Accessories</x:v>
      </x:c>
      <x:c r="P1857" s="92" t="n">
        <x:f>IFERROR(VLOOKUP(L1857,'Reference Data'!$A$5:$F$40,5,FALSE),0)</x:f>
        <x:v>79</x:v>
      </x:c>
      <x:c r="Q1857" s="92" t="n">
        <x:f>IFERROR(VLOOKUP(L1857,'Reference Data'!$A$5:$F$40,6,FALSE),0)</x:f>
        <x:v>37</x:v>
      </x:c>
      <x:c r="R1857" s="84" t="n">
        <x:f>'Raw Sales'!J1857</x:f>
        <x:v>1</x:v>
      </x:c>
      <x:c r="S1857" s="87" t="n">
        <x:f>'Raw Sales'!K1857</x:f>
        <x:v>0.15</x:v>
      </x:c>
      <x:c r="T1857" s="93" t="n">
        <x:f>P1857*R1857</x:f>
        <x:v>79</x:v>
      </x:c>
      <x:c r="U1857" s="93" t="n">
        <x:f>T1857*S1857</x:f>
        <x:v>11.85</x:v>
      </x:c>
      <x:c r="V1857" s="93" t="str">
        <x:f>PROPER(TRIM('Raw Sales'!L1857))</x:f>
        <x:v>Completed</x:v>
      </x:c>
      <x:c r="W1857" s="93" t="n">
        <x:f>IF(V1857="Returned",0,T1857-U1857)</x:f>
        <x:v>67.15</x:v>
      </x:c>
      <x:c r="X1857" s="93" t="n">
        <x:f>IF(V1857="Returned",Q1857*R1857*10%,Q1857*R1857)</x:f>
        <x:v>37</x:v>
      </x:c>
      <x:c r="Y1857" s="93" t="n">
        <x:f>W1857-X1857</x:f>
        <x:v>30.150000000000006</x:v>
      </x:c>
      <x:c r="Z1857" s="94" t="n">
        <x:f>IFERROR(Y1857/W1857,0)</x:f>
        <x:v>0.4489947877885332</x:v>
      </x:c>
      <x:c r="AA1857" s="84" t="str">
        <x:f>PROPER(TRIM('Raw Sales'!M1857))</x:f>
        <x:v>Debit Card</x:v>
      </x:c>
      <x:c r="AB1857" s="84" t="str">
        <x:f>PROPER(TRIM('Raw Sales'!N1857))</x:f>
        <x:v>Zoe Turner</x:v>
      </x:c>
      <x:c r="AC1857" s="85" t="n">
        <x:f>'Raw Sales'!O1857</x:f>
        <x:v>45892</x:v>
      </x:c>
      <x:c r="AD1857" s="84" t="n">
        <x:f>AC1857-B1857</x:f>
        <x:v>0</x:v>
      </x:c>
      <x:c r="AE1857" s="84" t="str">
        <x:f>IF(COUNTIF($A$5:A1857,A1857)&gt;1,"Duplicate","Keep")</x:f>
        <x:v>Keep</x:v>
      </x:c>
      <x:c r="AF1857" s="84" t="str">
        <x:f>IF(OR(R1857&lt;=0,AC1857&lt;B1857,H1857="Unknown",M1857="Unknown Product"),"Review","Valid")</x:f>
        <x:v>Valid</x:v>
      </x:c>
      <x:c r="AG1857" s="84" t="n">
        <x:f>IF(AND(AE1857="Keep",AF1857="Valid"),1,0)</x:f>
        <x:v>1</x:v>
      </x:c>
      <x:c r="AH1857" s="84" t="n">
        <x:f>IF(AND(AG1857=1,OR('Dashboard'!$B$4="All",I1857='Dashboard'!$B$4),OR('Dashboard'!$E$4="All",N1857='Dashboard'!$E$4),OR('Dashboard'!$H$4="All",K1857='Dashboard'!$H$4),OR('Dashboard'!$K$4="All",C1857='Dashboard'!$K$4)),1,0)</x:f>
        <x:v>1</x:v>
      </x:c>
      <x:c r="AI1857" s="84" t="n">
        <x:f>IF(AND(AG1857=1,OR('Dashboard'!$B$4="All",I1857='Dashboard'!$B$4),OR('Dashboard'!$E$4="All",N1857='Dashboard'!$E$4),OR('Dashboard'!$H$4="All",K1857='Dashboard'!$H$4)),1,0)</x:f>
        <x:v>1</x:v>
      </x:c>
    </x:row>
    <x:row r="1858">
      <x:c r="A1858" s="84" t="str">
        <x:f>'Raw Sales'!A1858</x:f>
        <x:v>ORD-2025-00673</x:v>
      </x:c>
      <x:c r="B1858" s="85" t="n">
        <x:f>'Raw Sales'!B1858</x:f>
        <x:v>45893</x:v>
      </x:c>
      <x:c r="C1858" s="84" t="n">
        <x:f>YEAR(B1858)</x:f>
        <x:v>2025</x:v>
      </x:c>
      <x:c r="D1858" s="91" t="n">
        <x:f>DATE(YEAR(B1858),MONTH(B1858),1)</x:f>
        <x:v>45870</x:v>
      </x:c>
      <x:c r="E1858" s="84" t="str">
        <x:f>TEXT(B1858,"mmm")</x:f>
        <x:v>Aug</x:v>
      </x:c>
      <x:c r="F1858" s="84" t="str">
        <x:f>'Raw Sales'!C1858</x:f>
        <x:v>CUST-0634</x:v>
      </x:c>
      <x:c r="G1858" s="84" t="str">
        <x:f>PROPER(TRIM('Raw Sales'!D1858))</x:f>
        <x:v>Daniel Nelson</x:v>
      </x:c>
      <x:c r="H1858" s="84" t="str">
        <x:f>IF(TRIM('Raw Sales'!E1858)="","Unknown",PROPER(TRIM('Raw Sales'!E1858)))</x:f>
        <x:v>Consumer</x:v>
      </x:c>
      <x:c r="I1858" s="84" t="str">
        <x:f>PROPER(TRIM('Raw Sales'!F1858))</x:f>
        <x:v>Southeast</x:v>
      </x:c>
      <x:c r="J1858" s="84" t="str">
        <x:f>PROPER(TRIM('Raw Sales'!G1858))</x:f>
        <x:v>Atlanta</x:v>
      </x:c>
      <x:c r="K1858" s="84" t="str">
        <x:f>PROPER(TRIM('Raw Sales'!H1858))</x:f>
        <x:v>Retail Store</x:v>
      </x:c>
      <x:c r="L1858" s="84" t="str">
        <x:f>'Raw Sales'!I1858</x:f>
        <x:v>OFFC-003</x:v>
      </x:c>
      <x:c r="M1858" s="84" t="str">
        <x:f>IFERROR(VLOOKUP(L1858,'Reference Data'!$A$5:$F$40,2,FALSE),"Unknown Product")</x:f>
        <x:v>LED Desk Lamp</x:v>
      </x:c>
      <x:c r="N1858" s="84" t="str">
        <x:f>IFERROR(VLOOKUP(L1858,'Reference Data'!$A$5:$F$40,3,FALSE),"Unknown")</x:f>
        <x:v>Office</x:v>
      </x:c>
      <x:c r="O1858" s="84" t="str">
        <x:f>IFERROR(VLOOKUP(L1858,'Reference Data'!$A$5:$F$40,4,FALSE),"Unknown")</x:f>
        <x:v>Desk Accessories</x:v>
      </x:c>
      <x:c r="P1858" s="92" t="n">
        <x:f>IFERROR(VLOOKUP(L1858,'Reference Data'!$A$5:$F$40,5,FALSE),0)</x:f>
        <x:v>45</x:v>
      </x:c>
      <x:c r="Q1858" s="92" t="n">
        <x:f>IFERROR(VLOOKUP(L1858,'Reference Data'!$A$5:$F$40,6,FALSE),0)</x:f>
        <x:v>20</x:v>
      </x:c>
      <x:c r="R1858" s="84" t="n">
        <x:f>'Raw Sales'!J1858</x:f>
        <x:v>2</x:v>
      </x:c>
      <x:c r="S1858" s="87" t="n">
        <x:f>'Raw Sales'!K1858</x:f>
        <x:v>0.05</x:v>
      </x:c>
      <x:c r="T1858" s="93" t="n">
        <x:f>P1858*R1858</x:f>
        <x:v>90</x:v>
      </x:c>
      <x:c r="U1858" s="93" t="n">
        <x:f>T1858*S1858</x:f>
        <x:v>4.5</x:v>
      </x:c>
      <x:c r="V1858" s="93" t="str">
        <x:f>PROPER(TRIM('Raw Sales'!L1858))</x:f>
        <x:v>Completed</x:v>
      </x:c>
      <x:c r="W1858" s="93" t="n">
        <x:f>IF(V1858="Returned",0,T1858-U1858)</x:f>
        <x:v>85.5</x:v>
      </x:c>
      <x:c r="X1858" s="93" t="n">
        <x:f>IF(V1858="Returned",Q1858*R1858*10%,Q1858*R1858)</x:f>
        <x:v>40</x:v>
      </x:c>
      <x:c r="Y1858" s="93" t="n">
        <x:f>W1858-X1858</x:f>
        <x:v>45.5</x:v>
      </x:c>
      <x:c r="Z1858" s="94" t="n">
        <x:f>IFERROR(Y1858/W1858,0)</x:f>
        <x:v>0.5321637426900585</x:v>
      </x:c>
      <x:c r="AA1858" s="84" t="str">
        <x:f>PROPER(TRIM('Raw Sales'!M1858))</x:f>
        <x:v>Credit Card</x:v>
      </x:c>
      <x:c r="AB1858" s="84" t="str">
        <x:f>PROPER(TRIM('Raw Sales'!N1858))</x:f>
        <x:v>Noah Reed</x:v>
      </x:c>
      <x:c r="AC1858" s="85" t="n">
        <x:f>'Raw Sales'!O1858</x:f>
        <x:v>45893</x:v>
      </x:c>
      <x:c r="AD1858" s="84" t="n">
        <x:f>AC1858-B1858</x:f>
        <x:v>0</x:v>
      </x:c>
      <x:c r="AE1858" s="84" t="str">
        <x:f>IF(COUNTIF($A$5:A1858,A1858)&gt;1,"Duplicate","Keep")</x:f>
        <x:v>Keep</x:v>
      </x:c>
      <x:c r="AF1858" s="84" t="str">
        <x:f>IF(OR(R1858&lt;=0,AC1858&lt;B1858,H1858="Unknown",M1858="Unknown Product"),"Review","Valid")</x:f>
        <x:v>Valid</x:v>
      </x:c>
      <x:c r="AG1858" s="84" t="n">
        <x:f>IF(AND(AE1858="Keep",AF1858="Valid"),1,0)</x:f>
        <x:v>1</x:v>
      </x:c>
      <x:c r="AH1858" s="84" t="n">
        <x:f>IF(AND(AG1858=1,OR('Dashboard'!$B$4="All",I1858='Dashboard'!$B$4),OR('Dashboard'!$E$4="All",N1858='Dashboard'!$E$4),OR('Dashboard'!$H$4="All",K1858='Dashboard'!$H$4),OR('Dashboard'!$K$4="All",C1858='Dashboard'!$K$4)),1,0)</x:f>
        <x:v>1</x:v>
      </x:c>
      <x:c r="AI1858" s="84" t="n">
        <x:f>IF(AND(AG1858=1,OR('Dashboard'!$B$4="All",I1858='Dashboard'!$B$4),OR('Dashboard'!$E$4="All",N1858='Dashboard'!$E$4),OR('Dashboard'!$H$4="All",K1858='Dashboard'!$H$4)),1,0)</x:f>
        <x:v>1</x:v>
      </x:c>
    </x:row>
    <x:row r="1859">
      <x:c r="A1859" s="84" t="str">
        <x:f>'Raw Sales'!A1859</x:f>
        <x:v>ORD-2025-01006</x:v>
      </x:c>
      <x:c r="B1859" s="85" t="n">
        <x:f>'Raw Sales'!B1859</x:f>
        <x:v>45893</x:v>
      </x:c>
      <x:c r="C1859" s="84" t="n">
        <x:f>YEAR(B1859)</x:f>
        <x:v>2025</x:v>
      </x:c>
      <x:c r="D1859" s="91" t="n">
        <x:f>DATE(YEAR(B1859),MONTH(B1859),1)</x:f>
        <x:v>45870</x:v>
      </x:c>
      <x:c r="E1859" s="84" t="str">
        <x:f>TEXT(B1859,"mmm")</x:f>
        <x:v>Aug</x:v>
      </x:c>
      <x:c r="F1859" s="84" t="str">
        <x:f>'Raw Sales'!C1859</x:f>
        <x:v>CUST-0371</x:v>
      </x:c>
      <x:c r="G1859" s="84" t="str">
        <x:f>PROPER(TRIM('Raw Sales'!D1859))</x:f>
        <x:v>Sara Moore</x:v>
      </x:c>
      <x:c r="H1859" s="84" t="str">
        <x:f>IF(TRIM('Raw Sales'!E1859)="","Unknown",PROPER(TRIM('Raw Sales'!E1859)))</x:f>
        <x:v>Small Business</x:v>
      </x:c>
      <x:c r="I1859" s="84" t="str">
        <x:f>PROPER(TRIM('Raw Sales'!F1859))</x:f>
        <x:v>West</x:v>
      </x:c>
      <x:c r="J1859" s="84" t="str">
        <x:f>PROPER(TRIM('Raw Sales'!G1859))</x:f>
        <x:v>Seattle</x:v>
      </x:c>
      <x:c r="K1859" s="84" t="str">
        <x:f>PROPER(TRIM('Raw Sales'!H1859))</x:f>
        <x:v>Retail Store</x:v>
      </x:c>
      <x:c r="L1859" s="84" t="str">
        <x:f>'Raw Sales'!I1859</x:f>
        <x:v>ELEC-006</x:v>
      </x:c>
      <x:c r="M1859" s="84" t="str">
        <x:f>IFERROR(VLOOKUP(L1859,'Reference Data'!$A$5:$F$40,2,FALSE),"Unknown Product")</x:f>
        <x:v>Portable SSD</x:v>
      </x:c>
      <x:c r="N1859" s="84" t="str">
        <x:f>IFERROR(VLOOKUP(L1859,'Reference Data'!$A$5:$F$40,3,FALSE),"Unknown")</x:f>
        <x:v>Electronics</x:v>
      </x:c>
      <x:c r="O1859" s="84" t="str">
        <x:f>IFERROR(VLOOKUP(L1859,'Reference Data'!$A$5:$F$40,4,FALSE),"Unknown")</x:f>
        <x:v>Storage</x:v>
      </x:c>
      <x:c r="P1859" s="92" t="n">
        <x:f>IFERROR(VLOOKUP(L1859,'Reference Data'!$A$5:$F$40,5,FALSE),0)</x:f>
        <x:v>129</x:v>
      </x:c>
      <x:c r="Q1859" s="92" t="n">
        <x:f>IFERROR(VLOOKUP(L1859,'Reference Data'!$A$5:$F$40,6,FALSE),0)</x:f>
        <x:v>75</x:v>
      </x:c>
      <x:c r="R1859" s="84" t="n">
        <x:f>'Raw Sales'!J1859</x:f>
        <x:v>3</x:v>
      </x:c>
      <x:c r="S1859" s="87" t="n">
        <x:f>'Raw Sales'!K1859</x:f>
        <x:v>0.05</x:v>
      </x:c>
      <x:c r="T1859" s="93" t="n">
        <x:f>P1859*R1859</x:f>
        <x:v>387</x:v>
      </x:c>
      <x:c r="U1859" s="93" t="n">
        <x:f>T1859*S1859</x:f>
        <x:v>19.35</x:v>
      </x:c>
      <x:c r="V1859" s="93" t="str">
        <x:f>PROPER(TRIM('Raw Sales'!L1859))</x:f>
        <x:v>Completed</x:v>
      </x:c>
      <x:c r="W1859" s="93" t="n">
        <x:f>IF(V1859="Returned",0,T1859-U1859)</x:f>
        <x:v>367.65</x:v>
      </x:c>
      <x:c r="X1859" s="93" t="n">
        <x:f>IF(V1859="Returned",Q1859*R1859*10%,Q1859*R1859)</x:f>
        <x:v>225</x:v>
      </x:c>
      <x:c r="Y1859" s="93" t="n">
        <x:f>W1859-X1859</x:f>
        <x:v>142.64999999999998</x:v>
      </x:c>
      <x:c r="Z1859" s="94" t="n">
        <x:f>IFERROR(Y1859/W1859,0)</x:f>
        <x:v>0.38800489596083226</x:v>
      </x:c>
      <x:c r="AA1859" s="84" t="str">
        <x:f>PROPER(TRIM('Raw Sales'!M1859))</x:f>
        <x:v>Credit Card</x:v>
      </x:c>
      <x:c r="AB1859" s="84" t="str">
        <x:f>PROPER(TRIM('Raw Sales'!N1859))</x:f>
        <x:v>Mia Chen</x:v>
      </x:c>
      <x:c r="AC1859" s="85" t="n">
        <x:f>'Raw Sales'!O1859</x:f>
        <x:v>45893</x:v>
      </x:c>
      <x:c r="AD1859" s="84" t="n">
        <x:f>AC1859-B1859</x:f>
        <x:v>0</x:v>
      </x:c>
      <x:c r="AE1859" s="84" t="str">
        <x:f>IF(COUNTIF($A$5:A1859,A1859)&gt;1,"Duplicate","Keep")</x:f>
        <x:v>Keep</x:v>
      </x:c>
      <x:c r="AF1859" s="84" t="str">
        <x:f>IF(OR(R1859&lt;=0,AC1859&lt;B1859,H1859="Unknown",M1859="Unknown Product"),"Review","Valid")</x:f>
        <x:v>Valid</x:v>
      </x:c>
      <x:c r="AG1859" s="84" t="n">
        <x:f>IF(AND(AE1859="Keep",AF1859="Valid"),1,0)</x:f>
        <x:v>1</x:v>
      </x:c>
      <x:c r="AH1859" s="84" t="n">
        <x:f>IF(AND(AG1859=1,OR('Dashboard'!$B$4="All",I1859='Dashboard'!$B$4),OR('Dashboard'!$E$4="All",N1859='Dashboard'!$E$4),OR('Dashboard'!$H$4="All",K1859='Dashboard'!$H$4),OR('Dashboard'!$K$4="All",C1859='Dashboard'!$K$4)),1,0)</x:f>
        <x:v>1</x:v>
      </x:c>
      <x:c r="AI1859" s="84" t="n">
        <x:f>IF(AND(AG1859=1,OR('Dashboard'!$B$4="All",I1859='Dashboard'!$B$4),OR('Dashboard'!$E$4="All",N1859='Dashboard'!$E$4),OR('Dashboard'!$H$4="All",K1859='Dashboard'!$H$4)),1,0)</x:f>
        <x:v>1</x:v>
      </x:c>
    </x:row>
    <x:row r="1860">
      <x:c r="A1860" s="84" t="str">
        <x:f>'Raw Sales'!A1860</x:f>
        <x:v>ORD-2025-01984</x:v>
      </x:c>
      <x:c r="B1860" s="85" t="n">
        <x:f>'Raw Sales'!B1860</x:f>
        <x:v>45893</x:v>
      </x:c>
      <x:c r="C1860" s="84" t="n">
        <x:f>YEAR(B1860)</x:f>
        <x:v>2025</x:v>
      </x:c>
      <x:c r="D1860" s="91" t="n">
        <x:f>DATE(YEAR(B1860),MONTH(B1860),1)</x:f>
        <x:v>45870</x:v>
      </x:c>
      <x:c r="E1860" s="84" t="str">
        <x:f>TEXT(B1860,"mmm")</x:f>
        <x:v>Aug</x:v>
      </x:c>
      <x:c r="F1860" s="84" t="str">
        <x:f>'Raw Sales'!C1860</x:f>
        <x:v>CUST-0105</x:v>
      </x:c>
      <x:c r="G1860" s="84" t="str">
        <x:f>PROPER(TRIM('Raw Sales'!D1860))</x:f>
        <x:v>Chloe Ortiz</x:v>
      </x:c>
      <x:c r="H1860" s="84" t="str">
        <x:f>IF(TRIM('Raw Sales'!E1860)="","Unknown",PROPER(TRIM('Raw Sales'!E1860)))</x:f>
        <x:v>Corporate</x:v>
      </x:c>
      <x:c r="I1860" s="84" t="str">
        <x:f>PROPER(TRIM('Raw Sales'!F1860))</x:f>
        <x:v>West</x:v>
      </x:c>
      <x:c r="J1860" s="84" t="str">
        <x:f>PROPER(TRIM('Raw Sales'!G1860))</x:f>
        <x:v>Phoenix</x:v>
      </x:c>
      <x:c r="K1860" s="84" t="str">
        <x:f>PROPER(TRIM('Raw Sales'!H1860))</x:f>
        <x:v>Online</x:v>
      </x:c>
      <x:c r="L1860" s="84" t="str">
        <x:f>'Raw Sales'!I1860</x:f>
        <x:v>CARE-001</x:v>
      </x:c>
      <x:c r="M1860" s="84" t="str">
        <x:f>IFERROR(VLOOKUP(L1860,'Reference Data'!$A$5:$F$40,2,FALSE),"Unknown Product")</x:f>
        <x:v>Ionic Hair Dryer</x:v>
      </x:c>
      <x:c r="N1860" s="84" t="str">
        <x:f>IFERROR(VLOOKUP(L1860,'Reference Data'!$A$5:$F$40,3,FALSE),"Unknown")</x:f>
        <x:v>Personal Care</x:v>
      </x:c>
      <x:c r="O1860" s="84" t="str">
        <x:f>IFERROR(VLOOKUP(L1860,'Reference Data'!$A$5:$F$40,4,FALSE),"Unknown")</x:f>
        <x:v>Hair Care</x:v>
      </x:c>
      <x:c r="P1860" s="92" t="n">
        <x:f>IFERROR(VLOOKUP(L1860,'Reference Data'!$A$5:$F$40,5,FALSE),0)</x:f>
        <x:v>54</x:v>
      </x:c>
      <x:c r="Q1860" s="92" t="n">
        <x:f>IFERROR(VLOOKUP(L1860,'Reference Data'!$A$5:$F$40,6,FALSE),0)</x:f>
        <x:v>25</x:v>
      </x:c>
      <x:c r="R1860" s="84" t="n">
        <x:f>'Raw Sales'!J1860</x:f>
        <x:v>3</x:v>
      </x:c>
      <x:c r="S1860" s="87" t="n">
        <x:f>'Raw Sales'!K1860</x:f>
        <x:v>0.1</x:v>
      </x:c>
      <x:c r="T1860" s="93" t="n">
        <x:f>P1860*R1860</x:f>
        <x:v>162</x:v>
      </x:c>
      <x:c r="U1860" s="93" t="n">
        <x:f>T1860*S1860</x:f>
        <x:v>16.2</x:v>
      </x:c>
      <x:c r="V1860" s="93" t="str">
        <x:f>PROPER(TRIM('Raw Sales'!L1860))</x:f>
        <x:v>Completed</x:v>
      </x:c>
      <x:c r="W1860" s="93" t="n">
        <x:f>IF(V1860="Returned",0,T1860-U1860)</x:f>
        <x:v>145.8</x:v>
      </x:c>
      <x:c r="X1860" s="93" t="n">
        <x:f>IF(V1860="Returned",Q1860*R1860*10%,Q1860*R1860)</x:f>
        <x:v>75</x:v>
      </x:c>
      <x:c r="Y1860" s="93" t="n">
        <x:f>W1860-X1860</x:f>
        <x:v>70.80000000000001</x:v>
      </x:c>
      <x:c r="Z1860" s="94" t="n">
        <x:f>IFERROR(Y1860/W1860,0)</x:f>
        <x:v>0.4855967078189301</x:v>
      </x:c>
      <x:c r="AA1860" s="84" t="str">
        <x:f>PROPER(TRIM('Raw Sales'!M1860))</x:f>
        <x:v>Credit Card</x:v>
      </x:c>
      <x:c r="AB1860" s="84" t="str">
        <x:f>PROPER(TRIM('Raw Sales'!N1860))</x:f>
        <x:v>Leo Martinez</x:v>
      </x:c>
      <x:c r="AC1860" s="85" t="n">
        <x:f>'Raw Sales'!O1860</x:f>
        <x:v>45896</x:v>
      </x:c>
      <x:c r="AD1860" s="84" t="n">
        <x:f>AC1860-B1860</x:f>
        <x:v>3</x:v>
      </x:c>
      <x:c r="AE1860" s="84" t="str">
        <x:f>IF(COUNTIF($A$5:A1860,A1860)&gt;1,"Duplicate","Keep")</x:f>
        <x:v>Keep</x:v>
      </x:c>
      <x:c r="AF1860" s="84" t="str">
        <x:f>IF(OR(R1860&lt;=0,AC1860&lt;B1860,H1860="Unknown",M1860="Unknown Product"),"Review","Valid")</x:f>
        <x:v>Valid</x:v>
      </x:c>
      <x:c r="AG1860" s="84" t="n">
        <x:f>IF(AND(AE1860="Keep",AF1860="Valid"),1,0)</x:f>
        <x:v>1</x:v>
      </x:c>
      <x:c r="AH1860" s="84" t="n">
        <x:f>IF(AND(AG1860=1,OR('Dashboard'!$B$4="All",I1860='Dashboard'!$B$4),OR('Dashboard'!$E$4="All",N1860='Dashboard'!$E$4),OR('Dashboard'!$H$4="All",K1860='Dashboard'!$H$4),OR('Dashboard'!$K$4="All",C1860='Dashboard'!$K$4)),1,0)</x:f>
        <x:v>1</x:v>
      </x:c>
      <x:c r="AI1860" s="84" t="n">
        <x:f>IF(AND(AG1860=1,OR('Dashboard'!$B$4="All",I1860='Dashboard'!$B$4),OR('Dashboard'!$E$4="All",N1860='Dashboard'!$E$4),OR('Dashboard'!$H$4="All",K1860='Dashboard'!$H$4)),1,0)</x:f>
        <x:v>1</x:v>
      </x:c>
    </x:row>
    <x:row r="1861">
      <x:c r="A1861" s="84" t="str">
        <x:f>'Raw Sales'!A1861</x:f>
        <x:v>ORD-2025-02052</x:v>
      </x:c>
      <x:c r="B1861" s="85" t="n">
        <x:f>'Raw Sales'!B1861</x:f>
        <x:v>45893</x:v>
      </x:c>
      <x:c r="C1861" s="84" t="n">
        <x:f>YEAR(B1861)</x:f>
        <x:v>2025</x:v>
      </x:c>
      <x:c r="D1861" s="91" t="n">
        <x:f>DATE(YEAR(B1861),MONTH(B1861),1)</x:f>
        <x:v>45870</x:v>
      </x:c>
      <x:c r="E1861" s="84" t="str">
        <x:f>TEXT(B1861,"mmm")</x:f>
        <x:v>Aug</x:v>
      </x:c>
      <x:c r="F1861" s="84" t="str">
        <x:f>'Raw Sales'!C1861</x:f>
        <x:v>CUST-0046</x:v>
      </x:c>
      <x:c r="G1861" s="84" t="str">
        <x:f>PROPER(TRIM('Raw Sales'!D1861))</x:f>
        <x:v>Nathan Moore</x:v>
      </x:c>
      <x:c r="H1861" s="84" t="str">
        <x:f>IF(TRIM('Raw Sales'!E1861)="","Unknown",PROPER(TRIM('Raw Sales'!E1861)))</x:f>
        <x:v>Consumer</x:v>
      </x:c>
      <x:c r="I1861" s="84" t="str">
        <x:f>PROPER(TRIM('Raw Sales'!F1861))</x:f>
        <x:v>Midwest</x:v>
      </x:c>
      <x:c r="J1861" s="84" t="str">
        <x:f>PROPER(TRIM('Raw Sales'!G1861))</x:f>
        <x:v>Columbus</x:v>
      </x:c>
      <x:c r="K1861" s="84" t="str">
        <x:f>PROPER(TRIM('Raw Sales'!H1861))</x:f>
        <x:v>Marketplace</x:v>
      </x:c>
      <x:c r="L1861" s="84" t="str">
        <x:f>'Raw Sales'!I1861</x:f>
        <x:v>HOME-004</x:v>
      </x:c>
      <x:c r="M1861" s="84" t="str">
        <x:f>IFERROR(VLOOKUP(L1861,'Reference Data'!$A$5:$F$40,2,FALSE),"Unknown Product")</x:f>
        <x:v>Coffee Maker</x:v>
      </x:c>
      <x:c r="N1861" s="84" t="str">
        <x:f>IFERROR(VLOOKUP(L1861,'Reference Data'!$A$5:$F$40,3,FALSE),"Unknown")</x:f>
        <x:v>Home &amp; Kitchen</x:v>
      </x:c>
      <x:c r="O1861" s="84" t="str">
        <x:f>IFERROR(VLOOKUP(L1861,'Reference Data'!$A$5:$F$40,4,FALSE),"Unknown")</x:f>
        <x:v>Small Appliances</x:v>
      </x:c>
      <x:c r="P1861" s="92" t="n">
        <x:f>IFERROR(VLOOKUP(L1861,'Reference Data'!$A$5:$F$40,5,FALSE),0)</x:f>
        <x:v>99</x:v>
      </x:c>
      <x:c r="Q1861" s="92" t="n">
        <x:f>IFERROR(VLOOKUP(L1861,'Reference Data'!$A$5:$F$40,6,FALSE),0)</x:f>
        <x:v>51</x:v>
      </x:c>
      <x:c r="R1861" s="84" t="n">
        <x:f>'Raw Sales'!J1861</x:f>
        <x:v>2</x:v>
      </x:c>
      <x:c r="S1861" s="87" t="n">
        <x:f>'Raw Sales'!K1861</x:f>
        <x:v>0.05</x:v>
      </x:c>
      <x:c r="T1861" s="93" t="n">
        <x:f>P1861*R1861</x:f>
        <x:v>198</x:v>
      </x:c>
      <x:c r="U1861" s="93" t="n">
        <x:f>T1861*S1861</x:f>
        <x:v>9.9</x:v>
      </x:c>
      <x:c r="V1861" s="93" t="str">
        <x:f>PROPER(TRIM('Raw Sales'!L1861))</x:f>
        <x:v>Completed</x:v>
      </x:c>
      <x:c r="W1861" s="93" t="n">
        <x:f>IF(V1861="Returned",0,T1861-U1861)</x:f>
        <x:v>188.1</x:v>
      </x:c>
      <x:c r="X1861" s="93" t="n">
        <x:f>IF(V1861="Returned",Q1861*R1861*10%,Q1861*R1861)</x:f>
        <x:v>102</x:v>
      </x:c>
      <x:c r="Y1861" s="93" t="n">
        <x:f>W1861-X1861</x:f>
        <x:v>86.1</x:v>
      </x:c>
      <x:c r="Z1861" s="94" t="n">
        <x:f>IFERROR(Y1861/W1861,0)</x:f>
        <x:v>0.4577352472089314</x:v>
      </x:c>
      <x:c r="AA1861" s="84" t="str">
        <x:f>PROPER(TRIM('Raw Sales'!M1861))</x:f>
        <x:v>Credit Card</x:v>
      </x:c>
      <x:c r="AB1861" s="84" t="str">
        <x:f>PROPER(TRIM('Raw Sales'!N1861))</x:f>
        <x:v>Emma Hayes</x:v>
      </x:c>
      <x:c r="AC1861" s="85" t="n">
        <x:f>'Raw Sales'!O1861</x:f>
        <x:v>45898</x:v>
      </x:c>
      <x:c r="AD1861" s="84" t="n">
        <x:f>AC1861-B1861</x:f>
        <x:v>5</x:v>
      </x:c>
      <x:c r="AE1861" s="84" t="str">
        <x:f>IF(COUNTIF($A$5:A1861,A1861)&gt;1,"Duplicate","Keep")</x:f>
        <x:v>Keep</x:v>
      </x:c>
      <x:c r="AF1861" s="84" t="str">
        <x:f>IF(OR(R1861&lt;=0,AC1861&lt;B1861,H1861="Unknown",M1861="Unknown Product"),"Review","Valid")</x:f>
        <x:v>Valid</x:v>
      </x:c>
      <x:c r="AG1861" s="84" t="n">
        <x:f>IF(AND(AE1861="Keep",AF1861="Valid"),1,0)</x:f>
        <x:v>1</x:v>
      </x:c>
      <x:c r="AH1861" s="84" t="n">
        <x:f>IF(AND(AG1861=1,OR('Dashboard'!$B$4="All",I1861='Dashboard'!$B$4),OR('Dashboard'!$E$4="All",N1861='Dashboard'!$E$4),OR('Dashboard'!$H$4="All",K1861='Dashboard'!$H$4),OR('Dashboard'!$K$4="All",C1861='Dashboard'!$K$4)),1,0)</x:f>
        <x:v>1</x:v>
      </x:c>
      <x:c r="AI1861" s="84" t="n">
        <x:f>IF(AND(AG1861=1,OR('Dashboard'!$B$4="All",I1861='Dashboard'!$B$4),OR('Dashboard'!$E$4="All",N1861='Dashboard'!$E$4),OR('Dashboard'!$H$4="All",K1861='Dashboard'!$H$4)),1,0)</x:f>
        <x:v>1</x:v>
      </x:c>
    </x:row>
    <x:row r="1862">
      <x:c r="A1862" s="84" t="str">
        <x:f>'Raw Sales'!A1862</x:f>
        <x:v>ORD-2025-01271</x:v>
      </x:c>
      <x:c r="B1862" s="85" t="n">
        <x:f>'Raw Sales'!B1862</x:f>
        <x:v>45894</x:v>
      </x:c>
      <x:c r="C1862" s="84" t="n">
        <x:f>YEAR(B1862)</x:f>
        <x:v>2025</x:v>
      </x:c>
      <x:c r="D1862" s="91" t="n">
        <x:f>DATE(YEAR(B1862),MONTH(B1862),1)</x:f>
        <x:v>45870</x:v>
      </x:c>
      <x:c r="E1862" s="84" t="str">
        <x:f>TEXT(B1862,"mmm")</x:f>
        <x:v>Aug</x:v>
      </x:c>
      <x:c r="F1862" s="84" t="str">
        <x:f>'Raw Sales'!C1862</x:f>
        <x:v>CUST-0357</x:v>
      </x:c>
      <x:c r="G1862" s="84" t="str">
        <x:f>PROPER(TRIM('Raw Sales'!D1862))</x:f>
        <x:v>Priya Baker</x:v>
      </x:c>
      <x:c r="H1862" s="84" t="str">
        <x:f>IF(TRIM('Raw Sales'!E1862)="","Unknown",PROPER(TRIM('Raw Sales'!E1862)))</x:f>
        <x:v>Consumer</x:v>
      </x:c>
      <x:c r="I1862" s="84" t="str">
        <x:f>PROPER(TRIM('Raw Sales'!F1862))</x:f>
        <x:v>Southeast</x:v>
      </x:c>
      <x:c r="J1862" s="84" t="str">
        <x:f>PROPER(TRIM('Raw Sales'!G1862))</x:f>
        <x:v>Atlanta</x:v>
      </x:c>
      <x:c r="K1862" s="84" t="str">
        <x:f>PROPER(TRIM('Raw Sales'!H1862))</x:f>
        <x:v>Retail Store</x:v>
      </x:c>
      <x:c r="L1862" s="84" t="str">
        <x:f>'Raw Sales'!I1862</x:f>
        <x:v>OFFC-001</x:v>
      </x:c>
      <x:c r="M1862" s="84" t="str">
        <x:f>IFERROR(VLOOKUP(L1862,'Reference Data'!$A$5:$F$40,2,FALSE),"Unknown Product")</x:f>
        <x:v>Ergonomic Chair</x:v>
      </x:c>
      <x:c r="N1862" s="84" t="str">
        <x:f>IFERROR(VLOOKUP(L1862,'Reference Data'!$A$5:$F$40,3,FALSE),"Unknown")</x:f>
        <x:v>Office</x:v>
      </x:c>
      <x:c r="O1862" s="84" t="str">
        <x:f>IFERROR(VLOOKUP(L1862,'Reference Data'!$A$5:$F$40,4,FALSE),"Unknown")</x:f>
        <x:v>Furniture</x:v>
      </x:c>
      <x:c r="P1862" s="92" t="n">
        <x:f>IFERROR(VLOOKUP(L1862,'Reference Data'!$A$5:$F$40,5,FALSE),0)</x:f>
        <x:v>249</x:v>
      </x:c>
      <x:c r="Q1862" s="92" t="n">
        <x:f>IFERROR(VLOOKUP(L1862,'Reference Data'!$A$5:$F$40,6,FALSE),0)</x:f>
        <x:v>145</x:v>
      </x:c>
      <x:c r="R1862" s="84" t="n">
        <x:f>'Raw Sales'!J1862</x:f>
        <x:v>1</x:v>
      </x:c>
      <x:c r="S1862" s="87" t="n">
        <x:f>'Raw Sales'!K1862</x:f>
        <x:v>0.2</x:v>
      </x:c>
      <x:c r="T1862" s="93" t="n">
        <x:f>P1862*R1862</x:f>
        <x:v>249</x:v>
      </x:c>
      <x:c r="U1862" s="93" t="n">
        <x:f>T1862*S1862</x:f>
        <x:v>49.800000000000004</x:v>
      </x:c>
      <x:c r="V1862" s="93" t="str">
        <x:f>PROPER(TRIM('Raw Sales'!L1862))</x:f>
        <x:v>Completed</x:v>
      </x:c>
      <x:c r="W1862" s="93" t="n">
        <x:f>IF(V1862="Returned",0,T1862-U1862)</x:f>
        <x:v>199.2</x:v>
      </x:c>
      <x:c r="X1862" s="93" t="n">
        <x:f>IF(V1862="Returned",Q1862*R1862*10%,Q1862*R1862)</x:f>
        <x:v>145</x:v>
      </x:c>
      <x:c r="Y1862" s="93" t="n">
        <x:f>W1862-X1862</x:f>
        <x:v>54.19999999999999</x:v>
      </x:c>
      <x:c r="Z1862" s="94" t="n">
        <x:f>IFERROR(Y1862/W1862,0)</x:f>
        <x:v>0.27208835341365456</x:v>
      </x:c>
      <x:c r="AA1862" s="84" t="str">
        <x:f>PROPER(TRIM('Raw Sales'!M1862))</x:f>
        <x:v>Cash</x:v>
      </x:c>
      <x:c r="AB1862" s="84" t="str">
        <x:f>PROPER(TRIM('Raw Sales'!N1862))</x:f>
        <x:v>Noah Reed</x:v>
      </x:c>
      <x:c r="AC1862" s="85" t="n">
        <x:f>'Raw Sales'!O1862</x:f>
        <x:v>45895</x:v>
      </x:c>
      <x:c r="AD1862" s="84" t="n">
        <x:f>AC1862-B1862</x:f>
        <x:v>1</x:v>
      </x:c>
      <x:c r="AE1862" s="84" t="str">
        <x:f>IF(COUNTIF($A$5:A1862,A1862)&gt;1,"Duplicate","Keep")</x:f>
        <x:v>Keep</x:v>
      </x:c>
      <x:c r="AF1862" s="84" t="str">
        <x:f>IF(OR(R1862&lt;=0,AC1862&lt;B1862,H1862="Unknown",M1862="Unknown Product"),"Review","Valid")</x:f>
        <x:v>Valid</x:v>
      </x:c>
      <x:c r="AG1862" s="84" t="n">
        <x:f>IF(AND(AE1862="Keep",AF1862="Valid"),1,0)</x:f>
        <x:v>1</x:v>
      </x:c>
      <x:c r="AH1862" s="84" t="n">
        <x:f>IF(AND(AG1862=1,OR('Dashboard'!$B$4="All",I1862='Dashboard'!$B$4),OR('Dashboard'!$E$4="All",N1862='Dashboard'!$E$4),OR('Dashboard'!$H$4="All",K1862='Dashboard'!$H$4),OR('Dashboard'!$K$4="All",C1862='Dashboard'!$K$4)),1,0)</x:f>
        <x:v>1</x:v>
      </x:c>
      <x:c r="AI1862" s="84" t="n">
        <x:f>IF(AND(AG1862=1,OR('Dashboard'!$B$4="All",I1862='Dashboard'!$B$4),OR('Dashboard'!$E$4="All",N1862='Dashboard'!$E$4),OR('Dashboard'!$H$4="All",K1862='Dashboard'!$H$4)),1,0)</x:f>
        <x:v>1</x:v>
      </x:c>
    </x:row>
    <x:row r="1863">
      <x:c r="A1863" s="84" t="str">
        <x:f>'Raw Sales'!A1863</x:f>
        <x:v>ORD-2025-00351</x:v>
      </x:c>
      <x:c r="B1863" s="85" t="n">
        <x:f>'Raw Sales'!B1863</x:f>
        <x:v>45895</x:v>
      </x:c>
      <x:c r="C1863" s="84" t="n">
        <x:f>YEAR(B1863)</x:f>
        <x:v>2025</x:v>
      </x:c>
      <x:c r="D1863" s="91" t="n">
        <x:f>DATE(YEAR(B1863),MONTH(B1863),1)</x:f>
        <x:v>45870</x:v>
      </x:c>
      <x:c r="E1863" s="84" t="str">
        <x:f>TEXT(B1863,"mmm")</x:f>
        <x:v>Aug</x:v>
      </x:c>
      <x:c r="F1863" s="84" t="str">
        <x:f>'Raw Sales'!C1863</x:f>
        <x:v>CUST-0470</x:v>
      </x:c>
      <x:c r="G1863" s="84" t="str">
        <x:f>PROPER(TRIM('Raw Sales'!D1863))</x:f>
        <x:v>Jasmine Lewis</x:v>
      </x:c>
      <x:c r="H1863" s="84" t="str">
        <x:f>IF(TRIM('Raw Sales'!E1863)="","Unknown",PROPER(TRIM('Raw Sales'!E1863)))</x:f>
        <x:v>Corporate</x:v>
      </x:c>
      <x:c r="I1863" s="84" t="str">
        <x:f>PROPER(TRIM('Raw Sales'!F1863))</x:f>
        <x:v>Southeast</x:v>
      </x:c>
      <x:c r="J1863" s="84" t="str">
        <x:f>PROPER(TRIM('Raw Sales'!G1863))</x:f>
        <x:v>Miami</x:v>
      </x:c>
      <x:c r="K1863" s="84" t="str">
        <x:f>PROPER(TRIM('Raw Sales'!H1863))</x:f>
        <x:v>Marketplace</x:v>
      </x:c>
      <x:c r="L1863" s="84" t="str">
        <x:f>'Raw Sales'!I1863</x:f>
        <x:v>ELEC-004</x:v>
      </x:c>
      <x:c r="M1863" s="84" t="str">
        <x:f>IFERROR(VLOOKUP(L1863,'Reference Data'!$A$5:$F$40,2,FALSE),"Unknown Product")</x:f>
        <x:v>Power Bank</x:v>
      </x:c>
      <x:c r="N1863" s="84" t="str">
        <x:f>IFERROR(VLOOKUP(L1863,'Reference Data'!$A$5:$F$40,3,FALSE),"Unknown")</x:f>
        <x:v>Electronics</x:v>
      </x:c>
      <x:c r="O1863" s="84" t="str">
        <x:f>IFERROR(VLOOKUP(L1863,'Reference Data'!$A$5:$F$40,4,FALSE),"Unknown")</x:f>
        <x:v>Mobile Accessories</x:v>
      </x:c>
      <x:c r="P1863" s="92" t="n">
        <x:f>IFERROR(VLOOKUP(L1863,'Reference Data'!$A$5:$F$40,5,FALSE),0)</x:f>
        <x:v>39</x:v>
      </x:c>
      <x:c r="Q1863" s="92" t="n">
        <x:f>IFERROR(VLOOKUP(L1863,'Reference Data'!$A$5:$F$40,6,FALSE),0)</x:f>
        <x:v>18</x:v>
      </x:c>
      <x:c r="R1863" s="84" t="n">
        <x:f>'Raw Sales'!J1863</x:f>
        <x:v>5</x:v>
      </x:c>
      <x:c r="S1863" s="87" t="n">
        <x:f>'Raw Sales'!K1863</x:f>
        <x:v>0.15</x:v>
      </x:c>
      <x:c r="T1863" s="93" t="n">
        <x:f>P1863*R1863</x:f>
        <x:v>195</x:v>
      </x:c>
      <x:c r="U1863" s="93" t="n">
        <x:f>T1863*S1863</x:f>
        <x:v>29.25</x:v>
      </x:c>
      <x:c r="V1863" s="93" t="str">
        <x:f>PROPER(TRIM('Raw Sales'!L1863))</x:f>
        <x:v>Completed</x:v>
      </x:c>
      <x:c r="W1863" s="93" t="n">
        <x:f>IF(V1863="Returned",0,T1863-U1863)</x:f>
        <x:v>165.75</x:v>
      </x:c>
      <x:c r="X1863" s="93" t="n">
        <x:f>IF(V1863="Returned",Q1863*R1863*10%,Q1863*R1863)</x:f>
        <x:v>90</x:v>
      </x:c>
      <x:c r="Y1863" s="93" t="n">
        <x:f>W1863-X1863</x:f>
        <x:v>75.75</x:v>
      </x:c>
      <x:c r="Z1863" s="94" t="n">
        <x:f>IFERROR(Y1863/W1863,0)</x:f>
        <x:v>0.45701357466063347</x:v>
      </x:c>
      <x:c r="AA1863" s="84" t="str">
        <x:f>PROPER(TRIM('Raw Sales'!M1863))</x:f>
        <x:v>Credit Card</x:v>
      </x:c>
      <x:c r="AB1863" s="84" t="str">
        <x:f>PROPER(TRIM('Raw Sales'!N1863))</x:f>
        <x:v>Liam Parker</x:v>
      </x:c>
      <x:c r="AC1863" s="85" t="n">
        <x:f>'Raw Sales'!O1863</x:f>
        <x:v>45900</x:v>
      </x:c>
      <x:c r="AD1863" s="84" t="n">
        <x:f>AC1863-B1863</x:f>
        <x:v>5</x:v>
      </x:c>
      <x:c r="AE1863" s="84" t="str">
        <x:f>IF(COUNTIF($A$5:A1863,A1863)&gt;1,"Duplicate","Keep")</x:f>
        <x:v>Keep</x:v>
      </x:c>
      <x:c r="AF1863" s="84" t="str">
        <x:f>IF(OR(R1863&lt;=0,AC1863&lt;B1863,H1863="Unknown",M1863="Unknown Product"),"Review","Valid")</x:f>
        <x:v>Valid</x:v>
      </x:c>
      <x:c r="AG1863" s="84" t="n">
        <x:f>IF(AND(AE1863="Keep",AF1863="Valid"),1,0)</x:f>
        <x:v>1</x:v>
      </x:c>
      <x:c r="AH1863" s="84" t="n">
        <x:f>IF(AND(AG1863=1,OR('Dashboard'!$B$4="All",I1863='Dashboard'!$B$4),OR('Dashboard'!$E$4="All",N1863='Dashboard'!$E$4),OR('Dashboard'!$H$4="All",K1863='Dashboard'!$H$4),OR('Dashboard'!$K$4="All",C1863='Dashboard'!$K$4)),1,0)</x:f>
        <x:v>1</x:v>
      </x:c>
      <x:c r="AI1863" s="84" t="n">
        <x:f>IF(AND(AG1863=1,OR('Dashboard'!$B$4="All",I1863='Dashboard'!$B$4),OR('Dashboard'!$E$4="All",N1863='Dashboard'!$E$4),OR('Dashboard'!$H$4="All",K1863='Dashboard'!$H$4)),1,0)</x:f>
        <x:v>1</x:v>
      </x:c>
    </x:row>
    <x:row r="1864">
      <x:c r="A1864" s="84" t="str">
        <x:f>'Raw Sales'!A1864</x:f>
        <x:v>ORD-2025-00947</x:v>
      </x:c>
      <x:c r="B1864" s="85" t="n">
        <x:f>'Raw Sales'!B1864</x:f>
        <x:v>45895</x:v>
      </x:c>
      <x:c r="C1864" s="84" t="n">
        <x:f>YEAR(B1864)</x:f>
        <x:v>2025</x:v>
      </x:c>
      <x:c r="D1864" s="91" t="n">
        <x:f>DATE(YEAR(B1864),MONTH(B1864),1)</x:f>
        <x:v>45870</x:v>
      </x:c>
      <x:c r="E1864" s="84" t="str">
        <x:f>TEXT(B1864,"mmm")</x:f>
        <x:v>Aug</x:v>
      </x:c>
      <x:c r="F1864" s="84" t="str">
        <x:f>'Raw Sales'!C1864</x:f>
        <x:v>CUST-0397</x:v>
      </x:c>
      <x:c r="G1864" s="84" t="str">
        <x:f>PROPER(TRIM('Raw Sales'!D1864))</x:f>
        <x:v>Amelia Baker</x:v>
      </x:c>
      <x:c r="H1864" s="84" t="str">
        <x:f>IF(TRIM('Raw Sales'!E1864)="","Unknown",PROPER(TRIM('Raw Sales'!E1864)))</x:f>
        <x:v>Corporate</x:v>
      </x:c>
      <x:c r="I1864" s="84" t="str">
        <x:f>PROPER(TRIM('Raw Sales'!F1864))</x:f>
        <x:v>Northeast</x:v>
      </x:c>
      <x:c r="J1864" s="84" t="str">
        <x:f>PROPER(TRIM('Raw Sales'!G1864))</x:f>
        <x:v>Newark</x:v>
      </x:c>
      <x:c r="K1864" s="84" t="str">
        <x:f>PROPER(TRIM('Raw Sales'!H1864))</x:f>
        <x:v>Retail Store</x:v>
      </x:c>
      <x:c r="L1864" s="84" t="str">
        <x:f>'Raw Sales'!I1864</x:f>
        <x:v>OFFC-003</x:v>
      </x:c>
      <x:c r="M1864" s="84" t="str">
        <x:f>IFERROR(VLOOKUP(L1864,'Reference Data'!$A$5:$F$40,2,FALSE),"Unknown Product")</x:f>
        <x:v>LED Desk Lamp</x:v>
      </x:c>
      <x:c r="N1864" s="84" t="str">
        <x:f>IFERROR(VLOOKUP(L1864,'Reference Data'!$A$5:$F$40,3,FALSE),"Unknown")</x:f>
        <x:v>Office</x:v>
      </x:c>
      <x:c r="O1864" s="84" t="str">
        <x:f>IFERROR(VLOOKUP(L1864,'Reference Data'!$A$5:$F$40,4,FALSE),"Unknown")</x:f>
        <x:v>Desk Accessories</x:v>
      </x:c>
      <x:c r="P1864" s="92" t="n">
        <x:f>IFERROR(VLOOKUP(L1864,'Reference Data'!$A$5:$F$40,5,FALSE),0)</x:f>
        <x:v>45</x:v>
      </x:c>
      <x:c r="Q1864" s="92" t="n">
        <x:f>IFERROR(VLOOKUP(L1864,'Reference Data'!$A$5:$F$40,6,FALSE),0)</x:f>
        <x:v>20</x:v>
      </x:c>
      <x:c r="R1864" s="84" t="n">
        <x:f>'Raw Sales'!J1864</x:f>
        <x:v>4</x:v>
      </x:c>
      <x:c r="S1864" s="87" t="n">
        <x:f>'Raw Sales'!K1864</x:f>
        <x:v>0.05</x:v>
      </x:c>
      <x:c r="T1864" s="93" t="n">
        <x:f>P1864*R1864</x:f>
        <x:v>180</x:v>
      </x:c>
      <x:c r="U1864" s="93" t="n">
        <x:f>T1864*S1864</x:f>
        <x:v>9</x:v>
      </x:c>
      <x:c r="V1864" s="93" t="str">
        <x:f>PROPER(TRIM('Raw Sales'!L1864))</x:f>
        <x:v>Completed</x:v>
      </x:c>
      <x:c r="W1864" s="93" t="n">
        <x:f>IF(V1864="Returned",0,T1864-U1864)</x:f>
        <x:v>171</x:v>
      </x:c>
      <x:c r="X1864" s="93" t="n">
        <x:f>IF(V1864="Returned",Q1864*R1864*10%,Q1864*R1864)</x:f>
        <x:v>80</x:v>
      </x:c>
      <x:c r="Y1864" s="93" t="n">
        <x:f>W1864-X1864</x:f>
        <x:v>91</x:v>
      </x:c>
      <x:c r="Z1864" s="94" t="n">
        <x:f>IFERROR(Y1864/W1864,0)</x:f>
        <x:v>0.5321637426900585</x:v>
      </x:c>
      <x:c r="AA1864" s="84" t="str">
        <x:f>PROPER(TRIM('Raw Sales'!M1864))</x:f>
        <x:v>Credit Card</x:v>
      </x:c>
      <x:c r="AB1864" s="84" t="str">
        <x:f>PROPER(TRIM('Raw Sales'!N1864))</x:f>
        <x:v>Sofia Bennett</x:v>
      </x:c>
      <x:c r="AC1864" s="85" t="n">
        <x:f>'Raw Sales'!O1864</x:f>
        <x:v>45895</x:v>
      </x:c>
      <x:c r="AD1864" s="84" t="n">
        <x:f>AC1864-B1864</x:f>
        <x:v>0</x:v>
      </x:c>
      <x:c r="AE1864" s="84" t="str">
        <x:f>IF(COUNTIF($A$5:A1864,A1864)&gt;1,"Duplicate","Keep")</x:f>
        <x:v>Keep</x:v>
      </x:c>
      <x:c r="AF1864" s="84" t="str">
        <x:f>IF(OR(R1864&lt;=0,AC1864&lt;B1864,H1864="Unknown",M1864="Unknown Product"),"Review","Valid")</x:f>
        <x:v>Valid</x:v>
      </x:c>
      <x:c r="AG1864" s="84" t="n">
        <x:f>IF(AND(AE1864="Keep",AF1864="Valid"),1,0)</x:f>
        <x:v>1</x:v>
      </x:c>
      <x:c r="AH1864" s="84" t="n">
        <x:f>IF(AND(AG1864=1,OR('Dashboard'!$B$4="All",I1864='Dashboard'!$B$4),OR('Dashboard'!$E$4="All",N1864='Dashboard'!$E$4),OR('Dashboard'!$H$4="All",K1864='Dashboard'!$H$4),OR('Dashboard'!$K$4="All",C1864='Dashboard'!$K$4)),1,0)</x:f>
        <x:v>1</x:v>
      </x:c>
      <x:c r="AI1864" s="84" t="n">
        <x:f>IF(AND(AG1864=1,OR('Dashboard'!$B$4="All",I1864='Dashboard'!$B$4),OR('Dashboard'!$E$4="All",N1864='Dashboard'!$E$4),OR('Dashboard'!$H$4="All",K1864='Dashboard'!$H$4)),1,0)</x:f>
        <x:v>1</x:v>
      </x:c>
    </x:row>
    <x:row r="1865">
      <x:c r="A1865" s="84" t="str">
        <x:f>'Raw Sales'!A1865</x:f>
        <x:v>ORD-2025-01873</x:v>
      </x:c>
      <x:c r="B1865" s="85" t="n">
        <x:f>'Raw Sales'!B1865</x:f>
        <x:v>45895</x:v>
      </x:c>
      <x:c r="C1865" s="84" t="n">
        <x:f>YEAR(B1865)</x:f>
        <x:v>2025</x:v>
      </x:c>
      <x:c r="D1865" s="91" t="n">
        <x:f>DATE(YEAR(B1865),MONTH(B1865),1)</x:f>
        <x:v>45870</x:v>
      </x:c>
      <x:c r="E1865" s="84" t="str">
        <x:f>TEXT(B1865,"mmm")</x:f>
        <x:v>Aug</x:v>
      </x:c>
      <x:c r="F1865" s="84" t="str">
        <x:f>'Raw Sales'!C1865</x:f>
        <x:v>CUST-0206</x:v>
      </x:c>
      <x:c r="G1865" s="84" t="str">
        <x:f>PROPER(TRIM('Raw Sales'!D1865))</x:f>
        <x:v>Sara Hall</x:v>
      </x:c>
      <x:c r="H1865" s="84" t="str">
        <x:f>IF(TRIM('Raw Sales'!E1865)="","Unknown",PROPER(TRIM('Raw Sales'!E1865)))</x:f>
        <x:v>Consumer</x:v>
      </x:c>
      <x:c r="I1865" s="84" t="str">
        <x:f>PROPER(TRIM('Raw Sales'!F1865))</x:f>
        <x:v>West</x:v>
      </x:c>
      <x:c r="J1865" s="84" t="str">
        <x:f>PROPER(TRIM('Raw Sales'!G1865))</x:f>
        <x:v>Phoenix</x:v>
      </x:c>
      <x:c r="K1865" s="84" t="str">
        <x:f>PROPER(TRIM('Raw Sales'!H1865))</x:f>
        <x:v>Online</x:v>
      </x:c>
      <x:c r="L1865" s="84" t="str">
        <x:f>'Raw Sales'!I1865</x:f>
        <x:v>ACCS-006</x:v>
      </x:c>
      <x:c r="M1865" s="84" t="str">
        <x:f>IFERROR(VLOOKUP(L1865,'Reference Data'!$A$5:$F$40,2,FALSE),"Unknown Product")</x:f>
        <x:v>Insulated Lunch Bag</x:v>
      </x:c>
      <x:c r="N1865" s="84" t="str">
        <x:f>IFERROR(VLOOKUP(L1865,'Reference Data'!$A$5:$F$40,3,FALSE),"Unknown")</x:f>
        <x:v>Accessories</x:v>
      </x:c>
      <x:c r="O1865" s="84" t="str">
        <x:f>IFERROR(VLOOKUP(L1865,'Reference Data'!$A$5:$F$40,4,FALSE),"Unknown")</x:f>
        <x:v>Bags</x:v>
      </x:c>
      <x:c r="P1865" s="92" t="n">
        <x:f>IFERROR(VLOOKUP(L1865,'Reference Data'!$A$5:$F$40,5,FALSE),0)</x:f>
        <x:v>29</x:v>
      </x:c>
      <x:c r="Q1865" s="92" t="n">
        <x:f>IFERROR(VLOOKUP(L1865,'Reference Data'!$A$5:$F$40,6,FALSE),0)</x:f>
        <x:v>10</x:v>
      </x:c>
      <x:c r="R1865" s="84" t="n">
        <x:f>'Raw Sales'!J1865</x:f>
        <x:v>1</x:v>
      </x:c>
      <x:c r="S1865" s="87" t="n">
        <x:f>'Raw Sales'!K1865</x:f>
        <x:v>0.05</x:v>
      </x:c>
      <x:c r="T1865" s="93" t="n">
        <x:f>P1865*R1865</x:f>
        <x:v>29</x:v>
      </x:c>
      <x:c r="U1865" s="93" t="n">
        <x:f>T1865*S1865</x:f>
        <x:v>1.4500000000000002</x:v>
      </x:c>
      <x:c r="V1865" s="93" t="str">
        <x:f>PROPER(TRIM('Raw Sales'!L1865))</x:f>
        <x:v>Completed</x:v>
      </x:c>
      <x:c r="W1865" s="93" t="n">
        <x:f>IF(V1865="Returned",0,T1865-U1865)</x:f>
        <x:v>27.55</x:v>
      </x:c>
      <x:c r="X1865" s="93" t="n">
        <x:f>IF(V1865="Returned",Q1865*R1865*10%,Q1865*R1865)</x:f>
        <x:v>10</x:v>
      </x:c>
      <x:c r="Y1865" s="93" t="n">
        <x:f>W1865-X1865</x:f>
        <x:v>17.55</x:v>
      </x:c>
      <x:c r="Z1865" s="94" t="n">
        <x:f>IFERROR(Y1865/W1865,0)</x:f>
        <x:v>0.6370235934664247</x:v>
      </x:c>
      <x:c r="AA1865" s="84" t="str">
        <x:f>PROPER(TRIM('Raw Sales'!M1865))</x:f>
        <x:v>Credit Card</x:v>
      </x:c>
      <x:c r="AB1865" s="84" t="str">
        <x:f>PROPER(TRIM('Raw Sales'!N1865))</x:f>
        <x:v>Mia Chen</x:v>
      </x:c>
      <x:c r="AC1865" s="85" t="n">
        <x:f>'Raw Sales'!O1865</x:f>
        <x:v>45898</x:v>
      </x:c>
      <x:c r="AD1865" s="84" t="n">
        <x:f>AC1865-B1865</x:f>
        <x:v>3</x:v>
      </x:c>
      <x:c r="AE1865" s="84" t="str">
        <x:f>IF(COUNTIF($A$5:A1865,A1865)&gt;1,"Duplicate","Keep")</x:f>
        <x:v>Keep</x:v>
      </x:c>
      <x:c r="AF1865" s="84" t="str">
        <x:f>IF(OR(R1865&lt;=0,AC1865&lt;B1865,H1865="Unknown",M1865="Unknown Product"),"Review","Valid")</x:f>
        <x:v>Valid</x:v>
      </x:c>
      <x:c r="AG1865" s="84" t="n">
        <x:f>IF(AND(AE1865="Keep",AF1865="Valid"),1,0)</x:f>
        <x:v>1</x:v>
      </x:c>
      <x:c r="AH1865" s="84" t="n">
        <x:f>IF(AND(AG1865=1,OR('Dashboard'!$B$4="All",I1865='Dashboard'!$B$4),OR('Dashboard'!$E$4="All",N1865='Dashboard'!$E$4),OR('Dashboard'!$H$4="All",K1865='Dashboard'!$H$4),OR('Dashboard'!$K$4="All",C1865='Dashboard'!$K$4)),1,0)</x:f>
        <x:v>1</x:v>
      </x:c>
      <x:c r="AI1865" s="84" t="n">
        <x:f>IF(AND(AG1865=1,OR('Dashboard'!$B$4="All",I1865='Dashboard'!$B$4),OR('Dashboard'!$E$4="All",N1865='Dashboard'!$E$4),OR('Dashboard'!$H$4="All",K1865='Dashboard'!$H$4)),1,0)</x:f>
        <x:v>1</x:v>
      </x:c>
    </x:row>
    <x:row r="1866">
      <x:c r="A1866" s="84" t="str">
        <x:f>'Raw Sales'!A1866</x:f>
        <x:v>ORD-2025-02189</x:v>
      </x:c>
      <x:c r="B1866" s="85" t="n">
        <x:f>'Raw Sales'!B1866</x:f>
        <x:v>45895</x:v>
      </x:c>
      <x:c r="C1866" s="84" t="n">
        <x:f>YEAR(B1866)</x:f>
        <x:v>2025</x:v>
      </x:c>
      <x:c r="D1866" s="91" t="n">
        <x:f>DATE(YEAR(B1866),MONTH(B1866),1)</x:f>
        <x:v>45870</x:v>
      </x:c>
      <x:c r="E1866" s="84" t="str">
        <x:f>TEXT(B1866,"mmm")</x:f>
        <x:v>Aug</x:v>
      </x:c>
      <x:c r="F1866" s="84" t="str">
        <x:f>'Raw Sales'!C1866</x:f>
        <x:v>CUST-0331</x:v>
      </x:c>
      <x:c r="G1866" s="84" t="str">
        <x:f>PROPER(TRIM('Raw Sales'!D1866))</x:f>
        <x:v>Elias Young</x:v>
      </x:c>
      <x:c r="H1866" s="84" t="str">
        <x:f>IF(TRIM('Raw Sales'!E1866)="","Unknown",PROPER(TRIM('Raw Sales'!E1866)))</x:f>
        <x:v>Consumer</x:v>
      </x:c>
      <x:c r="I1866" s="84" t="str">
        <x:f>PROPER(TRIM('Raw Sales'!F1866))</x:f>
        <x:v>West</x:v>
      </x:c>
      <x:c r="J1866" s="84" t="str">
        <x:f>PROPER(TRIM('Raw Sales'!G1866))</x:f>
        <x:v>Seattle</x:v>
      </x:c>
      <x:c r="K1866" s="84" t="str">
        <x:f>PROPER(TRIM('Raw Sales'!H1866))</x:f>
        <x:v>Marketplace</x:v>
      </x:c>
      <x:c r="L1866" s="84" t="str">
        <x:f>'Raw Sales'!I1866</x:f>
        <x:v>CARE-001</x:v>
      </x:c>
      <x:c r="M1866" s="84" t="str">
        <x:f>IFERROR(VLOOKUP(L1866,'Reference Data'!$A$5:$F$40,2,FALSE),"Unknown Product")</x:f>
        <x:v>Ionic Hair Dryer</x:v>
      </x:c>
      <x:c r="N1866" s="84" t="str">
        <x:f>IFERROR(VLOOKUP(L1866,'Reference Data'!$A$5:$F$40,3,FALSE),"Unknown")</x:f>
        <x:v>Personal Care</x:v>
      </x:c>
      <x:c r="O1866" s="84" t="str">
        <x:f>IFERROR(VLOOKUP(L1866,'Reference Data'!$A$5:$F$40,4,FALSE),"Unknown")</x:f>
        <x:v>Hair Care</x:v>
      </x:c>
      <x:c r="P1866" s="92" t="n">
        <x:f>IFERROR(VLOOKUP(L1866,'Reference Data'!$A$5:$F$40,5,FALSE),0)</x:f>
        <x:v>54</x:v>
      </x:c>
      <x:c r="Q1866" s="92" t="n">
        <x:f>IFERROR(VLOOKUP(L1866,'Reference Data'!$A$5:$F$40,6,FALSE),0)</x:f>
        <x:v>25</x:v>
      </x:c>
      <x:c r="R1866" s="84" t="n">
        <x:f>'Raw Sales'!J1866</x:f>
        <x:v>2</x:v>
      </x:c>
      <x:c r="S1866" s="87" t="n">
        <x:f>'Raw Sales'!K1866</x:f>
        <x:v>0</x:v>
      </x:c>
      <x:c r="T1866" s="93" t="n">
        <x:f>P1866*R1866</x:f>
        <x:v>108</x:v>
      </x:c>
      <x:c r="U1866" s="93" t="n">
        <x:f>T1866*S1866</x:f>
        <x:v>0</x:v>
      </x:c>
      <x:c r="V1866" s="93" t="str">
        <x:f>PROPER(TRIM('Raw Sales'!L1866))</x:f>
        <x:v>Completed</x:v>
      </x:c>
      <x:c r="W1866" s="93" t="n">
        <x:f>IF(V1866="Returned",0,T1866-U1866)</x:f>
        <x:v>108</x:v>
      </x:c>
      <x:c r="X1866" s="93" t="n">
        <x:f>IF(V1866="Returned",Q1866*R1866*10%,Q1866*R1866)</x:f>
        <x:v>50</x:v>
      </x:c>
      <x:c r="Y1866" s="93" t="n">
        <x:f>W1866-X1866</x:f>
        <x:v>58</x:v>
      </x:c>
      <x:c r="Z1866" s="94" t="n">
        <x:f>IFERROR(Y1866/W1866,0)</x:f>
        <x:v>0.5370370370370371</x:v>
      </x:c>
      <x:c r="AA1866" s="84" t="str">
        <x:f>PROPER(TRIM('Raw Sales'!M1866))</x:f>
        <x:v>Debit Card</x:v>
      </x:c>
      <x:c r="AB1866" s="84" t="str">
        <x:f>PROPER(TRIM('Raw Sales'!N1866))</x:f>
        <x:v>Leo Martinez</x:v>
      </x:c>
      <x:c r="AC1866" s="85" t="n">
        <x:f>'Raw Sales'!O1866</x:f>
        <x:v>45899</x:v>
      </x:c>
      <x:c r="AD1866" s="84" t="n">
        <x:f>AC1866-B1866</x:f>
        <x:v>4</x:v>
      </x:c>
      <x:c r="AE1866" s="84" t="str">
        <x:f>IF(COUNTIF($A$5:A1866,A1866)&gt;1,"Duplicate","Keep")</x:f>
        <x:v>Keep</x:v>
      </x:c>
      <x:c r="AF1866" s="84" t="str">
        <x:f>IF(OR(R1866&lt;=0,AC1866&lt;B1866,H1866="Unknown",M1866="Unknown Product"),"Review","Valid")</x:f>
        <x:v>Valid</x:v>
      </x:c>
      <x:c r="AG1866" s="84" t="n">
        <x:f>IF(AND(AE1866="Keep",AF1866="Valid"),1,0)</x:f>
        <x:v>1</x:v>
      </x:c>
      <x:c r="AH1866" s="84" t="n">
        <x:f>IF(AND(AG1866=1,OR('Dashboard'!$B$4="All",I1866='Dashboard'!$B$4),OR('Dashboard'!$E$4="All",N1866='Dashboard'!$E$4),OR('Dashboard'!$H$4="All",K1866='Dashboard'!$H$4),OR('Dashboard'!$K$4="All",C1866='Dashboard'!$K$4)),1,0)</x:f>
        <x:v>1</x:v>
      </x:c>
      <x:c r="AI1866" s="84" t="n">
        <x:f>IF(AND(AG1866=1,OR('Dashboard'!$B$4="All",I1866='Dashboard'!$B$4),OR('Dashboard'!$E$4="All",N1866='Dashboard'!$E$4),OR('Dashboard'!$H$4="All",K1866='Dashboard'!$H$4)),1,0)</x:f>
        <x:v>1</x:v>
      </x:c>
    </x:row>
    <x:row r="1867">
      <x:c r="A1867" s="84" t="str">
        <x:f>'Raw Sales'!A1867</x:f>
        <x:v>ORD-2025-00789</x:v>
      </x:c>
      <x:c r="B1867" s="85" t="n">
        <x:f>'Raw Sales'!B1867</x:f>
        <x:v>45896</x:v>
      </x:c>
      <x:c r="C1867" s="84" t="n">
        <x:f>YEAR(B1867)</x:f>
        <x:v>2025</x:v>
      </x:c>
      <x:c r="D1867" s="91" t="n">
        <x:f>DATE(YEAR(B1867),MONTH(B1867),1)</x:f>
        <x:v>45870</x:v>
      </x:c>
      <x:c r="E1867" s="84" t="str">
        <x:f>TEXT(B1867,"mmm")</x:f>
        <x:v>Aug</x:v>
      </x:c>
      <x:c r="F1867" s="84" t="str">
        <x:f>'Raw Sales'!C1867</x:f>
        <x:v>CUST-0323</x:v>
      </x:c>
      <x:c r="G1867" s="84" t="str">
        <x:f>PROPER(TRIM('Raw Sales'!D1867))</x:f>
        <x:v>Zara Evans</x:v>
      </x:c>
      <x:c r="H1867" s="84" t="str">
        <x:f>IF(TRIM('Raw Sales'!E1867)="","Unknown",PROPER(TRIM('Raw Sales'!E1867)))</x:f>
        <x:v>Small Business</x:v>
      </x:c>
      <x:c r="I1867" s="84" t="str">
        <x:f>PROPER(TRIM('Raw Sales'!F1867))</x:f>
        <x:v>Midwest</x:v>
      </x:c>
      <x:c r="J1867" s="84" t="str">
        <x:f>PROPER(TRIM('Raw Sales'!G1867))</x:f>
        <x:v>Minneapolis</x:v>
      </x:c>
      <x:c r="K1867" s="84" t="str">
        <x:f>PROPER(TRIM('Raw Sales'!H1867))</x:f>
        <x:v>Retail Store</x:v>
      </x:c>
      <x:c r="L1867" s="84" t="str">
        <x:f>'Raw Sales'!I1867</x:f>
        <x:v>ELEC-006</x:v>
      </x:c>
      <x:c r="M1867" s="84" t="str">
        <x:f>IFERROR(VLOOKUP(L1867,'Reference Data'!$A$5:$F$40,2,FALSE),"Unknown Product")</x:f>
        <x:v>Portable SSD</x:v>
      </x:c>
      <x:c r="N1867" s="84" t="str">
        <x:f>IFERROR(VLOOKUP(L1867,'Reference Data'!$A$5:$F$40,3,FALSE),"Unknown")</x:f>
        <x:v>Electronics</x:v>
      </x:c>
      <x:c r="O1867" s="84" t="str">
        <x:f>IFERROR(VLOOKUP(L1867,'Reference Data'!$A$5:$F$40,4,FALSE),"Unknown")</x:f>
        <x:v>Storage</x:v>
      </x:c>
      <x:c r="P1867" s="92" t="n">
        <x:f>IFERROR(VLOOKUP(L1867,'Reference Data'!$A$5:$F$40,5,FALSE),0)</x:f>
        <x:v>129</x:v>
      </x:c>
      <x:c r="Q1867" s="92" t="n">
        <x:f>IFERROR(VLOOKUP(L1867,'Reference Data'!$A$5:$F$40,6,FALSE),0)</x:f>
        <x:v>75</x:v>
      </x:c>
      <x:c r="R1867" s="84" t="n">
        <x:f>'Raw Sales'!J1867</x:f>
        <x:v>1</x:v>
      </x:c>
      <x:c r="S1867" s="87" t="n">
        <x:f>'Raw Sales'!K1867</x:f>
        <x:v>0.15</x:v>
      </x:c>
      <x:c r="T1867" s="93" t="n">
        <x:f>P1867*R1867</x:f>
        <x:v>129</x:v>
      </x:c>
      <x:c r="U1867" s="93" t="n">
        <x:f>T1867*S1867</x:f>
        <x:v>19.349999999999998</x:v>
      </x:c>
      <x:c r="V1867" s="93" t="str">
        <x:f>PROPER(TRIM('Raw Sales'!L1867))</x:f>
        <x:v>Completed</x:v>
      </x:c>
      <x:c r="W1867" s="93" t="n">
        <x:f>IF(V1867="Returned",0,T1867-U1867)</x:f>
        <x:v>109.65</x:v>
      </x:c>
      <x:c r="X1867" s="93" t="n">
        <x:f>IF(V1867="Returned",Q1867*R1867*10%,Q1867*R1867)</x:f>
        <x:v>75</x:v>
      </x:c>
      <x:c r="Y1867" s="93" t="n">
        <x:f>W1867-X1867</x:f>
        <x:v>34.650000000000006</x:v>
      </x:c>
      <x:c r="Z1867" s="94" t="n">
        <x:f>IFERROR(Y1867/W1867,0)</x:f>
        <x:v>0.31600547195622436</x:v>
      </x:c>
      <x:c r="AA1867" s="84" t="str">
        <x:f>PROPER(TRIM('Raw Sales'!M1867))</x:f>
        <x:v>Credit Card</x:v>
      </x:c>
      <x:c r="AB1867" s="84" t="str">
        <x:f>PROPER(TRIM('Raw Sales'!N1867))</x:f>
        <x:v>Zoe Turner</x:v>
      </x:c>
      <x:c r="AC1867" s="85" t="n">
        <x:f>'Raw Sales'!O1867</x:f>
        <x:v>45896</x:v>
      </x:c>
      <x:c r="AD1867" s="84" t="n">
        <x:f>AC1867-B1867</x:f>
        <x:v>0</x:v>
      </x:c>
      <x:c r="AE1867" s="84" t="str">
        <x:f>IF(COUNTIF($A$5:A1867,A1867)&gt;1,"Duplicate","Keep")</x:f>
        <x:v>Keep</x:v>
      </x:c>
      <x:c r="AF1867" s="84" t="str">
        <x:f>IF(OR(R1867&lt;=0,AC1867&lt;B1867,H1867="Unknown",M1867="Unknown Product"),"Review","Valid")</x:f>
        <x:v>Valid</x:v>
      </x:c>
      <x:c r="AG1867" s="84" t="n">
        <x:f>IF(AND(AE1867="Keep",AF1867="Valid"),1,0)</x:f>
        <x:v>1</x:v>
      </x:c>
      <x:c r="AH1867" s="84" t="n">
        <x:f>IF(AND(AG1867=1,OR('Dashboard'!$B$4="All",I1867='Dashboard'!$B$4),OR('Dashboard'!$E$4="All",N1867='Dashboard'!$E$4),OR('Dashboard'!$H$4="All",K1867='Dashboard'!$H$4),OR('Dashboard'!$K$4="All",C1867='Dashboard'!$K$4)),1,0)</x:f>
        <x:v>1</x:v>
      </x:c>
      <x:c r="AI1867" s="84" t="n">
        <x:f>IF(AND(AG1867=1,OR('Dashboard'!$B$4="All",I1867='Dashboard'!$B$4),OR('Dashboard'!$E$4="All",N1867='Dashboard'!$E$4),OR('Dashboard'!$H$4="All",K1867='Dashboard'!$H$4)),1,0)</x:f>
        <x:v>1</x:v>
      </x:c>
    </x:row>
    <x:row r="1868">
      <x:c r="A1868" s="84" t="str">
        <x:f>'Raw Sales'!A1868</x:f>
        <x:v>ORD-2025-00799</x:v>
      </x:c>
      <x:c r="B1868" s="85" t="n">
        <x:f>'Raw Sales'!B1868</x:f>
        <x:v>45896</x:v>
      </x:c>
      <x:c r="C1868" s="84" t="n">
        <x:f>YEAR(B1868)</x:f>
        <x:v>2025</x:v>
      </x:c>
      <x:c r="D1868" s="91" t="n">
        <x:f>DATE(YEAR(B1868),MONTH(B1868),1)</x:f>
        <x:v>45870</x:v>
      </x:c>
      <x:c r="E1868" s="84" t="str">
        <x:f>TEXT(B1868,"mmm")</x:f>
        <x:v>Aug</x:v>
      </x:c>
      <x:c r="F1868" s="84" t="str">
        <x:f>'Raw Sales'!C1868</x:f>
        <x:v>CUST-0365</x:v>
      </x:c>
      <x:c r="G1868" s="84" t="str">
        <x:f>PROPER(TRIM('Raw Sales'!D1868))</x:f>
        <x:v>Grace Johnson</x:v>
      </x:c>
      <x:c r="H1868" s="84" t="str">
        <x:f>IF(TRIM('Raw Sales'!E1868)="","Unknown",PROPER(TRIM('Raw Sales'!E1868)))</x:f>
        <x:v>Consumer</x:v>
      </x:c>
      <x:c r="I1868" s="84" t="str">
        <x:f>PROPER(TRIM('Raw Sales'!F1868))</x:f>
        <x:v>West</x:v>
      </x:c>
      <x:c r="J1868" s="84" t="str">
        <x:f>PROPER(TRIM('Raw Sales'!G1868))</x:f>
        <x:v>Los Angeles</x:v>
      </x:c>
      <x:c r="K1868" s="84" t="str">
        <x:f>PROPER(TRIM('Raw Sales'!H1868))</x:f>
        <x:v>Online</x:v>
      </x:c>
      <x:c r="L1868" s="84" t="str">
        <x:f>'Raw Sales'!I1868</x:f>
        <x:v>ELEC-006</x:v>
      </x:c>
      <x:c r="M1868" s="84" t="str">
        <x:f>IFERROR(VLOOKUP(L1868,'Reference Data'!$A$5:$F$40,2,FALSE),"Unknown Product")</x:f>
        <x:v>Portable SSD</x:v>
      </x:c>
      <x:c r="N1868" s="84" t="str">
        <x:f>IFERROR(VLOOKUP(L1868,'Reference Data'!$A$5:$F$40,3,FALSE),"Unknown")</x:f>
        <x:v>Electronics</x:v>
      </x:c>
      <x:c r="O1868" s="84" t="str">
        <x:f>IFERROR(VLOOKUP(L1868,'Reference Data'!$A$5:$F$40,4,FALSE),"Unknown")</x:f>
        <x:v>Storage</x:v>
      </x:c>
      <x:c r="P1868" s="92" t="n">
        <x:f>IFERROR(VLOOKUP(L1868,'Reference Data'!$A$5:$F$40,5,FALSE),0)</x:f>
        <x:v>129</x:v>
      </x:c>
      <x:c r="Q1868" s="92" t="n">
        <x:f>IFERROR(VLOOKUP(L1868,'Reference Data'!$A$5:$F$40,6,FALSE),0)</x:f>
        <x:v>75</x:v>
      </x:c>
      <x:c r="R1868" s="84" t="n">
        <x:f>'Raw Sales'!J1868</x:f>
        <x:v>1</x:v>
      </x:c>
      <x:c r="S1868" s="87" t="n">
        <x:f>'Raw Sales'!K1868</x:f>
        <x:v>0.05</x:v>
      </x:c>
      <x:c r="T1868" s="93" t="n">
        <x:f>P1868*R1868</x:f>
        <x:v>129</x:v>
      </x:c>
      <x:c r="U1868" s="93" t="n">
        <x:f>T1868*S1868</x:f>
        <x:v>6.45</x:v>
      </x:c>
      <x:c r="V1868" s="93" t="str">
        <x:f>PROPER(TRIM('Raw Sales'!L1868))</x:f>
        <x:v>Completed</x:v>
      </x:c>
      <x:c r="W1868" s="93" t="n">
        <x:f>IF(V1868="Returned",0,T1868-U1868)</x:f>
        <x:v>122.55</x:v>
      </x:c>
      <x:c r="X1868" s="93" t="n">
        <x:f>IF(V1868="Returned",Q1868*R1868*10%,Q1868*R1868)</x:f>
        <x:v>75</x:v>
      </x:c>
      <x:c r="Y1868" s="93" t="n">
        <x:f>W1868-X1868</x:f>
        <x:v>47.55</x:v>
      </x:c>
      <x:c r="Z1868" s="94" t="n">
        <x:f>IFERROR(Y1868/W1868,0)</x:f>
        <x:v>0.3880048959608323</x:v>
      </x:c>
      <x:c r="AA1868" s="84" t="str">
        <x:f>PROPER(TRIM('Raw Sales'!M1868))</x:f>
        <x:v>Credit Card</x:v>
      </x:c>
      <x:c r="AB1868" s="84" t="str">
        <x:f>PROPER(TRIM('Raw Sales'!N1868))</x:f>
        <x:v>Nora Kim</x:v>
      </x:c>
      <x:c r="AC1868" s="85" t="n">
        <x:f>'Raw Sales'!O1868</x:f>
        <x:v>45900</x:v>
      </x:c>
      <x:c r="AD1868" s="84" t="n">
        <x:f>AC1868-B1868</x:f>
        <x:v>4</x:v>
      </x:c>
      <x:c r="AE1868" s="84" t="str">
        <x:f>IF(COUNTIF($A$5:A1868,A1868)&gt;1,"Duplicate","Keep")</x:f>
        <x:v>Keep</x:v>
      </x:c>
      <x:c r="AF1868" s="84" t="str">
        <x:f>IF(OR(R1868&lt;=0,AC1868&lt;B1868,H1868="Unknown",M1868="Unknown Product"),"Review","Valid")</x:f>
        <x:v>Valid</x:v>
      </x:c>
      <x:c r="AG1868" s="84" t="n">
        <x:f>IF(AND(AE1868="Keep",AF1868="Valid"),1,0)</x:f>
        <x:v>1</x:v>
      </x:c>
      <x:c r="AH1868" s="84" t="n">
        <x:f>IF(AND(AG1868=1,OR('Dashboard'!$B$4="All",I1868='Dashboard'!$B$4),OR('Dashboard'!$E$4="All",N1868='Dashboard'!$E$4),OR('Dashboard'!$H$4="All",K1868='Dashboard'!$H$4),OR('Dashboard'!$K$4="All",C1868='Dashboard'!$K$4)),1,0)</x:f>
        <x:v>1</x:v>
      </x:c>
      <x:c r="AI1868" s="84" t="n">
        <x:f>IF(AND(AG1868=1,OR('Dashboard'!$B$4="All",I1868='Dashboard'!$B$4),OR('Dashboard'!$E$4="All",N1868='Dashboard'!$E$4),OR('Dashboard'!$H$4="All",K1868='Dashboard'!$H$4)),1,0)</x:f>
        <x:v>1</x:v>
      </x:c>
    </x:row>
    <x:row r="1869">
      <x:c r="A1869" s="84" t="str">
        <x:f>'Raw Sales'!A1869</x:f>
        <x:v>ORD-2025-00507</x:v>
      </x:c>
      <x:c r="B1869" s="85" t="n">
        <x:f>'Raw Sales'!B1869</x:f>
        <x:v>45897</x:v>
      </x:c>
      <x:c r="C1869" s="84" t="n">
        <x:f>YEAR(B1869)</x:f>
        <x:v>2025</x:v>
      </x:c>
      <x:c r="D1869" s="91" t="n">
        <x:f>DATE(YEAR(B1869),MONTH(B1869),1)</x:f>
        <x:v>45870</x:v>
      </x:c>
      <x:c r="E1869" s="84" t="str">
        <x:f>TEXT(B1869,"mmm")</x:f>
        <x:v>Aug</x:v>
      </x:c>
      <x:c r="F1869" s="84" t="str">
        <x:f>'Raw Sales'!C1869</x:f>
        <x:v>CUST-0577</x:v>
      </x:c>
      <x:c r="G1869" s="84" t="str">
        <x:f>PROPER(TRIM('Raw Sales'!D1869))</x:f>
        <x:v>Grace Young</x:v>
      </x:c>
      <x:c r="H1869" s="84" t="str">
        <x:f>IF(TRIM('Raw Sales'!E1869)="","Unknown",PROPER(TRIM('Raw Sales'!E1869)))</x:f>
        <x:v>Consumer</x:v>
      </x:c>
      <x:c r="I1869" s="84" t="str">
        <x:f>PROPER(TRIM('Raw Sales'!F1869))</x:f>
        <x:v>Southeast</x:v>
      </x:c>
      <x:c r="J1869" s="84" t="str">
        <x:f>PROPER(TRIM('Raw Sales'!G1869))</x:f>
        <x:v>Charlotte</x:v>
      </x:c>
      <x:c r="K1869" s="84" t="str">
        <x:f>PROPER(TRIM('Raw Sales'!H1869))</x:f>
        <x:v>Online</x:v>
      </x:c>
      <x:c r="L1869" s="84" t="str">
        <x:f>'Raw Sales'!I1869</x:f>
        <x:v>CARE-003</x:v>
      </x:c>
      <x:c r="M1869" s="84" t="str">
        <x:f>IFERROR(VLOOKUP(L1869,'Reference Data'!$A$5:$F$40,2,FALSE),"Unknown Product")</x:f>
        <x:v>Facial Cleanser</x:v>
      </x:c>
      <x:c r="N1869" s="84" t="str">
        <x:f>IFERROR(VLOOKUP(L1869,'Reference Data'!$A$5:$F$40,3,FALSE),"Unknown")</x:f>
        <x:v>Personal Care</x:v>
      </x:c>
      <x:c r="O1869" s="84" t="str">
        <x:f>IFERROR(VLOOKUP(L1869,'Reference Data'!$A$5:$F$40,4,FALSE),"Unknown")</x:f>
        <x:v>Skin Care</x:v>
      </x:c>
      <x:c r="P1869" s="92" t="n">
        <x:f>IFERROR(VLOOKUP(L1869,'Reference Data'!$A$5:$F$40,5,FALSE),0)</x:f>
        <x:v>18</x:v>
      </x:c>
      <x:c r="Q1869" s="92" t="n">
        <x:f>IFERROR(VLOOKUP(L1869,'Reference Data'!$A$5:$F$40,6,FALSE),0)</x:f>
        <x:v>6</x:v>
      </x:c>
      <x:c r="R1869" s="84" t="n">
        <x:f>'Raw Sales'!J1869</x:f>
        <x:v>2</x:v>
      </x:c>
      <x:c r="S1869" s="87" t="n">
        <x:f>'Raw Sales'!K1869</x:f>
        <x:v>0.15</x:v>
      </x:c>
      <x:c r="T1869" s="93" t="n">
        <x:f>P1869*R1869</x:f>
        <x:v>36</x:v>
      </x:c>
      <x:c r="U1869" s="93" t="n">
        <x:f>T1869*S1869</x:f>
        <x:v>5.3999999999999995</x:v>
      </x:c>
      <x:c r="V1869" s="93" t="str">
        <x:f>PROPER(TRIM('Raw Sales'!L1869))</x:f>
        <x:v>Completed</x:v>
      </x:c>
      <x:c r="W1869" s="93" t="n">
        <x:f>IF(V1869="Returned",0,T1869-U1869)</x:f>
        <x:v>30.6</x:v>
      </x:c>
      <x:c r="X1869" s="93" t="n">
        <x:f>IF(V1869="Returned",Q1869*R1869*10%,Q1869*R1869)</x:f>
        <x:v>12</x:v>
      </x:c>
      <x:c r="Y1869" s="93" t="n">
        <x:f>W1869-X1869</x:f>
        <x:v>18.6</x:v>
      </x:c>
      <x:c r="Z1869" s="94" t="n">
        <x:f>IFERROR(Y1869/W1869,0)</x:f>
        <x:v>0.607843137254902</x:v>
      </x:c>
      <x:c r="AA1869" s="84" t="str">
        <x:f>PROPER(TRIM('Raw Sales'!M1869))</x:f>
        <x:v>Debit Card</x:v>
      </x:c>
      <x:c r="AB1869" s="84" t="str">
        <x:f>PROPER(TRIM('Raw Sales'!N1869))</x:f>
        <x:v>Liam Parker</x:v>
      </x:c>
      <x:c r="AC1869" s="85" t="n">
        <x:f>'Raw Sales'!O1869</x:f>
        <x:v>45902</x:v>
      </x:c>
      <x:c r="AD1869" s="84" t="n">
        <x:f>AC1869-B1869</x:f>
        <x:v>5</x:v>
      </x:c>
      <x:c r="AE1869" s="84" t="str">
        <x:f>IF(COUNTIF($A$5:A1869,A1869)&gt;1,"Duplicate","Keep")</x:f>
        <x:v>Keep</x:v>
      </x:c>
      <x:c r="AF1869" s="84" t="str">
        <x:f>IF(OR(R1869&lt;=0,AC1869&lt;B1869,H1869="Unknown",M1869="Unknown Product"),"Review","Valid")</x:f>
        <x:v>Valid</x:v>
      </x:c>
      <x:c r="AG1869" s="84" t="n">
        <x:f>IF(AND(AE1869="Keep",AF1869="Valid"),1,0)</x:f>
        <x:v>1</x:v>
      </x:c>
      <x:c r="AH1869" s="84" t="n">
        <x:f>IF(AND(AG1869=1,OR('Dashboard'!$B$4="All",I1869='Dashboard'!$B$4),OR('Dashboard'!$E$4="All",N1869='Dashboard'!$E$4),OR('Dashboard'!$H$4="All",K1869='Dashboard'!$H$4),OR('Dashboard'!$K$4="All",C1869='Dashboard'!$K$4)),1,0)</x:f>
        <x:v>1</x:v>
      </x:c>
      <x:c r="AI1869" s="84" t="n">
        <x:f>IF(AND(AG1869=1,OR('Dashboard'!$B$4="All",I1869='Dashboard'!$B$4),OR('Dashboard'!$E$4="All",N1869='Dashboard'!$E$4),OR('Dashboard'!$H$4="All",K1869='Dashboard'!$H$4)),1,0)</x:f>
        <x:v>1</x:v>
      </x:c>
    </x:row>
    <x:row r="1870">
      <x:c r="A1870" s="84" t="str">
        <x:f>'Raw Sales'!A1870</x:f>
        <x:v>ORD-2025-01969</x:v>
      </x:c>
      <x:c r="B1870" s="85" t="n">
        <x:f>'Raw Sales'!B1870</x:f>
        <x:v>45897</x:v>
      </x:c>
      <x:c r="C1870" s="84" t="n">
        <x:f>YEAR(B1870)</x:f>
        <x:v>2025</x:v>
      </x:c>
      <x:c r="D1870" s="91" t="n">
        <x:f>DATE(YEAR(B1870),MONTH(B1870),1)</x:f>
        <x:v>45870</x:v>
      </x:c>
      <x:c r="E1870" s="84" t="str">
        <x:f>TEXT(B1870,"mmm")</x:f>
        <x:v>Aug</x:v>
      </x:c>
      <x:c r="F1870" s="84" t="str">
        <x:f>'Raw Sales'!C1870</x:f>
        <x:v>CUST-0429</x:v>
      </x:c>
      <x:c r="G1870" s="84" t="str">
        <x:f>PROPER(TRIM('Raw Sales'!D1870))</x:f>
        <x:v>Maya Smith</x:v>
      </x:c>
      <x:c r="H1870" s="84" t="str">
        <x:f>IF(TRIM('Raw Sales'!E1870)="","Unknown",PROPER(TRIM('Raw Sales'!E1870)))</x:f>
        <x:v>Small Business</x:v>
      </x:c>
      <x:c r="I1870" s="84" t="str">
        <x:f>PROPER(TRIM('Raw Sales'!F1870))</x:f>
        <x:v>West</x:v>
      </x:c>
      <x:c r="J1870" s="84" t="str">
        <x:f>PROPER(TRIM('Raw Sales'!G1870))</x:f>
        <x:v>Los Angeles</x:v>
      </x:c>
      <x:c r="K1870" s="84" t="str">
        <x:f>PROPER(TRIM('Raw Sales'!H1870))</x:f>
        <x:v>Online</x:v>
      </x:c>
      <x:c r="L1870" s="84" t="str">
        <x:f>'Raw Sales'!I1870</x:f>
        <x:v>HOME-005</x:v>
      </x:c>
      <x:c r="M1870" s="84" t="str">
        <x:f>IFERROR(VLOOKUP(L1870,'Reference Data'!$A$5:$F$40,2,FALSE),"Unknown Product")</x:f>
        <x:v>Cordless Vacuum</x:v>
      </x:c>
      <x:c r="N1870" s="84" t="str">
        <x:f>IFERROR(VLOOKUP(L1870,'Reference Data'!$A$5:$F$40,3,FALSE),"Unknown")</x:f>
        <x:v>Home &amp; Kitchen</x:v>
      </x:c>
      <x:c r="O1870" s="84" t="str">
        <x:f>IFERROR(VLOOKUP(L1870,'Reference Data'!$A$5:$F$40,4,FALSE),"Unknown")</x:f>
        <x:v>Cleaning</x:v>
      </x:c>
      <x:c r="P1870" s="92" t="n">
        <x:f>IFERROR(VLOOKUP(L1870,'Reference Data'!$A$5:$F$40,5,FALSE),0)</x:f>
        <x:v>179</x:v>
      </x:c>
      <x:c r="Q1870" s="92" t="n">
        <x:f>IFERROR(VLOOKUP(L1870,'Reference Data'!$A$5:$F$40,6,FALSE),0)</x:f>
        <x:v>102</x:v>
      </x:c>
      <x:c r="R1870" s="84" t="n">
        <x:f>'Raw Sales'!J1870</x:f>
        <x:v>1</x:v>
      </x:c>
      <x:c r="S1870" s="87" t="n">
        <x:f>'Raw Sales'!K1870</x:f>
        <x:v>0.15</x:v>
      </x:c>
      <x:c r="T1870" s="93" t="n">
        <x:f>P1870*R1870</x:f>
        <x:v>179</x:v>
      </x:c>
      <x:c r="U1870" s="93" t="n">
        <x:f>T1870*S1870</x:f>
        <x:v>26.849999999999998</x:v>
      </x:c>
      <x:c r="V1870" s="93" t="str">
        <x:f>PROPER(TRIM('Raw Sales'!L1870))</x:f>
        <x:v>Completed</x:v>
      </x:c>
      <x:c r="W1870" s="93" t="n">
        <x:f>IF(V1870="Returned",0,T1870-U1870)</x:f>
        <x:v>152.15</x:v>
      </x:c>
      <x:c r="X1870" s="93" t="n">
        <x:f>IF(V1870="Returned",Q1870*R1870*10%,Q1870*R1870)</x:f>
        <x:v>102</x:v>
      </x:c>
      <x:c r="Y1870" s="93" t="n">
        <x:f>W1870-X1870</x:f>
        <x:v>50.150000000000006</x:v>
      </x:c>
      <x:c r="Z1870" s="94" t="n">
        <x:f>IFERROR(Y1870/W1870,0)</x:f>
        <x:v>0.3296089385474861</x:v>
      </x:c>
      <x:c r="AA1870" s="84" t="str">
        <x:f>PROPER(TRIM('Raw Sales'!M1870))</x:f>
        <x:v>Paypal</x:v>
      </x:c>
      <x:c r="AB1870" s="84" t="str">
        <x:f>PROPER(TRIM('Raw Sales'!N1870))</x:f>
        <x:v>Leo Martinez</x:v>
      </x:c>
      <x:c r="AC1870" s="85" t="n">
        <x:f>'Raw Sales'!O1870</x:f>
        <x:v>45900</x:v>
      </x:c>
      <x:c r="AD1870" s="84" t="n">
        <x:f>AC1870-B1870</x:f>
        <x:v>3</x:v>
      </x:c>
      <x:c r="AE1870" s="84" t="str">
        <x:f>IF(COUNTIF($A$5:A1870,A1870)&gt;1,"Duplicate","Keep")</x:f>
        <x:v>Keep</x:v>
      </x:c>
      <x:c r="AF1870" s="84" t="str">
        <x:f>IF(OR(R1870&lt;=0,AC1870&lt;B1870,H1870="Unknown",M1870="Unknown Product"),"Review","Valid")</x:f>
        <x:v>Valid</x:v>
      </x:c>
      <x:c r="AG1870" s="84" t="n">
        <x:f>IF(AND(AE1870="Keep",AF1870="Valid"),1,0)</x:f>
        <x:v>1</x:v>
      </x:c>
      <x:c r="AH1870" s="84" t="n">
        <x:f>IF(AND(AG1870=1,OR('Dashboard'!$B$4="All",I1870='Dashboard'!$B$4),OR('Dashboard'!$E$4="All",N1870='Dashboard'!$E$4),OR('Dashboard'!$H$4="All",K1870='Dashboard'!$H$4),OR('Dashboard'!$K$4="All",C1870='Dashboard'!$K$4)),1,0)</x:f>
        <x:v>1</x:v>
      </x:c>
      <x:c r="AI1870" s="84" t="n">
        <x:f>IF(AND(AG1870=1,OR('Dashboard'!$B$4="All",I1870='Dashboard'!$B$4),OR('Dashboard'!$E$4="All",N1870='Dashboard'!$E$4),OR('Dashboard'!$H$4="All",K1870='Dashboard'!$H$4)),1,0)</x:f>
        <x:v>1</x:v>
      </x:c>
    </x:row>
    <x:row r="1871">
      <x:c r="A1871" s="84" t="str">
        <x:f>'Raw Sales'!A1871</x:f>
        <x:v>ORD-2025-00859</x:v>
      </x:c>
      <x:c r="B1871" s="85" t="n">
        <x:f>'Raw Sales'!B1871</x:f>
        <x:v>45898</x:v>
      </x:c>
      <x:c r="C1871" s="84" t="n">
        <x:f>YEAR(B1871)</x:f>
        <x:v>2025</x:v>
      </x:c>
      <x:c r="D1871" s="91" t="n">
        <x:f>DATE(YEAR(B1871),MONTH(B1871),1)</x:f>
        <x:v>45870</x:v>
      </x:c>
      <x:c r="E1871" s="84" t="str">
        <x:f>TEXT(B1871,"mmm")</x:f>
        <x:v>Aug</x:v>
      </x:c>
      <x:c r="F1871" s="84" t="str">
        <x:f>'Raw Sales'!C1871</x:f>
        <x:v>CUST-0024</x:v>
      </x:c>
      <x:c r="G1871" s="84" t="str">
        <x:f>PROPER(TRIM('Raw Sales'!D1871))</x:f>
        <x:v>Zara Quinn</x:v>
      </x:c>
      <x:c r="H1871" s="84" t="str">
        <x:f>IF(TRIM('Raw Sales'!E1871)="","Unknown",PROPER(TRIM('Raw Sales'!E1871)))</x:f>
        <x:v>Consumer</x:v>
      </x:c>
      <x:c r="I1871" s="84" t="str">
        <x:f>PROPER(TRIM('Raw Sales'!F1871))</x:f>
        <x:v>Midwest</x:v>
      </x:c>
      <x:c r="J1871" s="84" t="str">
        <x:f>PROPER(TRIM('Raw Sales'!G1871))</x:f>
        <x:v>Columbus</x:v>
      </x:c>
      <x:c r="K1871" s="84" t="str">
        <x:f>PROPER(TRIM('Raw Sales'!H1871))</x:f>
        <x:v>Online</x:v>
      </x:c>
      <x:c r="L1871" s="84" t="str">
        <x:f>'Raw Sales'!I1871</x:f>
        <x:v>FITN-006</x:v>
      </x:c>
      <x:c r="M1871" s="84" t="str">
        <x:f>IFERROR(VLOOKUP(L1871,'Reference Data'!$A$5:$F$40,2,FALSE),"Unknown Product")</x:f>
        <x:v>Foam Roller</x:v>
      </x:c>
      <x:c r="N1871" s="84" t="str">
        <x:f>IFERROR(VLOOKUP(L1871,'Reference Data'!$A$5:$F$40,3,FALSE),"Unknown")</x:f>
        <x:v>Fitness</x:v>
      </x:c>
      <x:c r="O1871" s="84" t="str">
        <x:f>IFERROR(VLOOKUP(L1871,'Reference Data'!$A$5:$F$40,4,FALSE),"Unknown")</x:f>
        <x:v>Recovery</x:v>
      </x:c>
      <x:c r="P1871" s="92" t="n">
        <x:f>IFERROR(VLOOKUP(L1871,'Reference Data'!$A$5:$F$40,5,FALSE),0)</x:f>
        <x:v>31</x:v>
      </x:c>
      <x:c r="Q1871" s="92" t="n">
        <x:f>IFERROR(VLOOKUP(L1871,'Reference Data'!$A$5:$F$40,6,FALSE),0)</x:f>
        <x:v>12</x:v>
      </x:c>
      <x:c r="R1871" s="84" t="n">
        <x:f>'Raw Sales'!J1871</x:f>
        <x:v>1</x:v>
      </x:c>
      <x:c r="S1871" s="87" t="n">
        <x:f>'Raw Sales'!K1871</x:f>
        <x:v>0</x:v>
      </x:c>
      <x:c r="T1871" s="93" t="n">
        <x:f>P1871*R1871</x:f>
        <x:v>31</x:v>
      </x:c>
      <x:c r="U1871" s="93" t="n">
        <x:f>T1871*S1871</x:f>
        <x:v>0</x:v>
      </x:c>
      <x:c r="V1871" s="93" t="str">
        <x:f>PROPER(TRIM('Raw Sales'!L1871))</x:f>
        <x:v>Completed</x:v>
      </x:c>
      <x:c r="W1871" s="93" t="n">
        <x:f>IF(V1871="Returned",0,T1871-U1871)</x:f>
        <x:v>31</x:v>
      </x:c>
      <x:c r="X1871" s="93" t="n">
        <x:f>IF(V1871="Returned",Q1871*R1871*10%,Q1871*R1871)</x:f>
        <x:v>12</x:v>
      </x:c>
      <x:c r="Y1871" s="93" t="n">
        <x:f>W1871-X1871</x:f>
        <x:v>19</x:v>
      </x:c>
      <x:c r="Z1871" s="94" t="n">
        <x:f>IFERROR(Y1871/W1871,0)</x:f>
        <x:v>0.6129032258064516</x:v>
      </x:c>
      <x:c r="AA1871" s="84" t="str">
        <x:f>PROPER(TRIM('Raw Sales'!M1871))</x:f>
        <x:v>Credit Card</x:v>
      </x:c>
      <x:c r="AB1871" s="84" t="str">
        <x:f>PROPER(TRIM('Raw Sales'!N1871))</x:f>
        <x:v>Lucas Grant</x:v>
      </x:c>
      <x:c r="AC1871" s="85" t="n">
        <x:f>'Raw Sales'!O1871</x:f>
        <x:v>45901</x:v>
      </x:c>
      <x:c r="AD1871" s="84" t="n">
        <x:f>AC1871-B1871</x:f>
        <x:v>3</x:v>
      </x:c>
      <x:c r="AE1871" s="84" t="str">
        <x:f>IF(COUNTIF($A$5:A1871,A1871)&gt;1,"Duplicate","Keep")</x:f>
        <x:v>Keep</x:v>
      </x:c>
      <x:c r="AF1871" s="84" t="str">
        <x:f>IF(OR(R1871&lt;=0,AC1871&lt;B1871,H1871="Unknown",M1871="Unknown Product"),"Review","Valid")</x:f>
        <x:v>Valid</x:v>
      </x:c>
      <x:c r="AG1871" s="84" t="n">
        <x:f>IF(AND(AE1871="Keep",AF1871="Valid"),1,0)</x:f>
        <x:v>1</x:v>
      </x:c>
      <x:c r="AH1871" s="84" t="n">
        <x:f>IF(AND(AG1871=1,OR('Dashboard'!$B$4="All",I1871='Dashboard'!$B$4),OR('Dashboard'!$E$4="All",N1871='Dashboard'!$E$4),OR('Dashboard'!$H$4="All",K1871='Dashboard'!$H$4),OR('Dashboard'!$K$4="All",C1871='Dashboard'!$K$4)),1,0)</x:f>
        <x:v>1</x:v>
      </x:c>
      <x:c r="AI1871" s="84" t="n">
        <x:f>IF(AND(AG1871=1,OR('Dashboard'!$B$4="All",I1871='Dashboard'!$B$4),OR('Dashboard'!$E$4="All",N1871='Dashboard'!$E$4),OR('Dashboard'!$H$4="All",K1871='Dashboard'!$H$4)),1,0)</x:f>
        <x:v>1</x:v>
      </x:c>
    </x:row>
    <x:row r="1872">
      <x:c r="A1872" s="84" t="str">
        <x:f>'Raw Sales'!A1872</x:f>
        <x:v>ORD-2025-01216</x:v>
      </x:c>
      <x:c r="B1872" s="85" t="n">
        <x:f>'Raw Sales'!B1872</x:f>
        <x:v>45898</x:v>
      </x:c>
      <x:c r="C1872" s="84" t="n">
        <x:f>YEAR(B1872)</x:f>
        <x:v>2025</x:v>
      </x:c>
      <x:c r="D1872" s="91" t="n">
        <x:f>DATE(YEAR(B1872),MONTH(B1872),1)</x:f>
        <x:v>45870</x:v>
      </x:c>
      <x:c r="E1872" s="84" t="str">
        <x:f>TEXT(B1872,"mmm")</x:f>
        <x:v>Aug</x:v>
      </x:c>
      <x:c r="F1872" s="84" t="str">
        <x:f>'Raw Sales'!C1872</x:f>
        <x:v>CUST-0193</x:v>
      </x:c>
      <x:c r="G1872" s="84" t="str">
        <x:f>PROPER(TRIM('Raw Sales'!D1872))</x:f>
        <x:v>Marcus Davis</x:v>
      </x:c>
      <x:c r="H1872" s="84" t="str">
        <x:f>IF(TRIM('Raw Sales'!E1872)="","Unknown",PROPER(TRIM('Raw Sales'!E1872)))</x:f>
        <x:v>Corporate</x:v>
      </x:c>
      <x:c r="I1872" s="84" t="str">
        <x:f>PROPER(TRIM('Raw Sales'!F1872))</x:f>
        <x:v>Midwest</x:v>
      </x:c>
      <x:c r="J1872" s="84" t="str">
        <x:f>PROPER(TRIM('Raw Sales'!G1872))</x:f>
        <x:v>Columbus</x:v>
      </x:c>
      <x:c r="K1872" s="84" t="str">
        <x:f>PROPER(TRIM('Raw Sales'!H1872))</x:f>
        <x:v>Retail Store</x:v>
      </x:c>
      <x:c r="L1872" s="84" t="str">
        <x:f>'Raw Sales'!I1872</x:f>
        <x:v>HOME-005</x:v>
      </x:c>
      <x:c r="M1872" s="84" t="str">
        <x:f>IFERROR(VLOOKUP(L1872,'Reference Data'!$A$5:$F$40,2,FALSE),"Unknown Product")</x:f>
        <x:v>Cordless Vacuum</x:v>
      </x:c>
      <x:c r="N1872" s="84" t="str">
        <x:f>IFERROR(VLOOKUP(L1872,'Reference Data'!$A$5:$F$40,3,FALSE),"Unknown")</x:f>
        <x:v>Home &amp; Kitchen</x:v>
      </x:c>
      <x:c r="O1872" s="84" t="str">
        <x:f>IFERROR(VLOOKUP(L1872,'Reference Data'!$A$5:$F$40,4,FALSE),"Unknown")</x:f>
        <x:v>Cleaning</x:v>
      </x:c>
      <x:c r="P1872" s="92" t="n">
        <x:f>IFERROR(VLOOKUP(L1872,'Reference Data'!$A$5:$F$40,5,FALSE),0)</x:f>
        <x:v>179</x:v>
      </x:c>
      <x:c r="Q1872" s="92" t="n">
        <x:f>IFERROR(VLOOKUP(L1872,'Reference Data'!$A$5:$F$40,6,FALSE),0)</x:f>
        <x:v>102</x:v>
      </x:c>
      <x:c r="R1872" s="84" t="n">
        <x:f>'Raw Sales'!J1872</x:f>
        <x:v>2</x:v>
      </x:c>
      <x:c r="S1872" s="87" t="n">
        <x:f>'Raw Sales'!K1872</x:f>
        <x:v>0</x:v>
      </x:c>
      <x:c r="T1872" s="93" t="n">
        <x:f>P1872*R1872</x:f>
        <x:v>358</x:v>
      </x:c>
      <x:c r="U1872" s="93" t="n">
        <x:f>T1872*S1872</x:f>
        <x:v>0</x:v>
      </x:c>
      <x:c r="V1872" s="93" t="str">
        <x:f>PROPER(TRIM('Raw Sales'!L1872))</x:f>
        <x:v>Completed</x:v>
      </x:c>
      <x:c r="W1872" s="93" t="n">
        <x:f>IF(V1872="Returned",0,T1872-U1872)</x:f>
        <x:v>358</x:v>
      </x:c>
      <x:c r="X1872" s="93" t="n">
        <x:f>IF(V1872="Returned",Q1872*R1872*10%,Q1872*R1872)</x:f>
        <x:v>204</x:v>
      </x:c>
      <x:c r="Y1872" s="93" t="n">
        <x:f>W1872-X1872</x:f>
        <x:v>154</x:v>
      </x:c>
      <x:c r="Z1872" s="94" t="n">
        <x:f>IFERROR(Y1872/W1872,0)</x:f>
        <x:v>0.4301675977653631</x:v>
      </x:c>
      <x:c r="AA1872" s="84" t="str">
        <x:f>PROPER(TRIM('Raw Sales'!M1872))</x:f>
        <x:v>Debit Card</x:v>
      </x:c>
      <x:c r="AB1872" s="84" t="str">
        <x:f>PROPER(TRIM('Raw Sales'!N1872))</x:f>
        <x:v>Lucas Grant</x:v>
      </x:c>
      <x:c r="AC1872" s="85" t="n">
        <x:f>'Raw Sales'!O1872</x:f>
        <x:v>45898</x:v>
      </x:c>
      <x:c r="AD1872" s="84" t="n">
        <x:f>AC1872-B1872</x:f>
        <x:v>0</x:v>
      </x:c>
      <x:c r="AE1872" s="84" t="str">
        <x:f>IF(COUNTIF($A$5:A1872,A1872)&gt;1,"Duplicate","Keep")</x:f>
        <x:v>Keep</x:v>
      </x:c>
      <x:c r="AF1872" s="84" t="str">
        <x:f>IF(OR(R1872&lt;=0,AC1872&lt;B1872,H1872="Unknown",M1872="Unknown Product"),"Review","Valid")</x:f>
        <x:v>Valid</x:v>
      </x:c>
      <x:c r="AG1872" s="84" t="n">
        <x:f>IF(AND(AE1872="Keep",AF1872="Valid"),1,0)</x:f>
        <x:v>1</x:v>
      </x:c>
      <x:c r="AH1872" s="84" t="n">
        <x:f>IF(AND(AG1872=1,OR('Dashboard'!$B$4="All",I1872='Dashboard'!$B$4),OR('Dashboard'!$E$4="All",N1872='Dashboard'!$E$4),OR('Dashboard'!$H$4="All",K1872='Dashboard'!$H$4),OR('Dashboard'!$K$4="All",C1872='Dashboard'!$K$4)),1,0)</x:f>
        <x:v>1</x:v>
      </x:c>
      <x:c r="AI1872" s="84" t="n">
        <x:f>IF(AND(AG1872=1,OR('Dashboard'!$B$4="All",I1872='Dashboard'!$B$4),OR('Dashboard'!$E$4="All",N1872='Dashboard'!$E$4),OR('Dashboard'!$H$4="All",K1872='Dashboard'!$H$4)),1,0)</x:f>
        <x:v>1</x:v>
      </x:c>
    </x:row>
    <x:row r="1873">
      <x:c r="A1873" s="84" t="str">
        <x:f>'Raw Sales'!A1873</x:f>
        <x:v>ORD-2025-01396</x:v>
      </x:c>
      <x:c r="B1873" s="85" t="n">
        <x:f>'Raw Sales'!B1873</x:f>
        <x:v>45898</x:v>
      </x:c>
      <x:c r="C1873" s="84" t="n">
        <x:f>YEAR(B1873)</x:f>
        <x:v>2025</x:v>
      </x:c>
      <x:c r="D1873" s="91" t="n">
        <x:f>DATE(YEAR(B1873),MONTH(B1873),1)</x:f>
        <x:v>45870</x:v>
      </x:c>
      <x:c r="E1873" s="84" t="str">
        <x:f>TEXT(B1873,"mmm")</x:f>
        <x:v>Aug</x:v>
      </x:c>
      <x:c r="F1873" s="84" t="str">
        <x:f>'Raw Sales'!C1873</x:f>
        <x:v>CUST-0179</x:v>
      </x:c>
      <x:c r="G1873" s="84" t="str">
        <x:f>PROPER(TRIM('Raw Sales'!D1873))</x:f>
        <x:v>Jasmine Garcia</x:v>
      </x:c>
      <x:c r="H1873" s="84" t="str">
        <x:f>IF(TRIM('Raw Sales'!E1873)="","Unknown",PROPER(TRIM('Raw Sales'!E1873)))</x:f>
        <x:v>Consumer</x:v>
      </x:c>
      <x:c r="I1873" s="84" t="str">
        <x:f>PROPER(TRIM('Raw Sales'!F1873))</x:f>
        <x:v>West</x:v>
      </x:c>
      <x:c r="J1873" s="84" t="str">
        <x:f>PROPER(TRIM('Raw Sales'!G1873))</x:f>
        <x:v>Phoenix</x:v>
      </x:c>
      <x:c r="K1873" s="84" t="str">
        <x:f>PROPER(TRIM('Raw Sales'!H1873))</x:f>
        <x:v>Retail Store</x:v>
      </x:c>
      <x:c r="L1873" s="84" t="str">
        <x:f>'Raw Sales'!I1873</x:f>
        <x:v>ELEC-003</x:v>
      </x:c>
      <x:c r="M1873" s="84" t="str">
        <x:f>IFERROR(VLOOKUP(L1873,'Reference Data'!$A$5:$F$40,2,FALSE),"Unknown Product")</x:f>
        <x:v>Bluetooth Speaker</x:v>
      </x:c>
      <x:c r="N1873" s="84" t="str">
        <x:f>IFERROR(VLOOKUP(L1873,'Reference Data'!$A$5:$F$40,3,FALSE),"Unknown")</x:f>
        <x:v>Electronics</x:v>
      </x:c>
      <x:c r="O1873" s="84" t="str">
        <x:f>IFERROR(VLOOKUP(L1873,'Reference Data'!$A$5:$F$40,4,FALSE),"Unknown")</x:f>
        <x:v>Audio</x:v>
      </x:c>
      <x:c r="P1873" s="92" t="n">
        <x:f>IFERROR(VLOOKUP(L1873,'Reference Data'!$A$5:$F$40,5,FALSE),0)</x:f>
        <x:v>89</x:v>
      </x:c>
      <x:c r="Q1873" s="92" t="n">
        <x:f>IFERROR(VLOOKUP(L1873,'Reference Data'!$A$5:$F$40,6,FALSE),0)</x:f>
        <x:v>44</x:v>
      </x:c>
      <x:c r="R1873" s="84" t="n">
        <x:f>'Raw Sales'!J1873</x:f>
        <x:v>1</x:v>
      </x:c>
      <x:c r="S1873" s="87" t="n">
        <x:f>'Raw Sales'!K1873</x:f>
        <x:v>0</x:v>
      </x:c>
      <x:c r="T1873" s="93" t="n">
        <x:f>P1873*R1873</x:f>
        <x:v>89</x:v>
      </x:c>
      <x:c r="U1873" s="93" t="n">
        <x:f>T1873*S1873</x:f>
        <x:v>0</x:v>
      </x:c>
      <x:c r="V1873" s="93" t="str">
        <x:f>PROPER(TRIM('Raw Sales'!L1873))</x:f>
        <x:v>Completed</x:v>
      </x:c>
      <x:c r="W1873" s="93" t="n">
        <x:f>IF(V1873="Returned",0,T1873-U1873)</x:f>
        <x:v>89</x:v>
      </x:c>
      <x:c r="X1873" s="93" t="n">
        <x:f>IF(V1873="Returned",Q1873*R1873*10%,Q1873*R1873)</x:f>
        <x:v>44</x:v>
      </x:c>
      <x:c r="Y1873" s="93" t="n">
        <x:f>W1873-X1873</x:f>
        <x:v>45</x:v>
      </x:c>
      <x:c r="Z1873" s="94" t="n">
        <x:f>IFERROR(Y1873/W1873,0)</x:f>
        <x:v>0.5056179775280899</x:v>
      </x:c>
      <x:c r="AA1873" s="84" t="str">
        <x:f>PROPER(TRIM('Raw Sales'!M1873))</x:f>
        <x:v>Credit Card</x:v>
      </x:c>
      <x:c r="AB1873" s="84" t="str">
        <x:f>PROPER(TRIM('Raw Sales'!N1873))</x:f>
        <x:v>Nora Kim</x:v>
      </x:c>
      <x:c r="AC1873" s="85" t="n">
        <x:f>'Raw Sales'!O1873</x:f>
        <x:v>45898</x:v>
      </x:c>
      <x:c r="AD1873" s="84" t="n">
        <x:f>AC1873-B1873</x:f>
        <x:v>0</x:v>
      </x:c>
      <x:c r="AE1873" s="84" t="str">
        <x:f>IF(COUNTIF($A$5:A1873,A1873)&gt;1,"Duplicate","Keep")</x:f>
        <x:v>Keep</x:v>
      </x:c>
      <x:c r="AF1873" s="84" t="str">
        <x:f>IF(OR(R1873&lt;=0,AC1873&lt;B1873,H1873="Unknown",M1873="Unknown Product"),"Review","Valid")</x:f>
        <x:v>Valid</x:v>
      </x:c>
      <x:c r="AG1873" s="84" t="n">
        <x:f>IF(AND(AE1873="Keep",AF1873="Valid"),1,0)</x:f>
        <x:v>1</x:v>
      </x:c>
      <x:c r="AH1873" s="84" t="n">
        <x:f>IF(AND(AG1873=1,OR('Dashboard'!$B$4="All",I1873='Dashboard'!$B$4),OR('Dashboard'!$E$4="All",N1873='Dashboard'!$E$4),OR('Dashboard'!$H$4="All",K1873='Dashboard'!$H$4),OR('Dashboard'!$K$4="All",C1873='Dashboard'!$K$4)),1,0)</x:f>
        <x:v>1</x:v>
      </x:c>
      <x:c r="AI1873" s="84" t="n">
        <x:f>IF(AND(AG1873=1,OR('Dashboard'!$B$4="All",I1873='Dashboard'!$B$4),OR('Dashboard'!$E$4="All",N1873='Dashboard'!$E$4),OR('Dashboard'!$H$4="All",K1873='Dashboard'!$H$4)),1,0)</x:f>
        <x:v>1</x:v>
      </x:c>
    </x:row>
    <x:row r="1874">
      <x:c r="A1874" s="84" t="str">
        <x:f>'Raw Sales'!A1874</x:f>
        <x:v>ORD-2025-01968</x:v>
      </x:c>
      <x:c r="B1874" s="85" t="n">
        <x:f>'Raw Sales'!B1874</x:f>
        <x:v>45898</x:v>
      </x:c>
      <x:c r="C1874" s="84" t="n">
        <x:f>YEAR(B1874)</x:f>
        <x:v>2025</x:v>
      </x:c>
      <x:c r="D1874" s="91" t="n">
        <x:f>DATE(YEAR(B1874),MONTH(B1874),1)</x:f>
        <x:v>45870</x:v>
      </x:c>
      <x:c r="E1874" s="84" t="str">
        <x:f>TEXT(B1874,"mmm")</x:f>
        <x:v>Aug</x:v>
      </x:c>
      <x:c r="F1874" s="84" t="str">
        <x:f>'Raw Sales'!C1874</x:f>
        <x:v>CUST-0020</x:v>
      </x:c>
      <x:c r="G1874" s="84" t="str">
        <x:f>PROPER(TRIM('Raw Sales'!D1874))</x:f>
        <x:v>Elias Ortiz</x:v>
      </x:c>
      <x:c r="H1874" s="84" t="str">
        <x:f>IF(TRIM('Raw Sales'!E1874)="","Unknown",PROPER(TRIM('Raw Sales'!E1874)))</x:f>
        <x:v>Consumer</x:v>
      </x:c>
      <x:c r="I1874" s="84" t="str">
        <x:f>PROPER(TRIM('Raw Sales'!F1874))</x:f>
        <x:v>Southeast</x:v>
      </x:c>
      <x:c r="J1874" s="84" t="str">
        <x:f>PROPER(TRIM('Raw Sales'!G1874))</x:f>
        <x:v>Miami</x:v>
      </x:c>
      <x:c r="K1874" s="84" t="str">
        <x:f>PROPER(TRIM('Raw Sales'!H1874))</x:f>
        <x:v>Retail Store</x:v>
      </x:c>
      <x:c r="L1874" s="84" t="str">
        <x:f>'Raw Sales'!I1874</x:f>
        <x:v>ELEC-005</x:v>
      </x:c>
      <x:c r="M1874" s="84" t="str">
        <x:f>IFERROR(VLOOKUP(L1874,'Reference Data'!$A$5:$F$40,2,FALSE),"Unknown Product")</x:f>
        <x:v>HD Webcam</x:v>
      </x:c>
      <x:c r="N1874" s="84" t="str">
        <x:f>IFERROR(VLOOKUP(L1874,'Reference Data'!$A$5:$F$40,3,FALSE),"Unknown")</x:f>
        <x:v>Electronics</x:v>
      </x:c>
      <x:c r="O1874" s="84" t="str">
        <x:f>IFERROR(VLOOKUP(L1874,'Reference Data'!$A$5:$F$40,4,FALSE),"Unknown")</x:f>
        <x:v>Computer Accessories</x:v>
      </x:c>
      <x:c r="P1874" s="92" t="n">
        <x:f>IFERROR(VLOOKUP(L1874,'Reference Data'!$A$5:$F$40,5,FALSE),0)</x:f>
        <x:v>79</x:v>
      </x:c>
      <x:c r="Q1874" s="92" t="n">
        <x:f>IFERROR(VLOOKUP(L1874,'Reference Data'!$A$5:$F$40,6,FALSE),0)</x:f>
        <x:v>37</x:v>
      </x:c>
      <x:c r="R1874" s="84" t="n">
        <x:f>'Raw Sales'!J1874</x:f>
        <x:v>2</x:v>
      </x:c>
      <x:c r="S1874" s="87" t="n">
        <x:f>'Raw Sales'!K1874</x:f>
        <x:v>0.1</x:v>
      </x:c>
      <x:c r="T1874" s="93" t="n">
        <x:f>P1874*R1874</x:f>
        <x:v>158</x:v>
      </x:c>
      <x:c r="U1874" s="93" t="n">
        <x:f>T1874*S1874</x:f>
        <x:v>15.8</x:v>
      </x:c>
      <x:c r="V1874" s="93" t="str">
        <x:f>PROPER(TRIM('Raw Sales'!L1874))</x:f>
        <x:v>Completed</x:v>
      </x:c>
      <x:c r="W1874" s="93" t="n">
        <x:f>IF(V1874="Returned",0,T1874-U1874)</x:f>
        <x:v>142.2</x:v>
      </x:c>
      <x:c r="X1874" s="93" t="n">
        <x:f>IF(V1874="Returned",Q1874*R1874*10%,Q1874*R1874)</x:f>
        <x:v>74</x:v>
      </x:c>
      <x:c r="Y1874" s="93" t="n">
        <x:f>W1874-X1874</x:f>
        <x:v>68.19999999999999</x:v>
      </x:c>
      <x:c r="Z1874" s="94" t="n">
        <x:f>IFERROR(Y1874/W1874,0)</x:f>
        <x:v>0.4796061884669479</x:v>
      </x:c>
      <x:c r="AA1874" s="84" t="str">
        <x:f>PROPER(TRIM('Raw Sales'!M1874))</x:f>
        <x:v>Cash</x:v>
      </x:c>
      <x:c r="AB1874" s="84" t="str">
        <x:f>PROPER(TRIM('Raw Sales'!N1874))</x:f>
        <x:v>Noah Reed</x:v>
      </x:c>
      <x:c r="AC1874" s="85" t="n">
        <x:f>'Raw Sales'!O1874</x:f>
        <x:v>45899</x:v>
      </x:c>
      <x:c r="AD1874" s="84" t="n">
        <x:f>AC1874-B1874</x:f>
        <x:v>1</x:v>
      </x:c>
      <x:c r="AE1874" s="84" t="str">
        <x:f>IF(COUNTIF($A$5:A1874,A1874)&gt;1,"Duplicate","Keep")</x:f>
        <x:v>Keep</x:v>
      </x:c>
      <x:c r="AF1874" s="84" t="str">
        <x:f>IF(OR(R1874&lt;=0,AC1874&lt;B1874,H1874="Unknown",M1874="Unknown Product"),"Review","Valid")</x:f>
        <x:v>Valid</x:v>
      </x:c>
      <x:c r="AG1874" s="84" t="n">
        <x:f>IF(AND(AE1874="Keep",AF1874="Valid"),1,0)</x:f>
        <x:v>1</x:v>
      </x:c>
      <x:c r="AH1874" s="84" t="n">
        <x:f>IF(AND(AG1874=1,OR('Dashboard'!$B$4="All",I1874='Dashboard'!$B$4),OR('Dashboard'!$E$4="All",N1874='Dashboard'!$E$4),OR('Dashboard'!$H$4="All",K1874='Dashboard'!$H$4),OR('Dashboard'!$K$4="All",C1874='Dashboard'!$K$4)),1,0)</x:f>
        <x:v>1</x:v>
      </x:c>
      <x:c r="AI1874" s="84" t="n">
        <x:f>IF(AND(AG1874=1,OR('Dashboard'!$B$4="All",I1874='Dashboard'!$B$4),OR('Dashboard'!$E$4="All",N1874='Dashboard'!$E$4),OR('Dashboard'!$H$4="All",K1874='Dashboard'!$H$4)),1,0)</x:f>
        <x:v>1</x:v>
      </x:c>
    </x:row>
    <x:row r="1875">
      <x:c r="A1875" s="84" t="str">
        <x:f>'Raw Sales'!A1875</x:f>
        <x:v>ORD-2025-00383</x:v>
      </x:c>
      <x:c r="B1875" s="85" t="n">
        <x:f>'Raw Sales'!B1875</x:f>
        <x:v>45899</x:v>
      </x:c>
      <x:c r="C1875" s="84" t="n">
        <x:f>YEAR(B1875)</x:f>
        <x:v>2025</x:v>
      </x:c>
      <x:c r="D1875" s="91" t="n">
        <x:f>DATE(YEAR(B1875),MONTH(B1875),1)</x:f>
        <x:v>45870</x:v>
      </x:c>
      <x:c r="E1875" s="84" t="str">
        <x:f>TEXT(B1875,"mmm")</x:f>
        <x:v>Aug</x:v>
      </x:c>
      <x:c r="F1875" s="84" t="str">
        <x:f>'Raw Sales'!C1875</x:f>
        <x:v>CUST-0268</x:v>
      </x:c>
      <x:c r="G1875" s="84" t="str">
        <x:f>PROPER(TRIM('Raw Sales'!D1875))</x:f>
        <x:v>Aiden Moore</x:v>
      </x:c>
      <x:c r="H1875" s="84" t="str">
        <x:f>IF(TRIM('Raw Sales'!E1875)="","Unknown",PROPER(TRIM('Raw Sales'!E1875)))</x:f>
        <x:v>Small Business</x:v>
      </x:c>
      <x:c r="I1875" s="84" t="str">
        <x:f>PROPER(TRIM('Raw Sales'!F1875))</x:f>
        <x:v>Midwest</x:v>
      </x:c>
      <x:c r="J1875" s="84" t="str">
        <x:f>PROPER(TRIM('Raw Sales'!G1875))</x:f>
        <x:v>Chicago</x:v>
      </x:c>
      <x:c r="K1875" s="84" t="str">
        <x:f>PROPER(TRIM('Raw Sales'!H1875))</x:f>
        <x:v>Online</x:v>
      </x:c>
      <x:c r="L1875" s="84" t="str">
        <x:f>'Raw Sales'!I1875</x:f>
        <x:v>HOME-002</x:v>
      </x:c>
      <x:c r="M1875" s="84" t="str">
        <x:f>IFERROR(VLOOKUP(L1875,'Reference Data'!$A$5:$F$40,2,FALSE),"Unknown Product")</x:f>
        <x:v>Electric Kettle</x:v>
      </x:c>
      <x:c r="N1875" s="84" t="str">
        <x:f>IFERROR(VLOOKUP(L1875,'Reference Data'!$A$5:$F$40,3,FALSE),"Unknown")</x:f>
        <x:v>Home &amp; Kitchen</x:v>
      </x:c>
      <x:c r="O1875" s="84" t="str">
        <x:f>IFERROR(VLOOKUP(L1875,'Reference Data'!$A$5:$F$40,4,FALSE),"Unknown")</x:f>
        <x:v>Small Appliances</x:v>
      </x:c>
      <x:c r="P1875" s="92" t="n">
        <x:f>IFERROR(VLOOKUP(L1875,'Reference Data'!$A$5:$F$40,5,FALSE),0)</x:f>
        <x:v>49</x:v>
      </x:c>
      <x:c r="Q1875" s="92" t="n">
        <x:f>IFERROR(VLOOKUP(L1875,'Reference Data'!$A$5:$F$40,6,FALSE),0)</x:f>
        <x:v>23</x:v>
      </x:c>
      <x:c r="R1875" s="84" t="n">
        <x:f>'Raw Sales'!J1875</x:f>
        <x:v>2</x:v>
      </x:c>
      <x:c r="S1875" s="87" t="n">
        <x:f>'Raw Sales'!K1875</x:f>
        <x:v>0.15</x:v>
      </x:c>
      <x:c r="T1875" s="93" t="n">
        <x:f>P1875*R1875</x:f>
        <x:v>98</x:v>
      </x:c>
      <x:c r="U1875" s="93" t="n">
        <x:f>T1875*S1875</x:f>
        <x:v>14.7</x:v>
      </x:c>
      <x:c r="V1875" s="93" t="str">
        <x:f>PROPER(TRIM('Raw Sales'!L1875))</x:f>
        <x:v>Completed</x:v>
      </x:c>
      <x:c r="W1875" s="93" t="n">
        <x:f>IF(V1875="Returned",0,T1875-U1875)</x:f>
        <x:v>83.3</x:v>
      </x:c>
      <x:c r="X1875" s="93" t="n">
        <x:f>IF(V1875="Returned",Q1875*R1875*10%,Q1875*R1875)</x:f>
        <x:v>46</x:v>
      </x:c>
      <x:c r="Y1875" s="93" t="n">
        <x:f>W1875-X1875</x:f>
        <x:v>37.3</x:v>
      </x:c>
      <x:c r="Z1875" s="94" t="n">
        <x:f>IFERROR(Y1875/W1875,0)</x:f>
        <x:v>0.44777911164465783</x:v>
      </x:c>
      <x:c r="AA1875" s="84" t="str">
        <x:f>PROPER(TRIM('Raw Sales'!M1875))</x:f>
        <x:v>Credit Card</x:v>
      </x:c>
      <x:c r="AB1875" s="84" t="str">
        <x:f>PROPER(TRIM('Raw Sales'!N1875))</x:f>
        <x:v>Lucas Grant</x:v>
      </x:c>
      <x:c r="AC1875" s="85" t="n">
        <x:f>'Raw Sales'!O1875</x:f>
        <x:v>45903</x:v>
      </x:c>
      <x:c r="AD1875" s="84" t="n">
        <x:f>AC1875-B1875</x:f>
        <x:v>4</x:v>
      </x:c>
      <x:c r="AE1875" s="84" t="str">
        <x:f>IF(COUNTIF($A$5:A1875,A1875)&gt;1,"Duplicate","Keep")</x:f>
        <x:v>Keep</x:v>
      </x:c>
      <x:c r="AF1875" s="84" t="str">
        <x:f>IF(OR(R1875&lt;=0,AC1875&lt;B1875,H1875="Unknown",M1875="Unknown Product"),"Review","Valid")</x:f>
        <x:v>Valid</x:v>
      </x:c>
      <x:c r="AG1875" s="84" t="n">
        <x:f>IF(AND(AE1875="Keep",AF1875="Valid"),1,0)</x:f>
        <x:v>1</x:v>
      </x:c>
      <x:c r="AH1875" s="84" t="n">
        <x:f>IF(AND(AG1875=1,OR('Dashboard'!$B$4="All",I1875='Dashboard'!$B$4),OR('Dashboard'!$E$4="All",N1875='Dashboard'!$E$4),OR('Dashboard'!$H$4="All",K1875='Dashboard'!$H$4),OR('Dashboard'!$K$4="All",C1875='Dashboard'!$K$4)),1,0)</x:f>
        <x:v>1</x:v>
      </x:c>
      <x:c r="AI1875" s="84" t="n">
        <x:f>IF(AND(AG1875=1,OR('Dashboard'!$B$4="All",I1875='Dashboard'!$B$4),OR('Dashboard'!$E$4="All",N1875='Dashboard'!$E$4),OR('Dashboard'!$H$4="All",K1875='Dashboard'!$H$4)),1,0)</x:f>
        <x:v>1</x:v>
      </x:c>
    </x:row>
    <x:row r="1876">
      <x:c r="A1876" s="84" t="str">
        <x:f>'Raw Sales'!A1876</x:f>
        <x:v>ORD-2025-00847</x:v>
      </x:c>
      <x:c r="B1876" s="85" t="n">
        <x:f>'Raw Sales'!B1876</x:f>
        <x:v>45901</x:v>
      </x:c>
      <x:c r="C1876" s="84" t="n">
        <x:f>YEAR(B1876)</x:f>
        <x:v>2025</x:v>
      </x:c>
      <x:c r="D1876" s="91" t="n">
        <x:f>DATE(YEAR(B1876),MONTH(B1876),1)</x:f>
        <x:v>45901</x:v>
      </x:c>
      <x:c r="E1876" s="84" t="str">
        <x:f>TEXT(B1876,"mmm")</x:f>
        <x:v>Sep</x:v>
      </x:c>
      <x:c r="F1876" s="84" t="str">
        <x:f>'Raw Sales'!C1876</x:f>
        <x:v>CUST-0281</x:v>
      </x:c>
      <x:c r="G1876" s="84" t="str">
        <x:f>PROPER(TRIM('Raw Sales'!D1876))</x:f>
        <x:v>Jonah Foster</x:v>
      </x:c>
      <x:c r="H1876" s="84" t="str">
        <x:f>IF(TRIM('Raw Sales'!E1876)="","Unknown",PROPER(TRIM('Raw Sales'!E1876)))</x:f>
        <x:v>Consumer</x:v>
      </x:c>
      <x:c r="I1876" s="84" t="str">
        <x:f>PROPER(TRIM('Raw Sales'!F1876))</x:f>
        <x:v>Midwest</x:v>
      </x:c>
      <x:c r="J1876" s="84" t="str">
        <x:f>PROPER(TRIM('Raw Sales'!G1876))</x:f>
        <x:v>Detroit</x:v>
      </x:c>
      <x:c r="K1876" s="84" t="str">
        <x:f>PROPER(TRIM('Raw Sales'!H1876))</x:f>
        <x:v>Retail Store</x:v>
      </x:c>
      <x:c r="L1876" s="84" t="str">
        <x:f>'Raw Sales'!I1876</x:f>
        <x:v>OFFC-004</x:v>
      </x:c>
      <x:c r="M1876" s="84" t="str">
        <x:f>IFERROR(VLOOKUP(L1876,'Reference Data'!$A$5:$F$40,2,FALSE),"Unknown Product")</x:f>
        <x:v>Premium Notebook Pack</x:v>
      </x:c>
      <x:c r="N1876" s="84" t="str">
        <x:f>IFERROR(VLOOKUP(L1876,'Reference Data'!$A$5:$F$40,3,FALSE),"Unknown")</x:f>
        <x:v>Office</x:v>
      </x:c>
      <x:c r="O1876" s="84" t="str">
        <x:f>IFERROR(VLOOKUP(L1876,'Reference Data'!$A$5:$F$40,4,FALSE),"Unknown")</x:f>
        <x:v>Stationery</x:v>
      </x:c>
      <x:c r="P1876" s="92" t="n">
        <x:f>IFERROR(VLOOKUP(L1876,'Reference Data'!$A$5:$F$40,5,FALSE),0)</x:f>
        <x:v>18</x:v>
      </x:c>
      <x:c r="Q1876" s="92" t="n">
        <x:f>IFERROR(VLOOKUP(L1876,'Reference Data'!$A$5:$F$40,6,FALSE),0)</x:f>
        <x:v>6.5</x:v>
      </x:c>
      <x:c r="R1876" s="84" t="n">
        <x:f>'Raw Sales'!J1876</x:f>
        <x:v>1</x:v>
      </x:c>
      <x:c r="S1876" s="87" t="n">
        <x:f>'Raw Sales'!K1876</x:f>
        <x:v>0.05</x:v>
      </x:c>
      <x:c r="T1876" s="93" t="n">
        <x:f>P1876*R1876</x:f>
        <x:v>18</x:v>
      </x:c>
      <x:c r="U1876" s="93" t="n">
        <x:f>T1876*S1876</x:f>
        <x:v>0.9</x:v>
      </x:c>
      <x:c r="V1876" s="93" t="str">
        <x:f>PROPER(TRIM('Raw Sales'!L1876))</x:f>
        <x:v>Returned</x:v>
      </x:c>
      <x:c r="W1876" s="93" t="n">
        <x:f>IF(V1876="Returned",0,T1876-U1876)</x:f>
        <x:v>0</x:v>
      </x:c>
      <x:c r="X1876" s="93" t="n">
        <x:f>IF(V1876="Returned",Q1876*R1876*10%,Q1876*R1876)</x:f>
        <x:v>0.65</x:v>
      </x:c>
      <x:c r="Y1876" s="93" t="n">
        <x:f>W1876-X1876</x:f>
        <x:v>-0.65</x:v>
      </x:c>
      <x:c r="Z1876" s="94" t="n">
        <x:f>IFERROR(Y1876/W1876,0)</x:f>
        <x:v>0</x:v>
      </x:c>
      <x:c r="AA1876" s="84" t="str">
        <x:f>PROPER(TRIM('Raw Sales'!M1876))</x:f>
        <x:v>Cash</x:v>
      </x:c>
      <x:c r="AB1876" s="84" t="str">
        <x:f>PROPER(TRIM('Raw Sales'!N1876))</x:f>
        <x:v>Zoe Turner</x:v>
      </x:c>
      <x:c r="AC1876" s="85" t="n">
        <x:f>'Raw Sales'!O1876</x:f>
        <x:v>45902</x:v>
      </x:c>
      <x:c r="AD1876" s="84" t="n">
        <x:f>AC1876-B1876</x:f>
        <x:v>1</x:v>
      </x:c>
      <x:c r="AE1876" s="84" t="str">
        <x:f>IF(COUNTIF($A$5:A1876,A1876)&gt;1,"Duplicate","Keep")</x:f>
        <x:v>Keep</x:v>
      </x:c>
      <x:c r="AF1876" s="84" t="str">
        <x:f>IF(OR(R1876&lt;=0,AC1876&lt;B1876,H1876="Unknown",M1876="Unknown Product"),"Review","Valid")</x:f>
        <x:v>Valid</x:v>
      </x:c>
      <x:c r="AG1876" s="84" t="n">
        <x:f>IF(AND(AE1876="Keep",AF1876="Valid"),1,0)</x:f>
        <x:v>1</x:v>
      </x:c>
      <x:c r="AH1876" s="84" t="n">
        <x:f>IF(AND(AG1876=1,OR('Dashboard'!$B$4="All",I1876='Dashboard'!$B$4),OR('Dashboard'!$E$4="All",N1876='Dashboard'!$E$4),OR('Dashboard'!$H$4="All",K1876='Dashboard'!$H$4),OR('Dashboard'!$K$4="All",C1876='Dashboard'!$K$4)),1,0)</x:f>
        <x:v>1</x:v>
      </x:c>
      <x:c r="AI1876" s="84" t="n">
        <x:f>IF(AND(AG1876=1,OR('Dashboard'!$B$4="All",I1876='Dashboard'!$B$4),OR('Dashboard'!$E$4="All",N1876='Dashboard'!$E$4),OR('Dashboard'!$H$4="All",K1876='Dashboard'!$H$4)),1,0)</x:f>
        <x:v>1</x:v>
      </x:c>
    </x:row>
    <x:row r="1877">
      <x:c r="A1877" s="84" t="str">
        <x:f>'Raw Sales'!A1877</x:f>
        <x:v>ORD-2025-01904</x:v>
      </x:c>
      <x:c r="B1877" s="85" t="n">
        <x:f>'Raw Sales'!B1877</x:f>
        <x:v>45901</x:v>
      </x:c>
      <x:c r="C1877" s="84" t="n">
        <x:f>YEAR(B1877)</x:f>
        <x:v>2025</x:v>
      </x:c>
      <x:c r="D1877" s="91" t="n">
        <x:f>DATE(YEAR(B1877),MONTH(B1877),1)</x:f>
        <x:v>45901</x:v>
      </x:c>
      <x:c r="E1877" s="84" t="str">
        <x:f>TEXT(B1877,"mmm")</x:f>
        <x:v>Sep</x:v>
      </x:c>
      <x:c r="F1877" s="84" t="str">
        <x:f>'Raw Sales'!C1877</x:f>
        <x:v>CUST-0223</x:v>
      </x:c>
      <x:c r="G1877" s="84" t="str">
        <x:f>PROPER(TRIM('Raw Sales'!D1877))</x:f>
        <x:v>Victoria Irwin</x:v>
      </x:c>
      <x:c r="H1877" s="84" t="str">
        <x:f>IF(TRIM('Raw Sales'!E1877)="","Unknown",PROPER(TRIM('Raw Sales'!E1877)))</x:f>
        <x:v>Consumer</x:v>
      </x:c>
      <x:c r="I1877" s="84" t="str">
        <x:f>PROPER(TRIM('Raw Sales'!F1877))</x:f>
        <x:v>Southeast</x:v>
      </x:c>
      <x:c r="J1877" s="84" t="str">
        <x:f>PROPER(TRIM('Raw Sales'!G1877))</x:f>
        <x:v>Charlotte</x:v>
      </x:c>
      <x:c r="K1877" s="84" t="str">
        <x:f>PROPER(TRIM('Raw Sales'!H1877))</x:f>
        <x:v>Retail Store</x:v>
      </x:c>
      <x:c r="L1877" s="84" t="str">
        <x:f>'Raw Sales'!I1877</x:f>
        <x:v>OFFC-003</x:v>
      </x:c>
      <x:c r="M1877" s="84" t="str">
        <x:f>IFERROR(VLOOKUP(L1877,'Reference Data'!$A$5:$F$40,2,FALSE),"Unknown Product")</x:f>
        <x:v>LED Desk Lamp</x:v>
      </x:c>
      <x:c r="N1877" s="84" t="str">
        <x:f>IFERROR(VLOOKUP(L1877,'Reference Data'!$A$5:$F$40,3,FALSE),"Unknown")</x:f>
        <x:v>Office</x:v>
      </x:c>
      <x:c r="O1877" s="84" t="str">
        <x:f>IFERROR(VLOOKUP(L1877,'Reference Data'!$A$5:$F$40,4,FALSE),"Unknown")</x:f>
        <x:v>Desk Accessories</x:v>
      </x:c>
      <x:c r="P1877" s="92" t="n">
        <x:f>IFERROR(VLOOKUP(L1877,'Reference Data'!$A$5:$F$40,5,FALSE),0)</x:f>
        <x:v>45</x:v>
      </x:c>
      <x:c r="Q1877" s="92" t="n">
        <x:f>IFERROR(VLOOKUP(L1877,'Reference Data'!$A$5:$F$40,6,FALSE),0)</x:f>
        <x:v>20</x:v>
      </x:c>
      <x:c r="R1877" s="84" t="n">
        <x:f>'Raw Sales'!J1877</x:f>
        <x:v>2</x:v>
      </x:c>
      <x:c r="S1877" s="87" t="n">
        <x:f>'Raw Sales'!K1877</x:f>
        <x:v>0</x:v>
      </x:c>
      <x:c r="T1877" s="93" t="n">
        <x:f>P1877*R1877</x:f>
        <x:v>90</x:v>
      </x:c>
      <x:c r="U1877" s="93" t="n">
        <x:f>T1877*S1877</x:f>
        <x:v>0</x:v>
      </x:c>
      <x:c r="V1877" s="93" t="str">
        <x:f>PROPER(TRIM('Raw Sales'!L1877))</x:f>
        <x:v>Completed</x:v>
      </x:c>
      <x:c r="W1877" s="93" t="n">
        <x:f>IF(V1877="Returned",0,T1877-U1877)</x:f>
        <x:v>90</x:v>
      </x:c>
      <x:c r="X1877" s="93" t="n">
        <x:f>IF(V1877="Returned",Q1877*R1877*10%,Q1877*R1877)</x:f>
        <x:v>40</x:v>
      </x:c>
      <x:c r="Y1877" s="93" t="n">
        <x:f>W1877-X1877</x:f>
        <x:v>50</x:v>
      </x:c>
      <x:c r="Z1877" s="94" t="n">
        <x:f>IFERROR(Y1877/W1877,0)</x:f>
        <x:v>0.5555555555555556</x:v>
      </x:c>
      <x:c r="AA1877" s="84" t="str">
        <x:f>PROPER(TRIM('Raw Sales'!M1877))</x:f>
        <x:v>Cash</x:v>
      </x:c>
      <x:c r="AB1877" s="84" t="str">
        <x:f>PROPER(TRIM('Raw Sales'!N1877))</x:f>
        <x:v>Liam Parker</x:v>
      </x:c>
      <x:c r="AC1877" s="85" t="n">
        <x:f>'Raw Sales'!O1877</x:f>
        <x:v>45902</x:v>
      </x:c>
      <x:c r="AD1877" s="84" t="n">
        <x:f>AC1877-B1877</x:f>
        <x:v>1</x:v>
      </x:c>
      <x:c r="AE1877" s="84" t="str">
        <x:f>IF(COUNTIF($A$5:A1877,A1877)&gt;1,"Duplicate","Keep")</x:f>
        <x:v>Keep</x:v>
      </x:c>
      <x:c r="AF1877" s="84" t="str">
        <x:f>IF(OR(R1877&lt;=0,AC1877&lt;B1877,H1877="Unknown",M1877="Unknown Product"),"Review","Valid")</x:f>
        <x:v>Valid</x:v>
      </x:c>
      <x:c r="AG1877" s="84" t="n">
        <x:f>IF(AND(AE1877="Keep",AF1877="Valid"),1,0)</x:f>
        <x:v>1</x:v>
      </x:c>
      <x:c r="AH1877" s="84" t="n">
        <x:f>IF(AND(AG1877=1,OR('Dashboard'!$B$4="All",I1877='Dashboard'!$B$4),OR('Dashboard'!$E$4="All",N1877='Dashboard'!$E$4),OR('Dashboard'!$H$4="All",K1877='Dashboard'!$H$4),OR('Dashboard'!$K$4="All",C1877='Dashboard'!$K$4)),1,0)</x:f>
        <x:v>1</x:v>
      </x:c>
      <x:c r="AI1877" s="84" t="n">
        <x:f>IF(AND(AG1877=1,OR('Dashboard'!$B$4="All",I1877='Dashboard'!$B$4),OR('Dashboard'!$E$4="All",N1877='Dashboard'!$E$4),OR('Dashboard'!$H$4="All",K1877='Dashboard'!$H$4)),1,0)</x:f>
        <x:v>1</x:v>
      </x:c>
    </x:row>
    <x:row r="1878">
      <x:c r="A1878" s="84" t="str">
        <x:f>'Raw Sales'!A1878</x:f>
        <x:v>ORD-2025-00193</x:v>
      </x:c>
      <x:c r="B1878" s="85" t="n">
        <x:f>'Raw Sales'!B1878</x:f>
        <x:v>45902</x:v>
      </x:c>
      <x:c r="C1878" s="84" t="n">
        <x:f>YEAR(B1878)</x:f>
        <x:v>2025</x:v>
      </x:c>
      <x:c r="D1878" s="91" t="n">
        <x:f>DATE(YEAR(B1878),MONTH(B1878),1)</x:f>
        <x:v>45901</x:v>
      </x:c>
      <x:c r="E1878" s="84" t="str">
        <x:f>TEXT(B1878,"mmm")</x:f>
        <x:v>Sep</x:v>
      </x:c>
      <x:c r="F1878" s="84" t="str">
        <x:f>'Raw Sales'!C1878</x:f>
        <x:v>CUST-0316</x:v>
      </x:c>
      <x:c r="G1878" s="84" t="str">
        <x:f>PROPER(TRIM('Raw Sales'!D1878))</x:f>
        <x:v>Jonah Nelson</x:v>
      </x:c>
      <x:c r="H1878" s="84" t="str">
        <x:f>IF(TRIM('Raw Sales'!E1878)="","Unknown",PROPER(TRIM('Raw Sales'!E1878)))</x:f>
        <x:v>Small Business</x:v>
      </x:c>
      <x:c r="I1878" s="84" t="str">
        <x:f>PROPER(TRIM('Raw Sales'!F1878))</x:f>
        <x:v>Midwest</x:v>
      </x:c>
      <x:c r="J1878" s="84" t="str">
        <x:f>PROPER(TRIM('Raw Sales'!G1878))</x:f>
        <x:v>Detroit</x:v>
      </x:c>
      <x:c r="K1878" s="84" t="str">
        <x:f>PROPER(TRIM('Raw Sales'!H1878))</x:f>
        <x:v>Online</x:v>
      </x:c>
      <x:c r="L1878" s="84" t="str">
        <x:f>'Raw Sales'!I1878</x:f>
        <x:v>ACCS-002</x:v>
      </x:c>
      <x:c r="M1878" s="84" t="str">
        <x:f>IFERROR(VLOOKUP(L1878,'Reference Data'!$A$5:$F$40,2,FALSE),"Unknown Product")</x:f>
        <x:v>Travel Backpack</x:v>
      </x:c>
      <x:c r="N1878" s="84" t="str">
        <x:f>IFERROR(VLOOKUP(L1878,'Reference Data'!$A$5:$F$40,3,FALSE),"Unknown")</x:f>
        <x:v>Accessories</x:v>
      </x:c>
      <x:c r="O1878" s="84" t="str">
        <x:f>IFERROR(VLOOKUP(L1878,'Reference Data'!$A$5:$F$40,4,FALSE),"Unknown")</x:f>
        <x:v>Bags</x:v>
      </x:c>
      <x:c r="P1878" s="92" t="n">
        <x:f>IFERROR(VLOOKUP(L1878,'Reference Data'!$A$5:$F$40,5,FALSE),0)</x:f>
        <x:v>89</x:v>
      </x:c>
      <x:c r="Q1878" s="92" t="n">
        <x:f>IFERROR(VLOOKUP(L1878,'Reference Data'!$A$5:$F$40,6,FALSE),0)</x:f>
        <x:v>36</x:v>
      </x:c>
      <x:c r="R1878" s="84" t="n">
        <x:f>'Raw Sales'!J1878</x:f>
        <x:v>1</x:v>
      </x:c>
      <x:c r="S1878" s="87" t="n">
        <x:f>'Raw Sales'!K1878</x:f>
        <x:v>0.05</x:v>
      </x:c>
      <x:c r="T1878" s="93" t="n">
        <x:f>P1878*R1878</x:f>
        <x:v>89</x:v>
      </x:c>
      <x:c r="U1878" s="93" t="n">
        <x:f>T1878*S1878</x:f>
        <x:v>4.45</x:v>
      </x:c>
      <x:c r="V1878" s="93" t="str">
        <x:f>PROPER(TRIM('Raw Sales'!L1878))</x:f>
        <x:v>Completed</x:v>
      </x:c>
      <x:c r="W1878" s="93" t="n">
        <x:f>IF(V1878="Returned",0,T1878-U1878)</x:f>
        <x:v>84.55</x:v>
      </x:c>
      <x:c r="X1878" s="93" t="n">
        <x:f>IF(V1878="Returned",Q1878*R1878*10%,Q1878*R1878)</x:f>
        <x:v>36</x:v>
      </x:c>
      <x:c r="Y1878" s="93" t="n">
        <x:f>W1878-X1878</x:f>
        <x:v>48.55</x:v>
      </x:c>
      <x:c r="Z1878" s="94" t="n">
        <x:f>IFERROR(Y1878/W1878,0)</x:f>
        <x:v>0.5742164399763453</x:v>
      </x:c>
      <x:c r="AA1878" s="84" t="str">
        <x:f>PROPER(TRIM('Raw Sales'!M1878))</x:f>
        <x:v>Mobile Wallet</x:v>
      </x:c>
      <x:c r="AB1878" s="84" t="str">
        <x:f>PROPER(TRIM('Raw Sales'!N1878))</x:f>
        <x:v>Zoe Turner</x:v>
      </x:c>
      <x:c r="AC1878" s="85" t="n">
        <x:f>'Raw Sales'!O1878</x:f>
        <x:v>45907</x:v>
      </x:c>
      <x:c r="AD1878" s="84" t="n">
        <x:f>AC1878-B1878</x:f>
        <x:v>5</x:v>
      </x:c>
      <x:c r="AE1878" s="84" t="str">
        <x:f>IF(COUNTIF($A$5:A1878,A1878)&gt;1,"Duplicate","Keep")</x:f>
        <x:v>Keep</x:v>
      </x:c>
      <x:c r="AF1878" s="84" t="str">
        <x:f>IF(OR(R1878&lt;=0,AC1878&lt;B1878,H1878="Unknown",M1878="Unknown Product"),"Review","Valid")</x:f>
        <x:v>Valid</x:v>
      </x:c>
      <x:c r="AG1878" s="84" t="n">
        <x:f>IF(AND(AE1878="Keep",AF1878="Valid"),1,0)</x:f>
        <x:v>1</x:v>
      </x:c>
      <x:c r="AH1878" s="84" t="n">
        <x:f>IF(AND(AG1878=1,OR('Dashboard'!$B$4="All",I1878='Dashboard'!$B$4),OR('Dashboard'!$E$4="All",N1878='Dashboard'!$E$4),OR('Dashboard'!$H$4="All",K1878='Dashboard'!$H$4),OR('Dashboard'!$K$4="All",C1878='Dashboard'!$K$4)),1,0)</x:f>
        <x:v>1</x:v>
      </x:c>
      <x:c r="AI1878" s="84" t="n">
        <x:f>IF(AND(AG1878=1,OR('Dashboard'!$B$4="All",I1878='Dashboard'!$B$4),OR('Dashboard'!$E$4="All",N1878='Dashboard'!$E$4),OR('Dashboard'!$H$4="All",K1878='Dashboard'!$H$4)),1,0)</x:f>
        <x:v>1</x:v>
      </x:c>
    </x:row>
    <x:row r="1879">
      <x:c r="A1879" s="84" t="str">
        <x:f>'Raw Sales'!A1879</x:f>
        <x:v>ORD-2025-00182</x:v>
      </x:c>
      <x:c r="B1879" s="85" t="n">
        <x:f>'Raw Sales'!B1879</x:f>
        <x:v>45903</x:v>
      </x:c>
      <x:c r="C1879" s="84" t="n">
        <x:f>YEAR(B1879)</x:f>
        <x:v>2025</x:v>
      </x:c>
      <x:c r="D1879" s="91" t="n">
        <x:f>DATE(YEAR(B1879),MONTH(B1879),1)</x:f>
        <x:v>45901</x:v>
      </x:c>
      <x:c r="E1879" s="84" t="str">
        <x:f>TEXT(B1879,"mmm")</x:f>
        <x:v>Sep</x:v>
      </x:c>
      <x:c r="F1879" s="84" t="str">
        <x:f>'Raw Sales'!C1879</x:f>
        <x:v>CUST-0208</x:v>
      </x:c>
      <x:c r="G1879" s="84" t="str">
        <x:f>PROPER(TRIM('Raw Sales'!D1879))</x:f>
        <x:v>Layla Patel</x:v>
      </x:c>
      <x:c r="H1879" s="84" t="str">
        <x:f>IF(TRIM('Raw Sales'!E1879)="","Unknown",PROPER(TRIM('Raw Sales'!E1879)))</x:f>
        <x:v>Consumer</x:v>
      </x:c>
      <x:c r="I1879" s="84" t="str">
        <x:f>PROPER(TRIM('Raw Sales'!F1879))</x:f>
        <x:v>West</x:v>
      </x:c>
      <x:c r="J1879" s="84" t="str">
        <x:f>PROPER(TRIM('Raw Sales'!G1879))</x:f>
        <x:v>Los Angeles</x:v>
      </x:c>
      <x:c r="K1879" s="84" t="str">
        <x:f>PROPER(TRIM('Raw Sales'!H1879))</x:f>
        <x:v>Retail Store</x:v>
      </x:c>
      <x:c r="L1879" s="84" t="str">
        <x:f>'Raw Sales'!I1879</x:f>
        <x:v>ELEC-003</x:v>
      </x:c>
      <x:c r="M1879" s="84" t="str">
        <x:f>IFERROR(VLOOKUP(L1879,'Reference Data'!$A$5:$F$40,2,FALSE),"Unknown Product")</x:f>
        <x:v>Bluetooth Speaker</x:v>
      </x:c>
      <x:c r="N1879" s="84" t="str">
        <x:f>IFERROR(VLOOKUP(L1879,'Reference Data'!$A$5:$F$40,3,FALSE),"Unknown")</x:f>
        <x:v>Electronics</x:v>
      </x:c>
      <x:c r="O1879" s="84" t="str">
        <x:f>IFERROR(VLOOKUP(L1879,'Reference Data'!$A$5:$F$40,4,FALSE),"Unknown")</x:f>
        <x:v>Audio</x:v>
      </x:c>
      <x:c r="P1879" s="92" t="n">
        <x:f>IFERROR(VLOOKUP(L1879,'Reference Data'!$A$5:$F$40,5,FALSE),0)</x:f>
        <x:v>89</x:v>
      </x:c>
      <x:c r="Q1879" s="92" t="n">
        <x:f>IFERROR(VLOOKUP(L1879,'Reference Data'!$A$5:$F$40,6,FALSE),0)</x:f>
        <x:v>44</x:v>
      </x:c>
      <x:c r="R1879" s="84" t="n">
        <x:f>'Raw Sales'!J1879</x:f>
        <x:v>2</x:v>
      </x:c>
      <x:c r="S1879" s="87" t="n">
        <x:f>'Raw Sales'!K1879</x:f>
        <x:v>0.15</x:v>
      </x:c>
      <x:c r="T1879" s="93" t="n">
        <x:f>P1879*R1879</x:f>
        <x:v>178</x:v>
      </x:c>
      <x:c r="U1879" s="93" t="n">
        <x:f>T1879*S1879</x:f>
        <x:v>26.7</x:v>
      </x:c>
      <x:c r="V1879" s="93" t="str">
        <x:f>PROPER(TRIM('Raw Sales'!L1879))</x:f>
        <x:v>Completed</x:v>
      </x:c>
      <x:c r="W1879" s="93" t="n">
        <x:f>IF(V1879="Returned",0,T1879-U1879)</x:f>
        <x:v>151.3</x:v>
      </x:c>
      <x:c r="X1879" s="93" t="n">
        <x:f>IF(V1879="Returned",Q1879*R1879*10%,Q1879*R1879)</x:f>
        <x:v>88</x:v>
      </x:c>
      <x:c r="Y1879" s="93" t="n">
        <x:f>W1879-X1879</x:f>
        <x:v>63.30000000000001</x:v>
      </x:c>
      <x:c r="Z1879" s="94" t="n">
        <x:f>IFERROR(Y1879/W1879,0)</x:f>
        <x:v>0.4183740912095176</x:v>
      </x:c>
      <x:c r="AA1879" s="84" t="str">
        <x:f>PROPER(TRIM('Raw Sales'!M1879))</x:f>
        <x:v>Debit Card</x:v>
      </x:c>
      <x:c r="AB1879" s="84" t="str">
        <x:f>PROPER(TRIM('Raw Sales'!N1879))</x:f>
        <x:v>Mia Chen</x:v>
      </x:c>
      <x:c r="AC1879" s="85" t="n">
        <x:f>'Raw Sales'!O1879</x:f>
        <x:v>45903</x:v>
      </x:c>
      <x:c r="AD1879" s="84" t="n">
        <x:f>AC1879-B1879</x:f>
        <x:v>0</x:v>
      </x:c>
      <x:c r="AE1879" s="84" t="str">
        <x:f>IF(COUNTIF($A$5:A1879,A1879)&gt;1,"Duplicate","Keep")</x:f>
        <x:v>Keep</x:v>
      </x:c>
      <x:c r="AF1879" s="84" t="str">
        <x:f>IF(OR(R1879&lt;=0,AC1879&lt;B1879,H1879="Unknown",M1879="Unknown Product"),"Review","Valid")</x:f>
        <x:v>Valid</x:v>
      </x:c>
      <x:c r="AG1879" s="84" t="n">
        <x:f>IF(AND(AE1879="Keep",AF1879="Valid"),1,0)</x:f>
        <x:v>1</x:v>
      </x:c>
      <x:c r="AH1879" s="84" t="n">
        <x:f>IF(AND(AG1879=1,OR('Dashboard'!$B$4="All",I1879='Dashboard'!$B$4),OR('Dashboard'!$E$4="All",N1879='Dashboard'!$E$4),OR('Dashboard'!$H$4="All",K1879='Dashboard'!$H$4),OR('Dashboard'!$K$4="All",C1879='Dashboard'!$K$4)),1,0)</x:f>
        <x:v>1</x:v>
      </x:c>
      <x:c r="AI1879" s="84" t="n">
        <x:f>IF(AND(AG1879=1,OR('Dashboard'!$B$4="All",I1879='Dashboard'!$B$4),OR('Dashboard'!$E$4="All",N1879='Dashboard'!$E$4),OR('Dashboard'!$H$4="All",K1879='Dashboard'!$H$4)),1,0)</x:f>
        <x:v>1</x:v>
      </x:c>
    </x:row>
    <x:row r="1880">
      <x:c r="A1880" s="84" t="str">
        <x:f>'Raw Sales'!A1880</x:f>
        <x:v>ORD-2025-00219</x:v>
      </x:c>
      <x:c r="B1880" s="85" t="n">
        <x:f>'Raw Sales'!B1880</x:f>
        <x:v>45903</x:v>
      </x:c>
      <x:c r="C1880" s="84" t="n">
        <x:f>YEAR(B1880)</x:f>
        <x:v>2025</x:v>
      </x:c>
      <x:c r="D1880" s="91" t="n">
        <x:f>DATE(YEAR(B1880),MONTH(B1880),1)</x:f>
        <x:v>45901</x:v>
      </x:c>
      <x:c r="E1880" s="84" t="str">
        <x:f>TEXT(B1880,"mmm")</x:f>
        <x:v>Sep</x:v>
      </x:c>
      <x:c r="F1880" s="84" t="str">
        <x:f>'Raw Sales'!C1880</x:f>
        <x:v>CUST-0275</x:v>
      </x:c>
      <x:c r="G1880" s="84" t="str">
        <x:f>PROPER(TRIM('Raw Sales'!D1880))</x:f>
        <x:v>Theo Ortiz</x:v>
      </x:c>
      <x:c r="H1880" s="84" t="str">
        <x:f>IF(TRIM('Raw Sales'!E1880)="","Unknown",PROPER(TRIM('Raw Sales'!E1880)))</x:f>
        <x:v>Corporate</x:v>
      </x:c>
      <x:c r="I1880" s="84" t="str">
        <x:f>PROPER(TRIM('Raw Sales'!F1880))</x:f>
        <x:v>Southeast</x:v>
      </x:c>
      <x:c r="J1880" s="84" t="str">
        <x:f>PROPER(TRIM('Raw Sales'!G1880))</x:f>
        <x:v>Miami</x:v>
      </x:c>
      <x:c r="K1880" s="84" t="str">
        <x:f>PROPER(TRIM('Raw Sales'!H1880))</x:f>
        <x:v>Marketplace</x:v>
      </x:c>
      <x:c r="L1880" s="84" t="str">
        <x:f>'Raw Sales'!I1880</x:f>
        <x:v>FITN-005</x:v>
      </x:c>
      <x:c r="M1880" s="84" t="str">
        <x:f>IFERROR(VLOOKUP(L1880,'Reference Data'!$A$5:$F$40,2,FALSE),"Unknown Product")</x:f>
        <x:v>Sports Water Bottle</x:v>
      </x:c>
      <x:c r="N1880" s="84" t="str">
        <x:f>IFERROR(VLOOKUP(L1880,'Reference Data'!$A$5:$F$40,3,FALSE),"Unknown")</x:f>
        <x:v>Fitness</x:v>
      </x:c>
      <x:c r="O1880" s="84" t="str">
        <x:f>IFERROR(VLOOKUP(L1880,'Reference Data'!$A$5:$F$40,4,FALSE),"Unknown")</x:f>
        <x:v>Accessories</x:v>
      </x:c>
      <x:c r="P1880" s="92" t="n">
        <x:f>IFERROR(VLOOKUP(L1880,'Reference Data'!$A$5:$F$40,5,FALSE),0)</x:f>
        <x:v>22</x:v>
      </x:c>
      <x:c r="Q1880" s="92" t="n">
        <x:f>IFERROR(VLOOKUP(L1880,'Reference Data'!$A$5:$F$40,6,FALSE),0)</x:f>
        <x:v>7</x:v>
      </x:c>
      <x:c r="R1880" s="84" t="n">
        <x:f>'Raw Sales'!J1880</x:f>
        <x:v>3</x:v>
      </x:c>
      <x:c r="S1880" s="87" t="n">
        <x:f>'Raw Sales'!K1880</x:f>
        <x:v>0.05</x:v>
      </x:c>
      <x:c r="T1880" s="93" t="n">
        <x:f>P1880*R1880</x:f>
        <x:v>66</x:v>
      </x:c>
      <x:c r="U1880" s="93" t="n">
        <x:f>T1880*S1880</x:f>
        <x:v>3.3000000000000003</x:v>
      </x:c>
      <x:c r="V1880" s="93" t="str">
        <x:f>PROPER(TRIM('Raw Sales'!L1880))</x:f>
        <x:v>Completed</x:v>
      </x:c>
      <x:c r="W1880" s="93" t="n">
        <x:f>IF(V1880="Returned",0,T1880-U1880)</x:f>
        <x:v>62.7</x:v>
      </x:c>
      <x:c r="X1880" s="93" t="n">
        <x:f>IF(V1880="Returned",Q1880*R1880*10%,Q1880*R1880)</x:f>
        <x:v>21</x:v>
      </x:c>
      <x:c r="Y1880" s="93" t="n">
        <x:f>W1880-X1880</x:f>
        <x:v>41.7</x:v>
      </x:c>
      <x:c r="Z1880" s="94" t="n">
        <x:f>IFERROR(Y1880/W1880,0)</x:f>
        <x:v>0.6650717703349283</x:v>
      </x:c>
      <x:c r="AA1880" s="84" t="str">
        <x:f>PROPER(TRIM('Raw Sales'!M1880))</x:f>
        <x:v>Paypal</x:v>
      </x:c>
      <x:c r="AB1880" s="84" t="str">
        <x:f>PROPER(TRIM('Raw Sales'!N1880))</x:f>
        <x:v>Ava Mitchell</x:v>
      </x:c>
      <x:c r="AC1880" s="85" t="n">
        <x:f>'Raw Sales'!O1880</x:f>
        <x:v>45907</x:v>
      </x:c>
      <x:c r="AD1880" s="84" t="n">
        <x:f>AC1880-B1880</x:f>
        <x:v>4</x:v>
      </x:c>
      <x:c r="AE1880" s="84" t="str">
        <x:f>IF(COUNTIF($A$5:A1880,A1880)&gt;1,"Duplicate","Keep")</x:f>
        <x:v>Keep</x:v>
      </x:c>
      <x:c r="AF1880" s="84" t="str">
        <x:f>IF(OR(R1880&lt;=0,AC1880&lt;B1880,H1880="Unknown",M1880="Unknown Product"),"Review","Valid")</x:f>
        <x:v>Valid</x:v>
      </x:c>
      <x:c r="AG1880" s="84" t="n">
        <x:f>IF(AND(AE1880="Keep",AF1880="Valid"),1,0)</x:f>
        <x:v>1</x:v>
      </x:c>
      <x:c r="AH1880" s="84" t="n">
        <x:f>IF(AND(AG1880=1,OR('Dashboard'!$B$4="All",I1880='Dashboard'!$B$4),OR('Dashboard'!$E$4="All",N1880='Dashboard'!$E$4),OR('Dashboard'!$H$4="All",K1880='Dashboard'!$H$4),OR('Dashboard'!$K$4="All",C1880='Dashboard'!$K$4)),1,0)</x:f>
        <x:v>1</x:v>
      </x:c>
      <x:c r="AI1880" s="84" t="n">
        <x:f>IF(AND(AG1880=1,OR('Dashboard'!$B$4="All",I1880='Dashboard'!$B$4),OR('Dashboard'!$E$4="All",N1880='Dashboard'!$E$4),OR('Dashboard'!$H$4="All",K1880='Dashboard'!$H$4)),1,0)</x:f>
        <x:v>1</x:v>
      </x:c>
    </x:row>
    <x:row r="1881">
      <x:c r="A1881" s="84" t="str">
        <x:f>'Raw Sales'!A1881</x:f>
        <x:v>ORD-2025-00244</x:v>
      </x:c>
      <x:c r="B1881" s="85" t="n">
        <x:f>'Raw Sales'!B1881</x:f>
        <x:v>45903</x:v>
      </x:c>
      <x:c r="C1881" s="84" t="n">
        <x:f>YEAR(B1881)</x:f>
        <x:v>2025</x:v>
      </x:c>
      <x:c r="D1881" s="91" t="n">
        <x:f>DATE(YEAR(B1881),MONTH(B1881),1)</x:f>
        <x:v>45901</x:v>
      </x:c>
      <x:c r="E1881" s="84" t="str">
        <x:f>TEXT(B1881,"mmm")</x:f>
        <x:v>Sep</x:v>
      </x:c>
      <x:c r="F1881" s="84" t="str">
        <x:f>'Raw Sales'!C1881</x:f>
        <x:v>CUST-0105</x:v>
      </x:c>
      <x:c r="G1881" s="84" t="str">
        <x:f>PROPER(TRIM('Raw Sales'!D1881))</x:f>
        <x:v>Chloe Ortiz</x:v>
      </x:c>
      <x:c r="H1881" s="84" t="str">
        <x:f>IF(TRIM('Raw Sales'!E1881)="","Unknown",PROPER(TRIM('Raw Sales'!E1881)))</x:f>
        <x:v>Unknown</x:v>
      </x:c>
      <x:c r="I1881" s="84" t="str">
        <x:f>PROPER(TRIM('Raw Sales'!F1881))</x:f>
        <x:v>West</x:v>
      </x:c>
      <x:c r="J1881" s="84" t="str">
        <x:f>PROPER(TRIM('Raw Sales'!G1881))</x:f>
        <x:v>Phoenix</x:v>
      </x:c>
      <x:c r="K1881" s="84" t="str">
        <x:f>PROPER(TRIM('Raw Sales'!H1881))</x:f>
        <x:v>Retail Store</x:v>
      </x:c>
      <x:c r="L1881" s="84" t="str">
        <x:f>'Raw Sales'!I1881</x:f>
        <x:v>HOME-002</x:v>
      </x:c>
      <x:c r="M1881" s="84" t="str">
        <x:f>IFERROR(VLOOKUP(L1881,'Reference Data'!$A$5:$F$40,2,FALSE),"Unknown Product")</x:f>
        <x:v>Electric Kettle</x:v>
      </x:c>
      <x:c r="N1881" s="84" t="str">
        <x:f>IFERROR(VLOOKUP(L1881,'Reference Data'!$A$5:$F$40,3,FALSE),"Unknown")</x:f>
        <x:v>Home &amp; Kitchen</x:v>
      </x:c>
      <x:c r="O1881" s="84" t="str">
        <x:f>IFERROR(VLOOKUP(L1881,'Reference Data'!$A$5:$F$40,4,FALSE),"Unknown")</x:f>
        <x:v>Small Appliances</x:v>
      </x:c>
      <x:c r="P1881" s="92" t="n">
        <x:f>IFERROR(VLOOKUP(L1881,'Reference Data'!$A$5:$F$40,5,FALSE),0)</x:f>
        <x:v>49</x:v>
      </x:c>
      <x:c r="Q1881" s="92" t="n">
        <x:f>IFERROR(VLOOKUP(L1881,'Reference Data'!$A$5:$F$40,6,FALSE),0)</x:f>
        <x:v>23</x:v>
      </x:c>
      <x:c r="R1881" s="84" t="n">
        <x:f>'Raw Sales'!J1881</x:f>
        <x:v>6</x:v>
      </x:c>
      <x:c r="S1881" s="87" t="n">
        <x:f>'Raw Sales'!K1881</x:f>
        <x:v>0.05</x:v>
      </x:c>
      <x:c r="T1881" s="93" t="n">
        <x:f>P1881*R1881</x:f>
        <x:v>294</x:v>
      </x:c>
      <x:c r="U1881" s="93" t="n">
        <x:f>T1881*S1881</x:f>
        <x:v>14.700000000000001</x:v>
      </x:c>
      <x:c r="V1881" s="93" t="str">
        <x:f>PROPER(TRIM('Raw Sales'!L1881))</x:f>
        <x:v>Completed</x:v>
      </x:c>
      <x:c r="W1881" s="93" t="n">
        <x:f>IF(V1881="Returned",0,T1881-U1881)</x:f>
        <x:v>279.3</x:v>
      </x:c>
      <x:c r="X1881" s="93" t="n">
        <x:f>IF(V1881="Returned",Q1881*R1881*10%,Q1881*R1881)</x:f>
        <x:v>138</x:v>
      </x:c>
      <x:c r="Y1881" s="93" t="n">
        <x:f>W1881-X1881</x:f>
        <x:v>141.3</x:v>
      </x:c>
      <x:c r="Z1881" s="94" t="n">
        <x:f>IFERROR(Y1881/W1881,0)</x:f>
        <x:v>0.5059076262083781</x:v>
      </x:c>
      <x:c r="AA1881" s="84" t="str">
        <x:f>PROPER(TRIM('Raw Sales'!M1881))</x:f>
        <x:v>Debit Card</x:v>
      </x:c>
      <x:c r="AB1881" s="84" t="str">
        <x:f>PROPER(TRIM('Raw Sales'!N1881))</x:f>
        <x:v>Leo Martinez</x:v>
      </x:c>
      <x:c r="AC1881" s="85" t="n">
        <x:f>'Raw Sales'!O1881</x:f>
        <x:v>45903</x:v>
      </x:c>
      <x:c r="AD1881" s="84" t="n">
        <x:f>AC1881-B1881</x:f>
        <x:v>0</x:v>
      </x:c>
      <x:c r="AE1881" s="84" t="str">
        <x:f>IF(COUNTIF($A$5:A1881,A1881)&gt;1,"Duplicate","Keep")</x:f>
        <x:v>Keep</x:v>
      </x:c>
      <x:c r="AF1881" s="84" t="str">
        <x:f>IF(OR(R1881&lt;=0,AC1881&lt;B1881,H1881="Unknown",M1881="Unknown Product"),"Review","Valid")</x:f>
        <x:v>Review</x:v>
      </x:c>
      <x:c r="AG1881" s="84" t="n">
        <x:f>IF(AND(AE1881="Keep",AF1881="Valid"),1,0)</x:f>
        <x:v>0</x:v>
      </x:c>
      <x:c r="AH1881" s="84" t="n">
        <x:f>IF(AND(AG1881=1,OR('Dashboard'!$B$4="All",I1881='Dashboard'!$B$4),OR('Dashboard'!$E$4="All",N1881='Dashboard'!$E$4),OR('Dashboard'!$H$4="All",K1881='Dashboard'!$H$4),OR('Dashboard'!$K$4="All",C1881='Dashboard'!$K$4)),1,0)</x:f>
        <x:v>0</x:v>
      </x:c>
      <x:c r="AI1881" s="84" t="n">
        <x:f>IF(AND(AG1881=1,OR('Dashboard'!$B$4="All",I1881='Dashboard'!$B$4),OR('Dashboard'!$E$4="All",N1881='Dashboard'!$E$4),OR('Dashboard'!$H$4="All",K1881='Dashboard'!$H$4)),1,0)</x:f>
        <x:v>0</x:v>
      </x:c>
    </x:row>
    <x:row r="1882">
      <x:c r="A1882" s="84" t="str">
        <x:f>'Raw Sales'!A1882</x:f>
        <x:v>ORD-2025-00257</x:v>
      </x:c>
      <x:c r="B1882" s="85" t="n">
        <x:f>'Raw Sales'!B1882</x:f>
        <x:v>45903</x:v>
      </x:c>
      <x:c r="C1882" s="84" t="n">
        <x:f>YEAR(B1882)</x:f>
        <x:v>2025</x:v>
      </x:c>
      <x:c r="D1882" s="91" t="n">
        <x:f>DATE(YEAR(B1882),MONTH(B1882),1)</x:f>
        <x:v>45901</x:v>
      </x:c>
      <x:c r="E1882" s="84" t="str">
        <x:f>TEXT(B1882,"mmm")</x:f>
        <x:v>Sep</x:v>
      </x:c>
      <x:c r="F1882" s="84" t="str">
        <x:f>'Raw Sales'!C1882</x:f>
        <x:v>CUST-0629</x:v>
      </x:c>
      <x:c r="G1882" s="84" t="str">
        <x:f>PROPER(TRIM('Raw Sales'!D1882))</x:f>
        <x:v>Nina Garcia</x:v>
      </x:c>
      <x:c r="H1882" s="84" t="str">
        <x:f>IF(TRIM('Raw Sales'!E1882)="","Unknown",PROPER(TRIM('Raw Sales'!E1882)))</x:f>
        <x:v>Consumer</x:v>
      </x:c>
      <x:c r="I1882" s="84" t="str">
        <x:f>PROPER(TRIM('Raw Sales'!F1882))</x:f>
        <x:v>Southeast</x:v>
      </x:c>
      <x:c r="J1882" s="84" t="str">
        <x:f>PROPER(TRIM('Raw Sales'!G1882))</x:f>
        <x:v>Charlotte</x:v>
      </x:c>
      <x:c r="K1882" s="84" t="str">
        <x:f>PROPER(TRIM('Raw Sales'!H1882))</x:f>
        <x:v>Retail Store</x:v>
      </x:c>
      <x:c r="L1882" s="84" t="str">
        <x:f>'Raw Sales'!I1882</x:f>
        <x:v>FITN-006</x:v>
      </x:c>
      <x:c r="M1882" s="84" t="str">
        <x:f>IFERROR(VLOOKUP(L1882,'Reference Data'!$A$5:$F$40,2,FALSE),"Unknown Product")</x:f>
        <x:v>Foam Roller</x:v>
      </x:c>
      <x:c r="N1882" s="84" t="str">
        <x:f>IFERROR(VLOOKUP(L1882,'Reference Data'!$A$5:$F$40,3,FALSE),"Unknown")</x:f>
        <x:v>Fitness</x:v>
      </x:c>
      <x:c r="O1882" s="84" t="str">
        <x:f>IFERROR(VLOOKUP(L1882,'Reference Data'!$A$5:$F$40,4,FALSE),"Unknown")</x:f>
        <x:v>Recovery</x:v>
      </x:c>
      <x:c r="P1882" s="92" t="n">
        <x:f>IFERROR(VLOOKUP(L1882,'Reference Data'!$A$5:$F$40,5,FALSE),0)</x:f>
        <x:v>31</x:v>
      </x:c>
      <x:c r="Q1882" s="92" t="n">
        <x:f>IFERROR(VLOOKUP(L1882,'Reference Data'!$A$5:$F$40,6,FALSE),0)</x:f>
        <x:v>12</x:v>
      </x:c>
      <x:c r="R1882" s="84" t="n">
        <x:f>'Raw Sales'!J1882</x:f>
        <x:v>1</x:v>
      </x:c>
      <x:c r="S1882" s="87" t="n">
        <x:f>'Raw Sales'!K1882</x:f>
        <x:v>0.05</x:v>
      </x:c>
      <x:c r="T1882" s="93" t="n">
        <x:f>P1882*R1882</x:f>
        <x:v>31</x:v>
      </x:c>
      <x:c r="U1882" s="93" t="n">
        <x:f>T1882*S1882</x:f>
        <x:v>1.55</x:v>
      </x:c>
      <x:c r="V1882" s="93" t="str">
        <x:f>PROPER(TRIM('Raw Sales'!L1882))</x:f>
        <x:v>Completed</x:v>
      </x:c>
      <x:c r="W1882" s="93" t="n">
        <x:f>IF(V1882="Returned",0,T1882-U1882)</x:f>
        <x:v>29.45</x:v>
      </x:c>
      <x:c r="X1882" s="93" t="n">
        <x:f>IF(V1882="Returned",Q1882*R1882*10%,Q1882*R1882)</x:f>
        <x:v>12</x:v>
      </x:c>
      <x:c r="Y1882" s="93" t="n">
        <x:f>W1882-X1882</x:f>
        <x:v>17.45</x:v>
      </x:c>
      <x:c r="Z1882" s="94" t="n">
        <x:f>IFERROR(Y1882/W1882,0)</x:f>
        <x:v>0.5925297113752123</x:v>
      </x:c>
      <x:c r="AA1882" s="84" t="str">
        <x:f>PROPER(TRIM('Raw Sales'!M1882))</x:f>
        <x:v>Debit Card</x:v>
      </x:c>
      <x:c r="AB1882" s="84" t="str">
        <x:f>PROPER(TRIM('Raw Sales'!N1882))</x:f>
        <x:v>Ava Mitchell</x:v>
      </x:c>
      <x:c r="AC1882" s="85" t="n">
        <x:f>'Raw Sales'!O1882</x:f>
        <x:v>45903</x:v>
      </x:c>
      <x:c r="AD1882" s="84" t="n">
        <x:f>AC1882-B1882</x:f>
        <x:v>0</x:v>
      </x:c>
      <x:c r="AE1882" s="84" t="str">
        <x:f>IF(COUNTIF($A$5:A1882,A1882)&gt;1,"Duplicate","Keep")</x:f>
        <x:v>Keep</x:v>
      </x:c>
      <x:c r="AF1882" s="84" t="str">
        <x:f>IF(OR(R1882&lt;=0,AC1882&lt;B1882,H1882="Unknown",M1882="Unknown Product"),"Review","Valid")</x:f>
        <x:v>Valid</x:v>
      </x:c>
      <x:c r="AG1882" s="84" t="n">
        <x:f>IF(AND(AE1882="Keep",AF1882="Valid"),1,0)</x:f>
        <x:v>1</x:v>
      </x:c>
      <x:c r="AH1882" s="84" t="n">
        <x:f>IF(AND(AG1882=1,OR('Dashboard'!$B$4="All",I1882='Dashboard'!$B$4),OR('Dashboard'!$E$4="All",N1882='Dashboard'!$E$4),OR('Dashboard'!$H$4="All",K1882='Dashboard'!$H$4),OR('Dashboard'!$K$4="All",C1882='Dashboard'!$K$4)),1,0)</x:f>
        <x:v>1</x:v>
      </x:c>
      <x:c r="AI1882" s="84" t="n">
        <x:f>IF(AND(AG1882=1,OR('Dashboard'!$B$4="All",I1882='Dashboard'!$B$4),OR('Dashboard'!$E$4="All",N1882='Dashboard'!$E$4),OR('Dashboard'!$H$4="All",K1882='Dashboard'!$H$4)),1,0)</x:f>
        <x:v>1</x:v>
      </x:c>
    </x:row>
    <x:row r="1883">
      <x:c r="A1883" s="84" t="str">
        <x:f>'Raw Sales'!A1883</x:f>
        <x:v>ORD-2025-00508</x:v>
      </x:c>
      <x:c r="B1883" s="85" t="n">
        <x:f>'Raw Sales'!B1883</x:f>
        <x:v>45903</x:v>
      </x:c>
      <x:c r="C1883" s="84" t="n">
        <x:f>YEAR(B1883)</x:f>
        <x:v>2025</x:v>
      </x:c>
      <x:c r="D1883" s="91" t="n">
        <x:f>DATE(YEAR(B1883),MONTH(B1883),1)</x:f>
        <x:v>45901</x:v>
      </x:c>
      <x:c r="E1883" s="84" t="str">
        <x:f>TEXT(B1883,"mmm")</x:f>
        <x:v>Sep</x:v>
      </x:c>
      <x:c r="F1883" s="84" t="str">
        <x:f>'Raw Sales'!C1883</x:f>
        <x:v>CUST-0506</x:v>
      </x:c>
      <x:c r="G1883" s="84" t="str">
        <x:f>PROPER(TRIM('Raw Sales'!D1883))</x:f>
        <x:v>Layla Baker</x:v>
      </x:c>
      <x:c r="H1883" s="84" t="str">
        <x:f>IF(TRIM('Raw Sales'!E1883)="","Unknown",PROPER(TRIM('Raw Sales'!E1883)))</x:f>
        <x:v>Consumer</x:v>
      </x:c>
      <x:c r="I1883" s="84" t="str">
        <x:f>PROPER(TRIM('Raw Sales'!F1883))</x:f>
        <x:v>Midwest</x:v>
      </x:c>
      <x:c r="J1883" s="84" t="str">
        <x:f>PROPER(TRIM('Raw Sales'!G1883))</x:f>
        <x:v>Columbus</x:v>
      </x:c>
      <x:c r="K1883" s="84" t="str">
        <x:f>PROPER(TRIM('Raw Sales'!H1883))</x:f>
        <x:v>Marketplace</x:v>
      </x:c>
      <x:c r="L1883" s="84" t="str">
        <x:f>'Raw Sales'!I1883</x:f>
        <x:v>HOME-004</x:v>
      </x:c>
      <x:c r="M1883" s="84" t="str">
        <x:f>IFERROR(VLOOKUP(L1883,'Reference Data'!$A$5:$F$40,2,FALSE),"Unknown Product")</x:f>
        <x:v>Coffee Maker</x:v>
      </x:c>
      <x:c r="N1883" s="84" t="str">
        <x:f>IFERROR(VLOOKUP(L1883,'Reference Data'!$A$5:$F$40,3,FALSE),"Unknown")</x:f>
        <x:v>Home &amp; Kitchen</x:v>
      </x:c>
      <x:c r="O1883" s="84" t="str">
        <x:f>IFERROR(VLOOKUP(L1883,'Reference Data'!$A$5:$F$40,4,FALSE),"Unknown")</x:f>
        <x:v>Small Appliances</x:v>
      </x:c>
      <x:c r="P1883" s="92" t="n">
        <x:f>IFERROR(VLOOKUP(L1883,'Reference Data'!$A$5:$F$40,5,FALSE),0)</x:f>
        <x:v>99</x:v>
      </x:c>
      <x:c r="Q1883" s="92" t="n">
        <x:f>IFERROR(VLOOKUP(L1883,'Reference Data'!$A$5:$F$40,6,FALSE),0)</x:f>
        <x:v>51</x:v>
      </x:c>
      <x:c r="R1883" s="84" t="n">
        <x:f>'Raw Sales'!J1883</x:f>
        <x:v>2</x:v>
      </x:c>
      <x:c r="S1883" s="87" t="n">
        <x:f>'Raw Sales'!K1883</x:f>
        <x:v>0.05</x:v>
      </x:c>
      <x:c r="T1883" s="93" t="n">
        <x:f>P1883*R1883</x:f>
        <x:v>198</x:v>
      </x:c>
      <x:c r="U1883" s="93" t="n">
        <x:f>T1883*S1883</x:f>
        <x:v>9.9</x:v>
      </x:c>
      <x:c r="V1883" s="93" t="str">
        <x:f>PROPER(TRIM('Raw Sales'!L1883))</x:f>
        <x:v>Completed</x:v>
      </x:c>
      <x:c r="W1883" s="93" t="n">
        <x:f>IF(V1883="Returned",0,T1883-U1883)</x:f>
        <x:v>188.1</x:v>
      </x:c>
      <x:c r="X1883" s="93" t="n">
        <x:f>IF(V1883="Returned",Q1883*R1883*10%,Q1883*R1883)</x:f>
        <x:v>102</x:v>
      </x:c>
      <x:c r="Y1883" s="93" t="n">
        <x:f>W1883-X1883</x:f>
        <x:v>86.1</x:v>
      </x:c>
      <x:c r="Z1883" s="94" t="n">
        <x:f>IFERROR(Y1883/W1883,0)</x:f>
        <x:v>0.4577352472089314</x:v>
      </x:c>
      <x:c r="AA1883" s="84" t="str">
        <x:f>PROPER(TRIM('Raw Sales'!M1883))</x:f>
        <x:v>Debit Card</x:v>
      </x:c>
      <x:c r="AB1883" s="84" t="str">
        <x:f>PROPER(TRIM('Raw Sales'!N1883))</x:f>
        <x:v>Lucas Grant</x:v>
      </x:c>
      <x:c r="AC1883" s="85" t="n">
        <x:f>'Raw Sales'!O1883</x:f>
        <x:v>45907</x:v>
      </x:c>
      <x:c r="AD1883" s="84" t="n">
        <x:f>AC1883-B1883</x:f>
        <x:v>4</x:v>
      </x:c>
      <x:c r="AE1883" s="84" t="str">
        <x:f>IF(COUNTIF($A$5:A1883,A1883)&gt;1,"Duplicate","Keep")</x:f>
        <x:v>Keep</x:v>
      </x:c>
      <x:c r="AF1883" s="84" t="str">
        <x:f>IF(OR(R1883&lt;=0,AC1883&lt;B1883,H1883="Unknown",M1883="Unknown Product"),"Review","Valid")</x:f>
        <x:v>Valid</x:v>
      </x:c>
      <x:c r="AG1883" s="84" t="n">
        <x:f>IF(AND(AE1883="Keep",AF1883="Valid"),1,0)</x:f>
        <x:v>1</x:v>
      </x:c>
      <x:c r="AH1883" s="84" t="n">
        <x:f>IF(AND(AG1883=1,OR('Dashboard'!$B$4="All",I1883='Dashboard'!$B$4),OR('Dashboard'!$E$4="All",N1883='Dashboard'!$E$4),OR('Dashboard'!$H$4="All",K1883='Dashboard'!$H$4),OR('Dashboard'!$K$4="All",C1883='Dashboard'!$K$4)),1,0)</x:f>
        <x:v>1</x:v>
      </x:c>
      <x:c r="AI1883" s="84" t="n">
        <x:f>IF(AND(AG1883=1,OR('Dashboard'!$B$4="All",I1883='Dashboard'!$B$4),OR('Dashboard'!$E$4="All",N1883='Dashboard'!$E$4),OR('Dashboard'!$H$4="All",K1883='Dashboard'!$H$4)),1,0)</x:f>
        <x:v>1</x:v>
      </x:c>
    </x:row>
    <x:row r="1884">
      <x:c r="A1884" s="84" t="str">
        <x:f>'Raw Sales'!A1884</x:f>
        <x:v>ORD-2025-01252</x:v>
      </x:c>
      <x:c r="B1884" s="85" t="n">
        <x:f>'Raw Sales'!B1884</x:f>
        <x:v>45903</x:v>
      </x:c>
      <x:c r="C1884" s="84" t="n">
        <x:f>YEAR(B1884)</x:f>
        <x:v>2025</x:v>
      </x:c>
      <x:c r="D1884" s="91" t="n">
        <x:f>DATE(YEAR(B1884),MONTH(B1884),1)</x:f>
        <x:v>45901</x:v>
      </x:c>
      <x:c r="E1884" s="84" t="str">
        <x:f>TEXT(B1884,"mmm")</x:f>
        <x:v>Sep</x:v>
      </x:c>
      <x:c r="F1884" s="84" t="str">
        <x:f>'Raw Sales'!C1884</x:f>
        <x:v>CUST-0290</x:v>
      </x:c>
      <x:c r="G1884" s="84" t="str">
        <x:f>PROPER(TRIM('Raw Sales'!D1884))</x:f>
        <x:v>Nathan Baker</x:v>
      </x:c>
      <x:c r="H1884" s="84" t="str">
        <x:f>IF(TRIM('Raw Sales'!E1884)="","Unknown",PROPER(TRIM('Raw Sales'!E1884)))</x:f>
        <x:v>Consumer</x:v>
      </x:c>
      <x:c r="I1884" s="84" t="str">
        <x:f>PROPER(TRIM('Raw Sales'!F1884))</x:f>
        <x:v>West</x:v>
      </x:c>
      <x:c r="J1884" s="84" t="str">
        <x:f>PROPER(TRIM('Raw Sales'!G1884))</x:f>
        <x:v>Denver</x:v>
      </x:c>
      <x:c r="K1884" s="84" t="str">
        <x:f>PROPER(TRIM('Raw Sales'!H1884))</x:f>
        <x:v>Online</x:v>
      </x:c>
      <x:c r="L1884" s="84" t="str">
        <x:f>'Raw Sales'!I1884</x:f>
        <x:v>OFFC-005</x:v>
      </x:c>
      <x:c r="M1884" s="84" t="str">
        <x:f>IFERROR(VLOOKUP(L1884,'Reference Data'!$A$5:$F$40,2,FALSE),"Unknown Product")</x:f>
        <x:v>Wireless Keyboard</x:v>
      </x:c>
      <x:c r="N1884" s="84" t="str">
        <x:f>IFERROR(VLOOKUP(L1884,'Reference Data'!$A$5:$F$40,3,FALSE),"Unknown")</x:f>
        <x:v>Office</x:v>
      </x:c>
      <x:c r="O1884" s="84" t="str">
        <x:f>IFERROR(VLOOKUP(L1884,'Reference Data'!$A$5:$F$40,4,FALSE),"Unknown")</x:f>
        <x:v>Computer Accessories</x:v>
      </x:c>
      <x:c r="P1884" s="92" t="n">
        <x:f>IFERROR(VLOOKUP(L1884,'Reference Data'!$A$5:$F$40,5,FALSE),0)</x:f>
        <x:v>59</x:v>
      </x:c>
      <x:c r="Q1884" s="92" t="n">
        <x:f>IFERROR(VLOOKUP(L1884,'Reference Data'!$A$5:$F$40,6,FALSE),0)</x:f>
        <x:v>28</x:v>
      </x:c>
      <x:c r="R1884" s="84" t="n">
        <x:f>'Raw Sales'!J1884</x:f>
        <x:v>2</x:v>
      </x:c>
      <x:c r="S1884" s="87" t="n">
        <x:f>'Raw Sales'!K1884</x:f>
        <x:v>0</x:v>
      </x:c>
      <x:c r="T1884" s="93" t="n">
        <x:f>P1884*R1884</x:f>
        <x:v>118</x:v>
      </x:c>
      <x:c r="U1884" s="93" t="n">
        <x:f>T1884*S1884</x:f>
        <x:v>0</x:v>
      </x:c>
      <x:c r="V1884" s="93" t="str">
        <x:f>PROPER(TRIM('Raw Sales'!L1884))</x:f>
        <x:v>Completed</x:v>
      </x:c>
      <x:c r="W1884" s="93" t="n">
        <x:f>IF(V1884="Returned",0,T1884-U1884)</x:f>
        <x:v>118</x:v>
      </x:c>
      <x:c r="X1884" s="93" t="n">
        <x:f>IF(V1884="Returned",Q1884*R1884*10%,Q1884*R1884)</x:f>
        <x:v>56</x:v>
      </x:c>
      <x:c r="Y1884" s="93" t="n">
        <x:f>W1884-X1884</x:f>
        <x:v>62</x:v>
      </x:c>
      <x:c r="Z1884" s="94" t="n">
        <x:f>IFERROR(Y1884/W1884,0)</x:f>
        <x:v>0.5254237288135594</x:v>
      </x:c>
      <x:c r="AA1884" s="84" t="str">
        <x:f>PROPER(TRIM('Raw Sales'!M1884))</x:f>
        <x:v>Credit Card</x:v>
      </x:c>
      <x:c r="AB1884" s="84" t="str">
        <x:f>PROPER(TRIM('Raw Sales'!N1884))</x:f>
        <x:v>Mia Chen</x:v>
      </x:c>
      <x:c r="AC1884" s="85" t="n">
        <x:f>'Raw Sales'!O1884</x:f>
        <x:v>45907</x:v>
      </x:c>
      <x:c r="AD1884" s="84" t="n">
        <x:f>AC1884-B1884</x:f>
        <x:v>4</x:v>
      </x:c>
      <x:c r="AE1884" s="84" t="str">
        <x:f>IF(COUNTIF($A$5:A1884,A1884)&gt;1,"Duplicate","Keep")</x:f>
        <x:v>Keep</x:v>
      </x:c>
      <x:c r="AF1884" s="84" t="str">
        <x:f>IF(OR(R1884&lt;=0,AC1884&lt;B1884,H1884="Unknown",M1884="Unknown Product"),"Review","Valid")</x:f>
        <x:v>Valid</x:v>
      </x:c>
      <x:c r="AG1884" s="84" t="n">
        <x:f>IF(AND(AE1884="Keep",AF1884="Valid"),1,0)</x:f>
        <x:v>1</x:v>
      </x:c>
      <x:c r="AH1884" s="84" t="n">
        <x:f>IF(AND(AG1884=1,OR('Dashboard'!$B$4="All",I1884='Dashboard'!$B$4),OR('Dashboard'!$E$4="All",N1884='Dashboard'!$E$4),OR('Dashboard'!$H$4="All",K1884='Dashboard'!$H$4),OR('Dashboard'!$K$4="All",C1884='Dashboard'!$K$4)),1,0)</x:f>
        <x:v>1</x:v>
      </x:c>
      <x:c r="AI1884" s="84" t="n">
        <x:f>IF(AND(AG1884=1,OR('Dashboard'!$B$4="All",I1884='Dashboard'!$B$4),OR('Dashboard'!$E$4="All",N1884='Dashboard'!$E$4),OR('Dashboard'!$H$4="All",K1884='Dashboard'!$H$4)),1,0)</x:f>
        <x:v>1</x:v>
      </x:c>
    </x:row>
    <x:row r="1885">
      <x:c r="A1885" s="84" t="str">
        <x:f>'Raw Sales'!A1885</x:f>
        <x:v>ORD-2025-01866</x:v>
      </x:c>
      <x:c r="B1885" s="85" t="n">
        <x:f>'Raw Sales'!B1885</x:f>
        <x:v>45903</x:v>
      </x:c>
      <x:c r="C1885" s="84" t="n">
        <x:f>YEAR(B1885)</x:f>
        <x:v>2025</x:v>
      </x:c>
      <x:c r="D1885" s="91" t="n">
        <x:f>DATE(YEAR(B1885),MONTH(B1885),1)</x:f>
        <x:v>45901</x:v>
      </x:c>
      <x:c r="E1885" s="84" t="str">
        <x:f>TEXT(B1885,"mmm")</x:f>
        <x:v>Sep</x:v>
      </x:c>
      <x:c r="F1885" s="84" t="str">
        <x:f>'Raw Sales'!C1885</x:f>
        <x:v>CUST-0232</x:v>
      </x:c>
      <x:c r="G1885" s="84" t="str">
        <x:f>PROPER(TRIM('Raw Sales'!D1885))</x:f>
        <x:v>Layla Smith</x:v>
      </x:c>
      <x:c r="H1885" s="84" t="str">
        <x:f>IF(TRIM('Raw Sales'!E1885)="","Unknown",PROPER(TRIM('Raw Sales'!E1885)))</x:f>
        <x:v>Consumer</x:v>
      </x:c>
      <x:c r="I1885" s="84" t="str">
        <x:f>PROPER(TRIM('Raw Sales'!F1885))</x:f>
        <x:v>Southeast</x:v>
      </x:c>
      <x:c r="J1885" s="84" t="str">
        <x:f>PROPER(TRIM('Raw Sales'!G1885))</x:f>
        <x:v>Atlanta</x:v>
      </x:c>
      <x:c r="K1885" s="84" t="str">
        <x:f>PROPER(TRIM('Raw Sales'!H1885))</x:f>
        <x:v>Online</x:v>
      </x:c>
      <x:c r="L1885" s="84" t="str">
        <x:f>'Raw Sales'!I1885</x:f>
        <x:v>CARE-001</x:v>
      </x:c>
      <x:c r="M1885" s="84" t="str">
        <x:f>IFERROR(VLOOKUP(L1885,'Reference Data'!$A$5:$F$40,2,FALSE),"Unknown Product")</x:f>
        <x:v>Ionic Hair Dryer</x:v>
      </x:c>
      <x:c r="N1885" s="84" t="str">
        <x:f>IFERROR(VLOOKUP(L1885,'Reference Data'!$A$5:$F$40,3,FALSE),"Unknown")</x:f>
        <x:v>Personal Care</x:v>
      </x:c>
      <x:c r="O1885" s="84" t="str">
        <x:f>IFERROR(VLOOKUP(L1885,'Reference Data'!$A$5:$F$40,4,FALSE),"Unknown")</x:f>
        <x:v>Hair Care</x:v>
      </x:c>
      <x:c r="P1885" s="92" t="n">
        <x:f>IFERROR(VLOOKUP(L1885,'Reference Data'!$A$5:$F$40,5,FALSE),0)</x:f>
        <x:v>54</x:v>
      </x:c>
      <x:c r="Q1885" s="92" t="n">
        <x:f>IFERROR(VLOOKUP(L1885,'Reference Data'!$A$5:$F$40,6,FALSE),0)</x:f>
        <x:v>25</x:v>
      </x:c>
      <x:c r="R1885" s="84" t="n">
        <x:f>'Raw Sales'!J1885</x:f>
        <x:v>1</x:v>
      </x:c>
      <x:c r="S1885" s="87" t="n">
        <x:f>'Raw Sales'!K1885</x:f>
        <x:v>0</x:v>
      </x:c>
      <x:c r="T1885" s="93" t="n">
        <x:f>P1885*R1885</x:f>
        <x:v>54</x:v>
      </x:c>
      <x:c r="U1885" s="93" t="n">
        <x:f>T1885*S1885</x:f>
        <x:v>0</x:v>
      </x:c>
      <x:c r="V1885" s="93" t="str">
        <x:f>PROPER(TRIM('Raw Sales'!L1885))</x:f>
        <x:v>Completed</x:v>
      </x:c>
      <x:c r="W1885" s="93" t="n">
        <x:f>IF(V1885="Returned",0,T1885-U1885)</x:f>
        <x:v>54</x:v>
      </x:c>
      <x:c r="X1885" s="93" t="n">
        <x:f>IF(V1885="Returned",Q1885*R1885*10%,Q1885*R1885)</x:f>
        <x:v>25</x:v>
      </x:c>
      <x:c r="Y1885" s="93" t="n">
        <x:f>W1885-X1885</x:f>
        <x:v>29</x:v>
      </x:c>
      <x:c r="Z1885" s="94" t="n">
        <x:f>IFERROR(Y1885/W1885,0)</x:f>
        <x:v>0.5370370370370371</x:v>
      </x:c>
      <x:c r="AA1885" s="84" t="str">
        <x:f>PROPER(TRIM('Raw Sales'!M1885))</x:f>
        <x:v>Paypal</x:v>
      </x:c>
      <x:c r="AB1885" s="84" t="str">
        <x:f>PROPER(TRIM('Raw Sales'!N1885))</x:f>
        <x:v>Liam Parker</x:v>
      </x:c>
      <x:c r="AC1885" s="85" t="n">
        <x:f>'Raw Sales'!O1885</x:f>
        <x:v>45906</x:v>
      </x:c>
      <x:c r="AD1885" s="84" t="n">
        <x:f>AC1885-B1885</x:f>
        <x:v>3</x:v>
      </x:c>
      <x:c r="AE1885" s="84" t="str">
        <x:f>IF(COUNTIF($A$5:A1885,A1885)&gt;1,"Duplicate","Keep")</x:f>
        <x:v>Keep</x:v>
      </x:c>
      <x:c r="AF1885" s="84" t="str">
        <x:f>IF(OR(R1885&lt;=0,AC1885&lt;B1885,H1885="Unknown",M1885="Unknown Product"),"Review","Valid")</x:f>
        <x:v>Valid</x:v>
      </x:c>
      <x:c r="AG1885" s="84" t="n">
        <x:f>IF(AND(AE1885="Keep",AF1885="Valid"),1,0)</x:f>
        <x:v>1</x:v>
      </x:c>
      <x:c r="AH1885" s="84" t="n">
        <x:f>IF(AND(AG1885=1,OR('Dashboard'!$B$4="All",I1885='Dashboard'!$B$4),OR('Dashboard'!$E$4="All",N1885='Dashboard'!$E$4),OR('Dashboard'!$H$4="All",K1885='Dashboard'!$H$4),OR('Dashboard'!$K$4="All",C1885='Dashboard'!$K$4)),1,0)</x:f>
        <x:v>1</x:v>
      </x:c>
      <x:c r="AI1885" s="84" t="n">
        <x:f>IF(AND(AG1885=1,OR('Dashboard'!$B$4="All",I1885='Dashboard'!$B$4),OR('Dashboard'!$E$4="All",N1885='Dashboard'!$E$4),OR('Dashboard'!$H$4="All",K1885='Dashboard'!$H$4)),1,0)</x:f>
        <x:v>1</x:v>
      </x:c>
    </x:row>
    <x:row r="1886">
      <x:c r="A1886" s="84" t="str">
        <x:f>'Raw Sales'!A1886</x:f>
        <x:v>ORD-2025-00622</x:v>
      </x:c>
      <x:c r="B1886" s="85" t="n">
        <x:f>'Raw Sales'!B1886</x:f>
        <x:v>45904</x:v>
      </x:c>
      <x:c r="C1886" s="84" t="n">
        <x:f>YEAR(B1886)</x:f>
        <x:v>2025</x:v>
      </x:c>
      <x:c r="D1886" s="91" t="n">
        <x:f>DATE(YEAR(B1886),MONTH(B1886),1)</x:f>
        <x:v>45901</x:v>
      </x:c>
      <x:c r="E1886" s="84" t="str">
        <x:f>TEXT(B1886,"mmm")</x:f>
        <x:v>Sep</x:v>
      </x:c>
      <x:c r="F1886" s="84" t="str">
        <x:f>'Raw Sales'!C1886</x:f>
        <x:v>CUST-0246</x:v>
      </x:c>
      <x:c r="G1886" s="84" t="str">
        <x:f>PROPER(TRIM('Raw Sales'!D1886))</x:f>
        <x:v>Maya Baker</x:v>
      </x:c>
      <x:c r="H1886" s="84" t="str">
        <x:f>IF(TRIM('Raw Sales'!E1886)="","Unknown",PROPER(TRIM('Raw Sales'!E1886)))</x:f>
        <x:v>Corporate</x:v>
      </x:c>
      <x:c r="I1886" s="84" t="str">
        <x:f>PROPER(TRIM('Raw Sales'!F1886))</x:f>
        <x:v>Southeast</x:v>
      </x:c>
      <x:c r="J1886" s="84" t="str">
        <x:f>PROPER(TRIM('Raw Sales'!G1886))</x:f>
        <x:v>Atlanta</x:v>
      </x:c>
      <x:c r="K1886" s="84" t="str">
        <x:f>PROPER(TRIM('Raw Sales'!H1886))</x:f>
        <x:v>Online</x:v>
      </x:c>
      <x:c r="L1886" s="84" t="str">
        <x:f>'Raw Sales'!I1886</x:f>
        <x:v>HOME-001</x:v>
      </x:c>
      <x:c r="M1886" s="84" t="str">
        <x:f>IFERROR(VLOOKUP(L1886,'Reference Data'!$A$5:$F$40,2,FALSE),"Unknown Product")</x:f>
        <x:v>Air Fryer</x:v>
      </x:c>
      <x:c r="N1886" s="84" t="str">
        <x:f>IFERROR(VLOOKUP(L1886,'Reference Data'!$A$5:$F$40,3,FALSE),"Unknown")</x:f>
        <x:v>Home &amp; Kitchen</x:v>
      </x:c>
      <x:c r="O1886" s="84" t="str">
        <x:f>IFERROR(VLOOKUP(L1886,'Reference Data'!$A$5:$F$40,4,FALSE),"Unknown")</x:f>
        <x:v>Small Appliances</x:v>
      </x:c>
      <x:c r="P1886" s="92" t="n">
        <x:f>IFERROR(VLOOKUP(L1886,'Reference Data'!$A$5:$F$40,5,FALSE),0)</x:f>
        <x:v>119</x:v>
      </x:c>
      <x:c r="Q1886" s="92" t="n">
        <x:f>IFERROR(VLOOKUP(L1886,'Reference Data'!$A$5:$F$40,6,FALSE),0)</x:f>
        <x:v>68</x:v>
      </x:c>
      <x:c r="R1886" s="84" t="n">
        <x:f>'Raw Sales'!J1886</x:f>
        <x:v>2</x:v>
      </x:c>
      <x:c r="S1886" s="87" t="n">
        <x:f>'Raw Sales'!K1886</x:f>
        <x:v>0</x:v>
      </x:c>
      <x:c r="T1886" s="93" t="n">
        <x:f>P1886*R1886</x:f>
        <x:v>238</x:v>
      </x:c>
      <x:c r="U1886" s="93" t="n">
        <x:f>T1886*S1886</x:f>
        <x:v>0</x:v>
      </x:c>
      <x:c r="V1886" s="93" t="str">
        <x:f>PROPER(TRIM('Raw Sales'!L1886))</x:f>
        <x:v>Completed</x:v>
      </x:c>
      <x:c r="W1886" s="93" t="n">
        <x:f>IF(V1886="Returned",0,T1886-U1886)</x:f>
        <x:v>238</x:v>
      </x:c>
      <x:c r="X1886" s="93" t="n">
        <x:f>IF(V1886="Returned",Q1886*R1886*10%,Q1886*R1886)</x:f>
        <x:v>136</x:v>
      </x:c>
      <x:c r="Y1886" s="93" t="n">
        <x:f>W1886-X1886</x:f>
        <x:v>102</x:v>
      </x:c>
      <x:c r="Z1886" s="94" t="n">
        <x:f>IFERROR(Y1886/W1886,0)</x:f>
        <x:v>0.42857142857142855</x:v>
      </x:c>
      <x:c r="AA1886" s="84" t="str">
        <x:f>PROPER(TRIM('Raw Sales'!M1886))</x:f>
        <x:v>Debit Card</x:v>
      </x:c>
      <x:c r="AB1886" s="84" t="str">
        <x:f>PROPER(TRIM('Raw Sales'!N1886))</x:f>
        <x:v>Ava Mitchell</x:v>
      </x:c>
      <x:c r="AC1886" s="85" t="n">
        <x:f>'Raw Sales'!O1886</x:f>
        <x:v>45908</x:v>
      </x:c>
      <x:c r="AD1886" s="84" t="n">
        <x:f>AC1886-B1886</x:f>
        <x:v>4</x:v>
      </x:c>
      <x:c r="AE1886" s="84" t="str">
        <x:f>IF(COUNTIF($A$5:A1886,A1886)&gt;1,"Duplicate","Keep")</x:f>
        <x:v>Keep</x:v>
      </x:c>
      <x:c r="AF1886" s="84" t="str">
        <x:f>IF(OR(R1886&lt;=0,AC1886&lt;B1886,H1886="Unknown",M1886="Unknown Product"),"Review","Valid")</x:f>
        <x:v>Valid</x:v>
      </x:c>
      <x:c r="AG1886" s="84" t="n">
        <x:f>IF(AND(AE1886="Keep",AF1886="Valid"),1,0)</x:f>
        <x:v>1</x:v>
      </x:c>
      <x:c r="AH1886" s="84" t="n">
        <x:f>IF(AND(AG1886=1,OR('Dashboard'!$B$4="All",I1886='Dashboard'!$B$4),OR('Dashboard'!$E$4="All",N1886='Dashboard'!$E$4),OR('Dashboard'!$H$4="All",K1886='Dashboard'!$H$4),OR('Dashboard'!$K$4="All",C1886='Dashboard'!$K$4)),1,0)</x:f>
        <x:v>1</x:v>
      </x:c>
      <x:c r="AI1886" s="84" t="n">
        <x:f>IF(AND(AG1886=1,OR('Dashboard'!$B$4="All",I1886='Dashboard'!$B$4),OR('Dashboard'!$E$4="All",N1886='Dashboard'!$E$4),OR('Dashboard'!$H$4="All",K1886='Dashboard'!$H$4)),1,0)</x:f>
        <x:v>1</x:v>
      </x:c>
    </x:row>
    <x:row r="1887">
      <x:c r="A1887" s="84" t="str">
        <x:f>'Raw Sales'!A1887</x:f>
        <x:v>ORD-2025-00983</x:v>
      </x:c>
      <x:c r="B1887" s="85" t="n">
        <x:f>'Raw Sales'!B1887</x:f>
        <x:v>45904</x:v>
      </x:c>
      <x:c r="C1887" s="84" t="n">
        <x:f>YEAR(B1887)</x:f>
        <x:v>2025</x:v>
      </x:c>
      <x:c r="D1887" s="91" t="n">
        <x:f>DATE(YEAR(B1887),MONTH(B1887),1)</x:f>
        <x:v>45901</x:v>
      </x:c>
      <x:c r="E1887" s="84" t="str">
        <x:f>TEXT(B1887,"mmm")</x:f>
        <x:v>Sep</x:v>
      </x:c>
      <x:c r="F1887" s="84" t="str">
        <x:f>'Raw Sales'!C1887</x:f>
        <x:v>CUST-0330</x:v>
      </x:c>
      <x:c r="G1887" s="84" t="str">
        <x:f>PROPER(TRIM('Raw Sales'!D1887))</x:f>
        <x:v>Daniel Carter</x:v>
      </x:c>
      <x:c r="H1887" s="84" t="str">
        <x:f>IF(TRIM('Raw Sales'!E1887)="","Unknown",PROPER(TRIM('Raw Sales'!E1887)))</x:f>
        <x:v>Corporate</x:v>
      </x:c>
      <x:c r="I1887" s="84" t="str">
        <x:f>PROPER(TRIM('Raw Sales'!F1887))</x:f>
        <x:v>Southeast</x:v>
      </x:c>
      <x:c r="J1887" s="84" t="str">
        <x:f>PROPER(TRIM('Raw Sales'!G1887))</x:f>
        <x:v>Nashville</x:v>
      </x:c>
      <x:c r="K1887" s="84" t="str">
        <x:f>PROPER(TRIM('Raw Sales'!H1887))</x:f>
        <x:v>Marketplace</x:v>
      </x:c>
      <x:c r="L1887" s="84" t="str">
        <x:f>'Raw Sales'!I1887</x:f>
        <x:v>OFFC-005</x:v>
      </x:c>
      <x:c r="M1887" s="84" t="str">
        <x:f>IFERROR(VLOOKUP(L1887,'Reference Data'!$A$5:$F$40,2,FALSE),"Unknown Product")</x:f>
        <x:v>Wireless Keyboard</x:v>
      </x:c>
      <x:c r="N1887" s="84" t="str">
        <x:f>IFERROR(VLOOKUP(L1887,'Reference Data'!$A$5:$F$40,3,FALSE),"Unknown")</x:f>
        <x:v>Office</x:v>
      </x:c>
      <x:c r="O1887" s="84" t="str">
        <x:f>IFERROR(VLOOKUP(L1887,'Reference Data'!$A$5:$F$40,4,FALSE),"Unknown")</x:f>
        <x:v>Computer Accessories</x:v>
      </x:c>
      <x:c r="P1887" s="92" t="n">
        <x:f>IFERROR(VLOOKUP(L1887,'Reference Data'!$A$5:$F$40,5,FALSE),0)</x:f>
        <x:v>59</x:v>
      </x:c>
      <x:c r="Q1887" s="92" t="n">
        <x:f>IFERROR(VLOOKUP(L1887,'Reference Data'!$A$5:$F$40,6,FALSE),0)</x:f>
        <x:v>28</x:v>
      </x:c>
      <x:c r="R1887" s="84" t="n">
        <x:f>'Raw Sales'!J1887</x:f>
        <x:v>3</x:v>
      </x:c>
      <x:c r="S1887" s="87" t="n">
        <x:f>'Raw Sales'!K1887</x:f>
        <x:v>0.15</x:v>
      </x:c>
      <x:c r="T1887" s="93" t="n">
        <x:f>P1887*R1887</x:f>
        <x:v>177</x:v>
      </x:c>
      <x:c r="U1887" s="93" t="n">
        <x:f>T1887*S1887</x:f>
        <x:v>26.55</x:v>
      </x:c>
      <x:c r="V1887" s="93" t="str">
        <x:f>PROPER(TRIM('Raw Sales'!L1887))</x:f>
        <x:v>Completed</x:v>
      </x:c>
      <x:c r="W1887" s="93" t="n">
        <x:f>IF(V1887="Returned",0,T1887-U1887)</x:f>
        <x:v>150.45</x:v>
      </x:c>
      <x:c r="X1887" s="93" t="n">
        <x:f>IF(V1887="Returned",Q1887*R1887*10%,Q1887*R1887)</x:f>
        <x:v>84</x:v>
      </x:c>
      <x:c r="Y1887" s="93" t="n">
        <x:f>W1887-X1887</x:f>
        <x:v>66.44999999999999</x:v>
      </x:c>
      <x:c r="Z1887" s="94" t="n">
        <x:f>IFERROR(Y1887/W1887,0)</x:f>
        <x:v>0.44167497507477566</x:v>
      </x:c>
      <x:c r="AA1887" s="84" t="str">
        <x:f>PROPER(TRIM('Raw Sales'!M1887))</x:f>
        <x:v>Debit Card</x:v>
      </x:c>
      <x:c r="AB1887" s="84" t="str">
        <x:f>PROPER(TRIM('Raw Sales'!N1887))</x:f>
        <x:v>Noah Reed</x:v>
      </x:c>
      <x:c r="AC1887" s="85" t="n">
        <x:f>'Raw Sales'!O1887</x:f>
        <x:v>45907</x:v>
      </x:c>
      <x:c r="AD1887" s="84" t="n">
        <x:f>AC1887-B1887</x:f>
        <x:v>3</x:v>
      </x:c>
      <x:c r="AE1887" s="84" t="str">
        <x:f>IF(COUNTIF($A$5:A1887,A1887)&gt;1,"Duplicate","Keep")</x:f>
        <x:v>Keep</x:v>
      </x:c>
      <x:c r="AF1887" s="84" t="str">
        <x:f>IF(OR(R1887&lt;=0,AC1887&lt;B1887,H1887="Unknown",M1887="Unknown Product"),"Review","Valid")</x:f>
        <x:v>Valid</x:v>
      </x:c>
      <x:c r="AG1887" s="84" t="n">
        <x:f>IF(AND(AE1887="Keep",AF1887="Valid"),1,0)</x:f>
        <x:v>1</x:v>
      </x:c>
      <x:c r="AH1887" s="84" t="n">
        <x:f>IF(AND(AG1887=1,OR('Dashboard'!$B$4="All",I1887='Dashboard'!$B$4),OR('Dashboard'!$E$4="All",N1887='Dashboard'!$E$4),OR('Dashboard'!$H$4="All",K1887='Dashboard'!$H$4),OR('Dashboard'!$K$4="All",C1887='Dashboard'!$K$4)),1,0)</x:f>
        <x:v>1</x:v>
      </x:c>
      <x:c r="AI1887" s="84" t="n">
        <x:f>IF(AND(AG1887=1,OR('Dashboard'!$B$4="All",I1887='Dashboard'!$B$4),OR('Dashboard'!$E$4="All",N1887='Dashboard'!$E$4),OR('Dashboard'!$H$4="All",K1887='Dashboard'!$H$4)),1,0)</x:f>
        <x:v>1</x:v>
      </x:c>
    </x:row>
    <x:row r="1888">
      <x:c r="A1888" s="84" t="str">
        <x:f>'Raw Sales'!A1888</x:f>
        <x:v>ORD-2025-01358</x:v>
      </x:c>
      <x:c r="B1888" s="85" t="n">
        <x:f>'Raw Sales'!B1888</x:f>
        <x:v>45904</x:v>
      </x:c>
      <x:c r="C1888" s="84" t="n">
        <x:f>YEAR(B1888)</x:f>
        <x:v>2025</x:v>
      </x:c>
      <x:c r="D1888" s="91" t="n">
        <x:f>DATE(YEAR(B1888),MONTH(B1888),1)</x:f>
        <x:v>45901</x:v>
      </x:c>
      <x:c r="E1888" s="84" t="str">
        <x:f>TEXT(B1888,"mmm")</x:f>
        <x:v>Sep</x:v>
      </x:c>
      <x:c r="F1888" s="84" t="str">
        <x:f>'Raw Sales'!C1888</x:f>
        <x:v>CUST-0146</x:v>
      </x:c>
      <x:c r="G1888" s="84" t="str">
        <x:f>PROPER(TRIM('Raw Sales'!D1888))</x:f>
        <x:v>Elena Quinn</x:v>
      </x:c>
      <x:c r="H1888" s="84" t="str">
        <x:f>IF(TRIM('Raw Sales'!E1888)="","Unknown",PROPER(TRIM('Raw Sales'!E1888)))</x:f>
        <x:v>Consumer</x:v>
      </x:c>
      <x:c r="I1888" s="84" t="str">
        <x:f>PROPER(TRIM('Raw Sales'!F1888))</x:f>
        <x:v>West</x:v>
      </x:c>
      <x:c r="J1888" s="84" t="str">
        <x:f>PROPER(TRIM('Raw Sales'!G1888))</x:f>
        <x:v>Seattle</x:v>
      </x:c>
      <x:c r="K1888" s="84" t="str">
        <x:f>PROPER(TRIM('Raw Sales'!H1888))</x:f>
        <x:v>Marketplace</x:v>
      </x:c>
      <x:c r="L1888" s="84" t="str">
        <x:f>'Raw Sales'!I1888</x:f>
        <x:v>ELEC-006</x:v>
      </x:c>
      <x:c r="M1888" s="84" t="str">
        <x:f>IFERROR(VLOOKUP(L1888,'Reference Data'!$A$5:$F$40,2,FALSE),"Unknown Product")</x:f>
        <x:v>Portable SSD</x:v>
      </x:c>
      <x:c r="N1888" s="84" t="str">
        <x:f>IFERROR(VLOOKUP(L1888,'Reference Data'!$A$5:$F$40,3,FALSE),"Unknown")</x:f>
        <x:v>Electronics</x:v>
      </x:c>
      <x:c r="O1888" s="84" t="str">
        <x:f>IFERROR(VLOOKUP(L1888,'Reference Data'!$A$5:$F$40,4,FALSE),"Unknown")</x:f>
        <x:v>Storage</x:v>
      </x:c>
      <x:c r="P1888" s="92" t="n">
        <x:f>IFERROR(VLOOKUP(L1888,'Reference Data'!$A$5:$F$40,5,FALSE),0)</x:f>
        <x:v>129</x:v>
      </x:c>
      <x:c r="Q1888" s="92" t="n">
        <x:f>IFERROR(VLOOKUP(L1888,'Reference Data'!$A$5:$F$40,6,FALSE),0)</x:f>
        <x:v>75</x:v>
      </x:c>
      <x:c r="R1888" s="84" t="n">
        <x:f>'Raw Sales'!J1888</x:f>
        <x:v>1</x:v>
      </x:c>
      <x:c r="S1888" s="87" t="n">
        <x:f>'Raw Sales'!K1888</x:f>
        <x:v>0.1</x:v>
      </x:c>
      <x:c r="T1888" s="93" t="n">
        <x:f>P1888*R1888</x:f>
        <x:v>129</x:v>
      </x:c>
      <x:c r="U1888" s="93" t="n">
        <x:f>T1888*S1888</x:f>
        <x:v>12.9</x:v>
      </x:c>
      <x:c r="V1888" s="93" t="str">
        <x:f>PROPER(TRIM('Raw Sales'!L1888))</x:f>
        <x:v>Completed</x:v>
      </x:c>
      <x:c r="W1888" s="93" t="n">
        <x:f>IF(V1888="Returned",0,T1888-U1888)</x:f>
        <x:v>116.1</x:v>
      </x:c>
      <x:c r="X1888" s="93" t="n">
        <x:f>IF(V1888="Returned",Q1888*R1888*10%,Q1888*R1888)</x:f>
        <x:v>75</x:v>
      </x:c>
      <x:c r="Y1888" s="93" t="n">
        <x:f>W1888-X1888</x:f>
        <x:v>41.099999999999994</x:v>
      </x:c>
      <x:c r="Z1888" s="94" t="n">
        <x:f>IFERROR(Y1888/W1888,0)</x:f>
        <x:v>0.3540051679586563</x:v>
      </x:c>
      <x:c r="AA1888" s="84" t="str">
        <x:f>PROPER(TRIM('Raw Sales'!M1888))</x:f>
        <x:v>Credit Card</x:v>
      </x:c>
      <x:c r="AB1888" s="84" t="str">
        <x:f>PROPER(TRIM('Raw Sales'!N1888))</x:f>
        <x:v>Mia Chen</x:v>
      </x:c>
      <x:c r="AC1888" s="85" t="n">
        <x:f>'Raw Sales'!O1888</x:f>
        <x:v>45909</x:v>
      </x:c>
      <x:c r="AD1888" s="84" t="n">
        <x:f>AC1888-B1888</x:f>
        <x:v>5</x:v>
      </x:c>
      <x:c r="AE1888" s="84" t="str">
        <x:f>IF(COUNTIF($A$5:A1888,A1888)&gt;1,"Duplicate","Keep")</x:f>
        <x:v>Keep</x:v>
      </x:c>
      <x:c r="AF1888" s="84" t="str">
        <x:f>IF(OR(R1888&lt;=0,AC1888&lt;B1888,H1888="Unknown",M1888="Unknown Product"),"Review","Valid")</x:f>
        <x:v>Valid</x:v>
      </x:c>
      <x:c r="AG1888" s="84" t="n">
        <x:f>IF(AND(AE1888="Keep",AF1888="Valid"),1,0)</x:f>
        <x:v>1</x:v>
      </x:c>
      <x:c r="AH1888" s="84" t="n">
        <x:f>IF(AND(AG1888=1,OR('Dashboard'!$B$4="All",I1888='Dashboard'!$B$4),OR('Dashboard'!$E$4="All",N1888='Dashboard'!$E$4),OR('Dashboard'!$H$4="All",K1888='Dashboard'!$H$4),OR('Dashboard'!$K$4="All",C1888='Dashboard'!$K$4)),1,0)</x:f>
        <x:v>1</x:v>
      </x:c>
      <x:c r="AI1888" s="84" t="n">
        <x:f>IF(AND(AG1888=1,OR('Dashboard'!$B$4="All",I1888='Dashboard'!$B$4),OR('Dashboard'!$E$4="All",N1888='Dashboard'!$E$4),OR('Dashboard'!$H$4="All",K1888='Dashboard'!$H$4)),1,0)</x:f>
        <x:v>1</x:v>
      </x:c>
    </x:row>
    <x:row r="1889">
      <x:c r="A1889" s="84" t="str">
        <x:f>'Raw Sales'!A1889</x:f>
        <x:v>ORD-2025-00161</x:v>
      </x:c>
      <x:c r="B1889" s="85" t="n">
        <x:f>'Raw Sales'!B1889</x:f>
        <x:v>45905</x:v>
      </x:c>
      <x:c r="C1889" s="84" t="n">
        <x:f>YEAR(B1889)</x:f>
        <x:v>2025</x:v>
      </x:c>
      <x:c r="D1889" s="91" t="n">
        <x:f>DATE(YEAR(B1889),MONTH(B1889),1)</x:f>
        <x:v>45901</x:v>
      </x:c>
      <x:c r="E1889" s="84" t="str">
        <x:f>TEXT(B1889,"mmm")</x:f>
        <x:v>Sep</x:v>
      </x:c>
      <x:c r="F1889" s="84" t="str">
        <x:f>'Raw Sales'!C1889</x:f>
        <x:v>CUST-0517</x:v>
      </x:c>
      <x:c r="G1889" s="84" t="str">
        <x:f>PROPER(TRIM('Raw Sales'!D1889))</x:f>
        <x:v>Layla Irwin</x:v>
      </x:c>
      <x:c r="H1889" s="84" t="str">
        <x:f>IF(TRIM('Raw Sales'!E1889)="","Unknown",PROPER(TRIM('Raw Sales'!E1889)))</x:f>
        <x:v>Corporate</x:v>
      </x:c>
      <x:c r="I1889" s="84" t="str">
        <x:f>PROPER(TRIM('Raw Sales'!F1889))</x:f>
        <x:v>Northeast</x:v>
      </x:c>
      <x:c r="J1889" s="84" t="str">
        <x:f>PROPER(TRIM('Raw Sales'!G1889))</x:f>
        <x:v>Newark</x:v>
      </x:c>
      <x:c r="K1889" s="84" t="str">
        <x:f>PROPER(TRIM('Raw Sales'!H1889))</x:f>
        <x:v>Retail Store</x:v>
      </x:c>
      <x:c r="L1889" s="84" t="str">
        <x:f>'Raw Sales'!I1889</x:f>
        <x:v>OFFC-004</x:v>
      </x:c>
      <x:c r="M1889" s="84" t="str">
        <x:f>IFERROR(VLOOKUP(L1889,'Reference Data'!$A$5:$F$40,2,FALSE),"Unknown Product")</x:f>
        <x:v>Premium Notebook Pack</x:v>
      </x:c>
      <x:c r="N1889" s="84" t="str">
        <x:f>IFERROR(VLOOKUP(L1889,'Reference Data'!$A$5:$F$40,3,FALSE),"Unknown")</x:f>
        <x:v>Office</x:v>
      </x:c>
      <x:c r="O1889" s="84" t="str">
        <x:f>IFERROR(VLOOKUP(L1889,'Reference Data'!$A$5:$F$40,4,FALSE),"Unknown")</x:f>
        <x:v>Stationery</x:v>
      </x:c>
      <x:c r="P1889" s="92" t="n">
        <x:f>IFERROR(VLOOKUP(L1889,'Reference Data'!$A$5:$F$40,5,FALSE),0)</x:f>
        <x:v>18</x:v>
      </x:c>
      <x:c r="Q1889" s="92" t="n">
        <x:f>IFERROR(VLOOKUP(L1889,'Reference Data'!$A$5:$F$40,6,FALSE),0)</x:f>
        <x:v>6.5</x:v>
      </x:c>
      <x:c r="R1889" s="84" t="n">
        <x:f>'Raw Sales'!J1889</x:f>
        <x:v>8</x:v>
      </x:c>
      <x:c r="S1889" s="87" t="n">
        <x:f>'Raw Sales'!K1889</x:f>
        <x:v>0.05</x:v>
      </x:c>
      <x:c r="T1889" s="93" t="n">
        <x:f>P1889*R1889</x:f>
        <x:v>144</x:v>
      </x:c>
      <x:c r="U1889" s="93" t="n">
        <x:f>T1889*S1889</x:f>
        <x:v>7.2</x:v>
      </x:c>
      <x:c r="V1889" s="93" t="str">
        <x:f>PROPER(TRIM('Raw Sales'!L1889))</x:f>
        <x:v>Completed</x:v>
      </x:c>
      <x:c r="W1889" s="93" t="n">
        <x:f>IF(V1889="Returned",0,T1889-U1889)</x:f>
        <x:v>136.8</x:v>
      </x:c>
      <x:c r="X1889" s="93" t="n">
        <x:f>IF(V1889="Returned",Q1889*R1889*10%,Q1889*R1889)</x:f>
        <x:v>52</x:v>
      </x:c>
      <x:c r="Y1889" s="93" t="n">
        <x:f>W1889-X1889</x:f>
        <x:v>84.80000000000001</x:v>
      </x:c>
      <x:c r="Z1889" s="94" t="n">
        <x:f>IFERROR(Y1889/W1889,0)</x:f>
        <x:v>0.6198830409356726</x:v>
      </x:c>
      <x:c r="AA1889" s="84" t="str">
        <x:f>PROPER(TRIM('Raw Sales'!M1889))</x:f>
        <x:v>Credit Card</x:v>
      </x:c>
      <x:c r="AB1889" s="84" t="str">
        <x:f>PROPER(TRIM('Raw Sales'!N1889))</x:f>
        <x:v>Sofia Bennett</x:v>
      </x:c>
      <x:c r="AC1889" s="85" t="n">
        <x:f>'Raw Sales'!O1889</x:f>
        <x:v>45905</x:v>
      </x:c>
      <x:c r="AD1889" s="84" t="n">
        <x:f>AC1889-B1889</x:f>
        <x:v>0</x:v>
      </x:c>
      <x:c r="AE1889" s="84" t="str">
        <x:f>IF(COUNTIF($A$5:A1889,A1889)&gt;1,"Duplicate","Keep")</x:f>
        <x:v>Keep</x:v>
      </x:c>
      <x:c r="AF1889" s="84" t="str">
        <x:f>IF(OR(R1889&lt;=0,AC1889&lt;B1889,H1889="Unknown",M1889="Unknown Product"),"Review","Valid")</x:f>
        <x:v>Valid</x:v>
      </x:c>
      <x:c r="AG1889" s="84" t="n">
        <x:f>IF(AND(AE1889="Keep",AF1889="Valid"),1,0)</x:f>
        <x:v>1</x:v>
      </x:c>
      <x:c r="AH1889" s="84" t="n">
        <x:f>IF(AND(AG1889=1,OR('Dashboard'!$B$4="All",I1889='Dashboard'!$B$4),OR('Dashboard'!$E$4="All",N1889='Dashboard'!$E$4),OR('Dashboard'!$H$4="All",K1889='Dashboard'!$H$4),OR('Dashboard'!$K$4="All",C1889='Dashboard'!$K$4)),1,0)</x:f>
        <x:v>1</x:v>
      </x:c>
      <x:c r="AI1889" s="84" t="n">
        <x:f>IF(AND(AG1889=1,OR('Dashboard'!$B$4="All",I1889='Dashboard'!$B$4),OR('Dashboard'!$E$4="All",N1889='Dashboard'!$E$4),OR('Dashboard'!$H$4="All",K1889='Dashboard'!$H$4)),1,0)</x:f>
        <x:v>1</x:v>
      </x:c>
    </x:row>
    <x:row r="1890">
      <x:c r="A1890" s="84" t="str">
        <x:f>'Raw Sales'!A1890</x:f>
        <x:v>ORD-2025-00512</x:v>
      </x:c>
      <x:c r="B1890" s="85" t="n">
        <x:f>'Raw Sales'!B1890</x:f>
        <x:v>45905</x:v>
      </x:c>
      <x:c r="C1890" s="84" t="n">
        <x:f>YEAR(B1890)</x:f>
        <x:v>2025</x:v>
      </x:c>
      <x:c r="D1890" s="91" t="n">
        <x:f>DATE(YEAR(B1890),MONTH(B1890),1)</x:f>
        <x:v>45901</x:v>
      </x:c>
      <x:c r="E1890" s="84" t="str">
        <x:f>TEXT(B1890,"mmm")</x:f>
        <x:v>Sep</x:v>
      </x:c>
      <x:c r="F1890" s="84" t="str">
        <x:f>'Raw Sales'!C1890</x:f>
        <x:v>CUST-0245</x:v>
      </x:c>
      <x:c r="G1890" s="84" t="str">
        <x:f>PROPER(TRIM('Raw Sales'!D1890))</x:f>
        <x:v>Victoria Carter</x:v>
      </x:c>
      <x:c r="H1890" s="84" t="str">
        <x:f>IF(TRIM('Raw Sales'!E1890)="","Unknown",PROPER(TRIM('Raw Sales'!E1890)))</x:f>
        <x:v>Consumer</x:v>
      </x:c>
      <x:c r="I1890" s="84" t="str">
        <x:f>PROPER(TRIM('Raw Sales'!F1890))</x:f>
        <x:v>West</x:v>
      </x:c>
      <x:c r="J1890" s="84" t="str">
        <x:f>PROPER(TRIM('Raw Sales'!G1890))</x:f>
        <x:v>Los Angeles</x:v>
      </x:c>
      <x:c r="K1890" s="84" t="str">
        <x:f>PROPER(TRIM('Raw Sales'!H1890))</x:f>
        <x:v>Retail Store</x:v>
      </x:c>
      <x:c r="L1890" s="84" t="str">
        <x:f>'Raw Sales'!I1890</x:f>
        <x:v>ACCS-002</x:v>
      </x:c>
      <x:c r="M1890" s="84" t="str">
        <x:f>IFERROR(VLOOKUP(L1890,'Reference Data'!$A$5:$F$40,2,FALSE),"Unknown Product")</x:f>
        <x:v>Travel Backpack</x:v>
      </x:c>
      <x:c r="N1890" s="84" t="str">
        <x:f>IFERROR(VLOOKUP(L1890,'Reference Data'!$A$5:$F$40,3,FALSE),"Unknown")</x:f>
        <x:v>Accessories</x:v>
      </x:c>
      <x:c r="O1890" s="84" t="str">
        <x:f>IFERROR(VLOOKUP(L1890,'Reference Data'!$A$5:$F$40,4,FALSE),"Unknown")</x:f>
        <x:v>Bags</x:v>
      </x:c>
      <x:c r="P1890" s="92" t="n">
        <x:f>IFERROR(VLOOKUP(L1890,'Reference Data'!$A$5:$F$40,5,FALSE),0)</x:f>
        <x:v>89</x:v>
      </x:c>
      <x:c r="Q1890" s="92" t="n">
        <x:f>IFERROR(VLOOKUP(L1890,'Reference Data'!$A$5:$F$40,6,FALSE),0)</x:f>
        <x:v>36</x:v>
      </x:c>
      <x:c r="R1890" s="84" t="n">
        <x:f>'Raw Sales'!J1890</x:f>
        <x:v>1</x:v>
      </x:c>
      <x:c r="S1890" s="87" t="n">
        <x:f>'Raw Sales'!K1890</x:f>
        <x:v>0.05</x:v>
      </x:c>
      <x:c r="T1890" s="93" t="n">
        <x:f>P1890*R1890</x:f>
        <x:v>89</x:v>
      </x:c>
      <x:c r="U1890" s="93" t="n">
        <x:f>T1890*S1890</x:f>
        <x:v>4.45</x:v>
      </x:c>
      <x:c r="V1890" s="93" t="str">
        <x:f>PROPER(TRIM('Raw Sales'!L1890))</x:f>
        <x:v>Completed</x:v>
      </x:c>
      <x:c r="W1890" s="93" t="n">
        <x:f>IF(V1890="Returned",0,T1890-U1890)</x:f>
        <x:v>84.55</x:v>
      </x:c>
      <x:c r="X1890" s="93" t="n">
        <x:f>IF(V1890="Returned",Q1890*R1890*10%,Q1890*R1890)</x:f>
        <x:v>36</x:v>
      </x:c>
      <x:c r="Y1890" s="93" t="n">
        <x:f>W1890-X1890</x:f>
        <x:v>48.55</x:v>
      </x:c>
      <x:c r="Z1890" s="94" t="n">
        <x:f>IFERROR(Y1890/W1890,0)</x:f>
        <x:v>0.5742164399763453</x:v>
      </x:c>
      <x:c r="AA1890" s="84" t="str">
        <x:f>PROPER(TRIM('Raw Sales'!M1890))</x:f>
        <x:v>Credit Card</x:v>
      </x:c>
      <x:c r="AB1890" s="84" t="str">
        <x:f>PROPER(TRIM('Raw Sales'!N1890))</x:f>
        <x:v>Mia Chen</x:v>
      </x:c>
      <x:c r="AC1890" s="85" t="n">
        <x:f>'Raw Sales'!O1890</x:f>
        <x:v>45905</x:v>
      </x:c>
      <x:c r="AD1890" s="84" t="n">
        <x:f>AC1890-B1890</x:f>
        <x:v>0</x:v>
      </x:c>
      <x:c r="AE1890" s="84" t="str">
        <x:f>IF(COUNTIF($A$5:A1890,A1890)&gt;1,"Duplicate","Keep")</x:f>
        <x:v>Keep</x:v>
      </x:c>
      <x:c r="AF1890" s="84" t="str">
        <x:f>IF(OR(R1890&lt;=0,AC1890&lt;B1890,H1890="Unknown",M1890="Unknown Product"),"Review","Valid")</x:f>
        <x:v>Valid</x:v>
      </x:c>
      <x:c r="AG1890" s="84" t="n">
        <x:f>IF(AND(AE1890="Keep",AF1890="Valid"),1,0)</x:f>
        <x:v>1</x:v>
      </x:c>
      <x:c r="AH1890" s="84" t="n">
        <x:f>IF(AND(AG1890=1,OR('Dashboard'!$B$4="All",I1890='Dashboard'!$B$4),OR('Dashboard'!$E$4="All",N1890='Dashboard'!$E$4),OR('Dashboard'!$H$4="All",K1890='Dashboard'!$H$4),OR('Dashboard'!$K$4="All",C1890='Dashboard'!$K$4)),1,0)</x:f>
        <x:v>1</x:v>
      </x:c>
      <x:c r="AI1890" s="84" t="n">
        <x:f>IF(AND(AG1890=1,OR('Dashboard'!$B$4="All",I1890='Dashboard'!$B$4),OR('Dashboard'!$E$4="All",N1890='Dashboard'!$E$4),OR('Dashboard'!$H$4="All",K1890='Dashboard'!$H$4)),1,0)</x:f>
        <x:v>1</x:v>
      </x:c>
    </x:row>
    <x:row r="1891">
      <x:c r="A1891" s="84" t="str">
        <x:f>'Raw Sales'!A1891</x:f>
        <x:v>ORD-2025-00726</x:v>
      </x:c>
      <x:c r="B1891" s="85" t="n">
        <x:f>'Raw Sales'!B1891</x:f>
        <x:v>45905</x:v>
      </x:c>
      <x:c r="C1891" s="84" t="n">
        <x:f>YEAR(B1891)</x:f>
        <x:v>2025</x:v>
      </x:c>
      <x:c r="D1891" s="91" t="n">
        <x:f>DATE(YEAR(B1891),MONTH(B1891),1)</x:f>
        <x:v>45901</x:v>
      </x:c>
      <x:c r="E1891" s="84" t="str">
        <x:f>TEXT(B1891,"mmm")</x:f>
        <x:v>Sep</x:v>
      </x:c>
      <x:c r="F1891" s="84" t="str">
        <x:f>'Raw Sales'!C1891</x:f>
        <x:v>CUST-0076</x:v>
      </x:c>
      <x:c r="G1891" s="84" t="str">
        <x:f>PROPER(TRIM('Raw Sales'!D1891))</x:f>
        <x:v>Jonah Patel</x:v>
      </x:c>
      <x:c r="H1891" s="84" t="str">
        <x:f>IF(TRIM('Raw Sales'!E1891)="","Unknown",PROPER(TRIM('Raw Sales'!E1891)))</x:f>
        <x:v>Small Business</x:v>
      </x:c>
      <x:c r="I1891" s="84" t="str">
        <x:f>PROPER(TRIM('Raw Sales'!F1891))</x:f>
        <x:v>Southeast</x:v>
      </x:c>
      <x:c r="J1891" s="84" t="str">
        <x:f>PROPER(TRIM('Raw Sales'!G1891))</x:f>
        <x:v>Charlotte</x:v>
      </x:c>
      <x:c r="K1891" s="84" t="str">
        <x:f>PROPER(TRIM('Raw Sales'!H1891))</x:f>
        <x:v>Marketplace</x:v>
      </x:c>
      <x:c r="L1891" s="84" t="str">
        <x:f>'Raw Sales'!I1891</x:f>
        <x:v>ELEC-005</x:v>
      </x:c>
      <x:c r="M1891" s="84" t="str">
        <x:f>IFERROR(VLOOKUP(L1891,'Reference Data'!$A$5:$F$40,2,FALSE),"Unknown Product")</x:f>
        <x:v>HD Webcam</x:v>
      </x:c>
      <x:c r="N1891" s="84" t="str">
        <x:f>IFERROR(VLOOKUP(L1891,'Reference Data'!$A$5:$F$40,3,FALSE),"Unknown")</x:f>
        <x:v>Electronics</x:v>
      </x:c>
      <x:c r="O1891" s="84" t="str">
        <x:f>IFERROR(VLOOKUP(L1891,'Reference Data'!$A$5:$F$40,4,FALSE),"Unknown")</x:f>
        <x:v>Computer Accessories</x:v>
      </x:c>
      <x:c r="P1891" s="92" t="n">
        <x:f>IFERROR(VLOOKUP(L1891,'Reference Data'!$A$5:$F$40,5,FALSE),0)</x:f>
        <x:v>79</x:v>
      </x:c>
      <x:c r="Q1891" s="92" t="n">
        <x:f>IFERROR(VLOOKUP(L1891,'Reference Data'!$A$5:$F$40,6,FALSE),0)</x:f>
        <x:v>37</x:v>
      </x:c>
      <x:c r="R1891" s="84" t="n">
        <x:f>'Raw Sales'!J1891</x:f>
        <x:v>1</x:v>
      </x:c>
      <x:c r="S1891" s="87" t="n">
        <x:f>'Raw Sales'!K1891</x:f>
        <x:v>0</x:v>
      </x:c>
      <x:c r="T1891" s="93" t="n">
        <x:f>P1891*R1891</x:f>
        <x:v>79</x:v>
      </x:c>
      <x:c r="U1891" s="93" t="n">
        <x:f>T1891*S1891</x:f>
        <x:v>0</x:v>
      </x:c>
      <x:c r="V1891" s="93" t="str">
        <x:f>PROPER(TRIM('Raw Sales'!L1891))</x:f>
        <x:v>Completed</x:v>
      </x:c>
      <x:c r="W1891" s="93" t="n">
        <x:f>IF(V1891="Returned",0,T1891-U1891)</x:f>
        <x:v>79</x:v>
      </x:c>
      <x:c r="X1891" s="93" t="n">
        <x:f>IF(V1891="Returned",Q1891*R1891*10%,Q1891*R1891)</x:f>
        <x:v>37</x:v>
      </x:c>
      <x:c r="Y1891" s="93" t="n">
        <x:f>W1891-X1891</x:f>
        <x:v>42</x:v>
      </x:c>
      <x:c r="Z1891" s="94" t="n">
        <x:f>IFERROR(Y1891/W1891,0)</x:f>
        <x:v>0.5316455696202531</x:v>
      </x:c>
      <x:c r="AA1891" s="84" t="str">
        <x:f>PROPER(TRIM('Raw Sales'!M1891))</x:f>
        <x:v>Credit Card</x:v>
      </x:c>
      <x:c r="AB1891" s="84" t="str">
        <x:f>PROPER(TRIM('Raw Sales'!N1891))</x:f>
        <x:v>Ava Mitchell</x:v>
      </x:c>
      <x:c r="AC1891" s="85" t="n">
        <x:f>'Raw Sales'!O1891</x:f>
        <x:v>45912</x:v>
      </x:c>
      <x:c r="AD1891" s="84" t="n">
        <x:f>AC1891-B1891</x:f>
        <x:v>7</x:v>
      </x:c>
      <x:c r="AE1891" s="84" t="str">
        <x:f>IF(COUNTIF($A$5:A1891,A1891)&gt;1,"Duplicate","Keep")</x:f>
        <x:v>Keep</x:v>
      </x:c>
      <x:c r="AF1891" s="84" t="str">
        <x:f>IF(OR(R1891&lt;=0,AC1891&lt;B1891,H1891="Unknown",M1891="Unknown Product"),"Review","Valid")</x:f>
        <x:v>Valid</x:v>
      </x:c>
      <x:c r="AG1891" s="84" t="n">
        <x:f>IF(AND(AE1891="Keep",AF1891="Valid"),1,0)</x:f>
        <x:v>1</x:v>
      </x:c>
      <x:c r="AH1891" s="84" t="n">
        <x:f>IF(AND(AG1891=1,OR('Dashboard'!$B$4="All",I1891='Dashboard'!$B$4),OR('Dashboard'!$E$4="All",N1891='Dashboard'!$E$4),OR('Dashboard'!$H$4="All",K1891='Dashboard'!$H$4),OR('Dashboard'!$K$4="All",C1891='Dashboard'!$K$4)),1,0)</x:f>
        <x:v>1</x:v>
      </x:c>
      <x:c r="AI1891" s="84" t="n">
        <x:f>IF(AND(AG1891=1,OR('Dashboard'!$B$4="All",I1891='Dashboard'!$B$4),OR('Dashboard'!$E$4="All",N1891='Dashboard'!$E$4),OR('Dashboard'!$H$4="All",K1891='Dashboard'!$H$4)),1,0)</x:f>
        <x:v>1</x:v>
      </x:c>
    </x:row>
    <x:row r="1892">
      <x:c r="A1892" s="84" t="str">
        <x:f>'Raw Sales'!A1892</x:f>
        <x:v>ORD-2025-00770</x:v>
      </x:c>
      <x:c r="B1892" s="85" t="n">
        <x:f>'Raw Sales'!B1892</x:f>
        <x:v>45905</x:v>
      </x:c>
      <x:c r="C1892" s="84" t="n">
        <x:f>YEAR(B1892)</x:f>
        <x:v>2025</x:v>
      </x:c>
      <x:c r="D1892" s="91" t="n">
        <x:f>DATE(YEAR(B1892),MONTH(B1892),1)</x:f>
        <x:v>45901</x:v>
      </x:c>
      <x:c r="E1892" s="84" t="str">
        <x:f>TEXT(B1892,"mmm")</x:f>
        <x:v>Sep</x:v>
      </x:c>
      <x:c r="F1892" s="84" t="str">
        <x:f>'Raw Sales'!C1892</x:f>
        <x:v>CUST-0547</x:v>
      </x:c>
      <x:c r="G1892" s="84" t="str">
        <x:f>PROPER(TRIM('Raw Sales'!D1892))</x:f>
        <x:v>Jonah Davis</x:v>
      </x:c>
      <x:c r="H1892" s="84" t="str">
        <x:f>IF(TRIM('Raw Sales'!E1892)="","Unknown",PROPER(TRIM('Raw Sales'!E1892)))</x:f>
        <x:v>Corporate</x:v>
      </x:c>
      <x:c r="I1892" s="84" t="str">
        <x:f>PROPER(TRIM('Raw Sales'!F1892))</x:f>
        <x:v>Midwest</x:v>
      </x:c>
      <x:c r="J1892" s="84" t="str">
        <x:f>PROPER(TRIM('Raw Sales'!G1892))</x:f>
        <x:v>Chicago</x:v>
      </x:c>
      <x:c r="K1892" s="84" t="str">
        <x:f>PROPER(TRIM('Raw Sales'!H1892))</x:f>
        <x:v>Online</x:v>
      </x:c>
      <x:c r="L1892" s="84" t="str">
        <x:f>'Raw Sales'!I1892</x:f>
        <x:v>HOME-002</x:v>
      </x:c>
      <x:c r="M1892" s="84" t="str">
        <x:f>IFERROR(VLOOKUP(L1892,'Reference Data'!$A$5:$F$40,2,FALSE),"Unknown Product")</x:f>
        <x:v>Electric Kettle</x:v>
      </x:c>
      <x:c r="N1892" s="84" t="str">
        <x:f>IFERROR(VLOOKUP(L1892,'Reference Data'!$A$5:$F$40,3,FALSE),"Unknown")</x:f>
        <x:v>Home &amp; Kitchen</x:v>
      </x:c>
      <x:c r="O1892" s="84" t="str">
        <x:f>IFERROR(VLOOKUP(L1892,'Reference Data'!$A$5:$F$40,4,FALSE),"Unknown")</x:f>
        <x:v>Small Appliances</x:v>
      </x:c>
      <x:c r="P1892" s="92" t="n">
        <x:f>IFERROR(VLOOKUP(L1892,'Reference Data'!$A$5:$F$40,5,FALSE),0)</x:f>
        <x:v>49</x:v>
      </x:c>
      <x:c r="Q1892" s="92" t="n">
        <x:f>IFERROR(VLOOKUP(L1892,'Reference Data'!$A$5:$F$40,6,FALSE),0)</x:f>
        <x:v>23</x:v>
      </x:c>
      <x:c r="R1892" s="84" t="n">
        <x:f>'Raw Sales'!J1892</x:f>
        <x:v>5</x:v>
      </x:c>
      <x:c r="S1892" s="87" t="n">
        <x:f>'Raw Sales'!K1892</x:f>
        <x:v>0</x:v>
      </x:c>
      <x:c r="T1892" s="93" t="n">
        <x:f>P1892*R1892</x:f>
        <x:v>245</x:v>
      </x:c>
      <x:c r="U1892" s="93" t="n">
        <x:f>T1892*S1892</x:f>
        <x:v>0</x:v>
      </x:c>
      <x:c r="V1892" s="93" t="str">
        <x:f>PROPER(TRIM('Raw Sales'!L1892))</x:f>
        <x:v>Completed</x:v>
      </x:c>
      <x:c r="W1892" s="93" t="n">
        <x:f>IF(V1892="Returned",0,T1892-U1892)</x:f>
        <x:v>245</x:v>
      </x:c>
      <x:c r="X1892" s="93" t="n">
        <x:f>IF(V1892="Returned",Q1892*R1892*10%,Q1892*R1892)</x:f>
        <x:v>115</x:v>
      </x:c>
      <x:c r="Y1892" s="93" t="n">
        <x:f>W1892-X1892</x:f>
        <x:v>130</x:v>
      </x:c>
      <x:c r="Z1892" s="94" t="n">
        <x:f>IFERROR(Y1892/W1892,0)</x:f>
        <x:v>0.5306122448979592</x:v>
      </x:c>
      <x:c r="AA1892" s="84" t="str">
        <x:f>PROPER(TRIM('Raw Sales'!M1892))</x:f>
        <x:v>Credit Card</x:v>
      </x:c>
      <x:c r="AB1892" s="84" t="str">
        <x:f>PROPER(TRIM('Raw Sales'!N1892))</x:f>
        <x:v>Lucas Grant</x:v>
      </x:c>
      <x:c r="AC1892" s="85" t="n">
        <x:f>'Raw Sales'!O1892</x:f>
        <x:v>45907</x:v>
      </x:c>
      <x:c r="AD1892" s="84" t="n">
        <x:f>AC1892-B1892</x:f>
        <x:v>2</x:v>
      </x:c>
      <x:c r="AE1892" s="84" t="str">
        <x:f>IF(COUNTIF($A$5:A1892,A1892)&gt;1,"Duplicate","Keep")</x:f>
        <x:v>Keep</x:v>
      </x:c>
      <x:c r="AF1892" s="84" t="str">
        <x:f>IF(OR(R1892&lt;=0,AC1892&lt;B1892,H1892="Unknown",M1892="Unknown Product"),"Review","Valid")</x:f>
        <x:v>Valid</x:v>
      </x:c>
      <x:c r="AG1892" s="84" t="n">
        <x:f>IF(AND(AE1892="Keep",AF1892="Valid"),1,0)</x:f>
        <x:v>1</x:v>
      </x:c>
      <x:c r="AH1892" s="84" t="n">
        <x:f>IF(AND(AG1892=1,OR('Dashboard'!$B$4="All",I1892='Dashboard'!$B$4),OR('Dashboard'!$E$4="All",N1892='Dashboard'!$E$4),OR('Dashboard'!$H$4="All",K1892='Dashboard'!$H$4),OR('Dashboard'!$K$4="All",C1892='Dashboard'!$K$4)),1,0)</x:f>
        <x:v>1</x:v>
      </x:c>
      <x:c r="AI1892" s="84" t="n">
        <x:f>IF(AND(AG1892=1,OR('Dashboard'!$B$4="All",I1892='Dashboard'!$B$4),OR('Dashboard'!$E$4="All",N1892='Dashboard'!$E$4),OR('Dashboard'!$H$4="All",K1892='Dashboard'!$H$4)),1,0)</x:f>
        <x:v>1</x:v>
      </x:c>
    </x:row>
    <x:row r="1893">
      <x:c r="A1893" s="84" t="str">
        <x:f>'Raw Sales'!A1893</x:f>
        <x:v>ORD-2025-01305</x:v>
      </x:c>
      <x:c r="B1893" s="85" t="n">
        <x:f>'Raw Sales'!B1893</x:f>
        <x:v>45905</x:v>
      </x:c>
      <x:c r="C1893" s="84" t="n">
        <x:f>YEAR(B1893)</x:f>
        <x:v>2025</x:v>
      </x:c>
      <x:c r="D1893" s="91" t="n">
        <x:f>DATE(YEAR(B1893),MONTH(B1893),1)</x:f>
        <x:v>45901</x:v>
      </x:c>
      <x:c r="E1893" s="84" t="str">
        <x:f>TEXT(B1893,"mmm")</x:f>
        <x:v>Sep</x:v>
      </x:c>
      <x:c r="F1893" s="84" t="str">
        <x:f>'Raw Sales'!C1893</x:f>
        <x:v>CUST-0358</x:v>
      </x:c>
      <x:c r="G1893" s="84" t="str">
        <x:f>PROPER(TRIM('Raw Sales'!D1893))</x:f>
        <x:v>Grace Roberts</x:v>
      </x:c>
      <x:c r="H1893" s="84" t="str">
        <x:f>IF(TRIM('Raw Sales'!E1893)="","Unknown",PROPER(TRIM('Raw Sales'!E1893)))</x:f>
        <x:v>Consumer</x:v>
      </x:c>
      <x:c r="I1893" s="84" t="str">
        <x:f>PROPER(TRIM('Raw Sales'!F1893))</x:f>
        <x:v>West</x:v>
      </x:c>
      <x:c r="J1893" s="84" t="str">
        <x:f>PROPER(TRIM('Raw Sales'!G1893))</x:f>
        <x:v>Seattle</x:v>
      </x:c>
      <x:c r="K1893" s="84" t="str">
        <x:f>PROPER(TRIM('Raw Sales'!H1893))</x:f>
        <x:v>Marketplace</x:v>
      </x:c>
      <x:c r="L1893" s="84" t="str">
        <x:f>'Raw Sales'!I1893</x:f>
        <x:v>FITN-004</x:v>
      </x:c>
      <x:c r="M1893" s="84" t="str">
        <x:f>IFERROR(VLOOKUP(L1893,'Reference Data'!$A$5:$F$40,2,FALSE),"Unknown Product")</x:f>
        <x:v>Fitness Tracker</x:v>
      </x:c>
      <x:c r="N1893" s="84" t="str">
        <x:f>IFERROR(VLOOKUP(L1893,'Reference Data'!$A$5:$F$40,3,FALSE),"Unknown")</x:f>
        <x:v>Fitness</x:v>
      </x:c>
      <x:c r="O1893" s="84" t="str">
        <x:f>IFERROR(VLOOKUP(L1893,'Reference Data'!$A$5:$F$40,4,FALSE),"Unknown")</x:f>
        <x:v>Wearables</x:v>
      </x:c>
      <x:c r="P1893" s="92" t="n">
        <x:f>IFERROR(VLOOKUP(L1893,'Reference Data'!$A$5:$F$40,5,FALSE),0)</x:f>
        <x:v>89</x:v>
      </x:c>
      <x:c r="Q1893" s="92" t="n">
        <x:f>IFERROR(VLOOKUP(L1893,'Reference Data'!$A$5:$F$40,6,FALSE),0)</x:f>
        <x:v>44</x:v>
      </x:c>
      <x:c r="R1893" s="84" t="n">
        <x:f>'Raw Sales'!J1893</x:f>
        <x:v>2</x:v>
      </x:c>
      <x:c r="S1893" s="87" t="n">
        <x:f>'Raw Sales'!K1893</x:f>
        <x:v>0.05</x:v>
      </x:c>
      <x:c r="T1893" s="93" t="n">
        <x:f>P1893*R1893</x:f>
        <x:v>178</x:v>
      </x:c>
      <x:c r="U1893" s="93" t="n">
        <x:f>T1893*S1893</x:f>
        <x:v>8.9</x:v>
      </x:c>
      <x:c r="V1893" s="93" t="str">
        <x:f>PROPER(TRIM('Raw Sales'!L1893))</x:f>
        <x:v>Completed</x:v>
      </x:c>
      <x:c r="W1893" s="93" t="n">
        <x:f>IF(V1893="Returned",0,T1893-U1893)</x:f>
        <x:v>169.1</x:v>
      </x:c>
      <x:c r="X1893" s="93" t="n">
        <x:f>IF(V1893="Returned",Q1893*R1893*10%,Q1893*R1893)</x:f>
        <x:v>88</x:v>
      </x:c>
      <x:c r="Y1893" s="93" t="n">
        <x:f>W1893-X1893</x:f>
        <x:v>81.1</x:v>
      </x:c>
      <x:c r="Z1893" s="94" t="n">
        <x:f>IFERROR(Y1893/W1893,0)</x:f>
        <x:v>0.47959787108219987</x:v>
      </x:c>
      <x:c r="AA1893" s="84" t="str">
        <x:f>PROPER(TRIM('Raw Sales'!M1893))</x:f>
        <x:v>Mobile Wallet</x:v>
      </x:c>
      <x:c r="AB1893" s="84" t="str">
        <x:f>PROPER(TRIM('Raw Sales'!N1893))</x:f>
        <x:v>Nora Kim</x:v>
      </x:c>
      <x:c r="AC1893" s="85" t="n">
        <x:f>'Raw Sales'!O1893</x:f>
        <x:v>45912</x:v>
      </x:c>
      <x:c r="AD1893" s="84" t="n">
        <x:f>AC1893-B1893</x:f>
        <x:v>7</x:v>
      </x:c>
      <x:c r="AE1893" s="84" t="str">
        <x:f>IF(COUNTIF($A$5:A1893,A1893)&gt;1,"Duplicate","Keep")</x:f>
        <x:v>Keep</x:v>
      </x:c>
      <x:c r="AF1893" s="84" t="str">
        <x:f>IF(OR(R1893&lt;=0,AC1893&lt;B1893,H1893="Unknown",M1893="Unknown Product"),"Review","Valid")</x:f>
        <x:v>Valid</x:v>
      </x:c>
      <x:c r="AG1893" s="84" t="n">
        <x:f>IF(AND(AE1893="Keep",AF1893="Valid"),1,0)</x:f>
        <x:v>1</x:v>
      </x:c>
      <x:c r="AH1893" s="84" t="n">
        <x:f>IF(AND(AG1893=1,OR('Dashboard'!$B$4="All",I1893='Dashboard'!$B$4),OR('Dashboard'!$E$4="All",N1893='Dashboard'!$E$4),OR('Dashboard'!$H$4="All",K1893='Dashboard'!$H$4),OR('Dashboard'!$K$4="All",C1893='Dashboard'!$K$4)),1,0)</x:f>
        <x:v>1</x:v>
      </x:c>
      <x:c r="AI1893" s="84" t="n">
        <x:f>IF(AND(AG1893=1,OR('Dashboard'!$B$4="All",I1893='Dashboard'!$B$4),OR('Dashboard'!$E$4="All",N1893='Dashboard'!$E$4),OR('Dashboard'!$H$4="All",K1893='Dashboard'!$H$4)),1,0)</x:f>
        <x:v>1</x:v>
      </x:c>
    </x:row>
    <x:row r="1894">
      <x:c r="A1894" s="84" t="str">
        <x:f>'Raw Sales'!A1894</x:f>
        <x:v>ORD-2025-01688</x:v>
      </x:c>
      <x:c r="B1894" s="85" t="n">
        <x:f>'Raw Sales'!B1894</x:f>
        <x:v>45905</x:v>
      </x:c>
      <x:c r="C1894" s="84" t="n">
        <x:f>YEAR(B1894)</x:f>
        <x:v>2025</x:v>
      </x:c>
      <x:c r="D1894" s="91" t="n">
        <x:f>DATE(YEAR(B1894),MONTH(B1894),1)</x:f>
        <x:v>45901</x:v>
      </x:c>
      <x:c r="E1894" s="84" t="str">
        <x:f>TEXT(B1894,"mmm")</x:f>
        <x:v>Sep</x:v>
      </x:c>
      <x:c r="F1894" s="84" t="str">
        <x:f>'Raw Sales'!C1894</x:f>
        <x:v>CUST-0541</x:v>
      </x:c>
      <x:c r="G1894" s="84" t="str">
        <x:f>PROPER(TRIM('Raw Sales'!D1894))</x:f>
        <x:v>Caleb Adams</x:v>
      </x:c>
      <x:c r="H1894" s="84" t="str">
        <x:f>IF(TRIM('Raw Sales'!E1894)="","Unknown",PROPER(TRIM('Raw Sales'!E1894)))</x:f>
        <x:v>Small Business</x:v>
      </x:c>
      <x:c r="I1894" s="84" t="str">
        <x:f>PROPER(TRIM('Raw Sales'!F1894))</x:f>
        <x:v>Northeast</x:v>
      </x:c>
      <x:c r="J1894" s="84" t="str">
        <x:f>PROPER(TRIM('Raw Sales'!G1894))</x:f>
        <x:v>Newark</x:v>
      </x:c>
      <x:c r="K1894" s="84" t="str">
        <x:f>PROPER(TRIM('Raw Sales'!H1894))</x:f>
        <x:v>Online</x:v>
      </x:c>
      <x:c r="L1894" s="84" t="str">
        <x:f>'Raw Sales'!I1894</x:f>
        <x:v>ACCS-001</x:v>
      </x:c>
      <x:c r="M1894" s="84" t="str">
        <x:f>IFERROR(VLOOKUP(L1894,'Reference Data'!$A$5:$F$40,2,FALSE),"Unknown Product")</x:f>
        <x:v>Canvas Tote Bag</x:v>
      </x:c>
      <x:c r="N1894" s="84" t="str">
        <x:f>IFERROR(VLOOKUP(L1894,'Reference Data'!$A$5:$F$40,3,FALSE),"Unknown")</x:f>
        <x:v>Accessories</x:v>
      </x:c>
      <x:c r="O1894" s="84" t="str">
        <x:f>IFERROR(VLOOKUP(L1894,'Reference Data'!$A$5:$F$40,4,FALSE),"Unknown")</x:f>
        <x:v>Bags</x:v>
      </x:c>
      <x:c r="P1894" s="92" t="n">
        <x:f>IFERROR(VLOOKUP(L1894,'Reference Data'!$A$5:$F$40,5,FALSE),0)</x:f>
        <x:v>39</x:v>
      </x:c>
      <x:c r="Q1894" s="92" t="n">
        <x:f>IFERROR(VLOOKUP(L1894,'Reference Data'!$A$5:$F$40,6,FALSE),0)</x:f>
        <x:v>14</x:v>
      </x:c>
      <x:c r="R1894" s="84" t="n">
        <x:f>'Raw Sales'!J1894</x:f>
        <x:v>2</x:v>
      </x:c>
      <x:c r="S1894" s="87" t="n">
        <x:f>'Raw Sales'!K1894</x:f>
        <x:v>0.1</x:v>
      </x:c>
      <x:c r="T1894" s="93" t="n">
        <x:f>P1894*R1894</x:f>
        <x:v>78</x:v>
      </x:c>
      <x:c r="U1894" s="93" t="n">
        <x:f>T1894*S1894</x:f>
        <x:v>7.800000000000001</x:v>
      </x:c>
      <x:c r="V1894" s="93" t="str">
        <x:f>PROPER(TRIM('Raw Sales'!L1894))</x:f>
        <x:v>Completed</x:v>
      </x:c>
      <x:c r="W1894" s="93" t="n">
        <x:f>IF(V1894="Returned",0,T1894-U1894)</x:f>
        <x:v>70.2</x:v>
      </x:c>
      <x:c r="X1894" s="93" t="n">
        <x:f>IF(V1894="Returned",Q1894*R1894*10%,Q1894*R1894)</x:f>
        <x:v>28</x:v>
      </x:c>
      <x:c r="Y1894" s="93" t="n">
        <x:f>W1894-X1894</x:f>
        <x:v>42.2</x:v>
      </x:c>
      <x:c r="Z1894" s="94" t="n">
        <x:f>IFERROR(Y1894/W1894,0)</x:f>
        <x:v>0.6011396011396012</x:v>
      </x:c>
      <x:c r="AA1894" s="84" t="str">
        <x:f>PROPER(TRIM('Raw Sales'!M1894))</x:f>
        <x:v>Credit Card</x:v>
      </x:c>
      <x:c r="AB1894" s="84" t="str">
        <x:f>PROPER(TRIM('Raw Sales'!N1894))</x:f>
        <x:v>Ethan Cole</x:v>
      </x:c>
      <x:c r="AC1894" s="85" t="n">
        <x:f>'Raw Sales'!O1894</x:f>
        <x:v>45907</x:v>
      </x:c>
      <x:c r="AD1894" s="84" t="n">
        <x:f>AC1894-B1894</x:f>
        <x:v>2</x:v>
      </x:c>
      <x:c r="AE1894" s="84" t="str">
        <x:f>IF(COUNTIF($A$5:A1894,A1894)&gt;1,"Duplicate","Keep")</x:f>
        <x:v>Keep</x:v>
      </x:c>
      <x:c r="AF1894" s="84" t="str">
        <x:f>IF(OR(R1894&lt;=0,AC1894&lt;B1894,H1894="Unknown",M1894="Unknown Product"),"Review","Valid")</x:f>
        <x:v>Valid</x:v>
      </x:c>
      <x:c r="AG1894" s="84" t="n">
        <x:f>IF(AND(AE1894="Keep",AF1894="Valid"),1,0)</x:f>
        <x:v>1</x:v>
      </x:c>
      <x:c r="AH1894" s="84" t="n">
        <x:f>IF(AND(AG1894=1,OR('Dashboard'!$B$4="All",I1894='Dashboard'!$B$4),OR('Dashboard'!$E$4="All",N1894='Dashboard'!$E$4),OR('Dashboard'!$H$4="All",K1894='Dashboard'!$H$4),OR('Dashboard'!$K$4="All",C1894='Dashboard'!$K$4)),1,0)</x:f>
        <x:v>1</x:v>
      </x:c>
      <x:c r="AI1894" s="84" t="n">
        <x:f>IF(AND(AG1894=1,OR('Dashboard'!$B$4="All",I1894='Dashboard'!$B$4),OR('Dashboard'!$E$4="All",N1894='Dashboard'!$E$4),OR('Dashboard'!$H$4="All",K1894='Dashboard'!$H$4)),1,0)</x:f>
        <x:v>1</x:v>
      </x:c>
    </x:row>
    <x:row r="1895">
      <x:c r="A1895" s="84" t="str">
        <x:f>'Raw Sales'!A1895</x:f>
        <x:v>ORD-2025-01774</x:v>
      </x:c>
      <x:c r="B1895" s="85" t="n">
        <x:f>'Raw Sales'!B1895</x:f>
        <x:v>45905</x:v>
      </x:c>
      <x:c r="C1895" s="84" t="n">
        <x:f>YEAR(B1895)</x:f>
        <x:v>2025</x:v>
      </x:c>
      <x:c r="D1895" s="91" t="n">
        <x:f>DATE(YEAR(B1895),MONTH(B1895),1)</x:f>
        <x:v>45901</x:v>
      </x:c>
      <x:c r="E1895" s="84" t="str">
        <x:f>TEXT(B1895,"mmm")</x:f>
        <x:v>Sep</x:v>
      </x:c>
      <x:c r="F1895" s="84" t="str">
        <x:f>'Raw Sales'!C1895</x:f>
        <x:v>CUST-0441</x:v>
      </x:c>
      <x:c r="G1895" s="84" t="str">
        <x:f>PROPER(TRIM('Raw Sales'!D1895))</x:f>
        <x:v>Maya Roberts</x:v>
      </x:c>
      <x:c r="H1895" s="84" t="str">
        <x:f>IF(TRIM('Raw Sales'!E1895)="","Unknown",PROPER(TRIM('Raw Sales'!E1895)))</x:f>
        <x:v>Consumer</x:v>
      </x:c>
      <x:c r="I1895" s="84" t="str">
        <x:f>PROPER(TRIM('Raw Sales'!F1895))</x:f>
        <x:v>Southeast</x:v>
      </x:c>
      <x:c r="J1895" s="84" t="str">
        <x:f>PROPER(TRIM('Raw Sales'!G1895))</x:f>
        <x:v>Atlanta</x:v>
      </x:c>
      <x:c r="K1895" s="84" t="str">
        <x:f>PROPER(TRIM('Raw Sales'!H1895))</x:f>
        <x:v>Online</x:v>
      </x:c>
      <x:c r="L1895" s="84" t="str">
        <x:f>'Raw Sales'!I1895</x:f>
        <x:v>HOME-003</x:v>
      </x:c>
      <x:c r="M1895" s="84" t="str">
        <x:f>IFERROR(VLOOKUP(L1895,'Reference Data'!$A$5:$F$40,2,FALSE),"Unknown Product")</x:f>
        <x:v>Countertop Blender</x:v>
      </x:c>
      <x:c r="N1895" s="84" t="str">
        <x:f>IFERROR(VLOOKUP(L1895,'Reference Data'!$A$5:$F$40,3,FALSE),"Unknown")</x:f>
        <x:v>Home &amp; Kitchen</x:v>
      </x:c>
      <x:c r="O1895" s="84" t="str">
        <x:f>IFERROR(VLOOKUP(L1895,'Reference Data'!$A$5:$F$40,4,FALSE),"Unknown")</x:f>
        <x:v>Small Appliances</x:v>
      </x:c>
      <x:c r="P1895" s="92" t="n">
        <x:f>IFERROR(VLOOKUP(L1895,'Reference Data'!$A$5:$F$40,5,FALSE),0)</x:f>
        <x:v>89</x:v>
      </x:c>
      <x:c r="Q1895" s="92" t="n">
        <x:f>IFERROR(VLOOKUP(L1895,'Reference Data'!$A$5:$F$40,6,FALSE),0)</x:f>
        <x:v>46</x:v>
      </x:c>
      <x:c r="R1895" s="84" t="n">
        <x:f>'Raw Sales'!J1895</x:f>
        <x:v>3</x:v>
      </x:c>
      <x:c r="S1895" s="87" t="n">
        <x:f>'Raw Sales'!K1895</x:f>
        <x:v>0.05</x:v>
      </x:c>
      <x:c r="T1895" s="93" t="n">
        <x:f>P1895*R1895</x:f>
        <x:v>267</x:v>
      </x:c>
      <x:c r="U1895" s="93" t="n">
        <x:f>T1895*S1895</x:f>
        <x:v>13.350000000000001</x:v>
      </x:c>
      <x:c r="V1895" s="93" t="str">
        <x:f>PROPER(TRIM('Raw Sales'!L1895))</x:f>
        <x:v>Completed</x:v>
      </x:c>
      <x:c r="W1895" s="93" t="n">
        <x:f>IF(V1895="Returned",0,T1895-U1895)</x:f>
        <x:v>253.65</x:v>
      </x:c>
      <x:c r="X1895" s="93" t="n">
        <x:f>IF(V1895="Returned",Q1895*R1895*10%,Q1895*R1895)</x:f>
        <x:v>138</x:v>
      </x:c>
      <x:c r="Y1895" s="93" t="n">
        <x:f>W1895-X1895</x:f>
        <x:v>115.65</x:v>
      </x:c>
      <x:c r="Z1895" s="94" t="n">
        <x:f>IFERROR(Y1895/W1895,0)</x:f>
        <x:v>0.4559432288586635</x:v>
      </x:c>
      <x:c r="AA1895" s="84" t="str">
        <x:f>PROPER(TRIM('Raw Sales'!M1895))</x:f>
        <x:v>Debit Card</x:v>
      </x:c>
      <x:c r="AB1895" s="84" t="str">
        <x:f>PROPER(TRIM('Raw Sales'!N1895))</x:f>
        <x:v>Liam Parker</x:v>
      </x:c>
      <x:c r="AC1895" s="85" t="n">
        <x:f>'Raw Sales'!O1895</x:f>
        <x:v>45909</x:v>
      </x:c>
      <x:c r="AD1895" s="84" t="n">
        <x:f>AC1895-B1895</x:f>
        <x:v>4</x:v>
      </x:c>
      <x:c r="AE1895" s="84" t="str">
        <x:f>IF(COUNTIF($A$5:A1895,A1895)&gt;1,"Duplicate","Keep")</x:f>
        <x:v>Keep</x:v>
      </x:c>
      <x:c r="AF1895" s="84" t="str">
        <x:f>IF(OR(R1895&lt;=0,AC1895&lt;B1895,H1895="Unknown",M1895="Unknown Product"),"Review","Valid")</x:f>
        <x:v>Valid</x:v>
      </x:c>
      <x:c r="AG1895" s="84" t="n">
        <x:f>IF(AND(AE1895="Keep",AF1895="Valid"),1,0)</x:f>
        <x:v>1</x:v>
      </x:c>
      <x:c r="AH1895" s="84" t="n">
        <x:f>IF(AND(AG1895=1,OR('Dashboard'!$B$4="All",I1895='Dashboard'!$B$4),OR('Dashboard'!$E$4="All",N1895='Dashboard'!$E$4),OR('Dashboard'!$H$4="All",K1895='Dashboard'!$H$4),OR('Dashboard'!$K$4="All",C1895='Dashboard'!$K$4)),1,0)</x:f>
        <x:v>1</x:v>
      </x:c>
      <x:c r="AI1895" s="84" t="n">
        <x:f>IF(AND(AG1895=1,OR('Dashboard'!$B$4="All",I1895='Dashboard'!$B$4),OR('Dashboard'!$E$4="All",N1895='Dashboard'!$E$4),OR('Dashboard'!$H$4="All",K1895='Dashboard'!$H$4)),1,0)</x:f>
        <x:v>1</x:v>
      </x:c>
    </x:row>
    <x:row r="1896">
      <x:c r="A1896" s="84" t="str">
        <x:f>'Raw Sales'!A1896</x:f>
        <x:v>ORD-2025-01922</x:v>
      </x:c>
      <x:c r="B1896" s="85" t="n">
        <x:f>'Raw Sales'!B1896</x:f>
        <x:v>45905</x:v>
      </x:c>
      <x:c r="C1896" s="84" t="n">
        <x:f>YEAR(B1896)</x:f>
        <x:v>2025</x:v>
      </x:c>
      <x:c r="D1896" s="91" t="n">
        <x:f>DATE(YEAR(B1896),MONTH(B1896),1)</x:f>
        <x:v>45901</x:v>
      </x:c>
      <x:c r="E1896" s="84" t="str">
        <x:f>TEXT(B1896,"mmm")</x:f>
        <x:v>Sep</x:v>
      </x:c>
      <x:c r="F1896" s="84" t="str">
        <x:f>'Raw Sales'!C1896</x:f>
        <x:v>CUST-0567</x:v>
      </x:c>
      <x:c r="G1896" s="84" t="str">
        <x:f>PROPER(TRIM('Raw Sales'!D1896))</x:f>
        <x:v>Amelia Walker</x:v>
      </x:c>
      <x:c r="H1896" s="84" t="str">
        <x:f>IF(TRIM('Raw Sales'!E1896)="","Unknown",PROPER(TRIM('Raw Sales'!E1896)))</x:f>
        <x:v>Consumer</x:v>
      </x:c>
      <x:c r="I1896" s="84" t="str">
        <x:f>PROPER(TRIM('Raw Sales'!F1896))</x:f>
        <x:v>West</x:v>
      </x:c>
      <x:c r="J1896" s="84" t="str">
        <x:f>PROPER(TRIM('Raw Sales'!G1896))</x:f>
        <x:v>Denver</x:v>
      </x:c>
      <x:c r="K1896" s="84" t="str">
        <x:f>PROPER(TRIM('Raw Sales'!H1896))</x:f>
        <x:v>Online</x:v>
      </x:c>
      <x:c r="L1896" s="84" t="str">
        <x:f>'Raw Sales'!I1896</x:f>
        <x:v>ELEC-006</x:v>
      </x:c>
      <x:c r="M1896" s="84" t="str">
        <x:f>IFERROR(VLOOKUP(L1896,'Reference Data'!$A$5:$F$40,2,FALSE),"Unknown Product")</x:f>
        <x:v>Portable SSD</x:v>
      </x:c>
      <x:c r="N1896" s="84" t="str">
        <x:f>IFERROR(VLOOKUP(L1896,'Reference Data'!$A$5:$F$40,3,FALSE),"Unknown")</x:f>
        <x:v>Electronics</x:v>
      </x:c>
      <x:c r="O1896" s="84" t="str">
        <x:f>IFERROR(VLOOKUP(L1896,'Reference Data'!$A$5:$F$40,4,FALSE),"Unknown")</x:f>
        <x:v>Storage</x:v>
      </x:c>
      <x:c r="P1896" s="92" t="n">
        <x:f>IFERROR(VLOOKUP(L1896,'Reference Data'!$A$5:$F$40,5,FALSE),0)</x:f>
        <x:v>129</x:v>
      </x:c>
      <x:c r="Q1896" s="92" t="n">
        <x:f>IFERROR(VLOOKUP(L1896,'Reference Data'!$A$5:$F$40,6,FALSE),0)</x:f>
        <x:v>75</x:v>
      </x:c>
      <x:c r="R1896" s="84" t="n">
        <x:f>'Raw Sales'!J1896</x:f>
        <x:v>1</x:v>
      </x:c>
      <x:c r="S1896" s="87" t="n">
        <x:f>'Raw Sales'!K1896</x:f>
        <x:v>0</x:v>
      </x:c>
      <x:c r="T1896" s="93" t="n">
        <x:f>P1896*R1896</x:f>
        <x:v>129</x:v>
      </x:c>
      <x:c r="U1896" s="93" t="n">
        <x:f>T1896*S1896</x:f>
        <x:v>0</x:v>
      </x:c>
      <x:c r="V1896" s="93" t="str">
        <x:f>PROPER(TRIM('Raw Sales'!L1896))</x:f>
        <x:v>Completed</x:v>
      </x:c>
      <x:c r="W1896" s="93" t="n">
        <x:f>IF(V1896="Returned",0,T1896-U1896)</x:f>
        <x:v>129</x:v>
      </x:c>
      <x:c r="X1896" s="93" t="n">
        <x:f>IF(V1896="Returned",Q1896*R1896*10%,Q1896*R1896)</x:f>
        <x:v>75</x:v>
      </x:c>
      <x:c r="Y1896" s="93" t="n">
        <x:f>W1896-X1896</x:f>
        <x:v>54</x:v>
      </x:c>
      <x:c r="Z1896" s="94" t="n">
        <x:f>IFERROR(Y1896/W1896,0)</x:f>
        <x:v>0.4186046511627907</x:v>
      </x:c>
      <x:c r="AA1896" s="84" t="str">
        <x:f>PROPER(TRIM('Raw Sales'!M1896))</x:f>
        <x:v>Mobile Wallet</x:v>
      </x:c>
      <x:c r="AB1896" s="84" t="str">
        <x:f>PROPER(TRIM('Raw Sales'!N1896))</x:f>
        <x:v>Leo Martinez</x:v>
      </x:c>
      <x:c r="AC1896" s="85" t="n">
        <x:f>'Raw Sales'!O1896</x:f>
        <x:v>45909</x:v>
      </x:c>
      <x:c r="AD1896" s="84" t="n">
        <x:f>AC1896-B1896</x:f>
        <x:v>4</x:v>
      </x:c>
      <x:c r="AE1896" s="84" t="str">
        <x:f>IF(COUNTIF($A$5:A1896,A1896)&gt;1,"Duplicate","Keep")</x:f>
        <x:v>Keep</x:v>
      </x:c>
      <x:c r="AF1896" s="84" t="str">
        <x:f>IF(OR(R1896&lt;=0,AC1896&lt;B1896,H1896="Unknown",M1896="Unknown Product"),"Review","Valid")</x:f>
        <x:v>Valid</x:v>
      </x:c>
      <x:c r="AG1896" s="84" t="n">
        <x:f>IF(AND(AE1896="Keep",AF1896="Valid"),1,0)</x:f>
        <x:v>1</x:v>
      </x:c>
      <x:c r="AH1896" s="84" t="n">
        <x:f>IF(AND(AG1896=1,OR('Dashboard'!$B$4="All",I1896='Dashboard'!$B$4),OR('Dashboard'!$E$4="All",N1896='Dashboard'!$E$4),OR('Dashboard'!$H$4="All",K1896='Dashboard'!$H$4),OR('Dashboard'!$K$4="All",C1896='Dashboard'!$K$4)),1,0)</x:f>
        <x:v>1</x:v>
      </x:c>
      <x:c r="AI1896" s="84" t="n">
        <x:f>IF(AND(AG1896=1,OR('Dashboard'!$B$4="All",I1896='Dashboard'!$B$4),OR('Dashboard'!$E$4="All",N1896='Dashboard'!$E$4),OR('Dashboard'!$H$4="All",K1896='Dashboard'!$H$4)),1,0)</x:f>
        <x:v>1</x:v>
      </x:c>
    </x:row>
    <x:row r="1897">
      <x:c r="A1897" s="84" t="str">
        <x:f>'Raw Sales'!A1897</x:f>
        <x:v>ORD-2025-02221</x:v>
      </x:c>
      <x:c r="B1897" s="85" t="n">
        <x:f>'Raw Sales'!B1897</x:f>
        <x:v>45905</x:v>
      </x:c>
      <x:c r="C1897" s="84" t="n">
        <x:f>YEAR(B1897)</x:f>
        <x:v>2025</x:v>
      </x:c>
      <x:c r="D1897" s="91" t="n">
        <x:f>DATE(YEAR(B1897),MONTH(B1897),1)</x:f>
        <x:v>45901</x:v>
      </x:c>
      <x:c r="E1897" s="84" t="str">
        <x:f>TEXT(B1897,"mmm")</x:f>
        <x:v>Sep</x:v>
      </x:c>
      <x:c r="F1897" s="84" t="str">
        <x:f>'Raw Sales'!C1897</x:f>
        <x:v>CUST-0576</x:v>
      </x:c>
      <x:c r="G1897" s="84" t="str">
        <x:f>PROPER(TRIM('Raw Sales'!D1897))</x:f>
        <x:v>Maya Walker</x:v>
      </x:c>
      <x:c r="H1897" s="84" t="str">
        <x:f>IF(TRIM('Raw Sales'!E1897)="","Unknown",PROPER(TRIM('Raw Sales'!E1897)))</x:f>
        <x:v>Corporate</x:v>
      </x:c>
      <x:c r="I1897" s="84" t="str">
        <x:f>PROPER(TRIM('Raw Sales'!F1897))</x:f>
        <x:v>Northeast</x:v>
      </x:c>
      <x:c r="J1897" s="84" t="str">
        <x:f>PROPER(TRIM('Raw Sales'!G1897))</x:f>
        <x:v>New York</x:v>
      </x:c>
      <x:c r="K1897" s="84" t="str">
        <x:f>PROPER(TRIM('Raw Sales'!H1897))</x:f>
        <x:v>Online</x:v>
      </x:c>
      <x:c r="L1897" s="84" t="str">
        <x:f>'Raw Sales'!I1897</x:f>
        <x:v>CARE-002</x:v>
      </x:c>
      <x:c r="M1897" s="84" t="str">
        <x:f>IFERROR(VLOOKUP(L1897,'Reference Data'!$A$5:$F$40,2,FALSE),"Unknown Product")</x:f>
        <x:v>Rechargeable Trimmer</x:v>
      </x:c>
      <x:c r="N1897" s="84" t="str">
        <x:f>IFERROR(VLOOKUP(L1897,'Reference Data'!$A$5:$F$40,3,FALSE),"Unknown")</x:f>
        <x:v>Personal Care</x:v>
      </x:c>
      <x:c r="O1897" s="84" t="str">
        <x:f>IFERROR(VLOOKUP(L1897,'Reference Data'!$A$5:$F$40,4,FALSE),"Unknown")</x:f>
        <x:v>Grooming</x:v>
      </x:c>
      <x:c r="P1897" s="92" t="n">
        <x:f>IFERROR(VLOOKUP(L1897,'Reference Data'!$A$5:$F$40,5,FALSE),0)</x:f>
        <x:v>45</x:v>
      </x:c>
      <x:c r="Q1897" s="92" t="n">
        <x:f>IFERROR(VLOOKUP(L1897,'Reference Data'!$A$5:$F$40,6,FALSE),0)</x:f>
        <x:v>19</x:v>
      </x:c>
      <x:c r="R1897" s="84" t="n">
        <x:f>'Raw Sales'!J1897</x:f>
        <x:v>8</x:v>
      </x:c>
      <x:c r="S1897" s="87" t="n">
        <x:f>'Raw Sales'!K1897</x:f>
        <x:v>0</x:v>
      </x:c>
      <x:c r="T1897" s="93" t="n">
        <x:f>P1897*R1897</x:f>
        <x:v>360</x:v>
      </x:c>
      <x:c r="U1897" s="93" t="n">
        <x:f>T1897*S1897</x:f>
        <x:v>0</x:v>
      </x:c>
      <x:c r="V1897" s="93" t="str">
        <x:f>PROPER(TRIM('Raw Sales'!L1897))</x:f>
        <x:v>Completed</x:v>
      </x:c>
      <x:c r="W1897" s="93" t="n">
        <x:f>IF(V1897="Returned",0,T1897-U1897)</x:f>
        <x:v>360</x:v>
      </x:c>
      <x:c r="X1897" s="93" t="n">
        <x:f>IF(V1897="Returned",Q1897*R1897*10%,Q1897*R1897)</x:f>
        <x:v>152</x:v>
      </x:c>
      <x:c r="Y1897" s="93" t="n">
        <x:f>W1897-X1897</x:f>
        <x:v>208</x:v>
      </x:c>
      <x:c r="Z1897" s="94" t="n">
        <x:f>IFERROR(Y1897/W1897,0)</x:f>
        <x:v>0.5777777777777777</x:v>
      </x:c>
      <x:c r="AA1897" s="84" t="str">
        <x:f>PROPER(TRIM('Raw Sales'!M1897))</x:f>
        <x:v>Debit Card</x:v>
      </x:c>
      <x:c r="AB1897" s="84" t="str">
        <x:f>PROPER(TRIM('Raw Sales'!N1897))</x:f>
        <x:v>Ethan Cole</x:v>
      </x:c>
      <x:c r="AC1897" s="85" t="n">
        <x:f>'Raw Sales'!O1897</x:f>
        <x:v>45911</x:v>
      </x:c>
      <x:c r="AD1897" s="84" t="n">
        <x:f>AC1897-B1897</x:f>
        <x:v>6</x:v>
      </x:c>
      <x:c r="AE1897" s="84" t="str">
        <x:f>IF(COUNTIF($A$5:A1897,A1897)&gt;1,"Duplicate","Keep")</x:f>
        <x:v>Keep</x:v>
      </x:c>
      <x:c r="AF1897" s="84" t="str">
        <x:f>IF(OR(R1897&lt;=0,AC1897&lt;B1897,H1897="Unknown",M1897="Unknown Product"),"Review","Valid")</x:f>
        <x:v>Valid</x:v>
      </x:c>
      <x:c r="AG1897" s="84" t="n">
        <x:f>IF(AND(AE1897="Keep",AF1897="Valid"),1,0)</x:f>
        <x:v>1</x:v>
      </x:c>
      <x:c r="AH1897" s="84" t="n">
        <x:f>IF(AND(AG1897=1,OR('Dashboard'!$B$4="All",I1897='Dashboard'!$B$4),OR('Dashboard'!$E$4="All",N1897='Dashboard'!$E$4),OR('Dashboard'!$H$4="All",K1897='Dashboard'!$H$4),OR('Dashboard'!$K$4="All",C1897='Dashboard'!$K$4)),1,0)</x:f>
        <x:v>1</x:v>
      </x:c>
      <x:c r="AI1897" s="84" t="n">
        <x:f>IF(AND(AG1897=1,OR('Dashboard'!$B$4="All",I1897='Dashboard'!$B$4),OR('Dashboard'!$E$4="All",N1897='Dashboard'!$E$4),OR('Dashboard'!$H$4="All",K1897='Dashboard'!$H$4)),1,0)</x:f>
        <x:v>1</x:v>
      </x:c>
    </x:row>
    <x:row r="1898">
      <x:c r="A1898" s="84" t="str">
        <x:f>'Raw Sales'!A1898</x:f>
        <x:v>ORD-2025-00730</x:v>
      </x:c>
      <x:c r="B1898" s="85" t="n">
        <x:f>'Raw Sales'!B1898</x:f>
        <x:v>45906</x:v>
      </x:c>
      <x:c r="C1898" s="84" t="n">
        <x:f>YEAR(B1898)</x:f>
        <x:v>2025</x:v>
      </x:c>
      <x:c r="D1898" s="91" t="n">
        <x:f>DATE(YEAR(B1898),MONTH(B1898),1)</x:f>
        <x:v>45901</x:v>
      </x:c>
      <x:c r="E1898" s="84" t="str">
        <x:f>TEXT(B1898,"mmm")</x:f>
        <x:v>Sep</x:v>
      </x:c>
      <x:c r="F1898" s="84" t="str">
        <x:f>'Raw Sales'!C1898</x:f>
        <x:v>CUST-0246</x:v>
      </x:c>
      <x:c r="G1898" s="84" t="str">
        <x:f>PROPER(TRIM('Raw Sales'!D1898))</x:f>
        <x:v>Maya Baker</x:v>
      </x:c>
      <x:c r="H1898" s="84" t="str">
        <x:f>IF(TRIM('Raw Sales'!E1898)="","Unknown",PROPER(TRIM('Raw Sales'!E1898)))</x:f>
        <x:v>Corporate</x:v>
      </x:c>
      <x:c r="I1898" s="84" t="str">
        <x:f>PROPER(TRIM('Raw Sales'!F1898))</x:f>
        <x:v>Southeast</x:v>
      </x:c>
      <x:c r="J1898" s="84" t="str">
        <x:f>PROPER(TRIM('Raw Sales'!G1898))</x:f>
        <x:v>Atlanta</x:v>
      </x:c>
      <x:c r="K1898" s="84" t="str">
        <x:f>PROPER(TRIM('Raw Sales'!H1898))</x:f>
        <x:v>Marketplace</x:v>
      </x:c>
      <x:c r="L1898" s="84" t="str">
        <x:f>'Raw Sales'!I1898</x:f>
        <x:v>OFFC-005</x:v>
      </x:c>
      <x:c r="M1898" s="84" t="str">
        <x:f>IFERROR(VLOOKUP(L1898,'Reference Data'!$A$5:$F$40,2,FALSE),"Unknown Product")</x:f>
        <x:v>Wireless Keyboard</x:v>
      </x:c>
      <x:c r="N1898" s="84" t="str">
        <x:f>IFERROR(VLOOKUP(L1898,'Reference Data'!$A$5:$F$40,3,FALSE),"Unknown")</x:f>
        <x:v>Office</x:v>
      </x:c>
      <x:c r="O1898" s="84" t="str">
        <x:f>IFERROR(VLOOKUP(L1898,'Reference Data'!$A$5:$F$40,4,FALSE),"Unknown")</x:f>
        <x:v>Computer Accessories</x:v>
      </x:c>
      <x:c r="P1898" s="92" t="n">
        <x:f>IFERROR(VLOOKUP(L1898,'Reference Data'!$A$5:$F$40,5,FALSE),0)</x:f>
        <x:v>59</x:v>
      </x:c>
      <x:c r="Q1898" s="92" t="n">
        <x:f>IFERROR(VLOOKUP(L1898,'Reference Data'!$A$5:$F$40,6,FALSE),0)</x:f>
        <x:v>28</x:v>
      </x:c>
      <x:c r="R1898" s="84" t="n">
        <x:f>'Raw Sales'!J1898</x:f>
        <x:v>2</x:v>
      </x:c>
      <x:c r="S1898" s="87" t="n">
        <x:f>'Raw Sales'!K1898</x:f>
        <x:v>0.05</x:v>
      </x:c>
      <x:c r="T1898" s="93" t="n">
        <x:f>P1898*R1898</x:f>
        <x:v>118</x:v>
      </x:c>
      <x:c r="U1898" s="93" t="n">
        <x:f>T1898*S1898</x:f>
        <x:v>5.9</x:v>
      </x:c>
      <x:c r="V1898" s="93" t="str">
        <x:f>PROPER(TRIM('Raw Sales'!L1898))</x:f>
        <x:v>Completed</x:v>
      </x:c>
      <x:c r="W1898" s="93" t="n">
        <x:f>IF(V1898="Returned",0,T1898-U1898)</x:f>
        <x:v>112.1</x:v>
      </x:c>
      <x:c r="X1898" s="93" t="n">
        <x:f>IF(V1898="Returned",Q1898*R1898*10%,Q1898*R1898)</x:f>
        <x:v>56</x:v>
      </x:c>
      <x:c r="Y1898" s="93" t="n">
        <x:f>W1898-X1898</x:f>
        <x:v>56.099999999999994</x:v>
      </x:c>
      <x:c r="Z1898" s="94" t="n">
        <x:f>IFERROR(Y1898/W1898,0)</x:f>
        <x:v>0.5004460303300624</x:v>
      </x:c>
      <x:c r="AA1898" s="84" t="str">
        <x:f>PROPER(TRIM('Raw Sales'!M1898))</x:f>
        <x:v>Credit Card</x:v>
      </x:c>
      <x:c r="AB1898" s="84" t="str">
        <x:f>PROPER(TRIM('Raw Sales'!N1898))</x:f>
        <x:v>Liam Parker</x:v>
      </x:c>
      <x:c r="AC1898" s="85" t="n">
        <x:f>'Raw Sales'!O1898</x:f>
        <x:v>45910</x:v>
      </x:c>
      <x:c r="AD1898" s="84" t="n">
        <x:f>AC1898-B1898</x:f>
        <x:v>4</x:v>
      </x:c>
      <x:c r="AE1898" s="84" t="str">
        <x:f>IF(COUNTIF($A$5:A1898,A1898)&gt;1,"Duplicate","Keep")</x:f>
        <x:v>Keep</x:v>
      </x:c>
      <x:c r="AF1898" s="84" t="str">
        <x:f>IF(OR(R1898&lt;=0,AC1898&lt;B1898,H1898="Unknown",M1898="Unknown Product"),"Review","Valid")</x:f>
        <x:v>Valid</x:v>
      </x:c>
      <x:c r="AG1898" s="84" t="n">
        <x:f>IF(AND(AE1898="Keep",AF1898="Valid"),1,0)</x:f>
        <x:v>1</x:v>
      </x:c>
      <x:c r="AH1898" s="84" t="n">
        <x:f>IF(AND(AG1898=1,OR('Dashboard'!$B$4="All",I1898='Dashboard'!$B$4),OR('Dashboard'!$E$4="All",N1898='Dashboard'!$E$4),OR('Dashboard'!$H$4="All",K1898='Dashboard'!$H$4),OR('Dashboard'!$K$4="All",C1898='Dashboard'!$K$4)),1,0)</x:f>
        <x:v>1</x:v>
      </x:c>
      <x:c r="AI1898" s="84" t="n">
        <x:f>IF(AND(AG1898=1,OR('Dashboard'!$B$4="All",I1898='Dashboard'!$B$4),OR('Dashboard'!$E$4="All",N1898='Dashboard'!$E$4),OR('Dashboard'!$H$4="All",K1898='Dashboard'!$H$4)),1,0)</x:f>
        <x:v>1</x:v>
      </x:c>
    </x:row>
    <x:row r="1899">
      <x:c r="A1899" s="84" t="str">
        <x:f>'Raw Sales'!A1899</x:f>
        <x:v>ORD-2025-01043</x:v>
      </x:c>
      <x:c r="B1899" s="85" t="n">
        <x:f>'Raw Sales'!B1899</x:f>
        <x:v>45906</x:v>
      </x:c>
      <x:c r="C1899" s="84" t="n">
        <x:f>YEAR(B1899)</x:f>
        <x:v>2025</x:v>
      </x:c>
      <x:c r="D1899" s="91" t="n">
        <x:f>DATE(YEAR(B1899),MONTH(B1899),1)</x:f>
        <x:v>45901</x:v>
      </x:c>
      <x:c r="E1899" s="84" t="str">
        <x:f>TEXT(B1899,"mmm")</x:f>
        <x:v>Sep</x:v>
      </x:c>
      <x:c r="F1899" s="84" t="str">
        <x:f>'Raw Sales'!C1899</x:f>
        <x:v>CUST-0007</x:v>
      </x:c>
      <x:c r="G1899" s="84" t="str">
        <x:f>PROPER(TRIM('Raw Sales'!D1899))</x:f>
        <x:v>Owen Roberts</x:v>
      </x:c>
      <x:c r="H1899" s="84" t="str">
        <x:f>IF(TRIM('Raw Sales'!E1899)="","Unknown",PROPER(TRIM('Raw Sales'!E1899)))</x:f>
        <x:v>Consumer</x:v>
      </x:c>
      <x:c r="I1899" s="84" t="str">
        <x:f>PROPER(TRIM('Raw Sales'!F1899))</x:f>
        <x:v>Northeast</x:v>
      </x:c>
      <x:c r="J1899" s="84" t="str">
        <x:f>PROPER(TRIM('Raw Sales'!G1899))</x:f>
        <x:v>Newark</x:v>
      </x:c>
      <x:c r="K1899" s="84" t="str">
        <x:f>PROPER(TRIM('Raw Sales'!H1899))</x:f>
        <x:v>Online</x:v>
      </x:c>
      <x:c r="L1899" s="84" t="str">
        <x:f>'Raw Sales'!I1899</x:f>
        <x:v>OFFC-002</x:v>
      </x:c>
      <x:c r="M1899" s="84" t="str">
        <x:f>IFERROR(VLOOKUP(L1899,'Reference Data'!$A$5:$F$40,2,FALSE),"Unknown Product")</x:f>
        <x:v>Standing Desk</x:v>
      </x:c>
      <x:c r="N1899" s="84" t="str">
        <x:f>IFERROR(VLOOKUP(L1899,'Reference Data'!$A$5:$F$40,3,FALSE),"Unknown")</x:f>
        <x:v>Office</x:v>
      </x:c>
      <x:c r="O1899" s="84" t="str">
        <x:f>IFERROR(VLOOKUP(L1899,'Reference Data'!$A$5:$F$40,4,FALSE),"Unknown")</x:f>
        <x:v>Furniture</x:v>
      </x:c>
      <x:c r="P1899" s="92" t="n">
        <x:f>IFERROR(VLOOKUP(L1899,'Reference Data'!$A$5:$F$40,5,FALSE),0)</x:f>
        <x:v>399</x:v>
      </x:c>
      <x:c r="Q1899" s="92" t="n">
        <x:f>IFERROR(VLOOKUP(L1899,'Reference Data'!$A$5:$F$40,6,FALSE),0)</x:f>
        <x:v>235</x:v>
      </x:c>
      <x:c r="R1899" s="84" t="n">
        <x:f>'Raw Sales'!J1899</x:f>
        <x:v>1</x:v>
      </x:c>
      <x:c r="S1899" s="87" t="n">
        <x:f>'Raw Sales'!K1899</x:f>
        <x:v>0.15</x:v>
      </x:c>
      <x:c r="T1899" s="93" t="n">
        <x:f>P1899*R1899</x:f>
        <x:v>399</x:v>
      </x:c>
      <x:c r="U1899" s="93" t="n">
        <x:f>T1899*S1899</x:f>
        <x:v>59.849999999999994</x:v>
      </x:c>
      <x:c r="V1899" s="93" t="str">
        <x:f>PROPER(TRIM('Raw Sales'!L1899))</x:f>
        <x:v>Completed</x:v>
      </x:c>
      <x:c r="W1899" s="93" t="n">
        <x:f>IF(V1899="Returned",0,T1899-U1899)</x:f>
        <x:v>339.15</x:v>
      </x:c>
      <x:c r="X1899" s="93" t="n">
        <x:f>IF(V1899="Returned",Q1899*R1899*10%,Q1899*R1899)</x:f>
        <x:v>235</x:v>
      </x:c>
      <x:c r="Y1899" s="93" t="n">
        <x:f>W1899-X1899</x:f>
        <x:v>104.14999999999998</x:v>
      </x:c>
      <x:c r="Z1899" s="94" t="n">
        <x:f>IFERROR(Y1899/W1899,0)</x:f>
        <x:v>0.3070912575556538</x:v>
      </x:c>
      <x:c r="AA1899" s="84" t="str">
        <x:f>PROPER(TRIM('Raw Sales'!M1899))</x:f>
        <x:v>Credit Card</x:v>
      </x:c>
      <x:c r="AB1899" s="84" t="str">
        <x:f>PROPER(TRIM('Raw Sales'!N1899))</x:f>
        <x:v>Maya Brooks</x:v>
      </x:c>
      <x:c r="AC1899" s="85" t="n">
        <x:f>'Raw Sales'!O1899</x:f>
        <x:v>45908</x:v>
      </x:c>
      <x:c r="AD1899" s="84" t="n">
        <x:f>AC1899-B1899</x:f>
        <x:v>2</x:v>
      </x:c>
      <x:c r="AE1899" s="84" t="str">
        <x:f>IF(COUNTIF($A$5:A1899,A1899)&gt;1,"Duplicate","Keep")</x:f>
        <x:v>Keep</x:v>
      </x:c>
      <x:c r="AF1899" s="84" t="str">
        <x:f>IF(OR(R1899&lt;=0,AC1899&lt;B1899,H1899="Unknown",M1899="Unknown Product"),"Review","Valid")</x:f>
        <x:v>Valid</x:v>
      </x:c>
      <x:c r="AG1899" s="84" t="n">
        <x:f>IF(AND(AE1899="Keep",AF1899="Valid"),1,0)</x:f>
        <x:v>1</x:v>
      </x:c>
      <x:c r="AH1899" s="84" t="n">
        <x:f>IF(AND(AG1899=1,OR('Dashboard'!$B$4="All",I1899='Dashboard'!$B$4),OR('Dashboard'!$E$4="All",N1899='Dashboard'!$E$4),OR('Dashboard'!$H$4="All",K1899='Dashboard'!$H$4),OR('Dashboard'!$K$4="All",C1899='Dashboard'!$K$4)),1,0)</x:f>
        <x:v>1</x:v>
      </x:c>
      <x:c r="AI1899" s="84" t="n">
        <x:f>IF(AND(AG1899=1,OR('Dashboard'!$B$4="All",I1899='Dashboard'!$B$4),OR('Dashboard'!$E$4="All",N1899='Dashboard'!$E$4),OR('Dashboard'!$H$4="All",K1899='Dashboard'!$H$4)),1,0)</x:f>
        <x:v>1</x:v>
      </x:c>
    </x:row>
    <x:row r="1900">
      <x:c r="A1900" s="84" t="str">
        <x:f>'Raw Sales'!A1900</x:f>
        <x:v>ORD-2025-01048</x:v>
      </x:c>
      <x:c r="B1900" s="85" t="n">
        <x:f>'Raw Sales'!B1900</x:f>
        <x:v>45906</x:v>
      </x:c>
      <x:c r="C1900" s="84" t="n">
        <x:f>YEAR(B1900)</x:f>
        <x:v>2025</x:v>
      </x:c>
      <x:c r="D1900" s="91" t="n">
        <x:f>DATE(YEAR(B1900),MONTH(B1900),1)</x:f>
        <x:v>45901</x:v>
      </x:c>
      <x:c r="E1900" s="84" t="str">
        <x:f>TEXT(B1900,"mmm")</x:f>
        <x:v>Sep</x:v>
      </x:c>
      <x:c r="F1900" s="84" t="str">
        <x:f>'Raw Sales'!C1900</x:f>
        <x:v>CUST-0478</x:v>
      </x:c>
      <x:c r="G1900" s="84" t="str">
        <x:f>PROPER(TRIM('Raw Sales'!D1900))</x:f>
        <x:v>Owen Smith</x:v>
      </x:c>
      <x:c r="H1900" s="84" t="str">
        <x:f>IF(TRIM('Raw Sales'!E1900)="","Unknown",PROPER(TRIM('Raw Sales'!E1900)))</x:f>
        <x:v>Small Business</x:v>
      </x:c>
      <x:c r="I1900" s="84" t="str">
        <x:f>PROPER(TRIM('Raw Sales'!F1900))</x:f>
        <x:v>Northeast</x:v>
      </x:c>
      <x:c r="J1900" s="84" t="str">
        <x:f>PROPER(TRIM('Raw Sales'!G1900))</x:f>
        <x:v>New York</x:v>
      </x:c>
      <x:c r="K1900" s="84" t="str">
        <x:f>PROPER(TRIM('Raw Sales'!H1900))</x:f>
        <x:v>Retail Store</x:v>
      </x:c>
      <x:c r="L1900" s="84" t="str">
        <x:f>'Raw Sales'!I1900</x:f>
        <x:v>OFFC-003</x:v>
      </x:c>
      <x:c r="M1900" s="84" t="str">
        <x:f>IFERROR(VLOOKUP(L1900,'Reference Data'!$A$5:$F$40,2,FALSE),"Unknown Product")</x:f>
        <x:v>LED Desk Lamp</x:v>
      </x:c>
      <x:c r="N1900" s="84" t="str">
        <x:f>IFERROR(VLOOKUP(L1900,'Reference Data'!$A$5:$F$40,3,FALSE),"Unknown")</x:f>
        <x:v>Office</x:v>
      </x:c>
      <x:c r="O1900" s="84" t="str">
        <x:f>IFERROR(VLOOKUP(L1900,'Reference Data'!$A$5:$F$40,4,FALSE),"Unknown")</x:f>
        <x:v>Desk Accessories</x:v>
      </x:c>
      <x:c r="P1900" s="92" t="n">
        <x:f>IFERROR(VLOOKUP(L1900,'Reference Data'!$A$5:$F$40,5,FALSE),0)</x:f>
        <x:v>45</x:v>
      </x:c>
      <x:c r="Q1900" s="92" t="n">
        <x:f>IFERROR(VLOOKUP(L1900,'Reference Data'!$A$5:$F$40,6,FALSE),0)</x:f>
        <x:v>20</x:v>
      </x:c>
      <x:c r="R1900" s="84" t="n">
        <x:f>'Raw Sales'!J1900</x:f>
        <x:v>3</x:v>
      </x:c>
      <x:c r="S1900" s="87" t="n">
        <x:f>'Raw Sales'!K1900</x:f>
        <x:v>0.05</x:v>
      </x:c>
      <x:c r="T1900" s="93" t="n">
        <x:f>P1900*R1900</x:f>
        <x:v>135</x:v>
      </x:c>
      <x:c r="U1900" s="93" t="n">
        <x:f>T1900*S1900</x:f>
        <x:v>6.75</x:v>
      </x:c>
      <x:c r="V1900" s="93" t="str">
        <x:f>PROPER(TRIM('Raw Sales'!L1900))</x:f>
        <x:v>Completed</x:v>
      </x:c>
      <x:c r="W1900" s="93" t="n">
        <x:f>IF(V1900="Returned",0,T1900-U1900)</x:f>
        <x:v>128.25</x:v>
      </x:c>
      <x:c r="X1900" s="93" t="n">
        <x:f>IF(V1900="Returned",Q1900*R1900*10%,Q1900*R1900)</x:f>
        <x:v>60</x:v>
      </x:c>
      <x:c r="Y1900" s="93" t="n">
        <x:f>W1900-X1900</x:f>
        <x:v>68.25</x:v>
      </x:c>
      <x:c r="Z1900" s="94" t="n">
        <x:f>IFERROR(Y1900/W1900,0)</x:f>
        <x:v>0.5321637426900585</x:v>
      </x:c>
      <x:c r="AA1900" s="84" t="str">
        <x:f>PROPER(TRIM('Raw Sales'!M1900))</x:f>
        <x:v>Debit Card</x:v>
      </x:c>
      <x:c r="AB1900" s="84" t="str">
        <x:f>PROPER(TRIM('Raw Sales'!N1900))</x:f>
        <x:v>Maya Brooks</x:v>
      </x:c>
      <x:c r="AC1900" s="85" t="n">
        <x:f>'Raw Sales'!O1900</x:f>
        <x:v>45906</x:v>
      </x:c>
      <x:c r="AD1900" s="84" t="n">
        <x:f>AC1900-B1900</x:f>
        <x:v>0</x:v>
      </x:c>
      <x:c r="AE1900" s="84" t="str">
        <x:f>IF(COUNTIF($A$5:A1900,A1900)&gt;1,"Duplicate","Keep")</x:f>
        <x:v>Keep</x:v>
      </x:c>
      <x:c r="AF1900" s="84" t="str">
        <x:f>IF(OR(R1900&lt;=0,AC1900&lt;B1900,H1900="Unknown",M1900="Unknown Product"),"Review","Valid")</x:f>
        <x:v>Valid</x:v>
      </x:c>
      <x:c r="AG1900" s="84" t="n">
        <x:f>IF(AND(AE1900="Keep",AF1900="Valid"),1,0)</x:f>
        <x:v>1</x:v>
      </x:c>
      <x:c r="AH1900" s="84" t="n">
        <x:f>IF(AND(AG1900=1,OR('Dashboard'!$B$4="All",I1900='Dashboard'!$B$4),OR('Dashboard'!$E$4="All",N1900='Dashboard'!$E$4),OR('Dashboard'!$H$4="All",K1900='Dashboard'!$H$4),OR('Dashboard'!$K$4="All",C1900='Dashboard'!$K$4)),1,0)</x:f>
        <x:v>1</x:v>
      </x:c>
      <x:c r="AI1900" s="84" t="n">
        <x:f>IF(AND(AG1900=1,OR('Dashboard'!$B$4="All",I1900='Dashboard'!$B$4),OR('Dashboard'!$E$4="All",N1900='Dashboard'!$E$4),OR('Dashboard'!$H$4="All",K1900='Dashboard'!$H$4)),1,0)</x:f>
        <x:v>1</x:v>
      </x:c>
    </x:row>
    <x:row r="1901">
      <x:c r="A1901" s="84" t="str">
        <x:f>'Raw Sales'!A1901</x:f>
        <x:v>ORD-2025-01464</x:v>
      </x:c>
      <x:c r="B1901" s="85" t="n">
        <x:f>'Raw Sales'!B1901</x:f>
        <x:v>45906</x:v>
      </x:c>
      <x:c r="C1901" s="84" t="n">
        <x:f>YEAR(B1901)</x:f>
        <x:v>2025</x:v>
      </x:c>
      <x:c r="D1901" s="91" t="n">
        <x:f>DATE(YEAR(B1901),MONTH(B1901),1)</x:f>
        <x:v>45901</x:v>
      </x:c>
      <x:c r="E1901" s="84" t="str">
        <x:f>TEXT(B1901,"mmm")</x:f>
        <x:v>Sep</x:v>
      </x:c>
      <x:c r="F1901" s="84" t="str">
        <x:f>'Raw Sales'!C1901</x:f>
        <x:v>CUST-0569</x:v>
      </x:c>
      <x:c r="G1901" s="84" t="str">
        <x:f>PROPER(TRIM('Raw Sales'!D1901))</x:f>
        <x:v>Daniel Walker</x:v>
      </x:c>
      <x:c r="H1901" s="84" t="str">
        <x:f>IF(TRIM('Raw Sales'!E1901)="","Unknown",PROPER(TRIM('Raw Sales'!E1901)))</x:f>
        <x:v>Unknown</x:v>
      </x:c>
      <x:c r="I1901" s="84" t="str">
        <x:f>PROPER(TRIM('Raw Sales'!F1901))</x:f>
        <x:v>Midwest</x:v>
      </x:c>
      <x:c r="J1901" s="84" t="str">
        <x:f>PROPER(TRIM('Raw Sales'!G1901))</x:f>
        <x:v>Chicago</x:v>
      </x:c>
      <x:c r="K1901" s="84" t="str">
        <x:f>PROPER(TRIM('Raw Sales'!H1901))</x:f>
        <x:v>Marketplace</x:v>
      </x:c>
      <x:c r="L1901" s="84" t="str">
        <x:f>'Raw Sales'!I1901</x:f>
        <x:v>ACCS-003</x:v>
      </x:c>
      <x:c r="M1901" s="84" t="str">
        <x:f>IFERROR(VLOOKUP(L1901,'Reference Data'!$A$5:$F$40,2,FALSE),"Unknown Product")</x:f>
        <x:v>Polarized Sunglasses</x:v>
      </x:c>
      <x:c r="N1901" s="84" t="str">
        <x:f>IFERROR(VLOOKUP(L1901,'Reference Data'!$A$5:$F$40,3,FALSE),"Unknown")</x:f>
        <x:v>Accessories</x:v>
      </x:c>
      <x:c r="O1901" s="84" t="str">
        <x:f>IFERROR(VLOOKUP(L1901,'Reference Data'!$A$5:$F$40,4,FALSE),"Unknown")</x:f>
        <x:v>Eyewear</x:v>
      </x:c>
      <x:c r="P1901" s="92" t="n">
        <x:f>IFERROR(VLOOKUP(L1901,'Reference Data'!$A$5:$F$40,5,FALSE),0)</x:f>
        <x:v>59</x:v>
      </x:c>
      <x:c r="Q1901" s="92" t="n">
        <x:f>IFERROR(VLOOKUP(L1901,'Reference Data'!$A$5:$F$40,6,FALSE),0)</x:f>
        <x:v>17</x:v>
      </x:c>
      <x:c r="R1901" s="84" t="n">
        <x:f>'Raw Sales'!J1901</x:f>
        <x:v>3</x:v>
      </x:c>
      <x:c r="S1901" s="87" t="n">
        <x:f>'Raw Sales'!K1901</x:f>
        <x:v>0.1</x:v>
      </x:c>
      <x:c r="T1901" s="93" t="n">
        <x:f>P1901*R1901</x:f>
        <x:v>177</x:v>
      </x:c>
      <x:c r="U1901" s="93" t="n">
        <x:f>T1901*S1901</x:f>
        <x:v>17.7</x:v>
      </x:c>
      <x:c r="V1901" s="93" t="str">
        <x:f>PROPER(TRIM('Raw Sales'!L1901))</x:f>
        <x:v>Completed</x:v>
      </x:c>
      <x:c r="W1901" s="93" t="n">
        <x:f>IF(V1901="Returned",0,T1901-U1901)</x:f>
        <x:v>159.3</x:v>
      </x:c>
      <x:c r="X1901" s="93" t="n">
        <x:f>IF(V1901="Returned",Q1901*R1901*10%,Q1901*R1901)</x:f>
        <x:v>51</x:v>
      </x:c>
      <x:c r="Y1901" s="93" t="n">
        <x:f>W1901-X1901</x:f>
        <x:v>108.30000000000001</x:v>
      </x:c>
      <x:c r="Z1901" s="94" t="n">
        <x:f>IFERROR(Y1901/W1901,0)</x:f>
        <x:v>0.67984934086629</x:v>
      </x:c>
      <x:c r="AA1901" s="84" t="str">
        <x:f>PROPER(TRIM('Raw Sales'!M1901))</x:f>
        <x:v>Credit Card</x:v>
      </x:c>
      <x:c r="AB1901" s="84" t="str">
        <x:f>PROPER(TRIM('Raw Sales'!N1901))</x:f>
        <x:v>Emma Hayes</x:v>
      </x:c>
      <x:c r="AC1901" s="85" t="n">
        <x:f>'Raw Sales'!O1901</x:f>
        <x:v>45910</x:v>
      </x:c>
      <x:c r="AD1901" s="84" t="n">
        <x:f>AC1901-B1901</x:f>
        <x:v>4</x:v>
      </x:c>
      <x:c r="AE1901" s="84" t="str">
        <x:f>IF(COUNTIF($A$5:A1901,A1901)&gt;1,"Duplicate","Keep")</x:f>
        <x:v>Keep</x:v>
      </x:c>
      <x:c r="AF1901" s="84" t="str">
        <x:f>IF(OR(R1901&lt;=0,AC1901&lt;B1901,H1901="Unknown",M1901="Unknown Product"),"Review","Valid")</x:f>
        <x:v>Review</x:v>
      </x:c>
      <x:c r="AG1901" s="84" t="n">
        <x:f>IF(AND(AE1901="Keep",AF1901="Valid"),1,0)</x:f>
        <x:v>0</x:v>
      </x:c>
      <x:c r="AH1901" s="84" t="n">
        <x:f>IF(AND(AG1901=1,OR('Dashboard'!$B$4="All",I1901='Dashboard'!$B$4),OR('Dashboard'!$E$4="All",N1901='Dashboard'!$E$4),OR('Dashboard'!$H$4="All",K1901='Dashboard'!$H$4),OR('Dashboard'!$K$4="All",C1901='Dashboard'!$K$4)),1,0)</x:f>
        <x:v>0</x:v>
      </x:c>
      <x:c r="AI1901" s="84" t="n">
        <x:f>IF(AND(AG1901=1,OR('Dashboard'!$B$4="All",I1901='Dashboard'!$B$4),OR('Dashboard'!$E$4="All",N1901='Dashboard'!$E$4),OR('Dashboard'!$H$4="All",K1901='Dashboard'!$H$4)),1,0)</x:f>
        <x:v>0</x:v>
      </x:c>
    </x:row>
    <x:row r="1902">
      <x:c r="A1902" s="84" t="str">
        <x:f>'Raw Sales'!A1902</x:f>
        <x:v>ORD-2025-02085</x:v>
      </x:c>
      <x:c r="B1902" s="85" t="n">
        <x:f>'Raw Sales'!B1902</x:f>
        <x:v>45906</x:v>
      </x:c>
      <x:c r="C1902" s="84" t="n">
        <x:f>YEAR(B1902)</x:f>
        <x:v>2025</x:v>
      </x:c>
      <x:c r="D1902" s="91" t="n">
        <x:f>DATE(YEAR(B1902),MONTH(B1902),1)</x:f>
        <x:v>45901</x:v>
      </x:c>
      <x:c r="E1902" s="84" t="str">
        <x:f>TEXT(B1902,"mmm")</x:f>
        <x:v>Sep</x:v>
      </x:c>
      <x:c r="F1902" s="84" t="str">
        <x:f>'Raw Sales'!C1902</x:f>
        <x:v>CUST-0310</x:v>
      </x:c>
      <x:c r="G1902" s="84" t="str">
        <x:f>PROPER(TRIM('Raw Sales'!D1902))</x:f>
        <x:v>Marcus Patel</x:v>
      </x:c>
      <x:c r="H1902" s="84" t="str">
        <x:f>IF(TRIM('Raw Sales'!E1902)="","Unknown",PROPER(TRIM('Raw Sales'!E1902)))</x:f>
        <x:v>Consumer</x:v>
      </x:c>
      <x:c r="I1902" s="84" t="str">
        <x:f>PROPER(TRIM('Raw Sales'!F1902))</x:f>
        <x:v>Midwest</x:v>
      </x:c>
      <x:c r="J1902" s="84" t="str">
        <x:f>PROPER(TRIM('Raw Sales'!G1902))</x:f>
        <x:v>Columbus</x:v>
      </x:c>
      <x:c r="K1902" s="84" t="str">
        <x:f>PROPER(TRIM('Raw Sales'!H1902))</x:f>
        <x:v>Retail Store</x:v>
      </x:c>
      <x:c r="L1902" s="84" t="str">
        <x:f>'Raw Sales'!I1902</x:f>
        <x:v>ACCS-002</x:v>
      </x:c>
      <x:c r="M1902" s="84" t="str">
        <x:f>IFERROR(VLOOKUP(L1902,'Reference Data'!$A$5:$F$40,2,FALSE),"Unknown Product")</x:f>
        <x:v>Travel Backpack</x:v>
      </x:c>
      <x:c r="N1902" s="84" t="str">
        <x:f>IFERROR(VLOOKUP(L1902,'Reference Data'!$A$5:$F$40,3,FALSE),"Unknown")</x:f>
        <x:v>Accessories</x:v>
      </x:c>
      <x:c r="O1902" s="84" t="str">
        <x:f>IFERROR(VLOOKUP(L1902,'Reference Data'!$A$5:$F$40,4,FALSE),"Unknown")</x:f>
        <x:v>Bags</x:v>
      </x:c>
      <x:c r="P1902" s="92" t="n">
        <x:f>IFERROR(VLOOKUP(L1902,'Reference Data'!$A$5:$F$40,5,FALSE),0)</x:f>
        <x:v>89</x:v>
      </x:c>
      <x:c r="Q1902" s="92" t="n">
        <x:f>IFERROR(VLOOKUP(L1902,'Reference Data'!$A$5:$F$40,6,FALSE),0)</x:f>
        <x:v>36</x:v>
      </x:c>
      <x:c r="R1902" s="84" t="n">
        <x:f>'Raw Sales'!J1902</x:f>
        <x:v>3</x:v>
      </x:c>
      <x:c r="S1902" s="87" t="n">
        <x:f>'Raw Sales'!K1902</x:f>
        <x:v>0.05</x:v>
      </x:c>
      <x:c r="T1902" s="93" t="n">
        <x:f>P1902*R1902</x:f>
        <x:v>267</x:v>
      </x:c>
      <x:c r="U1902" s="93" t="n">
        <x:f>T1902*S1902</x:f>
        <x:v>13.350000000000001</x:v>
      </x:c>
      <x:c r="V1902" s="93" t="str">
        <x:f>PROPER(TRIM('Raw Sales'!L1902))</x:f>
        <x:v>Completed</x:v>
      </x:c>
      <x:c r="W1902" s="93" t="n">
        <x:f>IF(V1902="Returned",0,T1902-U1902)</x:f>
        <x:v>253.65</x:v>
      </x:c>
      <x:c r="X1902" s="93" t="n">
        <x:f>IF(V1902="Returned",Q1902*R1902*10%,Q1902*R1902)</x:f>
        <x:v>108</x:v>
      </x:c>
      <x:c r="Y1902" s="93" t="n">
        <x:f>W1902-X1902</x:f>
        <x:v>145.65</x:v>
      </x:c>
      <x:c r="Z1902" s="94" t="n">
        <x:f>IFERROR(Y1902/W1902,0)</x:f>
        <x:v>0.5742164399763454</x:v>
      </x:c>
      <x:c r="AA1902" s="84" t="str">
        <x:f>PROPER(TRIM('Raw Sales'!M1902))</x:f>
        <x:v>Debit Card</x:v>
      </x:c>
      <x:c r="AB1902" s="84" t="str">
        <x:f>PROPER(TRIM('Raw Sales'!N1902))</x:f>
        <x:v>Zoe Turner</x:v>
      </x:c>
      <x:c r="AC1902" s="85" t="n">
        <x:f>'Raw Sales'!O1902</x:f>
        <x:v>45906</x:v>
      </x:c>
      <x:c r="AD1902" s="84" t="n">
        <x:f>AC1902-B1902</x:f>
        <x:v>0</x:v>
      </x:c>
      <x:c r="AE1902" s="84" t="str">
        <x:f>IF(COUNTIF($A$5:A1902,A1902)&gt;1,"Duplicate","Keep")</x:f>
        <x:v>Keep</x:v>
      </x:c>
      <x:c r="AF1902" s="84" t="str">
        <x:f>IF(OR(R1902&lt;=0,AC1902&lt;B1902,H1902="Unknown",M1902="Unknown Product"),"Review","Valid")</x:f>
        <x:v>Valid</x:v>
      </x:c>
      <x:c r="AG1902" s="84" t="n">
        <x:f>IF(AND(AE1902="Keep",AF1902="Valid"),1,0)</x:f>
        <x:v>1</x:v>
      </x:c>
      <x:c r="AH1902" s="84" t="n">
        <x:f>IF(AND(AG1902=1,OR('Dashboard'!$B$4="All",I1902='Dashboard'!$B$4),OR('Dashboard'!$E$4="All",N1902='Dashboard'!$E$4),OR('Dashboard'!$H$4="All",K1902='Dashboard'!$H$4),OR('Dashboard'!$K$4="All",C1902='Dashboard'!$K$4)),1,0)</x:f>
        <x:v>1</x:v>
      </x:c>
      <x:c r="AI1902" s="84" t="n">
        <x:f>IF(AND(AG1902=1,OR('Dashboard'!$B$4="All",I1902='Dashboard'!$B$4),OR('Dashboard'!$E$4="All",N1902='Dashboard'!$E$4),OR('Dashboard'!$H$4="All",K1902='Dashboard'!$H$4)),1,0)</x:f>
        <x:v>1</x:v>
      </x:c>
    </x:row>
    <x:row r="1903">
      <x:c r="A1903" s="84" t="str">
        <x:f>'Raw Sales'!A1903</x:f>
        <x:v>ORD-2025-00773</x:v>
      </x:c>
      <x:c r="B1903" s="85" t="n">
        <x:f>'Raw Sales'!B1903</x:f>
        <x:v>45907</x:v>
      </x:c>
      <x:c r="C1903" s="84" t="n">
        <x:f>YEAR(B1903)</x:f>
        <x:v>2025</x:v>
      </x:c>
      <x:c r="D1903" s="91" t="n">
        <x:f>DATE(YEAR(B1903),MONTH(B1903),1)</x:f>
        <x:v>45901</x:v>
      </x:c>
      <x:c r="E1903" s="84" t="str">
        <x:f>TEXT(B1903,"mmm")</x:f>
        <x:v>Sep</x:v>
      </x:c>
      <x:c r="F1903" s="84" t="str">
        <x:f>'Raw Sales'!C1903</x:f>
        <x:v>CUST-0002</x:v>
      </x:c>
      <x:c r="G1903" s="84" t="str">
        <x:f>PROPER(TRIM('Raw Sales'!D1903))</x:f>
        <x:v>Isaac Ortiz</x:v>
      </x:c>
      <x:c r="H1903" s="84" t="str">
        <x:f>IF(TRIM('Raw Sales'!E1903)="","Unknown",PROPER(TRIM('Raw Sales'!E1903)))</x:f>
        <x:v>Corporate</x:v>
      </x:c>
      <x:c r="I1903" s="84" t="str">
        <x:f>PROPER(TRIM('Raw Sales'!F1903))</x:f>
        <x:v>Northeast</x:v>
      </x:c>
      <x:c r="J1903" s="84" t="str">
        <x:f>PROPER(TRIM('Raw Sales'!G1903))</x:f>
        <x:v>New York</x:v>
      </x:c>
      <x:c r="K1903" s="84" t="str">
        <x:f>PROPER(TRIM('Raw Sales'!H1903))</x:f>
        <x:v>Retail Store</x:v>
      </x:c>
      <x:c r="L1903" s="84" t="str">
        <x:f>'Raw Sales'!I1903</x:f>
        <x:v>ELEC-003</x:v>
      </x:c>
      <x:c r="M1903" s="84" t="str">
        <x:f>IFERROR(VLOOKUP(L1903,'Reference Data'!$A$5:$F$40,2,FALSE),"Unknown Product")</x:f>
        <x:v>Bluetooth Speaker</x:v>
      </x:c>
      <x:c r="N1903" s="84" t="str">
        <x:f>IFERROR(VLOOKUP(L1903,'Reference Data'!$A$5:$F$40,3,FALSE),"Unknown")</x:f>
        <x:v>Electronics</x:v>
      </x:c>
      <x:c r="O1903" s="84" t="str">
        <x:f>IFERROR(VLOOKUP(L1903,'Reference Data'!$A$5:$F$40,4,FALSE),"Unknown")</x:f>
        <x:v>Audio</x:v>
      </x:c>
      <x:c r="P1903" s="92" t="n">
        <x:f>IFERROR(VLOOKUP(L1903,'Reference Data'!$A$5:$F$40,5,FALSE),0)</x:f>
        <x:v>89</x:v>
      </x:c>
      <x:c r="Q1903" s="92" t="n">
        <x:f>IFERROR(VLOOKUP(L1903,'Reference Data'!$A$5:$F$40,6,FALSE),0)</x:f>
        <x:v>44</x:v>
      </x:c>
      <x:c r="R1903" s="84" t="n">
        <x:f>'Raw Sales'!J1903</x:f>
        <x:v>2</x:v>
      </x:c>
      <x:c r="S1903" s="87" t="n">
        <x:f>'Raw Sales'!K1903</x:f>
        <x:v>0.15</x:v>
      </x:c>
      <x:c r="T1903" s="93" t="n">
        <x:f>P1903*R1903</x:f>
        <x:v>178</x:v>
      </x:c>
      <x:c r="U1903" s="93" t="n">
        <x:f>T1903*S1903</x:f>
        <x:v>26.7</x:v>
      </x:c>
      <x:c r="V1903" s="93" t="str">
        <x:f>PROPER(TRIM('Raw Sales'!L1903))</x:f>
        <x:v>Returned</x:v>
      </x:c>
      <x:c r="W1903" s="93" t="n">
        <x:f>IF(V1903="Returned",0,T1903-U1903)</x:f>
        <x:v>0</x:v>
      </x:c>
      <x:c r="X1903" s="93" t="n">
        <x:f>IF(V1903="Returned",Q1903*R1903*10%,Q1903*R1903)</x:f>
        <x:v>8.8</x:v>
      </x:c>
      <x:c r="Y1903" s="93" t="n">
        <x:f>W1903-X1903</x:f>
        <x:v>-8.8</x:v>
      </x:c>
      <x:c r="Z1903" s="94" t="n">
        <x:f>IFERROR(Y1903/W1903,0)</x:f>
        <x:v>0</x:v>
      </x:c>
      <x:c r="AA1903" s="84" t="str">
        <x:f>PROPER(TRIM('Raw Sales'!M1903))</x:f>
        <x:v>Debit Card</x:v>
      </x:c>
      <x:c r="AB1903" s="84" t="str">
        <x:f>PROPER(TRIM('Raw Sales'!N1903))</x:f>
        <x:v>Maya Brooks</x:v>
      </x:c>
      <x:c r="AC1903" s="85" t="n">
        <x:f>'Raw Sales'!O1903</x:f>
        <x:v>45908</x:v>
      </x:c>
      <x:c r="AD1903" s="84" t="n">
        <x:f>AC1903-B1903</x:f>
        <x:v>1</x:v>
      </x:c>
      <x:c r="AE1903" s="84" t="str">
        <x:f>IF(COUNTIF($A$5:A1903,A1903)&gt;1,"Duplicate","Keep")</x:f>
        <x:v>Keep</x:v>
      </x:c>
      <x:c r="AF1903" s="84" t="str">
        <x:f>IF(OR(R1903&lt;=0,AC1903&lt;B1903,H1903="Unknown",M1903="Unknown Product"),"Review","Valid")</x:f>
        <x:v>Valid</x:v>
      </x:c>
      <x:c r="AG1903" s="84" t="n">
        <x:f>IF(AND(AE1903="Keep",AF1903="Valid"),1,0)</x:f>
        <x:v>1</x:v>
      </x:c>
      <x:c r="AH1903" s="84" t="n">
        <x:f>IF(AND(AG1903=1,OR('Dashboard'!$B$4="All",I1903='Dashboard'!$B$4),OR('Dashboard'!$E$4="All",N1903='Dashboard'!$E$4),OR('Dashboard'!$H$4="All",K1903='Dashboard'!$H$4),OR('Dashboard'!$K$4="All",C1903='Dashboard'!$K$4)),1,0)</x:f>
        <x:v>1</x:v>
      </x:c>
      <x:c r="AI1903" s="84" t="n">
        <x:f>IF(AND(AG1903=1,OR('Dashboard'!$B$4="All",I1903='Dashboard'!$B$4),OR('Dashboard'!$E$4="All",N1903='Dashboard'!$E$4),OR('Dashboard'!$H$4="All",K1903='Dashboard'!$H$4)),1,0)</x:f>
        <x:v>1</x:v>
      </x:c>
    </x:row>
    <x:row r="1904">
      <x:c r="A1904" s="84" t="str">
        <x:f>'Raw Sales'!A1904</x:f>
        <x:v>ORD-2025-01370</x:v>
      </x:c>
      <x:c r="B1904" s="85" t="n">
        <x:f>'Raw Sales'!B1904</x:f>
        <x:v>45907</x:v>
      </x:c>
      <x:c r="C1904" s="84" t="n">
        <x:f>YEAR(B1904)</x:f>
        <x:v>2025</x:v>
      </x:c>
      <x:c r="D1904" s="91" t="n">
        <x:f>DATE(YEAR(B1904),MONTH(B1904),1)</x:f>
        <x:v>45901</x:v>
      </x:c>
      <x:c r="E1904" s="84" t="str">
        <x:f>TEXT(B1904,"mmm")</x:f>
        <x:v>Sep</x:v>
      </x:c>
      <x:c r="F1904" s="84" t="str">
        <x:f>'Raw Sales'!C1904</x:f>
        <x:v>CUST-0173</x:v>
      </x:c>
      <x:c r="G1904" s="84" t="str">
        <x:f>PROPER(TRIM('Raw Sales'!D1904))</x:f>
        <x:v>Theo Evans</x:v>
      </x:c>
      <x:c r="H1904" s="84" t="str">
        <x:f>IF(TRIM('Raw Sales'!E1904)="","Unknown",PROPER(TRIM('Raw Sales'!E1904)))</x:f>
        <x:v>Consumer</x:v>
      </x:c>
      <x:c r="I1904" s="84" t="str">
        <x:f>PROPER(TRIM('Raw Sales'!F1904))</x:f>
        <x:v>Northeast</x:v>
      </x:c>
      <x:c r="J1904" s="84" t="str">
        <x:f>PROPER(TRIM('Raw Sales'!G1904))</x:f>
        <x:v>Boston</x:v>
      </x:c>
      <x:c r="K1904" s="84" t="str">
        <x:f>PROPER(TRIM('Raw Sales'!H1904))</x:f>
        <x:v>Marketplace</x:v>
      </x:c>
      <x:c r="L1904" s="84" t="str">
        <x:f>'Raw Sales'!I1904</x:f>
        <x:v>OFFC-006</x:v>
      </x:c>
      <x:c r="M1904" s="84" t="str">
        <x:f>IFERROR(VLOOKUP(L1904,'Reference Data'!$A$5:$F$40,2,FALSE),"Unknown Product")</x:f>
        <x:v>Monitor Stand</x:v>
      </x:c>
      <x:c r="N1904" s="84" t="str">
        <x:f>IFERROR(VLOOKUP(L1904,'Reference Data'!$A$5:$F$40,3,FALSE),"Unknown")</x:f>
        <x:v>Office</x:v>
      </x:c>
      <x:c r="O1904" s="84" t="str">
        <x:f>IFERROR(VLOOKUP(L1904,'Reference Data'!$A$5:$F$40,4,FALSE),"Unknown")</x:f>
        <x:v>Desk Accessories</x:v>
      </x:c>
      <x:c r="P1904" s="92" t="n">
        <x:f>IFERROR(VLOOKUP(L1904,'Reference Data'!$A$5:$F$40,5,FALSE),0)</x:f>
        <x:v>49</x:v>
      </x:c>
      <x:c r="Q1904" s="92" t="n">
        <x:f>IFERROR(VLOOKUP(L1904,'Reference Data'!$A$5:$F$40,6,FALSE),0)</x:f>
        <x:v>21</x:v>
      </x:c>
      <x:c r="R1904" s="84" t="n">
        <x:f>'Raw Sales'!J1904</x:f>
        <x:v>2</x:v>
      </x:c>
      <x:c r="S1904" s="87" t="n">
        <x:f>'Raw Sales'!K1904</x:f>
        <x:v>0.1</x:v>
      </x:c>
      <x:c r="T1904" s="93" t="n">
        <x:f>P1904*R1904</x:f>
        <x:v>98</x:v>
      </x:c>
      <x:c r="U1904" s="93" t="n">
        <x:f>T1904*S1904</x:f>
        <x:v>9.8</x:v>
      </x:c>
      <x:c r="V1904" s="93" t="str">
        <x:f>PROPER(TRIM('Raw Sales'!L1904))</x:f>
        <x:v>Completed</x:v>
      </x:c>
      <x:c r="W1904" s="93" t="n">
        <x:f>IF(V1904="Returned",0,T1904-U1904)</x:f>
        <x:v>88.2</x:v>
      </x:c>
      <x:c r="X1904" s="93" t="n">
        <x:f>IF(V1904="Returned",Q1904*R1904*10%,Q1904*R1904)</x:f>
        <x:v>42</x:v>
      </x:c>
      <x:c r="Y1904" s="93" t="n">
        <x:f>W1904-X1904</x:f>
        <x:v>46.2</x:v>
      </x:c>
      <x:c r="Z1904" s="94" t="n">
        <x:f>IFERROR(Y1904/W1904,0)</x:f>
        <x:v>0.5238095238095238</x:v>
      </x:c>
      <x:c r="AA1904" s="84" t="str">
        <x:f>PROPER(TRIM('Raw Sales'!M1904))</x:f>
        <x:v>Credit Card</x:v>
      </x:c>
      <x:c r="AB1904" s="84" t="str">
        <x:f>PROPER(TRIM('Raw Sales'!N1904))</x:f>
        <x:v>Sofia Bennett</x:v>
      </x:c>
      <x:c r="AC1904" s="85" t="n">
        <x:f>'Raw Sales'!O1904</x:f>
        <x:v>45912</x:v>
      </x:c>
      <x:c r="AD1904" s="84" t="n">
        <x:f>AC1904-B1904</x:f>
        <x:v>5</x:v>
      </x:c>
      <x:c r="AE1904" s="84" t="str">
        <x:f>IF(COUNTIF($A$5:A1904,A1904)&gt;1,"Duplicate","Keep")</x:f>
        <x:v>Keep</x:v>
      </x:c>
      <x:c r="AF1904" s="84" t="str">
        <x:f>IF(OR(R1904&lt;=0,AC1904&lt;B1904,H1904="Unknown",M1904="Unknown Product"),"Review","Valid")</x:f>
        <x:v>Valid</x:v>
      </x:c>
      <x:c r="AG1904" s="84" t="n">
        <x:f>IF(AND(AE1904="Keep",AF1904="Valid"),1,0)</x:f>
        <x:v>1</x:v>
      </x:c>
      <x:c r="AH1904" s="84" t="n">
        <x:f>IF(AND(AG1904=1,OR('Dashboard'!$B$4="All",I1904='Dashboard'!$B$4),OR('Dashboard'!$E$4="All",N1904='Dashboard'!$E$4),OR('Dashboard'!$H$4="All",K1904='Dashboard'!$H$4),OR('Dashboard'!$K$4="All",C1904='Dashboard'!$K$4)),1,0)</x:f>
        <x:v>1</x:v>
      </x:c>
      <x:c r="AI1904" s="84" t="n">
        <x:f>IF(AND(AG1904=1,OR('Dashboard'!$B$4="All",I1904='Dashboard'!$B$4),OR('Dashboard'!$E$4="All",N1904='Dashboard'!$E$4),OR('Dashboard'!$H$4="All",K1904='Dashboard'!$H$4)),1,0)</x:f>
        <x:v>1</x:v>
      </x:c>
    </x:row>
    <x:row r="1905">
      <x:c r="A1905" s="84" t="str">
        <x:f>'Raw Sales'!A1905</x:f>
        <x:v>ORD-2025-01881</x:v>
      </x:c>
      <x:c r="B1905" s="85" t="n">
        <x:f>'Raw Sales'!B1905</x:f>
        <x:v>45907</x:v>
      </x:c>
      <x:c r="C1905" s="84" t="n">
        <x:f>YEAR(B1905)</x:f>
        <x:v>2025</x:v>
      </x:c>
      <x:c r="D1905" s="91" t="n">
        <x:f>DATE(YEAR(B1905),MONTH(B1905),1)</x:f>
        <x:v>45901</x:v>
      </x:c>
      <x:c r="E1905" s="84" t="str">
        <x:f>TEXT(B1905,"mmm")</x:f>
        <x:v>Sep</x:v>
      </x:c>
      <x:c r="F1905" s="84" t="str">
        <x:f>'Raw Sales'!C1905</x:f>
        <x:v>CUST-0382</x:v>
      </x:c>
      <x:c r="G1905" s="84" t="str">
        <x:f>PROPER(TRIM('Raw Sales'!D1905))</x:f>
        <x:v>Samuel Adams</x:v>
      </x:c>
      <x:c r="H1905" s="84" t="str">
        <x:f>IF(TRIM('Raw Sales'!E1905)="","Unknown",PROPER(TRIM('Raw Sales'!E1905)))</x:f>
        <x:v>Corporate</x:v>
      </x:c>
      <x:c r="I1905" s="84" t="str">
        <x:f>PROPER(TRIM('Raw Sales'!F1905))</x:f>
        <x:v>Northeast</x:v>
      </x:c>
      <x:c r="J1905" s="84" t="str">
        <x:f>PROPER(TRIM('Raw Sales'!G1905))</x:f>
        <x:v>Boston</x:v>
      </x:c>
      <x:c r="K1905" s="84" t="str">
        <x:f>PROPER(TRIM('Raw Sales'!H1905))</x:f>
        <x:v>Online</x:v>
      </x:c>
      <x:c r="L1905" s="84" t="str">
        <x:f>'Raw Sales'!I1905</x:f>
        <x:v>FITN-001</x:v>
      </x:c>
      <x:c r="M1905" s="84" t="str">
        <x:f>IFERROR(VLOOKUP(L1905,'Reference Data'!$A$5:$F$40,2,FALSE),"Unknown Product")</x:f>
        <x:v>Yoga Mat</x:v>
      </x:c>
      <x:c r="N1905" s="84" t="str">
        <x:f>IFERROR(VLOOKUP(L1905,'Reference Data'!$A$5:$F$40,3,FALSE),"Unknown")</x:f>
        <x:v>Fitness</x:v>
      </x:c>
      <x:c r="O1905" s="84" t="str">
        <x:f>IFERROR(VLOOKUP(L1905,'Reference Data'!$A$5:$F$40,4,FALSE),"Unknown")</x:f>
        <x:v>Yoga</x:v>
      </x:c>
      <x:c r="P1905" s="92" t="n">
        <x:f>IFERROR(VLOOKUP(L1905,'Reference Data'!$A$5:$F$40,5,FALSE),0)</x:f>
        <x:v>35</x:v>
      </x:c>
      <x:c r="Q1905" s="92" t="n">
        <x:f>IFERROR(VLOOKUP(L1905,'Reference Data'!$A$5:$F$40,6,FALSE),0)</x:f>
        <x:v>13</x:v>
      </x:c>
      <x:c r="R1905" s="84" t="n">
        <x:f>'Raw Sales'!J1905</x:f>
        <x:v>1</x:v>
      </x:c>
      <x:c r="S1905" s="87" t="n">
        <x:f>'Raw Sales'!K1905</x:f>
        <x:v>0</x:v>
      </x:c>
      <x:c r="T1905" s="93" t="n">
        <x:f>P1905*R1905</x:f>
        <x:v>35</x:v>
      </x:c>
      <x:c r="U1905" s="93" t="n">
        <x:f>T1905*S1905</x:f>
        <x:v>0</x:v>
      </x:c>
      <x:c r="V1905" s="93" t="str">
        <x:f>PROPER(TRIM('Raw Sales'!L1905))</x:f>
        <x:v>Completed</x:v>
      </x:c>
      <x:c r="W1905" s="93" t="n">
        <x:f>IF(V1905="Returned",0,T1905-U1905)</x:f>
        <x:v>35</x:v>
      </x:c>
      <x:c r="X1905" s="93" t="n">
        <x:f>IF(V1905="Returned",Q1905*R1905*10%,Q1905*R1905)</x:f>
        <x:v>13</x:v>
      </x:c>
      <x:c r="Y1905" s="93" t="n">
        <x:f>W1905-X1905</x:f>
        <x:v>22</x:v>
      </x:c>
      <x:c r="Z1905" s="94" t="n">
        <x:f>IFERROR(Y1905/W1905,0)</x:f>
        <x:v>0.6285714285714286</x:v>
      </x:c>
      <x:c r="AA1905" s="84" t="str">
        <x:f>PROPER(TRIM('Raw Sales'!M1905))</x:f>
        <x:v>Debit Card</x:v>
      </x:c>
      <x:c r="AB1905" s="84" t="str">
        <x:f>PROPER(TRIM('Raw Sales'!N1905))</x:f>
        <x:v>Ethan Cole</x:v>
      </x:c>
      <x:c r="AC1905" s="85" t="n">
        <x:f>'Raw Sales'!O1905</x:f>
        <x:v>45909</x:v>
      </x:c>
      <x:c r="AD1905" s="84" t="n">
        <x:f>AC1905-B1905</x:f>
        <x:v>2</x:v>
      </x:c>
      <x:c r="AE1905" s="84" t="str">
        <x:f>IF(COUNTIF($A$5:A1905,A1905)&gt;1,"Duplicate","Keep")</x:f>
        <x:v>Keep</x:v>
      </x:c>
      <x:c r="AF1905" s="84" t="str">
        <x:f>IF(OR(R1905&lt;=0,AC1905&lt;B1905,H1905="Unknown",M1905="Unknown Product"),"Review","Valid")</x:f>
        <x:v>Valid</x:v>
      </x:c>
      <x:c r="AG1905" s="84" t="n">
        <x:f>IF(AND(AE1905="Keep",AF1905="Valid"),1,0)</x:f>
        <x:v>1</x:v>
      </x:c>
      <x:c r="AH1905" s="84" t="n">
        <x:f>IF(AND(AG1905=1,OR('Dashboard'!$B$4="All",I1905='Dashboard'!$B$4),OR('Dashboard'!$E$4="All",N1905='Dashboard'!$E$4),OR('Dashboard'!$H$4="All",K1905='Dashboard'!$H$4),OR('Dashboard'!$K$4="All",C1905='Dashboard'!$K$4)),1,0)</x:f>
        <x:v>1</x:v>
      </x:c>
      <x:c r="AI1905" s="84" t="n">
        <x:f>IF(AND(AG1905=1,OR('Dashboard'!$B$4="All",I1905='Dashboard'!$B$4),OR('Dashboard'!$E$4="All",N1905='Dashboard'!$E$4),OR('Dashboard'!$H$4="All",K1905='Dashboard'!$H$4)),1,0)</x:f>
        <x:v>1</x:v>
      </x:c>
    </x:row>
    <x:row r="1906">
      <x:c r="A1906" s="84" t="str">
        <x:f>'Raw Sales'!A1906</x:f>
        <x:v>ORD-2025-00163</x:v>
      </x:c>
      <x:c r="B1906" s="85" t="n">
        <x:f>'Raw Sales'!B1906</x:f>
        <x:v>45908</x:v>
      </x:c>
      <x:c r="C1906" s="84" t="n">
        <x:f>YEAR(B1906)</x:f>
        <x:v>2025</x:v>
      </x:c>
      <x:c r="D1906" s="91" t="n">
        <x:f>DATE(YEAR(B1906),MONTH(B1906),1)</x:f>
        <x:v>45901</x:v>
      </x:c>
      <x:c r="E1906" s="84" t="str">
        <x:f>TEXT(B1906,"mmm")</x:f>
        <x:v>Sep</x:v>
      </x:c>
      <x:c r="F1906" s="84" t="str">
        <x:f>'Raw Sales'!C1906</x:f>
        <x:v>CUST-0085</x:v>
      </x:c>
      <x:c r="G1906" s="84" t="str">
        <x:f>PROPER(TRIM('Raw Sales'!D1906))</x:f>
        <x:v>Amelia Adams</x:v>
      </x:c>
      <x:c r="H1906" s="84" t="str">
        <x:f>IF(TRIM('Raw Sales'!E1906)="","Unknown",PROPER(TRIM('Raw Sales'!E1906)))</x:f>
        <x:v>Small Business</x:v>
      </x:c>
      <x:c r="I1906" s="84" t="str">
        <x:f>PROPER(TRIM('Raw Sales'!F1906))</x:f>
        <x:v>West</x:v>
      </x:c>
      <x:c r="J1906" s="84" t="str">
        <x:f>PROPER(TRIM('Raw Sales'!G1906))</x:f>
        <x:v>Phoenix</x:v>
      </x:c>
      <x:c r="K1906" s="84" t="str">
        <x:f>PROPER(TRIM('Raw Sales'!H1906))</x:f>
        <x:v>Marketplace</x:v>
      </x:c>
      <x:c r="L1906" s="84" t="str">
        <x:f>'Raw Sales'!I1906</x:f>
        <x:v>CARE-004</x:v>
      </x:c>
      <x:c r="M1906" s="84" t="str">
        <x:f>IFERROR(VLOOKUP(L1906,'Reference Data'!$A$5:$F$40,2,FALSE),"Unknown Product")</x:f>
        <x:v>Electric Toothbrush</x:v>
      </x:c>
      <x:c r="N1906" s="84" t="str">
        <x:f>IFERROR(VLOOKUP(L1906,'Reference Data'!$A$5:$F$40,3,FALSE),"Unknown")</x:f>
        <x:v>Personal Care</x:v>
      </x:c>
      <x:c r="O1906" s="84" t="str">
        <x:f>IFERROR(VLOOKUP(L1906,'Reference Data'!$A$5:$F$40,4,FALSE),"Unknown")</x:f>
        <x:v>Oral Care</x:v>
      </x:c>
      <x:c r="P1906" s="92" t="n">
        <x:f>IFERROR(VLOOKUP(L1906,'Reference Data'!$A$5:$F$40,5,FALSE),0)</x:f>
        <x:v>69</x:v>
      </x:c>
      <x:c r="Q1906" s="92" t="n">
        <x:f>IFERROR(VLOOKUP(L1906,'Reference Data'!$A$5:$F$40,6,FALSE),0)</x:f>
        <x:v>31</x:v>
      </x:c>
      <x:c r="R1906" s="84" t="n">
        <x:f>'Raw Sales'!J1906</x:f>
        <x:v>2</x:v>
      </x:c>
      <x:c r="S1906" s="87" t="n">
        <x:f>'Raw Sales'!K1906</x:f>
        <x:v>0.1</x:v>
      </x:c>
      <x:c r="T1906" s="93" t="n">
        <x:f>P1906*R1906</x:f>
        <x:v>138</x:v>
      </x:c>
      <x:c r="U1906" s="93" t="n">
        <x:f>T1906*S1906</x:f>
        <x:v>13.8</x:v>
      </x:c>
      <x:c r="V1906" s="93" t="str">
        <x:f>PROPER(TRIM('Raw Sales'!L1906))</x:f>
        <x:v>Completed</x:v>
      </x:c>
      <x:c r="W1906" s="93" t="n">
        <x:f>IF(V1906="Returned",0,T1906-U1906)</x:f>
        <x:v>124.2</x:v>
      </x:c>
      <x:c r="X1906" s="93" t="n">
        <x:f>IF(V1906="Returned",Q1906*R1906*10%,Q1906*R1906)</x:f>
        <x:v>62</x:v>
      </x:c>
      <x:c r="Y1906" s="93" t="n">
        <x:f>W1906-X1906</x:f>
        <x:v>62.2</x:v>
      </x:c>
      <x:c r="Z1906" s="94" t="n">
        <x:f>IFERROR(Y1906/W1906,0)</x:f>
        <x:v>0.500805152979066</x:v>
      </x:c>
      <x:c r="AA1906" s="84" t="str">
        <x:f>PROPER(TRIM('Raw Sales'!M1906))</x:f>
        <x:v>Credit Card</x:v>
      </x:c>
      <x:c r="AB1906" s="84" t="str">
        <x:f>PROPER(TRIM('Raw Sales'!N1906))</x:f>
        <x:v>Nora Kim</x:v>
      </x:c>
      <x:c r="AC1906" s="85" t="n">
        <x:f>'Raw Sales'!O1906</x:f>
        <x:v>45916</x:v>
      </x:c>
      <x:c r="AD1906" s="84" t="n">
        <x:f>AC1906-B1906</x:f>
        <x:v>8</x:v>
      </x:c>
      <x:c r="AE1906" s="84" t="str">
        <x:f>IF(COUNTIF($A$5:A1906,A1906)&gt;1,"Duplicate","Keep")</x:f>
        <x:v>Keep</x:v>
      </x:c>
      <x:c r="AF1906" s="84" t="str">
        <x:f>IF(OR(R1906&lt;=0,AC1906&lt;B1906,H1906="Unknown",M1906="Unknown Product"),"Review","Valid")</x:f>
        <x:v>Valid</x:v>
      </x:c>
      <x:c r="AG1906" s="84" t="n">
        <x:f>IF(AND(AE1906="Keep",AF1906="Valid"),1,0)</x:f>
        <x:v>1</x:v>
      </x:c>
      <x:c r="AH1906" s="84" t="n">
        <x:f>IF(AND(AG1906=1,OR('Dashboard'!$B$4="All",I1906='Dashboard'!$B$4),OR('Dashboard'!$E$4="All",N1906='Dashboard'!$E$4),OR('Dashboard'!$H$4="All",K1906='Dashboard'!$H$4),OR('Dashboard'!$K$4="All",C1906='Dashboard'!$K$4)),1,0)</x:f>
        <x:v>1</x:v>
      </x:c>
      <x:c r="AI1906" s="84" t="n">
        <x:f>IF(AND(AG1906=1,OR('Dashboard'!$B$4="All",I1906='Dashboard'!$B$4),OR('Dashboard'!$E$4="All",N1906='Dashboard'!$E$4),OR('Dashboard'!$H$4="All",K1906='Dashboard'!$H$4)),1,0)</x:f>
        <x:v>1</x:v>
      </x:c>
    </x:row>
    <x:row r="1907">
      <x:c r="A1907" s="84" t="str">
        <x:f>'Raw Sales'!A1907</x:f>
        <x:v>ORD-2025-01826</x:v>
      </x:c>
      <x:c r="B1907" s="85" t="n">
        <x:f>'Raw Sales'!B1907</x:f>
        <x:v>45908</x:v>
      </x:c>
      <x:c r="C1907" s="84" t="n">
        <x:f>YEAR(B1907)</x:f>
        <x:v>2025</x:v>
      </x:c>
      <x:c r="D1907" s="91" t="n">
        <x:f>DATE(YEAR(B1907),MONTH(B1907),1)</x:f>
        <x:v>45901</x:v>
      </x:c>
      <x:c r="E1907" s="84" t="str">
        <x:f>TEXT(B1907,"mmm")</x:f>
        <x:v>Sep</x:v>
      </x:c>
      <x:c r="F1907" s="84" t="str">
        <x:f>'Raw Sales'!C1907</x:f>
        <x:v>CUST-0373</x:v>
      </x:c>
      <x:c r="G1907" s="84" t="str">
        <x:f>PROPER(TRIM('Raw Sales'!D1907))</x:f>
        <x:v>Caleb Taylor</x:v>
      </x:c>
      <x:c r="H1907" s="84" t="str">
        <x:f>IF(TRIM('Raw Sales'!E1907)="","Unknown",PROPER(TRIM('Raw Sales'!E1907)))</x:f>
        <x:v>Corporate</x:v>
      </x:c>
      <x:c r="I1907" s="84" t="str">
        <x:f>PROPER(TRIM('Raw Sales'!F1907))</x:f>
        <x:v>Midwest</x:v>
      </x:c>
      <x:c r="J1907" s="84" t="str">
        <x:f>PROPER(TRIM('Raw Sales'!G1907))</x:f>
        <x:v>Columbus</x:v>
      </x:c>
      <x:c r="K1907" s="84" t="str">
        <x:f>PROPER(TRIM('Raw Sales'!H1907))</x:f>
        <x:v>Retail Store</x:v>
      </x:c>
      <x:c r="L1907" s="84" t="str">
        <x:f>'Raw Sales'!I1907</x:f>
        <x:v>FITN-004</x:v>
      </x:c>
      <x:c r="M1907" s="84" t="str">
        <x:f>IFERROR(VLOOKUP(L1907,'Reference Data'!$A$5:$F$40,2,FALSE),"Unknown Product")</x:f>
        <x:v>Fitness Tracker</x:v>
      </x:c>
      <x:c r="N1907" s="84" t="str">
        <x:f>IFERROR(VLOOKUP(L1907,'Reference Data'!$A$5:$F$40,3,FALSE),"Unknown")</x:f>
        <x:v>Fitness</x:v>
      </x:c>
      <x:c r="O1907" s="84" t="str">
        <x:f>IFERROR(VLOOKUP(L1907,'Reference Data'!$A$5:$F$40,4,FALSE),"Unknown")</x:f>
        <x:v>Wearables</x:v>
      </x:c>
      <x:c r="P1907" s="92" t="n">
        <x:f>IFERROR(VLOOKUP(L1907,'Reference Data'!$A$5:$F$40,5,FALSE),0)</x:f>
        <x:v>89</x:v>
      </x:c>
      <x:c r="Q1907" s="92" t="n">
        <x:f>IFERROR(VLOOKUP(L1907,'Reference Data'!$A$5:$F$40,6,FALSE),0)</x:f>
        <x:v>44</x:v>
      </x:c>
      <x:c r="R1907" s="84" t="n">
        <x:f>'Raw Sales'!J1907</x:f>
        <x:v>3</x:v>
      </x:c>
      <x:c r="S1907" s="87" t="n">
        <x:f>'Raw Sales'!K1907</x:f>
        <x:v>0.05</x:v>
      </x:c>
      <x:c r="T1907" s="93" t="n">
        <x:f>P1907*R1907</x:f>
        <x:v>267</x:v>
      </x:c>
      <x:c r="U1907" s="93" t="n">
        <x:f>T1907*S1907</x:f>
        <x:v>13.350000000000001</x:v>
      </x:c>
      <x:c r="V1907" s="93" t="str">
        <x:f>PROPER(TRIM('Raw Sales'!L1907))</x:f>
        <x:v>Completed</x:v>
      </x:c>
      <x:c r="W1907" s="93" t="n">
        <x:f>IF(V1907="Returned",0,T1907-U1907)</x:f>
        <x:v>253.65</x:v>
      </x:c>
      <x:c r="X1907" s="93" t="n">
        <x:f>IF(V1907="Returned",Q1907*R1907*10%,Q1907*R1907)</x:f>
        <x:v>132</x:v>
      </x:c>
      <x:c r="Y1907" s="93" t="n">
        <x:f>W1907-X1907</x:f>
        <x:v>121.65</x:v>
      </x:c>
      <x:c r="Z1907" s="94" t="n">
        <x:f>IFERROR(Y1907/W1907,0)</x:f>
        <x:v>0.47959787108219987</x:v>
      </x:c>
      <x:c r="AA1907" s="84" t="str">
        <x:f>PROPER(TRIM('Raw Sales'!M1907))</x:f>
        <x:v>Credit Card</x:v>
      </x:c>
      <x:c r="AB1907" s="84" t="str">
        <x:f>PROPER(TRIM('Raw Sales'!N1907))</x:f>
        <x:v>Emma Hayes</x:v>
      </x:c>
      <x:c r="AC1907" s="85" t="n">
        <x:f>'Raw Sales'!O1907</x:f>
        <x:v>45908</x:v>
      </x:c>
      <x:c r="AD1907" s="84" t="n">
        <x:f>AC1907-B1907</x:f>
        <x:v>0</x:v>
      </x:c>
      <x:c r="AE1907" s="84" t="str">
        <x:f>IF(COUNTIF($A$5:A1907,A1907)&gt;1,"Duplicate","Keep")</x:f>
        <x:v>Keep</x:v>
      </x:c>
      <x:c r="AF1907" s="84" t="str">
        <x:f>IF(OR(R1907&lt;=0,AC1907&lt;B1907,H1907="Unknown",M1907="Unknown Product"),"Review","Valid")</x:f>
        <x:v>Valid</x:v>
      </x:c>
      <x:c r="AG1907" s="84" t="n">
        <x:f>IF(AND(AE1907="Keep",AF1907="Valid"),1,0)</x:f>
        <x:v>1</x:v>
      </x:c>
      <x:c r="AH1907" s="84" t="n">
        <x:f>IF(AND(AG1907=1,OR('Dashboard'!$B$4="All",I1907='Dashboard'!$B$4),OR('Dashboard'!$E$4="All",N1907='Dashboard'!$E$4),OR('Dashboard'!$H$4="All",K1907='Dashboard'!$H$4),OR('Dashboard'!$K$4="All",C1907='Dashboard'!$K$4)),1,0)</x:f>
        <x:v>1</x:v>
      </x:c>
      <x:c r="AI1907" s="84" t="n">
        <x:f>IF(AND(AG1907=1,OR('Dashboard'!$B$4="All",I1907='Dashboard'!$B$4),OR('Dashboard'!$E$4="All",N1907='Dashboard'!$E$4),OR('Dashboard'!$H$4="All",K1907='Dashboard'!$H$4)),1,0)</x:f>
        <x:v>1</x:v>
      </x:c>
    </x:row>
    <x:row r="1908">
      <x:c r="A1908" s="84" t="str">
        <x:f>'Raw Sales'!A1908</x:f>
        <x:v>ORD-2025-02060</x:v>
      </x:c>
      <x:c r="B1908" s="85" t="n">
        <x:f>'Raw Sales'!B1908</x:f>
        <x:v>45908</x:v>
      </x:c>
      <x:c r="C1908" s="84" t="n">
        <x:f>YEAR(B1908)</x:f>
        <x:v>2025</x:v>
      </x:c>
      <x:c r="D1908" s="91" t="n">
        <x:f>DATE(YEAR(B1908),MONTH(B1908),1)</x:f>
        <x:v>45901</x:v>
      </x:c>
      <x:c r="E1908" s="84" t="str">
        <x:f>TEXT(B1908,"mmm")</x:f>
        <x:v>Sep</x:v>
      </x:c>
      <x:c r="F1908" s="84" t="str">
        <x:f>'Raw Sales'!C1908</x:f>
        <x:v>CUST-0046</x:v>
      </x:c>
      <x:c r="G1908" s="84" t="str">
        <x:f>PROPER(TRIM('Raw Sales'!D1908))</x:f>
        <x:v>Nathan Moore</x:v>
      </x:c>
      <x:c r="H1908" s="84" t="str">
        <x:f>IF(TRIM('Raw Sales'!E1908)="","Unknown",PROPER(TRIM('Raw Sales'!E1908)))</x:f>
        <x:v>Consumer</x:v>
      </x:c>
      <x:c r="I1908" s="84" t="str">
        <x:f>PROPER(TRIM('Raw Sales'!F1908))</x:f>
        <x:v>Midwest</x:v>
      </x:c>
      <x:c r="J1908" s="84" t="str">
        <x:f>PROPER(TRIM('Raw Sales'!G1908))</x:f>
        <x:v>Columbus</x:v>
      </x:c>
      <x:c r="K1908" s="84" t="str">
        <x:f>PROPER(TRIM('Raw Sales'!H1908))</x:f>
        <x:v>Retail Store</x:v>
      </x:c>
      <x:c r="L1908" s="84" t="str">
        <x:f>'Raw Sales'!I1908</x:f>
        <x:v>CARE-005</x:v>
      </x:c>
      <x:c r="M1908" s="84" t="str">
        <x:f>IFERROR(VLOOKUP(L1908,'Reference Data'!$A$5:$F$40,2,FALSE),"Unknown Product")</x:f>
        <x:v>Skin Care Starter Kit</x:v>
      </x:c>
      <x:c r="N1908" s="84" t="str">
        <x:f>IFERROR(VLOOKUP(L1908,'Reference Data'!$A$5:$F$40,3,FALSE),"Unknown")</x:f>
        <x:v>Personal Care</x:v>
      </x:c>
      <x:c r="O1908" s="84" t="str">
        <x:f>IFERROR(VLOOKUP(L1908,'Reference Data'!$A$5:$F$40,4,FALSE),"Unknown")</x:f>
        <x:v>Skin Care</x:v>
      </x:c>
      <x:c r="P1908" s="92" t="n">
        <x:f>IFERROR(VLOOKUP(L1908,'Reference Data'!$A$5:$F$40,5,FALSE),0)</x:f>
        <x:v>58</x:v>
      </x:c>
      <x:c r="Q1908" s="92" t="n">
        <x:f>IFERROR(VLOOKUP(L1908,'Reference Data'!$A$5:$F$40,6,FALSE),0)</x:f>
        <x:v>24</x:v>
      </x:c>
      <x:c r="R1908" s="84" t="n">
        <x:f>'Raw Sales'!J1908</x:f>
        <x:v>1</x:v>
      </x:c>
      <x:c r="S1908" s="87" t="n">
        <x:f>'Raw Sales'!K1908</x:f>
        <x:v>0.1</x:v>
      </x:c>
      <x:c r="T1908" s="93" t="n">
        <x:f>P1908*R1908</x:f>
        <x:v>58</x:v>
      </x:c>
      <x:c r="U1908" s="93" t="n">
        <x:f>T1908*S1908</x:f>
        <x:v>5.800000000000001</x:v>
      </x:c>
      <x:c r="V1908" s="93" t="str">
        <x:f>PROPER(TRIM('Raw Sales'!L1908))</x:f>
        <x:v>Completed</x:v>
      </x:c>
      <x:c r="W1908" s="93" t="n">
        <x:f>IF(V1908="Returned",0,T1908-U1908)</x:f>
        <x:v>52.2</x:v>
      </x:c>
      <x:c r="X1908" s="93" t="n">
        <x:f>IF(V1908="Returned",Q1908*R1908*10%,Q1908*R1908)</x:f>
        <x:v>24</x:v>
      </x:c>
      <x:c r="Y1908" s="93" t="n">
        <x:f>W1908-X1908</x:f>
        <x:v>28.200000000000003</x:v>
      </x:c>
      <x:c r="Z1908" s="94" t="n">
        <x:f>IFERROR(Y1908/W1908,0)</x:f>
        <x:v>0.5402298850574713</x:v>
      </x:c>
      <x:c r="AA1908" s="84" t="str">
        <x:f>PROPER(TRIM('Raw Sales'!M1908))</x:f>
        <x:v>Mobile Wallet</x:v>
      </x:c>
      <x:c r="AB1908" s="84" t="str">
        <x:f>PROPER(TRIM('Raw Sales'!N1908))</x:f>
        <x:v>Zoe Turner</x:v>
      </x:c>
      <x:c r="AC1908" s="85" t="n">
        <x:f>'Raw Sales'!O1908</x:f>
        <x:v>45908</x:v>
      </x:c>
      <x:c r="AD1908" s="84" t="n">
        <x:f>AC1908-B1908</x:f>
        <x:v>0</x:v>
      </x:c>
      <x:c r="AE1908" s="84" t="str">
        <x:f>IF(COUNTIF($A$5:A1908,A1908)&gt;1,"Duplicate","Keep")</x:f>
        <x:v>Keep</x:v>
      </x:c>
      <x:c r="AF1908" s="84" t="str">
        <x:f>IF(OR(R1908&lt;=0,AC1908&lt;B1908,H1908="Unknown",M1908="Unknown Product"),"Review","Valid")</x:f>
        <x:v>Valid</x:v>
      </x:c>
      <x:c r="AG1908" s="84" t="n">
        <x:f>IF(AND(AE1908="Keep",AF1908="Valid"),1,0)</x:f>
        <x:v>1</x:v>
      </x:c>
      <x:c r="AH1908" s="84" t="n">
        <x:f>IF(AND(AG1908=1,OR('Dashboard'!$B$4="All",I1908='Dashboard'!$B$4),OR('Dashboard'!$E$4="All",N1908='Dashboard'!$E$4),OR('Dashboard'!$H$4="All",K1908='Dashboard'!$H$4),OR('Dashboard'!$K$4="All",C1908='Dashboard'!$K$4)),1,0)</x:f>
        <x:v>1</x:v>
      </x:c>
      <x:c r="AI1908" s="84" t="n">
        <x:f>IF(AND(AG1908=1,OR('Dashboard'!$B$4="All",I1908='Dashboard'!$B$4),OR('Dashboard'!$E$4="All",N1908='Dashboard'!$E$4),OR('Dashboard'!$H$4="All",K1908='Dashboard'!$H$4)),1,0)</x:f>
        <x:v>1</x:v>
      </x:c>
    </x:row>
    <x:row r="1909">
      <x:c r="A1909" s="84" t="str">
        <x:f>'Raw Sales'!A1909</x:f>
        <x:v>ORD-2025-00498</x:v>
      </x:c>
      <x:c r="B1909" s="85" t="n">
        <x:f>'Raw Sales'!B1909</x:f>
        <x:v>45909</x:v>
      </x:c>
      <x:c r="C1909" s="84" t="n">
        <x:f>YEAR(B1909)</x:f>
        <x:v>2025</x:v>
      </x:c>
      <x:c r="D1909" s="91" t="n">
        <x:f>DATE(YEAR(B1909),MONTH(B1909),1)</x:f>
        <x:v>45901</x:v>
      </x:c>
      <x:c r="E1909" s="84" t="str">
        <x:f>TEXT(B1909,"mmm")</x:f>
        <x:v>Sep</x:v>
      </x:c>
      <x:c r="F1909" s="84" t="str">
        <x:f>'Raw Sales'!C1909</x:f>
        <x:v>CUST-0416</x:v>
      </x:c>
      <x:c r="G1909" s="84" t="str">
        <x:f>PROPER(TRIM('Raw Sales'!D1909))</x:f>
        <x:v>Isaac Garcia</x:v>
      </x:c>
      <x:c r="H1909" s="84" t="str">
        <x:f>IF(TRIM('Raw Sales'!E1909)="","Unknown",PROPER(TRIM('Raw Sales'!E1909)))</x:f>
        <x:v>Consumer</x:v>
      </x:c>
      <x:c r="I1909" s="84" t="str">
        <x:f>PROPER(TRIM('Raw Sales'!F1909))</x:f>
        <x:v>Midwest</x:v>
      </x:c>
      <x:c r="J1909" s="84" t="str">
        <x:f>PROPER(TRIM('Raw Sales'!G1909))</x:f>
        <x:v>Chicago</x:v>
      </x:c>
      <x:c r="K1909" s="84" t="str">
        <x:f>PROPER(TRIM('Raw Sales'!H1909))</x:f>
        <x:v>Marketplace</x:v>
      </x:c>
      <x:c r="L1909" s="84" t="str">
        <x:f>'Raw Sales'!I1909</x:f>
        <x:v>ACCS-003</x:v>
      </x:c>
      <x:c r="M1909" s="84" t="str">
        <x:f>IFERROR(VLOOKUP(L1909,'Reference Data'!$A$5:$F$40,2,FALSE),"Unknown Product")</x:f>
        <x:v>Polarized Sunglasses</x:v>
      </x:c>
      <x:c r="N1909" s="84" t="str">
        <x:f>IFERROR(VLOOKUP(L1909,'Reference Data'!$A$5:$F$40,3,FALSE),"Unknown")</x:f>
        <x:v>Accessories</x:v>
      </x:c>
      <x:c r="O1909" s="84" t="str">
        <x:f>IFERROR(VLOOKUP(L1909,'Reference Data'!$A$5:$F$40,4,FALSE),"Unknown")</x:f>
        <x:v>Eyewear</x:v>
      </x:c>
      <x:c r="P1909" s="92" t="n">
        <x:f>IFERROR(VLOOKUP(L1909,'Reference Data'!$A$5:$F$40,5,FALSE),0)</x:f>
        <x:v>59</x:v>
      </x:c>
      <x:c r="Q1909" s="92" t="n">
        <x:f>IFERROR(VLOOKUP(L1909,'Reference Data'!$A$5:$F$40,6,FALSE),0)</x:f>
        <x:v>17</x:v>
      </x:c>
      <x:c r="R1909" s="84" t="n">
        <x:f>'Raw Sales'!J1909</x:f>
        <x:v>1</x:v>
      </x:c>
      <x:c r="S1909" s="87" t="n">
        <x:f>'Raw Sales'!K1909</x:f>
        <x:v>0.1</x:v>
      </x:c>
      <x:c r="T1909" s="93" t="n">
        <x:f>P1909*R1909</x:f>
        <x:v>59</x:v>
      </x:c>
      <x:c r="U1909" s="93" t="n">
        <x:f>T1909*S1909</x:f>
        <x:v>5.9</x:v>
      </x:c>
      <x:c r="V1909" s="93" t="str">
        <x:f>PROPER(TRIM('Raw Sales'!L1909))</x:f>
        <x:v>Returned</x:v>
      </x:c>
      <x:c r="W1909" s="93" t="n">
        <x:f>IF(V1909="Returned",0,T1909-U1909)</x:f>
        <x:v>0</x:v>
      </x:c>
      <x:c r="X1909" s="93" t="n">
        <x:f>IF(V1909="Returned",Q1909*R1909*10%,Q1909*R1909)</x:f>
        <x:v>1.7000000000000002</x:v>
      </x:c>
      <x:c r="Y1909" s="93" t="n">
        <x:f>W1909-X1909</x:f>
        <x:v>-1.7000000000000002</x:v>
      </x:c>
      <x:c r="Z1909" s="94" t="n">
        <x:f>IFERROR(Y1909/W1909,0)</x:f>
        <x:v>0</x:v>
      </x:c>
      <x:c r="AA1909" s="84" t="str">
        <x:f>PROPER(TRIM('Raw Sales'!M1909))</x:f>
        <x:v>Credit Card</x:v>
      </x:c>
      <x:c r="AB1909" s="84" t="str">
        <x:f>PROPER(TRIM('Raw Sales'!N1909))</x:f>
        <x:v>Emma Hayes</x:v>
      </x:c>
      <x:c r="AC1909" s="85" t="n">
        <x:f>'Raw Sales'!O1909</x:f>
        <x:v>45914</x:v>
      </x:c>
      <x:c r="AD1909" s="84" t="n">
        <x:f>AC1909-B1909</x:f>
        <x:v>5</x:v>
      </x:c>
      <x:c r="AE1909" s="84" t="str">
        <x:f>IF(COUNTIF($A$5:A1909,A1909)&gt;1,"Duplicate","Keep")</x:f>
        <x:v>Keep</x:v>
      </x:c>
      <x:c r="AF1909" s="84" t="str">
        <x:f>IF(OR(R1909&lt;=0,AC1909&lt;B1909,H1909="Unknown",M1909="Unknown Product"),"Review","Valid")</x:f>
        <x:v>Valid</x:v>
      </x:c>
      <x:c r="AG1909" s="84" t="n">
        <x:f>IF(AND(AE1909="Keep",AF1909="Valid"),1,0)</x:f>
        <x:v>1</x:v>
      </x:c>
      <x:c r="AH1909" s="84" t="n">
        <x:f>IF(AND(AG1909=1,OR('Dashboard'!$B$4="All",I1909='Dashboard'!$B$4),OR('Dashboard'!$E$4="All",N1909='Dashboard'!$E$4),OR('Dashboard'!$H$4="All",K1909='Dashboard'!$H$4),OR('Dashboard'!$K$4="All",C1909='Dashboard'!$K$4)),1,0)</x:f>
        <x:v>1</x:v>
      </x:c>
      <x:c r="AI1909" s="84" t="n">
        <x:f>IF(AND(AG1909=1,OR('Dashboard'!$B$4="All",I1909='Dashboard'!$B$4),OR('Dashboard'!$E$4="All",N1909='Dashboard'!$E$4),OR('Dashboard'!$H$4="All",K1909='Dashboard'!$H$4)),1,0)</x:f>
        <x:v>1</x:v>
      </x:c>
    </x:row>
    <x:row r="1910">
      <x:c r="A1910" s="84" t="str">
        <x:f>'Raw Sales'!A1910</x:f>
        <x:v>ORD-2025-00552</x:v>
      </x:c>
      <x:c r="B1910" s="85" t="n">
        <x:f>'Raw Sales'!B1910</x:f>
        <x:v>45909</x:v>
      </x:c>
      <x:c r="C1910" s="84" t="n">
        <x:f>YEAR(B1910)</x:f>
        <x:v>2025</x:v>
      </x:c>
      <x:c r="D1910" s="91" t="n">
        <x:f>DATE(YEAR(B1910),MONTH(B1910),1)</x:f>
        <x:v>45901</x:v>
      </x:c>
      <x:c r="E1910" s="84" t="str">
        <x:f>TEXT(B1910,"mmm")</x:f>
        <x:v>Sep</x:v>
      </x:c>
      <x:c r="F1910" s="84" t="str">
        <x:f>'Raw Sales'!C1910</x:f>
        <x:v>CUST-0088</x:v>
      </x:c>
      <x:c r="G1910" s="84" t="str">
        <x:f>PROPER(TRIM('Raw Sales'!D1910))</x:f>
        <x:v>Jasmine Khan</x:v>
      </x:c>
      <x:c r="H1910" s="84" t="str">
        <x:f>IF(TRIM('Raw Sales'!E1910)="","Unknown",PROPER(TRIM('Raw Sales'!E1910)))</x:f>
        <x:v>Consumer</x:v>
      </x:c>
      <x:c r="I1910" s="84" t="str">
        <x:f>PROPER(TRIM('Raw Sales'!F1910))</x:f>
        <x:v>Northeast</x:v>
      </x:c>
      <x:c r="J1910" s="84" t="str">
        <x:f>PROPER(TRIM('Raw Sales'!G1910))</x:f>
        <x:v>Boston</x:v>
      </x:c>
      <x:c r="K1910" s="84" t="str">
        <x:f>PROPER(TRIM('Raw Sales'!H1910))</x:f>
        <x:v>Retail Store</x:v>
      </x:c>
      <x:c r="L1910" s="84" t="str">
        <x:f>'Raw Sales'!I1910</x:f>
        <x:v>OFFC-003</x:v>
      </x:c>
      <x:c r="M1910" s="84" t="str">
        <x:f>IFERROR(VLOOKUP(L1910,'Reference Data'!$A$5:$F$40,2,FALSE),"Unknown Product")</x:f>
        <x:v>LED Desk Lamp</x:v>
      </x:c>
      <x:c r="N1910" s="84" t="str">
        <x:f>IFERROR(VLOOKUP(L1910,'Reference Data'!$A$5:$F$40,3,FALSE),"Unknown")</x:f>
        <x:v>Office</x:v>
      </x:c>
      <x:c r="O1910" s="84" t="str">
        <x:f>IFERROR(VLOOKUP(L1910,'Reference Data'!$A$5:$F$40,4,FALSE),"Unknown")</x:f>
        <x:v>Desk Accessories</x:v>
      </x:c>
      <x:c r="P1910" s="92" t="n">
        <x:f>IFERROR(VLOOKUP(L1910,'Reference Data'!$A$5:$F$40,5,FALSE),0)</x:f>
        <x:v>45</x:v>
      </x:c>
      <x:c r="Q1910" s="92" t="n">
        <x:f>IFERROR(VLOOKUP(L1910,'Reference Data'!$A$5:$F$40,6,FALSE),0)</x:f>
        <x:v>20</x:v>
      </x:c>
      <x:c r="R1910" s="84" t="n">
        <x:f>'Raw Sales'!J1910</x:f>
        <x:v>1</x:v>
      </x:c>
      <x:c r="S1910" s="87" t="n">
        <x:f>'Raw Sales'!K1910</x:f>
        <x:v>0.05</x:v>
      </x:c>
      <x:c r="T1910" s="93" t="n">
        <x:f>P1910*R1910</x:f>
        <x:v>45</x:v>
      </x:c>
      <x:c r="U1910" s="93" t="n">
        <x:f>T1910*S1910</x:f>
        <x:v>2.25</x:v>
      </x:c>
      <x:c r="V1910" s="93" t="str">
        <x:f>PROPER(TRIM('Raw Sales'!L1910))</x:f>
        <x:v>Completed</x:v>
      </x:c>
      <x:c r="W1910" s="93" t="n">
        <x:f>IF(V1910="Returned",0,T1910-U1910)</x:f>
        <x:v>42.75</x:v>
      </x:c>
      <x:c r="X1910" s="93" t="n">
        <x:f>IF(V1910="Returned",Q1910*R1910*10%,Q1910*R1910)</x:f>
        <x:v>20</x:v>
      </x:c>
      <x:c r="Y1910" s="93" t="n">
        <x:f>W1910-X1910</x:f>
        <x:v>22.75</x:v>
      </x:c>
      <x:c r="Z1910" s="94" t="n">
        <x:f>IFERROR(Y1910/W1910,0)</x:f>
        <x:v>0.5321637426900585</x:v>
      </x:c>
      <x:c r="AA1910" s="84" t="str">
        <x:f>PROPER(TRIM('Raw Sales'!M1910))</x:f>
        <x:v>Credit Card</x:v>
      </x:c>
      <x:c r="AB1910" s="84" t="str">
        <x:f>PROPER(TRIM('Raw Sales'!N1910))</x:f>
        <x:v>Sofia Bennett</x:v>
      </x:c>
      <x:c r="AC1910" s="85" t="n">
        <x:f>'Raw Sales'!O1910</x:f>
        <x:v>45909</x:v>
      </x:c>
      <x:c r="AD1910" s="84" t="n">
        <x:f>AC1910-B1910</x:f>
        <x:v>0</x:v>
      </x:c>
      <x:c r="AE1910" s="84" t="str">
        <x:f>IF(COUNTIF($A$5:A1910,A1910)&gt;1,"Duplicate","Keep")</x:f>
        <x:v>Keep</x:v>
      </x:c>
      <x:c r="AF1910" s="84" t="str">
        <x:f>IF(OR(R1910&lt;=0,AC1910&lt;B1910,H1910="Unknown",M1910="Unknown Product"),"Review","Valid")</x:f>
        <x:v>Valid</x:v>
      </x:c>
      <x:c r="AG1910" s="84" t="n">
        <x:f>IF(AND(AE1910="Keep",AF1910="Valid"),1,0)</x:f>
        <x:v>1</x:v>
      </x:c>
      <x:c r="AH1910" s="84" t="n">
        <x:f>IF(AND(AG1910=1,OR('Dashboard'!$B$4="All",I1910='Dashboard'!$B$4),OR('Dashboard'!$E$4="All",N1910='Dashboard'!$E$4),OR('Dashboard'!$H$4="All",K1910='Dashboard'!$H$4),OR('Dashboard'!$K$4="All",C1910='Dashboard'!$K$4)),1,0)</x:f>
        <x:v>1</x:v>
      </x:c>
      <x:c r="AI1910" s="84" t="n">
        <x:f>IF(AND(AG1910=1,OR('Dashboard'!$B$4="All",I1910='Dashboard'!$B$4),OR('Dashboard'!$E$4="All",N1910='Dashboard'!$E$4),OR('Dashboard'!$H$4="All",K1910='Dashboard'!$H$4)),1,0)</x:f>
        <x:v>1</x:v>
      </x:c>
    </x:row>
    <x:row r="1911">
      <x:c r="A1911" s="84" t="str">
        <x:f>'Raw Sales'!A1911</x:f>
        <x:v>ORD-2025-01057</x:v>
      </x:c>
      <x:c r="B1911" s="85" t="n">
        <x:f>'Raw Sales'!B1911</x:f>
        <x:v>45909</x:v>
      </x:c>
      <x:c r="C1911" s="84" t="n">
        <x:f>YEAR(B1911)</x:f>
        <x:v>2025</x:v>
      </x:c>
      <x:c r="D1911" s="91" t="n">
        <x:f>DATE(YEAR(B1911),MONTH(B1911),1)</x:f>
        <x:v>45901</x:v>
      </x:c>
      <x:c r="E1911" s="84" t="str">
        <x:f>TEXT(B1911,"mmm")</x:f>
        <x:v>Sep</x:v>
      </x:c>
      <x:c r="F1911" s="84" t="str">
        <x:f>'Raw Sales'!C1911</x:f>
        <x:v>CUST-0221</x:v>
      </x:c>
      <x:c r="G1911" s="84" t="str">
        <x:f>PROPER(TRIM('Raw Sales'!D1911))</x:f>
        <x:v>Priya Irwin</x:v>
      </x:c>
      <x:c r="H1911" s="84" t="str">
        <x:f>IF(TRIM('Raw Sales'!E1911)="","Unknown",PROPER(TRIM('Raw Sales'!E1911)))</x:f>
        <x:v>Consumer</x:v>
      </x:c>
      <x:c r="I1911" s="84" t="str">
        <x:f>PROPER(TRIM('Raw Sales'!F1911))</x:f>
        <x:v>Southeast</x:v>
      </x:c>
      <x:c r="J1911" s="84" t="str">
        <x:f>PROPER(TRIM('Raw Sales'!G1911))</x:f>
        <x:v>Charlotte</x:v>
      </x:c>
      <x:c r="K1911" s="84" t="str">
        <x:f>PROPER(TRIM('Raw Sales'!H1911))</x:f>
        <x:v>Online</x:v>
      </x:c>
      <x:c r="L1911" s="84" t="str">
        <x:f>'Raw Sales'!I1911</x:f>
        <x:v>ELEC-004</x:v>
      </x:c>
      <x:c r="M1911" s="84" t="str">
        <x:f>IFERROR(VLOOKUP(L1911,'Reference Data'!$A$5:$F$40,2,FALSE),"Unknown Product")</x:f>
        <x:v>Power Bank</x:v>
      </x:c>
      <x:c r="N1911" s="84" t="str">
        <x:f>IFERROR(VLOOKUP(L1911,'Reference Data'!$A$5:$F$40,3,FALSE),"Unknown")</x:f>
        <x:v>Electronics</x:v>
      </x:c>
      <x:c r="O1911" s="84" t="str">
        <x:f>IFERROR(VLOOKUP(L1911,'Reference Data'!$A$5:$F$40,4,FALSE),"Unknown")</x:f>
        <x:v>Mobile Accessories</x:v>
      </x:c>
      <x:c r="P1911" s="92" t="n">
        <x:f>IFERROR(VLOOKUP(L1911,'Reference Data'!$A$5:$F$40,5,FALSE),0)</x:f>
        <x:v>39</x:v>
      </x:c>
      <x:c r="Q1911" s="92" t="n">
        <x:f>IFERROR(VLOOKUP(L1911,'Reference Data'!$A$5:$F$40,6,FALSE),0)</x:f>
        <x:v>18</x:v>
      </x:c>
      <x:c r="R1911" s="84" t="n">
        <x:f>'Raw Sales'!J1911</x:f>
        <x:v>2</x:v>
      </x:c>
      <x:c r="S1911" s="87" t="n">
        <x:f>'Raw Sales'!K1911</x:f>
        <x:v>0.15</x:v>
      </x:c>
      <x:c r="T1911" s="93" t="n">
        <x:f>P1911*R1911</x:f>
        <x:v>78</x:v>
      </x:c>
      <x:c r="U1911" s="93" t="n">
        <x:f>T1911*S1911</x:f>
        <x:v>11.7</x:v>
      </x:c>
      <x:c r="V1911" s="93" t="str">
        <x:f>PROPER(TRIM('Raw Sales'!L1911))</x:f>
        <x:v>Completed</x:v>
      </x:c>
      <x:c r="W1911" s="93" t="n">
        <x:f>IF(V1911="Returned",0,T1911-U1911)</x:f>
        <x:v>66.3</x:v>
      </x:c>
      <x:c r="X1911" s="93" t="n">
        <x:f>IF(V1911="Returned",Q1911*R1911*10%,Q1911*R1911)</x:f>
        <x:v>36</x:v>
      </x:c>
      <x:c r="Y1911" s="93" t="n">
        <x:f>W1911-X1911</x:f>
        <x:v>30.299999999999997</x:v>
      </x:c>
      <x:c r="Z1911" s="94" t="n">
        <x:f>IFERROR(Y1911/W1911,0)</x:f>
        <x:v>0.45701357466063347</x:v>
      </x:c>
      <x:c r="AA1911" s="84" t="str">
        <x:f>PROPER(TRIM('Raw Sales'!M1911))</x:f>
        <x:v>Paypal</x:v>
      </x:c>
      <x:c r="AB1911" s="84" t="str">
        <x:f>PROPER(TRIM('Raw Sales'!N1911))</x:f>
        <x:v>Ava Mitchell</x:v>
      </x:c>
      <x:c r="AC1911" s="85" t="n">
        <x:f>'Raw Sales'!O1911</x:f>
        <x:v>45915</x:v>
      </x:c>
      <x:c r="AD1911" s="84" t="n">
        <x:f>AC1911-B1911</x:f>
        <x:v>6</x:v>
      </x:c>
      <x:c r="AE1911" s="84" t="str">
        <x:f>IF(COUNTIF($A$5:A1911,A1911)&gt;1,"Duplicate","Keep")</x:f>
        <x:v>Keep</x:v>
      </x:c>
      <x:c r="AF1911" s="84" t="str">
        <x:f>IF(OR(R1911&lt;=0,AC1911&lt;B1911,H1911="Unknown",M1911="Unknown Product"),"Review","Valid")</x:f>
        <x:v>Valid</x:v>
      </x:c>
      <x:c r="AG1911" s="84" t="n">
        <x:f>IF(AND(AE1911="Keep",AF1911="Valid"),1,0)</x:f>
        <x:v>1</x:v>
      </x:c>
      <x:c r="AH1911" s="84" t="n">
        <x:f>IF(AND(AG1911=1,OR('Dashboard'!$B$4="All",I1911='Dashboard'!$B$4),OR('Dashboard'!$E$4="All",N1911='Dashboard'!$E$4),OR('Dashboard'!$H$4="All",K1911='Dashboard'!$H$4),OR('Dashboard'!$K$4="All",C1911='Dashboard'!$K$4)),1,0)</x:f>
        <x:v>1</x:v>
      </x:c>
      <x:c r="AI1911" s="84" t="n">
        <x:f>IF(AND(AG1911=1,OR('Dashboard'!$B$4="All",I1911='Dashboard'!$B$4),OR('Dashboard'!$E$4="All",N1911='Dashboard'!$E$4),OR('Dashboard'!$H$4="All",K1911='Dashboard'!$H$4)),1,0)</x:f>
        <x:v>1</x:v>
      </x:c>
    </x:row>
    <x:row r="1912">
      <x:c r="A1912" s="84" t="str">
        <x:f>'Raw Sales'!A1912</x:f>
        <x:v>ORD-2025-01660</x:v>
      </x:c>
      <x:c r="B1912" s="85" t="n">
        <x:f>'Raw Sales'!B1912</x:f>
        <x:v>45909</x:v>
      </x:c>
      <x:c r="C1912" s="84" t="n">
        <x:f>YEAR(B1912)</x:f>
        <x:v>2025</x:v>
      </x:c>
      <x:c r="D1912" s="91" t="n">
        <x:f>DATE(YEAR(B1912),MONTH(B1912),1)</x:f>
        <x:v>45901</x:v>
      </x:c>
      <x:c r="E1912" s="84" t="str">
        <x:f>TEXT(B1912,"mmm")</x:f>
        <x:v>Sep</x:v>
      </x:c>
      <x:c r="F1912" s="84" t="str">
        <x:f>'Raw Sales'!C1912</x:f>
        <x:v>CUST-0410</x:v>
      </x:c>
      <x:c r="G1912" s="84" t="str">
        <x:f>PROPER(TRIM('Raw Sales'!D1912))</x:f>
        <x:v>Jasmine Quinn</x:v>
      </x:c>
      <x:c r="H1912" s="84" t="str">
        <x:f>IF(TRIM('Raw Sales'!E1912)="","Unknown",PROPER(TRIM('Raw Sales'!E1912)))</x:f>
        <x:v>Consumer</x:v>
      </x:c>
      <x:c r="I1912" s="84" t="str">
        <x:f>PROPER(TRIM('Raw Sales'!F1912))</x:f>
        <x:v>Midwest</x:v>
      </x:c>
      <x:c r="J1912" s="84" t="str">
        <x:f>PROPER(TRIM('Raw Sales'!G1912))</x:f>
        <x:v>Chicago</x:v>
      </x:c>
      <x:c r="K1912" s="84" t="str">
        <x:f>PROPER(TRIM('Raw Sales'!H1912))</x:f>
        <x:v>Marketplace</x:v>
      </x:c>
      <x:c r="L1912" s="84" t="str">
        <x:f>'Raw Sales'!I1912</x:f>
        <x:v>OFFC-004</x:v>
      </x:c>
      <x:c r="M1912" s="84" t="str">
        <x:f>IFERROR(VLOOKUP(L1912,'Reference Data'!$A$5:$F$40,2,FALSE),"Unknown Product")</x:f>
        <x:v>Premium Notebook Pack</x:v>
      </x:c>
      <x:c r="N1912" s="84" t="str">
        <x:f>IFERROR(VLOOKUP(L1912,'Reference Data'!$A$5:$F$40,3,FALSE),"Unknown")</x:f>
        <x:v>Office</x:v>
      </x:c>
      <x:c r="O1912" s="84" t="str">
        <x:f>IFERROR(VLOOKUP(L1912,'Reference Data'!$A$5:$F$40,4,FALSE),"Unknown")</x:f>
        <x:v>Stationery</x:v>
      </x:c>
      <x:c r="P1912" s="92" t="n">
        <x:f>IFERROR(VLOOKUP(L1912,'Reference Data'!$A$5:$F$40,5,FALSE),0)</x:f>
        <x:v>18</x:v>
      </x:c>
      <x:c r="Q1912" s="92" t="n">
        <x:f>IFERROR(VLOOKUP(L1912,'Reference Data'!$A$5:$F$40,6,FALSE),0)</x:f>
        <x:v>6.5</x:v>
      </x:c>
      <x:c r="R1912" s="84" t="n">
        <x:f>'Raw Sales'!J1912</x:f>
        <x:v>1</x:v>
      </x:c>
      <x:c r="S1912" s="87" t="n">
        <x:f>'Raw Sales'!K1912</x:f>
        <x:v>0.15</x:v>
      </x:c>
      <x:c r="T1912" s="93" t="n">
        <x:f>P1912*R1912</x:f>
        <x:v>18</x:v>
      </x:c>
      <x:c r="U1912" s="93" t="n">
        <x:f>T1912*S1912</x:f>
        <x:v>2.6999999999999997</x:v>
      </x:c>
      <x:c r="V1912" s="93" t="str">
        <x:f>PROPER(TRIM('Raw Sales'!L1912))</x:f>
        <x:v>Completed</x:v>
      </x:c>
      <x:c r="W1912" s="93" t="n">
        <x:f>IF(V1912="Returned",0,T1912-U1912)</x:f>
        <x:v>15.3</x:v>
      </x:c>
      <x:c r="X1912" s="93" t="n">
        <x:f>IF(V1912="Returned",Q1912*R1912*10%,Q1912*R1912)</x:f>
        <x:v>6.5</x:v>
      </x:c>
      <x:c r="Y1912" s="93" t="n">
        <x:f>W1912-X1912</x:f>
        <x:v>8.8</x:v>
      </x:c>
      <x:c r="Z1912" s="94" t="n">
        <x:f>IFERROR(Y1912/W1912,0)</x:f>
        <x:v>0.5751633986928105</x:v>
      </x:c>
      <x:c r="AA1912" s="84" t="str">
        <x:f>PROPER(TRIM('Raw Sales'!M1912))</x:f>
        <x:v>Credit Card</x:v>
      </x:c>
      <x:c r="AB1912" s="84" t="str">
        <x:f>PROPER(TRIM('Raw Sales'!N1912))</x:f>
        <x:v>Zoe Turner</x:v>
      </x:c>
      <x:c r="AC1912" s="85" t="n">
        <x:f>'Raw Sales'!O1912</x:f>
        <x:v>45912</x:v>
      </x:c>
      <x:c r="AD1912" s="84" t="n">
        <x:f>AC1912-B1912</x:f>
        <x:v>3</x:v>
      </x:c>
      <x:c r="AE1912" s="84" t="str">
        <x:f>IF(COUNTIF($A$5:A1912,A1912)&gt;1,"Duplicate","Keep")</x:f>
        <x:v>Keep</x:v>
      </x:c>
      <x:c r="AF1912" s="84" t="str">
        <x:f>IF(OR(R1912&lt;=0,AC1912&lt;B1912,H1912="Unknown",M1912="Unknown Product"),"Review","Valid")</x:f>
        <x:v>Valid</x:v>
      </x:c>
      <x:c r="AG1912" s="84" t="n">
        <x:f>IF(AND(AE1912="Keep",AF1912="Valid"),1,0)</x:f>
        <x:v>1</x:v>
      </x:c>
      <x:c r="AH1912" s="84" t="n">
        <x:f>IF(AND(AG1912=1,OR('Dashboard'!$B$4="All",I1912='Dashboard'!$B$4),OR('Dashboard'!$E$4="All",N1912='Dashboard'!$E$4),OR('Dashboard'!$H$4="All",K1912='Dashboard'!$H$4),OR('Dashboard'!$K$4="All",C1912='Dashboard'!$K$4)),1,0)</x:f>
        <x:v>1</x:v>
      </x:c>
      <x:c r="AI1912" s="84" t="n">
        <x:f>IF(AND(AG1912=1,OR('Dashboard'!$B$4="All",I1912='Dashboard'!$B$4),OR('Dashboard'!$E$4="All",N1912='Dashboard'!$E$4),OR('Dashboard'!$H$4="All",K1912='Dashboard'!$H$4)),1,0)</x:f>
        <x:v>1</x:v>
      </x:c>
    </x:row>
    <x:row r="1913">
      <x:c r="A1913" s="84" t="str">
        <x:f>'Raw Sales'!A1913</x:f>
        <x:v>ORD-2025-01738</x:v>
      </x:c>
      <x:c r="B1913" s="85" t="n">
        <x:f>'Raw Sales'!B1913</x:f>
        <x:v>45909</x:v>
      </x:c>
      <x:c r="C1913" s="84" t="n">
        <x:f>YEAR(B1913)</x:f>
        <x:v>2025</x:v>
      </x:c>
      <x:c r="D1913" s="91" t="n">
        <x:f>DATE(YEAR(B1913),MONTH(B1913),1)</x:f>
        <x:v>45901</x:v>
      </x:c>
      <x:c r="E1913" s="84" t="str">
        <x:f>TEXT(B1913,"mmm")</x:f>
        <x:v>Sep</x:v>
      </x:c>
      <x:c r="F1913" s="84" t="str">
        <x:f>'Raw Sales'!C1913</x:f>
        <x:v>CUST-0631</x:v>
      </x:c>
      <x:c r="G1913" s="84" t="str">
        <x:f>PROPER(TRIM('Raw Sales'!D1913))</x:f>
        <x:v>Amelia Adams</x:v>
      </x:c>
      <x:c r="H1913" s="84" t="str">
        <x:f>IF(TRIM('Raw Sales'!E1913)="","Unknown",PROPER(TRIM('Raw Sales'!E1913)))</x:f>
        <x:v>Consumer</x:v>
      </x:c>
      <x:c r="I1913" s="84" t="str">
        <x:f>PROPER(TRIM('Raw Sales'!F1913))</x:f>
        <x:v>Midwest</x:v>
      </x:c>
      <x:c r="J1913" s="84" t="str">
        <x:f>PROPER(TRIM('Raw Sales'!G1913))</x:f>
        <x:v>Minneapolis</x:v>
      </x:c>
      <x:c r="K1913" s="84" t="str">
        <x:f>PROPER(TRIM('Raw Sales'!H1913))</x:f>
        <x:v>Online</x:v>
      </x:c>
      <x:c r="L1913" s="84" t="str">
        <x:f>'Raw Sales'!I1913</x:f>
        <x:v>ELEC-003</x:v>
      </x:c>
      <x:c r="M1913" s="84" t="str">
        <x:f>IFERROR(VLOOKUP(L1913,'Reference Data'!$A$5:$F$40,2,FALSE),"Unknown Product")</x:f>
        <x:v>Bluetooth Speaker</x:v>
      </x:c>
      <x:c r="N1913" s="84" t="str">
        <x:f>IFERROR(VLOOKUP(L1913,'Reference Data'!$A$5:$F$40,3,FALSE),"Unknown")</x:f>
        <x:v>Electronics</x:v>
      </x:c>
      <x:c r="O1913" s="84" t="str">
        <x:f>IFERROR(VLOOKUP(L1913,'Reference Data'!$A$5:$F$40,4,FALSE),"Unknown")</x:f>
        <x:v>Audio</x:v>
      </x:c>
      <x:c r="P1913" s="92" t="n">
        <x:f>IFERROR(VLOOKUP(L1913,'Reference Data'!$A$5:$F$40,5,FALSE),0)</x:f>
        <x:v>89</x:v>
      </x:c>
      <x:c r="Q1913" s="92" t="n">
        <x:f>IFERROR(VLOOKUP(L1913,'Reference Data'!$A$5:$F$40,6,FALSE),0)</x:f>
        <x:v>44</x:v>
      </x:c>
      <x:c r="R1913" s="84" t="n">
        <x:f>'Raw Sales'!J1913</x:f>
        <x:v>2</x:v>
      </x:c>
      <x:c r="S1913" s="87" t="n">
        <x:f>'Raw Sales'!K1913</x:f>
        <x:v>0.2</x:v>
      </x:c>
      <x:c r="T1913" s="93" t="n">
        <x:f>P1913*R1913</x:f>
        <x:v>178</x:v>
      </x:c>
      <x:c r="U1913" s="93" t="n">
        <x:f>T1913*S1913</x:f>
        <x:v>35.6</x:v>
      </x:c>
      <x:c r="V1913" s="93" t="str">
        <x:f>PROPER(TRIM('Raw Sales'!L1913))</x:f>
        <x:v>Completed</x:v>
      </x:c>
      <x:c r="W1913" s="93" t="n">
        <x:f>IF(V1913="Returned",0,T1913-U1913)</x:f>
        <x:v>142.4</x:v>
      </x:c>
      <x:c r="X1913" s="93" t="n">
        <x:f>IF(V1913="Returned",Q1913*R1913*10%,Q1913*R1913)</x:f>
        <x:v>88</x:v>
      </x:c>
      <x:c r="Y1913" s="93" t="n">
        <x:f>W1913-X1913</x:f>
        <x:v>54.400000000000006</x:v>
      </x:c>
      <x:c r="Z1913" s="94" t="n">
        <x:f>IFERROR(Y1913/W1913,0)</x:f>
        <x:v>0.3820224719101124</x:v>
      </x:c>
      <x:c r="AA1913" s="84" t="str">
        <x:f>PROPER(TRIM('Raw Sales'!M1913))</x:f>
        <x:v>Debit Card</x:v>
      </x:c>
      <x:c r="AB1913" s="84" t="str">
        <x:f>PROPER(TRIM('Raw Sales'!N1913))</x:f>
        <x:v>Lucas Grant</x:v>
      </x:c>
      <x:c r="AC1913" s="85" t="n">
        <x:f>'Raw Sales'!O1913</x:f>
        <x:v>45915</x:v>
      </x:c>
      <x:c r="AD1913" s="84" t="n">
        <x:f>AC1913-B1913</x:f>
        <x:v>6</x:v>
      </x:c>
      <x:c r="AE1913" s="84" t="str">
        <x:f>IF(COUNTIF($A$5:A1913,A1913)&gt;1,"Duplicate","Keep")</x:f>
        <x:v>Keep</x:v>
      </x:c>
      <x:c r="AF1913" s="84" t="str">
        <x:f>IF(OR(R1913&lt;=0,AC1913&lt;B1913,H1913="Unknown",M1913="Unknown Product"),"Review","Valid")</x:f>
        <x:v>Valid</x:v>
      </x:c>
      <x:c r="AG1913" s="84" t="n">
        <x:f>IF(AND(AE1913="Keep",AF1913="Valid"),1,0)</x:f>
        <x:v>1</x:v>
      </x:c>
      <x:c r="AH1913" s="84" t="n">
        <x:f>IF(AND(AG1913=1,OR('Dashboard'!$B$4="All",I1913='Dashboard'!$B$4),OR('Dashboard'!$E$4="All",N1913='Dashboard'!$E$4),OR('Dashboard'!$H$4="All",K1913='Dashboard'!$H$4),OR('Dashboard'!$K$4="All",C1913='Dashboard'!$K$4)),1,0)</x:f>
        <x:v>1</x:v>
      </x:c>
      <x:c r="AI1913" s="84" t="n">
        <x:f>IF(AND(AG1913=1,OR('Dashboard'!$B$4="All",I1913='Dashboard'!$B$4),OR('Dashboard'!$E$4="All",N1913='Dashboard'!$E$4),OR('Dashboard'!$H$4="All",K1913='Dashboard'!$H$4)),1,0)</x:f>
        <x:v>1</x:v>
      </x:c>
    </x:row>
    <x:row r="1914">
      <x:c r="A1914" s="84" t="str">
        <x:f>'Raw Sales'!A1914</x:f>
        <x:v>ORD-2025-02236</x:v>
      </x:c>
      <x:c r="B1914" s="85" t="n">
        <x:f>'Raw Sales'!B1914</x:f>
        <x:v>45909</x:v>
      </x:c>
      <x:c r="C1914" s="84" t="n">
        <x:f>YEAR(B1914)</x:f>
        <x:v>2025</x:v>
      </x:c>
      <x:c r="D1914" s="91" t="n">
        <x:f>DATE(YEAR(B1914),MONTH(B1914),1)</x:f>
        <x:v>45901</x:v>
      </x:c>
      <x:c r="E1914" s="84" t="str">
        <x:f>TEXT(B1914,"mmm")</x:f>
        <x:v>Sep</x:v>
      </x:c>
      <x:c r="F1914" s="84" t="str">
        <x:f>'Raw Sales'!C1914</x:f>
        <x:v>CUST-0318</x:v>
      </x:c>
      <x:c r="G1914" s="84" t="str">
        <x:f>PROPER(TRIM('Raw Sales'!D1914))</x:f>
        <x:v>Theo Baker</x:v>
      </x:c>
      <x:c r="H1914" s="84" t="str">
        <x:f>IF(TRIM('Raw Sales'!E1914)="","Unknown",PROPER(TRIM('Raw Sales'!E1914)))</x:f>
        <x:v>Consumer</x:v>
      </x:c>
      <x:c r="I1914" s="84" t="str">
        <x:f>PROPER(TRIM('Raw Sales'!F1914))</x:f>
        <x:v>Midwest</x:v>
      </x:c>
      <x:c r="J1914" s="84" t="str">
        <x:f>PROPER(TRIM('Raw Sales'!G1914))</x:f>
        <x:v>Detroit</x:v>
      </x:c>
      <x:c r="K1914" s="84" t="str">
        <x:f>PROPER(TRIM('Raw Sales'!H1914))</x:f>
        <x:v>Retail Store</x:v>
      </x:c>
      <x:c r="L1914" s="84" t="str">
        <x:f>'Raw Sales'!I1914</x:f>
        <x:v>CARE-006</x:v>
      </x:c>
      <x:c r="M1914" s="84" t="str">
        <x:f>IFERROR(VLOOKUP(L1914,'Reference Data'!$A$5:$F$40,2,FALSE),"Unknown Product")</x:f>
        <x:v>Percussion Massage Gun</x:v>
      </x:c>
      <x:c r="N1914" s="84" t="str">
        <x:f>IFERROR(VLOOKUP(L1914,'Reference Data'!$A$5:$F$40,3,FALSE),"Unknown")</x:f>
        <x:v>Personal Care</x:v>
      </x:c>
      <x:c r="O1914" s="84" t="str">
        <x:f>IFERROR(VLOOKUP(L1914,'Reference Data'!$A$5:$F$40,4,FALSE),"Unknown")</x:f>
        <x:v>Wellness</x:v>
      </x:c>
      <x:c r="P1914" s="92" t="n">
        <x:f>IFERROR(VLOOKUP(L1914,'Reference Data'!$A$5:$F$40,5,FALSE),0)</x:f>
        <x:v>129</x:v>
      </x:c>
      <x:c r="Q1914" s="92" t="n">
        <x:f>IFERROR(VLOOKUP(L1914,'Reference Data'!$A$5:$F$40,6,FALSE),0)</x:f>
        <x:v>70</x:v>
      </x:c>
      <x:c r="R1914" s="84" t="n">
        <x:f>'Raw Sales'!J1914</x:f>
        <x:v>1</x:v>
      </x:c>
      <x:c r="S1914" s="87" t="n">
        <x:f>'Raw Sales'!K1914</x:f>
        <x:v>0.15</x:v>
      </x:c>
      <x:c r="T1914" s="93" t="n">
        <x:f>P1914*R1914</x:f>
        <x:v>129</x:v>
      </x:c>
      <x:c r="U1914" s="93" t="n">
        <x:f>T1914*S1914</x:f>
        <x:v>19.349999999999998</x:v>
      </x:c>
      <x:c r="V1914" s="93" t="str">
        <x:f>PROPER(TRIM('Raw Sales'!L1914))</x:f>
        <x:v>Completed</x:v>
      </x:c>
      <x:c r="W1914" s="93" t="n">
        <x:f>IF(V1914="Returned",0,T1914-U1914)</x:f>
        <x:v>109.65</x:v>
      </x:c>
      <x:c r="X1914" s="93" t="n">
        <x:f>IF(V1914="Returned",Q1914*R1914*10%,Q1914*R1914)</x:f>
        <x:v>70</x:v>
      </x:c>
      <x:c r="Y1914" s="93" t="n">
        <x:f>W1914-X1914</x:f>
        <x:v>39.650000000000006</x:v>
      </x:c>
      <x:c r="Z1914" s="94" t="n">
        <x:f>IFERROR(Y1914/W1914,0)</x:f>
        <x:v>0.36160510715914274</x:v>
      </x:c>
      <x:c r="AA1914" s="84" t="str">
        <x:f>PROPER(TRIM('Raw Sales'!M1914))</x:f>
        <x:v>Debit Card</x:v>
      </x:c>
      <x:c r="AB1914" s="84" t="str">
        <x:f>PROPER(TRIM('Raw Sales'!N1914))</x:f>
        <x:v>Lucas Grant</x:v>
      </x:c>
      <x:c r="AC1914" s="85" t="n">
        <x:f>'Raw Sales'!O1914</x:f>
        <x:v>45909</x:v>
      </x:c>
      <x:c r="AD1914" s="84" t="n">
        <x:f>AC1914-B1914</x:f>
        <x:v>0</x:v>
      </x:c>
      <x:c r="AE1914" s="84" t="str">
        <x:f>IF(COUNTIF($A$5:A1914,A1914)&gt;1,"Duplicate","Keep")</x:f>
        <x:v>Keep</x:v>
      </x:c>
      <x:c r="AF1914" s="84" t="str">
        <x:f>IF(OR(R1914&lt;=0,AC1914&lt;B1914,H1914="Unknown",M1914="Unknown Product"),"Review","Valid")</x:f>
        <x:v>Valid</x:v>
      </x:c>
      <x:c r="AG1914" s="84" t="n">
        <x:f>IF(AND(AE1914="Keep",AF1914="Valid"),1,0)</x:f>
        <x:v>1</x:v>
      </x:c>
      <x:c r="AH1914" s="84" t="n">
        <x:f>IF(AND(AG1914=1,OR('Dashboard'!$B$4="All",I1914='Dashboard'!$B$4),OR('Dashboard'!$E$4="All",N1914='Dashboard'!$E$4),OR('Dashboard'!$H$4="All",K1914='Dashboard'!$H$4),OR('Dashboard'!$K$4="All",C1914='Dashboard'!$K$4)),1,0)</x:f>
        <x:v>1</x:v>
      </x:c>
      <x:c r="AI1914" s="84" t="n">
        <x:f>IF(AND(AG1914=1,OR('Dashboard'!$B$4="All",I1914='Dashboard'!$B$4),OR('Dashboard'!$E$4="All",N1914='Dashboard'!$E$4),OR('Dashboard'!$H$4="All",K1914='Dashboard'!$H$4)),1,0)</x:f>
        <x:v>1</x:v>
      </x:c>
    </x:row>
    <x:row r="1915">
      <x:c r="A1915" s="84" t="str">
        <x:f>'Raw Sales'!A1915</x:f>
        <x:v>ORD-2025-00211</x:v>
      </x:c>
      <x:c r="B1915" s="85" t="n">
        <x:f>'Raw Sales'!B1915</x:f>
        <x:v>45910</x:v>
      </x:c>
      <x:c r="C1915" s="84" t="n">
        <x:f>YEAR(B1915)</x:f>
        <x:v>2025</x:v>
      </x:c>
      <x:c r="D1915" s="91" t="n">
        <x:f>DATE(YEAR(B1915),MONTH(B1915),1)</x:f>
        <x:v>45901</x:v>
      </x:c>
      <x:c r="E1915" s="84" t="str">
        <x:f>TEXT(B1915,"mmm")</x:f>
        <x:v>Sep</x:v>
      </x:c>
      <x:c r="F1915" s="84" t="str">
        <x:f>'Raw Sales'!C1915</x:f>
        <x:v>CUST-0378</x:v>
      </x:c>
      <x:c r="G1915" s="84" t="str">
        <x:f>PROPER(TRIM('Raw Sales'!D1915))</x:f>
        <x:v>Victoria Nelson</x:v>
      </x:c>
      <x:c r="H1915" s="84" t="str">
        <x:f>IF(TRIM('Raw Sales'!E1915)="","Unknown",PROPER(TRIM('Raw Sales'!E1915)))</x:f>
        <x:v>Consumer</x:v>
      </x:c>
      <x:c r="I1915" s="84" t="str">
        <x:f>PROPER(TRIM('Raw Sales'!F1915))</x:f>
        <x:v>Midwest</x:v>
      </x:c>
      <x:c r="J1915" s="84" t="str">
        <x:f>PROPER(TRIM('Raw Sales'!G1915))</x:f>
        <x:v>Chicago</x:v>
      </x:c>
      <x:c r="K1915" s="84" t="str">
        <x:f>PROPER(TRIM('Raw Sales'!H1915))</x:f>
        <x:v>Marketplace</x:v>
      </x:c>
      <x:c r="L1915" s="84" t="str">
        <x:f>'Raw Sales'!I1915</x:f>
        <x:v>ELEC-001</x:v>
      </x:c>
      <x:c r="M1915" s="84" t="str">
        <x:f>IFERROR(VLOOKUP(L1915,'Reference Data'!$A$5:$F$40,2,FALSE),"Unknown Product")</x:f>
        <x:v>Wireless Earbuds</x:v>
      </x:c>
      <x:c r="N1915" s="84" t="str">
        <x:f>IFERROR(VLOOKUP(L1915,'Reference Data'!$A$5:$F$40,3,FALSE),"Unknown")</x:f>
        <x:v>Electronics</x:v>
      </x:c>
      <x:c r="O1915" s="84" t="str">
        <x:f>IFERROR(VLOOKUP(L1915,'Reference Data'!$A$5:$F$40,4,FALSE),"Unknown")</x:f>
        <x:v>Audio</x:v>
      </x:c>
      <x:c r="P1915" s="92" t="n">
        <x:f>IFERROR(VLOOKUP(L1915,'Reference Data'!$A$5:$F$40,5,FALSE),0)</x:f>
        <x:v>69</x:v>
      </x:c>
      <x:c r="Q1915" s="92" t="n">
        <x:f>IFERROR(VLOOKUP(L1915,'Reference Data'!$A$5:$F$40,6,FALSE),0)</x:f>
        <x:v>36</x:v>
      </x:c>
      <x:c r="R1915" s="84" t="n">
        <x:f>'Raw Sales'!J1915</x:f>
        <x:v>1</x:v>
      </x:c>
      <x:c r="S1915" s="87" t="n">
        <x:f>'Raw Sales'!K1915</x:f>
        <x:v>0.15</x:v>
      </x:c>
      <x:c r="T1915" s="93" t="n">
        <x:f>P1915*R1915</x:f>
        <x:v>69</x:v>
      </x:c>
      <x:c r="U1915" s="93" t="n">
        <x:f>T1915*S1915</x:f>
        <x:v>10.35</x:v>
      </x:c>
      <x:c r="V1915" s="93" t="str">
        <x:f>PROPER(TRIM('Raw Sales'!L1915))</x:f>
        <x:v>Returned</x:v>
      </x:c>
      <x:c r="W1915" s="93" t="n">
        <x:f>IF(V1915="Returned",0,T1915-U1915)</x:f>
        <x:v>0</x:v>
      </x:c>
      <x:c r="X1915" s="93" t="n">
        <x:f>IF(V1915="Returned",Q1915*R1915*10%,Q1915*R1915)</x:f>
        <x:v>3.6</x:v>
      </x:c>
      <x:c r="Y1915" s="93" t="n">
        <x:f>W1915-X1915</x:f>
        <x:v>-3.6</x:v>
      </x:c>
      <x:c r="Z1915" s="94" t="n">
        <x:f>IFERROR(Y1915/W1915,0)</x:f>
        <x:v>0</x:v>
      </x:c>
      <x:c r="AA1915" s="84" t="str">
        <x:f>PROPER(TRIM('Raw Sales'!M1915))</x:f>
        <x:v>Credit Card</x:v>
      </x:c>
      <x:c r="AB1915" s="84" t="str">
        <x:f>PROPER(TRIM('Raw Sales'!N1915))</x:f>
        <x:v>Zoe Turner</x:v>
      </x:c>
      <x:c r="AC1915" s="85" t="n">
        <x:f>'Raw Sales'!O1915</x:f>
        <x:v>45913</x:v>
      </x:c>
      <x:c r="AD1915" s="84" t="n">
        <x:f>AC1915-B1915</x:f>
        <x:v>3</x:v>
      </x:c>
      <x:c r="AE1915" s="84" t="str">
        <x:f>IF(COUNTIF($A$5:A1915,A1915)&gt;1,"Duplicate","Keep")</x:f>
        <x:v>Keep</x:v>
      </x:c>
      <x:c r="AF1915" s="84" t="str">
        <x:f>IF(OR(R1915&lt;=0,AC1915&lt;B1915,H1915="Unknown",M1915="Unknown Product"),"Review","Valid")</x:f>
        <x:v>Valid</x:v>
      </x:c>
      <x:c r="AG1915" s="84" t="n">
        <x:f>IF(AND(AE1915="Keep",AF1915="Valid"),1,0)</x:f>
        <x:v>1</x:v>
      </x:c>
      <x:c r="AH1915" s="84" t="n">
        <x:f>IF(AND(AG1915=1,OR('Dashboard'!$B$4="All",I1915='Dashboard'!$B$4),OR('Dashboard'!$E$4="All",N1915='Dashboard'!$E$4),OR('Dashboard'!$H$4="All",K1915='Dashboard'!$H$4),OR('Dashboard'!$K$4="All",C1915='Dashboard'!$K$4)),1,0)</x:f>
        <x:v>1</x:v>
      </x:c>
      <x:c r="AI1915" s="84" t="n">
        <x:f>IF(AND(AG1915=1,OR('Dashboard'!$B$4="All",I1915='Dashboard'!$B$4),OR('Dashboard'!$E$4="All",N1915='Dashboard'!$E$4),OR('Dashboard'!$H$4="All",K1915='Dashboard'!$H$4)),1,0)</x:f>
        <x:v>1</x:v>
      </x:c>
    </x:row>
    <x:row r="1916">
      <x:c r="A1916" s="84" t="str">
        <x:f>'Raw Sales'!A1916</x:f>
        <x:v>ORD-2025-01226</x:v>
      </x:c>
      <x:c r="B1916" s="85" t="n">
        <x:f>'Raw Sales'!B1916</x:f>
        <x:v>45910</x:v>
      </x:c>
      <x:c r="C1916" s="84" t="n">
        <x:f>YEAR(B1916)</x:f>
        <x:v>2025</x:v>
      </x:c>
      <x:c r="D1916" s="91" t="n">
        <x:f>DATE(YEAR(B1916),MONTH(B1916),1)</x:f>
        <x:v>45901</x:v>
      </x:c>
      <x:c r="E1916" s="84" t="str">
        <x:f>TEXT(B1916,"mmm")</x:f>
        <x:v>Sep</x:v>
      </x:c>
      <x:c r="F1916" s="84" t="str">
        <x:f>'Raw Sales'!C1916</x:f>
        <x:v>CUST-0492</x:v>
      </x:c>
      <x:c r="G1916" s="84" t="str">
        <x:f>PROPER(TRIM('Raw Sales'!D1916))</x:f>
        <x:v>Jonah Garcia</x:v>
      </x:c>
      <x:c r="H1916" s="84" t="str">
        <x:f>IF(TRIM('Raw Sales'!E1916)="","Unknown",PROPER(TRIM('Raw Sales'!E1916)))</x:f>
        <x:v>Small Business</x:v>
      </x:c>
      <x:c r="I1916" s="84" t="str">
        <x:f>PROPER(TRIM('Raw Sales'!F1916))</x:f>
        <x:v>Southeast</x:v>
      </x:c>
      <x:c r="J1916" s="84" t="str">
        <x:f>PROPER(TRIM('Raw Sales'!G1916))</x:f>
        <x:v>Charlotte</x:v>
      </x:c>
      <x:c r="K1916" s="84" t="str">
        <x:f>PROPER(TRIM('Raw Sales'!H1916))</x:f>
        <x:v>Online</x:v>
      </x:c>
      <x:c r="L1916" s="84" t="str">
        <x:f>'Raw Sales'!I1916</x:f>
        <x:v>ACCS-006</x:v>
      </x:c>
      <x:c r="M1916" s="84" t="str">
        <x:f>IFERROR(VLOOKUP(L1916,'Reference Data'!$A$5:$F$40,2,FALSE),"Unknown Product")</x:f>
        <x:v>Insulated Lunch Bag</x:v>
      </x:c>
      <x:c r="N1916" s="84" t="str">
        <x:f>IFERROR(VLOOKUP(L1916,'Reference Data'!$A$5:$F$40,3,FALSE),"Unknown")</x:f>
        <x:v>Accessories</x:v>
      </x:c>
      <x:c r="O1916" s="84" t="str">
        <x:f>IFERROR(VLOOKUP(L1916,'Reference Data'!$A$5:$F$40,4,FALSE),"Unknown")</x:f>
        <x:v>Bags</x:v>
      </x:c>
      <x:c r="P1916" s="92" t="n">
        <x:f>IFERROR(VLOOKUP(L1916,'Reference Data'!$A$5:$F$40,5,FALSE),0)</x:f>
        <x:v>29</x:v>
      </x:c>
      <x:c r="Q1916" s="92" t="n">
        <x:f>IFERROR(VLOOKUP(L1916,'Reference Data'!$A$5:$F$40,6,FALSE),0)</x:f>
        <x:v>10</x:v>
      </x:c>
      <x:c r="R1916" s="84" t="n">
        <x:f>'Raw Sales'!J1916</x:f>
        <x:v>1</x:v>
      </x:c>
      <x:c r="S1916" s="87" t="n">
        <x:f>'Raw Sales'!K1916</x:f>
        <x:v>0.05</x:v>
      </x:c>
      <x:c r="T1916" s="93" t="n">
        <x:f>P1916*R1916</x:f>
        <x:v>29</x:v>
      </x:c>
      <x:c r="U1916" s="93" t="n">
        <x:f>T1916*S1916</x:f>
        <x:v>1.4500000000000002</x:v>
      </x:c>
      <x:c r="V1916" s="93" t="str">
        <x:f>PROPER(TRIM('Raw Sales'!L1916))</x:f>
        <x:v>Completed</x:v>
      </x:c>
      <x:c r="W1916" s="93" t="n">
        <x:f>IF(V1916="Returned",0,T1916-U1916)</x:f>
        <x:v>27.55</x:v>
      </x:c>
      <x:c r="X1916" s="93" t="n">
        <x:f>IF(V1916="Returned",Q1916*R1916*10%,Q1916*R1916)</x:f>
        <x:v>10</x:v>
      </x:c>
      <x:c r="Y1916" s="93" t="n">
        <x:f>W1916-X1916</x:f>
        <x:v>17.55</x:v>
      </x:c>
      <x:c r="Z1916" s="94" t="n">
        <x:f>IFERROR(Y1916/W1916,0)</x:f>
        <x:v>0.6370235934664247</x:v>
      </x:c>
      <x:c r="AA1916" s="84" t="str">
        <x:f>PROPER(TRIM('Raw Sales'!M1916))</x:f>
        <x:v>Debit Card</x:v>
      </x:c>
      <x:c r="AB1916" s="84" t="str">
        <x:f>PROPER(TRIM('Raw Sales'!N1916))</x:f>
        <x:v>Noah Reed</x:v>
      </x:c>
      <x:c r="AC1916" s="85" t="n">
        <x:f>'Raw Sales'!O1916</x:f>
        <x:v>45915</x:v>
      </x:c>
      <x:c r="AD1916" s="84" t="n">
        <x:f>AC1916-B1916</x:f>
        <x:v>5</x:v>
      </x:c>
      <x:c r="AE1916" s="84" t="str">
        <x:f>IF(COUNTIF($A$5:A1916,A1916)&gt;1,"Duplicate","Keep")</x:f>
        <x:v>Keep</x:v>
      </x:c>
      <x:c r="AF1916" s="84" t="str">
        <x:f>IF(OR(R1916&lt;=0,AC1916&lt;B1916,H1916="Unknown",M1916="Unknown Product"),"Review","Valid")</x:f>
        <x:v>Valid</x:v>
      </x:c>
      <x:c r="AG1916" s="84" t="n">
        <x:f>IF(AND(AE1916="Keep",AF1916="Valid"),1,0)</x:f>
        <x:v>1</x:v>
      </x:c>
      <x:c r="AH1916" s="84" t="n">
        <x:f>IF(AND(AG1916=1,OR('Dashboard'!$B$4="All",I1916='Dashboard'!$B$4),OR('Dashboard'!$E$4="All",N1916='Dashboard'!$E$4),OR('Dashboard'!$H$4="All",K1916='Dashboard'!$H$4),OR('Dashboard'!$K$4="All",C1916='Dashboard'!$K$4)),1,0)</x:f>
        <x:v>1</x:v>
      </x:c>
      <x:c r="AI1916" s="84" t="n">
        <x:f>IF(AND(AG1916=1,OR('Dashboard'!$B$4="All",I1916='Dashboard'!$B$4),OR('Dashboard'!$E$4="All",N1916='Dashboard'!$E$4),OR('Dashboard'!$H$4="All",K1916='Dashboard'!$H$4)),1,0)</x:f>
        <x:v>1</x:v>
      </x:c>
    </x:row>
    <x:row r="1917">
      <x:c r="A1917" s="84" t="str">
        <x:f>'Raw Sales'!A1917</x:f>
        <x:v>ORD-2025-01859</x:v>
      </x:c>
      <x:c r="B1917" s="85" t="n">
        <x:f>'Raw Sales'!B1917</x:f>
        <x:v>45910</x:v>
      </x:c>
      <x:c r="C1917" s="84" t="n">
        <x:f>YEAR(B1917)</x:f>
        <x:v>2025</x:v>
      </x:c>
      <x:c r="D1917" s="91" t="n">
        <x:f>DATE(YEAR(B1917),MONTH(B1917),1)</x:f>
        <x:v>45901</x:v>
      </x:c>
      <x:c r="E1917" s="84" t="str">
        <x:f>TEXT(B1917,"mmm")</x:f>
        <x:v>Sep</x:v>
      </x:c>
      <x:c r="F1917" s="84" t="str">
        <x:f>'Raw Sales'!C1917</x:f>
        <x:v>CUST-0424</x:v>
      </x:c>
      <x:c r="G1917" s="84" t="str">
        <x:f>PROPER(TRIM('Raw Sales'!D1917))</x:f>
        <x:v>Layla Quinn</x:v>
      </x:c>
      <x:c r="H1917" s="84" t="str">
        <x:f>IF(TRIM('Raw Sales'!E1917)="","Unknown",PROPER(TRIM('Raw Sales'!E1917)))</x:f>
        <x:v>Consumer</x:v>
      </x:c>
      <x:c r="I1917" s="84" t="str">
        <x:f>PROPER(TRIM('Raw Sales'!F1917))</x:f>
        <x:v>Southeast</x:v>
      </x:c>
      <x:c r="J1917" s="84" t="str">
        <x:f>PROPER(TRIM('Raw Sales'!G1917))</x:f>
        <x:v>Miami</x:v>
      </x:c>
      <x:c r="K1917" s="84" t="str">
        <x:f>PROPER(TRIM('Raw Sales'!H1917))</x:f>
        <x:v>Online</x:v>
      </x:c>
      <x:c r="L1917" s="84" t="str">
        <x:f>'Raw Sales'!I1917</x:f>
        <x:v>ACCS-004</x:v>
      </x:c>
      <x:c r="M1917" s="84" t="str">
        <x:f>IFERROR(VLOOKUP(L1917,'Reference Data'!$A$5:$F$40,2,FALSE),"Unknown Product")</x:f>
        <x:v>Leather Wallet</x:v>
      </x:c>
      <x:c r="N1917" s="84" t="str">
        <x:f>IFERROR(VLOOKUP(L1917,'Reference Data'!$A$5:$F$40,3,FALSE),"Unknown")</x:f>
        <x:v>Accessories</x:v>
      </x:c>
      <x:c r="O1917" s="84" t="str">
        <x:f>IFERROR(VLOOKUP(L1917,'Reference Data'!$A$5:$F$40,4,FALSE),"Unknown")</x:f>
        <x:v>Wallets</x:v>
      </x:c>
      <x:c r="P1917" s="92" t="n">
        <x:f>IFERROR(VLOOKUP(L1917,'Reference Data'!$A$5:$F$40,5,FALSE),0)</x:f>
        <x:v>49</x:v>
      </x:c>
      <x:c r="Q1917" s="92" t="n">
        <x:f>IFERROR(VLOOKUP(L1917,'Reference Data'!$A$5:$F$40,6,FALSE),0)</x:f>
        <x:v>18</x:v>
      </x:c>
      <x:c r="R1917" s="84" t="n">
        <x:f>'Raw Sales'!J1917</x:f>
        <x:v>1</x:v>
      </x:c>
      <x:c r="S1917" s="87" t="n">
        <x:f>'Raw Sales'!K1917</x:f>
        <x:v>0.1</x:v>
      </x:c>
      <x:c r="T1917" s="93" t="n">
        <x:f>P1917*R1917</x:f>
        <x:v>49</x:v>
      </x:c>
      <x:c r="U1917" s="93" t="n">
        <x:f>T1917*S1917</x:f>
        <x:v>4.9</x:v>
      </x:c>
      <x:c r="V1917" s="93" t="str">
        <x:f>PROPER(TRIM('Raw Sales'!L1917))</x:f>
        <x:v>Completed</x:v>
      </x:c>
      <x:c r="W1917" s="93" t="n">
        <x:f>IF(V1917="Returned",0,T1917-U1917)</x:f>
        <x:v>44.1</x:v>
      </x:c>
      <x:c r="X1917" s="93" t="n">
        <x:f>IF(V1917="Returned",Q1917*R1917*10%,Q1917*R1917)</x:f>
        <x:v>18</x:v>
      </x:c>
      <x:c r="Y1917" s="93" t="n">
        <x:f>W1917-X1917</x:f>
        <x:v>26.1</x:v>
      </x:c>
      <x:c r="Z1917" s="94" t="n">
        <x:f>IFERROR(Y1917/W1917,0)</x:f>
        <x:v>0.5918367346938775</x:v>
      </x:c>
      <x:c r="AA1917" s="84" t="str">
        <x:f>PROPER(TRIM('Raw Sales'!M1917))</x:f>
        <x:v>Credit Card</x:v>
      </x:c>
      <x:c r="AB1917" s="84" t="str">
        <x:f>PROPER(TRIM('Raw Sales'!N1917))</x:f>
        <x:v>Ava Mitchell</x:v>
      </x:c>
      <x:c r="AC1917" s="85" t="n">
        <x:f>'Raw Sales'!O1917</x:f>
        <x:v>45915</x:v>
      </x:c>
      <x:c r="AD1917" s="84" t="n">
        <x:f>AC1917-B1917</x:f>
        <x:v>5</x:v>
      </x:c>
      <x:c r="AE1917" s="84" t="str">
        <x:f>IF(COUNTIF($A$5:A1917,A1917)&gt;1,"Duplicate","Keep")</x:f>
        <x:v>Keep</x:v>
      </x:c>
      <x:c r="AF1917" s="84" t="str">
        <x:f>IF(OR(R1917&lt;=0,AC1917&lt;B1917,H1917="Unknown",M1917="Unknown Product"),"Review","Valid")</x:f>
        <x:v>Valid</x:v>
      </x:c>
      <x:c r="AG1917" s="84" t="n">
        <x:f>IF(AND(AE1917="Keep",AF1917="Valid"),1,0)</x:f>
        <x:v>1</x:v>
      </x:c>
      <x:c r="AH1917" s="84" t="n">
        <x:f>IF(AND(AG1917=1,OR('Dashboard'!$B$4="All",I1917='Dashboard'!$B$4),OR('Dashboard'!$E$4="All",N1917='Dashboard'!$E$4),OR('Dashboard'!$H$4="All",K1917='Dashboard'!$H$4),OR('Dashboard'!$K$4="All",C1917='Dashboard'!$K$4)),1,0)</x:f>
        <x:v>1</x:v>
      </x:c>
      <x:c r="AI1917" s="84" t="n">
        <x:f>IF(AND(AG1917=1,OR('Dashboard'!$B$4="All",I1917='Dashboard'!$B$4),OR('Dashboard'!$E$4="All",N1917='Dashboard'!$E$4),OR('Dashboard'!$H$4="All",K1917='Dashboard'!$H$4)),1,0)</x:f>
        <x:v>1</x:v>
      </x:c>
    </x:row>
    <x:row r="1918">
      <x:c r="A1918" s="84" t="str">
        <x:f>'Raw Sales'!A1918</x:f>
        <x:v>ORD-2025-00667</x:v>
      </x:c>
      <x:c r="B1918" s="85" t="n">
        <x:f>'Raw Sales'!B1918</x:f>
        <x:v>45911</x:v>
      </x:c>
      <x:c r="C1918" s="84" t="n">
        <x:f>YEAR(B1918)</x:f>
        <x:v>2025</x:v>
      </x:c>
      <x:c r="D1918" s="91" t="n">
        <x:f>DATE(YEAR(B1918),MONTH(B1918),1)</x:f>
        <x:v>45901</x:v>
      </x:c>
      <x:c r="E1918" s="84" t="str">
        <x:f>TEXT(B1918,"mmm")</x:f>
        <x:v>Sep</x:v>
      </x:c>
      <x:c r="F1918" s="84" t="str">
        <x:f>'Raw Sales'!C1918</x:f>
        <x:v>CUST-0027</x:v>
      </x:c>
      <x:c r="G1918" s="84" t="str">
        <x:f>PROPER(TRIM('Raw Sales'!D1918))</x:f>
        <x:v>Samuel Hall</x:v>
      </x:c>
      <x:c r="H1918" s="84" t="str">
        <x:f>IF(TRIM('Raw Sales'!E1918)="","Unknown",PROPER(TRIM('Raw Sales'!E1918)))</x:f>
        <x:v>Consumer</x:v>
      </x:c>
      <x:c r="I1918" s="84" t="str">
        <x:f>PROPER(TRIM('Raw Sales'!F1918))</x:f>
        <x:v>Northeast</x:v>
      </x:c>
      <x:c r="J1918" s="84" t="str">
        <x:f>PROPER(TRIM('Raw Sales'!G1918))</x:f>
        <x:v>Philadelphia</x:v>
      </x:c>
      <x:c r="K1918" s="84" t="str">
        <x:f>PROPER(TRIM('Raw Sales'!H1918))</x:f>
        <x:v>Marketplace</x:v>
      </x:c>
      <x:c r="L1918" s="84" t="str">
        <x:f>'Raw Sales'!I1918</x:f>
        <x:v>OFFC-006</x:v>
      </x:c>
      <x:c r="M1918" s="84" t="str">
        <x:f>IFERROR(VLOOKUP(L1918,'Reference Data'!$A$5:$F$40,2,FALSE),"Unknown Product")</x:f>
        <x:v>Monitor Stand</x:v>
      </x:c>
      <x:c r="N1918" s="84" t="str">
        <x:f>IFERROR(VLOOKUP(L1918,'Reference Data'!$A$5:$F$40,3,FALSE),"Unknown")</x:f>
        <x:v>Office</x:v>
      </x:c>
      <x:c r="O1918" s="84" t="str">
        <x:f>IFERROR(VLOOKUP(L1918,'Reference Data'!$A$5:$F$40,4,FALSE),"Unknown")</x:f>
        <x:v>Desk Accessories</x:v>
      </x:c>
      <x:c r="P1918" s="92" t="n">
        <x:f>IFERROR(VLOOKUP(L1918,'Reference Data'!$A$5:$F$40,5,FALSE),0)</x:f>
        <x:v>49</x:v>
      </x:c>
      <x:c r="Q1918" s="92" t="n">
        <x:f>IFERROR(VLOOKUP(L1918,'Reference Data'!$A$5:$F$40,6,FALSE),0)</x:f>
        <x:v>21</x:v>
      </x:c>
      <x:c r="R1918" s="84" t="n">
        <x:f>'Raw Sales'!J1918</x:f>
        <x:v>2</x:v>
      </x:c>
      <x:c r="S1918" s="87" t="n">
        <x:f>'Raw Sales'!K1918</x:f>
        <x:v>0.2</x:v>
      </x:c>
      <x:c r="T1918" s="93" t="n">
        <x:f>P1918*R1918</x:f>
        <x:v>98</x:v>
      </x:c>
      <x:c r="U1918" s="93" t="n">
        <x:f>T1918*S1918</x:f>
        <x:v>19.6</x:v>
      </x:c>
      <x:c r="V1918" s="93" t="str">
        <x:f>PROPER(TRIM('Raw Sales'!L1918))</x:f>
        <x:v>Completed</x:v>
      </x:c>
      <x:c r="W1918" s="93" t="n">
        <x:f>IF(V1918="Returned",0,T1918-U1918)</x:f>
        <x:v>78.4</x:v>
      </x:c>
      <x:c r="X1918" s="93" t="n">
        <x:f>IF(V1918="Returned",Q1918*R1918*10%,Q1918*R1918)</x:f>
        <x:v>42</x:v>
      </x:c>
      <x:c r="Y1918" s="93" t="n">
        <x:f>W1918-X1918</x:f>
        <x:v>36.400000000000006</x:v>
      </x:c>
      <x:c r="Z1918" s="94" t="n">
        <x:f>IFERROR(Y1918/W1918,0)</x:f>
        <x:v>0.4642857142857143</x:v>
      </x:c>
      <x:c r="AA1918" s="84" t="str">
        <x:f>PROPER(TRIM('Raw Sales'!M1918))</x:f>
        <x:v>Paypal</x:v>
      </x:c>
      <x:c r="AB1918" s="84" t="str">
        <x:f>PROPER(TRIM('Raw Sales'!N1918))</x:f>
        <x:v>Maya Brooks</x:v>
      </x:c>
      <x:c r="AC1918" s="85" t="n">
        <x:f>'Raw Sales'!O1918</x:f>
        <x:v>45919</x:v>
      </x:c>
      <x:c r="AD1918" s="84" t="n">
        <x:f>AC1918-B1918</x:f>
        <x:v>8</x:v>
      </x:c>
      <x:c r="AE1918" s="84" t="str">
        <x:f>IF(COUNTIF($A$5:A1918,A1918)&gt;1,"Duplicate","Keep")</x:f>
        <x:v>Keep</x:v>
      </x:c>
      <x:c r="AF1918" s="84" t="str">
        <x:f>IF(OR(R1918&lt;=0,AC1918&lt;B1918,H1918="Unknown",M1918="Unknown Product"),"Review","Valid")</x:f>
        <x:v>Valid</x:v>
      </x:c>
      <x:c r="AG1918" s="84" t="n">
        <x:f>IF(AND(AE1918="Keep",AF1918="Valid"),1,0)</x:f>
        <x:v>1</x:v>
      </x:c>
      <x:c r="AH1918" s="84" t="n">
        <x:f>IF(AND(AG1918=1,OR('Dashboard'!$B$4="All",I1918='Dashboard'!$B$4),OR('Dashboard'!$E$4="All",N1918='Dashboard'!$E$4),OR('Dashboard'!$H$4="All",K1918='Dashboard'!$H$4),OR('Dashboard'!$K$4="All",C1918='Dashboard'!$K$4)),1,0)</x:f>
        <x:v>1</x:v>
      </x:c>
      <x:c r="AI1918" s="84" t="n">
        <x:f>IF(AND(AG1918=1,OR('Dashboard'!$B$4="All",I1918='Dashboard'!$B$4),OR('Dashboard'!$E$4="All",N1918='Dashboard'!$E$4),OR('Dashboard'!$H$4="All",K1918='Dashboard'!$H$4)),1,0)</x:f>
        <x:v>1</x:v>
      </x:c>
    </x:row>
    <x:row r="1919">
      <x:c r="A1919" s="84" t="str">
        <x:f>'Raw Sales'!A1919</x:f>
        <x:v>ORD-2025-00687</x:v>
      </x:c>
      <x:c r="B1919" s="85" t="n">
        <x:f>'Raw Sales'!B1919</x:f>
        <x:v>45911</x:v>
      </x:c>
      <x:c r="C1919" s="84" t="n">
        <x:f>YEAR(B1919)</x:f>
        <x:v>2025</x:v>
      </x:c>
      <x:c r="D1919" s="91" t="n">
        <x:f>DATE(YEAR(B1919),MONTH(B1919),1)</x:f>
        <x:v>45901</x:v>
      </x:c>
      <x:c r="E1919" s="84" t="str">
        <x:f>TEXT(B1919,"mmm")</x:f>
        <x:v>Sep</x:v>
      </x:c>
      <x:c r="F1919" s="84" t="str">
        <x:f>'Raw Sales'!C1919</x:f>
        <x:v>CUST-0584</x:v>
      </x:c>
      <x:c r="G1919" s="84" t="str">
        <x:f>PROPER(TRIM('Raw Sales'!D1919))</x:f>
        <x:v>William Khan</x:v>
      </x:c>
      <x:c r="H1919" s="84" t="str">
        <x:f>IF(TRIM('Raw Sales'!E1919)="","Unknown",PROPER(TRIM('Raw Sales'!E1919)))</x:f>
        <x:v>Corporate</x:v>
      </x:c>
      <x:c r="I1919" s="84" t="str">
        <x:f>PROPER(TRIM('Raw Sales'!F1919))</x:f>
        <x:v>Northeast</x:v>
      </x:c>
      <x:c r="J1919" s="84" t="str">
        <x:f>PROPER(TRIM('Raw Sales'!G1919))</x:f>
        <x:v>Philadelphia</x:v>
      </x:c>
      <x:c r="K1919" s="84" t="str">
        <x:f>PROPER(TRIM('Raw Sales'!H1919))</x:f>
        <x:v>Retail Store</x:v>
      </x:c>
      <x:c r="L1919" s="84" t="str">
        <x:f>'Raw Sales'!I1919</x:f>
        <x:v>OFFC-006</x:v>
      </x:c>
      <x:c r="M1919" s="84" t="str">
        <x:f>IFERROR(VLOOKUP(L1919,'Reference Data'!$A$5:$F$40,2,FALSE),"Unknown Product")</x:f>
        <x:v>Monitor Stand</x:v>
      </x:c>
      <x:c r="N1919" s="84" t="str">
        <x:f>IFERROR(VLOOKUP(L1919,'Reference Data'!$A$5:$F$40,3,FALSE),"Unknown")</x:f>
        <x:v>Office</x:v>
      </x:c>
      <x:c r="O1919" s="84" t="str">
        <x:f>IFERROR(VLOOKUP(L1919,'Reference Data'!$A$5:$F$40,4,FALSE),"Unknown")</x:f>
        <x:v>Desk Accessories</x:v>
      </x:c>
      <x:c r="P1919" s="92" t="n">
        <x:f>IFERROR(VLOOKUP(L1919,'Reference Data'!$A$5:$F$40,5,FALSE),0)</x:f>
        <x:v>49</x:v>
      </x:c>
      <x:c r="Q1919" s="92" t="n">
        <x:f>IFERROR(VLOOKUP(L1919,'Reference Data'!$A$5:$F$40,6,FALSE),0)</x:f>
        <x:v>21</x:v>
      </x:c>
      <x:c r="R1919" s="84" t="n">
        <x:f>'Raw Sales'!J1919</x:f>
        <x:v>1</x:v>
      </x:c>
      <x:c r="S1919" s="87" t="n">
        <x:f>'Raw Sales'!K1919</x:f>
        <x:v>0.2</x:v>
      </x:c>
      <x:c r="T1919" s="93" t="n">
        <x:f>P1919*R1919</x:f>
        <x:v>49</x:v>
      </x:c>
      <x:c r="U1919" s="93" t="n">
        <x:f>T1919*S1919</x:f>
        <x:v>9.8</x:v>
      </x:c>
      <x:c r="V1919" s="93" t="str">
        <x:f>PROPER(TRIM('Raw Sales'!L1919))</x:f>
        <x:v>Completed</x:v>
      </x:c>
      <x:c r="W1919" s="93" t="n">
        <x:f>IF(V1919="Returned",0,T1919-U1919)</x:f>
        <x:v>39.2</x:v>
      </x:c>
      <x:c r="X1919" s="93" t="n">
        <x:f>IF(V1919="Returned",Q1919*R1919*10%,Q1919*R1919)</x:f>
        <x:v>21</x:v>
      </x:c>
      <x:c r="Y1919" s="93" t="n">
        <x:f>W1919-X1919</x:f>
        <x:v>18.200000000000003</x:v>
      </x:c>
      <x:c r="Z1919" s="94" t="n">
        <x:f>IFERROR(Y1919/W1919,0)</x:f>
        <x:v>0.4642857142857143</x:v>
      </x:c>
      <x:c r="AA1919" s="84" t="str">
        <x:f>PROPER(TRIM('Raw Sales'!M1919))</x:f>
        <x:v>Mobile Wallet</x:v>
      </x:c>
      <x:c r="AB1919" s="84" t="str">
        <x:f>PROPER(TRIM('Raw Sales'!N1919))</x:f>
        <x:v>Maya Brooks</x:v>
      </x:c>
      <x:c r="AC1919" s="85" t="n">
        <x:f>'Raw Sales'!O1919</x:f>
        <x:v>45911</x:v>
      </x:c>
      <x:c r="AD1919" s="84" t="n">
        <x:f>AC1919-B1919</x:f>
        <x:v>0</x:v>
      </x:c>
      <x:c r="AE1919" s="84" t="str">
        <x:f>IF(COUNTIF($A$5:A1919,A1919)&gt;1,"Duplicate","Keep")</x:f>
        <x:v>Keep</x:v>
      </x:c>
      <x:c r="AF1919" s="84" t="str">
        <x:f>IF(OR(R1919&lt;=0,AC1919&lt;B1919,H1919="Unknown",M1919="Unknown Product"),"Review","Valid")</x:f>
        <x:v>Valid</x:v>
      </x:c>
      <x:c r="AG1919" s="84" t="n">
        <x:f>IF(AND(AE1919="Keep",AF1919="Valid"),1,0)</x:f>
        <x:v>1</x:v>
      </x:c>
      <x:c r="AH1919" s="84" t="n">
        <x:f>IF(AND(AG1919=1,OR('Dashboard'!$B$4="All",I1919='Dashboard'!$B$4),OR('Dashboard'!$E$4="All",N1919='Dashboard'!$E$4),OR('Dashboard'!$H$4="All",K1919='Dashboard'!$H$4),OR('Dashboard'!$K$4="All",C1919='Dashboard'!$K$4)),1,0)</x:f>
        <x:v>1</x:v>
      </x:c>
      <x:c r="AI1919" s="84" t="n">
        <x:f>IF(AND(AG1919=1,OR('Dashboard'!$B$4="All",I1919='Dashboard'!$B$4),OR('Dashboard'!$E$4="All",N1919='Dashboard'!$E$4),OR('Dashboard'!$H$4="All",K1919='Dashboard'!$H$4)),1,0)</x:f>
        <x:v>1</x:v>
      </x:c>
    </x:row>
    <x:row r="1920">
      <x:c r="A1920" s="84" t="str">
        <x:f>'Raw Sales'!A1920</x:f>
        <x:v>ORD-2025-02354</x:v>
      </x:c>
      <x:c r="B1920" s="85" t="n">
        <x:f>'Raw Sales'!B1920</x:f>
        <x:v>45911</x:v>
      </x:c>
      <x:c r="C1920" s="84" t="n">
        <x:f>YEAR(B1920)</x:f>
        <x:v>2025</x:v>
      </x:c>
      <x:c r="D1920" s="91" t="n">
        <x:f>DATE(YEAR(B1920),MONTH(B1920),1)</x:f>
        <x:v>45901</x:v>
      </x:c>
      <x:c r="E1920" s="84" t="str">
        <x:f>TEXT(B1920,"mmm")</x:f>
        <x:v>Sep</x:v>
      </x:c>
      <x:c r="F1920" s="84" t="str">
        <x:f>'Raw Sales'!C1920</x:f>
        <x:v>CUST-0251</x:v>
      </x:c>
      <x:c r="G1920" s="84" t="str">
        <x:f>PROPER(TRIM('Raw Sales'!D1920))</x:f>
        <x:v>Isaac Patel</x:v>
      </x:c>
      <x:c r="H1920" s="84" t="str">
        <x:f>IF(TRIM('Raw Sales'!E1920)="","Unknown",PROPER(TRIM('Raw Sales'!E1920)))</x:f>
        <x:v>Small Business</x:v>
      </x:c>
      <x:c r="I1920" s="84" t="str">
        <x:f>PROPER(TRIM('Raw Sales'!F1920))</x:f>
        <x:v>Southeast</x:v>
      </x:c>
      <x:c r="J1920" s="84" t="str">
        <x:f>PROPER(TRIM('Raw Sales'!G1920))</x:f>
        <x:v>Atlanta</x:v>
      </x:c>
      <x:c r="K1920" s="84" t="str">
        <x:f>PROPER(TRIM('Raw Sales'!H1920))</x:f>
        <x:v>Marketplace</x:v>
      </x:c>
      <x:c r="L1920" s="84" t="str">
        <x:f>'Raw Sales'!I1920</x:f>
        <x:v>ELEC-003</x:v>
      </x:c>
      <x:c r="M1920" s="84" t="str">
        <x:f>IFERROR(VLOOKUP(L1920,'Reference Data'!$A$5:$F$40,2,FALSE),"Unknown Product")</x:f>
        <x:v>Bluetooth Speaker</x:v>
      </x:c>
      <x:c r="N1920" s="84" t="str">
        <x:f>IFERROR(VLOOKUP(L1920,'Reference Data'!$A$5:$F$40,3,FALSE),"Unknown")</x:f>
        <x:v>Electronics</x:v>
      </x:c>
      <x:c r="O1920" s="84" t="str">
        <x:f>IFERROR(VLOOKUP(L1920,'Reference Data'!$A$5:$F$40,4,FALSE),"Unknown")</x:f>
        <x:v>Audio</x:v>
      </x:c>
      <x:c r="P1920" s="92" t="n">
        <x:f>IFERROR(VLOOKUP(L1920,'Reference Data'!$A$5:$F$40,5,FALSE),0)</x:f>
        <x:v>89</x:v>
      </x:c>
      <x:c r="Q1920" s="92" t="n">
        <x:f>IFERROR(VLOOKUP(L1920,'Reference Data'!$A$5:$F$40,6,FALSE),0)</x:f>
        <x:v>44</x:v>
      </x:c>
      <x:c r="R1920" s="84" t="n">
        <x:f>'Raw Sales'!J1920</x:f>
        <x:v>2</x:v>
      </x:c>
      <x:c r="S1920" s="87" t="n">
        <x:f>'Raw Sales'!K1920</x:f>
        <x:v>0</x:v>
      </x:c>
      <x:c r="T1920" s="93" t="n">
        <x:f>P1920*R1920</x:f>
        <x:v>178</x:v>
      </x:c>
      <x:c r="U1920" s="93" t="n">
        <x:f>T1920*S1920</x:f>
        <x:v>0</x:v>
      </x:c>
      <x:c r="V1920" s="93" t="str">
        <x:f>PROPER(TRIM('Raw Sales'!L1920))</x:f>
        <x:v>Completed</x:v>
      </x:c>
      <x:c r="W1920" s="93" t="n">
        <x:f>IF(V1920="Returned",0,T1920-U1920)</x:f>
        <x:v>178</x:v>
      </x:c>
      <x:c r="X1920" s="93" t="n">
        <x:f>IF(V1920="Returned",Q1920*R1920*10%,Q1920*R1920)</x:f>
        <x:v>88</x:v>
      </x:c>
      <x:c r="Y1920" s="93" t="n">
        <x:f>W1920-X1920</x:f>
        <x:v>90</x:v>
      </x:c>
      <x:c r="Z1920" s="94" t="n">
        <x:f>IFERROR(Y1920/W1920,0)</x:f>
        <x:v>0.5056179775280899</x:v>
      </x:c>
      <x:c r="AA1920" s="84" t="str">
        <x:f>PROPER(TRIM('Raw Sales'!M1920))</x:f>
        <x:v>Credit Card</x:v>
      </x:c>
      <x:c r="AB1920" s="84" t="str">
        <x:f>PROPER(TRIM('Raw Sales'!N1920))</x:f>
        <x:v>Ava Mitchell</x:v>
      </x:c>
      <x:c r="AC1920" s="85" t="n">
        <x:f>'Raw Sales'!O1920</x:f>
        <x:v>45917</x:v>
      </x:c>
      <x:c r="AD1920" s="84" t="n">
        <x:f>AC1920-B1920</x:f>
        <x:v>6</x:v>
      </x:c>
      <x:c r="AE1920" s="84" t="str">
        <x:f>IF(COUNTIF($A$5:A1920,A1920)&gt;1,"Duplicate","Keep")</x:f>
        <x:v>Keep</x:v>
      </x:c>
      <x:c r="AF1920" s="84" t="str">
        <x:f>IF(OR(R1920&lt;=0,AC1920&lt;B1920,H1920="Unknown",M1920="Unknown Product"),"Review","Valid")</x:f>
        <x:v>Valid</x:v>
      </x:c>
      <x:c r="AG1920" s="84" t="n">
        <x:f>IF(AND(AE1920="Keep",AF1920="Valid"),1,0)</x:f>
        <x:v>1</x:v>
      </x:c>
      <x:c r="AH1920" s="84" t="n">
        <x:f>IF(AND(AG1920=1,OR('Dashboard'!$B$4="All",I1920='Dashboard'!$B$4),OR('Dashboard'!$E$4="All",N1920='Dashboard'!$E$4),OR('Dashboard'!$H$4="All",K1920='Dashboard'!$H$4),OR('Dashboard'!$K$4="All",C1920='Dashboard'!$K$4)),1,0)</x:f>
        <x:v>1</x:v>
      </x:c>
      <x:c r="AI1920" s="84" t="n">
        <x:f>IF(AND(AG1920=1,OR('Dashboard'!$B$4="All",I1920='Dashboard'!$B$4),OR('Dashboard'!$E$4="All",N1920='Dashboard'!$E$4),OR('Dashboard'!$H$4="All",K1920='Dashboard'!$H$4)),1,0)</x:f>
        <x:v>1</x:v>
      </x:c>
    </x:row>
    <x:row r="1921">
      <x:c r="A1921" s="84" t="str">
        <x:f>'Raw Sales'!A1921</x:f>
        <x:v>ORD-2025-00014</x:v>
      </x:c>
      <x:c r="B1921" s="85" t="n">
        <x:f>'Raw Sales'!B1921</x:f>
        <x:v>45912</x:v>
      </x:c>
      <x:c r="C1921" s="84" t="n">
        <x:f>YEAR(B1921)</x:f>
        <x:v>2025</x:v>
      </x:c>
      <x:c r="D1921" s="91" t="n">
        <x:f>DATE(YEAR(B1921),MONTH(B1921),1)</x:f>
        <x:v>45901</x:v>
      </x:c>
      <x:c r="E1921" s="84" t="str">
        <x:f>TEXT(B1921,"mmm")</x:f>
        <x:v>Sep</x:v>
      </x:c>
      <x:c r="F1921" s="84" t="str">
        <x:f>'Raw Sales'!C1921</x:f>
        <x:v>CUST-0535</x:v>
      </x:c>
      <x:c r="G1921" s="84" t="str">
        <x:f>PROPER(TRIM('Raw Sales'!D1921))</x:f>
        <x:v>Caleb Walker</x:v>
      </x:c>
      <x:c r="H1921" s="84" t="str">
        <x:f>IF(TRIM('Raw Sales'!E1921)="","Unknown",PROPER(TRIM('Raw Sales'!E1921)))</x:f>
        <x:v>Corporate</x:v>
      </x:c>
      <x:c r="I1921" s="84" t="str">
        <x:f>PROPER(TRIM('Raw Sales'!F1921))</x:f>
        <x:v>Southeast</x:v>
      </x:c>
      <x:c r="J1921" s="84" t="str">
        <x:f>PROPER(TRIM('Raw Sales'!G1921))</x:f>
        <x:v>Miami</x:v>
      </x:c>
      <x:c r="K1921" s="84" t="str">
        <x:f>PROPER(TRIM('Raw Sales'!H1921))</x:f>
        <x:v>Online</x:v>
      </x:c>
      <x:c r="L1921" s="84" t="str">
        <x:f>'Raw Sales'!I1921</x:f>
        <x:v>CARE-006</x:v>
      </x:c>
      <x:c r="M1921" s="84" t="str">
        <x:f>IFERROR(VLOOKUP(L1921,'Reference Data'!$A$5:$F$40,2,FALSE),"Unknown Product")</x:f>
        <x:v>Percussion Massage Gun</x:v>
      </x:c>
      <x:c r="N1921" s="84" t="str">
        <x:f>IFERROR(VLOOKUP(L1921,'Reference Data'!$A$5:$F$40,3,FALSE),"Unknown")</x:f>
        <x:v>Personal Care</x:v>
      </x:c>
      <x:c r="O1921" s="84" t="str">
        <x:f>IFERROR(VLOOKUP(L1921,'Reference Data'!$A$5:$F$40,4,FALSE),"Unknown")</x:f>
        <x:v>Wellness</x:v>
      </x:c>
      <x:c r="P1921" s="92" t="n">
        <x:f>IFERROR(VLOOKUP(L1921,'Reference Data'!$A$5:$F$40,5,FALSE),0)</x:f>
        <x:v>129</x:v>
      </x:c>
      <x:c r="Q1921" s="92" t="n">
        <x:f>IFERROR(VLOOKUP(L1921,'Reference Data'!$A$5:$F$40,6,FALSE),0)</x:f>
        <x:v>70</x:v>
      </x:c>
      <x:c r="R1921" s="84" t="n">
        <x:f>'Raw Sales'!J1921</x:f>
        <x:v>2</x:v>
      </x:c>
      <x:c r="S1921" s="87" t="n">
        <x:f>'Raw Sales'!K1921</x:f>
        <x:v>0</x:v>
      </x:c>
      <x:c r="T1921" s="93" t="n">
        <x:f>P1921*R1921</x:f>
        <x:v>258</x:v>
      </x:c>
      <x:c r="U1921" s="93" t="n">
        <x:f>T1921*S1921</x:f>
        <x:v>0</x:v>
      </x:c>
      <x:c r="V1921" s="93" t="str">
        <x:f>PROPER(TRIM('Raw Sales'!L1921))</x:f>
        <x:v>Completed</x:v>
      </x:c>
      <x:c r="W1921" s="93" t="n">
        <x:f>IF(V1921="Returned",0,T1921-U1921)</x:f>
        <x:v>258</x:v>
      </x:c>
      <x:c r="X1921" s="93" t="n">
        <x:f>IF(V1921="Returned",Q1921*R1921*10%,Q1921*R1921)</x:f>
        <x:v>140</x:v>
      </x:c>
      <x:c r="Y1921" s="93" t="n">
        <x:f>W1921-X1921</x:f>
        <x:v>118</x:v>
      </x:c>
      <x:c r="Z1921" s="94" t="n">
        <x:f>IFERROR(Y1921/W1921,0)</x:f>
        <x:v>0.4573643410852713</x:v>
      </x:c>
      <x:c r="AA1921" s="84" t="str">
        <x:f>PROPER(TRIM('Raw Sales'!M1921))</x:f>
        <x:v>Debit Card</x:v>
      </x:c>
      <x:c r="AB1921" s="84" t="str">
        <x:f>PROPER(TRIM('Raw Sales'!N1921))</x:f>
        <x:v>Ava Mitchell</x:v>
      </x:c>
      <x:c r="AC1921" s="85" t="n">
        <x:f>'Raw Sales'!O1921</x:f>
        <x:v>45916</x:v>
      </x:c>
      <x:c r="AD1921" s="84" t="n">
        <x:f>AC1921-B1921</x:f>
        <x:v>4</x:v>
      </x:c>
      <x:c r="AE1921" s="84" t="str">
        <x:f>IF(COUNTIF($A$5:A1921,A1921)&gt;1,"Duplicate","Keep")</x:f>
        <x:v>Keep</x:v>
      </x:c>
      <x:c r="AF1921" s="84" t="str">
        <x:f>IF(OR(R1921&lt;=0,AC1921&lt;B1921,H1921="Unknown",M1921="Unknown Product"),"Review","Valid")</x:f>
        <x:v>Valid</x:v>
      </x:c>
      <x:c r="AG1921" s="84" t="n">
        <x:f>IF(AND(AE1921="Keep",AF1921="Valid"),1,0)</x:f>
        <x:v>1</x:v>
      </x:c>
      <x:c r="AH1921" s="84" t="n">
        <x:f>IF(AND(AG1921=1,OR('Dashboard'!$B$4="All",I1921='Dashboard'!$B$4),OR('Dashboard'!$E$4="All",N1921='Dashboard'!$E$4),OR('Dashboard'!$H$4="All",K1921='Dashboard'!$H$4),OR('Dashboard'!$K$4="All",C1921='Dashboard'!$K$4)),1,0)</x:f>
        <x:v>1</x:v>
      </x:c>
      <x:c r="AI1921" s="84" t="n">
        <x:f>IF(AND(AG1921=1,OR('Dashboard'!$B$4="All",I1921='Dashboard'!$B$4),OR('Dashboard'!$E$4="All",N1921='Dashboard'!$E$4),OR('Dashboard'!$H$4="All",K1921='Dashboard'!$H$4)),1,0)</x:f>
        <x:v>1</x:v>
      </x:c>
    </x:row>
    <x:row r="1922">
      <x:c r="A1922" s="84" t="str">
        <x:f>'Raw Sales'!A1922</x:f>
        <x:v>ORD-2025-00130</x:v>
      </x:c>
      <x:c r="B1922" s="85" t="n">
        <x:f>'Raw Sales'!B1922</x:f>
        <x:v>45912</x:v>
      </x:c>
      <x:c r="C1922" s="84" t="n">
        <x:f>YEAR(B1922)</x:f>
        <x:v>2025</x:v>
      </x:c>
      <x:c r="D1922" s="91" t="n">
        <x:f>DATE(YEAR(B1922),MONTH(B1922),1)</x:f>
        <x:v>45901</x:v>
      </x:c>
      <x:c r="E1922" s="84" t="str">
        <x:f>TEXT(B1922,"mmm")</x:f>
        <x:v>Sep</x:v>
      </x:c>
      <x:c r="F1922" s="84" t="str">
        <x:f>'Raw Sales'!C1922</x:f>
        <x:v>CUST-0035</x:v>
      </x:c>
      <x:c r="G1922" s="84" t="str">
        <x:f>PROPER(TRIM('Raw Sales'!D1922))</x:f>
        <x:v>Nathan Ortiz</x:v>
      </x:c>
      <x:c r="H1922" s="84" t="str">
        <x:f>IF(TRIM('Raw Sales'!E1922)="","Unknown",PROPER(TRIM('Raw Sales'!E1922)))</x:f>
        <x:v>Corporate</x:v>
      </x:c>
      <x:c r="I1922" s="84" t="str">
        <x:f>PROPER(TRIM('Raw Sales'!F1922))</x:f>
        <x:v>Southeast</x:v>
      </x:c>
      <x:c r="J1922" s="84" t="str">
        <x:f>PROPER(TRIM('Raw Sales'!G1922))</x:f>
        <x:v>Charlotte</x:v>
      </x:c>
      <x:c r="K1922" s="84" t="str">
        <x:f>PROPER(TRIM('Raw Sales'!H1922))</x:f>
        <x:v>Retail Store</x:v>
      </x:c>
      <x:c r="L1922" s="84" t="str">
        <x:f>'Raw Sales'!I1922</x:f>
        <x:v>ELEC-003</x:v>
      </x:c>
      <x:c r="M1922" s="84" t="str">
        <x:f>IFERROR(VLOOKUP(L1922,'Reference Data'!$A$5:$F$40,2,FALSE),"Unknown Product")</x:f>
        <x:v>Bluetooth Speaker</x:v>
      </x:c>
      <x:c r="N1922" s="84" t="str">
        <x:f>IFERROR(VLOOKUP(L1922,'Reference Data'!$A$5:$F$40,3,FALSE),"Unknown")</x:f>
        <x:v>Electronics</x:v>
      </x:c>
      <x:c r="O1922" s="84" t="str">
        <x:f>IFERROR(VLOOKUP(L1922,'Reference Data'!$A$5:$F$40,4,FALSE),"Unknown")</x:f>
        <x:v>Audio</x:v>
      </x:c>
      <x:c r="P1922" s="92" t="n">
        <x:f>IFERROR(VLOOKUP(L1922,'Reference Data'!$A$5:$F$40,5,FALSE),0)</x:f>
        <x:v>89</x:v>
      </x:c>
      <x:c r="Q1922" s="92" t="n">
        <x:f>IFERROR(VLOOKUP(L1922,'Reference Data'!$A$5:$F$40,6,FALSE),0)</x:f>
        <x:v>44</x:v>
      </x:c>
      <x:c r="R1922" s="84" t="n">
        <x:f>'Raw Sales'!J1922</x:f>
        <x:v>8</x:v>
      </x:c>
      <x:c r="S1922" s="87" t="n">
        <x:f>'Raw Sales'!K1922</x:f>
        <x:v>0.05</x:v>
      </x:c>
      <x:c r="T1922" s="93" t="n">
        <x:f>P1922*R1922</x:f>
        <x:v>712</x:v>
      </x:c>
      <x:c r="U1922" s="93" t="n">
        <x:f>T1922*S1922</x:f>
        <x:v>35.6</x:v>
      </x:c>
      <x:c r="V1922" s="93" t="str">
        <x:f>PROPER(TRIM('Raw Sales'!L1922))</x:f>
        <x:v>Completed</x:v>
      </x:c>
      <x:c r="W1922" s="93" t="n">
        <x:f>IF(V1922="Returned",0,T1922-U1922)</x:f>
        <x:v>676.4</x:v>
      </x:c>
      <x:c r="X1922" s="93" t="n">
        <x:f>IF(V1922="Returned",Q1922*R1922*10%,Q1922*R1922)</x:f>
        <x:v>352</x:v>
      </x:c>
      <x:c r="Y1922" s="93" t="n">
        <x:f>W1922-X1922</x:f>
        <x:v>324.4</x:v>
      </x:c>
      <x:c r="Z1922" s="94" t="n">
        <x:f>IFERROR(Y1922/W1922,0)</x:f>
        <x:v>0.47959787108219987</x:v>
      </x:c>
      <x:c r="AA1922" s="84" t="str">
        <x:f>PROPER(TRIM('Raw Sales'!M1922))</x:f>
        <x:v>Debit Card</x:v>
      </x:c>
      <x:c r="AB1922" s="84" t="str">
        <x:f>PROPER(TRIM('Raw Sales'!N1922))</x:f>
        <x:v>Ava Mitchell</x:v>
      </x:c>
      <x:c r="AC1922" s="85" t="n">
        <x:f>'Raw Sales'!O1922</x:f>
        <x:v>45912</x:v>
      </x:c>
      <x:c r="AD1922" s="84" t="n">
        <x:f>AC1922-B1922</x:f>
        <x:v>0</x:v>
      </x:c>
      <x:c r="AE1922" s="84" t="str">
        <x:f>IF(COUNTIF($A$5:A1922,A1922)&gt;1,"Duplicate","Keep")</x:f>
        <x:v>Keep</x:v>
      </x:c>
      <x:c r="AF1922" s="84" t="str">
        <x:f>IF(OR(R1922&lt;=0,AC1922&lt;B1922,H1922="Unknown",M1922="Unknown Product"),"Review","Valid")</x:f>
        <x:v>Valid</x:v>
      </x:c>
      <x:c r="AG1922" s="84" t="n">
        <x:f>IF(AND(AE1922="Keep",AF1922="Valid"),1,0)</x:f>
        <x:v>1</x:v>
      </x:c>
      <x:c r="AH1922" s="84" t="n">
        <x:f>IF(AND(AG1922=1,OR('Dashboard'!$B$4="All",I1922='Dashboard'!$B$4),OR('Dashboard'!$E$4="All",N1922='Dashboard'!$E$4),OR('Dashboard'!$H$4="All",K1922='Dashboard'!$H$4),OR('Dashboard'!$K$4="All",C1922='Dashboard'!$K$4)),1,0)</x:f>
        <x:v>1</x:v>
      </x:c>
      <x:c r="AI1922" s="84" t="n">
        <x:f>IF(AND(AG1922=1,OR('Dashboard'!$B$4="All",I1922='Dashboard'!$B$4),OR('Dashboard'!$E$4="All",N1922='Dashboard'!$E$4),OR('Dashboard'!$H$4="All",K1922='Dashboard'!$H$4)),1,0)</x:f>
        <x:v>1</x:v>
      </x:c>
    </x:row>
    <x:row r="1923">
      <x:c r="A1923" s="84" t="str">
        <x:f>'Raw Sales'!A1923</x:f>
        <x:v>ORD-2025-01172</x:v>
      </x:c>
      <x:c r="B1923" s="85" t="n">
        <x:f>'Raw Sales'!B1923</x:f>
        <x:v>45912</x:v>
      </x:c>
      <x:c r="C1923" s="84" t="n">
        <x:f>YEAR(B1923)</x:f>
        <x:v>2025</x:v>
      </x:c>
      <x:c r="D1923" s="91" t="n">
        <x:f>DATE(YEAR(B1923),MONTH(B1923),1)</x:f>
        <x:v>45901</x:v>
      </x:c>
      <x:c r="E1923" s="84" t="str">
        <x:f>TEXT(B1923,"mmm")</x:f>
        <x:v>Sep</x:v>
      </x:c>
      <x:c r="F1923" s="84" t="str">
        <x:f>'Raw Sales'!C1923</x:f>
        <x:v>CUST-0322</x:v>
      </x:c>
      <x:c r="G1923" s="84" t="str">
        <x:f>PROPER(TRIM('Raw Sales'!D1923))</x:f>
        <x:v>Jasmine Khan</x:v>
      </x:c>
      <x:c r="H1923" s="84" t="str">
        <x:f>IF(TRIM('Raw Sales'!E1923)="","Unknown",PROPER(TRIM('Raw Sales'!E1923)))</x:f>
        <x:v>Corporate</x:v>
      </x:c>
      <x:c r="I1923" s="84" t="str">
        <x:f>PROPER(TRIM('Raw Sales'!F1923))</x:f>
        <x:v>Southeast</x:v>
      </x:c>
      <x:c r="J1923" s="84" t="str">
        <x:f>PROPER(TRIM('Raw Sales'!G1923))</x:f>
        <x:v>Atlanta</x:v>
      </x:c>
      <x:c r="K1923" s="84" t="str">
        <x:f>PROPER(TRIM('Raw Sales'!H1923))</x:f>
        <x:v>Retail Store</x:v>
      </x:c>
      <x:c r="L1923" s="84" t="str">
        <x:f>'Raw Sales'!I1923</x:f>
        <x:v>OFFC-003</x:v>
      </x:c>
      <x:c r="M1923" s="84" t="str">
        <x:f>IFERROR(VLOOKUP(L1923,'Reference Data'!$A$5:$F$40,2,FALSE),"Unknown Product")</x:f>
        <x:v>LED Desk Lamp</x:v>
      </x:c>
      <x:c r="N1923" s="84" t="str">
        <x:f>IFERROR(VLOOKUP(L1923,'Reference Data'!$A$5:$F$40,3,FALSE),"Unknown")</x:f>
        <x:v>Office</x:v>
      </x:c>
      <x:c r="O1923" s="84" t="str">
        <x:f>IFERROR(VLOOKUP(L1923,'Reference Data'!$A$5:$F$40,4,FALSE),"Unknown")</x:f>
        <x:v>Desk Accessories</x:v>
      </x:c>
      <x:c r="P1923" s="92" t="n">
        <x:f>IFERROR(VLOOKUP(L1923,'Reference Data'!$A$5:$F$40,5,FALSE),0)</x:f>
        <x:v>45</x:v>
      </x:c>
      <x:c r="Q1923" s="92" t="n">
        <x:f>IFERROR(VLOOKUP(L1923,'Reference Data'!$A$5:$F$40,6,FALSE),0)</x:f>
        <x:v>20</x:v>
      </x:c>
      <x:c r="R1923" s="84" t="n">
        <x:f>'Raw Sales'!J1923</x:f>
        <x:v>4</x:v>
      </x:c>
      <x:c r="S1923" s="87" t="n">
        <x:f>'Raw Sales'!K1923</x:f>
        <x:v>0</x:v>
      </x:c>
      <x:c r="T1923" s="93" t="n">
        <x:f>P1923*R1923</x:f>
        <x:v>180</x:v>
      </x:c>
      <x:c r="U1923" s="93" t="n">
        <x:f>T1923*S1923</x:f>
        <x:v>0</x:v>
      </x:c>
      <x:c r="V1923" s="93" t="str">
        <x:f>PROPER(TRIM('Raw Sales'!L1923))</x:f>
        <x:v>Completed</x:v>
      </x:c>
      <x:c r="W1923" s="93" t="n">
        <x:f>IF(V1923="Returned",0,T1923-U1923)</x:f>
        <x:v>180</x:v>
      </x:c>
      <x:c r="X1923" s="93" t="n">
        <x:f>IF(V1923="Returned",Q1923*R1923*10%,Q1923*R1923)</x:f>
        <x:v>80</x:v>
      </x:c>
      <x:c r="Y1923" s="93" t="n">
        <x:f>W1923-X1923</x:f>
        <x:v>100</x:v>
      </x:c>
      <x:c r="Z1923" s="94" t="n">
        <x:f>IFERROR(Y1923/W1923,0)</x:f>
        <x:v>0.5555555555555556</x:v>
      </x:c>
      <x:c r="AA1923" s="84" t="str">
        <x:f>PROPER(TRIM('Raw Sales'!M1923))</x:f>
        <x:v>Cash</x:v>
      </x:c>
      <x:c r="AB1923" s="84" t="str">
        <x:f>PROPER(TRIM('Raw Sales'!N1923))</x:f>
        <x:v>Ava Mitchell</x:v>
      </x:c>
      <x:c r="AC1923" s="85" t="n">
        <x:f>'Raw Sales'!O1923</x:f>
        <x:v>45912</x:v>
      </x:c>
      <x:c r="AD1923" s="84" t="n">
        <x:f>AC1923-B1923</x:f>
        <x:v>0</x:v>
      </x:c>
      <x:c r="AE1923" s="84" t="str">
        <x:f>IF(COUNTIF($A$5:A1923,A1923)&gt;1,"Duplicate","Keep")</x:f>
        <x:v>Keep</x:v>
      </x:c>
      <x:c r="AF1923" s="84" t="str">
        <x:f>IF(OR(R1923&lt;=0,AC1923&lt;B1923,H1923="Unknown",M1923="Unknown Product"),"Review","Valid")</x:f>
        <x:v>Valid</x:v>
      </x:c>
      <x:c r="AG1923" s="84" t="n">
        <x:f>IF(AND(AE1923="Keep",AF1923="Valid"),1,0)</x:f>
        <x:v>1</x:v>
      </x:c>
      <x:c r="AH1923" s="84" t="n">
        <x:f>IF(AND(AG1923=1,OR('Dashboard'!$B$4="All",I1923='Dashboard'!$B$4),OR('Dashboard'!$E$4="All",N1923='Dashboard'!$E$4),OR('Dashboard'!$H$4="All",K1923='Dashboard'!$H$4),OR('Dashboard'!$K$4="All",C1923='Dashboard'!$K$4)),1,0)</x:f>
        <x:v>1</x:v>
      </x:c>
      <x:c r="AI1923" s="84" t="n">
        <x:f>IF(AND(AG1923=1,OR('Dashboard'!$B$4="All",I1923='Dashboard'!$B$4),OR('Dashboard'!$E$4="All",N1923='Dashboard'!$E$4),OR('Dashboard'!$H$4="All",K1923='Dashboard'!$H$4)),1,0)</x:f>
        <x:v>1</x:v>
      </x:c>
    </x:row>
    <x:row r="1924">
      <x:c r="A1924" s="84" t="str">
        <x:f>'Raw Sales'!A1924</x:f>
        <x:v>ORD-2025-01608</x:v>
      </x:c>
      <x:c r="B1924" s="85" t="n">
        <x:f>'Raw Sales'!B1924</x:f>
        <x:v>45912</x:v>
      </x:c>
      <x:c r="C1924" s="84" t="n">
        <x:f>YEAR(B1924)</x:f>
        <x:v>2025</x:v>
      </x:c>
      <x:c r="D1924" s="91" t="n">
        <x:f>DATE(YEAR(B1924),MONTH(B1924),1)</x:f>
        <x:v>45901</x:v>
      </x:c>
      <x:c r="E1924" s="84" t="str">
        <x:f>TEXT(B1924,"mmm")</x:f>
        <x:v>Sep</x:v>
      </x:c>
      <x:c r="F1924" s="84" t="str">
        <x:f>'Raw Sales'!C1924</x:f>
        <x:v>CUST-0252</x:v>
      </x:c>
      <x:c r="G1924" s="84" t="str">
        <x:f>PROPER(TRIM('Raw Sales'!D1924))</x:f>
        <x:v>Theo Carter</x:v>
      </x:c>
      <x:c r="H1924" s="84" t="str">
        <x:f>IF(TRIM('Raw Sales'!E1924)="","Unknown",PROPER(TRIM('Raw Sales'!E1924)))</x:f>
        <x:v>Consumer</x:v>
      </x:c>
      <x:c r="I1924" s="84" t="str">
        <x:f>PROPER(TRIM('Raw Sales'!F1924))</x:f>
        <x:v>Midwest</x:v>
      </x:c>
      <x:c r="J1924" s="84" t="str">
        <x:f>PROPER(TRIM('Raw Sales'!G1924))</x:f>
        <x:v>Columbus</x:v>
      </x:c>
      <x:c r="K1924" s="84" t="str">
        <x:f>PROPER(TRIM('Raw Sales'!H1924))</x:f>
        <x:v>Marketplace</x:v>
      </x:c>
      <x:c r="L1924" s="84" t="str">
        <x:f>'Raw Sales'!I1924</x:f>
        <x:v>OFFC-002</x:v>
      </x:c>
      <x:c r="M1924" s="84" t="str">
        <x:f>IFERROR(VLOOKUP(L1924,'Reference Data'!$A$5:$F$40,2,FALSE),"Unknown Product")</x:f>
        <x:v>Standing Desk</x:v>
      </x:c>
      <x:c r="N1924" s="84" t="str">
        <x:f>IFERROR(VLOOKUP(L1924,'Reference Data'!$A$5:$F$40,3,FALSE),"Unknown")</x:f>
        <x:v>Office</x:v>
      </x:c>
      <x:c r="O1924" s="84" t="str">
        <x:f>IFERROR(VLOOKUP(L1924,'Reference Data'!$A$5:$F$40,4,FALSE),"Unknown")</x:f>
        <x:v>Furniture</x:v>
      </x:c>
      <x:c r="P1924" s="92" t="n">
        <x:f>IFERROR(VLOOKUP(L1924,'Reference Data'!$A$5:$F$40,5,FALSE),0)</x:f>
        <x:v>399</x:v>
      </x:c>
      <x:c r="Q1924" s="92" t="n">
        <x:f>IFERROR(VLOOKUP(L1924,'Reference Data'!$A$5:$F$40,6,FALSE),0)</x:f>
        <x:v>235</x:v>
      </x:c>
      <x:c r="R1924" s="84" t="n">
        <x:f>'Raw Sales'!J1924</x:f>
        <x:v>1</x:v>
      </x:c>
      <x:c r="S1924" s="87" t="n">
        <x:f>'Raw Sales'!K1924</x:f>
        <x:v>0.1</x:v>
      </x:c>
      <x:c r="T1924" s="93" t="n">
        <x:f>P1924*R1924</x:f>
        <x:v>399</x:v>
      </x:c>
      <x:c r="U1924" s="93" t="n">
        <x:f>T1924*S1924</x:f>
        <x:v>39.900000000000006</x:v>
      </x:c>
      <x:c r="V1924" s="93" t="str">
        <x:f>PROPER(TRIM('Raw Sales'!L1924))</x:f>
        <x:v>Completed</x:v>
      </x:c>
      <x:c r="W1924" s="93" t="n">
        <x:f>IF(V1924="Returned",0,T1924-U1924)</x:f>
        <x:v>359.1</x:v>
      </x:c>
      <x:c r="X1924" s="93" t="n">
        <x:f>IF(V1924="Returned",Q1924*R1924*10%,Q1924*R1924)</x:f>
        <x:v>235</x:v>
      </x:c>
      <x:c r="Y1924" s="93" t="n">
        <x:f>W1924-X1924</x:f>
        <x:v>124.10000000000002</x:v>
      </x:c>
      <x:c r="Z1924" s="94" t="n">
        <x:f>IFERROR(Y1924/W1924,0)</x:f>
        <x:v>0.3455861876914509</x:v>
      </x:c>
      <x:c r="AA1924" s="84" t="str">
        <x:f>PROPER(TRIM('Raw Sales'!M1924))</x:f>
        <x:v>Mobile Wallet</x:v>
      </x:c>
      <x:c r="AB1924" s="84" t="str">
        <x:f>PROPER(TRIM('Raw Sales'!N1924))</x:f>
        <x:v>Emma Hayes</x:v>
      </x:c>
      <x:c r="AC1924" s="85" t="n">
        <x:f>'Raw Sales'!O1924</x:f>
        <x:v>45916</x:v>
      </x:c>
      <x:c r="AD1924" s="84" t="n">
        <x:f>AC1924-B1924</x:f>
        <x:v>4</x:v>
      </x:c>
      <x:c r="AE1924" s="84" t="str">
        <x:f>IF(COUNTIF($A$5:A1924,A1924)&gt;1,"Duplicate","Keep")</x:f>
        <x:v>Keep</x:v>
      </x:c>
      <x:c r="AF1924" s="84" t="str">
        <x:f>IF(OR(R1924&lt;=0,AC1924&lt;B1924,H1924="Unknown",M1924="Unknown Product"),"Review","Valid")</x:f>
        <x:v>Valid</x:v>
      </x:c>
      <x:c r="AG1924" s="84" t="n">
        <x:f>IF(AND(AE1924="Keep",AF1924="Valid"),1,0)</x:f>
        <x:v>1</x:v>
      </x:c>
      <x:c r="AH1924" s="84" t="n">
        <x:f>IF(AND(AG1924=1,OR('Dashboard'!$B$4="All",I1924='Dashboard'!$B$4),OR('Dashboard'!$E$4="All",N1924='Dashboard'!$E$4),OR('Dashboard'!$H$4="All",K1924='Dashboard'!$H$4),OR('Dashboard'!$K$4="All",C1924='Dashboard'!$K$4)),1,0)</x:f>
        <x:v>1</x:v>
      </x:c>
      <x:c r="AI1924" s="84" t="n">
        <x:f>IF(AND(AG1924=1,OR('Dashboard'!$B$4="All",I1924='Dashboard'!$B$4),OR('Dashboard'!$E$4="All",N1924='Dashboard'!$E$4),OR('Dashboard'!$H$4="All",K1924='Dashboard'!$H$4)),1,0)</x:f>
        <x:v>1</x:v>
      </x:c>
    </x:row>
    <x:row r="1925">
      <x:c r="A1925" s="84" t="str">
        <x:f>'Raw Sales'!A1925</x:f>
        <x:v>ORD-2025-01954</x:v>
      </x:c>
      <x:c r="B1925" s="85" t="n">
        <x:f>'Raw Sales'!B1925</x:f>
        <x:v>45912</x:v>
      </x:c>
      <x:c r="C1925" s="84" t="n">
        <x:f>YEAR(B1925)</x:f>
        <x:v>2025</x:v>
      </x:c>
      <x:c r="D1925" s="91" t="n">
        <x:f>DATE(YEAR(B1925),MONTH(B1925),1)</x:f>
        <x:v>45901</x:v>
      </x:c>
      <x:c r="E1925" s="84" t="str">
        <x:f>TEXT(B1925,"mmm")</x:f>
        <x:v>Sep</x:v>
      </x:c>
      <x:c r="F1925" s="84" t="str">
        <x:f>'Raw Sales'!C1925</x:f>
        <x:v>CUST-0456</x:v>
      </x:c>
      <x:c r="G1925" s="84" t="str">
        <x:f>PROPER(TRIM('Raw Sales'!D1925))</x:f>
        <x:v>Elias Carter</x:v>
      </x:c>
      <x:c r="H1925" s="84" t="str">
        <x:f>IF(TRIM('Raw Sales'!E1925)="","Unknown",PROPER(TRIM('Raw Sales'!E1925)))</x:f>
        <x:v>Consumer</x:v>
      </x:c>
      <x:c r="I1925" s="84" t="str">
        <x:f>PROPER(TRIM('Raw Sales'!F1925))</x:f>
        <x:v>Northeast</x:v>
      </x:c>
      <x:c r="J1925" s="84" t="str">
        <x:f>PROPER(TRIM('Raw Sales'!G1925))</x:f>
        <x:v>Boston</x:v>
      </x:c>
      <x:c r="K1925" s="84" t="str">
        <x:f>PROPER(TRIM('Raw Sales'!H1925))</x:f>
        <x:v>Retail Store</x:v>
      </x:c>
      <x:c r="L1925" s="84" t="str">
        <x:f>'Raw Sales'!I1925</x:f>
        <x:v>OFFC-002</x:v>
      </x:c>
      <x:c r="M1925" s="84" t="str">
        <x:f>IFERROR(VLOOKUP(L1925,'Reference Data'!$A$5:$F$40,2,FALSE),"Unknown Product")</x:f>
        <x:v>Standing Desk</x:v>
      </x:c>
      <x:c r="N1925" s="84" t="str">
        <x:f>IFERROR(VLOOKUP(L1925,'Reference Data'!$A$5:$F$40,3,FALSE),"Unknown")</x:f>
        <x:v>Office</x:v>
      </x:c>
      <x:c r="O1925" s="84" t="str">
        <x:f>IFERROR(VLOOKUP(L1925,'Reference Data'!$A$5:$F$40,4,FALSE),"Unknown")</x:f>
        <x:v>Furniture</x:v>
      </x:c>
      <x:c r="P1925" s="92" t="n">
        <x:f>IFERROR(VLOOKUP(L1925,'Reference Data'!$A$5:$F$40,5,FALSE),0)</x:f>
        <x:v>399</x:v>
      </x:c>
      <x:c r="Q1925" s="92" t="n">
        <x:f>IFERROR(VLOOKUP(L1925,'Reference Data'!$A$5:$F$40,6,FALSE),0)</x:f>
        <x:v>235</x:v>
      </x:c>
      <x:c r="R1925" s="84" t="n">
        <x:f>'Raw Sales'!J1925</x:f>
        <x:v>1</x:v>
      </x:c>
      <x:c r="S1925" s="87" t="n">
        <x:f>'Raw Sales'!K1925</x:f>
        <x:v>0.05</x:v>
      </x:c>
      <x:c r="T1925" s="93" t="n">
        <x:f>P1925*R1925</x:f>
        <x:v>399</x:v>
      </x:c>
      <x:c r="U1925" s="93" t="n">
        <x:f>T1925*S1925</x:f>
        <x:v>19.950000000000003</x:v>
      </x:c>
      <x:c r="V1925" s="93" t="str">
        <x:f>PROPER(TRIM('Raw Sales'!L1925))</x:f>
        <x:v>Completed</x:v>
      </x:c>
      <x:c r="W1925" s="93" t="n">
        <x:f>IF(V1925="Returned",0,T1925-U1925)</x:f>
        <x:v>379.05</x:v>
      </x:c>
      <x:c r="X1925" s="93" t="n">
        <x:f>IF(V1925="Returned",Q1925*R1925*10%,Q1925*R1925)</x:f>
        <x:v>235</x:v>
      </x:c>
      <x:c r="Y1925" s="93" t="n">
        <x:f>W1925-X1925</x:f>
        <x:v>144.05</x:v>
      </x:c>
      <x:c r="Z1925" s="94" t="n">
        <x:f>IFERROR(Y1925/W1925,0)</x:f>
        <x:v>0.38002901991821664</x:v>
      </x:c>
      <x:c r="AA1925" s="84" t="str">
        <x:f>PROPER(TRIM('Raw Sales'!M1925))</x:f>
        <x:v>Credit Card</x:v>
      </x:c>
      <x:c r="AB1925" s="84" t="str">
        <x:f>PROPER(TRIM('Raw Sales'!N1925))</x:f>
        <x:v>Sofia Bennett</x:v>
      </x:c>
      <x:c r="AC1925" s="85" t="n">
        <x:f>'Raw Sales'!O1925</x:f>
        <x:v>45913</x:v>
      </x:c>
      <x:c r="AD1925" s="84" t="n">
        <x:f>AC1925-B1925</x:f>
        <x:v>1</x:v>
      </x:c>
      <x:c r="AE1925" s="84" t="str">
        <x:f>IF(COUNTIF($A$5:A1925,A1925)&gt;1,"Duplicate","Keep")</x:f>
        <x:v>Keep</x:v>
      </x:c>
      <x:c r="AF1925" s="84" t="str">
        <x:f>IF(OR(R1925&lt;=0,AC1925&lt;B1925,H1925="Unknown",M1925="Unknown Product"),"Review","Valid")</x:f>
        <x:v>Valid</x:v>
      </x:c>
      <x:c r="AG1925" s="84" t="n">
        <x:f>IF(AND(AE1925="Keep",AF1925="Valid"),1,0)</x:f>
        <x:v>1</x:v>
      </x:c>
      <x:c r="AH1925" s="84" t="n">
        <x:f>IF(AND(AG1925=1,OR('Dashboard'!$B$4="All",I1925='Dashboard'!$B$4),OR('Dashboard'!$E$4="All",N1925='Dashboard'!$E$4),OR('Dashboard'!$H$4="All",K1925='Dashboard'!$H$4),OR('Dashboard'!$K$4="All",C1925='Dashboard'!$K$4)),1,0)</x:f>
        <x:v>1</x:v>
      </x:c>
      <x:c r="AI1925" s="84" t="n">
        <x:f>IF(AND(AG1925=1,OR('Dashboard'!$B$4="All",I1925='Dashboard'!$B$4),OR('Dashboard'!$E$4="All",N1925='Dashboard'!$E$4),OR('Dashboard'!$H$4="All",K1925='Dashboard'!$H$4)),1,0)</x:f>
        <x:v>1</x:v>
      </x:c>
    </x:row>
    <x:row r="1926">
      <x:c r="A1926" s="84" t="str">
        <x:f>'Raw Sales'!A1926</x:f>
        <x:v>ORD-2025-02311</x:v>
      </x:c>
      <x:c r="B1926" s="85" t="n">
        <x:f>'Raw Sales'!B1926</x:f>
        <x:v>45912</x:v>
      </x:c>
      <x:c r="C1926" s="84" t="n">
        <x:f>YEAR(B1926)</x:f>
        <x:v>2025</x:v>
      </x:c>
      <x:c r="D1926" s="91" t="n">
        <x:f>DATE(YEAR(B1926),MONTH(B1926),1)</x:f>
        <x:v>45901</x:v>
      </x:c>
      <x:c r="E1926" s="84" t="str">
        <x:f>TEXT(B1926,"mmm")</x:f>
        <x:v>Sep</x:v>
      </x:c>
      <x:c r="F1926" s="84" t="str">
        <x:f>'Raw Sales'!C1926</x:f>
        <x:v>CUST-0088</x:v>
      </x:c>
      <x:c r="G1926" s="84" t="str">
        <x:f>PROPER(TRIM('Raw Sales'!D1926))</x:f>
        <x:v>Jasmine Khan</x:v>
      </x:c>
      <x:c r="H1926" s="84" t="str">
        <x:f>IF(TRIM('Raw Sales'!E1926)="","Unknown",PROPER(TRIM('Raw Sales'!E1926)))</x:f>
        <x:v>Consumer</x:v>
      </x:c>
      <x:c r="I1926" s="84" t="str">
        <x:f>PROPER(TRIM('Raw Sales'!F1926))</x:f>
        <x:v>Northeast</x:v>
      </x:c>
      <x:c r="J1926" s="84" t="str">
        <x:f>PROPER(TRIM('Raw Sales'!G1926))</x:f>
        <x:v>Boston</x:v>
      </x:c>
      <x:c r="K1926" s="84" t="str">
        <x:f>PROPER(TRIM('Raw Sales'!H1926))</x:f>
        <x:v>Retail Store</x:v>
      </x:c>
      <x:c r="L1926" s="84" t="str">
        <x:f>'Raw Sales'!I1926</x:f>
        <x:v>OFFC-005</x:v>
      </x:c>
      <x:c r="M1926" s="84" t="str">
        <x:f>IFERROR(VLOOKUP(L1926,'Reference Data'!$A$5:$F$40,2,FALSE),"Unknown Product")</x:f>
        <x:v>Wireless Keyboard</x:v>
      </x:c>
      <x:c r="N1926" s="84" t="str">
        <x:f>IFERROR(VLOOKUP(L1926,'Reference Data'!$A$5:$F$40,3,FALSE),"Unknown")</x:f>
        <x:v>Office</x:v>
      </x:c>
      <x:c r="O1926" s="84" t="str">
        <x:f>IFERROR(VLOOKUP(L1926,'Reference Data'!$A$5:$F$40,4,FALSE),"Unknown")</x:f>
        <x:v>Computer Accessories</x:v>
      </x:c>
      <x:c r="P1926" s="92" t="n">
        <x:f>IFERROR(VLOOKUP(L1926,'Reference Data'!$A$5:$F$40,5,FALSE),0)</x:f>
        <x:v>59</x:v>
      </x:c>
      <x:c r="Q1926" s="92" t="n">
        <x:f>IFERROR(VLOOKUP(L1926,'Reference Data'!$A$5:$F$40,6,FALSE),0)</x:f>
        <x:v>28</x:v>
      </x:c>
      <x:c r="R1926" s="84" t="n">
        <x:f>'Raw Sales'!J1926</x:f>
        <x:v>2</x:v>
      </x:c>
      <x:c r="S1926" s="87" t="n">
        <x:f>'Raw Sales'!K1926</x:f>
        <x:v>0.05</x:v>
      </x:c>
      <x:c r="T1926" s="93" t="n">
        <x:f>P1926*R1926</x:f>
        <x:v>118</x:v>
      </x:c>
      <x:c r="U1926" s="93" t="n">
        <x:f>T1926*S1926</x:f>
        <x:v>5.9</x:v>
      </x:c>
      <x:c r="V1926" s="93" t="str">
        <x:f>PROPER(TRIM('Raw Sales'!L1926))</x:f>
        <x:v>Completed</x:v>
      </x:c>
      <x:c r="W1926" s="93" t="n">
        <x:f>IF(V1926="Returned",0,T1926-U1926)</x:f>
        <x:v>112.1</x:v>
      </x:c>
      <x:c r="X1926" s="93" t="n">
        <x:f>IF(V1926="Returned",Q1926*R1926*10%,Q1926*R1926)</x:f>
        <x:v>56</x:v>
      </x:c>
      <x:c r="Y1926" s="93" t="n">
        <x:f>W1926-X1926</x:f>
        <x:v>56.099999999999994</x:v>
      </x:c>
      <x:c r="Z1926" s="94" t="n">
        <x:f>IFERROR(Y1926/W1926,0)</x:f>
        <x:v>0.5004460303300624</x:v>
      </x:c>
      <x:c r="AA1926" s="84" t="str">
        <x:f>PROPER(TRIM('Raw Sales'!M1926))</x:f>
        <x:v>Debit Card</x:v>
      </x:c>
      <x:c r="AB1926" s="84" t="str">
        <x:f>PROPER(TRIM('Raw Sales'!N1926))</x:f>
        <x:v>Sofia Bennett</x:v>
      </x:c>
      <x:c r="AC1926" s="85" t="n">
        <x:f>'Raw Sales'!O1926</x:f>
        <x:v>45912</x:v>
      </x:c>
      <x:c r="AD1926" s="84" t="n">
        <x:f>AC1926-B1926</x:f>
        <x:v>0</x:v>
      </x:c>
      <x:c r="AE1926" s="84" t="str">
        <x:f>IF(COUNTIF($A$5:A1926,A1926)&gt;1,"Duplicate","Keep")</x:f>
        <x:v>Keep</x:v>
      </x:c>
      <x:c r="AF1926" s="84" t="str">
        <x:f>IF(OR(R1926&lt;=0,AC1926&lt;B1926,H1926="Unknown",M1926="Unknown Product"),"Review","Valid")</x:f>
        <x:v>Valid</x:v>
      </x:c>
      <x:c r="AG1926" s="84" t="n">
        <x:f>IF(AND(AE1926="Keep",AF1926="Valid"),1,0)</x:f>
        <x:v>1</x:v>
      </x:c>
      <x:c r="AH1926" s="84" t="n">
        <x:f>IF(AND(AG1926=1,OR('Dashboard'!$B$4="All",I1926='Dashboard'!$B$4),OR('Dashboard'!$E$4="All",N1926='Dashboard'!$E$4),OR('Dashboard'!$H$4="All",K1926='Dashboard'!$H$4),OR('Dashboard'!$K$4="All",C1926='Dashboard'!$K$4)),1,0)</x:f>
        <x:v>1</x:v>
      </x:c>
      <x:c r="AI1926" s="84" t="n">
        <x:f>IF(AND(AG1926=1,OR('Dashboard'!$B$4="All",I1926='Dashboard'!$B$4),OR('Dashboard'!$E$4="All",N1926='Dashboard'!$E$4),OR('Dashboard'!$H$4="All",K1926='Dashboard'!$H$4)),1,0)</x:f>
        <x:v>1</x:v>
      </x:c>
    </x:row>
    <x:row r="1927">
      <x:c r="A1927" s="84" t="str">
        <x:f>'Raw Sales'!A1927</x:f>
        <x:v>ORD-2025-00159</x:v>
      </x:c>
      <x:c r="B1927" s="85" t="n">
        <x:f>'Raw Sales'!B1927</x:f>
        <x:v>45913</x:v>
      </x:c>
      <x:c r="C1927" s="84" t="n">
        <x:f>YEAR(B1927)</x:f>
        <x:v>2025</x:v>
      </x:c>
      <x:c r="D1927" s="91" t="n">
        <x:f>DATE(YEAR(B1927),MONTH(B1927),1)</x:f>
        <x:v>45901</x:v>
      </x:c>
      <x:c r="E1927" s="84" t="str">
        <x:f>TEXT(B1927,"mmm")</x:f>
        <x:v>Sep</x:v>
      </x:c>
      <x:c r="F1927" s="84" t="str">
        <x:f>'Raw Sales'!C1927</x:f>
        <x:v>CUST-0262</x:v>
      </x:c>
      <x:c r="G1927" s="84" t="str">
        <x:f>PROPER(TRIM('Raw Sales'!D1927))</x:f>
        <x:v>Owen Carter</x:v>
      </x:c>
      <x:c r="H1927" s="84" t="str">
        <x:f>IF(TRIM('Raw Sales'!E1927)="","Unknown",PROPER(TRIM('Raw Sales'!E1927)))</x:f>
        <x:v>Small Business</x:v>
      </x:c>
      <x:c r="I1927" s="84" t="str">
        <x:f>PROPER(TRIM('Raw Sales'!F1927))</x:f>
        <x:v>Northeast</x:v>
      </x:c>
      <x:c r="J1927" s="84" t="str">
        <x:f>PROPER(TRIM('Raw Sales'!G1927))</x:f>
        <x:v>New York</x:v>
      </x:c>
      <x:c r="K1927" s="84" t="str">
        <x:f>PROPER(TRIM('Raw Sales'!H1927))</x:f>
        <x:v>Online</x:v>
      </x:c>
      <x:c r="L1927" s="84" t="str">
        <x:f>'Raw Sales'!I1927</x:f>
        <x:v>CARE-006</x:v>
      </x:c>
      <x:c r="M1927" s="84" t="str">
        <x:f>IFERROR(VLOOKUP(L1927,'Reference Data'!$A$5:$F$40,2,FALSE),"Unknown Product")</x:f>
        <x:v>Percussion Massage Gun</x:v>
      </x:c>
      <x:c r="N1927" s="84" t="str">
        <x:f>IFERROR(VLOOKUP(L1927,'Reference Data'!$A$5:$F$40,3,FALSE),"Unknown")</x:f>
        <x:v>Personal Care</x:v>
      </x:c>
      <x:c r="O1927" s="84" t="str">
        <x:f>IFERROR(VLOOKUP(L1927,'Reference Data'!$A$5:$F$40,4,FALSE),"Unknown")</x:f>
        <x:v>Wellness</x:v>
      </x:c>
      <x:c r="P1927" s="92" t="n">
        <x:f>IFERROR(VLOOKUP(L1927,'Reference Data'!$A$5:$F$40,5,FALSE),0)</x:f>
        <x:v>129</x:v>
      </x:c>
      <x:c r="Q1927" s="92" t="n">
        <x:f>IFERROR(VLOOKUP(L1927,'Reference Data'!$A$5:$F$40,6,FALSE),0)</x:f>
        <x:v>70</x:v>
      </x:c>
      <x:c r="R1927" s="84" t="n">
        <x:f>'Raw Sales'!J1927</x:f>
        <x:v>1</x:v>
      </x:c>
      <x:c r="S1927" s="87" t="n">
        <x:f>'Raw Sales'!K1927</x:f>
        <x:v>0.05</x:v>
      </x:c>
      <x:c r="T1927" s="93" t="n">
        <x:f>P1927*R1927</x:f>
        <x:v>129</x:v>
      </x:c>
      <x:c r="U1927" s="93" t="n">
        <x:f>T1927*S1927</x:f>
        <x:v>6.45</x:v>
      </x:c>
      <x:c r="V1927" s="93" t="str">
        <x:f>PROPER(TRIM('Raw Sales'!L1927))</x:f>
        <x:v>Completed</x:v>
      </x:c>
      <x:c r="W1927" s="93" t="n">
        <x:f>IF(V1927="Returned",0,T1927-U1927)</x:f>
        <x:v>122.55</x:v>
      </x:c>
      <x:c r="X1927" s="93" t="n">
        <x:f>IF(V1927="Returned",Q1927*R1927*10%,Q1927*R1927)</x:f>
        <x:v>70</x:v>
      </x:c>
      <x:c r="Y1927" s="93" t="n">
        <x:f>W1927-X1927</x:f>
        <x:v>52.55</x:v>
      </x:c>
      <x:c r="Z1927" s="94" t="n">
        <x:f>IFERROR(Y1927/W1927,0)</x:f>
        <x:v>0.4288045695634435</x:v>
      </x:c>
      <x:c r="AA1927" s="84" t="str">
        <x:f>PROPER(TRIM('Raw Sales'!M1927))</x:f>
        <x:v>Mobile Wallet</x:v>
      </x:c>
      <x:c r="AB1927" s="84" t="str">
        <x:f>PROPER(TRIM('Raw Sales'!N1927))</x:f>
        <x:v>Sofia Bennett</x:v>
      </x:c>
      <x:c r="AC1927" s="85" t="n">
        <x:f>'Raw Sales'!O1927</x:f>
        <x:v>45918</x:v>
      </x:c>
      <x:c r="AD1927" s="84" t="n">
        <x:f>AC1927-B1927</x:f>
        <x:v>5</x:v>
      </x:c>
      <x:c r="AE1927" s="84" t="str">
        <x:f>IF(COUNTIF($A$5:A1927,A1927)&gt;1,"Duplicate","Keep")</x:f>
        <x:v>Keep</x:v>
      </x:c>
      <x:c r="AF1927" s="84" t="str">
        <x:f>IF(OR(R1927&lt;=0,AC1927&lt;B1927,H1927="Unknown",M1927="Unknown Product"),"Review","Valid")</x:f>
        <x:v>Valid</x:v>
      </x:c>
      <x:c r="AG1927" s="84" t="n">
        <x:f>IF(AND(AE1927="Keep",AF1927="Valid"),1,0)</x:f>
        <x:v>1</x:v>
      </x:c>
      <x:c r="AH1927" s="84" t="n">
        <x:f>IF(AND(AG1927=1,OR('Dashboard'!$B$4="All",I1927='Dashboard'!$B$4),OR('Dashboard'!$E$4="All",N1927='Dashboard'!$E$4),OR('Dashboard'!$H$4="All",K1927='Dashboard'!$H$4),OR('Dashboard'!$K$4="All",C1927='Dashboard'!$K$4)),1,0)</x:f>
        <x:v>1</x:v>
      </x:c>
      <x:c r="AI1927" s="84" t="n">
        <x:f>IF(AND(AG1927=1,OR('Dashboard'!$B$4="All",I1927='Dashboard'!$B$4),OR('Dashboard'!$E$4="All",N1927='Dashboard'!$E$4),OR('Dashboard'!$H$4="All",K1927='Dashboard'!$H$4)),1,0)</x:f>
        <x:v>1</x:v>
      </x:c>
    </x:row>
    <x:row r="1928">
      <x:c r="A1928" s="84" t="str">
        <x:f>'Raw Sales'!A1928</x:f>
        <x:v>ORD-2025-00898</x:v>
      </x:c>
      <x:c r="B1928" s="85" t="n">
        <x:f>'Raw Sales'!B1928</x:f>
        <x:v>45913</x:v>
      </x:c>
      <x:c r="C1928" s="84" t="n">
        <x:f>YEAR(B1928)</x:f>
        <x:v>2025</x:v>
      </x:c>
      <x:c r="D1928" s="91" t="n">
        <x:f>DATE(YEAR(B1928),MONTH(B1928),1)</x:f>
        <x:v>45901</x:v>
      </x:c>
      <x:c r="E1928" s="84" t="str">
        <x:f>TEXT(B1928,"mmm")</x:f>
        <x:v>Sep</x:v>
      </x:c>
      <x:c r="F1928" s="84" t="str">
        <x:f>'Raw Sales'!C1928</x:f>
        <x:v>CUST-0105</x:v>
      </x:c>
      <x:c r="G1928" s="84" t="str">
        <x:f>PROPER(TRIM('Raw Sales'!D1928))</x:f>
        <x:v>Chloe Ortiz</x:v>
      </x:c>
      <x:c r="H1928" s="84" t="str">
        <x:f>IF(TRIM('Raw Sales'!E1928)="","Unknown",PROPER(TRIM('Raw Sales'!E1928)))</x:f>
        <x:v>Corporate</x:v>
      </x:c>
      <x:c r="I1928" s="84" t="str">
        <x:f>PROPER(TRIM('Raw Sales'!F1928))</x:f>
        <x:v>West</x:v>
      </x:c>
      <x:c r="J1928" s="84" t="str">
        <x:f>PROPER(TRIM('Raw Sales'!G1928))</x:f>
        <x:v>Phoenix</x:v>
      </x:c>
      <x:c r="K1928" s="84" t="str">
        <x:f>PROPER(TRIM('Raw Sales'!H1928))</x:f>
        <x:v>Marketplace</x:v>
      </x:c>
      <x:c r="L1928" s="84" t="str">
        <x:f>'Raw Sales'!I1928</x:f>
        <x:v>FITN-006</x:v>
      </x:c>
      <x:c r="M1928" s="84" t="str">
        <x:f>IFERROR(VLOOKUP(L1928,'Reference Data'!$A$5:$F$40,2,FALSE),"Unknown Product")</x:f>
        <x:v>Foam Roller</x:v>
      </x:c>
      <x:c r="N1928" s="84" t="str">
        <x:f>IFERROR(VLOOKUP(L1928,'Reference Data'!$A$5:$F$40,3,FALSE),"Unknown")</x:f>
        <x:v>Fitness</x:v>
      </x:c>
      <x:c r="O1928" s="84" t="str">
        <x:f>IFERROR(VLOOKUP(L1928,'Reference Data'!$A$5:$F$40,4,FALSE),"Unknown")</x:f>
        <x:v>Recovery</x:v>
      </x:c>
      <x:c r="P1928" s="92" t="n">
        <x:f>IFERROR(VLOOKUP(L1928,'Reference Data'!$A$5:$F$40,5,FALSE),0)</x:f>
        <x:v>31</x:v>
      </x:c>
      <x:c r="Q1928" s="92" t="n">
        <x:f>IFERROR(VLOOKUP(L1928,'Reference Data'!$A$5:$F$40,6,FALSE),0)</x:f>
        <x:v>12</x:v>
      </x:c>
      <x:c r="R1928" s="84" t="n">
        <x:f>'Raw Sales'!J1928</x:f>
        <x:v>2</x:v>
      </x:c>
      <x:c r="S1928" s="87" t="n">
        <x:f>'Raw Sales'!K1928</x:f>
        <x:v>0.2</x:v>
      </x:c>
      <x:c r="T1928" s="93" t="n">
        <x:f>P1928*R1928</x:f>
        <x:v>62</x:v>
      </x:c>
      <x:c r="U1928" s="93" t="n">
        <x:f>T1928*S1928</x:f>
        <x:v>12.4</x:v>
      </x:c>
      <x:c r="V1928" s="93" t="str">
        <x:f>PROPER(TRIM('Raw Sales'!L1928))</x:f>
        <x:v>Completed</x:v>
      </x:c>
      <x:c r="W1928" s="93" t="n">
        <x:f>IF(V1928="Returned",0,T1928-U1928)</x:f>
        <x:v>49.6</x:v>
      </x:c>
      <x:c r="X1928" s="93" t="n">
        <x:f>IF(V1928="Returned",Q1928*R1928*10%,Q1928*R1928)</x:f>
        <x:v>24</x:v>
      </x:c>
      <x:c r="Y1928" s="93" t="n">
        <x:f>W1928-X1928</x:f>
        <x:v>25.6</x:v>
      </x:c>
      <x:c r="Z1928" s="94" t="n">
        <x:f>IFERROR(Y1928/W1928,0)</x:f>
        <x:v>0.5161290322580645</x:v>
      </x:c>
      <x:c r="AA1928" s="84" t="str">
        <x:f>PROPER(TRIM('Raw Sales'!M1928))</x:f>
        <x:v>Credit Card</x:v>
      </x:c>
      <x:c r="AB1928" s="84" t="str">
        <x:f>PROPER(TRIM('Raw Sales'!N1928))</x:f>
        <x:v>Nora Kim</x:v>
      </x:c>
      <x:c r="AC1928" s="85" t="n">
        <x:f>'Raw Sales'!O1928</x:f>
        <x:v>45918</x:v>
      </x:c>
      <x:c r="AD1928" s="84" t="n">
        <x:f>AC1928-B1928</x:f>
        <x:v>5</x:v>
      </x:c>
      <x:c r="AE1928" s="84" t="str">
        <x:f>IF(COUNTIF($A$5:A1928,A1928)&gt;1,"Duplicate","Keep")</x:f>
        <x:v>Keep</x:v>
      </x:c>
      <x:c r="AF1928" s="84" t="str">
        <x:f>IF(OR(R1928&lt;=0,AC1928&lt;B1928,H1928="Unknown",M1928="Unknown Product"),"Review","Valid")</x:f>
        <x:v>Valid</x:v>
      </x:c>
      <x:c r="AG1928" s="84" t="n">
        <x:f>IF(AND(AE1928="Keep",AF1928="Valid"),1,0)</x:f>
        <x:v>1</x:v>
      </x:c>
      <x:c r="AH1928" s="84" t="n">
        <x:f>IF(AND(AG1928=1,OR('Dashboard'!$B$4="All",I1928='Dashboard'!$B$4),OR('Dashboard'!$E$4="All",N1928='Dashboard'!$E$4),OR('Dashboard'!$H$4="All",K1928='Dashboard'!$H$4),OR('Dashboard'!$K$4="All",C1928='Dashboard'!$K$4)),1,0)</x:f>
        <x:v>1</x:v>
      </x:c>
      <x:c r="AI1928" s="84" t="n">
        <x:f>IF(AND(AG1928=1,OR('Dashboard'!$B$4="All",I1928='Dashboard'!$B$4),OR('Dashboard'!$E$4="All",N1928='Dashboard'!$E$4),OR('Dashboard'!$H$4="All",K1928='Dashboard'!$H$4)),1,0)</x:f>
        <x:v>1</x:v>
      </x:c>
    </x:row>
    <x:row r="1929">
      <x:c r="A1929" s="84" t="str">
        <x:f>'Raw Sales'!A1929</x:f>
        <x:v>ORD-2025-00980</x:v>
      </x:c>
      <x:c r="B1929" s="85" t="n">
        <x:f>'Raw Sales'!B1929</x:f>
        <x:v>45913</x:v>
      </x:c>
      <x:c r="C1929" s="84" t="n">
        <x:f>YEAR(B1929)</x:f>
        <x:v>2025</x:v>
      </x:c>
      <x:c r="D1929" s="91" t="n">
        <x:f>DATE(YEAR(B1929),MONTH(B1929),1)</x:f>
        <x:v>45901</x:v>
      </x:c>
      <x:c r="E1929" s="84" t="str">
        <x:f>TEXT(B1929,"mmm")</x:f>
        <x:v>Sep</x:v>
      </x:c>
      <x:c r="F1929" s="84" t="str">
        <x:f>'Raw Sales'!C1929</x:f>
        <x:v>CUST-0516</x:v>
      </x:c>
      <x:c r="G1929" s="84" t="str">
        <x:f>PROPER(TRIM('Raw Sales'!D1929))</x:f>
        <x:v>Jasmine Ortiz</x:v>
      </x:c>
      <x:c r="H1929" s="84" t="str">
        <x:f>IF(TRIM('Raw Sales'!E1929)="","Unknown",PROPER(TRIM('Raw Sales'!E1929)))</x:f>
        <x:v>Small Business</x:v>
      </x:c>
      <x:c r="I1929" s="84" t="str">
        <x:f>PROPER(TRIM('Raw Sales'!F1929))</x:f>
        <x:v>Southeast</x:v>
      </x:c>
      <x:c r="J1929" s="84" t="str">
        <x:f>PROPER(TRIM('Raw Sales'!G1929))</x:f>
        <x:v>Charlotte</x:v>
      </x:c>
      <x:c r="K1929" s="84" t="str">
        <x:f>PROPER(TRIM('Raw Sales'!H1929))</x:f>
        <x:v>Retail Store</x:v>
      </x:c>
      <x:c r="L1929" s="84" t="str">
        <x:f>'Raw Sales'!I1929</x:f>
        <x:v>OFFC-006</x:v>
      </x:c>
      <x:c r="M1929" s="84" t="str">
        <x:f>IFERROR(VLOOKUP(L1929,'Reference Data'!$A$5:$F$40,2,FALSE),"Unknown Product")</x:f>
        <x:v>Monitor Stand</x:v>
      </x:c>
      <x:c r="N1929" s="84" t="str">
        <x:f>IFERROR(VLOOKUP(L1929,'Reference Data'!$A$5:$F$40,3,FALSE),"Unknown")</x:f>
        <x:v>Office</x:v>
      </x:c>
      <x:c r="O1929" s="84" t="str">
        <x:f>IFERROR(VLOOKUP(L1929,'Reference Data'!$A$5:$F$40,4,FALSE),"Unknown")</x:f>
        <x:v>Desk Accessories</x:v>
      </x:c>
      <x:c r="P1929" s="92" t="n">
        <x:f>IFERROR(VLOOKUP(L1929,'Reference Data'!$A$5:$F$40,5,FALSE),0)</x:f>
        <x:v>49</x:v>
      </x:c>
      <x:c r="Q1929" s="92" t="n">
        <x:f>IFERROR(VLOOKUP(L1929,'Reference Data'!$A$5:$F$40,6,FALSE),0)</x:f>
        <x:v>21</x:v>
      </x:c>
      <x:c r="R1929" s="84" t="n">
        <x:f>'Raw Sales'!J1929</x:f>
        <x:v>1</x:v>
      </x:c>
      <x:c r="S1929" s="87" t="n">
        <x:f>'Raw Sales'!K1929</x:f>
        <x:v>0.1</x:v>
      </x:c>
      <x:c r="T1929" s="93" t="n">
        <x:f>P1929*R1929</x:f>
        <x:v>49</x:v>
      </x:c>
      <x:c r="U1929" s="93" t="n">
        <x:f>T1929*S1929</x:f>
        <x:v>4.9</x:v>
      </x:c>
      <x:c r="V1929" s="93" t="str">
        <x:f>PROPER(TRIM('Raw Sales'!L1929))</x:f>
        <x:v>Completed</x:v>
      </x:c>
      <x:c r="W1929" s="93" t="n">
        <x:f>IF(V1929="Returned",0,T1929-U1929)</x:f>
        <x:v>44.1</x:v>
      </x:c>
      <x:c r="X1929" s="93" t="n">
        <x:f>IF(V1929="Returned",Q1929*R1929*10%,Q1929*R1929)</x:f>
        <x:v>21</x:v>
      </x:c>
      <x:c r="Y1929" s="93" t="n">
        <x:f>W1929-X1929</x:f>
        <x:v>23.1</x:v>
      </x:c>
      <x:c r="Z1929" s="94" t="n">
        <x:f>IFERROR(Y1929/W1929,0)</x:f>
        <x:v>0.5238095238095238</x:v>
      </x:c>
      <x:c r="AA1929" s="84" t="str">
        <x:f>PROPER(TRIM('Raw Sales'!M1929))</x:f>
        <x:v>Credit Card</x:v>
      </x:c>
      <x:c r="AB1929" s="84" t="str">
        <x:f>PROPER(TRIM('Raw Sales'!N1929))</x:f>
        <x:v>Liam Parker</x:v>
      </x:c>
      <x:c r="AC1929" s="85" t="n">
        <x:f>'Raw Sales'!O1929</x:f>
        <x:v>45913</x:v>
      </x:c>
      <x:c r="AD1929" s="84" t="n">
        <x:f>AC1929-B1929</x:f>
        <x:v>0</x:v>
      </x:c>
      <x:c r="AE1929" s="84" t="str">
        <x:f>IF(COUNTIF($A$5:A1929,A1929)&gt;1,"Duplicate","Keep")</x:f>
        <x:v>Keep</x:v>
      </x:c>
      <x:c r="AF1929" s="84" t="str">
        <x:f>IF(OR(R1929&lt;=0,AC1929&lt;B1929,H1929="Unknown",M1929="Unknown Product"),"Review","Valid")</x:f>
        <x:v>Valid</x:v>
      </x:c>
      <x:c r="AG1929" s="84" t="n">
        <x:f>IF(AND(AE1929="Keep",AF1929="Valid"),1,0)</x:f>
        <x:v>1</x:v>
      </x:c>
      <x:c r="AH1929" s="84" t="n">
        <x:f>IF(AND(AG1929=1,OR('Dashboard'!$B$4="All",I1929='Dashboard'!$B$4),OR('Dashboard'!$E$4="All",N1929='Dashboard'!$E$4),OR('Dashboard'!$H$4="All",K1929='Dashboard'!$H$4),OR('Dashboard'!$K$4="All",C1929='Dashboard'!$K$4)),1,0)</x:f>
        <x:v>1</x:v>
      </x:c>
      <x:c r="AI1929" s="84" t="n">
        <x:f>IF(AND(AG1929=1,OR('Dashboard'!$B$4="All",I1929='Dashboard'!$B$4),OR('Dashboard'!$E$4="All",N1929='Dashboard'!$E$4),OR('Dashboard'!$H$4="All",K1929='Dashboard'!$H$4)),1,0)</x:f>
        <x:v>1</x:v>
      </x:c>
    </x:row>
    <x:row r="1930">
      <x:c r="A1930" s="84" t="str">
        <x:f>'Raw Sales'!A1930</x:f>
        <x:v>ORD-2025-01078</x:v>
      </x:c>
      <x:c r="B1930" s="85" t="n">
        <x:f>'Raw Sales'!B1930</x:f>
        <x:v>45913</x:v>
      </x:c>
      <x:c r="C1930" s="84" t="n">
        <x:f>YEAR(B1930)</x:f>
        <x:v>2025</x:v>
      </x:c>
      <x:c r="D1930" s="91" t="n">
        <x:f>DATE(YEAR(B1930),MONTH(B1930),1)</x:f>
        <x:v>45901</x:v>
      </x:c>
      <x:c r="E1930" s="84" t="str">
        <x:f>TEXT(B1930,"mmm")</x:f>
        <x:v>Sep</x:v>
      </x:c>
      <x:c r="F1930" s="84" t="str">
        <x:f>'Raw Sales'!C1930</x:f>
        <x:v>CUST-0317</x:v>
      </x:c>
      <x:c r="G1930" s="84" t="str">
        <x:f>PROPER(TRIM('Raw Sales'!D1930))</x:f>
        <x:v>Owen Garcia</x:v>
      </x:c>
      <x:c r="H1930" s="84" t="str">
        <x:f>IF(TRIM('Raw Sales'!E1930)="","Unknown",PROPER(TRIM('Raw Sales'!E1930)))</x:f>
        <x:v>Consumer</x:v>
      </x:c>
      <x:c r="I1930" s="84" t="str">
        <x:f>PROPER(TRIM('Raw Sales'!F1930))</x:f>
        <x:v>West</x:v>
      </x:c>
      <x:c r="J1930" s="84" t="str">
        <x:f>PROPER(TRIM('Raw Sales'!G1930))</x:f>
        <x:v>Seattle</x:v>
      </x:c>
      <x:c r="K1930" s="84" t="str">
        <x:f>PROPER(TRIM('Raw Sales'!H1930))</x:f>
        <x:v>Retail Store</x:v>
      </x:c>
      <x:c r="L1930" s="84" t="str">
        <x:f>'Raw Sales'!I1930</x:f>
        <x:v>OFFC-004</x:v>
      </x:c>
      <x:c r="M1930" s="84" t="str">
        <x:f>IFERROR(VLOOKUP(L1930,'Reference Data'!$A$5:$F$40,2,FALSE),"Unknown Product")</x:f>
        <x:v>Premium Notebook Pack</x:v>
      </x:c>
      <x:c r="N1930" s="84" t="str">
        <x:f>IFERROR(VLOOKUP(L1930,'Reference Data'!$A$5:$F$40,3,FALSE),"Unknown")</x:f>
        <x:v>Office</x:v>
      </x:c>
      <x:c r="O1930" s="84" t="str">
        <x:f>IFERROR(VLOOKUP(L1930,'Reference Data'!$A$5:$F$40,4,FALSE),"Unknown")</x:f>
        <x:v>Stationery</x:v>
      </x:c>
      <x:c r="P1930" s="92" t="n">
        <x:f>IFERROR(VLOOKUP(L1930,'Reference Data'!$A$5:$F$40,5,FALSE),0)</x:f>
        <x:v>18</x:v>
      </x:c>
      <x:c r="Q1930" s="92" t="n">
        <x:f>IFERROR(VLOOKUP(L1930,'Reference Data'!$A$5:$F$40,6,FALSE),0)</x:f>
        <x:v>6.5</x:v>
      </x:c>
      <x:c r="R1930" s="84" t="n">
        <x:f>'Raw Sales'!J1930</x:f>
        <x:v>1</x:v>
      </x:c>
      <x:c r="S1930" s="87" t="n">
        <x:f>'Raw Sales'!K1930</x:f>
        <x:v>0</x:v>
      </x:c>
      <x:c r="T1930" s="93" t="n">
        <x:f>P1930*R1930</x:f>
        <x:v>18</x:v>
      </x:c>
      <x:c r="U1930" s="93" t="n">
        <x:f>T1930*S1930</x:f>
        <x:v>0</x:v>
      </x:c>
      <x:c r="V1930" s="93" t="str">
        <x:f>PROPER(TRIM('Raw Sales'!L1930))</x:f>
        <x:v>Completed</x:v>
      </x:c>
      <x:c r="W1930" s="93" t="n">
        <x:f>IF(V1930="Returned",0,T1930-U1930)</x:f>
        <x:v>18</x:v>
      </x:c>
      <x:c r="X1930" s="93" t="n">
        <x:f>IF(V1930="Returned",Q1930*R1930*10%,Q1930*R1930)</x:f>
        <x:v>6.5</x:v>
      </x:c>
      <x:c r="Y1930" s="93" t="n">
        <x:f>W1930-X1930</x:f>
        <x:v>11.5</x:v>
      </x:c>
      <x:c r="Z1930" s="94" t="n">
        <x:f>IFERROR(Y1930/W1930,0)</x:f>
        <x:v>0.6388888888888888</x:v>
      </x:c>
      <x:c r="AA1930" s="84" t="str">
        <x:f>PROPER(TRIM('Raw Sales'!M1930))</x:f>
        <x:v>Debit Card</x:v>
      </x:c>
      <x:c r="AB1930" s="84" t="str">
        <x:f>PROPER(TRIM('Raw Sales'!N1930))</x:f>
        <x:v>Mia Chen</x:v>
      </x:c>
      <x:c r="AC1930" s="85" t="n">
        <x:f>'Raw Sales'!O1930</x:f>
        <x:v>45913</x:v>
      </x:c>
      <x:c r="AD1930" s="84" t="n">
        <x:f>AC1930-B1930</x:f>
        <x:v>0</x:v>
      </x:c>
      <x:c r="AE1930" s="84" t="str">
        <x:f>IF(COUNTIF($A$5:A1930,A1930)&gt;1,"Duplicate","Keep")</x:f>
        <x:v>Keep</x:v>
      </x:c>
      <x:c r="AF1930" s="84" t="str">
        <x:f>IF(OR(R1930&lt;=0,AC1930&lt;B1930,H1930="Unknown",M1930="Unknown Product"),"Review","Valid")</x:f>
        <x:v>Valid</x:v>
      </x:c>
      <x:c r="AG1930" s="84" t="n">
        <x:f>IF(AND(AE1930="Keep",AF1930="Valid"),1,0)</x:f>
        <x:v>1</x:v>
      </x:c>
      <x:c r="AH1930" s="84" t="n">
        <x:f>IF(AND(AG1930=1,OR('Dashboard'!$B$4="All",I1930='Dashboard'!$B$4),OR('Dashboard'!$E$4="All",N1930='Dashboard'!$E$4),OR('Dashboard'!$H$4="All",K1930='Dashboard'!$H$4),OR('Dashboard'!$K$4="All",C1930='Dashboard'!$K$4)),1,0)</x:f>
        <x:v>1</x:v>
      </x:c>
      <x:c r="AI1930" s="84" t="n">
        <x:f>IF(AND(AG1930=1,OR('Dashboard'!$B$4="All",I1930='Dashboard'!$B$4),OR('Dashboard'!$E$4="All",N1930='Dashboard'!$E$4),OR('Dashboard'!$H$4="All",K1930='Dashboard'!$H$4)),1,0)</x:f>
        <x:v>1</x:v>
      </x:c>
    </x:row>
    <x:row r="1931">
      <x:c r="A1931" s="84" t="str">
        <x:f>'Raw Sales'!A1931</x:f>
        <x:v>ORD-2025-01265</x:v>
      </x:c>
      <x:c r="B1931" s="85" t="n">
        <x:f>'Raw Sales'!B1931</x:f>
        <x:v>45913</x:v>
      </x:c>
      <x:c r="C1931" s="84" t="n">
        <x:f>YEAR(B1931)</x:f>
        <x:v>2025</x:v>
      </x:c>
      <x:c r="D1931" s="91" t="n">
        <x:f>DATE(YEAR(B1931),MONTH(B1931),1)</x:f>
        <x:v>45901</x:v>
      </x:c>
      <x:c r="E1931" s="84" t="str">
        <x:f>TEXT(B1931,"mmm")</x:f>
        <x:v>Sep</x:v>
      </x:c>
      <x:c r="F1931" s="84" t="str">
        <x:f>'Raw Sales'!C1931</x:f>
        <x:v>CUST-0113</x:v>
      </x:c>
      <x:c r="G1931" s="84" t="str">
        <x:f>PROPER(TRIM('Raw Sales'!D1931))</x:f>
        <x:v>Amelia Patel</x:v>
      </x:c>
      <x:c r="H1931" s="84" t="str">
        <x:f>IF(TRIM('Raw Sales'!E1931)="","Unknown",PROPER(TRIM('Raw Sales'!E1931)))</x:f>
        <x:v>Consumer</x:v>
      </x:c>
      <x:c r="I1931" s="84" t="str">
        <x:f>PROPER(TRIM('Raw Sales'!F1931))</x:f>
        <x:v>Southeast</x:v>
      </x:c>
      <x:c r="J1931" s="84" t="str">
        <x:f>PROPER(TRIM('Raw Sales'!G1931))</x:f>
        <x:v>Atlanta</x:v>
      </x:c>
      <x:c r="K1931" s="84" t="str">
        <x:f>PROPER(TRIM('Raw Sales'!H1931))</x:f>
        <x:v>Online</x:v>
      </x:c>
      <x:c r="L1931" s="84" t="str">
        <x:f>'Raw Sales'!I1931</x:f>
        <x:v>OFFC-005</x:v>
      </x:c>
      <x:c r="M1931" s="84" t="str">
        <x:f>IFERROR(VLOOKUP(L1931,'Reference Data'!$A$5:$F$40,2,FALSE),"Unknown Product")</x:f>
        <x:v>Wireless Keyboard</x:v>
      </x:c>
      <x:c r="N1931" s="84" t="str">
        <x:f>IFERROR(VLOOKUP(L1931,'Reference Data'!$A$5:$F$40,3,FALSE),"Unknown")</x:f>
        <x:v>Office</x:v>
      </x:c>
      <x:c r="O1931" s="84" t="str">
        <x:f>IFERROR(VLOOKUP(L1931,'Reference Data'!$A$5:$F$40,4,FALSE),"Unknown")</x:f>
        <x:v>Computer Accessories</x:v>
      </x:c>
      <x:c r="P1931" s="92" t="n">
        <x:f>IFERROR(VLOOKUP(L1931,'Reference Data'!$A$5:$F$40,5,FALSE),0)</x:f>
        <x:v>59</x:v>
      </x:c>
      <x:c r="Q1931" s="92" t="n">
        <x:f>IFERROR(VLOOKUP(L1931,'Reference Data'!$A$5:$F$40,6,FALSE),0)</x:f>
        <x:v>28</x:v>
      </x:c>
      <x:c r="R1931" s="84" t="n">
        <x:f>'Raw Sales'!J1931</x:f>
        <x:v>1</x:v>
      </x:c>
      <x:c r="S1931" s="87" t="n">
        <x:f>'Raw Sales'!K1931</x:f>
        <x:v>0.2</x:v>
      </x:c>
      <x:c r="T1931" s="93" t="n">
        <x:f>P1931*R1931</x:f>
        <x:v>59</x:v>
      </x:c>
      <x:c r="U1931" s="93" t="n">
        <x:f>T1931*S1931</x:f>
        <x:v>11.8</x:v>
      </x:c>
      <x:c r="V1931" s="93" t="str">
        <x:f>PROPER(TRIM('Raw Sales'!L1931))</x:f>
        <x:v>Completed</x:v>
      </x:c>
      <x:c r="W1931" s="93" t="n">
        <x:f>IF(V1931="Returned",0,T1931-U1931)</x:f>
        <x:v>47.2</x:v>
      </x:c>
      <x:c r="X1931" s="93" t="n">
        <x:f>IF(V1931="Returned",Q1931*R1931*10%,Q1931*R1931)</x:f>
        <x:v>28</x:v>
      </x:c>
      <x:c r="Y1931" s="93" t="n">
        <x:f>W1931-X1931</x:f>
        <x:v>19.200000000000003</x:v>
      </x:c>
      <x:c r="Z1931" s="94" t="n">
        <x:f>IFERROR(Y1931/W1931,0)</x:f>
        <x:v>0.4067796610169492</x:v>
      </x:c>
      <x:c r="AA1931" s="84" t="str">
        <x:f>PROPER(TRIM('Raw Sales'!M1931))</x:f>
        <x:v>Paypal</x:v>
      </x:c>
      <x:c r="AB1931" s="84" t="str">
        <x:f>PROPER(TRIM('Raw Sales'!N1931))</x:f>
        <x:v>Liam Parker</x:v>
      </x:c>
      <x:c r="AC1931" s="85" t="n">
        <x:f>'Raw Sales'!O1931</x:f>
        <x:v>45916</x:v>
      </x:c>
      <x:c r="AD1931" s="84" t="n">
        <x:f>AC1931-B1931</x:f>
        <x:v>3</x:v>
      </x:c>
      <x:c r="AE1931" s="84" t="str">
        <x:f>IF(COUNTIF($A$5:A1931,A1931)&gt;1,"Duplicate","Keep")</x:f>
        <x:v>Keep</x:v>
      </x:c>
      <x:c r="AF1931" s="84" t="str">
        <x:f>IF(OR(R1931&lt;=0,AC1931&lt;B1931,H1931="Unknown",M1931="Unknown Product"),"Review","Valid")</x:f>
        <x:v>Valid</x:v>
      </x:c>
      <x:c r="AG1931" s="84" t="n">
        <x:f>IF(AND(AE1931="Keep",AF1931="Valid"),1,0)</x:f>
        <x:v>1</x:v>
      </x:c>
      <x:c r="AH1931" s="84" t="n">
        <x:f>IF(AND(AG1931=1,OR('Dashboard'!$B$4="All",I1931='Dashboard'!$B$4),OR('Dashboard'!$E$4="All",N1931='Dashboard'!$E$4),OR('Dashboard'!$H$4="All",K1931='Dashboard'!$H$4),OR('Dashboard'!$K$4="All",C1931='Dashboard'!$K$4)),1,0)</x:f>
        <x:v>1</x:v>
      </x:c>
      <x:c r="AI1931" s="84" t="n">
        <x:f>IF(AND(AG1931=1,OR('Dashboard'!$B$4="All",I1931='Dashboard'!$B$4),OR('Dashboard'!$E$4="All",N1931='Dashboard'!$E$4),OR('Dashboard'!$H$4="All",K1931='Dashboard'!$H$4)),1,0)</x:f>
        <x:v>1</x:v>
      </x:c>
    </x:row>
    <x:row r="1932">
      <x:c r="A1932" s="84" t="str">
        <x:f>'Raw Sales'!A1932</x:f>
        <x:v>ORD-2025-02359</x:v>
      </x:c>
      <x:c r="B1932" s="85" t="n">
        <x:f>'Raw Sales'!B1932</x:f>
        <x:v>45913</x:v>
      </x:c>
      <x:c r="C1932" s="84" t="n">
        <x:f>YEAR(B1932)</x:f>
        <x:v>2025</x:v>
      </x:c>
      <x:c r="D1932" s="91" t="n">
        <x:f>DATE(YEAR(B1932),MONTH(B1932),1)</x:f>
        <x:v>45901</x:v>
      </x:c>
      <x:c r="E1932" s="84" t="str">
        <x:f>TEXT(B1932,"mmm")</x:f>
        <x:v>Sep</x:v>
      </x:c>
      <x:c r="F1932" s="84" t="str">
        <x:f>'Raw Sales'!C1932</x:f>
        <x:v>CUST-0196</x:v>
      </x:c>
      <x:c r="G1932" s="84" t="str">
        <x:f>PROPER(TRIM('Raw Sales'!D1932))</x:f>
        <x:v>Nina Baker</x:v>
      </x:c>
      <x:c r="H1932" s="84" t="str">
        <x:f>IF(TRIM('Raw Sales'!E1932)="","Unknown",PROPER(TRIM('Raw Sales'!E1932)))</x:f>
        <x:v>Consumer</x:v>
      </x:c>
      <x:c r="I1932" s="84" t="str">
        <x:f>PROPER(TRIM('Raw Sales'!F1932))</x:f>
        <x:v>Northeast</x:v>
      </x:c>
      <x:c r="J1932" s="84" t="str">
        <x:f>PROPER(TRIM('Raw Sales'!G1932))</x:f>
        <x:v>Boston</x:v>
      </x:c>
      <x:c r="K1932" s="84" t="str">
        <x:f>PROPER(TRIM('Raw Sales'!H1932))</x:f>
        <x:v>Online</x:v>
      </x:c>
      <x:c r="L1932" s="84" t="str">
        <x:f>'Raw Sales'!I1932</x:f>
        <x:v>OFFC-003</x:v>
      </x:c>
      <x:c r="M1932" s="84" t="str">
        <x:f>IFERROR(VLOOKUP(L1932,'Reference Data'!$A$5:$F$40,2,FALSE),"Unknown Product")</x:f>
        <x:v>LED Desk Lamp</x:v>
      </x:c>
      <x:c r="N1932" s="84" t="str">
        <x:f>IFERROR(VLOOKUP(L1932,'Reference Data'!$A$5:$F$40,3,FALSE),"Unknown")</x:f>
        <x:v>Office</x:v>
      </x:c>
      <x:c r="O1932" s="84" t="str">
        <x:f>IFERROR(VLOOKUP(L1932,'Reference Data'!$A$5:$F$40,4,FALSE),"Unknown")</x:f>
        <x:v>Desk Accessories</x:v>
      </x:c>
      <x:c r="P1932" s="92" t="n">
        <x:f>IFERROR(VLOOKUP(L1932,'Reference Data'!$A$5:$F$40,5,FALSE),0)</x:f>
        <x:v>45</x:v>
      </x:c>
      <x:c r="Q1932" s="92" t="n">
        <x:f>IFERROR(VLOOKUP(L1932,'Reference Data'!$A$5:$F$40,6,FALSE),0)</x:f>
        <x:v>20</x:v>
      </x:c>
      <x:c r="R1932" s="84" t="n">
        <x:f>'Raw Sales'!J1932</x:f>
        <x:v>2</x:v>
      </x:c>
      <x:c r="S1932" s="87" t="n">
        <x:f>'Raw Sales'!K1932</x:f>
        <x:v>0.05</x:v>
      </x:c>
      <x:c r="T1932" s="93" t="n">
        <x:f>P1932*R1932</x:f>
        <x:v>90</x:v>
      </x:c>
      <x:c r="U1932" s="93" t="n">
        <x:f>T1932*S1932</x:f>
        <x:v>4.5</x:v>
      </x:c>
      <x:c r="V1932" s="93" t="str">
        <x:f>PROPER(TRIM('Raw Sales'!L1932))</x:f>
        <x:v>Completed</x:v>
      </x:c>
      <x:c r="W1932" s="93" t="n">
        <x:f>IF(V1932="Returned",0,T1932-U1932)</x:f>
        <x:v>85.5</x:v>
      </x:c>
      <x:c r="X1932" s="93" t="n">
        <x:f>IF(V1932="Returned",Q1932*R1932*10%,Q1932*R1932)</x:f>
        <x:v>40</x:v>
      </x:c>
      <x:c r="Y1932" s="93" t="n">
        <x:f>W1932-X1932</x:f>
        <x:v>45.5</x:v>
      </x:c>
      <x:c r="Z1932" s="94" t="n">
        <x:f>IFERROR(Y1932/W1932,0)</x:f>
        <x:v>0.5321637426900585</x:v>
      </x:c>
      <x:c r="AA1932" s="84" t="str">
        <x:f>PROPER(TRIM('Raw Sales'!M1932))</x:f>
        <x:v>Credit Card</x:v>
      </x:c>
      <x:c r="AB1932" s="84" t="str">
        <x:f>PROPER(TRIM('Raw Sales'!N1932))</x:f>
        <x:v>Ethan Cole</x:v>
      </x:c>
      <x:c r="AC1932" s="85" t="n">
        <x:f>'Raw Sales'!O1932</x:f>
        <x:v>45915</x:v>
      </x:c>
      <x:c r="AD1932" s="84" t="n">
        <x:f>AC1932-B1932</x:f>
        <x:v>2</x:v>
      </x:c>
      <x:c r="AE1932" s="84" t="str">
        <x:f>IF(COUNTIF($A$5:A1932,A1932)&gt;1,"Duplicate","Keep")</x:f>
        <x:v>Keep</x:v>
      </x:c>
      <x:c r="AF1932" s="84" t="str">
        <x:f>IF(OR(R1932&lt;=0,AC1932&lt;B1932,H1932="Unknown",M1932="Unknown Product"),"Review","Valid")</x:f>
        <x:v>Valid</x:v>
      </x:c>
      <x:c r="AG1932" s="84" t="n">
        <x:f>IF(AND(AE1932="Keep",AF1932="Valid"),1,0)</x:f>
        <x:v>1</x:v>
      </x:c>
      <x:c r="AH1932" s="84" t="n">
        <x:f>IF(AND(AG1932=1,OR('Dashboard'!$B$4="All",I1932='Dashboard'!$B$4),OR('Dashboard'!$E$4="All",N1932='Dashboard'!$E$4),OR('Dashboard'!$H$4="All",K1932='Dashboard'!$H$4),OR('Dashboard'!$K$4="All",C1932='Dashboard'!$K$4)),1,0)</x:f>
        <x:v>1</x:v>
      </x:c>
      <x:c r="AI1932" s="84" t="n">
        <x:f>IF(AND(AG1932=1,OR('Dashboard'!$B$4="All",I1932='Dashboard'!$B$4),OR('Dashboard'!$E$4="All",N1932='Dashboard'!$E$4),OR('Dashboard'!$H$4="All",K1932='Dashboard'!$H$4)),1,0)</x:f>
        <x:v>1</x:v>
      </x:c>
    </x:row>
    <x:row r="1933">
      <x:c r="A1933" s="84" t="str">
        <x:f>'Raw Sales'!A1933</x:f>
        <x:v>ORD-2025-01879</x:v>
      </x:c>
      <x:c r="B1933" s="85" t="n">
        <x:f>'Raw Sales'!B1933</x:f>
        <x:v>45914</x:v>
      </x:c>
      <x:c r="C1933" s="84" t="n">
        <x:f>YEAR(B1933)</x:f>
        <x:v>2025</x:v>
      </x:c>
      <x:c r="D1933" s="91" t="n">
        <x:f>DATE(YEAR(B1933),MONTH(B1933),1)</x:f>
        <x:v>45901</x:v>
      </x:c>
      <x:c r="E1933" s="84" t="str">
        <x:f>TEXT(B1933,"mmm")</x:f>
        <x:v>Sep</x:v>
      </x:c>
      <x:c r="F1933" s="84" t="str">
        <x:f>'Raw Sales'!C1933</x:f>
        <x:v>CUST-0371</x:v>
      </x:c>
      <x:c r="G1933" s="84" t="str">
        <x:f>PROPER(TRIM('Raw Sales'!D1933))</x:f>
        <x:v>Sara Moore</x:v>
      </x:c>
      <x:c r="H1933" s="84" t="str">
        <x:f>IF(TRIM('Raw Sales'!E1933)="","Unknown",PROPER(TRIM('Raw Sales'!E1933)))</x:f>
        <x:v>Small Business</x:v>
      </x:c>
      <x:c r="I1933" s="84" t="str">
        <x:f>PROPER(TRIM('Raw Sales'!F1933))</x:f>
        <x:v>West</x:v>
      </x:c>
      <x:c r="J1933" s="84" t="str">
        <x:f>PROPER(TRIM('Raw Sales'!G1933))</x:f>
        <x:v>Seattle</x:v>
      </x:c>
      <x:c r="K1933" s="84" t="str">
        <x:f>PROPER(TRIM('Raw Sales'!H1933))</x:f>
        <x:v>Marketplace</x:v>
      </x:c>
      <x:c r="L1933" s="84" t="str">
        <x:f>'Raw Sales'!I1933</x:f>
        <x:v>ELEC-001</x:v>
      </x:c>
      <x:c r="M1933" s="84" t="str">
        <x:f>IFERROR(VLOOKUP(L1933,'Reference Data'!$A$5:$F$40,2,FALSE),"Unknown Product")</x:f>
        <x:v>Wireless Earbuds</x:v>
      </x:c>
      <x:c r="N1933" s="84" t="str">
        <x:f>IFERROR(VLOOKUP(L1933,'Reference Data'!$A$5:$F$40,3,FALSE),"Unknown")</x:f>
        <x:v>Electronics</x:v>
      </x:c>
      <x:c r="O1933" s="84" t="str">
        <x:f>IFERROR(VLOOKUP(L1933,'Reference Data'!$A$5:$F$40,4,FALSE),"Unknown")</x:f>
        <x:v>Audio</x:v>
      </x:c>
      <x:c r="P1933" s="92" t="n">
        <x:f>IFERROR(VLOOKUP(L1933,'Reference Data'!$A$5:$F$40,5,FALSE),0)</x:f>
        <x:v>69</x:v>
      </x:c>
      <x:c r="Q1933" s="92" t="n">
        <x:f>IFERROR(VLOOKUP(L1933,'Reference Data'!$A$5:$F$40,6,FALSE),0)</x:f>
        <x:v>36</x:v>
      </x:c>
      <x:c r="R1933" s="84" t="n">
        <x:f>'Raw Sales'!J1933</x:f>
        <x:v>1</x:v>
      </x:c>
      <x:c r="S1933" s="87" t="n">
        <x:f>'Raw Sales'!K1933</x:f>
        <x:v>0</x:v>
      </x:c>
      <x:c r="T1933" s="93" t="n">
        <x:f>P1933*R1933</x:f>
        <x:v>69</x:v>
      </x:c>
      <x:c r="U1933" s="93" t="n">
        <x:f>T1933*S1933</x:f>
        <x:v>0</x:v>
      </x:c>
      <x:c r="V1933" s="93" t="str">
        <x:f>PROPER(TRIM('Raw Sales'!L1933))</x:f>
        <x:v>Completed</x:v>
      </x:c>
      <x:c r="W1933" s="93" t="n">
        <x:f>IF(V1933="Returned",0,T1933-U1933)</x:f>
        <x:v>69</x:v>
      </x:c>
      <x:c r="X1933" s="93" t="n">
        <x:f>IF(V1933="Returned",Q1933*R1933*10%,Q1933*R1933)</x:f>
        <x:v>36</x:v>
      </x:c>
      <x:c r="Y1933" s="93" t="n">
        <x:f>W1933-X1933</x:f>
        <x:v>33</x:v>
      </x:c>
      <x:c r="Z1933" s="94" t="n">
        <x:f>IFERROR(Y1933/W1933,0)</x:f>
        <x:v>0.4782608695652174</x:v>
      </x:c>
      <x:c r="AA1933" s="84" t="str">
        <x:f>PROPER(TRIM('Raw Sales'!M1933))</x:f>
        <x:v>Credit Card</x:v>
      </x:c>
      <x:c r="AB1933" s="84" t="str">
        <x:f>PROPER(TRIM('Raw Sales'!N1933))</x:f>
        <x:v>Nora Kim</x:v>
      </x:c>
      <x:c r="AC1933" s="85" t="n">
        <x:f>'Raw Sales'!O1933</x:f>
        <x:v>45919</x:v>
      </x:c>
      <x:c r="AD1933" s="84" t="n">
        <x:f>AC1933-B1933</x:f>
        <x:v>5</x:v>
      </x:c>
      <x:c r="AE1933" s="84" t="str">
        <x:f>IF(COUNTIF($A$5:A1933,A1933)&gt;1,"Duplicate","Keep")</x:f>
        <x:v>Keep</x:v>
      </x:c>
      <x:c r="AF1933" s="84" t="str">
        <x:f>IF(OR(R1933&lt;=0,AC1933&lt;B1933,H1933="Unknown",M1933="Unknown Product"),"Review","Valid")</x:f>
        <x:v>Valid</x:v>
      </x:c>
      <x:c r="AG1933" s="84" t="n">
        <x:f>IF(AND(AE1933="Keep",AF1933="Valid"),1,0)</x:f>
        <x:v>1</x:v>
      </x:c>
      <x:c r="AH1933" s="84" t="n">
        <x:f>IF(AND(AG1933=1,OR('Dashboard'!$B$4="All",I1933='Dashboard'!$B$4),OR('Dashboard'!$E$4="All",N1933='Dashboard'!$E$4),OR('Dashboard'!$H$4="All",K1933='Dashboard'!$H$4),OR('Dashboard'!$K$4="All",C1933='Dashboard'!$K$4)),1,0)</x:f>
        <x:v>1</x:v>
      </x:c>
      <x:c r="AI1933" s="84" t="n">
        <x:f>IF(AND(AG1933=1,OR('Dashboard'!$B$4="All",I1933='Dashboard'!$B$4),OR('Dashboard'!$E$4="All",N1933='Dashboard'!$E$4),OR('Dashboard'!$H$4="All",K1933='Dashboard'!$H$4)),1,0)</x:f>
        <x:v>1</x:v>
      </x:c>
    </x:row>
    <x:row r="1934">
      <x:c r="A1934" s="84" t="str">
        <x:f>'Raw Sales'!A1934</x:f>
        <x:v>ORD-2025-02074</x:v>
      </x:c>
      <x:c r="B1934" s="85" t="n">
        <x:f>'Raw Sales'!B1934</x:f>
        <x:v>45914</x:v>
      </x:c>
      <x:c r="C1934" s="84" t="n">
        <x:f>YEAR(B1934)</x:f>
        <x:v>2025</x:v>
      </x:c>
      <x:c r="D1934" s="91" t="n">
        <x:f>DATE(YEAR(B1934),MONTH(B1934),1)</x:f>
        <x:v>45901</x:v>
      </x:c>
      <x:c r="E1934" s="84" t="str">
        <x:f>TEXT(B1934,"mmm")</x:f>
        <x:v>Sep</x:v>
      </x:c>
      <x:c r="F1934" s="84" t="str">
        <x:f>'Raw Sales'!C1934</x:f>
        <x:v>CUST-0278</x:v>
      </x:c>
      <x:c r="G1934" s="84" t="str">
        <x:f>PROPER(TRIM('Raw Sales'!D1934))</x:f>
        <x:v>Sara Ortiz</x:v>
      </x:c>
      <x:c r="H1934" s="84" t="str">
        <x:f>IF(TRIM('Raw Sales'!E1934)="","Unknown",PROPER(TRIM('Raw Sales'!E1934)))</x:f>
        <x:v>Unknown</x:v>
      </x:c>
      <x:c r="I1934" s="84" t="str">
        <x:f>PROPER(TRIM('Raw Sales'!F1934))</x:f>
        <x:v>Southeast</x:v>
      </x:c>
      <x:c r="J1934" s="84" t="str">
        <x:f>PROPER(TRIM('Raw Sales'!G1934))</x:f>
        <x:v>Charlotte</x:v>
      </x:c>
      <x:c r="K1934" s="84" t="str">
        <x:f>PROPER(TRIM('Raw Sales'!H1934))</x:f>
        <x:v>Online</x:v>
      </x:c>
      <x:c r="L1934" s="84" t="str">
        <x:f>'Raw Sales'!I1934</x:f>
        <x:v>HOME-004</x:v>
      </x:c>
      <x:c r="M1934" s="84" t="str">
        <x:f>IFERROR(VLOOKUP(L1934,'Reference Data'!$A$5:$F$40,2,FALSE),"Unknown Product")</x:f>
        <x:v>Coffee Maker</x:v>
      </x:c>
      <x:c r="N1934" s="84" t="str">
        <x:f>IFERROR(VLOOKUP(L1934,'Reference Data'!$A$5:$F$40,3,FALSE),"Unknown")</x:f>
        <x:v>Home &amp; Kitchen</x:v>
      </x:c>
      <x:c r="O1934" s="84" t="str">
        <x:f>IFERROR(VLOOKUP(L1934,'Reference Data'!$A$5:$F$40,4,FALSE),"Unknown")</x:f>
        <x:v>Small Appliances</x:v>
      </x:c>
      <x:c r="P1934" s="92" t="n">
        <x:f>IFERROR(VLOOKUP(L1934,'Reference Data'!$A$5:$F$40,5,FALSE),0)</x:f>
        <x:v>99</x:v>
      </x:c>
      <x:c r="Q1934" s="92" t="n">
        <x:f>IFERROR(VLOOKUP(L1934,'Reference Data'!$A$5:$F$40,6,FALSE),0)</x:f>
        <x:v>51</x:v>
      </x:c>
      <x:c r="R1934" s="84" t="n">
        <x:f>'Raw Sales'!J1934</x:f>
        <x:v>3</x:v>
      </x:c>
      <x:c r="S1934" s="87" t="n">
        <x:f>'Raw Sales'!K1934</x:f>
        <x:v>0</x:v>
      </x:c>
      <x:c r="T1934" s="93" t="n">
        <x:f>P1934*R1934</x:f>
        <x:v>297</x:v>
      </x:c>
      <x:c r="U1934" s="93" t="n">
        <x:f>T1934*S1934</x:f>
        <x:v>0</x:v>
      </x:c>
      <x:c r="V1934" s="93" t="str">
        <x:f>PROPER(TRIM('Raw Sales'!L1934))</x:f>
        <x:v>Completed</x:v>
      </x:c>
      <x:c r="W1934" s="93" t="n">
        <x:f>IF(V1934="Returned",0,T1934-U1934)</x:f>
        <x:v>297</x:v>
      </x:c>
      <x:c r="X1934" s="93" t="n">
        <x:f>IF(V1934="Returned",Q1934*R1934*10%,Q1934*R1934)</x:f>
        <x:v>153</x:v>
      </x:c>
      <x:c r="Y1934" s="93" t="n">
        <x:f>W1934-X1934</x:f>
        <x:v>144</x:v>
      </x:c>
      <x:c r="Z1934" s="94" t="n">
        <x:f>IFERROR(Y1934/W1934,0)</x:f>
        <x:v>0.48484848484848486</x:v>
      </x:c>
      <x:c r="AA1934" s="84" t="str">
        <x:f>PROPER(TRIM('Raw Sales'!M1934))</x:f>
        <x:v>Credit Card</x:v>
      </x:c>
      <x:c r="AB1934" s="84" t="str">
        <x:f>PROPER(TRIM('Raw Sales'!N1934))</x:f>
        <x:v>Liam Parker</x:v>
      </x:c>
      <x:c r="AC1934" s="85" t="n">
        <x:f>'Raw Sales'!O1934</x:f>
        <x:v>45916</x:v>
      </x:c>
      <x:c r="AD1934" s="84" t="n">
        <x:f>AC1934-B1934</x:f>
        <x:v>2</x:v>
      </x:c>
      <x:c r="AE1934" s="84" t="str">
        <x:f>IF(COUNTIF($A$5:A1934,A1934)&gt;1,"Duplicate","Keep")</x:f>
        <x:v>Keep</x:v>
      </x:c>
      <x:c r="AF1934" s="84" t="str">
        <x:f>IF(OR(R1934&lt;=0,AC1934&lt;B1934,H1934="Unknown",M1934="Unknown Product"),"Review","Valid")</x:f>
        <x:v>Review</x:v>
      </x:c>
      <x:c r="AG1934" s="84" t="n">
        <x:f>IF(AND(AE1934="Keep",AF1934="Valid"),1,0)</x:f>
        <x:v>0</x:v>
      </x:c>
      <x:c r="AH1934" s="84" t="n">
        <x:f>IF(AND(AG1934=1,OR('Dashboard'!$B$4="All",I1934='Dashboard'!$B$4),OR('Dashboard'!$E$4="All",N1934='Dashboard'!$E$4),OR('Dashboard'!$H$4="All",K1934='Dashboard'!$H$4),OR('Dashboard'!$K$4="All",C1934='Dashboard'!$K$4)),1,0)</x:f>
        <x:v>0</x:v>
      </x:c>
      <x:c r="AI1934" s="84" t="n">
        <x:f>IF(AND(AG1934=1,OR('Dashboard'!$B$4="All",I1934='Dashboard'!$B$4),OR('Dashboard'!$E$4="All",N1934='Dashboard'!$E$4),OR('Dashboard'!$H$4="All",K1934='Dashboard'!$H$4)),1,0)</x:f>
        <x:v>0</x:v>
      </x:c>
    </x:row>
    <x:row r="1935">
      <x:c r="A1935" s="84" t="str">
        <x:f>'Raw Sales'!A1935</x:f>
        <x:v>ORD-2025-02098</x:v>
      </x:c>
      <x:c r="B1935" s="85" t="n">
        <x:f>'Raw Sales'!B1935</x:f>
        <x:v>45914</x:v>
      </x:c>
      <x:c r="C1935" s="84" t="n">
        <x:f>YEAR(B1935)</x:f>
        <x:v>2025</x:v>
      </x:c>
      <x:c r="D1935" s="91" t="n">
        <x:f>DATE(YEAR(B1935),MONTH(B1935),1)</x:f>
        <x:v>45901</x:v>
      </x:c>
      <x:c r="E1935" s="84" t="str">
        <x:f>TEXT(B1935,"mmm")</x:f>
        <x:v>Sep</x:v>
      </x:c>
      <x:c r="F1935" s="84" t="str">
        <x:f>'Raw Sales'!C1935</x:f>
        <x:v>CUST-0608</x:v>
      </x:c>
      <x:c r="G1935" s="84" t="str">
        <x:f>PROPER(TRIM('Raw Sales'!D1935))</x:f>
        <x:v>Victoria Patel</x:v>
      </x:c>
      <x:c r="H1935" s="84" t="str">
        <x:f>IF(TRIM('Raw Sales'!E1935)="","Unknown",PROPER(TRIM('Raw Sales'!E1935)))</x:f>
        <x:v>Consumer</x:v>
      </x:c>
      <x:c r="I1935" s="84" t="str">
        <x:f>PROPER(TRIM('Raw Sales'!F1935))</x:f>
        <x:v>Midwest</x:v>
      </x:c>
      <x:c r="J1935" s="84" t="str">
        <x:f>PROPER(TRIM('Raw Sales'!G1935))</x:f>
        <x:v>Chicago</x:v>
      </x:c>
      <x:c r="K1935" s="84" t="str">
        <x:f>PROPER(TRIM('Raw Sales'!H1935))</x:f>
        <x:v>Online</x:v>
      </x:c>
      <x:c r="L1935" s="84" t="str">
        <x:f>'Raw Sales'!I1935</x:f>
        <x:v>ELEC-003</x:v>
      </x:c>
      <x:c r="M1935" s="84" t="str">
        <x:f>IFERROR(VLOOKUP(L1935,'Reference Data'!$A$5:$F$40,2,FALSE),"Unknown Product")</x:f>
        <x:v>Bluetooth Speaker</x:v>
      </x:c>
      <x:c r="N1935" s="84" t="str">
        <x:f>IFERROR(VLOOKUP(L1935,'Reference Data'!$A$5:$F$40,3,FALSE),"Unknown")</x:f>
        <x:v>Electronics</x:v>
      </x:c>
      <x:c r="O1935" s="84" t="str">
        <x:f>IFERROR(VLOOKUP(L1935,'Reference Data'!$A$5:$F$40,4,FALSE),"Unknown")</x:f>
        <x:v>Audio</x:v>
      </x:c>
      <x:c r="P1935" s="92" t="n">
        <x:f>IFERROR(VLOOKUP(L1935,'Reference Data'!$A$5:$F$40,5,FALSE),0)</x:f>
        <x:v>89</x:v>
      </x:c>
      <x:c r="Q1935" s="92" t="n">
        <x:f>IFERROR(VLOOKUP(L1935,'Reference Data'!$A$5:$F$40,6,FALSE),0)</x:f>
        <x:v>44</x:v>
      </x:c>
      <x:c r="R1935" s="84" t="n">
        <x:f>'Raw Sales'!J1935</x:f>
        <x:v>3</x:v>
      </x:c>
      <x:c r="S1935" s="87" t="n">
        <x:f>'Raw Sales'!K1935</x:f>
        <x:v>0</x:v>
      </x:c>
      <x:c r="T1935" s="93" t="n">
        <x:f>P1935*R1935</x:f>
        <x:v>267</x:v>
      </x:c>
      <x:c r="U1935" s="93" t="n">
        <x:f>T1935*S1935</x:f>
        <x:v>0</x:v>
      </x:c>
      <x:c r="V1935" s="93" t="str">
        <x:f>PROPER(TRIM('Raw Sales'!L1935))</x:f>
        <x:v>Completed</x:v>
      </x:c>
      <x:c r="W1935" s="93" t="n">
        <x:f>IF(V1935="Returned",0,T1935-U1935)</x:f>
        <x:v>267</x:v>
      </x:c>
      <x:c r="X1935" s="93" t="n">
        <x:f>IF(V1935="Returned",Q1935*R1935*10%,Q1935*R1935)</x:f>
        <x:v>132</x:v>
      </x:c>
      <x:c r="Y1935" s="93" t="n">
        <x:f>W1935-X1935</x:f>
        <x:v>135</x:v>
      </x:c>
      <x:c r="Z1935" s="94" t="n">
        <x:f>IFERROR(Y1935/W1935,0)</x:f>
        <x:v>0.5056179775280899</x:v>
      </x:c>
      <x:c r="AA1935" s="84" t="str">
        <x:f>PROPER(TRIM('Raw Sales'!M1935))</x:f>
        <x:v>Debit Card</x:v>
      </x:c>
      <x:c r="AB1935" s="84" t="str">
        <x:f>PROPER(TRIM('Raw Sales'!N1935))</x:f>
        <x:v>Emma Hayes</x:v>
      </x:c>
      <x:c r="AC1935" s="85" t="n">
        <x:f>'Raw Sales'!O1935</x:f>
        <x:v>45918</x:v>
      </x:c>
      <x:c r="AD1935" s="84" t="n">
        <x:f>AC1935-B1935</x:f>
        <x:v>4</x:v>
      </x:c>
      <x:c r="AE1935" s="84" t="str">
        <x:f>IF(COUNTIF($A$5:A1935,A1935)&gt;1,"Duplicate","Keep")</x:f>
        <x:v>Keep</x:v>
      </x:c>
      <x:c r="AF1935" s="84" t="str">
        <x:f>IF(OR(R1935&lt;=0,AC1935&lt;B1935,H1935="Unknown",M1935="Unknown Product"),"Review","Valid")</x:f>
        <x:v>Valid</x:v>
      </x:c>
      <x:c r="AG1935" s="84" t="n">
        <x:f>IF(AND(AE1935="Keep",AF1935="Valid"),1,0)</x:f>
        <x:v>1</x:v>
      </x:c>
      <x:c r="AH1935" s="84" t="n">
        <x:f>IF(AND(AG1935=1,OR('Dashboard'!$B$4="All",I1935='Dashboard'!$B$4),OR('Dashboard'!$E$4="All",N1935='Dashboard'!$E$4),OR('Dashboard'!$H$4="All",K1935='Dashboard'!$H$4),OR('Dashboard'!$K$4="All",C1935='Dashboard'!$K$4)),1,0)</x:f>
        <x:v>1</x:v>
      </x:c>
      <x:c r="AI1935" s="84" t="n">
        <x:f>IF(AND(AG1935=1,OR('Dashboard'!$B$4="All",I1935='Dashboard'!$B$4),OR('Dashboard'!$E$4="All",N1935='Dashboard'!$E$4),OR('Dashboard'!$H$4="All",K1935='Dashboard'!$H$4)),1,0)</x:f>
        <x:v>1</x:v>
      </x:c>
    </x:row>
    <x:row r="1936">
      <x:c r="A1936" s="84" t="str">
        <x:f>'Raw Sales'!A1936</x:f>
        <x:v>ORD-2025-00209</x:v>
      </x:c>
      <x:c r="B1936" s="85" t="n">
        <x:f>'Raw Sales'!B1936</x:f>
        <x:v>45915</x:v>
      </x:c>
      <x:c r="C1936" s="84" t="n">
        <x:f>YEAR(B1936)</x:f>
        <x:v>2025</x:v>
      </x:c>
      <x:c r="D1936" s="91" t="n">
        <x:f>DATE(YEAR(B1936),MONTH(B1936),1)</x:f>
        <x:v>45901</x:v>
      </x:c>
      <x:c r="E1936" s="84" t="str">
        <x:f>TEXT(B1936,"mmm")</x:f>
        <x:v>Sep</x:v>
      </x:c>
      <x:c r="F1936" s="84" t="str">
        <x:f>'Raw Sales'!C1936</x:f>
        <x:v>CUST-0003</x:v>
      </x:c>
      <x:c r="G1936" s="84" t="str">
        <x:f>PROPER(TRIM('Raw Sales'!D1936))</x:f>
        <x:v>Victoria Foster</x:v>
      </x:c>
      <x:c r="H1936" s="84" t="str">
        <x:f>IF(TRIM('Raw Sales'!E1936)="","Unknown",PROPER(TRIM('Raw Sales'!E1936)))</x:f>
        <x:v>Consumer</x:v>
      </x:c>
      <x:c r="I1936" s="84" t="str">
        <x:f>PROPER(TRIM('Raw Sales'!F1936))</x:f>
        <x:v>West</x:v>
      </x:c>
      <x:c r="J1936" s="84" t="str">
        <x:f>PROPER(TRIM('Raw Sales'!G1936))</x:f>
        <x:v>Seattle</x:v>
      </x:c>
      <x:c r="K1936" s="84" t="str">
        <x:f>PROPER(TRIM('Raw Sales'!H1936))</x:f>
        <x:v>Retail Store</x:v>
      </x:c>
      <x:c r="L1936" s="84" t="str">
        <x:f>'Raw Sales'!I1936</x:f>
        <x:v>OFFC-001</x:v>
      </x:c>
      <x:c r="M1936" s="84" t="str">
        <x:f>IFERROR(VLOOKUP(L1936,'Reference Data'!$A$5:$F$40,2,FALSE),"Unknown Product")</x:f>
        <x:v>Ergonomic Chair</x:v>
      </x:c>
      <x:c r="N1936" s="84" t="str">
        <x:f>IFERROR(VLOOKUP(L1936,'Reference Data'!$A$5:$F$40,3,FALSE),"Unknown")</x:f>
        <x:v>Office</x:v>
      </x:c>
      <x:c r="O1936" s="84" t="str">
        <x:f>IFERROR(VLOOKUP(L1936,'Reference Data'!$A$5:$F$40,4,FALSE),"Unknown")</x:f>
        <x:v>Furniture</x:v>
      </x:c>
      <x:c r="P1936" s="92" t="n">
        <x:f>IFERROR(VLOOKUP(L1936,'Reference Data'!$A$5:$F$40,5,FALSE),0)</x:f>
        <x:v>249</x:v>
      </x:c>
      <x:c r="Q1936" s="92" t="n">
        <x:f>IFERROR(VLOOKUP(L1936,'Reference Data'!$A$5:$F$40,6,FALSE),0)</x:f>
        <x:v>145</x:v>
      </x:c>
      <x:c r="R1936" s="84" t="n">
        <x:f>'Raw Sales'!J1936</x:f>
        <x:v>2</x:v>
      </x:c>
      <x:c r="S1936" s="87" t="n">
        <x:f>'Raw Sales'!K1936</x:f>
        <x:v>0.05</x:v>
      </x:c>
      <x:c r="T1936" s="93" t="n">
        <x:f>P1936*R1936</x:f>
        <x:v>498</x:v>
      </x:c>
      <x:c r="U1936" s="93" t="n">
        <x:f>T1936*S1936</x:f>
        <x:v>24.900000000000002</x:v>
      </x:c>
      <x:c r="V1936" s="93" t="str">
        <x:f>PROPER(TRIM('Raw Sales'!L1936))</x:f>
        <x:v>Completed</x:v>
      </x:c>
      <x:c r="W1936" s="93" t="n">
        <x:f>IF(V1936="Returned",0,T1936-U1936)</x:f>
        <x:v>473.1</x:v>
      </x:c>
      <x:c r="X1936" s="93" t="n">
        <x:f>IF(V1936="Returned",Q1936*R1936*10%,Q1936*R1936)</x:f>
        <x:v>290</x:v>
      </x:c>
      <x:c r="Y1936" s="93" t="n">
        <x:f>W1936-X1936</x:f>
        <x:v>183.10000000000002</x:v>
      </x:c>
      <x:c r="Z1936" s="94" t="n">
        <x:f>IFERROR(Y1936/W1936,0)</x:f>
        <x:v>0.3870217712957092</x:v>
      </x:c>
      <x:c r="AA1936" s="84" t="str">
        <x:f>PROPER(TRIM('Raw Sales'!M1936))</x:f>
        <x:v>Cash</x:v>
      </x:c>
      <x:c r="AB1936" s="84" t="str">
        <x:f>PROPER(TRIM('Raw Sales'!N1936))</x:f>
        <x:v>Leo Martinez</x:v>
      </x:c>
      <x:c r="AC1936" s="85" t="n">
        <x:f>'Raw Sales'!O1936</x:f>
        <x:v>45915</x:v>
      </x:c>
      <x:c r="AD1936" s="84" t="n">
        <x:f>AC1936-B1936</x:f>
        <x:v>0</x:v>
      </x:c>
      <x:c r="AE1936" s="84" t="str">
        <x:f>IF(COUNTIF($A$5:A1936,A1936)&gt;1,"Duplicate","Keep")</x:f>
        <x:v>Keep</x:v>
      </x:c>
      <x:c r="AF1936" s="84" t="str">
        <x:f>IF(OR(R1936&lt;=0,AC1936&lt;B1936,H1936="Unknown",M1936="Unknown Product"),"Review","Valid")</x:f>
        <x:v>Valid</x:v>
      </x:c>
      <x:c r="AG1936" s="84" t="n">
        <x:f>IF(AND(AE1936="Keep",AF1936="Valid"),1,0)</x:f>
        <x:v>1</x:v>
      </x:c>
      <x:c r="AH1936" s="84" t="n">
        <x:f>IF(AND(AG1936=1,OR('Dashboard'!$B$4="All",I1936='Dashboard'!$B$4),OR('Dashboard'!$E$4="All",N1936='Dashboard'!$E$4),OR('Dashboard'!$H$4="All",K1936='Dashboard'!$H$4),OR('Dashboard'!$K$4="All",C1936='Dashboard'!$K$4)),1,0)</x:f>
        <x:v>1</x:v>
      </x:c>
      <x:c r="AI1936" s="84" t="n">
        <x:f>IF(AND(AG1936=1,OR('Dashboard'!$B$4="All",I1936='Dashboard'!$B$4),OR('Dashboard'!$E$4="All",N1936='Dashboard'!$E$4),OR('Dashboard'!$H$4="All",K1936='Dashboard'!$H$4)),1,0)</x:f>
        <x:v>1</x:v>
      </x:c>
    </x:row>
    <x:row r="1937">
      <x:c r="A1937" s="84" t="str">
        <x:f>'Raw Sales'!A1937</x:f>
        <x:v>ORD-2025-00802</x:v>
      </x:c>
      <x:c r="B1937" s="85" t="n">
        <x:f>'Raw Sales'!B1937</x:f>
        <x:v>45915</x:v>
      </x:c>
      <x:c r="C1937" s="84" t="n">
        <x:f>YEAR(B1937)</x:f>
        <x:v>2025</x:v>
      </x:c>
      <x:c r="D1937" s="91" t="n">
        <x:f>DATE(YEAR(B1937),MONTH(B1937),1)</x:f>
        <x:v>45901</x:v>
      </x:c>
      <x:c r="E1937" s="84" t="str">
        <x:f>TEXT(B1937,"mmm")</x:f>
        <x:v>Sep</x:v>
      </x:c>
      <x:c r="F1937" s="84" t="str">
        <x:f>'Raw Sales'!C1937</x:f>
        <x:v>CUST-0217</x:v>
      </x:c>
      <x:c r="G1937" s="84" t="str">
        <x:f>PROPER(TRIM('Raw Sales'!D1937))</x:f>
        <x:v>Nathan Carter</x:v>
      </x:c>
      <x:c r="H1937" s="84" t="str">
        <x:f>IF(TRIM('Raw Sales'!E1937)="","Unknown",PROPER(TRIM('Raw Sales'!E1937)))</x:f>
        <x:v>Corporate</x:v>
      </x:c>
      <x:c r="I1937" s="84" t="str">
        <x:f>PROPER(TRIM('Raw Sales'!F1937))</x:f>
        <x:v>Northeast</x:v>
      </x:c>
      <x:c r="J1937" s="84" t="str">
        <x:f>PROPER(TRIM('Raw Sales'!G1937))</x:f>
        <x:v>Philadelphia</x:v>
      </x:c>
      <x:c r="K1937" s="84" t="str">
        <x:f>PROPER(TRIM('Raw Sales'!H1937))</x:f>
        <x:v>Online</x:v>
      </x:c>
      <x:c r="L1937" s="84" t="str">
        <x:f>'Raw Sales'!I1937</x:f>
        <x:v>ELEC-006</x:v>
      </x:c>
      <x:c r="M1937" s="84" t="str">
        <x:f>IFERROR(VLOOKUP(L1937,'Reference Data'!$A$5:$F$40,2,FALSE),"Unknown Product")</x:f>
        <x:v>Portable SSD</x:v>
      </x:c>
      <x:c r="N1937" s="84" t="str">
        <x:f>IFERROR(VLOOKUP(L1937,'Reference Data'!$A$5:$F$40,3,FALSE),"Unknown")</x:f>
        <x:v>Electronics</x:v>
      </x:c>
      <x:c r="O1937" s="84" t="str">
        <x:f>IFERROR(VLOOKUP(L1937,'Reference Data'!$A$5:$F$40,4,FALSE),"Unknown")</x:f>
        <x:v>Storage</x:v>
      </x:c>
      <x:c r="P1937" s="92" t="n">
        <x:f>IFERROR(VLOOKUP(L1937,'Reference Data'!$A$5:$F$40,5,FALSE),0)</x:f>
        <x:v>129</x:v>
      </x:c>
      <x:c r="Q1937" s="92" t="n">
        <x:f>IFERROR(VLOOKUP(L1937,'Reference Data'!$A$5:$F$40,6,FALSE),0)</x:f>
        <x:v>75</x:v>
      </x:c>
      <x:c r="R1937" s="84" t="n">
        <x:f>'Raw Sales'!J1937</x:f>
        <x:v>2</x:v>
      </x:c>
      <x:c r="S1937" s="87" t="n">
        <x:f>'Raw Sales'!K1937</x:f>
        <x:v>0</x:v>
      </x:c>
      <x:c r="T1937" s="93" t="n">
        <x:f>P1937*R1937</x:f>
        <x:v>258</x:v>
      </x:c>
      <x:c r="U1937" s="93" t="n">
        <x:f>T1937*S1937</x:f>
        <x:v>0</x:v>
      </x:c>
      <x:c r="V1937" s="93" t="str">
        <x:f>PROPER(TRIM('Raw Sales'!L1937))</x:f>
        <x:v>Completed</x:v>
      </x:c>
      <x:c r="W1937" s="93" t="n">
        <x:f>IF(V1937="Returned",0,T1937-U1937)</x:f>
        <x:v>258</x:v>
      </x:c>
      <x:c r="X1937" s="93" t="n">
        <x:f>IF(V1937="Returned",Q1937*R1937*10%,Q1937*R1937)</x:f>
        <x:v>150</x:v>
      </x:c>
      <x:c r="Y1937" s="93" t="n">
        <x:f>W1937-X1937</x:f>
        <x:v>108</x:v>
      </x:c>
      <x:c r="Z1937" s="94" t="n">
        <x:f>IFERROR(Y1937/W1937,0)</x:f>
        <x:v>0.4186046511627907</x:v>
      </x:c>
      <x:c r="AA1937" s="84" t="str">
        <x:f>PROPER(TRIM('Raw Sales'!M1937))</x:f>
        <x:v>Paypal</x:v>
      </x:c>
      <x:c r="AB1937" s="84" t="str">
        <x:f>PROPER(TRIM('Raw Sales'!N1937))</x:f>
        <x:v>Maya Brooks</x:v>
      </x:c>
      <x:c r="AC1937" s="85" t="n">
        <x:f>'Raw Sales'!O1937</x:f>
        <x:v>45917</x:v>
      </x:c>
      <x:c r="AD1937" s="84" t="n">
        <x:f>AC1937-B1937</x:f>
        <x:v>2</x:v>
      </x:c>
      <x:c r="AE1937" s="84" t="str">
        <x:f>IF(COUNTIF($A$5:A1937,A1937)&gt;1,"Duplicate","Keep")</x:f>
        <x:v>Keep</x:v>
      </x:c>
      <x:c r="AF1937" s="84" t="str">
        <x:f>IF(OR(R1937&lt;=0,AC1937&lt;B1937,H1937="Unknown",M1937="Unknown Product"),"Review","Valid")</x:f>
        <x:v>Valid</x:v>
      </x:c>
      <x:c r="AG1937" s="84" t="n">
        <x:f>IF(AND(AE1937="Keep",AF1937="Valid"),1,0)</x:f>
        <x:v>1</x:v>
      </x:c>
      <x:c r="AH1937" s="84" t="n">
        <x:f>IF(AND(AG1937=1,OR('Dashboard'!$B$4="All",I1937='Dashboard'!$B$4),OR('Dashboard'!$E$4="All",N1937='Dashboard'!$E$4),OR('Dashboard'!$H$4="All",K1937='Dashboard'!$H$4),OR('Dashboard'!$K$4="All",C1937='Dashboard'!$K$4)),1,0)</x:f>
        <x:v>1</x:v>
      </x:c>
      <x:c r="AI1937" s="84" t="n">
        <x:f>IF(AND(AG1937=1,OR('Dashboard'!$B$4="All",I1937='Dashboard'!$B$4),OR('Dashboard'!$E$4="All",N1937='Dashboard'!$E$4),OR('Dashboard'!$H$4="All",K1937='Dashboard'!$H$4)),1,0)</x:f>
        <x:v>1</x:v>
      </x:c>
    </x:row>
    <x:row r="1938">
      <x:c r="A1938" s="84" t="str">
        <x:f>'Raw Sales'!A1938</x:f>
        <x:v>ORD-2025-02335</x:v>
      </x:c>
      <x:c r="B1938" s="85" t="n">
        <x:f>'Raw Sales'!B1938</x:f>
        <x:v>45915</x:v>
      </x:c>
      <x:c r="C1938" s="84" t="n">
        <x:f>YEAR(B1938)</x:f>
        <x:v>2025</x:v>
      </x:c>
      <x:c r="D1938" s="91" t="n">
        <x:f>DATE(YEAR(B1938),MONTH(B1938),1)</x:f>
        <x:v>45901</x:v>
      </x:c>
      <x:c r="E1938" s="84" t="str">
        <x:f>TEXT(B1938,"mmm")</x:f>
        <x:v>Sep</x:v>
      </x:c>
      <x:c r="F1938" s="84" t="str">
        <x:f>'Raw Sales'!C1938</x:f>
        <x:v>CUST-0073</x:v>
      </x:c>
      <x:c r="G1938" s="84" t="str">
        <x:f>PROPER(TRIM('Raw Sales'!D1938))</x:f>
        <x:v>Jonah Smith</x:v>
      </x:c>
      <x:c r="H1938" s="84" t="str">
        <x:f>IF(TRIM('Raw Sales'!E1938)="","Unknown",PROPER(TRIM('Raw Sales'!E1938)))</x:f>
        <x:v>Corporate</x:v>
      </x:c>
      <x:c r="I1938" s="84" t="str">
        <x:f>PROPER(TRIM('Raw Sales'!F1938))</x:f>
        <x:v>Southeast</x:v>
      </x:c>
      <x:c r="J1938" s="84" t="str">
        <x:f>PROPER(TRIM('Raw Sales'!G1938))</x:f>
        <x:v>Miami</x:v>
      </x:c>
      <x:c r="K1938" s="84" t="str">
        <x:f>PROPER(TRIM('Raw Sales'!H1938))</x:f>
        <x:v>Marketplace</x:v>
      </x:c>
      <x:c r="L1938" s="84" t="str">
        <x:f>'Raw Sales'!I1938</x:f>
        <x:v>OFFC-002</x:v>
      </x:c>
      <x:c r="M1938" s="84" t="str">
        <x:f>IFERROR(VLOOKUP(L1938,'Reference Data'!$A$5:$F$40,2,FALSE),"Unknown Product")</x:f>
        <x:v>Standing Desk</x:v>
      </x:c>
      <x:c r="N1938" s="84" t="str">
        <x:f>IFERROR(VLOOKUP(L1938,'Reference Data'!$A$5:$F$40,3,FALSE),"Unknown")</x:f>
        <x:v>Office</x:v>
      </x:c>
      <x:c r="O1938" s="84" t="str">
        <x:f>IFERROR(VLOOKUP(L1938,'Reference Data'!$A$5:$F$40,4,FALSE),"Unknown")</x:f>
        <x:v>Furniture</x:v>
      </x:c>
      <x:c r="P1938" s="92" t="n">
        <x:f>IFERROR(VLOOKUP(L1938,'Reference Data'!$A$5:$F$40,5,FALSE),0)</x:f>
        <x:v>399</x:v>
      </x:c>
      <x:c r="Q1938" s="92" t="n">
        <x:f>IFERROR(VLOOKUP(L1938,'Reference Data'!$A$5:$F$40,6,FALSE),0)</x:f>
        <x:v>235</x:v>
      </x:c>
      <x:c r="R1938" s="84" t="n">
        <x:f>'Raw Sales'!J1938</x:f>
        <x:v>4</x:v>
      </x:c>
      <x:c r="S1938" s="87" t="n">
        <x:f>'Raw Sales'!K1938</x:f>
        <x:v>0.2</x:v>
      </x:c>
      <x:c r="T1938" s="93" t="n">
        <x:f>P1938*R1938</x:f>
        <x:v>1596</x:v>
      </x:c>
      <x:c r="U1938" s="93" t="n">
        <x:f>T1938*S1938</x:f>
        <x:v>319.20000000000005</x:v>
      </x:c>
      <x:c r="V1938" s="93" t="str">
        <x:f>PROPER(TRIM('Raw Sales'!L1938))</x:f>
        <x:v>Completed</x:v>
      </x:c>
      <x:c r="W1938" s="93" t="n">
        <x:f>IF(V1938="Returned",0,T1938-U1938)</x:f>
        <x:v>1276.8</x:v>
      </x:c>
      <x:c r="X1938" s="93" t="n">
        <x:f>IF(V1938="Returned",Q1938*R1938*10%,Q1938*R1938)</x:f>
        <x:v>940</x:v>
      </x:c>
      <x:c r="Y1938" s="93" t="n">
        <x:f>W1938-X1938</x:f>
        <x:v>336.79999999999995</x:v>
      </x:c>
      <x:c r="Z1938" s="94" t="n">
        <x:f>IFERROR(Y1938/W1938,0)</x:f>
        <x:v>0.2637844611528822</x:v>
      </x:c>
      <x:c r="AA1938" s="84" t="str">
        <x:f>PROPER(TRIM('Raw Sales'!M1938))</x:f>
        <x:v>Credit Card</x:v>
      </x:c>
      <x:c r="AB1938" s="84" t="str">
        <x:f>PROPER(TRIM('Raw Sales'!N1938))</x:f>
        <x:v>Ava Mitchell</x:v>
      </x:c>
      <x:c r="AC1938" s="85" t="n">
        <x:f>'Raw Sales'!O1938</x:f>
        <x:v>45919</x:v>
      </x:c>
      <x:c r="AD1938" s="84" t="n">
        <x:f>AC1938-B1938</x:f>
        <x:v>4</x:v>
      </x:c>
      <x:c r="AE1938" s="84" t="str">
        <x:f>IF(COUNTIF($A$5:A1938,A1938)&gt;1,"Duplicate","Keep")</x:f>
        <x:v>Keep</x:v>
      </x:c>
      <x:c r="AF1938" s="84" t="str">
        <x:f>IF(OR(R1938&lt;=0,AC1938&lt;B1938,H1938="Unknown",M1938="Unknown Product"),"Review","Valid")</x:f>
        <x:v>Valid</x:v>
      </x:c>
      <x:c r="AG1938" s="84" t="n">
        <x:f>IF(AND(AE1938="Keep",AF1938="Valid"),1,0)</x:f>
        <x:v>1</x:v>
      </x:c>
      <x:c r="AH1938" s="84" t="n">
        <x:f>IF(AND(AG1938=1,OR('Dashboard'!$B$4="All",I1938='Dashboard'!$B$4),OR('Dashboard'!$E$4="All",N1938='Dashboard'!$E$4),OR('Dashboard'!$H$4="All",K1938='Dashboard'!$H$4),OR('Dashboard'!$K$4="All",C1938='Dashboard'!$K$4)),1,0)</x:f>
        <x:v>1</x:v>
      </x:c>
      <x:c r="AI1938" s="84" t="n">
        <x:f>IF(AND(AG1938=1,OR('Dashboard'!$B$4="All",I1938='Dashboard'!$B$4),OR('Dashboard'!$E$4="All",N1938='Dashboard'!$E$4),OR('Dashboard'!$H$4="All",K1938='Dashboard'!$H$4)),1,0)</x:f>
        <x:v>1</x:v>
      </x:c>
    </x:row>
    <x:row r="1939">
      <x:c r="A1939" s="84" t="str">
        <x:f>'Raw Sales'!A1939</x:f>
        <x:v>ORD-2025-00059</x:v>
      </x:c>
      <x:c r="B1939" s="85" t="n">
        <x:f>'Raw Sales'!B1939</x:f>
        <x:v>45916</x:v>
      </x:c>
      <x:c r="C1939" s="84" t="n">
        <x:f>YEAR(B1939)</x:f>
        <x:v>2025</x:v>
      </x:c>
      <x:c r="D1939" s="91" t="n">
        <x:f>DATE(YEAR(B1939),MONTH(B1939),1)</x:f>
        <x:v>45901</x:v>
      </x:c>
      <x:c r="E1939" s="84" t="str">
        <x:f>TEXT(B1939,"mmm")</x:f>
        <x:v>Sep</x:v>
      </x:c>
      <x:c r="F1939" s="84" t="str">
        <x:f>'Raw Sales'!C1939</x:f>
        <x:v>CUST-0628</x:v>
      </x:c>
      <x:c r="G1939" s="84" t="str">
        <x:f>PROPER(TRIM('Raw Sales'!D1939))</x:f>
        <x:v>Isaac Young</x:v>
      </x:c>
      <x:c r="H1939" s="84" t="str">
        <x:f>IF(TRIM('Raw Sales'!E1939)="","Unknown",PROPER(TRIM('Raw Sales'!E1939)))</x:f>
        <x:v>Small Business</x:v>
      </x:c>
      <x:c r="I1939" s="84" t="str">
        <x:f>PROPER(TRIM('Raw Sales'!F1939))</x:f>
        <x:v>West</x:v>
      </x:c>
      <x:c r="J1939" s="84" t="str">
        <x:f>PROPER(TRIM('Raw Sales'!G1939))</x:f>
        <x:v>Denver</x:v>
      </x:c>
      <x:c r="K1939" s="84" t="str">
        <x:f>PROPER(TRIM('Raw Sales'!H1939))</x:f>
        <x:v>Online</x:v>
      </x:c>
      <x:c r="L1939" s="84" t="str">
        <x:f>'Raw Sales'!I1939</x:f>
        <x:v>ACCS-003</x:v>
      </x:c>
      <x:c r="M1939" s="84" t="str">
        <x:f>IFERROR(VLOOKUP(L1939,'Reference Data'!$A$5:$F$40,2,FALSE),"Unknown Product")</x:f>
        <x:v>Polarized Sunglasses</x:v>
      </x:c>
      <x:c r="N1939" s="84" t="str">
        <x:f>IFERROR(VLOOKUP(L1939,'Reference Data'!$A$5:$F$40,3,FALSE),"Unknown")</x:f>
        <x:v>Accessories</x:v>
      </x:c>
      <x:c r="O1939" s="84" t="str">
        <x:f>IFERROR(VLOOKUP(L1939,'Reference Data'!$A$5:$F$40,4,FALSE),"Unknown")</x:f>
        <x:v>Eyewear</x:v>
      </x:c>
      <x:c r="P1939" s="92" t="n">
        <x:f>IFERROR(VLOOKUP(L1939,'Reference Data'!$A$5:$F$40,5,FALSE),0)</x:f>
        <x:v>59</x:v>
      </x:c>
      <x:c r="Q1939" s="92" t="n">
        <x:f>IFERROR(VLOOKUP(L1939,'Reference Data'!$A$5:$F$40,6,FALSE),0)</x:f>
        <x:v>17</x:v>
      </x:c>
      <x:c r="R1939" s="84" t="n">
        <x:f>'Raw Sales'!J1939</x:f>
        <x:v>1</x:v>
      </x:c>
      <x:c r="S1939" s="87" t="n">
        <x:f>'Raw Sales'!K1939</x:f>
        <x:v>0.05</x:v>
      </x:c>
      <x:c r="T1939" s="93" t="n">
        <x:f>P1939*R1939</x:f>
        <x:v>59</x:v>
      </x:c>
      <x:c r="U1939" s="93" t="n">
        <x:f>T1939*S1939</x:f>
        <x:v>2.95</x:v>
      </x:c>
      <x:c r="V1939" s="93" t="str">
        <x:f>PROPER(TRIM('Raw Sales'!L1939))</x:f>
        <x:v>Completed</x:v>
      </x:c>
      <x:c r="W1939" s="93" t="n">
        <x:f>IF(V1939="Returned",0,T1939-U1939)</x:f>
        <x:v>56.05</x:v>
      </x:c>
      <x:c r="X1939" s="93" t="n">
        <x:f>IF(V1939="Returned",Q1939*R1939*10%,Q1939*R1939)</x:f>
        <x:v>17</x:v>
      </x:c>
      <x:c r="Y1939" s="93" t="n">
        <x:f>W1939-X1939</x:f>
        <x:v>39.05</x:v>
      </x:c>
      <x:c r="Z1939" s="94" t="n">
        <x:f>IFERROR(Y1939/W1939,0)</x:f>
        <x:v>0.6966993755575379</x:v>
      </x:c>
      <x:c r="AA1939" s="84" t="str">
        <x:f>PROPER(TRIM('Raw Sales'!M1939))</x:f>
        <x:v>Debit Card</x:v>
      </x:c>
      <x:c r="AB1939" s="84" t="str">
        <x:f>PROPER(TRIM('Raw Sales'!N1939))</x:f>
        <x:v>Nora Kim</x:v>
      </x:c>
      <x:c r="AC1939" s="85" t="n">
        <x:f>'Raw Sales'!O1939</x:f>
        <x:v>45920</x:v>
      </x:c>
      <x:c r="AD1939" s="84" t="n">
        <x:f>AC1939-B1939</x:f>
        <x:v>4</x:v>
      </x:c>
      <x:c r="AE1939" s="84" t="str">
        <x:f>IF(COUNTIF($A$5:A1939,A1939)&gt;1,"Duplicate","Keep")</x:f>
        <x:v>Keep</x:v>
      </x:c>
      <x:c r="AF1939" s="84" t="str">
        <x:f>IF(OR(R1939&lt;=0,AC1939&lt;B1939,H1939="Unknown",M1939="Unknown Product"),"Review","Valid")</x:f>
        <x:v>Valid</x:v>
      </x:c>
      <x:c r="AG1939" s="84" t="n">
        <x:f>IF(AND(AE1939="Keep",AF1939="Valid"),1,0)</x:f>
        <x:v>1</x:v>
      </x:c>
      <x:c r="AH1939" s="84" t="n">
        <x:f>IF(AND(AG1939=1,OR('Dashboard'!$B$4="All",I1939='Dashboard'!$B$4),OR('Dashboard'!$E$4="All",N1939='Dashboard'!$E$4),OR('Dashboard'!$H$4="All",K1939='Dashboard'!$H$4),OR('Dashboard'!$K$4="All",C1939='Dashboard'!$K$4)),1,0)</x:f>
        <x:v>1</x:v>
      </x:c>
      <x:c r="AI1939" s="84" t="n">
        <x:f>IF(AND(AG1939=1,OR('Dashboard'!$B$4="All",I1939='Dashboard'!$B$4),OR('Dashboard'!$E$4="All",N1939='Dashboard'!$E$4),OR('Dashboard'!$H$4="All",K1939='Dashboard'!$H$4)),1,0)</x:f>
        <x:v>1</x:v>
      </x:c>
    </x:row>
    <x:row r="1940">
      <x:c r="A1940" s="84" t="str">
        <x:f>'Raw Sales'!A1940</x:f>
        <x:v>ORD-2025-00104</x:v>
      </x:c>
      <x:c r="B1940" s="85" t="n">
        <x:f>'Raw Sales'!B1940</x:f>
        <x:v>45916</x:v>
      </x:c>
      <x:c r="C1940" s="84" t="n">
        <x:f>YEAR(B1940)</x:f>
        <x:v>2025</x:v>
      </x:c>
      <x:c r="D1940" s="91" t="n">
        <x:f>DATE(YEAR(B1940),MONTH(B1940),1)</x:f>
        <x:v>45901</x:v>
      </x:c>
      <x:c r="E1940" s="84" t="str">
        <x:f>TEXT(B1940,"mmm")</x:f>
        <x:v>Sep</x:v>
      </x:c>
      <x:c r="F1940" s="84" t="str">
        <x:f>'Raw Sales'!C1940</x:f>
        <x:v>CUST-0394</x:v>
      </x:c>
      <x:c r="G1940" s="84" t="str">
        <x:f>PROPER(TRIM('Raw Sales'!D1940))</x:f>
        <x:v>Priya Nelson</x:v>
      </x:c>
      <x:c r="H1940" s="84" t="str">
        <x:f>IF(TRIM('Raw Sales'!E1940)="","Unknown",PROPER(TRIM('Raw Sales'!E1940)))</x:f>
        <x:v>Corporate</x:v>
      </x:c>
      <x:c r="I1940" s="84" t="str">
        <x:f>PROPER(TRIM('Raw Sales'!F1940))</x:f>
        <x:v>West</x:v>
      </x:c>
      <x:c r="J1940" s="84" t="str">
        <x:f>PROPER(TRIM('Raw Sales'!G1940))</x:f>
        <x:v>Denver</x:v>
      </x:c>
      <x:c r="K1940" s="84" t="str">
        <x:f>PROPER(TRIM('Raw Sales'!H1940))</x:f>
        <x:v>Marketplace</x:v>
      </x:c>
      <x:c r="L1940" s="84" t="str">
        <x:f>'Raw Sales'!I1940</x:f>
        <x:v>CARE-003</x:v>
      </x:c>
      <x:c r="M1940" s="84" t="str">
        <x:f>IFERROR(VLOOKUP(L1940,'Reference Data'!$A$5:$F$40,2,FALSE),"Unknown Product")</x:f>
        <x:v>Facial Cleanser</x:v>
      </x:c>
      <x:c r="N1940" s="84" t="str">
        <x:f>IFERROR(VLOOKUP(L1940,'Reference Data'!$A$5:$F$40,3,FALSE),"Unknown")</x:f>
        <x:v>Personal Care</x:v>
      </x:c>
      <x:c r="O1940" s="84" t="str">
        <x:f>IFERROR(VLOOKUP(L1940,'Reference Data'!$A$5:$F$40,4,FALSE),"Unknown")</x:f>
        <x:v>Skin Care</x:v>
      </x:c>
      <x:c r="P1940" s="92" t="n">
        <x:f>IFERROR(VLOOKUP(L1940,'Reference Data'!$A$5:$F$40,5,FALSE),0)</x:f>
        <x:v>18</x:v>
      </x:c>
      <x:c r="Q1940" s="92" t="n">
        <x:f>IFERROR(VLOOKUP(L1940,'Reference Data'!$A$5:$F$40,6,FALSE),0)</x:f>
        <x:v>6</x:v>
      </x:c>
      <x:c r="R1940" s="84" t="n">
        <x:f>'Raw Sales'!J1940</x:f>
        <x:v>2</x:v>
      </x:c>
      <x:c r="S1940" s="87" t="n">
        <x:f>'Raw Sales'!K1940</x:f>
        <x:v>0.05</x:v>
      </x:c>
      <x:c r="T1940" s="93" t="n">
        <x:f>P1940*R1940</x:f>
        <x:v>36</x:v>
      </x:c>
      <x:c r="U1940" s="93" t="n">
        <x:f>T1940*S1940</x:f>
        <x:v>1.8</x:v>
      </x:c>
      <x:c r="V1940" s="93" t="str">
        <x:f>PROPER(TRIM('Raw Sales'!L1940))</x:f>
        <x:v>Completed</x:v>
      </x:c>
      <x:c r="W1940" s="93" t="n">
        <x:f>IF(V1940="Returned",0,T1940-U1940)</x:f>
        <x:v>34.2</x:v>
      </x:c>
      <x:c r="X1940" s="93" t="n">
        <x:f>IF(V1940="Returned",Q1940*R1940*10%,Q1940*R1940)</x:f>
        <x:v>12</x:v>
      </x:c>
      <x:c r="Y1940" s="93" t="n">
        <x:f>W1940-X1940</x:f>
        <x:v>22.200000000000003</x:v>
      </x:c>
      <x:c r="Z1940" s="94" t="n">
        <x:f>IFERROR(Y1940/W1940,0)</x:f>
        <x:v>0.6491228070175439</x:v>
      </x:c>
      <x:c r="AA1940" s="84" t="str">
        <x:f>PROPER(TRIM('Raw Sales'!M1940))</x:f>
        <x:v>Credit Card</x:v>
      </x:c>
      <x:c r="AB1940" s="84" t="str">
        <x:f>PROPER(TRIM('Raw Sales'!N1940))</x:f>
        <x:v>Nora Kim</x:v>
      </x:c>
      <x:c r="AC1940" s="85" t="n">
        <x:f>'Raw Sales'!O1940</x:f>
        <x:v>45919</x:v>
      </x:c>
      <x:c r="AD1940" s="84" t="n">
        <x:f>AC1940-B1940</x:f>
        <x:v>3</x:v>
      </x:c>
      <x:c r="AE1940" s="84" t="str">
        <x:f>IF(COUNTIF($A$5:A1940,A1940)&gt;1,"Duplicate","Keep")</x:f>
        <x:v>Keep</x:v>
      </x:c>
      <x:c r="AF1940" s="84" t="str">
        <x:f>IF(OR(R1940&lt;=0,AC1940&lt;B1940,H1940="Unknown",M1940="Unknown Product"),"Review","Valid")</x:f>
        <x:v>Valid</x:v>
      </x:c>
      <x:c r="AG1940" s="84" t="n">
        <x:f>IF(AND(AE1940="Keep",AF1940="Valid"),1,0)</x:f>
        <x:v>1</x:v>
      </x:c>
      <x:c r="AH1940" s="84" t="n">
        <x:f>IF(AND(AG1940=1,OR('Dashboard'!$B$4="All",I1940='Dashboard'!$B$4),OR('Dashboard'!$E$4="All",N1940='Dashboard'!$E$4),OR('Dashboard'!$H$4="All",K1940='Dashboard'!$H$4),OR('Dashboard'!$K$4="All",C1940='Dashboard'!$K$4)),1,0)</x:f>
        <x:v>1</x:v>
      </x:c>
      <x:c r="AI1940" s="84" t="n">
        <x:f>IF(AND(AG1940=1,OR('Dashboard'!$B$4="All",I1940='Dashboard'!$B$4),OR('Dashboard'!$E$4="All",N1940='Dashboard'!$E$4),OR('Dashboard'!$H$4="All",K1940='Dashboard'!$H$4)),1,0)</x:f>
        <x:v>1</x:v>
      </x:c>
    </x:row>
    <x:row r="1941">
      <x:c r="A1941" s="84" t="str">
        <x:f>'Raw Sales'!A1941</x:f>
        <x:v>ORD-2025-00317</x:v>
      </x:c>
      <x:c r="B1941" s="85" t="n">
        <x:f>'Raw Sales'!B1941</x:f>
        <x:v>45916</x:v>
      </x:c>
      <x:c r="C1941" s="84" t="n">
        <x:f>YEAR(B1941)</x:f>
        <x:v>2025</x:v>
      </x:c>
      <x:c r="D1941" s="91" t="n">
        <x:f>DATE(YEAR(B1941),MONTH(B1941),1)</x:f>
        <x:v>45901</x:v>
      </x:c>
      <x:c r="E1941" s="84" t="str">
        <x:f>TEXT(B1941,"mmm")</x:f>
        <x:v>Sep</x:v>
      </x:c>
      <x:c r="F1941" s="84" t="str">
        <x:f>'Raw Sales'!C1941</x:f>
        <x:v>CUST-0458</x:v>
      </x:c>
      <x:c r="G1941" s="84" t="str">
        <x:f>PROPER(TRIM('Raw Sales'!D1941))</x:f>
        <x:v>Samuel Carter</x:v>
      </x:c>
      <x:c r="H1941" s="84" t="str">
        <x:f>IF(TRIM('Raw Sales'!E1941)="","Unknown",PROPER(TRIM('Raw Sales'!E1941)))</x:f>
        <x:v>Consumer</x:v>
      </x:c>
      <x:c r="I1941" s="84" t="str">
        <x:f>PROPER(TRIM('Raw Sales'!F1941))</x:f>
        <x:v>Southeast</x:v>
      </x:c>
      <x:c r="J1941" s="84" t="str">
        <x:f>PROPER(TRIM('Raw Sales'!G1941))</x:f>
        <x:v>Atlanta</x:v>
      </x:c>
      <x:c r="K1941" s="84" t="str">
        <x:f>PROPER(TRIM('Raw Sales'!H1941))</x:f>
        <x:v>Retail Store</x:v>
      </x:c>
      <x:c r="L1941" s="84" t="str">
        <x:f>'Raw Sales'!I1941</x:f>
        <x:v>FITN-006</x:v>
      </x:c>
      <x:c r="M1941" s="84" t="str">
        <x:f>IFERROR(VLOOKUP(L1941,'Reference Data'!$A$5:$F$40,2,FALSE),"Unknown Product")</x:f>
        <x:v>Foam Roller</x:v>
      </x:c>
      <x:c r="N1941" s="84" t="str">
        <x:f>IFERROR(VLOOKUP(L1941,'Reference Data'!$A$5:$F$40,3,FALSE),"Unknown")</x:f>
        <x:v>Fitness</x:v>
      </x:c>
      <x:c r="O1941" s="84" t="str">
        <x:f>IFERROR(VLOOKUP(L1941,'Reference Data'!$A$5:$F$40,4,FALSE),"Unknown")</x:f>
        <x:v>Recovery</x:v>
      </x:c>
      <x:c r="P1941" s="92" t="n">
        <x:f>IFERROR(VLOOKUP(L1941,'Reference Data'!$A$5:$F$40,5,FALSE),0)</x:f>
        <x:v>31</x:v>
      </x:c>
      <x:c r="Q1941" s="92" t="n">
        <x:f>IFERROR(VLOOKUP(L1941,'Reference Data'!$A$5:$F$40,6,FALSE),0)</x:f>
        <x:v>12</x:v>
      </x:c>
      <x:c r="R1941" s="84" t="n">
        <x:f>'Raw Sales'!J1941</x:f>
        <x:v>1</x:v>
      </x:c>
      <x:c r="S1941" s="87" t="n">
        <x:f>'Raw Sales'!K1941</x:f>
        <x:v>0</x:v>
      </x:c>
      <x:c r="T1941" s="93" t="n">
        <x:f>P1941*R1941</x:f>
        <x:v>31</x:v>
      </x:c>
      <x:c r="U1941" s="93" t="n">
        <x:f>T1941*S1941</x:f>
        <x:v>0</x:v>
      </x:c>
      <x:c r="V1941" s="93" t="str">
        <x:f>PROPER(TRIM('Raw Sales'!L1941))</x:f>
        <x:v>Completed</x:v>
      </x:c>
      <x:c r="W1941" s="93" t="n">
        <x:f>IF(V1941="Returned",0,T1941-U1941)</x:f>
        <x:v>31</x:v>
      </x:c>
      <x:c r="X1941" s="93" t="n">
        <x:f>IF(V1941="Returned",Q1941*R1941*10%,Q1941*R1941)</x:f>
        <x:v>12</x:v>
      </x:c>
      <x:c r="Y1941" s="93" t="n">
        <x:f>W1941-X1941</x:f>
        <x:v>19</x:v>
      </x:c>
      <x:c r="Z1941" s="94" t="n">
        <x:f>IFERROR(Y1941/W1941,0)</x:f>
        <x:v>0.6129032258064516</x:v>
      </x:c>
      <x:c r="AA1941" s="84" t="str">
        <x:f>PROPER(TRIM('Raw Sales'!M1941))</x:f>
        <x:v>Cash</x:v>
      </x:c>
      <x:c r="AB1941" s="84" t="str">
        <x:f>PROPER(TRIM('Raw Sales'!N1941))</x:f>
        <x:v>Ava Mitchell</x:v>
      </x:c>
      <x:c r="AC1941" s="85" t="n">
        <x:f>'Raw Sales'!O1941</x:f>
        <x:v>45916</x:v>
      </x:c>
      <x:c r="AD1941" s="84" t="n">
        <x:f>AC1941-B1941</x:f>
        <x:v>0</x:v>
      </x:c>
      <x:c r="AE1941" s="84" t="str">
        <x:f>IF(COUNTIF($A$5:A1941,A1941)&gt;1,"Duplicate","Keep")</x:f>
        <x:v>Keep</x:v>
      </x:c>
      <x:c r="AF1941" s="84" t="str">
        <x:f>IF(OR(R1941&lt;=0,AC1941&lt;B1941,H1941="Unknown",M1941="Unknown Product"),"Review","Valid")</x:f>
        <x:v>Valid</x:v>
      </x:c>
      <x:c r="AG1941" s="84" t="n">
        <x:f>IF(AND(AE1941="Keep",AF1941="Valid"),1,0)</x:f>
        <x:v>1</x:v>
      </x:c>
      <x:c r="AH1941" s="84" t="n">
        <x:f>IF(AND(AG1941=1,OR('Dashboard'!$B$4="All",I1941='Dashboard'!$B$4),OR('Dashboard'!$E$4="All",N1941='Dashboard'!$E$4),OR('Dashboard'!$H$4="All",K1941='Dashboard'!$H$4),OR('Dashboard'!$K$4="All",C1941='Dashboard'!$K$4)),1,0)</x:f>
        <x:v>1</x:v>
      </x:c>
      <x:c r="AI1941" s="84" t="n">
        <x:f>IF(AND(AG1941=1,OR('Dashboard'!$B$4="All",I1941='Dashboard'!$B$4),OR('Dashboard'!$E$4="All",N1941='Dashboard'!$E$4),OR('Dashboard'!$H$4="All",K1941='Dashboard'!$H$4)),1,0)</x:f>
        <x:v>1</x:v>
      </x:c>
    </x:row>
    <x:row r="1942">
      <x:c r="A1942" s="84" t="str">
        <x:f>'Raw Sales'!A1942</x:f>
        <x:v>ORD-2025-00416</x:v>
      </x:c>
      <x:c r="B1942" s="85" t="n">
        <x:f>'Raw Sales'!B1942</x:f>
        <x:v>45916</x:v>
      </x:c>
      <x:c r="C1942" s="84" t="n">
        <x:f>YEAR(B1942)</x:f>
        <x:v>2025</x:v>
      </x:c>
      <x:c r="D1942" s="91" t="n">
        <x:f>DATE(YEAR(B1942),MONTH(B1942),1)</x:f>
        <x:v>45901</x:v>
      </x:c>
      <x:c r="E1942" s="84" t="str">
        <x:f>TEXT(B1942,"mmm")</x:f>
        <x:v>Sep</x:v>
      </x:c>
      <x:c r="F1942" s="84" t="str">
        <x:f>'Raw Sales'!C1942</x:f>
        <x:v>CUST-0493</x:v>
      </x:c>
      <x:c r="G1942" s="84" t="str">
        <x:f>PROPER(TRIM('Raw Sales'!D1942))</x:f>
        <x:v>Nina Evans</x:v>
      </x:c>
      <x:c r="H1942" s="84" t="str">
        <x:f>IF(TRIM('Raw Sales'!E1942)="","Unknown",PROPER(TRIM('Raw Sales'!E1942)))</x:f>
        <x:v>Corporate</x:v>
      </x:c>
      <x:c r="I1942" s="84" t="str">
        <x:f>PROPER(TRIM('Raw Sales'!F1942))</x:f>
        <x:v>West</x:v>
      </x:c>
      <x:c r="J1942" s="84" t="str">
        <x:f>PROPER(TRIM('Raw Sales'!G1942))</x:f>
        <x:v>Denver</x:v>
      </x:c>
      <x:c r="K1942" s="84" t="str">
        <x:f>PROPER(TRIM('Raw Sales'!H1942))</x:f>
        <x:v>Online</x:v>
      </x:c>
      <x:c r="L1942" s="84" t="str">
        <x:f>'Raw Sales'!I1942</x:f>
        <x:v>ELEC-006</x:v>
      </x:c>
      <x:c r="M1942" s="84" t="str">
        <x:f>IFERROR(VLOOKUP(L1942,'Reference Data'!$A$5:$F$40,2,FALSE),"Unknown Product")</x:f>
        <x:v>Portable SSD</x:v>
      </x:c>
      <x:c r="N1942" s="84" t="str">
        <x:f>IFERROR(VLOOKUP(L1942,'Reference Data'!$A$5:$F$40,3,FALSE),"Unknown")</x:f>
        <x:v>Electronics</x:v>
      </x:c>
      <x:c r="O1942" s="84" t="str">
        <x:f>IFERROR(VLOOKUP(L1942,'Reference Data'!$A$5:$F$40,4,FALSE),"Unknown")</x:f>
        <x:v>Storage</x:v>
      </x:c>
      <x:c r="P1942" s="92" t="n">
        <x:f>IFERROR(VLOOKUP(L1942,'Reference Data'!$A$5:$F$40,5,FALSE),0)</x:f>
        <x:v>129</x:v>
      </x:c>
      <x:c r="Q1942" s="92" t="n">
        <x:f>IFERROR(VLOOKUP(L1942,'Reference Data'!$A$5:$F$40,6,FALSE),0)</x:f>
        <x:v>75</x:v>
      </x:c>
      <x:c r="R1942" s="84" t="n">
        <x:f>'Raw Sales'!J1942</x:f>
        <x:v>3</x:v>
      </x:c>
      <x:c r="S1942" s="87" t="n">
        <x:f>'Raw Sales'!K1942</x:f>
        <x:v>0.15</x:v>
      </x:c>
      <x:c r="T1942" s="93" t="n">
        <x:f>P1942*R1942</x:f>
        <x:v>387</x:v>
      </x:c>
      <x:c r="U1942" s="93" t="n">
        <x:f>T1942*S1942</x:f>
        <x:v>58.05</x:v>
      </x:c>
      <x:c r="V1942" s="93" t="str">
        <x:f>PROPER(TRIM('Raw Sales'!L1942))</x:f>
        <x:v>Completed</x:v>
      </x:c>
      <x:c r="W1942" s="93" t="n">
        <x:f>IF(V1942="Returned",0,T1942-U1942)</x:f>
        <x:v>328.95</x:v>
      </x:c>
      <x:c r="X1942" s="93" t="n">
        <x:f>IF(V1942="Returned",Q1942*R1942*10%,Q1942*R1942)</x:f>
        <x:v>225</x:v>
      </x:c>
      <x:c r="Y1942" s="93" t="n">
        <x:f>W1942-X1942</x:f>
        <x:v>103.94999999999999</x:v>
      </x:c>
      <x:c r="Z1942" s="94" t="n">
        <x:f>IFERROR(Y1942/W1942,0)</x:f>
        <x:v>0.3160054719562243</x:v>
      </x:c>
      <x:c r="AA1942" s="84" t="str">
        <x:f>PROPER(TRIM('Raw Sales'!M1942))</x:f>
        <x:v>Credit Card</x:v>
      </x:c>
      <x:c r="AB1942" s="84" t="str">
        <x:f>PROPER(TRIM('Raw Sales'!N1942))</x:f>
        <x:v>Mia Chen</x:v>
      </x:c>
      <x:c r="AC1942" s="85" t="n">
        <x:f>'Raw Sales'!O1942</x:f>
        <x:v>45921</x:v>
      </x:c>
      <x:c r="AD1942" s="84" t="n">
        <x:f>AC1942-B1942</x:f>
        <x:v>5</x:v>
      </x:c>
      <x:c r="AE1942" s="84" t="str">
        <x:f>IF(COUNTIF($A$5:A1942,A1942)&gt;1,"Duplicate","Keep")</x:f>
        <x:v>Keep</x:v>
      </x:c>
      <x:c r="AF1942" s="84" t="str">
        <x:f>IF(OR(R1942&lt;=0,AC1942&lt;B1942,H1942="Unknown",M1942="Unknown Product"),"Review","Valid")</x:f>
        <x:v>Valid</x:v>
      </x:c>
      <x:c r="AG1942" s="84" t="n">
        <x:f>IF(AND(AE1942="Keep",AF1942="Valid"),1,0)</x:f>
        <x:v>1</x:v>
      </x:c>
      <x:c r="AH1942" s="84" t="n">
        <x:f>IF(AND(AG1942=1,OR('Dashboard'!$B$4="All",I1942='Dashboard'!$B$4),OR('Dashboard'!$E$4="All",N1942='Dashboard'!$E$4),OR('Dashboard'!$H$4="All",K1942='Dashboard'!$H$4),OR('Dashboard'!$K$4="All",C1942='Dashboard'!$K$4)),1,0)</x:f>
        <x:v>1</x:v>
      </x:c>
      <x:c r="AI1942" s="84" t="n">
        <x:f>IF(AND(AG1942=1,OR('Dashboard'!$B$4="All",I1942='Dashboard'!$B$4),OR('Dashboard'!$E$4="All",N1942='Dashboard'!$E$4),OR('Dashboard'!$H$4="All",K1942='Dashboard'!$H$4)),1,0)</x:f>
        <x:v>1</x:v>
      </x:c>
    </x:row>
    <x:row r="1943">
      <x:c r="A1943" s="84" t="str">
        <x:f>'Raw Sales'!A1943</x:f>
        <x:v>ORD-2025-00217</x:v>
      </x:c>
      <x:c r="B1943" s="85" t="n">
        <x:f>'Raw Sales'!B1943</x:f>
        <x:v>45917</x:v>
      </x:c>
      <x:c r="C1943" s="84" t="n">
        <x:f>YEAR(B1943)</x:f>
        <x:v>2025</x:v>
      </x:c>
      <x:c r="D1943" s="91" t="n">
        <x:f>DATE(YEAR(B1943),MONTH(B1943),1)</x:f>
        <x:v>45901</x:v>
      </x:c>
      <x:c r="E1943" s="84" t="str">
        <x:f>TEXT(B1943,"mmm")</x:f>
        <x:v>Sep</x:v>
      </x:c>
      <x:c r="F1943" s="84" t="str">
        <x:f>'Raw Sales'!C1943</x:f>
        <x:v>CUST-0338</x:v>
      </x:c>
      <x:c r="G1943" s="84" t="str">
        <x:f>PROPER(TRIM('Raw Sales'!D1943))</x:f>
        <x:v>Caleb Irwin</x:v>
      </x:c>
      <x:c r="H1943" s="84" t="str">
        <x:f>IF(TRIM('Raw Sales'!E1943)="","Unknown",PROPER(TRIM('Raw Sales'!E1943)))</x:f>
        <x:v>Consumer</x:v>
      </x:c>
      <x:c r="I1943" s="84" t="str">
        <x:f>PROPER(TRIM('Raw Sales'!F1943))</x:f>
        <x:v>Southeast</x:v>
      </x:c>
      <x:c r="J1943" s="84" t="str">
        <x:f>PROPER(TRIM('Raw Sales'!G1943))</x:f>
        <x:v>Miami</x:v>
      </x:c>
      <x:c r="K1943" s="84" t="str">
        <x:f>PROPER(TRIM('Raw Sales'!H1943))</x:f>
        <x:v>Online</x:v>
      </x:c>
      <x:c r="L1943" s="84" t="str">
        <x:f>'Raw Sales'!I1943</x:f>
        <x:v>ACCS-004</x:v>
      </x:c>
      <x:c r="M1943" s="84" t="str">
        <x:f>IFERROR(VLOOKUP(L1943,'Reference Data'!$A$5:$F$40,2,FALSE),"Unknown Product")</x:f>
        <x:v>Leather Wallet</x:v>
      </x:c>
      <x:c r="N1943" s="84" t="str">
        <x:f>IFERROR(VLOOKUP(L1943,'Reference Data'!$A$5:$F$40,3,FALSE),"Unknown")</x:f>
        <x:v>Accessories</x:v>
      </x:c>
      <x:c r="O1943" s="84" t="str">
        <x:f>IFERROR(VLOOKUP(L1943,'Reference Data'!$A$5:$F$40,4,FALSE),"Unknown")</x:f>
        <x:v>Wallets</x:v>
      </x:c>
      <x:c r="P1943" s="92" t="n">
        <x:f>IFERROR(VLOOKUP(L1943,'Reference Data'!$A$5:$F$40,5,FALSE),0)</x:f>
        <x:v>49</x:v>
      </x:c>
      <x:c r="Q1943" s="92" t="n">
        <x:f>IFERROR(VLOOKUP(L1943,'Reference Data'!$A$5:$F$40,6,FALSE),0)</x:f>
        <x:v>18</x:v>
      </x:c>
      <x:c r="R1943" s="84" t="n">
        <x:f>'Raw Sales'!J1943</x:f>
        <x:v>-1</x:v>
      </x:c>
      <x:c r="S1943" s="87" t="n">
        <x:f>'Raw Sales'!K1943</x:f>
        <x:v>0.1</x:v>
      </x:c>
      <x:c r="T1943" s="93" t="n">
        <x:f>P1943*R1943</x:f>
        <x:v>-49</x:v>
      </x:c>
      <x:c r="U1943" s="93" t="n">
        <x:f>T1943*S1943</x:f>
        <x:v>-4.9</x:v>
      </x:c>
      <x:c r="V1943" s="93" t="str">
        <x:f>PROPER(TRIM('Raw Sales'!L1943))</x:f>
        <x:v>Completed</x:v>
      </x:c>
      <x:c r="W1943" s="93" t="n">
        <x:f>IF(V1943="Returned",0,T1943-U1943)</x:f>
        <x:v>-44.1</x:v>
      </x:c>
      <x:c r="X1943" s="93" t="n">
        <x:f>IF(V1943="Returned",Q1943*R1943*10%,Q1943*R1943)</x:f>
        <x:v>-18</x:v>
      </x:c>
      <x:c r="Y1943" s="93" t="n">
        <x:f>W1943-X1943</x:f>
        <x:v>-26.1</x:v>
      </x:c>
      <x:c r="Z1943" s="94" t="n">
        <x:f>IFERROR(Y1943/W1943,0)</x:f>
        <x:v>0.5918367346938775</x:v>
      </x:c>
      <x:c r="AA1943" s="84" t="str">
        <x:f>PROPER(TRIM('Raw Sales'!M1943))</x:f>
        <x:v>Credit Card</x:v>
      </x:c>
      <x:c r="AB1943" s="84" t="str">
        <x:f>PROPER(TRIM('Raw Sales'!N1943))</x:f>
        <x:v>Noah Reed</x:v>
      </x:c>
      <x:c r="AC1943" s="85" t="n">
        <x:f>'Raw Sales'!O1943</x:f>
        <x:v>45922</x:v>
      </x:c>
      <x:c r="AD1943" s="84" t="n">
        <x:f>AC1943-B1943</x:f>
        <x:v>5</x:v>
      </x:c>
      <x:c r="AE1943" s="84" t="str">
        <x:f>IF(COUNTIF($A$5:A1943,A1943)&gt;1,"Duplicate","Keep")</x:f>
        <x:v>Keep</x:v>
      </x:c>
      <x:c r="AF1943" s="84" t="str">
        <x:f>IF(OR(R1943&lt;=0,AC1943&lt;B1943,H1943="Unknown",M1943="Unknown Product"),"Review","Valid")</x:f>
        <x:v>Review</x:v>
      </x:c>
      <x:c r="AG1943" s="84" t="n">
        <x:f>IF(AND(AE1943="Keep",AF1943="Valid"),1,0)</x:f>
        <x:v>0</x:v>
      </x:c>
      <x:c r="AH1943" s="84" t="n">
        <x:f>IF(AND(AG1943=1,OR('Dashboard'!$B$4="All",I1943='Dashboard'!$B$4),OR('Dashboard'!$E$4="All",N1943='Dashboard'!$E$4),OR('Dashboard'!$H$4="All",K1943='Dashboard'!$H$4),OR('Dashboard'!$K$4="All",C1943='Dashboard'!$K$4)),1,0)</x:f>
        <x:v>0</x:v>
      </x:c>
      <x:c r="AI1943" s="84" t="n">
        <x:f>IF(AND(AG1943=1,OR('Dashboard'!$B$4="All",I1943='Dashboard'!$B$4),OR('Dashboard'!$E$4="All",N1943='Dashboard'!$E$4),OR('Dashboard'!$H$4="All",K1943='Dashboard'!$H$4)),1,0)</x:f>
        <x:v>0</x:v>
      </x:c>
    </x:row>
    <x:row r="1944">
      <x:c r="A1944" s="84" t="str">
        <x:f>'Raw Sales'!A1944</x:f>
        <x:v>ORD-2025-00520</x:v>
      </x:c>
      <x:c r="B1944" s="85" t="n">
        <x:f>'Raw Sales'!B1944</x:f>
        <x:v>45917</x:v>
      </x:c>
      <x:c r="C1944" s="84" t="n">
        <x:f>YEAR(B1944)</x:f>
        <x:v>2025</x:v>
      </x:c>
      <x:c r="D1944" s="91" t="n">
        <x:f>DATE(YEAR(B1944),MONTH(B1944),1)</x:f>
        <x:v>45901</x:v>
      </x:c>
      <x:c r="E1944" s="84" t="str">
        <x:f>TEXT(B1944,"mmm")</x:f>
        <x:v>Sep</x:v>
      </x:c>
      <x:c r="F1944" s="84" t="str">
        <x:f>'Raw Sales'!C1944</x:f>
        <x:v>CUST-0468</x:v>
      </x:c>
      <x:c r="G1944" s="84" t="str">
        <x:f>PROPER(TRIM('Raw Sales'!D1944))</x:f>
        <x:v>Sara Garcia</x:v>
      </x:c>
      <x:c r="H1944" s="84" t="str">
        <x:f>IF(TRIM('Raw Sales'!E1944)="","Unknown",PROPER(TRIM('Raw Sales'!E1944)))</x:f>
        <x:v>Corporate</x:v>
      </x:c>
      <x:c r="I1944" s="84" t="str">
        <x:f>PROPER(TRIM('Raw Sales'!F1944))</x:f>
        <x:v>Northeast</x:v>
      </x:c>
      <x:c r="J1944" s="84" t="str">
        <x:f>PROPER(TRIM('Raw Sales'!G1944))</x:f>
        <x:v>Boston</x:v>
      </x:c>
      <x:c r="K1944" s="84" t="str">
        <x:f>PROPER(TRIM('Raw Sales'!H1944))</x:f>
        <x:v>Marketplace</x:v>
      </x:c>
      <x:c r="L1944" s="84" t="str">
        <x:f>'Raw Sales'!I1944</x:f>
        <x:v>HOME-005</x:v>
      </x:c>
      <x:c r="M1944" s="84" t="str">
        <x:f>IFERROR(VLOOKUP(L1944,'Reference Data'!$A$5:$F$40,2,FALSE),"Unknown Product")</x:f>
        <x:v>Cordless Vacuum</x:v>
      </x:c>
      <x:c r="N1944" s="84" t="str">
        <x:f>IFERROR(VLOOKUP(L1944,'Reference Data'!$A$5:$F$40,3,FALSE),"Unknown")</x:f>
        <x:v>Home &amp; Kitchen</x:v>
      </x:c>
      <x:c r="O1944" s="84" t="str">
        <x:f>IFERROR(VLOOKUP(L1944,'Reference Data'!$A$5:$F$40,4,FALSE),"Unknown")</x:f>
        <x:v>Cleaning</x:v>
      </x:c>
      <x:c r="P1944" s="92" t="n">
        <x:f>IFERROR(VLOOKUP(L1944,'Reference Data'!$A$5:$F$40,5,FALSE),0)</x:f>
        <x:v>179</x:v>
      </x:c>
      <x:c r="Q1944" s="92" t="n">
        <x:f>IFERROR(VLOOKUP(L1944,'Reference Data'!$A$5:$F$40,6,FALSE),0)</x:f>
        <x:v>102</x:v>
      </x:c>
      <x:c r="R1944" s="84" t="n">
        <x:f>'Raw Sales'!J1944</x:f>
        <x:v>2</x:v>
      </x:c>
      <x:c r="S1944" s="87" t="n">
        <x:f>'Raw Sales'!K1944</x:f>
        <x:v>0.1</x:v>
      </x:c>
      <x:c r="T1944" s="93" t="n">
        <x:f>P1944*R1944</x:f>
        <x:v>358</x:v>
      </x:c>
      <x:c r="U1944" s="93" t="n">
        <x:f>T1944*S1944</x:f>
        <x:v>35.800000000000004</x:v>
      </x:c>
      <x:c r="V1944" s="93" t="str">
        <x:f>PROPER(TRIM('Raw Sales'!L1944))</x:f>
        <x:v>Completed</x:v>
      </x:c>
      <x:c r="W1944" s="93" t="n">
        <x:f>IF(V1944="Returned",0,T1944-U1944)</x:f>
        <x:v>322.2</x:v>
      </x:c>
      <x:c r="X1944" s="93" t="n">
        <x:f>IF(V1944="Returned",Q1944*R1944*10%,Q1944*R1944)</x:f>
        <x:v>204</x:v>
      </x:c>
      <x:c r="Y1944" s="93" t="n">
        <x:f>W1944-X1944</x:f>
        <x:v>118.19999999999999</x:v>
      </x:c>
      <x:c r="Z1944" s="94" t="n">
        <x:f>IFERROR(Y1944/W1944,0)</x:f>
        <x:v>0.36685288640595903</x:v>
      </x:c>
      <x:c r="AA1944" s="84" t="str">
        <x:f>PROPER(TRIM('Raw Sales'!M1944))</x:f>
        <x:v>Credit Card</x:v>
      </x:c>
      <x:c r="AB1944" s="84" t="str">
        <x:f>PROPER(TRIM('Raw Sales'!N1944))</x:f>
        <x:v>Maya Brooks</x:v>
      </x:c>
      <x:c r="AC1944" s="85" t="n">
        <x:f>'Raw Sales'!O1944</x:f>
        <x:v>45923</x:v>
      </x:c>
      <x:c r="AD1944" s="84" t="n">
        <x:f>AC1944-B1944</x:f>
        <x:v>6</x:v>
      </x:c>
      <x:c r="AE1944" s="84" t="str">
        <x:f>IF(COUNTIF($A$5:A1944,A1944)&gt;1,"Duplicate","Keep")</x:f>
        <x:v>Keep</x:v>
      </x:c>
      <x:c r="AF1944" s="84" t="str">
        <x:f>IF(OR(R1944&lt;=0,AC1944&lt;B1944,H1944="Unknown",M1944="Unknown Product"),"Review","Valid")</x:f>
        <x:v>Valid</x:v>
      </x:c>
      <x:c r="AG1944" s="84" t="n">
        <x:f>IF(AND(AE1944="Keep",AF1944="Valid"),1,0)</x:f>
        <x:v>1</x:v>
      </x:c>
      <x:c r="AH1944" s="84" t="n">
        <x:f>IF(AND(AG1944=1,OR('Dashboard'!$B$4="All",I1944='Dashboard'!$B$4),OR('Dashboard'!$E$4="All",N1944='Dashboard'!$E$4),OR('Dashboard'!$H$4="All",K1944='Dashboard'!$H$4),OR('Dashboard'!$K$4="All",C1944='Dashboard'!$K$4)),1,0)</x:f>
        <x:v>1</x:v>
      </x:c>
      <x:c r="AI1944" s="84" t="n">
        <x:f>IF(AND(AG1944=1,OR('Dashboard'!$B$4="All",I1944='Dashboard'!$B$4),OR('Dashboard'!$E$4="All",N1944='Dashboard'!$E$4),OR('Dashboard'!$H$4="All",K1944='Dashboard'!$H$4)),1,0)</x:f>
        <x:v>1</x:v>
      </x:c>
    </x:row>
    <x:row r="1945">
      <x:c r="A1945" s="84" t="str">
        <x:f>'Raw Sales'!A1945</x:f>
        <x:v>ORD-2025-00642</x:v>
      </x:c>
      <x:c r="B1945" s="85" t="n">
        <x:f>'Raw Sales'!B1945</x:f>
        <x:v>45917</x:v>
      </x:c>
      <x:c r="C1945" s="84" t="n">
        <x:f>YEAR(B1945)</x:f>
        <x:v>2025</x:v>
      </x:c>
      <x:c r="D1945" s="91" t="n">
        <x:f>DATE(YEAR(B1945),MONTH(B1945),1)</x:f>
        <x:v>45901</x:v>
      </x:c>
      <x:c r="E1945" s="84" t="str">
        <x:f>TEXT(B1945,"mmm")</x:f>
        <x:v>Sep</x:v>
      </x:c>
      <x:c r="F1945" s="84" t="str">
        <x:f>'Raw Sales'!C1945</x:f>
        <x:v>CUST-0280</x:v>
      </x:c>
      <x:c r="G1945" s="84" t="str">
        <x:f>PROPER(TRIM('Raw Sales'!D1945))</x:f>
        <x:v>Theo Taylor</x:v>
      </x:c>
      <x:c r="H1945" s="84" t="str">
        <x:f>IF(TRIM('Raw Sales'!E1945)="","Unknown",PROPER(TRIM('Raw Sales'!E1945)))</x:f>
        <x:v>Corporate</x:v>
      </x:c>
      <x:c r="I1945" s="84" t="str">
        <x:f>PROPER(TRIM('Raw Sales'!F1945))</x:f>
        <x:v>Southeast</x:v>
      </x:c>
      <x:c r="J1945" s="84" t="str">
        <x:f>PROPER(TRIM('Raw Sales'!G1945))</x:f>
        <x:v>Charlotte</x:v>
      </x:c>
      <x:c r="K1945" s="84" t="str">
        <x:f>PROPER(TRIM('Raw Sales'!H1945))</x:f>
        <x:v>Online</x:v>
      </x:c>
      <x:c r="L1945" s="84" t="str">
        <x:f>'Raw Sales'!I1945</x:f>
        <x:v>ACCS-002</x:v>
      </x:c>
      <x:c r="M1945" s="84" t="str">
        <x:f>IFERROR(VLOOKUP(L1945,'Reference Data'!$A$5:$F$40,2,FALSE),"Unknown Product")</x:f>
        <x:v>Travel Backpack</x:v>
      </x:c>
      <x:c r="N1945" s="84" t="str">
        <x:f>IFERROR(VLOOKUP(L1945,'Reference Data'!$A$5:$F$40,3,FALSE),"Unknown")</x:f>
        <x:v>Accessories</x:v>
      </x:c>
      <x:c r="O1945" s="84" t="str">
        <x:f>IFERROR(VLOOKUP(L1945,'Reference Data'!$A$5:$F$40,4,FALSE),"Unknown")</x:f>
        <x:v>Bags</x:v>
      </x:c>
      <x:c r="P1945" s="92" t="n">
        <x:f>IFERROR(VLOOKUP(L1945,'Reference Data'!$A$5:$F$40,5,FALSE),0)</x:f>
        <x:v>89</x:v>
      </x:c>
      <x:c r="Q1945" s="92" t="n">
        <x:f>IFERROR(VLOOKUP(L1945,'Reference Data'!$A$5:$F$40,6,FALSE),0)</x:f>
        <x:v>36</x:v>
      </x:c>
      <x:c r="R1945" s="84" t="n">
        <x:f>'Raw Sales'!J1945</x:f>
        <x:v>6</x:v>
      </x:c>
      <x:c r="S1945" s="87" t="n">
        <x:f>'Raw Sales'!K1945</x:f>
        <x:v>0.1</x:v>
      </x:c>
      <x:c r="T1945" s="93" t="n">
        <x:f>P1945*R1945</x:f>
        <x:v>534</x:v>
      </x:c>
      <x:c r="U1945" s="93" t="n">
        <x:f>T1945*S1945</x:f>
        <x:v>53.400000000000006</x:v>
      </x:c>
      <x:c r="V1945" s="93" t="str">
        <x:f>PROPER(TRIM('Raw Sales'!L1945))</x:f>
        <x:v>Completed</x:v>
      </x:c>
      <x:c r="W1945" s="93" t="n">
        <x:f>IF(V1945="Returned",0,T1945-U1945)</x:f>
        <x:v>480.6</x:v>
      </x:c>
      <x:c r="X1945" s="93" t="n">
        <x:f>IF(V1945="Returned",Q1945*R1945*10%,Q1945*R1945)</x:f>
        <x:v>216</x:v>
      </x:c>
      <x:c r="Y1945" s="93" t="n">
        <x:f>W1945-X1945</x:f>
        <x:v>264.6</x:v>
      </x:c>
      <x:c r="Z1945" s="94" t="n">
        <x:f>IFERROR(Y1945/W1945,0)</x:f>
        <x:v>0.550561797752809</x:v>
      </x:c>
      <x:c r="AA1945" s="84" t="str">
        <x:f>PROPER(TRIM('Raw Sales'!M1945))</x:f>
        <x:v>Mobile Wallet</x:v>
      </x:c>
      <x:c r="AB1945" s="84" t="str">
        <x:f>PROPER(TRIM('Raw Sales'!N1945))</x:f>
        <x:v>Liam Parker</x:v>
      </x:c>
      <x:c r="AC1945" s="85" t="n">
        <x:f>'Raw Sales'!O1945</x:f>
        <x:v>45920</x:v>
      </x:c>
      <x:c r="AD1945" s="84" t="n">
        <x:f>AC1945-B1945</x:f>
        <x:v>3</x:v>
      </x:c>
      <x:c r="AE1945" s="84" t="str">
        <x:f>IF(COUNTIF($A$5:A1945,A1945)&gt;1,"Duplicate","Keep")</x:f>
        <x:v>Keep</x:v>
      </x:c>
      <x:c r="AF1945" s="84" t="str">
        <x:f>IF(OR(R1945&lt;=0,AC1945&lt;B1945,H1945="Unknown",M1945="Unknown Product"),"Review","Valid")</x:f>
        <x:v>Valid</x:v>
      </x:c>
      <x:c r="AG1945" s="84" t="n">
        <x:f>IF(AND(AE1945="Keep",AF1945="Valid"),1,0)</x:f>
        <x:v>1</x:v>
      </x:c>
      <x:c r="AH1945" s="84" t="n">
        <x:f>IF(AND(AG1945=1,OR('Dashboard'!$B$4="All",I1945='Dashboard'!$B$4),OR('Dashboard'!$E$4="All",N1945='Dashboard'!$E$4),OR('Dashboard'!$H$4="All",K1945='Dashboard'!$H$4),OR('Dashboard'!$K$4="All",C1945='Dashboard'!$K$4)),1,0)</x:f>
        <x:v>1</x:v>
      </x:c>
      <x:c r="AI1945" s="84" t="n">
        <x:f>IF(AND(AG1945=1,OR('Dashboard'!$B$4="All",I1945='Dashboard'!$B$4),OR('Dashboard'!$E$4="All",N1945='Dashboard'!$E$4),OR('Dashboard'!$H$4="All",K1945='Dashboard'!$H$4)),1,0)</x:f>
        <x:v>1</x:v>
      </x:c>
    </x:row>
    <x:row r="1946">
      <x:c r="A1946" s="84" t="str">
        <x:f>'Raw Sales'!A1946</x:f>
        <x:v>ORD-2025-00934</x:v>
      </x:c>
      <x:c r="B1946" s="85" t="n">
        <x:f>'Raw Sales'!B1946</x:f>
        <x:v>45917</x:v>
      </x:c>
      <x:c r="C1946" s="84" t="n">
        <x:f>YEAR(B1946)</x:f>
        <x:v>2025</x:v>
      </x:c>
      <x:c r="D1946" s="91" t="n">
        <x:f>DATE(YEAR(B1946),MONTH(B1946),1)</x:f>
        <x:v>45901</x:v>
      </x:c>
      <x:c r="E1946" s="84" t="str">
        <x:f>TEXT(B1946,"mmm")</x:f>
        <x:v>Sep</x:v>
      </x:c>
      <x:c r="F1946" s="84" t="str">
        <x:f>'Raw Sales'!C1946</x:f>
        <x:v>CUST-0634</x:v>
      </x:c>
      <x:c r="G1946" s="84" t="str">
        <x:f>PROPER(TRIM('Raw Sales'!D1946))</x:f>
        <x:v>Daniel Nelson</x:v>
      </x:c>
      <x:c r="H1946" s="84" t="str">
        <x:f>IF(TRIM('Raw Sales'!E1946)="","Unknown",PROPER(TRIM('Raw Sales'!E1946)))</x:f>
        <x:v>Consumer</x:v>
      </x:c>
      <x:c r="I1946" s="84" t="str">
        <x:f>PROPER(TRIM('Raw Sales'!F1946))</x:f>
        <x:v>Southeast</x:v>
      </x:c>
      <x:c r="J1946" s="84" t="str">
        <x:f>PROPER(TRIM('Raw Sales'!G1946))</x:f>
        <x:v>Atlanta</x:v>
      </x:c>
      <x:c r="K1946" s="84" t="str">
        <x:f>PROPER(TRIM('Raw Sales'!H1946))</x:f>
        <x:v>Online</x:v>
      </x:c>
      <x:c r="L1946" s="84" t="str">
        <x:f>'Raw Sales'!I1946</x:f>
        <x:v>ACCS-005</x:v>
      </x:c>
      <x:c r="M1946" s="84" t="str">
        <x:f>IFERROR(VLOOKUP(L1946,'Reference Data'!$A$5:$F$40,2,FALSE),"Unknown Product")</x:f>
        <x:v>Protective Phone Case</x:v>
      </x:c>
      <x:c r="N1946" s="84" t="str">
        <x:f>IFERROR(VLOOKUP(L1946,'Reference Data'!$A$5:$F$40,3,FALSE),"Unknown")</x:f>
        <x:v>Accessories</x:v>
      </x:c>
      <x:c r="O1946" s="84" t="str">
        <x:f>IFERROR(VLOOKUP(L1946,'Reference Data'!$A$5:$F$40,4,FALSE),"Unknown")</x:f>
        <x:v>Mobile Accessories</x:v>
      </x:c>
      <x:c r="P1946" s="92" t="n">
        <x:f>IFERROR(VLOOKUP(L1946,'Reference Data'!$A$5:$F$40,5,FALSE),0)</x:f>
        <x:v>24</x:v>
      </x:c>
      <x:c r="Q1946" s="92" t="n">
        <x:f>IFERROR(VLOOKUP(L1946,'Reference Data'!$A$5:$F$40,6,FALSE),0)</x:f>
        <x:v>5</x:v>
      </x:c>
      <x:c r="R1946" s="84" t="n">
        <x:f>'Raw Sales'!J1946</x:f>
        <x:v>2</x:v>
      </x:c>
      <x:c r="S1946" s="87" t="n">
        <x:f>'Raw Sales'!K1946</x:f>
        <x:v>0.05</x:v>
      </x:c>
      <x:c r="T1946" s="93" t="n">
        <x:f>P1946*R1946</x:f>
        <x:v>48</x:v>
      </x:c>
      <x:c r="U1946" s="93" t="n">
        <x:f>T1946*S1946</x:f>
        <x:v>2.4000000000000004</x:v>
      </x:c>
      <x:c r="V1946" s="93" t="str">
        <x:f>PROPER(TRIM('Raw Sales'!L1946))</x:f>
        <x:v>Completed</x:v>
      </x:c>
      <x:c r="W1946" s="93" t="n">
        <x:f>IF(V1946="Returned",0,T1946-U1946)</x:f>
        <x:v>45.6</x:v>
      </x:c>
      <x:c r="X1946" s="93" t="n">
        <x:f>IF(V1946="Returned",Q1946*R1946*10%,Q1946*R1946)</x:f>
        <x:v>10</x:v>
      </x:c>
      <x:c r="Y1946" s="93" t="n">
        <x:f>W1946-X1946</x:f>
        <x:v>35.6</x:v>
      </x:c>
      <x:c r="Z1946" s="94" t="n">
        <x:f>IFERROR(Y1946/W1946,0)</x:f>
        <x:v>0.7807017543859649</x:v>
      </x:c>
      <x:c r="AA1946" s="84" t="str">
        <x:f>PROPER(TRIM('Raw Sales'!M1946))</x:f>
        <x:v>Credit Card</x:v>
      </x:c>
      <x:c r="AB1946" s="84" t="str">
        <x:f>PROPER(TRIM('Raw Sales'!N1946))</x:f>
        <x:v>Noah Reed</x:v>
      </x:c>
      <x:c r="AC1946" s="85" t="n">
        <x:f>'Raw Sales'!O1946</x:f>
        <x:v>45919</x:v>
      </x:c>
      <x:c r="AD1946" s="84" t="n">
        <x:f>AC1946-B1946</x:f>
        <x:v>2</x:v>
      </x:c>
      <x:c r="AE1946" s="84" t="str">
        <x:f>IF(COUNTIF($A$5:A1946,A1946)&gt;1,"Duplicate","Keep")</x:f>
        <x:v>Keep</x:v>
      </x:c>
      <x:c r="AF1946" s="84" t="str">
        <x:f>IF(OR(R1946&lt;=0,AC1946&lt;B1946,H1946="Unknown",M1946="Unknown Product"),"Review","Valid")</x:f>
        <x:v>Valid</x:v>
      </x:c>
      <x:c r="AG1946" s="84" t="n">
        <x:f>IF(AND(AE1946="Keep",AF1946="Valid"),1,0)</x:f>
        <x:v>1</x:v>
      </x:c>
      <x:c r="AH1946" s="84" t="n">
        <x:f>IF(AND(AG1946=1,OR('Dashboard'!$B$4="All",I1946='Dashboard'!$B$4),OR('Dashboard'!$E$4="All",N1946='Dashboard'!$E$4),OR('Dashboard'!$H$4="All",K1946='Dashboard'!$H$4),OR('Dashboard'!$K$4="All",C1946='Dashboard'!$K$4)),1,0)</x:f>
        <x:v>1</x:v>
      </x:c>
      <x:c r="AI1946" s="84" t="n">
        <x:f>IF(AND(AG1946=1,OR('Dashboard'!$B$4="All",I1946='Dashboard'!$B$4),OR('Dashboard'!$E$4="All",N1946='Dashboard'!$E$4),OR('Dashboard'!$H$4="All",K1946='Dashboard'!$H$4)),1,0)</x:f>
        <x:v>1</x:v>
      </x:c>
    </x:row>
    <x:row r="1947">
      <x:c r="A1947" s="84" t="str">
        <x:f>'Raw Sales'!A1947</x:f>
        <x:v>ORD-2025-01877</x:v>
      </x:c>
      <x:c r="B1947" s="85" t="n">
        <x:f>'Raw Sales'!B1947</x:f>
        <x:v>45917</x:v>
      </x:c>
      <x:c r="C1947" s="84" t="n">
        <x:f>YEAR(B1947)</x:f>
        <x:v>2025</x:v>
      </x:c>
      <x:c r="D1947" s="91" t="n">
        <x:f>DATE(YEAR(B1947),MONTH(B1947),1)</x:f>
        <x:v>45901</x:v>
      </x:c>
      <x:c r="E1947" s="84" t="str">
        <x:f>TEXT(B1947,"mmm")</x:f>
        <x:v>Sep</x:v>
      </x:c>
      <x:c r="F1947" s="84" t="str">
        <x:f>'Raw Sales'!C1947</x:f>
        <x:v>CUST-0568</x:v>
      </x:c>
      <x:c r="G1947" s="84" t="str">
        <x:f>PROPER(TRIM('Raw Sales'!D1947))</x:f>
        <x:v>Owen Carter</x:v>
      </x:c>
      <x:c r="H1947" s="84" t="str">
        <x:f>IF(TRIM('Raw Sales'!E1947)="","Unknown",PROPER(TRIM('Raw Sales'!E1947)))</x:f>
        <x:v>Consumer</x:v>
      </x:c>
      <x:c r="I1947" s="84" t="str">
        <x:f>PROPER(TRIM('Raw Sales'!F1947))</x:f>
        <x:v>Southeast</x:v>
      </x:c>
      <x:c r="J1947" s="84" t="str">
        <x:f>PROPER(TRIM('Raw Sales'!G1947))</x:f>
        <x:v>Miami</x:v>
      </x:c>
      <x:c r="K1947" s="84" t="str">
        <x:f>PROPER(TRIM('Raw Sales'!H1947))</x:f>
        <x:v>Online</x:v>
      </x:c>
      <x:c r="L1947" s="84" t="str">
        <x:f>'Raw Sales'!I1947</x:f>
        <x:v>FITN-006</x:v>
      </x:c>
      <x:c r="M1947" s="84" t="str">
        <x:f>IFERROR(VLOOKUP(L1947,'Reference Data'!$A$5:$F$40,2,FALSE),"Unknown Product")</x:f>
        <x:v>Foam Roller</x:v>
      </x:c>
      <x:c r="N1947" s="84" t="str">
        <x:f>IFERROR(VLOOKUP(L1947,'Reference Data'!$A$5:$F$40,3,FALSE),"Unknown")</x:f>
        <x:v>Fitness</x:v>
      </x:c>
      <x:c r="O1947" s="84" t="str">
        <x:f>IFERROR(VLOOKUP(L1947,'Reference Data'!$A$5:$F$40,4,FALSE),"Unknown")</x:f>
        <x:v>Recovery</x:v>
      </x:c>
      <x:c r="P1947" s="92" t="n">
        <x:f>IFERROR(VLOOKUP(L1947,'Reference Data'!$A$5:$F$40,5,FALSE),0)</x:f>
        <x:v>31</x:v>
      </x:c>
      <x:c r="Q1947" s="92" t="n">
        <x:f>IFERROR(VLOOKUP(L1947,'Reference Data'!$A$5:$F$40,6,FALSE),0)</x:f>
        <x:v>12</x:v>
      </x:c>
      <x:c r="R1947" s="84" t="n">
        <x:f>'Raw Sales'!J1947</x:f>
        <x:v>4</x:v>
      </x:c>
      <x:c r="S1947" s="87" t="n">
        <x:f>'Raw Sales'!K1947</x:f>
        <x:v>0</x:v>
      </x:c>
      <x:c r="T1947" s="93" t="n">
        <x:f>P1947*R1947</x:f>
        <x:v>124</x:v>
      </x:c>
      <x:c r="U1947" s="93" t="n">
        <x:f>T1947*S1947</x:f>
        <x:v>0</x:v>
      </x:c>
      <x:c r="V1947" s="93" t="str">
        <x:f>PROPER(TRIM('Raw Sales'!L1947))</x:f>
        <x:v>Completed</x:v>
      </x:c>
      <x:c r="W1947" s="93" t="n">
        <x:f>IF(V1947="Returned",0,T1947-U1947)</x:f>
        <x:v>124</x:v>
      </x:c>
      <x:c r="X1947" s="93" t="n">
        <x:f>IF(V1947="Returned",Q1947*R1947*10%,Q1947*R1947)</x:f>
        <x:v>48</x:v>
      </x:c>
      <x:c r="Y1947" s="93" t="n">
        <x:f>W1947-X1947</x:f>
        <x:v>76</x:v>
      </x:c>
      <x:c r="Z1947" s="94" t="n">
        <x:f>IFERROR(Y1947/W1947,0)</x:f>
        <x:v>0.6129032258064516</x:v>
      </x:c>
      <x:c r="AA1947" s="84" t="str">
        <x:f>PROPER(TRIM('Raw Sales'!M1947))</x:f>
        <x:v>Paypal</x:v>
      </x:c>
      <x:c r="AB1947" s="84" t="str">
        <x:f>PROPER(TRIM('Raw Sales'!N1947))</x:f>
        <x:v>Noah Reed</x:v>
      </x:c>
      <x:c r="AC1947" s="85" t="n">
        <x:f>'Raw Sales'!O1947</x:f>
        <x:v>45920</x:v>
      </x:c>
      <x:c r="AD1947" s="84" t="n">
        <x:f>AC1947-B1947</x:f>
        <x:v>3</x:v>
      </x:c>
      <x:c r="AE1947" s="84" t="str">
        <x:f>IF(COUNTIF($A$5:A1947,A1947)&gt;1,"Duplicate","Keep")</x:f>
        <x:v>Keep</x:v>
      </x:c>
      <x:c r="AF1947" s="84" t="str">
        <x:f>IF(OR(R1947&lt;=0,AC1947&lt;B1947,H1947="Unknown",M1947="Unknown Product"),"Review","Valid")</x:f>
        <x:v>Valid</x:v>
      </x:c>
      <x:c r="AG1947" s="84" t="n">
        <x:f>IF(AND(AE1947="Keep",AF1947="Valid"),1,0)</x:f>
        <x:v>1</x:v>
      </x:c>
      <x:c r="AH1947" s="84" t="n">
        <x:f>IF(AND(AG1947=1,OR('Dashboard'!$B$4="All",I1947='Dashboard'!$B$4),OR('Dashboard'!$E$4="All",N1947='Dashboard'!$E$4),OR('Dashboard'!$H$4="All",K1947='Dashboard'!$H$4),OR('Dashboard'!$K$4="All",C1947='Dashboard'!$K$4)),1,0)</x:f>
        <x:v>1</x:v>
      </x:c>
      <x:c r="AI1947" s="84" t="n">
        <x:f>IF(AND(AG1947=1,OR('Dashboard'!$B$4="All",I1947='Dashboard'!$B$4),OR('Dashboard'!$E$4="All",N1947='Dashboard'!$E$4),OR('Dashboard'!$H$4="All",K1947='Dashboard'!$H$4)),1,0)</x:f>
        <x:v>1</x:v>
      </x:c>
    </x:row>
    <x:row r="1948">
      <x:c r="A1948" s="84" t="str">
        <x:f>'Raw Sales'!A1948</x:f>
        <x:v>ORD-2025-00674</x:v>
      </x:c>
      <x:c r="B1948" s="85" t="n">
        <x:f>'Raw Sales'!B1948</x:f>
        <x:v>45918</x:v>
      </x:c>
      <x:c r="C1948" s="84" t="n">
        <x:f>YEAR(B1948)</x:f>
        <x:v>2025</x:v>
      </x:c>
      <x:c r="D1948" s="91" t="n">
        <x:f>DATE(YEAR(B1948),MONTH(B1948),1)</x:f>
        <x:v>45901</x:v>
      </x:c>
      <x:c r="E1948" s="84" t="str">
        <x:f>TEXT(B1948,"mmm")</x:f>
        <x:v>Sep</x:v>
      </x:c>
      <x:c r="F1948" s="84" t="str">
        <x:f>'Raw Sales'!C1948</x:f>
        <x:v>CUST-0599</x:v>
      </x:c>
      <x:c r="G1948" s="84" t="str">
        <x:f>PROPER(TRIM('Raw Sales'!D1948))</x:f>
        <x:v>Caleb Adams</x:v>
      </x:c>
      <x:c r="H1948" s="84" t="str">
        <x:f>IF(TRIM('Raw Sales'!E1948)="","Unknown",PROPER(TRIM('Raw Sales'!E1948)))</x:f>
        <x:v>Consumer</x:v>
      </x:c>
      <x:c r="I1948" s="84" t="str">
        <x:f>PROPER(TRIM('Raw Sales'!F1948))</x:f>
        <x:v>West</x:v>
      </x:c>
      <x:c r="J1948" s="84" t="str">
        <x:f>PROPER(TRIM('Raw Sales'!G1948))</x:f>
        <x:v>Phoenix</x:v>
      </x:c>
      <x:c r="K1948" s="84" t="str">
        <x:f>PROPER(TRIM('Raw Sales'!H1948))</x:f>
        <x:v>Marketplace</x:v>
      </x:c>
      <x:c r="L1948" s="84" t="str">
        <x:f>'Raw Sales'!I1948</x:f>
        <x:v>OFFC-006</x:v>
      </x:c>
      <x:c r="M1948" s="84" t="str">
        <x:f>IFERROR(VLOOKUP(L1948,'Reference Data'!$A$5:$F$40,2,FALSE),"Unknown Product")</x:f>
        <x:v>Monitor Stand</x:v>
      </x:c>
      <x:c r="N1948" s="84" t="str">
        <x:f>IFERROR(VLOOKUP(L1948,'Reference Data'!$A$5:$F$40,3,FALSE),"Unknown")</x:f>
        <x:v>Office</x:v>
      </x:c>
      <x:c r="O1948" s="84" t="str">
        <x:f>IFERROR(VLOOKUP(L1948,'Reference Data'!$A$5:$F$40,4,FALSE),"Unknown")</x:f>
        <x:v>Desk Accessories</x:v>
      </x:c>
      <x:c r="P1948" s="92" t="n">
        <x:f>IFERROR(VLOOKUP(L1948,'Reference Data'!$A$5:$F$40,5,FALSE),0)</x:f>
        <x:v>49</x:v>
      </x:c>
      <x:c r="Q1948" s="92" t="n">
        <x:f>IFERROR(VLOOKUP(L1948,'Reference Data'!$A$5:$F$40,6,FALSE),0)</x:f>
        <x:v>21</x:v>
      </x:c>
      <x:c r="R1948" s="84" t="n">
        <x:f>'Raw Sales'!J1948</x:f>
        <x:v>1</x:v>
      </x:c>
      <x:c r="S1948" s="87" t="n">
        <x:f>'Raw Sales'!K1948</x:f>
        <x:v>0.05</x:v>
      </x:c>
      <x:c r="T1948" s="93" t="n">
        <x:f>P1948*R1948</x:f>
        <x:v>49</x:v>
      </x:c>
      <x:c r="U1948" s="93" t="n">
        <x:f>T1948*S1948</x:f>
        <x:v>2.45</x:v>
      </x:c>
      <x:c r="V1948" s="93" t="str">
        <x:f>PROPER(TRIM('Raw Sales'!L1948))</x:f>
        <x:v>Returned</x:v>
      </x:c>
      <x:c r="W1948" s="93" t="n">
        <x:f>IF(V1948="Returned",0,T1948-U1948)</x:f>
        <x:v>0</x:v>
      </x:c>
      <x:c r="X1948" s="93" t="n">
        <x:f>IF(V1948="Returned",Q1948*R1948*10%,Q1948*R1948)</x:f>
        <x:v>2.1</x:v>
      </x:c>
      <x:c r="Y1948" s="93" t="n">
        <x:f>W1948-X1948</x:f>
        <x:v>-2.1</x:v>
      </x:c>
      <x:c r="Z1948" s="94" t="n">
        <x:f>IFERROR(Y1948/W1948,0)</x:f>
        <x:v>0</x:v>
      </x:c>
      <x:c r="AA1948" s="84" t="str">
        <x:f>PROPER(TRIM('Raw Sales'!M1948))</x:f>
        <x:v>Credit Card</x:v>
      </x:c>
      <x:c r="AB1948" s="84" t="str">
        <x:f>PROPER(TRIM('Raw Sales'!N1948))</x:f>
        <x:v>Mia Chen</x:v>
      </x:c>
      <x:c r="AC1948" s="85" t="n">
        <x:f>'Raw Sales'!O1948</x:f>
        <x:v>45922</x:v>
      </x:c>
      <x:c r="AD1948" s="84" t="n">
        <x:f>AC1948-B1948</x:f>
        <x:v>4</x:v>
      </x:c>
      <x:c r="AE1948" s="84" t="str">
        <x:f>IF(COUNTIF($A$5:A1948,A1948)&gt;1,"Duplicate","Keep")</x:f>
        <x:v>Keep</x:v>
      </x:c>
      <x:c r="AF1948" s="84" t="str">
        <x:f>IF(OR(R1948&lt;=0,AC1948&lt;B1948,H1948="Unknown",M1948="Unknown Product"),"Review","Valid")</x:f>
        <x:v>Valid</x:v>
      </x:c>
      <x:c r="AG1948" s="84" t="n">
        <x:f>IF(AND(AE1948="Keep",AF1948="Valid"),1,0)</x:f>
        <x:v>1</x:v>
      </x:c>
      <x:c r="AH1948" s="84" t="n">
        <x:f>IF(AND(AG1948=1,OR('Dashboard'!$B$4="All",I1948='Dashboard'!$B$4),OR('Dashboard'!$E$4="All",N1948='Dashboard'!$E$4),OR('Dashboard'!$H$4="All",K1948='Dashboard'!$H$4),OR('Dashboard'!$K$4="All",C1948='Dashboard'!$K$4)),1,0)</x:f>
        <x:v>1</x:v>
      </x:c>
      <x:c r="AI1948" s="84" t="n">
        <x:f>IF(AND(AG1948=1,OR('Dashboard'!$B$4="All",I1948='Dashboard'!$B$4),OR('Dashboard'!$E$4="All",N1948='Dashboard'!$E$4),OR('Dashboard'!$H$4="All",K1948='Dashboard'!$H$4)),1,0)</x:f>
        <x:v>1</x:v>
      </x:c>
    </x:row>
    <x:row r="1949">
      <x:c r="A1949" s="84" t="str">
        <x:f>'Raw Sales'!A1949</x:f>
        <x:v>ORD-2025-00341</x:v>
      </x:c>
      <x:c r="B1949" s="85" t="n">
        <x:f>'Raw Sales'!B1949</x:f>
        <x:v>45919</x:v>
      </x:c>
      <x:c r="C1949" s="84" t="n">
        <x:f>YEAR(B1949)</x:f>
        <x:v>2025</x:v>
      </x:c>
      <x:c r="D1949" s="91" t="n">
        <x:f>DATE(YEAR(B1949),MONTH(B1949),1)</x:f>
        <x:v>45901</x:v>
      </x:c>
      <x:c r="E1949" s="84" t="str">
        <x:f>TEXT(B1949,"mmm")</x:f>
        <x:v>Sep</x:v>
      </x:c>
      <x:c r="F1949" s="84" t="str">
        <x:f>'Raw Sales'!C1949</x:f>
        <x:v>CUST-0598</x:v>
      </x:c>
      <x:c r="G1949" s="84" t="str">
        <x:f>PROPER(TRIM('Raw Sales'!D1949))</x:f>
        <x:v>Amelia Evans</x:v>
      </x:c>
      <x:c r="H1949" s="84" t="str">
        <x:f>IF(TRIM('Raw Sales'!E1949)="","Unknown",PROPER(TRIM('Raw Sales'!E1949)))</x:f>
        <x:v>Corporate</x:v>
      </x:c>
      <x:c r="I1949" s="84" t="str">
        <x:f>PROPER(TRIM('Raw Sales'!F1949))</x:f>
        <x:v>Southeast</x:v>
      </x:c>
      <x:c r="J1949" s="84" t="str">
        <x:f>PROPER(TRIM('Raw Sales'!G1949))</x:f>
        <x:v>Nashville</x:v>
      </x:c>
      <x:c r="K1949" s="84" t="str">
        <x:f>PROPER(TRIM('Raw Sales'!H1949))</x:f>
        <x:v>Marketplace</x:v>
      </x:c>
      <x:c r="L1949" s="84" t="str">
        <x:f>'Raw Sales'!I1949</x:f>
        <x:v>ACCS-001</x:v>
      </x:c>
      <x:c r="M1949" s="84" t="str">
        <x:f>IFERROR(VLOOKUP(L1949,'Reference Data'!$A$5:$F$40,2,FALSE),"Unknown Product")</x:f>
        <x:v>Canvas Tote Bag</x:v>
      </x:c>
      <x:c r="N1949" s="84" t="str">
        <x:f>IFERROR(VLOOKUP(L1949,'Reference Data'!$A$5:$F$40,3,FALSE),"Unknown")</x:f>
        <x:v>Accessories</x:v>
      </x:c>
      <x:c r="O1949" s="84" t="str">
        <x:f>IFERROR(VLOOKUP(L1949,'Reference Data'!$A$5:$F$40,4,FALSE),"Unknown")</x:f>
        <x:v>Bags</x:v>
      </x:c>
      <x:c r="P1949" s="92" t="n">
        <x:f>IFERROR(VLOOKUP(L1949,'Reference Data'!$A$5:$F$40,5,FALSE),0)</x:f>
        <x:v>39</x:v>
      </x:c>
      <x:c r="Q1949" s="92" t="n">
        <x:f>IFERROR(VLOOKUP(L1949,'Reference Data'!$A$5:$F$40,6,FALSE),0)</x:f>
        <x:v>14</x:v>
      </x:c>
      <x:c r="R1949" s="84" t="n">
        <x:f>'Raw Sales'!J1949</x:f>
        <x:v>5</x:v>
      </x:c>
      <x:c r="S1949" s="87" t="n">
        <x:f>'Raw Sales'!K1949</x:f>
        <x:v>0.15</x:v>
      </x:c>
      <x:c r="T1949" s="93" t="n">
        <x:f>P1949*R1949</x:f>
        <x:v>195</x:v>
      </x:c>
      <x:c r="U1949" s="93" t="n">
        <x:f>T1949*S1949</x:f>
        <x:v>29.25</x:v>
      </x:c>
      <x:c r="V1949" s="93" t="str">
        <x:f>PROPER(TRIM('Raw Sales'!L1949))</x:f>
        <x:v>Completed</x:v>
      </x:c>
      <x:c r="W1949" s="93" t="n">
        <x:f>IF(V1949="Returned",0,T1949-U1949)</x:f>
        <x:v>165.75</x:v>
      </x:c>
      <x:c r="X1949" s="93" t="n">
        <x:f>IF(V1949="Returned",Q1949*R1949*10%,Q1949*R1949)</x:f>
        <x:v>70</x:v>
      </x:c>
      <x:c r="Y1949" s="93" t="n">
        <x:f>W1949-X1949</x:f>
        <x:v>95.75</x:v>
      </x:c>
      <x:c r="Z1949" s="94" t="n">
        <x:f>IFERROR(Y1949/W1949,0)</x:f>
        <x:v>0.5776772247360482</x:v>
      </x:c>
      <x:c r="AA1949" s="84" t="str">
        <x:f>PROPER(TRIM('Raw Sales'!M1949))</x:f>
        <x:v>Credit Card</x:v>
      </x:c>
      <x:c r="AB1949" s="84" t="str">
        <x:f>PROPER(TRIM('Raw Sales'!N1949))</x:f>
        <x:v>Liam Parker</x:v>
      </x:c>
      <x:c r="AC1949" s="85" t="n">
        <x:f>'Raw Sales'!O1949</x:f>
        <x:v>45926</x:v>
      </x:c>
      <x:c r="AD1949" s="84" t="n">
        <x:f>AC1949-B1949</x:f>
        <x:v>7</x:v>
      </x:c>
      <x:c r="AE1949" s="84" t="str">
        <x:f>IF(COUNTIF($A$5:A1949,A1949)&gt;1,"Duplicate","Keep")</x:f>
        <x:v>Keep</x:v>
      </x:c>
      <x:c r="AF1949" s="84" t="str">
        <x:f>IF(OR(R1949&lt;=0,AC1949&lt;B1949,H1949="Unknown",M1949="Unknown Product"),"Review","Valid")</x:f>
        <x:v>Valid</x:v>
      </x:c>
      <x:c r="AG1949" s="84" t="n">
        <x:f>IF(AND(AE1949="Keep",AF1949="Valid"),1,0)</x:f>
        <x:v>1</x:v>
      </x:c>
      <x:c r="AH1949" s="84" t="n">
        <x:f>IF(AND(AG1949=1,OR('Dashboard'!$B$4="All",I1949='Dashboard'!$B$4),OR('Dashboard'!$E$4="All",N1949='Dashboard'!$E$4),OR('Dashboard'!$H$4="All",K1949='Dashboard'!$H$4),OR('Dashboard'!$K$4="All",C1949='Dashboard'!$K$4)),1,0)</x:f>
        <x:v>1</x:v>
      </x:c>
      <x:c r="AI1949" s="84" t="n">
        <x:f>IF(AND(AG1949=1,OR('Dashboard'!$B$4="All",I1949='Dashboard'!$B$4),OR('Dashboard'!$E$4="All",N1949='Dashboard'!$E$4),OR('Dashboard'!$H$4="All",K1949='Dashboard'!$H$4)),1,0)</x:f>
        <x:v>1</x:v>
      </x:c>
    </x:row>
    <x:row r="1950">
      <x:c r="A1950" s="84" t="str">
        <x:f>'Raw Sales'!A1950</x:f>
        <x:v>ORD-2025-00453</x:v>
      </x:c>
      <x:c r="B1950" s="85" t="n">
        <x:f>'Raw Sales'!B1950</x:f>
        <x:v>45919</x:v>
      </x:c>
      <x:c r="C1950" s="84" t="n">
        <x:f>YEAR(B1950)</x:f>
        <x:v>2025</x:v>
      </x:c>
      <x:c r="D1950" s="91" t="n">
        <x:f>DATE(YEAR(B1950),MONTH(B1950),1)</x:f>
        <x:v>45901</x:v>
      </x:c>
      <x:c r="E1950" s="84" t="str">
        <x:f>TEXT(B1950,"mmm")</x:f>
        <x:v>Sep</x:v>
      </x:c>
      <x:c r="F1950" s="84" t="str">
        <x:f>'Raw Sales'!C1950</x:f>
        <x:v>CUST-0471</x:v>
      </x:c>
      <x:c r="G1950" s="84" t="str">
        <x:f>PROPER(TRIM('Raw Sales'!D1950))</x:f>
        <x:v>Marcus Lewis</x:v>
      </x:c>
      <x:c r="H1950" s="84" t="str">
        <x:f>IF(TRIM('Raw Sales'!E1950)="","Unknown",PROPER(TRIM('Raw Sales'!E1950)))</x:f>
        <x:v>Consumer</x:v>
      </x:c>
      <x:c r="I1950" s="84" t="str">
        <x:f>PROPER(TRIM('Raw Sales'!F1950))</x:f>
        <x:v>Southeast</x:v>
      </x:c>
      <x:c r="J1950" s="84" t="str">
        <x:f>PROPER(TRIM('Raw Sales'!G1950))</x:f>
        <x:v>Charlotte</x:v>
      </x:c>
      <x:c r="K1950" s="84" t="str">
        <x:f>PROPER(TRIM('Raw Sales'!H1950))</x:f>
        <x:v>Marketplace</x:v>
      </x:c>
      <x:c r="L1950" s="84" t="str">
        <x:f>'Raw Sales'!I1950</x:f>
        <x:v>ELEC-004</x:v>
      </x:c>
      <x:c r="M1950" s="84" t="str">
        <x:f>IFERROR(VLOOKUP(L1950,'Reference Data'!$A$5:$F$40,2,FALSE),"Unknown Product")</x:f>
        <x:v>Power Bank</x:v>
      </x:c>
      <x:c r="N1950" s="84" t="str">
        <x:f>IFERROR(VLOOKUP(L1950,'Reference Data'!$A$5:$F$40,3,FALSE),"Unknown")</x:f>
        <x:v>Electronics</x:v>
      </x:c>
      <x:c r="O1950" s="84" t="str">
        <x:f>IFERROR(VLOOKUP(L1950,'Reference Data'!$A$5:$F$40,4,FALSE),"Unknown")</x:f>
        <x:v>Mobile Accessories</x:v>
      </x:c>
      <x:c r="P1950" s="92" t="n">
        <x:f>IFERROR(VLOOKUP(L1950,'Reference Data'!$A$5:$F$40,5,FALSE),0)</x:f>
        <x:v>39</x:v>
      </x:c>
      <x:c r="Q1950" s="92" t="n">
        <x:f>IFERROR(VLOOKUP(L1950,'Reference Data'!$A$5:$F$40,6,FALSE),0)</x:f>
        <x:v>18</x:v>
      </x:c>
      <x:c r="R1950" s="84" t="n">
        <x:f>'Raw Sales'!J1950</x:f>
        <x:v>1</x:v>
      </x:c>
      <x:c r="S1950" s="87" t="n">
        <x:f>'Raw Sales'!K1950</x:f>
        <x:v>0.05</x:v>
      </x:c>
      <x:c r="T1950" s="93" t="n">
        <x:f>P1950*R1950</x:f>
        <x:v>39</x:v>
      </x:c>
      <x:c r="U1950" s="93" t="n">
        <x:f>T1950*S1950</x:f>
        <x:v>1.9500000000000002</x:v>
      </x:c>
      <x:c r="V1950" s="93" t="str">
        <x:f>PROPER(TRIM('Raw Sales'!L1950))</x:f>
        <x:v>Completed</x:v>
      </x:c>
      <x:c r="W1950" s="93" t="n">
        <x:f>IF(V1950="Returned",0,T1950-U1950)</x:f>
        <x:v>37.05</x:v>
      </x:c>
      <x:c r="X1950" s="93" t="n">
        <x:f>IF(V1950="Returned",Q1950*R1950*10%,Q1950*R1950)</x:f>
        <x:v>18</x:v>
      </x:c>
      <x:c r="Y1950" s="93" t="n">
        <x:f>W1950-X1950</x:f>
        <x:v>19.049999999999997</x:v>
      </x:c>
      <x:c r="Z1950" s="94" t="n">
        <x:f>IFERROR(Y1950/W1950,0)</x:f>
        <x:v>0.5141700404858299</x:v>
      </x:c>
      <x:c r="AA1950" s="84" t="str">
        <x:f>PROPER(TRIM('Raw Sales'!M1950))</x:f>
        <x:v>Credit Card</x:v>
      </x:c>
      <x:c r="AB1950" s="84" t="str">
        <x:f>PROPER(TRIM('Raw Sales'!N1950))</x:f>
        <x:v>Liam Parker</x:v>
      </x:c>
      <x:c r="AC1950" s="85" t="n">
        <x:f>'Raw Sales'!O1950</x:f>
        <x:v>45923</x:v>
      </x:c>
      <x:c r="AD1950" s="84" t="n">
        <x:f>AC1950-B1950</x:f>
        <x:v>4</x:v>
      </x:c>
      <x:c r="AE1950" s="84" t="str">
        <x:f>IF(COUNTIF($A$5:A1950,A1950)&gt;1,"Duplicate","Keep")</x:f>
        <x:v>Keep</x:v>
      </x:c>
      <x:c r="AF1950" s="84" t="str">
        <x:f>IF(OR(R1950&lt;=0,AC1950&lt;B1950,H1950="Unknown",M1950="Unknown Product"),"Review","Valid")</x:f>
        <x:v>Valid</x:v>
      </x:c>
      <x:c r="AG1950" s="84" t="n">
        <x:f>IF(AND(AE1950="Keep",AF1950="Valid"),1,0)</x:f>
        <x:v>1</x:v>
      </x:c>
      <x:c r="AH1950" s="84" t="n">
        <x:f>IF(AND(AG1950=1,OR('Dashboard'!$B$4="All",I1950='Dashboard'!$B$4),OR('Dashboard'!$E$4="All",N1950='Dashboard'!$E$4),OR('Dashboard'!$H$4="All",K1950='Dashboard'!$H$4),OR('Dashboard'!$K$4="All",C1950='Dashboard'!$K$4)),1,0)</x:f>
        <x:v>1</x:v>
      </x:c>
      <x:c r="AI1950" s="84" t="n">
        <x:f>IF(AND(AG1950=1,OR('Dashboard'!$B$4="All",I1950='Dashboard'!$B$4),OR('Dashboard'!$E$4="All",N1950='Dashboard'!$E$4),OR('Dashboard'!$H$4="All",K1950='Dashboard'!$H$4)),1,0)</x:f>
        <x:v>1</x:v>
      </x:c>
    </x:row>
    <x:row r="1951">
      <x:c r="A1951" s="84" t="str">
        <x:f>'Raw Sales'!A1951</x:f>
        <x:v>ORD-2025-01184</x:v>
      </x:c>
      <x:c r="B1951" s="85" t="n">
        <x:f>'Raw Sales'!B1951</x:f>
        <x:v>45919</x:v>
      </x:c>
      <x:c r="C1951" s="84" t="n">
        <x:f>YEAR(B1951)</x:f>
        <x:v>2025</x:v>
      </x:c>
      <x:c r="D1951" s="91" t="n">
        <x:f>DATE(YEAR(B1951),MONTH(B1951),1)</x:f>
        <x:v>45901</x:v>
      </x:c>
      <x:c r="E1951" s="84" t="str">
        <x:f>TEXT(B1951,"mmm")</x:f>
        <x:v>Sep</x:v>
      </x:c>
      <x:c r="F1951" s="84" t="str">
        <x:f>'Raw Sales'!C1951</x:f>
        <x:v>CUST-0195</x:v>
      </x:c>
      <x:c r="G1951" s="84" t="str">
        <x:f>PROPER(TRIM('Raw Sales'!D1951))</x:f>
        <x:v>Aiden Carter</x:v>
      </x:c>
      <x:c r="H1951" s="84" t="str">
        <x:f>IF(TRIM('Raw Sales'!E1951)="","Unknown",PROPER(TRIM('Raw Sales'!E1951)))</x:f>
        <x:v>Corporate</x:v>
      </x:c>
      <x:c r="I1951" s="84" t="str">
        <x:f>PROPER(TRIM('Raw Sales'!F1951))</x:f>
        <x:v>Northeast</x:v>
      </x:c>
      <x:c r="J1951" s="84" t="str">
        <x:f>PROPER(TRIM('Raw Sales'!G1951))</x:f>
        <x:v>New York</x:v>
      </x:c>
      <x:c r="K1951" s="84" t="str">
        <x:f>PROPER(TRIM('Raw Sales'!H1951))</x:f>
        <x:v>Retail Store</x:v>
      </x:c>
      <x:c r="L1951" s="84" t="str">
        <x:f>'Raw Sales'!I1951</x:f>
        <x:v>ELEC-004</x:v>
      </x:c>
      <x:c r="M1951" s="84" t="str">
        <x:f>IFERROR(VLOOKUP(L1951,'Reference Data'!$A$5:$F$40,2,FALSE),"Unknown Product")</x:f>
        <x:v>Power Bank</x:v>
      </x:c>
      <x:c r="N1951" s="84" t="str">
        <x:f>IFERROR(VLOOKUP(L1951,'Reference Data'!$A$5:$F$40,3,FALSE),"Unknown")</x:f>
        <x:v>Electronics</x:v>
      </x:c>
      <x:c r="O1951" s="84" t="str">
        <x:f>IFERROR(VLOOKUP(L1951,'Reference Data'!$A$5:$F$40,4,FALSE),"Unknown")</x:f>
        <x:v>Mobile Accessories</x:v>
      </x:c>
      <x:c r="P1951" s="92" t="n">
        <x:f>IFERROR(VLOOKUP(L1951,'Reference Data'!$A$5:$F$40,5,FALSE),0)</x:f>
        <x:v>39</x:v>
      </x:c>
      <x:c r="Q1951" s="92" t="n">
        <x:f>IFERROR(VLOOKUP(L1951,'Reference Data'!$A$5:$F$40,6,FALSE),0)</x:f>
        <x:v>18</x:v>
      </x:c>
      <x:c r="R1951" s="84" t="n">
        <x:f>'Raw Sales'!J1951</x:f>
        <x:v>1</x:v>
      </x:c>
      <x:c r="S1951" s="87" t="n">
        <x:f>'Raw Sales'!K1951</x:f>
        <x:v>0.05</x:v>
      </x:c>
      <x:c r="T1951" s="93" t="n">
        <x:f>P1951*R1951</x:f>
        <x:v>39</x:v>
      </x:c>
      <x:c r="U1951" s="93" t="n">
        <x:f>T1951*S1951</x:f>
        <x:v>1.9500000000000002</x:v>
      </x:c>
      <x:c r="V1951" s="93" t="str">
        <x:f>PROPER(TRIM('Raw Sales'!L1951))</x:f>
        <x:v>Completed</x:v>
      </x:c>
      <x:c r="W1951" s="93" t="n">
        <x:f>IF(V1951="Returned",0,T1951-U1951)</x:f>
        <x:v>37.05</x:v>
      </x:c>
      <x:c r="X1951" s="93" t="n">
        <x:f>IF(V1951="Returned",Q1951*R1951*10%,Q1951*R1951)</x:f>
        <x:v>18</x:v>
      </x:c>
      <x:c r="Y1951" s="93" t="n">
        <x:f>W1951-X1951</x:f>
        <x:v>19.049999999999997</x:v>
      </x:c>
      <x:c r="Z1951" s="94" t="n">
        <x:f>IFERROR(Y1951/W1951,0)</x:f>
        <x:v>0.5141700404858299</x:v>
      </x:c>
      <x:c r="AA1951" s="84" t="str">
        <x:f>PROPER(TRIM('Raw Sales'!M1951))</x:f>
        <x:v>Mobile Wallet</x:v>
      </x:c>
      <x:c r="AB1951" s="84" t="str">
        <x:f>PROPER(TRIM('Raw Sales'!N1951))</x:f>
        <x:v>Maya Brooks</x:v>
      </x:c>
      <x:c r="AC1951" s="85" t="n">
        <x:f>'Raw Sales'!O1951</x:f>
        <x:v>45920</x:v>
      </x:c>
      <x:c r="AD1951" s="84" t="n">
        <x:f>AC1951-B1951</x:f>
        <x:v>1</x:v>
      </x:c>
      <x:c r="AE1951" s="84" t="str">
        <x:f>IF(COUNTIF($A$5:A1951,A1951)&gt;1,"Duplicate","Keep")</x:f>
        <x:v>Keep</x:v>
      </x:c>
      <x:c r="AF1951" s="84" t="str">
        <x:f>IF(OR(R1951&lt;=0,AC1951&lt;B1951,H1951="Unknown",M1951="Unknown Product"),"Review","Valid")</x:f>
        <x:v>Valid</x:v>
      </x:c>
      <x:c r="AG1951" s="84" t="n">
        <x:f>IF(AND(AE1951="Keep",AF1951="Valid"),1,0)</x:f>
        <x:v>1</x:v>
      </x:c>
      <x:c r="AH1951" s="84" t="n">
        <x:f>IF(AND(AG1951=1,OR('Dashboard'!$B$4="All",I1951='Dashboard'!$B$4),OR('Dashboard'!$E$4="All",N1951='Dashboard'!$E$4),OR('Dashboard'!$H$4="All",K1951='Dashboard'!$H$4),OR('Dashboard'!$K$4="All",C1951='Dashboard'!$K$4)),1,0)</x:f>
        <x:v>1</x:v>
      </x:c>
      <x:c r="AI1951" s="84" t="n">
        <x:f>IF(AND(AG1951=1,OR('Dashboard'!$B$4="All",I1951='Dashboard'!$B$4),OR('Dashboard'!$E$4="All",N1951='Dashboard'!$E$4),OR('Dashboard'!$H$4="All",K1951='Dashboard'!$H$4)),1,0)</x:f>
        <x:v>1</x:v>
      </x:c>
    </x:row>
    <x:row r="1952">
      <x:c r="A1952" s="84" t="str">
        <x:f>'Raw Sales'!A1952</x:f>
        <x:v>ORD-2025-01578</x:v>
      </x:c>
      <x:c r="B1952" s="85" t="n">
        <x:f>'Raw Sales'!B1952</x:f>
        <x:v>45919</x:v>
      </x:c>
      <x:c r="C1952" s="84" t="n">
        <x:f>YEAR(B1952)</x:f>
        <x:v>2025</x:v>
      </x:c>
      <x:c r="D1952" s="91" t="n">
        <x:f>DATE(YEAR(B1952),MONTH(B1952),1)</x:f>
        <x:v>45901</x:v>
      </x:c>
      <x:c r="E1952" s="84" t="str">
        <x:f>TEXT(B1952,"mmm")</x:f>
        <x:v>Sep</x:v>
      </x:c>
      <x:c r="F1952" s="84" t="str">
        <x:f>'Raw Sales'!C1952</x:f>
        <x:v>CUST-0046</x:v>
      </x:c>
      <x:c r="G1952" s="84" t="str">
        <x:f>PROPER(TRIM('Raw Sales'!D1952))</x:f>
        <x:v>Nathan Moore</x:v>
      </x:c>
      <x:c r="H1952" s="84" t="str">
        <x:f>IF(TRIM('Raw Sales'!E1952)="","Unknown",PROPER(TRIM('Raw Sales'!E1952)))</x:f>
        <x:v>Consumer</x:v>
      </x:c>
      <x:c r="I1952" s="84" t="str">
        <x:f>PROPER(TRIM('Raw Sales'!F1952))</x:f>
        <x:v>Midwest</x:v>
      </x:c>
      <x:c r="J1952" s="84" t="str">
        <x:f>PROPER(TRIM('Raw Sales'!G1952))</x:f>
        <x:v>Columbus</x:v>
      </x:c>
      <x:c r="K1952" s="84" t="str">
        <x:f>PROPER(TRIM('Raw Sales'!H1952))</x:f>
        <x:v>Retail Store</x:v>
      </x:c>
      <x:c r="L1952" s="84" t="str">
        <x:f>'Raw Sales'!I1952</x:f>
        <x:v>ACCS-004</x:v>
      </x:c>
      <x:c r="M1952" s="84" t="str">
        <x:f>IFERROR(VLOOKUP(L1952,'Reference Data'!$A$5:$F$40,2,FALSE),"Unknown Product")</x:f>
        <x:v>Leather Wallet</x:v>
      </x:c>
      <x:c r="N1952" s="84" t="str">
        <x:f>IFERROR(VLOOKUP(L1952,'Reference Data'!$A$5:$F$40,3,FALSE),"Unknown")</x:f>
        <x:v>Accessories</x:v>
      </x:c>
      <x:c r="O1952" s="84" t="str">
        <x:f>IFERROR(VLOOKUP(L1952,'Reference Data'!$A$5:$F$40,4,FALSE),"Unknown")</x:f>
        <x:v>Wallets</x:v>
      </x:c>
      <x:c r="P1952" s="92" t="n">
        <x:f>IFERROR(VLOOKUP(L1952,'Reference Data'!$A$5:$F$40,5,FALSE),0)</x:f>
        <x:v>49</x:v>
      </x:c>
      <x:c r="Q1952" s="92" t="n">
        <x:f>IFERROR(VLOOKUP(L1952,'Reference Data'!$A$5:$F$40,6,FALSE),0)</x:f>
        <x:v>18</x:v>
      </x:c>
      <x:c r="R1952" s="84" t="n">
        <x:f>'Raw Sales'!J1952</x:f>
        <x:v>1</x:v>
      </x:c>
      <x:c r="S1952" s="87" t="n">
        <x:f>'Raw Sales'!K1952</x:f>
        <x:v>0.05</x:v>
      </x:c>
      <x:c r="T1952" s="93" t="n">
        <x:f>P1952*R1952</x:f>
        <x:v>49</x:v>
      </x:c>
      <x:c r="U1952" s="93" t="n">
        <x:f>T1952*S1952</x:f>
        <x:v>2.45</x:v>
      </x:c>
      <x:c r="V1952" s="93" t="str">
        <x:f>PROPER(TRIM('Raw Sales'!L1952))</x:f>
        <x:v>Completed</x:v>
      </x:c>
      <x:c r="W1952" s="93" t="n">
        <x:f>IF(V1952="Returned",0,T1952-U1952)</x:f>
        <x:v>46.55</x:v>
      </x:c>
      <x:c r="X1952" s="93" t="n">
        <x:f>IF(V1952="Returned",Q1952*R1952*10%,Q1952*R1952)</x:f>
        <x:v>18</x:v>
      </x:c>
      <x:c r="Y1952" s="93" t="n">
        <x:f>W1952-X1952</x:f>
        <x:v>28.549999999999997</x:v>
      </x:c>
      <x:c r="Z1952" s="94" t="n">
        <x:f>IFERROR(Y1952/W1952,0)</x:f>
        <x:v>0.6133190118152524</x:v>
      </x:c>
      <x:c r="AA1952" s="84" t="str">
        <x:f>PROPER(TRIM('Raw Sales'!M1952))</x:f>
        <x:v>Debit Card</x:v>
      </x:c>
      <x:c r="AB1952" s="84" t="str">
        <x:f>PROPER(TRIM('Raw Sales'!N1952))</x:f>
        <x:v>Emma Hayes</x:v>
      </x:c>
      <x:c r="AC1952" s="85" t="n">
        <x:f>'Raw Sales'!O1952</x:f>
        <x:v>45919</x:v>
      </x:c>
      <x:c r="AD1952" s="84" t="n">
        <x:f>AC1952-B1952</x:f>
        <x:v>0</x:v>
      </x:c>
      <x:c r="AE1952" s="84" t="str">
        <x:f>IF(COUNTIF($A$5:A1952,A1952)&gt;1,"Duplicate","Keep")</x:f>
        <x:v>Keep</x:v>
      </x:c>
      <x:c r="AF1952" s="84" t="str">
        <x:f>IF(OR(R1952&lt;=0,AC1952&lt;B1952,H1952="Unknown",M1952="Unknown Product"),"Review","Valid")</x:f>
        <x:v>Valid</x:v>
      </x:c>
      <x:c r="AG1952" s="84" t="n">
        <x:f>IF(AND(AE1952="Keep",AF1952="Valid"),1,0)</x:f>
        <x:v>1</x:v>
      </x:c>
      <x:c r="AH1952" s="84" t="n">
        <x:f>IF(AND(AG1952=1,OR('Dashboard'!$B$4="All",I1952='Dashboard'!$B$4),OR('Dashboard'!$E$4="All",N1952='Dashboard'!$E$4),OR('Dashboard'!$H$4="All",K1952='Dashboard'!$H$4),OR('Dashboard'!$K$4="All",C1952='Dashboard'!$K$4)),1,0)</x:f>
        <x:v>1</x:v>
      </x:c>
      <x:c r="AI1952" s="84" t="n">
        <x:f>IF(AND(AG1952=1,OR('Dashboard'!$B$4="All",I1952='Dashboard'!$B$4),OR('Dashboard'!$E$4="All",N1952='Dashboard'!$E$4),OR('Dashboard'!$H$4="All",K1952='Dashboard'!$H$4)),1,0)</x:f>
        <x:v>1</x:v>
      </x:c>
    </x:row>
    <x:row r="1953">
      <x:c r="A1953" s="84" t="str">
        <x:f>'Raw Sales'!A1953</x:f>
        <x:v>ORD-2025-00119</x:v>
      </x:c>
      <x:c r="B1953" s="85" t="n">
        <x:f>'Raw Sales'!B1953</x:f>
        <x:v>45920</x:v>
      </x:c>
      <x:c r="C1953" s="84" t="n">
        <x:f>YEAR(B1953)</x:f>
        <x:v>2025</x:v>
      </x:c>
      <x:c r="D1953" s="91" t="n">
        <x:f>DATE(YEAR(B1953),MONTH(B1953),1)</x:f>
        <x:v>45901</x:v>
      </x:c>
      <x:c r="E1953" s="84" t="str">
        <x:f>TEXT(B1953,"mmm")</x:f>
        <x:v>Sep</x:v>
      </x:c>
      <x:c r="F1953" s="84" t="str">
        <x:f>'Raw Sales'!C1953</x:f>
        <x:v>CUST-0510</x:v>
      </x:c>
      <x:c r="G1953" s="84" t="str">
        <x:f>PROPER(TRIM('Raw Sales'!D1953))</x:f>
        <x:v>Theo Smith</x:v>
      </x:c>
      <x:c r="H1953" s="84" t="str">
        <x:f>IF(TRIM('Raw Sales'!E1953)="","Unknown",PROPER(TRIM('Raw Sales'!E1953)))</x:f>
        <x:v>Consumer</x:v>
      </x:c>
      <x:c r="I1953" s="84" t="str">
        <x:f>PROPER(TRIM('Raw Sales'!F1953))</x:f>
        <x:v>West</x:v>
      </x:c>
      <x:c r="J1953" s="84" t="str">
        <x:f>PROPER(TRIM('Raw Sales'!G1953))</x:f>
        <x:v>Seattle</x:v>
      </x:c>
      <x:c r="K1953" s="84" t="str">
        <x:f>PROPER(TRIM('Raw Sales'!H1953))</x:f>
        <x:v>Retail Store</x:v>
      </x:c>
      <x:c r="L1953" s="84" t="str">
        <x:f>'Raw Sales'!I1953</x:f>
        <x:v>ELEC-002</x:v>
      </x:c>
      <x:c r="M1953" s="84" t="str">
        <x:f>IFERROR(VLOOKUP(L1953,'Reference Data'!$A$5:$F$40,2,FALSE),"Unknown Product")</x:f>
        <x:v>Smartwatch</x:v>
      </x:c>
      <x:c r="N1953" s="84" t="str">
        <x:f>IFERROR(VLOOKUP(L1953,'Reference Data'!$A$5:$F$40,3,FALSE),"Unknown")</x:f>
        <x:v>Electronics</x:v>
      </x:c>
      <x:c r="O1953" s="84" t="str">
        <x:f>IFERROR(VLOOKUP(L1953,'Reference Data'!$A$5:$F$40,4,FALSE),"Unknown")</x:f>
        <x:v>Wearables</x:v>
      </x:c>
      <x:c r="P1953" s="92" t="n">
        <x:f>IFERROR(VLOOKUP(L1953,'Reference Data'!$A$5:$F$40,5,FALSE),0)</x:f>
        <x:v>159</x:v>
      </x:c>
      <x:c r="Q1953" s="92" t="n">
        <x:f>IFERROR(VLOOKUP(L1953,'Reference Data'!$A$5:$F$40,6,FALSE),0)</x:f>
        <x:v>92</x:v>
      </x:c>
      <x:c r="R1953" s="84" t="n">
        <x:f>'Raw Sales'!J1953</x:f>
        <x:v>2</x:v>
      </x:c>
      <x:c r="S1953" s="87" t="n">
        <x:f>'Raw Sales'!K1953</x:f>
        <x:v>0.05</x:v>
      </x:c>
      <x:c r="T1953" s="93" t="n">
        <x:f>P1953*R1953</x:f>
        <x:v>318</x:v>
      </x:c>
      <x:c r="U1953" s="93" t="n">
        <x:f>T1953*S1953</x:f>
        <x:v>15.9</x:v>
      </x:c>
      <x:c r="V1953" s="93" t="str">
        <x:f>PROPER(TRIM('Raw Sales'!L1953))</x:f>
        <x:v>Completed</x:v>
      </x:c>
      <x:c r="W1953" s="93" t="n">
        <x:f>IF(V1953="Returned",0,T1953-U1953)</x:f>
        <x:v>302.1</x:v>
      </x:c>
      <x:c r="X1953" s="93" t="n">
        <x:f>IF(V1953="Returned",Q1953*R1953*10%,Q1953*R1953)</x:f>
        <x:v>184</x:v>
      </x:c>
      <x:c r="Y1953" s="93" t="n">
        <x:f>W1953-X1953</x:f>
        <x:v>118.10000000000002</x:v>
      </x:c>
      <x:c r="Z1953" s="94" t="n">
        <x:f>IFERROR(Y1953/W1953,0)</x:f>
        <x:v>0.39093015557762334</x:v>
      </x:c>
      <x:c r="AA1953" s="84" t="str">
        <x:f>PROPER(TRIM('Raw Sales'!M1953))</x:f>
        <x:v>Cash</x:v>
      </x:c>
      <x:c r="AB1953" s="84" t="str">
        <x:f>PROPER(TRIM('Raw Sales'!N1953))</x:f>
        <x:v>Mia Chen</x:v>
      </x:c>
      <x:c r="AC1953" s="85" t="n">
        <x:f>'Raw Sales'!O1953</x:f>
        <x:v>45920</x:v>
      </x:c>
      <x:c r="AD1953" s="84" t="n">
        <x:f>AC1953-B1953</x:f>
        <x:v>0</x:v>
      </x:c>
      <x:c r="AE1953" s="84" t="str">
        <x:f>IF(COUNTIF($A$5:A1953,A1953)&gt;1,"Duplicate","Keep")</x:f>
        <x:v>Keep</x:v>
      </x:c>
      <x:c r="AF1953" s="84" t="str">
        <x:f>IF(OR(R1953&lt;=0,AC1953&lt;B1953,H1953="Unknown",M1953="Unknown Product"),"Review","Valid")</x:f>
        <x:v>Valid</x:v>
      </x:c>
      <x:c r="AG1953" s="84" t="n">
        <x:f>IF(AND(AE1953="Keep",AF1953="Valid"),1,0)</x:f>
        <x:v>1</x:v>
      </x:c>
      <x:c r="AH1953" s="84" t="n">
        <x:f>IF(AND(AG1953=1,OR('Dashboard'!$B$4="All",I1953='Dashboard'!$B$4),OR('Dashboard'!$E$4="All",N1953='Dashboard'!$E$4),OR('Dashboard'!$H$4="All",K1953='Dashboard'!$H$4),OR('Dashboard'!$K$4="All",C1953='Dashboard'!$K$4)),1,0)</x:f>
        <x:v>1</x:v>
      </x:c>
      <x:c r="AI1953" s="84" t="n">
        <x:f>IF(AND(AG1953=1,OR('Dashboard'!$B$4="All",I1953='Dashboard'!$B$4),OR('Dashboard'!$E$4="All",N1953='Dashboard'!$E$4),OR('Dashboard'!$H$4="All",K1953='Dashboard'!$H$4)),1,0)</x:f>
        <x:v>1</x:v>
      </x:c>
    </x:row>
    <x:row r="1954">
      <x:c r="A1954" s="84" t="str">
        <x:f>'Raw Sales'!A1954</x:f>
        <x:v>ORD-2025-00868</x:v>
      </x:c>
      <x:c r="B1954" s="85" t="n">
        <x:f>'Raw Sales'!B1954</x:f>
        <x:v>45920</x:v>
      </x:c>
      <x:c r="C1954" s="84" t="n">
        <x:f>YEAR(B1954)</x:f>
        <x:v>2025</x:v>
      </x:c>
      <x:c r="D1954" s="91" t="n">
        <x:f>DATE(YEAR(B1954),MONTH(B1954),1)</x:f>
        <x:v>45901</x:v>
      </x:c>
      <x:c r="E1954" s="84" t="str">
        <x:f>TEXT(B1954,"mmm")</x:f>
        <x:v>Sep</x:v>
      </x:c>
      <x:c r="F1954" s="84" t="str">
        <x:f>'Raw Sales'!C1954</x:f>
        <x:v>CUST-0368</x:v>
      </x:c>
      <x:c r="G1954" s="84" t="str">
        <x:f>PROPER(TRIM('Raw Sales'!D1954))</x:f>
        <x:v>Nathan Roberts</x:v>
      </x:c>
      <x:c r="H1954" s="84" t="str">
        <x:f>IF(TRIM('Raw Sales'!E1954)="","Unknown",PROPER(TRIM('Raw Sales'!E1954)))</x:f>
        <x:v>Consumer</x:v>
      </x:c>
      <x:c r="I1954" s="84" t="str">
        <x:f>PROPER(TRIM('Raw Sales'!F1954))</x:f>
        <x:v>West</x:v>
      </x:c>
      <x:c r="J1954" s="84" t="str">
        <x:f>PROPER(TRIM('Raw Sales'!G1954))</x:f>
        <x:v>Denver</x:v>
      </x:c>
      <x:c r="K1954" s="84" t="str">
        <x:f>PROPER(TRIM('Raw Sales'!H1954))</x:f>
        <x:v>Online</x:v>
      </x:c>
      <x:c r="L1954" s="84" t="str">
        <x:f>'Raw Sales'!I1954</x:f>
        <x:v>OFFC-001</x:v>
      </x:c>
      <x:c r="M1954" s="84" t="str">
        <x:f>IFERROR(VLOOKUP(L1954,'Reference Data'!$A$5:$F$40,2,FALSE),"Unknown Product")</x:f>
        <x:v>Ergonomic Chair</x:v>
      </x:c>
      <x:c r="N1954" s="84" t="str">
        <x:f>IFERROR(VLOOKUP(L1954,'Reference Data'!$A$5:$F$40,3,FALSE),"Unknown")</x:f>
        <x:v>Office</x:v>
      </x:c>
      <x:c r="O1954" s="84" t="str">
        <x:f>IFERROR(VLOOKUP(L1954,'Reference Data'!$A$5:$F$40,4,FALSE),"Unknown")</x:f>
        <x:v>Furniture</x:v>
      </x:c>
      <x:c r="P1954" s="92" t="n">
        <x:f>IFERROR(VLOOKUP(L1954,'Reference Data'!$A$5:$F$40,5,FALSE),0)</x:f>
        <x:v>249</x:v>
      </x:c>
      <x:c r="Q1954" s="92" t="n">
        <x:f>IFERROR(VLOOKUP(L1954,'Reference Data'!$A$5:$F$40,6,FALSE),0)</x:f>
        <x:v>145</x:v>
      </x:c>
      <x:c r="R1954" s="84" t="n">
        <x:f>'Raw Sales'!J1954</x:f>
        <x:v>1</x:v>
      </x:c>
      <x:c r="S1954" s="87" t="n">
        <x:f>'Raw Sales'!K1954</x:f>
        <x:v>0</x:v>
      </x:c>
      <x:c r="T1954" s="93" t="n">
        <x:f>P1954*R1954</x:f>
        <x:v>249</x:v>
      </x:c>
      <x:c r="U1954" s="93" t="n">
        <x:f>T1954*S1954</x:f>
        <x:v>0</x:v>
      </x:c>
      <x:c r="V1954" s="93" t="str">
        <x:f>PROPER(TRIM('Raw Sales'!L1954))</x:f>
        <x:v>Completed</x:v>
      </x:c>
      <x:c r="W1954" s="93" t="n">
        <x:f>IF(V1954="Returned",0,T1954-U1954)</x:f>
        <x:v>249</x:v>
      </x:c>
      <x:c r="X1954" s="93" t="n">
        <x:f>IF(V1954="Returned",Q1954*R1954*10%,Q1954*R1954)</x:f>
        <x:v>145</x:v>
      </x:c>
      <x:c r="Y1954" s="93" t="n">
        <x:f>W1954-X1954</x:f>
        <x:v>104</x:v>
      </x:c>
      <x:c r="Z1954" s="94" t="n">
        <x:f>IFERROR(Y1954/W1954,0)</x:f>
        <x:v>0.41767068273092367</x:v>
      </x:c>
      <x:c r="AA1954" s="84" t="str">
        <x:f>PROPER(TRIM('Raw Sales'!M1954))</x:f>
        <x:v>Mobile Wallet</x:v>
      </x:c>
      <x:c r="AB1954" s="84" t="str">
        <x:f>PROPER(TRIM('Raw Sales'!N1954))</x:f>
        <x:v>Nora Kim</x:v>
      </x:c>
      <x:c r="AC1954" s="85" t="n">
        <x:f>'Raw Sales'!O1954</x:f>
        <x:v>45925</x:v>
      </x:c>
      <x:c r="AD1954" s="84" t="n">
        <x:f>AC1954-B1954</x:f>
        <x:v>5</x:v>
      </x:c>
      <x:c r="AE1954" s="84" t="str">
        <x:f>IF(COUNTIF($A$5:A1954,A1954)&gt;1,"Duplicate","Keep")</x:f>
        <x:v>Keep</x:v>
      </x:c>
      <x:c r="AF1954" s="84" t="str">
        <x:f>IF(OR(R1954&lt;=0,AC1954&lt;B1954,H1954="Unknown",M1954="Unknown Product"),"Review","Valid")</x:f>
        <x:v>Valid</x:v>
      </x:c>
      <x:c r="AG1954" s="84" t="n">
        <x:f>IF(AND(AE1954="Keep",AF1954="Valid"),1,0)</x:f>
        <x:v>1</x:v>
      </x:c>
      <x:c r="AH1954" s="84" t="n">
        <x:f>IF(AND(AG1954=1,OR('Dashboard'!$B$4="All",I1954='Dashboard'!$B$4),OR('Dashboard'!$E$4="All",N1954='Dashboard'!$E$4),OR('Dashboard'!$H$4="All",K1954='Dashboard'!$H$4),OR('Dashboard'!$K$4="All",C1954='Dashboard'!$K$4)),1,0)</x:f>
        <x:v>1</x:v>
      </x:c>
      <x:c r="AI1954" s="84" t="n">
        <x:f>IF(AND(AG1954=1,OR('Dashboard'!$B$4="All",I1954='Dashboard'!$B$4),OR('Dashboard'!$E$4="All",N1954='Dashboard'!$E$4),OR('Dashboard'!$H$4="All",K1954='Dashboard'!$H$4)),1,0)</x:f>
        <x:v>1</x:v>
      </x:c>
    </x:row>
    <x:row r="1955">
      <x:c r="A1955" s="84" t="str">
        <x:f>'Raw Sales'!A1955</x:f>
        <x:v>ORD-2025-01384</x:v>
      </x:c>
      <x:c r="B1955" s="85" t="n">
        <x:f>'Raw Sales'!B1955</x:f>
        <x:v>45920</x:v>
      </x:c>
      <x:c r="C1955" s="84" t="n">
        <x:f>YEAR(B1955)</x:f>
        <x:v>2025</x:v>
      </x:c>
      <x:c r="D1955" s="91" t="n">
        <x:f>DATE(YEAR(B1955),MONTH(B1955),1)</x:f>
        <x:v>45901</x:v>
      </x:c>
      <x:c r="E1955" s="84" t="str">
        <x:f>TEXT(B1955,"mmm")</x:f>
        <x:v>Sep</x:v>
      </x:c>
      <x:c r="F1955" s="84" t="str">
        <x:f>'Raw Sales'!C1955</x:f>
        <x:v>CUST-0031</x:v>
      </x:c>
      <x:c r="G1955" s="84" t="str">
        <x:f>PROPER(TRIM('Raw Sales'!D1955))</x:f>
        <x:v>Theo Smith</x:v>
      </x:c>
      <x:c r="H1955" s="84" t="str">
        <x:f>IF(TRIM('Raw Sales'!E1955)="","Unknown",PROPER(TRIM('Raw Sales'!E1955)))</x:f>
        <x:v>Consumer</x:v>
      </x:c>
      <x:c r="I1955" s="84" t="str">
        <x:f>PROPER(TRIM('Raw Sales'!F1955))</x:f>
        <x:v>Southeast</x:v>
      </x:c>
      <x:c r="J1955" s="84" t="str">
        <x:f>PROPER(TRIM('Raw Sales'!G1955))</x:f>
        <x:v>Atlanta</x:v>
      </x:c>
      <x:c r="K1955" s="84" t="str">
        <x:f>PROPER(TRIM('Raw Sales'!H1955))</x:f>
        <x:v>Online</x:v>
      </x:c>
      <x:c r="L1955" s="84" t="str">
        <x:f>'Raw Sales'!I1955</x:f>
        <x:v>HOME-002</x:v>
      </x:c>
      <x:c r="M1955" s="84" t="str">
        <x:f>IFERROR(VLOOKUP(L1955,'Reference Data'!$A$5:$F$40,2,FALSE),"Unknown Product")</x:f>
        <x:v>Electric Kettle</x:v>
      </x:c>
      <x:c r="N1955" s="84" t="str">
        <x:f>IFERROR(VLOOKUP(L1955,'Reference Data'!$A$5:$F$40,3,FALSE),"Unknown")</x:f>
        <x:v>Home &amp; Kitchen</x:v>
      </x:c>
      <x:c r="O1955" s="84" t="str">
        <x:f>IFERROR(VLOOKUP(L1955,'Reference Data'!$A$5:$F$40,4,FALSE),"Unknown")</x:f>
        <x:v>Small Appliances</x:v>
      </x:c>
      <x:c r="P1955" s="92" t="n">
        <x:f>IFERROR(VLOOKUP(L1955,'Reference Data'!$A$5:$F$40,5,FALSE),0)</x:f>
        <x:v>49</x:v>
      </x:c>
      <x:c r="Q1955" s="92" t="n">
        <x:f>IFERROR(VLOOKUP(L1955,'Reference Data'!$A$5:$F$40,6,FALSE),0)</x:f>
        <x:v>23</x:v>
      </x:c>
      <x:c r="R1955" s="84" t="n">
        <x:f>'Raw Sales'!J1955</x:f>
        <x:v>1</x:v>
      </x:c>
      <x:c r="S1955" s="87" t="n">
        <x:f>'Raw Sales'!K1955</x:f>
        <x:v>0.05</x:v>
      </x:c>
      <x:c r="T1955" s="93" t="n">
        <x:f>P1955*R1955</x:f>
        <x:v>49</x:v>
      </x:c>
      <x:c r="U1955" s="93" t="n">
        <x:f>T1955*S1955</x:f>
        <x:v>2.45</x:v>
      </x:c>
      <x:c r="V1955" s="93" t="str">
        <x:f>PROPER(TRIM('Raw Sales'!L1955))</x:f>
        <x:v>Completed</x:v>
      </x:c>
      <x:c r="W1955" s="93" t="n">
        <x:f>IF(V1955="Returned",0,T1955-U1955)</x:f>
        <x:v>46.55</x:v>
      </x:c>
      <x:c r="X1955" s="93" t="n">
        <x:f>IF(V1955="Returned",Q1955*R1955*10%,Q1955*R1955)</x:f>
        <x:v>23</x:v>
      </x:c>
      <x:c r="Y1955" s="93" t="n">
        <x:f>W1955-X1955</x:f>
        <x:v>23.549999999999997</x:v>
      </x:c>
      <x:c r="Z1955" s="94" t="n">
        <x:f>IFERROR(Y1955/W1955,0)</x:f>
        <x:v>0.505907626208378</x:v>
      </x:c>
      <x:c r="AA1955" s="84" t="str">
        <x:f>PROPER(TRIM('Raw Sales'!M1955))</x:f>
        <x:v>Credit Card</x:v>
      </x:c>
      <x:c r="AB1955" s="84" t="str">
        <x:f>PROPER(TRIM('Raw Sales'!N1955))</x:f>
        <x:v>Ava Mitchell</x:v>
      </x:c>
      <x:c r="AC1955" s="85" t="n">
        <x:f>'Raw Sales'!O1955</x:f>
        <x:v>45924</x:v>
      </x:c>
      <x:c r="AD1955" s="84" t="n">
        <x:f>AC1955-B1955</x:f>
        <x:v>4</x:v>
      </x:c>
      <x:c r="AE1955" s="84" t="str">
        <x:f>IF(COUNTIF($A$5:A1955,A1955)&gt;1,"Duplicate","Keep")</x:f>
        <x:v>Keep</x:v>
      </x:c>
      <x:c r="AF1955" s="84" t="str">
        <x:f>IF(OR(R1955&lt;=0,AC1955&lt;B1955,H1955="Unknown",M1955="Unknown Product"),"Review","Valid")</x:f>
        <x:v>Valid</x:v>
      </x:c>
      <x:c r="AG1955" s="84" t="n">
        <x:f>IF(AND(AE1955="Keep",AF1955="Valid"),1,0)</x:f>
        <x:v>1</x:v>
      </x:c>
      <x:c r="AH1955" s="84" t="n">
        <x:f>IF(AND(AG1955=1,OR('Dashboard'!$B$4="All",I1955='Dashboard'!$B$4),OR('Dashboard'!$E$4="All",N1955='Dashboard'!$E$4),OR('Dashboard'!$H$4="All",K1955='Dashboard'!$H$4),OR('Dashboard'!$K$4="All",C1955='Dashboard'!$K$4)),1,0)</x:f>
        <x:v>1</x:v>
      </x:c>
      <x:c r="AI1955" s="84" t="n">
        <x:f>IF(AND(AG1955=1,OR('Dashboard'!$B$4="All",I1955='Dashboard'!$B$4),OR('Dashboard'!$E$4="All",N1955='Dashboard'!$E$4),OR('Dashboard'!$H$4="All",K1955='Dashboard'!$H$4)),1,0)</x:f>
        <x:v>1</x:v>
      </x:c>
    </x:row>
    <x:row r="1956">
      <x:c r="A1956" s="84" t="str">
        <x:f>'Raw Sales'!A1956</x:f>
        <x:v>ORD-2025-01743</x:v>
      </x:c>
      <x:c r="B1956" s="85" t="n">
        <x:f>'Raw Sales'!B1956</x:f>
        <x:v>45920</x:v>
      </x:c>
      <x:c r="C1956" s="84" t="n">
        <x:f>YEAR(B1956)</x:f>
        <x:v>2025</x:v>
      </x:c>
      <x:c r="D1956" s="91" t="n">
        <x:f>DATE(YEAR(B1956),MONTH(B1956),1)</x:f>
        <x:v>45901</x:v>
      </x:c>
      <x:c r="E1956" s="84" t="str">
        <x:f>TEXT(B1956,"mmm")</x:f>
        <x:v>Sep</x:v>
      </x:c>
      <x:c r="F1956" s="84" t="str">
        <x:f>'Raw Sales'!C1956</x:f>
        <x:v>CUST-0308</x:v>
      </x:c>
      <x:c r="G1956" s="84" t="str">
        <x:f>PROPER(TRIM('Raw Sales'!D1956))</x:f>
        <x:v>Nathan Irwin</x:v>
      </x:c>
      <x:c r="H1956" s="84" t="str">
        <x:f>IF(TRIM('Raw Sales'!E1956)="","Unknown",PROPER(TRIM('Raw Sales'!E1956)))</x:f>
        <x:v>Consumer</x:v>
      </x:c>
      <x:c r="I1956" s="84" t="str">
        <x:f>PROPER(TRIM('Raw Sales'!F1956))</x:f>
        <x:v>West</x:v>
      </x:c>
      <x:c r="J1956" s="84" t="str">
        <x:f>PROPER(TRIM('Raw Sales'!G1956))</x:f>
        <x:v>Denver</x:v>
      </x:c>
      <x:c r="K1956" s="84" t="str">
        <x:f>PROPER(TRIM('Raw Sales'!H1956))</x:f>
        <x:v>Retail Store</x:v>
      </x:c>
      <x:c r="L1956" s="84" t="str">
        <x:f>'Raw Sales'!I1956</x:f>
        <x:v>FITN-006</x:v>
      </x:c>
      <x:c r="M1956" s="84" t="str">
        <x:f>IFERROR(VLOOKUP(L1956,'Reference Data'!$A$5:$F$40,2,FALSE),"Unknown Product")</x:f>
        <x:v>Foam Roller</x:v>
      </x:c>
      <x:c r="N1956" s="84" t="str">
        <x:f>IFERROR(VLOOKUP(L1956,'Reference Data'!$A$5:$F$40,3,FALSE),"Unknown")</x:f>
        <x:v>Fitness</x:v>
      </x:c>
      <x:c r="O1956" s="84" t="str">
        <x:f>IFERROR(VLOOKUP(L1956,'Reference Data'!$A$5:$F$40,4,FALSE),"Unknown")</x:f>
        <x:v>Recovery</x:v>
      </x:c>
      <x:c r="P1956" s="92" t="n">
        <x:f>IFERROR(VLOOKUP(L1956,'Reference Data'!$A$5:$F$40,5,FALSE),0)</x:f>
        <x:v>31</x:v>
      </x:c>
      <x:c r="Q1956" s="92" t="n">
        <x:f>IFERROR(VLOOKUP(L1956,'Reference Data'!$A$5:$F$40,6,FALSE),0)</x:f>
        <x:v>12</x:v>
      </x:c>
      <x:c r="R1956" s="84" t="n">
        <x:f>'Raw Sales'!J1956</x:f>
        <x:v>2</x:v>
      </x:c>
      <x:c r="S1956" s="87" t="n">
        <x:f>'Raw Sales'!K1956</x:f>
        <x:v>0.05</x:v>
      </x:c>
      <x:c r="T1956" s="93" t="n">
        <x:f>P1956*R1956</x:f>
        <x:v>62</x:v>
      </x:c>
      <x:c r="U1956" s="93" t="n">
        <x:f>T1956*S1956</x:f>
        <x:v>3.1</x:v>
      </x:c>
      <x:c r="V1956" s="93" t="str">
        <x:f>PROPER(TRIM('Raw Sales'!L1956))</x:f>
        <x:v>Completed</x:v>
      </x:c>
      <x:c r="W1956" s="93" t="n">
        <x:f>IF(V1956="Returned",0,T1956-U1956)</x:f>
        <x:v>58.9</x:v>
      </x:c>
      <x:c r="X1956" s="93" t="n">
        <x:f>IF(V1956="Returned",Q1956*R1956*10%,Q1956*R1956)</x:f>
        <x:v>24</x:v>
      </x:c>
      <x:c r="Y1956" s="93" t="n">
        <x:f>W1956-X1956</x:f>
        <x:v>34.9</x:v>
      </x:c>
      <x:c r="Z1956" s="94" t="n">
        <x:f>IFERROR(Y1956/W1956,0)</x:f>
        <x:v>0.5925297113752123</x:v>
      </x:c>
      <x:c r="AA1956" s="84" t="str">
        <x:f>PROPER(TRIM('Raw Sales'!M1956))</x:f>
        <x:v>Mobile Wallet</x:v>
      </x:c>
      <x:c r="AB1956" s="84" t="str">
        <x:f>PROPER(TRIM('Raw Sales'!N1956))</x:f>
        <x:v>Nora Kim</x:v>
      </x:c>
      <x:c r="AC1956" s="85" t="n">
        <x:f>'Raw Sales'!O1956</x:f>
        <x:v>45920</x:v>
      </x:c>
      <x:c r="AD1956" s="84" t="n">
        <x:f>AC1956-B1956</x:f>
        <x:v>0</x:v>
      </x:c>
      <x:c r="AE1956" s="84" t="str">
        <x:f>IF(COUNTIF($A$5:A1956,A1956)&gt;1,"Duplicate","Keep")</x:f>
        <x:v>Keep</x:v>
      </x:c>
      <x:c r="AF1956" s="84" t="str">
        <x:f>IF(OR(R1956&lt;=0,AC1956&lt;B1956,H1956="Unknown",M1956="Unknown Product"),"Review","Valid")</x:f>
        <x:v>Valid</x:v>
      </x:c>
      <x:c r="AG1956" s="84" t="n">
        <x:f>IF(AND(AE1956="Keep",AF1956="Valid"),1,0)</x:f>
        <x:v>1</x:v>
      </x:c>
      <x:c r="AH1956" s="84" t="n">
        <x:f>IF(AND(AG1956=1,OR('Dashboard'!$B$4="All",I1956='Dashboard'!$B$4),OR('Dashboard'!$E$4="All",N1956='Dashboard'!$E$4),OR('Dashboard'!$H$4="All",K1956='Dashboard'!$H$4),OR('Dashboard'!$K$4="All",C1956='Dashboard'!$K$4)),1,0)</x:f>
        <x:v>1</x:v>
      </x:c>
      <x:c r="AI1956" s="84" t="n">
        <x:f>IF(AND(AG1956=1,OR('Dashboard'!$B$4="All",I1956='Dashboard'!$B$4),OR('Dashboard'!$E$4="All",N1956='Dashboard'!$E$4),OR('Dashboard'!$H$4="All",K1956='Dashboard'!$H$4)),1,0)</x:f>
        <x:v>1</x:v>
      </x:c>
    </x:row>
    <x:row r="1957">
      <x:c r="A1957" s="84" t="str">
        <x:f>'Raw Sales'!A1957</x:f>
        <x:v>ORD-2025-02178</x:v>
      </x:c>
      <x:c r="B1957" s="85" t="n">
        <x:f>'Raw Sales'!B1957</x:f>
        <x:v>45920</x:v>
      </x:c>
      <x:c r="C1957" s="84" t="n">
        <x:f>YEAR(B1957)</x:f>
        <x:v>2025</x:v>
      </x:c>
      <x:c r="D1957" s="91" t="n">
        <x:f>DATE(YEAR(B1957),MONTH(B1957),1)</x:f>
        <x:v>45901</x:v>
      </x:c>
      <x:c r="E1957" s="84" t="str">
        <x:f>TEXT(B1957,"mmm")</x:f>
        <x:v>Sep</x:v>
      </x:c>
      <x:c r="F1957" s="84" t="str">
        <x:f>'Raw Sales'!C1957</x:f>
        <x:v>CUST-0355</x:v>
      </x:c>
      <x:c r="G1957" s="84" t="str">
        <x:f>PROPER(TRIM('Raw Sales'!D1957))</x:f>
        <x:v>Caleb Evans</x:v>
      </x:c>
      <x:c r="H1957" s="84" t="str">
        <x:f>IF(TRIM('Raw Sales'!E1957)="","Unknown",PROPER(TRIM('Raw Sales'!E1957)))</x:f>
        <x:v>Consumer</x:v>
      </x:c>
      <x:c r="I1957" s="84" t="str">
        <x:f>PROPER(TRIM('Raw Sales'!F1957))</x:f>
        <x:v>Northeast</x:v>
      </x:c>
      <x:c r="J1957" s="84" t="str">
        <x:f>PROPER(TRIM('Raw Sales'!G1957))</x:f>
        <x:v>Philadelphia</x:v>
      </x:c>
      <x:c r="K1957" s="84" t="str">
        <x:f>PROPER(TRIM('Raw Sales'!H1957))</x:f>
        <x:v>Online</x:v>
      </x:c>
      <x:c r="L1957" s="84" t="str">
        <x:f>'Raw Sales'!I1957</x:f>
        <x:v>ELEC-004</x:v>
      </x:c>
      <x:c r="M1957" s="84" t="str">
        <x:f>IFERROR(VLOOKUP(L1957,'Reference Data'!$A$5:$F$40,2,FALSE),"Unknown Product")</x:f>
        <x:v>Power Bank</x:v>
      </x:c>
      <x:c r="N1957" s="84" t="str">
        <x:f>IFERROR(VLOOKUP(L1957,'Reference Data'!$A$5:$F$40,3,FALSE),"Unknown")</x:f>
        <x:v>Electronics</x:v>
      </x:c>
      <x:c r="O1957" s="84" t="str">
        <x:f>IFERROR(VLOOKUP(L1957,'Reference Data'!$A$5:$F$40,4,FALSE),"Unknown")</x:f>
        <x:v>Mobile Accessories</x:v>
      </x:c>
      <x:c r="P1957" s="92" t="n">
        <x:f>IFERROR(VLOOKUP(L1957,'Reference Data'!$A$5:$F$40,5,FALSE),0)</x:f>
        <x:v>39</x:v>
      </x:c>
      <x:c r="Q1957" s="92" t="n">
        <x:f>IFERROR(VLOOKUP(L1957,'Reference Data'!$A$5:$F$40,6,FALSE),0)</x:f>
        <x:v>18</x:v>
      </x:c>
      <x:c r="R1957" s="84" t="n">
        <x:f>'Raw Sales'!J1957</x:f>
        <x:v>2</x:v>
      </x:c>
      <x:c r="S1957" s="87" t="n">
        <x:f>'Raw Sales'!K1957</x:f>
        <x:v>0</x:v>
      </x:c>
      <x:c r="T1957" s="93" t="n">
        <x:f>P1957*R1957</x:f>
        <x:v>78</x:v>
      </x:c>
      <x:c r="U1957" s="93" t="n">
        <x:f>T1957*S1957</x:f>
        <x:v>0</x:v>
      </x:c>
      <x:c r="V1957" s="93" t="str">
        <x:f>PROPER(TRIM('Raw Sales'!L1957))</x:f>
        <x:v>Completed</x:v>
      </x:c>
      <x:c r="W1957" s="93" t="n">
        <x:f>IF(V1957="Returned",0,T1957-U1957)</x:f>
        <x:v>78</x:v>
      </x:c>
      <x:c r="X1957" s="93" t="n">
        <x:f>IF(V1957="Returned",Q1957*R1957*10%,Q1957*R1957)</x:f>
        <x:v>36</x:v>
      </x:c>
      <x:c r="Y1957" s="93" t="n">
        <x:f>W1957-X1957</x:f>
        <x:v>42</x:v>
      </x:c>
      <x:c r="Z1957" s="94" t="n">
        <x:f>IFERROR(Y1957/W1957,0)</x:f>
        <x:v>0.5384615384615384</x:v>
      </x:c>
      <x:c r="AA1957" s="84" t="str">
        <x:f>PROPER(TRIM('Raw Sales'!M1957))</x:f>
        <x:v>Credit Card</x:v>
      </x:c>
      <x:c r="AB1957" s="84" t="str">
        <x:f>PROPER(TRIM('Raw Sales'!N1957))</x:f>
        <x:v>Sofia Bennett</x:v>
      </x:c>
      <x:c r="AC1957" s="85" t="n">
        <x:f>'Raw Sales'!O1957</x:f>
        <x:v>45923</x:v>
      </x:c>
      <x:c r="AD1957" s="84" t="n">
        <x:f>AC1957-B1957</x:f>
        <x:v>3</x:v>
      </x:c>
      <x:c r="AE1957" s="84" t="str">
        <x:f>IF(COUNTIF($A$5:A1957,A1957)&gt;1,"Duplicate","Keep")</x:f>
        <x:v>Keep</x:v>
      </x:c>
      <x:c r="AF1957" s="84" t="str">
        <x:f>IF(OR(R1957&lt;=0,AC1957&lt;B1957,H1957="Unknown",M1957="Unknown Product"),"Review","Valid")</x:f>
        <x:v>Valid</x:v>
      </x:c>
      <x:c r="AG1957" s="84" t="n">
        <x:f>IF(AND(AE1957="Keep",AF1957="Valid"),1,0)</x:f>
        <x:v>1</x:v>
      </x:c>
      <x:c r="AH1957" s="84" t="n">
        <x:f>IF(AND(AG1957=1,OR('Dashboard'!$B$4="All",I1957='Dashboard'!$B$4),OR('Dashboard'!$E$4="All",N1957='Dashboard'!$E$4),OR('Dashboard'!$H$4="All",K1957='Dashboard'!$H$4),OR('Dashboard'!$K$4="All",C1957='Dashboard'!$K$4)),1,0)</x:f>
        <x:v>1</x:v>
      </x:c>
      <x:c r="AI1957" s="84" t="n">
        <x:f>IF(AND(AG1957=1,OR('Dashboard'!$B$4="All",I1957='Dashboard'!$B$4),OR('Dashboard'!$E$4="All",N1957='Dashboard'!$E$4),OR('Dashboard'!$H$4="All",K1957='Dashboard'!$H$4)),1,0)</x:f>
        <x:v>1</x:v>
      </x:c>
    </x:row>
    <x:row r="1958">
      <x:c r="A1958" s="84" t="str">
        <x:f>'Raw Sales'!A1958</x:f>
        <x:v>ORD-2025-00468</x:v>
      </x:c>
      <x:c r="B1958" s="85" t="n">
        <x:f>'Raw Sales'!B1958</x:f>
        <x:v>45921</x:v>
      </x:c>
      <x:c r="C1958" s="84" t="n">
        <x:f>YEAR(B1958)</x:f>
        <x:v>2025</x:v>
      </x:c>
      <x:c r="D1958" s="91" t="n">
        <x:f>DATE(YEAR(B1958),MONTH(B1958),1)</x:f>
        <x:v>45901</x:v>
      </x:c>
      <x:c r="E1958" s="84" t="str">
        <x:f>TEXT(B1958,"mmm")</x:f>
        <x:v>Sep</x:v>
      </x:c>
      <x:c r="F1958" s="84" t="str">
        <x:f>'Raw Sales'!C1958</x:f>
        <x:v>CUST-0452</x:v>
      </x:c>
      <x:c r="G1958" s="84" t="str">
        <x:f>PROPER(TRIM('Raw Sales'!D1958))</x:f>
        <x:v>Aiden Moore</x:v>
      </x:c>
      <x:c r="H1958" s="84" t="str">
        <x:f>IF(TRIM('Raw Sales'!E1958)="","Unknown",PROPER(TRIM('Raw Sales'!E1958)))</x:f>
        <x:v>Corporate</x:v>
      </x:c>
      <x:c r="I1958" s="84" t="str">
        <x:f>PROPER(TRIM('Raw Sales'!F1958))</x:f>
        <x:v>Northeast</x:v>
      </x:c>
      <x:c r="J1958" s="84" t="str">
        <x:f>PROPER(TRIM('Raw Sales'!G1958))</x:f>
        <x:v>Philadelphia</x:v>
      </x:c>
      <x:c r="K1958" s="84" t="str">
        <x:f>PROPER(TRIM('Raw Sales'!H1958))</x:f>
        <x:v>Retail Store</x:v>
      </x:c>
      <x:c r="L1958" s="84" t="str">
        <x:f>'Raw Sales'!I1958</x:f>
        <x:v>ACCS-002</x:v>
      </x:c>
      <x:c r="M1958" s="84" t="str">
        <x:f>IFERROR(VLOOKUP(L1958,'Reference Data'!$A$5:$F$40,2,FALSE),"Unknown Product")</x:f>
        <x:v>Travel Backpack</x:v>
      </x:c>
      <x:c r="N1958" s="84" t="str">
        <x:f>IFERROR(VLOOKUP(L1958,'Reference Data'!$A$5:$F$40,3,FALSE),"Unknown")</x:f>
        <x:v>Accessories</x:v>
      </x:c>
      <x:c r="O1958" s="84" t="str">
        <x:f>IFERROR(VLOOKUP(L1958,'Reference Data'!$A$5:$F$40,4,FALSE),"Unknown")</x:f>
        <x:v>Bags</x:v>
      </x:c>
      <x:c r="P1958" s="92" t="n">
        <x:f>IFERROR(VLOOKUP(L1958,'Reference Data'!$A$5:$F$40,5,FALSE),0)</x:f>
        <x:v>89</x:v>
      </x:c>
      <x:c r="Q1958" s="92" t="n">
        <x:f>IFERROR(VLOOKUP(L1958,'Reference Data'!$A$5:$F$40,6,FALSE),0)</x:f>
        <x:v>36</x:v>
      </x:c>
      <x:c r="R1958" s="84" t="n">
        <x:f>'Raw Sales'!J1958</x:f>
        <x:v>5</x:v>
      </x:c>
      <x:c r="S1958" s="87" t="n">
        <x:f>'Raw Sales'!K1958</x:f>
        <x:v>0.05</x:v>
      </x:c>
      <x:c r="T1958" s="93" t="n">
        <x:f>P1958*R1958</x:f>
        <x:v>445</x:v>
      </x:c>
      <x:c r="U1958" s="93" t="n">
        <x:f>T1958*S1958</x:f>
        <x:v>22.25</x:v>
      </x:c>
      <x:c r="V1958" s="93" t="str">
        <x:f>PROPER(TRIM('Raw Sales'!L1958))</x:f>
        <x:v>Completed</x:v>
      </x:c>
      <x:c r="W1958" s="93" t="n">
        <x:f>IF(V1958="Returned",0,T1958-U1958)</x:f>
        <x:v>422.75</x:v>
      </x:c>
      <x:c r="X1958" s="93" t="n">
        <x:f>IF(V1958="Returned",Q1958*R1958*10%,Q1958*R1958)</x:f>
        <x:v>180</x:v>
      </x:c>
      <x:c r="Y1958" s="93" t="n">
        <x:f>W1958-X1958</x:f>
        <x:v>242.75</x:v>
      </x:c>
      <x:c r="Z1958" s="94" t="n">
        <x:f>IFERROR(Y1958/W1958,0)</x:f>
        <x:v>0.5742164399763453</x:v>
      </x:c>
      <x:c r="AA1958" s="84" t="str">
        <x:f>PROPER(TRIM('Raw Sales'!M1958))</x:f>
        <x:v>Mobile Wallet</x:v>
      </x:c>
      <x:c r="AB1958" s="84" t="str">
        <x:f>PROPER(TRIM('Raw Sales'!N1958))</x:f>
        <x:v>Ethan Cole</x:v>
      </x:c>
      <x:c r="AC1958" s="85" t="n">
        <x:f>'Raw Sales'!O1958</x:f>
        <x:v>45922</x:v>
      </x:c>
      <x:c r="AD1958" s="84" t="n">
        <x:f>AC1958-B1958</x:f>
        <x:v>1</x:v>
      </x:c>
      <x:c r="AE1958" s="84" t="str">
        <x:f>IF(COUNTIF($A$5:A1958,A1958)&gt;1,"Duplicate","Keep")</x:f>
        <x:v>Keep</x:v>
      </x:c>
      <x:c r="AF1958" s="84" t="str">
        <x:f>IF(OR(R1958&lt;=0,AC1958&lt;B1958,H1958="Unknown",M1958="Unknown Product"),"Review","Valid")</x:f>
        <x:v>Valid</x:v>
      </x:c>
      <x:c r="AG1958" s="84" t="n">
        <x:f>IF(AND(AE1958="Keep",AF1958="Valid"),1,0)</x:f>
        <x:v>1</x:v>
      </x:c>
      <x:c r="AH1958" s="84" t="n">
        <x:f>IF(AND(AG1958=1,OR('Dashboard'!$B$4="All",I1958='Dashboard'!$B$4),OR('Dashboard'!$E$4="All",N1958='Dashboard'!$E$4),OR('Dashboard'!$H$4="All",K1958='Dashboard'!$H$4),OR('Dashboard'!$K$4="All",C1958='Dashboard'!$K$4)),1,0)</x:f>
        <x:v>1</x:v>
      </x:c>
      <x:c r="AI1958" s="84" t="n">
        <x:f>IF(AND(AG1958=1,OR('Dashboard'!$B$4="All",I1958='Dashboard'!$B$4),OR('Dashboard'!$E$4="All",N1958='Dashboard'!$E$4),OR('Dashboard'!$H$4="All",K1958='Dashboard'!$H$4)),1,0)</x:f>
        <x:v>1</x:v>
      </x:c>
    </x:row>
    <x:row r="1959">
      <x:c r="A1959" s="84" t="str">
        <x:f>'Raw Sales'!A1959</x:f>
        <x:v>ORD-2025-02092</x:v>
      </x:c>
      <x:c r="B1959" s="85" t="n">
        <x:f>'Raw Sales'!B1959</x:f>
        <x:v>45921</x:v>
      </x:c>
      <x:c r="C1959" s="84" t="n">
        <x:f>YEAR(B1959)</x:f>
        <x:v>2025</x:v>
      </x:c>
      <x:c r="D1959" s="91" t="n">
        <x:f>DATE(YEAR(B1959),MONTH(B1959),1)</x:f>
        <x:v>45901</x:v>
      </x:c>
      <x:c r="E1959" s="84" t="str">
        <x:f>TEXT(B1959,"mmm")</x:f>
        <x:v>Sep</x:v>
      </x:c>
      <x:c r="F1959" s="84" t="str">
        <x:f>'Raw Sales'!C1959</x:f>
        <x:v>CUST-0387</x:v>
      </x:c>
      <x:c r="G1959" s="84" t="str">
        <x:f>PROPER(TRIM('Raw Sales'!D1959))</x:f>
        <x:v>Samuel Evans</x:v>
      </x:c>
      <x:c r="H1959" s="84" t="str">
        <x:f>IF(TRIM('Raw Sales'!E1959)="","Unknown",PROPER(TRIM('Raw Sales'!E1959)))</x:f>
        <x:v>Small Business</x:v>
      </x:c>
      <x:c r="I1959" s="84" t="str">
        <x:f>PROPER(TRIM('Raw Sales'!F1959))</x:f>
        <x:v>West</x:v>
      </x:c>
      <x:c r="J1959" s="84" t="str">
        <x:f>PROPER(TRIM('Raw Sales'!G1959))</x:f>
        <x:v>Denver</x:v>
      </x:c>
      <x:c r="K1959" s="84" t="str">
        <x:f>PROPER(TRIM('Raw Sales'!H1959))</x:f>
        <x:v>Online</x:v>
      </x:c>
      <x:c r="L1959" s="84" t="str">
        <x:f>'Raw Sales'!I1959</x:f>
        <x:v>OFFC-006</x:v>
      </x:c>
      <x:c r="M1959" s="84" t="str">
        <x:f>IFERROR(VLOOKUP(L1959,'Reference Data'!$A$5:$F$40,2,FALSE),"Unknown Product")</x:f>
        <x:v>Monitor Stand</x:v>
      </x:c>
      <x:c r="N1959" s="84" t="str">
        <x:f>IFERROR(VLOOKUP(L1959,'Reference Data'!$A$5:$F$40,3,FALSE),"Unknown")</x:f>
        <x:v>Office</x:v>
      </x:c>
      <x:c r="O1959" s="84" t="str">
        <x:f>IFERROR(VLOOKUP(L1959,'Reference Data'!$A$5:$F$40,4,FALSE),"Unknown")</x:f>
        <x:v>Desk Accessories</x:v>
      </x:c>
      <x:c r="P1959" s="92" t="n">
        <x:f>IFERROR(VLOOKUP(L1959,'Reference Data'!$A$5:$F$40,5,FALSE),0)</x:f>
        <x:v>49</x:v>
      </x:c>
      <x:c r="Q1959" s="92" t="n">
        <x:f>IFERROR(VLOOKUP(L1959,'Reference Data'!$A$5:$F$40,6,FALSE),0)</x:f>
        <x:v>21</x:v>
      </x:c>
      <x:c r="R1959" s="84" t="n">
        <x:f>'Raw Sales'!J1959</x:f>
        <x:v>1</x:v>
      </x:c>
      <x:c r="S1959" s="87" t="n">
        <x:f>'Raw Sales'!K1959</x:f>
        <x:v>0.1</x:v>
      </x:c>
      <x:c r="T1959" s="93" t="n">
        <x:f>P1959*R1959</x:f>
        <x:v>49</x:v>
      </x:c>
      <x:c r="U1959" s="93" t="n">
        <x:f>T1959*S1959</x:f>
        <x:v>4.9</x:v>
      </x:c>
      <x:c r="V1959" s="93" t="str">
        <x:f>PROPER(TRIM('Raw Sales'!L1959))</x:f>
        <x:v>Completed</x:v>
      </x:c>
      <x:c r="W1959" s="93" t="n">
        <x:f>IF(V1959="Returned",0,T1959-U1959)</x:f>
        <x:v>44.1</x:v>
      </x:c>
      <x:c r="X1959" s="93" t="n">
        <x:f>IF(V1959="Returned",Q1959*R1959*10%,Q1959*R1959)</x:f>
        <x:v>21</x:v>
      </x:c>
      <x:c r="Y1959" s="93" t="n">
        <x:f>W1959-X1959</x:f>
        <x:v>23.1</x:v>
      </x:c>
      <x:c r="Z1959" s="94" t="n">
        <x:f>IFERROR(Y1959/W1959,0)</x:f>
        <x:v>0.5238095238095238</x:v>
      </x:c>
      <x:c r="AA1959" s="84" t="str">
        <x:f>PROPER(TRIM('Raw Sales'!M1959))</x:f>
        <x:v>Debit Card</x:v>
      </x:c>
      <x:c r="AB1959" s="84" t="str">
        <x:f>PROPER(TRIM('Raw Sales'!N1959))</x:f>
        <x:v>Nora Kim</x:v>
      </x:c>
      <x:c r="AC1959" s="85" t="n">
        <x:f>'Raw Sales'!O1959</x:f>
        <x:v>45927</x:v>
      </x:c>
      <x:c r="AD1959" s="84" t="n">
        <x:f>AC1959-B1959</x:f>
        <x:v>6</x:v>
      </x:c>
      <x:c r="AE1959" s="84" t="str">
        <x:f>IF(COUNTIF($A$5:A1959,A1959)&gt;1,"Duplicate","Keep")</x:f>
        <x:v>Keep</x:v>
      </x:c>
      <x:c r="AF1959" s="84" t="str">
        <x:f>IF(OR(R1959&lt;=0,AC1959&lt;B1959,H1959="Unknown",M1959="Unknown Product"),"Review","Valid")</x:f>
        <x:v>Valid</x:v>
      </x:c>
      <x:c r="AG1959" s="84" t="n">
        <x:f>IF(AND(AE1959="Keep",AF1959="Valid"),1,0)</x:f>
        <x:v>1</x:v>
      </x:c>
      <x:c r="AH1959" s="84" t="n">
        <x:f>IF(AND(AG1959=1,OR('Dashboard'!$B$4="All",I1959='Dashboard'!$B$4),OR('Dashboard'!$E$4="All",N1959='Dashboard'!$E$4),OR('Dashboard'!$H$4="All",K1959='Dashboard'!$H$4),OR('Dashboard'!$K$4="All",C1959='Dashboard'!$K$4)),1,0)</x:f>
        <x:v>1</x:v>
      </x:c>
      <x:c r="AI1959" s="84" t="n">
        <x:f>IF(AND(AG1959=1,OR('Dashboard'!$B$4="All",I1959='Dashboard'!$B$4),OR('Dashboard'!$E$4="All",N1959='Dashboard'!$E$4),OR('Dashboard'!$H$4="All",K1959='Dashboard'!$H$4)),1,0)</x:f>
        <x:v>1</x:v>
      </x:c>
    </x:row>
    <x:row r="1960">
      <x:c r="A1960" s="84" t="str">
        <x:f>'Raw Sales'!A1960</x:f>
        <x:v>ORD-2025-01145</x:v>
      </x:c>
      <x:c r="B1960" s="85" t="n">
        <x:f>'Raw Sales'!B1960</x:f>
        <x:v>45922</x:v>
      </x:c>
      <x:c r="C1960" s="84" t="n">
        <x:f>YEAR(B1960)</x:f>
        <x:v>2025</x:v>
      </x:c>
      <x:c r="D1960" s="91" t="n">
        <x:f>DATE(YEAR(B1960),MONTH(B1960),1)</x:f>
        <x:v>45901</x:v>
      </x:c>
      <x:c r="E1960" s="84" t="str">
        <x:f>TEXT(B1960,"mmm")</x:f>
        <x:v>Sep</x:v>
      </x:c>
      <x:c r="F1960" s="84" t="str">
        <x:f>'Raw Sales'!C1960</x:f>
        <x:v>CUST-0578</x:v>
      </x:c>
      <x:c r="G1960" s="84" t="str">
        <x:f>PROPER(TRIM('Raw Sales'!D1960))</x:f>
        <x:v>Priya Smith</x:v>
      </x:c>
      <x:c r="H1960" s="84" t="str">
        <x:f>IF(TRIM('Raw Sales'!E1960)="","Unknown",PROPER(TRIM('Raw Sales'!E1960)))</x:f>
        <x:v>Corporate</x:v>
      </x:c>
      <x:c r="I1960" s="84" t="str">
        <x:f>PROPER(TRIM('Raw Sales'!F1960))</x:f>
        <x:v>Northeast</x:v>
      </x:c>
      <x:c r="J1960" s="84" t="str">
        <x:f>PROPER(TRIM('Raw Sales'!G1960))</x:f>
        <x:v>Newark</x:v>
      </x:c>
      <x:c r="K1960" s="84" t="str">
        <x:f>PROPER(TRIM('Raw Sales'!H1960))</x:f>
        <x:v>Retail Store</x:v>
      </x:c>
      <x:c r="L1960" s="84" t="str">
        <x:f>'Raw Sales'!I1960</x:f>
        <x:v>OFFC-005</x:v>
      </x:c>
      <x:c r="M1960" s="84" t="str">
        <x:f>IFERROR(VLOOKUP(L1960,'Reference Data'!$A$5:$F$40,2,FALSE),"Unknown Product")</x:f>
        <x:v>Wireless Keyboard</x:v>
      </x:c>
      <x:c r="N1960" s="84" t="str">
        <x:f>IFERROR(VLOOKUP(L1960,'Reference Data'!$A$5:$F$40,3,FALSE),"Unknown")</x:f>
        <x:v>Office</x:v>
      </x:c>
      <x:c r="O1960" s="84" t="str">
        <x:f>IFERROR(VLOOKUP(L1960,'Reference Data'!$A$5:$F$40,4,FALSE),"Unknown")</x:f>
        <x:v>Computer Accessories</x:v>
      </x:c>
      <x:c r="P1960" s="92" t="n">
        <x:f>IFERROR(VLOOKUP(L1960,'Reference Data'!$A$5:$F$40,5,FALSE),0)</x:f>
        <x:v>59</x:v>
      </x:c>
      <x:c r="Q1960" s="92" t="n">
        <x:f>IFERROR(VLOOKUP(L1960,'Reference Data'!$A$5:$F$40,6,FALSE),0)</x:f>
        <x:v>28</x:v>
      </x:c>
      <x:c r="R1960" s="84" t="n">
        <x:f>'Raw Sales'!J1960</x:f>
        <x:v>1</x:v>
      </x:c>
      <x:c r="S1960" s="87" t="n">
        <x:f>'Raw Sales'!K1960</x:f>
        <x:v>0.15</x:v>
      </x:c>
      <x:c r="T1960" s="93" t="n">
        <x:f>P1960*R1960</x:f>
        <x:v>59</x:v>
      </x:c>
      <x:c r="U1960" s="93" t="n">
        <x:f>T1960*S1960</x:f>
        <x:v>8.85</x:v>
      </x:c>
      <x:c r="V1960" s="93" t="str">
        <x:f>PROPER(TRIM('Raw Sales'!L1960))</x:f>
        <x:v>Completed</x:v>
      </x:c>
      <x:c r="W1960" s="93" t="n">
        <x:f>IF(V1960="Returned",0,T1960-U1960)</x:f>
        <x:v>50.15</x:v>
      </x:c>
      <x:c r="X1960" s="93" t="n">
        <x:f>IF(V1960="Returned",Q1960*R1960*10%,Q1960*R1960)</x:f>
        <x:v>28</x:v>
      </x:c>
      <x:c r="Y1960" s="93" t="n">
        <x:f>W1960-X1960</x:f>
        <x:v>22.15</x:v>
      </x:c>
      <x:c r="Z1960" s="94" t="n">
        <x:f>IFERROR(Y1960/W1960,0)</x:f>
        <x:v>0.44167497507477566</x:v>
      </x:c>
      <x:c r="AA1960" s="84" t="str">
        <x:f>PROPER(TRIM('Raw Sales'!M1960))</x:f>
        <x:v>Debit Card</x:v>
      </x:c>
      <x:c r="AB1960" s="84" t="str">
        <x:f>PROPER(TRIM('Raw Sales'!N1960))</x:f>
        <x:v>Sofia Bennett</x:v>
      </x:c>
      <x:c r="AC1960" s="85" t="n">
        <x:f>'Raw Sales'!O1960</x:f>
        <x:v>45922</x:v>
      </x:c>
      <x:c r="AD1960" s="84" t="n">
        <x:f>AC1960-B1960</x:f>
        <x:v>0</x:v>
      </x:c>
      <x:c r="AE1960" s="84" t="str">
        <x:f>IF(COUNTIF($A$5:A1960,A1960)&gt;1,"Duplicate","Keep")</x:f>
        <x:v>Keep</x:v>
      </x:c>
      <x:c r="AF1960" s="84" t="str">
        <x:f>IF(OR(R1960&lt;=0,AC1960&lt;B1960,H1960="Unknown",M1960="Unknown Product"),"Review","Valid")</x:f>
        <x:v>Valid</x:v>
      </x:c>
      <x:c r="AG1960" s="84" t="n">
        <x:f>IF(AND(AE1960="Keep",AF1960="Valid"),1,0)</x:f>
        <x:v>1</x:v>
      </x:c>
      <x:c r="AH1960" s="84" t="n">
        <x:f>IF(AND(AG1960=1,OR('Dashboard'!$B$4="All",I1960='Dashboard'!$B$4),OR('Dashboard'!$E$4="All",N1960='Dashboard'!$E$4),OR('Dashboard'!$H$4="All",K1960='Dashboard'!$H$4),OR('Dashboard'!$K$4="All",C1960='Dashboard'!$K$4)),1,0)</x:f>
        <x:v>1</x:v>
      </x:c>
      <x:c r="AI1960" s="84" t="n">
        <x:f>IF(AND(AG1960=1,OR('Dashboard'!$B$4="All",I1960='Dashboard'!$B$4),OR('Dashboard'!$E$4="All",N1960='Dashboard'!$E$4),OR('Dashboard'!$H$4="All",K1960='Dashboard'!$H$4)),1,0)</x:f>
        <x:v>1</x:v>
      </x:c>
    </x:row>
    <x:row r="1961">
      <x:c r="A1961" s="84" t="str">
        <x:f>'Raw Sales'!A1961</x:f>
        <x:v>ORD-2025-01325</x:v>
      </x:c>
      <x:c r="B1961" s="85" t="n">
        <x:f>'Raw Sales'!B1961</x:f>
        <x:v>45922</x:v>
      </x:c>
      <x:c r="C1961" s="84" t="n">
        <x:f>YEAR(B1961)</x:f>
        <x:v>2025</x:v>
      </x:c>
      <x:c r="D1961" s="91" t="n">
        <x:f>DATE(YEAR(B1961),MONTH(B1961),1)</x:f>
        <x:v>45901</x:v>
      </x:c>
      <x:c r="E1961" s="84" t="str">
        <x:f>TEXT(B1961,"mmm")</x:f>
        <x:v>Sep</x:v>
      </x:c>
      <x:c r="F1961" s="84" t="str">
        <x:f>'Raw Sales'!C1961</x:f>
        <x:v>CUST-0591</x:v>
      </x:c>
      <x:c r="G1961" s="84" t="str">
        <x:f>PROPER(TRIM('Raw Sales'!D1961))</x:f>
        <x:v>Grace Quinn</x:v>
      </x:c>
      <x:c r="H1961" s="84" t="str">
        <x:f>IF(TRIM('Raw Sales'!E1961)="","Unknown",PROPER(TRIM('Raw Sales'!E1961)))</x:f>
        <x:v>Consumer</x:v>
      </x:c>
      <x:c r="I1961" s="84" t="str">
        <x:f>PROPER(TRIM('Raw Sales'!F1961))</x:f>
        <x:v>Northeast</x:v>
      </x:c>
      <x:c r="J1961" s="84" t="str">
        <x:f>PROPER(TRIM('Raw Sales'!G1961))</x:f>
        <x:v>Philadelphia</x:v>
      </x:c>
      <x:c r="K1961" s="84" t="str">
        <x:f>PROPER(TRIM('Raw Sales'!H1961))</x:f>
        <x:v>Retail Store</x:v>
      </x:c>
      <x:c r="L1961" s="84" t="str">
        <x:f>'Raw Sales'!I1961</x:f>
        <x:v>HOME-006</x:v>
      </x:c>
      <x:c r="M1961" s="84" t="str">
        <x:f>IFERROR(VLOOKUP(L1961,'Reference Data'!$A$5:$F$40,2,FALSE),"Unknown Product")</x:f>
        <x:v>Food Storage Set</x:v>
      </x:c>
      <x:c r="N1961" s="84" t="str">
        <x:f>IFERROR(VLOOKUP(L1961,'Reference Data'!$A$5:$F$40,3,FALSE),"Unknown")</x:f>
        <x:v>Home &amp; Kitchen</x:v>
      </x:c>
      <x:c r="O1961" s="84" t="str">
        <x:f>IFERROR(VLOOKUP(L1961,'Reference Data'!$A$5:$F$40,4,FALSE),"Unknown")</x:f>
        <x:v>Kitchenware</x:v>
      </x:c>
      <x:c r="P1961" s="92" t="n">
        <x:f>IFERROR(VLOOKUP(L1961,'Reference Data'!$A$5:$F$40,5,FALSE),0)</x:f>
        <x:v>34</x:v>
      </x:c>
      <x:c r="Q1961" s="92" t="n">
        <x:f>IFERROR(VLOOKUP(L1961,'Reference Data'!$A$5:$F$40,6,FALSE),0)</x:f>
        <x:v>15</x:v>
      </x:c>
      <x:c r="R1961" s="84" t="n">
        <x:f>'Raw Sales'!J1961</x:f>
        <x:v>1</x:v>
      </x:c>
      <x:c r="S1961" s="87" t="n">
        <x:f>'Raw Sales'!K1961</x:f>
        <x:v>0.1</x:v>
      </x:c>
      <x:c r="T1961" s="93" t="n">
        <x:f>P1961*R1961</x:f>
        <x:v>34</x:v>
      </x:c>
      <x:c r="U1961" s="93" t="n">
        <x:f>T1961*S1961</x:f>
        <x:v>3.4000000000000004</x:v>
      </x:c>
      <x:c r="V1961" s="93" t="str">
        <x:f>PROPER(TRIM('Raw Sales'!L1961))</x:f>
        <x:v>Completed</x:v>
      </x:c>
      <x:c r="W1961" s="93" t="n">
        <x:f>IF(V1961="Returned",0,T1961-U1961)</x:f>
        <x:v>30.6</x:v>
      </x:c>
      <x:c r="X1961" s="93" t="n">
        <x:f>IF(V1961="Returned",Q1961*R1961*10%,Q1961*R1961)</x:f>
        <x:v>15</x:v>
      </x:c>
      <x:c r="Y1961" s="93" t="n">
        <x:f>W1961-X1961</x:f>
        <x:v>15.600000000000001</x:v>
      </x:c>
      <x:c r="Z1961" s="94" t="n">
        <x:f>IFERROR(Y1961/W1961,0)</x:f>
        <x:v>0.5098039215686275</x:v>
      </x:c>
      <x:c r="AA1961" s="84" t="str">
        <x:f>PROPER(TRIM('Raw Sales'!M1961))</x:f>
        <x:v>Debit Card</x:v>
      </x:c>
      <x:c r="AB1961" s="84" t="str">
        <x:f>PROPER(TRIM('Raw Sales'!N1961))</x:f>
        <x:v>Maya Brooks</x:v>
      </x:c>
      <x:c r="AC1961" s="85" t="n">
        <x:f>'Raw Sales'!O1961</x:f>
        <x:v>45922</x:v>
      </x:c>
      <x:c r="AD1961" s="84" t="n">
        <x:f>AC1961-B1961</x:f>
        <x:v>0</x:v>
      </x:c>
      <x:c r="AE1961" s="84" t="str">
        <x:f>IF(COUNTIF($A$5:A1961,A1961)&gt;1,"Duplicate","Keep")</x:f>
        <x:v>Keep</x:v>
      </x:c>
      <x:c r="AF1961" s="84" t="str">
        <x:f>IF(OR(R1961&lt;=0,AC1961&lt;B1961,H1961="Unknown",M1961="Unknown Product"),"Review","Valid")</x:f>
        <x:v>Valid</x:v>
      </x:c>
      <x:c r="AG1961" s="84" t="n">
        <x:f>IF(AND(AE1961="Keep",AF1961="Valid"),1,0)</x:f>
        <x:v>1</x:v>
      </x:c>
      <x:c r="AH1961" s="84" t="n">
        <x:f>IF(AND(AG1961=1,OR('Dashboard'!$B$4="All",I1961='Dashboard'!$B$4),OR('Dashboard'!$E$4="All",N1961='Dashboard'!$E$4),OR('Dashboard'!$H$4="All",K1961='Dashboard'!$H$4),OR('Dashboard'!$K$4="All",C1961='Dashboard'!$K$4)),1,0)</x:f>
        <x:v>1</x:v>
      </x:c>
      <x:c r="AI1961" s="84" t="n">
        <x:f>IF(AND(AG1961=1,OR('Dashboard'!$B$4="All",I1961='Dashboard'!$B$4),OR('Dashboard'!$E$4="All",N1961='Dashboard'!$E$4),OR('Dashboard'!$H$4="All",K1961='Dashboard'!$H$4)),1,0)</x:f>
        <x:v>1</x:v>
      </x:c>
    </x:row>
    <x:row r="1962">
      <x:c r="A1962" s="84" t="str">
        <x:f>'Raw Sales'!A1962</x:f>
        <x:v>ORD-2025-01516</x:v>
      </x:c>
      <x:c r="B1962" s="85" t="n">
        <x:f>'Raw Sales'!B1962</x:f>
        <x:v>45922</x:v>
      </x:c>
      <x:c r="C1962" s="84" t="n">
        <x:f>YEAR(B1962)</x:f>
        <x:v>2025</x:v>
      </x:c>
      <x:c r="D1962" s="91" t="n">
        <x:f>DATE(YEAR(B1962),MONTH(B1962),1)</x:f>
        <x:v>45901</x:v>
      </x:c>
      <x:c r="E1962" s="84" t="str">
        <x:f>TEXT(B1962,"mmm")</x:f>
        <x:v>Sep</x:v>
      </x:c>
      <x:c r="F1962" s="84" t="str">
        <x:f>'Raw Sales'!C1962</x:f>
        <x:v>CUST-0590</x:v>
      </x:c>
      <x:c r="G1962" s="84" t="str">
        <x:f>PROPER(TRIM('Raw Sales'!D1962))</x:f>
        <x:v>Theo Young</x:v>
      </x:c>
      <x:c r="H1962" s="84" t="str">
        <x:f>IF(TRIM('Raw Sales'!E1962)="","Unknown",PROPER(TRIM('Raw Sales'!E1962)))</x:f>
        <x:v>Consumer</x:v>
      </x:c>
      <x:c r="I1962" s="84" t="str">
        <x:f>PROPER(TRIM('Raw Sales'!F1962))</x:f>
        <x:v>Southeast</x:v>
      </x:c>
      <x:c r="J1962" s="84" t="str">
        <x:f>PROPER(TRIM('Raw Sales'!G1962))</x:f>
        <x:v>Atlanta</x:v>
      </x:c>
      <x:c r="K1962" s="84" t="str">
        <x:f>PROPER(TRIM('Raw Sales'!H1962))</x:f>
        <x:v>Online</x:v>
      </x:c>
      <x:c r="L1962" s="84" t="str">
        <x:f>'Raw Sales'!I1962</x:f>
        <x:v>ELEC-001</x:v>
      </x:c>
      <x:c r="M1962" s="84" t="str">
        <x:f>IFERROR(VLOOKUP(L1962,'Reference Data'!$A$5:$F$40,2,FALSE),"Unknown Product")</x:f>
        <x:v>Wireless Earbuds</x:v>
      </x:c>
      <x:c r="N1962" s="84" t="str">
        <x:f>IFERROR(VLOOKUP(L1962,'Reference Data'!$A$5:$F$40,3,FALSE),"Unknown")</x:f>
        <x:v>Electronics</x:v>
      </x:c>
      <x:c r="O1962" s="84" t="str">
        <x:f>IFERROR(VLOOKUP(L1962,'Reference Data'!$A$5:$F$40,4,FALSE),"Unknown")</x:f>
        <x:v>Audio</x:v>
      </x:c>
      <x:c r="P1962" s="92" t="n">
        <x:f>IFERROR(VLOOKUP(L1962,'Reference Data'!$A$5:$F$40,5,FALSE),0)</x:f>
        <x:v>69</x:v>
      </x:c>
      <x:c r="Q1962" s="92" t="n">
        <x:f>IFERROR(VLOOKUP(L1962,'Reference Data'!$A$5:$F$40,6,FALSE),0)</x:f>
        <x:v>36</x:v>
      </x:c>
      <x:c r="R1962" s="84" t="n">
        <x:f>'Raw Sales'!J1962</x:f>
        <x:v>2</x:v>
      </x:c>
      <x:c r="S1962" s="87" t="n">
        <x:f>'Raw Sales'!K1962</x:f>
        <x:v>0</x:v>
      </x:c>
      <x:c r="T1962" s="93" t="n">
        <x:f>P1962*R1962</x:f>
        <x:v>138</x:v>
      </x:c>
      <x:c r="U1962" s="93" t="n">
        <x:f>T1962*S1962</x:f>
        <x:v>0</x:v>
      </x:c>
      <x:c r="V1962" s="93" t="str">
        <x:f>PROPER(TRIM('Raw Sales'!L1962))</x:f>
        <x:v>Completed</x:v>
      </x:c>
      <x:c r="W1962" s="93" t="n">
        <x:f>IF(V1962="Returned",0,T1962-U1962)</x:f>
        <x:v>138</x:v>
      </x:c>
      <x:c r="X1962" s="93" t="n">
        <x:f>IF(V1962="Returned",Q1962*R1962*10%,Q1962*R1962)</x:f>
        <x:v>72</x:v>
      </x:c>
      <x:c r="Y1962" s="93" t="n">
        <x:f>W1962-X1962</x:f>
        <x:v>66</x:v>
      </x:c>
      <x:c r="Z1962" s="94" t="n">
        <x:f>IFERROR(Y1962/W1962,0)</x:f>
        <x:v>0.4782608695652174</x:v>
      </x:c>
      <x:c r="AA1962" s="84" t="str">
        <x:f>PROPER(TRIM('Raw Sales'!M1962))</x:f>
        <x:v>Paypal</x:v>
      </x:c>
      <x:c r="AB1962" s="84" t="str">
        <x:f>PROPER(TRIM('Raw Sales'!N1962))</x:f>
        <x:v>Liam Parker</x:v>
      </x:c>
      <x:c r="AC1962" s="85" t="n">
        <x:f>'Raw Sales'!O1962</x:f>
        <x:v>45924</x:v>
      </x:c>
      <x:c r="AD1962" s="84" t="n">
        <x:f>AC1962-B1962</x:f>
        <x:v>2</x:v>
      </x:c>
      <x:c r="AE1962" s="84" t="str">
        <x:f>IF(COUNTIF($A$5:A1962,A1962)&gt;1,"Duplicate","Keep")</x:f>
        <x:v>Keep</x:v>
      </x:c>
      <x:c r="AF1962" s="84" t="str">
        <x:f>IF(OR(R1962&lt;=0,AC1962&lt;B1962,H1962="Unknown",M1962="Unknown Product"),"Review","Valid")</x:f>
        <x:v>Valid</x:v>
      </x:c>
      <x:c r="AG1962" s="84" t="n">
        <x:f>IF(AND(AE1962="Keep",AF1962="Valid"),1,0)</x:f>
        <x:v>1</x:v>
      </x:c>
      <x:c r="AH1962" s="84" t="n">
        <x:f>IF(AND(AG1962=1,OR('Dashboard'!$B$4="All",I1962='Dashboard'!$B$4),OR('Dashboard'!$E$4="All",N1962='Dashboard'!$E$4),OR('Dashboard'!$H$4="All",K1962='Dashboard'!$H$4),OR('Dashboard'!$K$4="All",C1962='Dashboard'!$K$4)),1,0)</x:f>
        <x:v>1</x:v>
      </x:c>
      <x:c r="AI1962" s="84" t="n">
        <x:f>IF(AND(AG1962=1,OR('Dashboard'!$B$4="All",I1962='Dashboard'!$B$4),OR('Dashboard'!$E$4="All",N1962='Dashboard'!$E$4),OR('Dashboard'!$H$4="All",K1962='Dashboard'!$H$4)),1,0)</x:f>
        <x:v>1</x:v>
      </x:c>
    </x:row>
    <x:row r="1963">
      <x:c r="A1963" s="84" t="str">
        <x:f>'Raw Sales'!A1963</x:f>
        <x:v>ORD-2025-01517</x:v>
      </x:c>
      <x:c r="B1963" s="85" t="n">
        <x:f>'Raw Sales'!B1963</x:f>
        <x:v>45922</x:v>
      </x:c>
      <x:c r="C1963" s="84" t="n">
        <x:f>YEAR(B1963)</x:f>
        <x:v>2025</x:v>
      </x:c>
      <x:c r="D1963" s="91" t="n">
        <x:f>DATE(YEAR(B1963),MONTH(B1963),1)</x:f>
        <x:v>45901</x:v>
      </x:c>
      <x:c r="E1963" s="84" t="str">
        <x:f>TEXT(B1963,"mmm")</x:f>
        <x:v>Sep</x:v>
      </x:c>
      <x:c r="F1963" s="84" t="str">
        <x:f>'Raw Sales'!C1963</x:f>
        <x:v>CUST-0079</x:v>
      </x:c>
      <x:c r="G1963" s="84" t="str">
        <x:f>PROPER(TRIM('Raw Sales'!D1963))</x:f>
        <x:v>Isaac Foster</x:v>
      </x:c>
      <x:c r="H1963" s="84" t="str">
        <x:f>IF(TRIM('Raw Sales'!E1963)="","Unknown",PROPER(TRIM('Raw Sales'!E1963)))</x:f>
        <x:v>Consumer</x:v>
      </x:c>
      <x:c r="I1963" s="84" t="str">
        <x:f>PROPER(TRIM('Raw Sales'!F1963))</x:f>
        <x:v>Midwest</x:v>
      </x:c>
      <x:c r="J1963" s="84" t="str">
        <x:f>PROPER(TRIM('Raw Sales'!G1963))</x:f>
        <x:v>Minneapolis</x:v>
      </x:c>
      <x:c r="K1963" s="84" t="str">
        <x:f>PROPER(TRIM('Raw Sales'!H1963))</x:f>
        <x:v>Online</x:v>
      </x:c>
      <x:c r="L1963" s="84" t="str">
        <x:f>'Raw Sales'!I1963</x:f>
        <x:v>OFFC-001</x:v>
      </x:c>
      <x:c r="M1963" s="84" t="str">
        <x:f>IFERROR(VLOOKUP(L1963,'Reference Data'!$A$5:$F$40,2,FALSE),"Unknown Product")</x:f>
        <x:v>Ergonomic Chair</x:v>
      </x:c>
      <x:c r="N1963" s="84" t="str">
        <x:f>IFERROR(VLOOKUP(L1963,'Reference Data'!$A$5:$F$40,3,FALSE),"Unknown")</x:f>
        <x:v>Office</x:v>
      </x:c>
      <x:c r="O1963" s="84" t="str">
        <x:f>IFERROR(VLOOKUP(L1963,'Reference Data'!$A$5:$F$40,4,FALSE),"Unknown")</x:f>
        <x:v>Furniture</x:v>
      </x:c>
      <x:c r="P1963" s="92" t="n">
        <x:f>IFERROR(VLOOKUP(L1963,'Reference Data'!$A$5:$F$40,5,FALSE),0)</x:f>
        <x:v>249</x:v>
      </x:c>
      <x:c r="Q1963" s="92" t="n">
        <x:f>IFERROR(VLOOKUP(L1963,'Reference Data'!$A$5:$F$40,6,FALSE),0)</x:f>
        <x:v>145</x:v>
      </x:c>
      <x:c r="R1963" s="84" t="n">
        <x:f>'Raw Sales'!J1963</x:f>
        <x:v>1</x:v>
      </x:c>
      <x:c r="S1963" s="87" t="n">
        <x:f>'Raw Sales'!K1963</x:f>
        <x:v>0.1</x:v>
      </x:c>
      <x:c r="T1963" s="93" t="n">
        <x:f>P1963*R1963</x:f>
        <x:v>249</x:v>
      </x:c>
      <x:c r="U1963" s="93" t="n">
        <x:f>T1963*S1963</x:f>
        <x:v>24.900000000000002</x:v>
      </x:c>
      <x:c r="V1963" s="93" t="str">
        <x:f>PROPER(TRIM('Raw Sales'!L1963))</x:f>
        <x:v>Completed</x:v>
      </x:c>
      <x:c r="W1963" s="93" t="n">
        <x:f>IF(V1963="Returned",0,T1963-U1963)</x:f>
        <x:v>224.1</x:v>
      </x:c>
      <x:c r="X1963" s="93" t="n">
        <x:f>IF(V1963="Returned",Q1963*R1963*10%,Q1963*R1963)</x:f>
        <x:v>145</x:v>
      </x:c>
      <x:c r="Y1963" s="93" t="n">
        <x:f>W1963-X1963</x:f>
        <x:v>79.1</x:v>
      </x:c>
      <x:c r="Z1963" s="94" t="n">
        <x:f>IFERROR(Y1963/W1963,0)</x:f>
        <x:v>0.35296742525658187</x:v>
      </x:c>
      <x:c r="AA1963" s="84" t="str">
        <x:f>PROPER(TRIM('Raw Sales'!M1963))</x:f>
        <x:v>Paypal</x:v>
      </x:c>
      <x:c r="AB1963" s="84" t="str">
        <x:f>PROPER(TRIM('Raw Sales'!N1963))</x:f>
        <x:v>Emma Hayes</x:v>
      </x:c>
      <x:c r="AC1963" s="85" t="n">
        <x:f>'Raw Sales'!O1963</x:f>
        <x:v>45927</x:v>
      </x:c>
      <x:c r="AD1963" s="84" t="n">
        <x:f>AC1963-B1963</x:f>
        <x:v>5</x:v>
      </x:c>
      <x:c r="AE1963" s="84" t="str">
        <x:f>IF(COUNTIF($A$5:A1963,A1963)&gt;1,"Duplicate","Keep")</x:f>
        <x:v>Keep</x:v>
      </x:c>
      <x:c r="AF1963" s="84" t="str">
        <x:f>IF(OR(R1963&lt;=0,AC1963&lt;B1963,H1963="Unknown",M1963="Unknown Product"),"Review","Valid")</x:f>
        <x:v>Valid</x:v>
      </x:c>
      <x:c r="AG1963" s="84" t="n">
        <x:f>IF(AND(AE1963="Keep",AF1963="Valid"),1,0)</x:f>
        <x:v>1</x:v>
      </x:c>
      <x:c r="AH1963" s="84" t="n">
        <x:f>IF(AND(AG1963=1,OR('Dashboard'!$B$4="All",I1963='Dashboard'!$B$4),OR('Dashboard'!$E$4="All",N1963='Dashboard'!$E$4),OR('Dashboard'!$H$4="All",K1963='Dashboard'!$H$4),OR('Dashboard'!$K$4="All",C1963='Dashboard'!$K$4)),1,0)</x:f>
        <x:v>1</x:v>
      </x:c>
      <x:c r="AI1963" s="84" t="n">
        <x:f>IF(AND(AG1963=1,OR('Dashboard'!$B$4="All",I1963='Dashboard'!$B$4),OR('Dashboard'!$E$4="All",N1963='Dashboard'!$E$4),OR('Dashboard'!$H$4="All",K1963='Dashboard'!$H$4)),1,0)</x:f>
        <x:v>1</x:v>
      </x:c>
    </x:row>
    <x:row r="1964">
      <x:c r="A1964" s="84" t="str">
        <x:f>'Raw Sales'!A1964</x:f>
        <x:v>ORD-2025-02386</x:v>
      </x:c>
      <x:c r="B1964" s="85" t="n">
        <x:f>'Raw Sales'!B1964</x:f>
        <x:v>45922</x:v>
      </x:c>
      <x:c r="C1964" s="84" t="n">
        <x:f>YEAR(B1964)</x:f>
        <x:v>2025</x:v>
      </x:c>
      <x:c r="D1964" s="91" t="n">
        <x:f>DATE(YEAR(B1964),MONTH(B1964),1)</x:f>
        <x:v>45901</x:v>
      </x:c>
      <x:c r="E1964" s="84" t="str">
        <x:f>TEXT(B1964,"mmm")</x:f>
        <x:v>Sep</x:v>
      </x:c>
      <x:c r="F1964" s="84" t="str">
        <x:f>'Raw Sales'!C1964</x:f>
        <x:v>CUST-0020</x:v>
      </x:c>
      <x:c r="G1964" s="84" t="str">
        <x:f>PROPER(TRIM('Raw Sales'!D1964))</x:f>
        <x:v>Elias Ortiz</x:v>
      </x:c>
      <x:c r="H1964" s="84" t="str">
        <x:f>IF(TRIM('Raw Sales'!E1964)="","Unknown",PROPER(TRIM('Raw Sales'!E1964)))</x:f>
        <x:v>Consumer</x:v>
      </x:c>
      <x:c r="I1964" s="84" t="str">
        <x:f>PROPER(TRIM('Raw Sales'!F1964))</x:f>
        <x:v>Southeast</x:v>
      </x:c>
      <x:c r="J1964" s="84" t="str">
        <x:f>PROPER(TRIM('Raw Sales'!G1964))</x:f>
        <x:v>Miami</x:v>
      </x:c>
      <x:c r="K1964" s="84" t="str">
        <x:f>PROPER(TRIM('Raw Sales'!H1964))</x:f>
        <x:v>Online</x:v>
      </x:c>
      <x:c r="L1964" s="84" t="str">
        <x:f>'Raw Sales'!I1964</x:f>
        <x:v>FITN-003</x:v>
      </x:c>
      <x:c r="M1964" s="84" t="str">
        <x:f>IFERROR(VLOOKUP(L1964,'Reference Data'!$A$5:$F$40,2,FALSE),"Unknown Product")</x:f>
        <x:v>Resistance Band Set</x:v>
      </x:c>
      <x:c r="N1964" s="84" t="str">
        <x:f>IFERROR(VLOOKUP(L1964,'Reference Data'!$A$5:$F$40,3,FALSE),"Unknown")</x:f>
        <x:v>Fitness</x:v>
      </x:c>
      <x:c r="O1964" s="84" t="str">
        <x:f>IFERROR(VLOOKUP(L1964,'Reference Data'!$A$5:$F$40,4,FALSE),"Unknown")</x:f>
        <x:v>Strength</x:v>
      </x:c>
      <x:c r="P1964" s="92" t="n">
        <x:f>IFERROR(VLOOKUP(L1964,'Reference Data'!$A$5:$F$40,5,FALSE),0)</x:f>
        <x:v>24</x:v>
      </x:c>
      <x:c r="Q1964" s="92" t="n">
        <x:f>IFERROR(VLOOKUP(L1964,'Reference Data'!$A$5:$F$40,6,FALSE),0)</x:f>
        <x:v>8</x:v>
      </x:c>
      <x:c r="R1964" s="84" t="n">
        <x:f>'Raw Sales'!J1964</x:f>
        <x:v>1</x:v>
      </x:c>
      <x:c r="S1964" s="87" t="n">
        <x:f>'Raw Sales'!K1964</x:f>
        <x:v>0</x:v>
      </x:c>
      <x:c r="T1964" s="93" t="n">
        <x:f>P1964*R1964</x:f>
        <x:v>24</x:v>
      </x:c>
      <x:c r="U1964" s="93" t="n">
        <x:f>T1964*S1964</x:f>
        <x:v>0</x:v>
      </x:c>
      <x:c r="V1964" s="93" t="str">
        <x:f>PROPER(TRIM('Raw Sales'!L1964))</x:f>
        <x:v>Completed</x:v>
      </x:c>
      <x:c r="W1964" s="93" t="n">
        <x:f>IF(V1964="Returned",0,T1964-U1964)</x:f>
        <x:v>24</x:v>
      </x:c>
      <x:c r="X1964" s="93" t="n">
        <x:f>IF(V1964="Returned",Q1964*R1964*10%,Q1964*R1964)</x:f>
        <x:v>8</x:v>
      </x:c>
      <x:c r="Y1964" s="93" t="n">
        <x:f>W1964-X1964</x:f>
        <x:v>16</x:v>
      </x:c>
      <x:c r="Z1964" s="94" t="n">
        <x:f>IFERROR(Y1964/W1964,0)</x:f>
        <x:v>0.6666666666666666</x:v>
      </x:c>
      <x:c r="AA1964" s="84" t="str">
        <x:f>PROPER(TRIM('Raw Sales'!M1964))</x:f>
        <x:v>Debit Card</x:v>
      </x:c>
      <x:c r="AB1964" s="84" t="str">
        <x:f>PROPER(TRIM('Raw Sales'!N1964))</x:f>
        <x:v>Ava Mitchell</x:v>
      </x:c>
      <x:c r="AC1964" s="85" t="n">
        <x:f>'Raw Sales'!O1964</x:f>
        <x:v>45926</x:v>
      </x:c>
      <x:c r="AD1964" s="84" t="n">
        <x:f>AC1964-B1964</x:f>
        <x:v>4</x:v>
      </x:c>
      <x:c r="AE1964" s="84" t="str">
        <x:f>IF(COUNTIF($A$5:A1964,A1964)&gt;1,"Duplicate","Keep")</x:f>
        <x:v>Keep</x:v>
      </x:c>
      <x:c r="AF1964" s="84" t="str">
        <x:f>IF(OR(R1964&lt;=0,AC1964&lt;B1964,H1964="Unknown",M1964="Unknown Product"),"Review","Valid")</x:f>
        <x:v>Valid</x:v>
      </x:c>
      <x:c r="AG1964" s="84" t="n">
        <x:f>IF(AND(AE1964="Keep",AF1964="Valid"),1,0)</x:f>
        <x:v>1</x:v>
      </x:c>
      <x:c r="AH1964" s="84" t="n">
        <x:f>IF(AND(AG1964=1,OR('Dashboard'!$B$4="All",I1964='Dashboard'!$B$4),OR('Dashboard'!$E$4="All",N1964='Dashboard'!$E$4),OR('Dashboard'!$H$4="All",K1964='Dashboard'!$H$4),OR('Dashboard'!$K$4="All",C1964='Dashboard'!$K$4)),1,0)</x:f>
        <x:v>1</x:v>
      </x:c>
      <x:c r="AI1964" s="84" t="n">
        <x:f>IF(AND(AG1964=1,OR('Dashboard'!$B$4="All",I1964='Dashboard'!$B$4),OR('Dashboard'!$E$4="All",N1964='Dashboard'!$E$4),OR('Dashboard'!$H$4="All",K1964='Dashboard'!$H$4)),1,0)</x:f>
        <x:v>1</x:v>
      </x:c>
    </x:row>
    <x:row r="1965">
      <x:c r="A1965" s="84" t="str">
        <x:f>'Raw Sales'!A1965</x:f>
        <x:v>ORD-2025-00056</x:v>
      </x:c>
      <x:c r="B1965" s="85" t="n">
        <x:f>'Raw Sales'!B1965</x:f>
        <x:v>45924</x:v>
      </x:c>
      <x:c r="C1965" s="84" t="n">
        <x:f>YEAR(B1965)</x:f>
        <x:v>2025</x:v>
      </x:c>
      <x:c r="D1965" s="91" t="n">
        <x:f>DATE(YEAR(B1965),MONTH(B1965),1)</x:f>
        <x:v>45901</x:v>
      </x:c>
      <x:c r="E1965" s="84" t="str">
        <x:f>TEXT(B1965,"mmm")</x:f>
        <x:v>Sep</x:v>
      </x:c>
      <x:c r="F1965" s="84" t="str">
        <x:f>'Raw Sales'!C1965</x:f>
        <x:v>CUST-0594</x:v>
      </x:c>
      <x:c r="G1965" s="84" t="str">
        <x:f>PROPER(TRIM('Raw Sales'!D1965))</x:f>
        <x:v>Theo Patel</x:v>
      </x:c>
      <x:c r="H1965" s="84" t="str">
        <x:f>IF(TRIM('Raw Sales'!E1965)="","Unknown",PROPER(TRIM('Raw Sales'!E1965)))</x:f>
        <x:v>Consumer</x:v>
      </x:c>
      <x:c r="I1965" s="84" t="str">
        <x:f>PROPER(TRIM('Raw Sales'!F1965))</x:f>
        <x:v>Northeast</x:v>
      </x:c>
      <x:c r="J1965" s="84" t="str">
        <x:f>PROPER(TRIM('Raw Sales'!G1965))</x:f>
        <x:v>Newark</x:v>
      </x:c>
      <x:c r="K1965" s="84" t="str">
        <x:f>PROPER(TRIM('Raw Sales'!H1965))</x:f>
        <x:v>Retail Store</x:v>
      </x:c>
      <x:c r="L1965" s="84" t="str">
        <x:f>'Raw Sales'!I1965</x:f>
        <x:v>ELEC-002</x:v>
      </x:c>
      <x:c r="M1965" s="84" t="str">
        <x:f>IFERROR(VLOOKUP(L1965,'Reference Data'!$A$5:$F$40,2,FALSE),"Unknown Product")</x:f>
        <x:v>Smartwatch</x:v>
      </x:c>
      <x:c r="N1965" s="84" t="str">
        <x:f>IFERROR(VLOOKUP(L1965,'Reference Data'!$A$5:$F$40,3,FALSE),"Unknown")</x:f>
        <x:v>Electronics</x:v>
      </x:c>
      <x:c r="O1965" s="84" t="str">
        <x:f>IFERROR(VLOOKUP(L1965,'Reference Data'!$A$5:$F$40,4,FALSE),"Unknown")</x:f>
        <x:v>Wearables</x:v>
      </x:c>
      <x:c r="P1965" s="92" t="n">
        <x:f>IFERROR(VLOOKUP(L1965,'Reference Data'!$A$5:$F$40,5,FALSE),0)</x:f>
        <x:v>159</x:v>
      </x:c>
      <x:c r="Q1965" s="92" t="n">
        <x:f>IFERROR(VLOOKUP(L1965,'Reference Data'!$A$5:$F$40,6,FALSE),0)</x:f>
        <x:v>92</x:v>
      </x:c>
      <x:c r="R1965" s="84" t="n">
        <x:f>'Raw Sales'!J1965</x:f>
        <x:v>2</x:v>
      </x:c>
      <x:c r="S1965" s="87" t="n">
        <x:f>'Raw Sales'!K1965</x:f>
        <x:v>0.05</x:v>
      </x:c>
      <x:c r="T1965" s="93" t="n">
        <x:f>P1965*R1965</x:f>
        <x:v>318</x:v>
      </x:c>
      <x:c r="U1965" s="93" t="n">
        <x:f>T1965*S1965</x:f>
        <x:v>15.9</x:v>
      </x:c>
      <x:c r="V1965" s="93" t="str">
        <x:f>PROPER(TRIM('Raw Sales'!L1965))</x:f>
        <x:v>Completed</x:v>
      </x:c>
      <x:c r="W1965" s="93" t="n">
        <x:f>IF(V1965="Returned",0,T1965-U1965)</x:f>
        <x:v>302.1</x:v>
      </x:c>
      <x:c r="X1965" s="93" t="n">
        <x:f>IF(V1965="Returned",Q1965*R1965*10%,Q1965*R1965)</x:f>
        <x:v>184</x:v>
      </x:c>
      <x:c r="Y1965" s="93" t="n">
        <x:f>W1965-X1965</x:f>
        <x:v>118.10000000000002</x:v>
      </x:c>
      <x:c r="Z1965" s="94" t="n">
        <x:f>IFERROR(Y1965/W1965,0)</x:f>
        <x:v>0.39093015557762334</x:v>
      </x:c>
      <x:c r="AA1965" s="84" t="str">
        <x:f>PROPER(TRIM('Raw Sales'!M1965))</x:f>
        <x:v>Cash</x:v>
      </x:c>
      <x:c r="AB1965" s="84" t="str">
        <x:f>PROPER(TRIM('Raw Sales'!N1965))</x:f>
        <x:v>Maya Brooks</x:v>
      </x:c>
      <x:c r="AC1965" s="85" t="n">
        <x:f>'Raw Sales'!O1965</x:f>
        <x:v>45924</x:v>
      </x:c>
      <x:c r="AD1965" s="84" t="n">
        <x:f>AC1965-B1965</x:f>
        <x:v>0</x:v>
      </x:c>
      <x:c r="AE1965" s="84" t="str">
        <x:f>IF(COUNTIF($A$5:A1965,A1965)&gt;1,"Duplicate","Keep")</x:f>
        <x:v>Keep</x:v>
      </x:c>
      <x:c r="AF1965" s="84" t="str">
        <x:f>IF(OR(R1965&lt;=0,AC1965&lt;B1965,H1965="Unknown",M1965="Unknown Product"),"Review","Valid")</x:f>
        <x:v>Valid</x:v>
      </x:c>
      <x:c r="AG1965" s="84" t="n">
        <x:f>IF(AND(AE1965="Keep",AF1965="Valid"),1,0)</x:f>
        <x:v>1</x:v>
      </x:c>
      <x:c r="AH1965" s="84" t="n">
        <x:f>IF(AND(AG1965=1,OR('Dashboard'!$B$4="All",I1965='Dashboard'!$B$4),OR('Dashboard'!$E$4="All",N1965='Dashboard'!$E$4),OR('Dashboard'!$H$4="All",K1965='Dashboard'!$H$4),OR('Dashboard'!$K$4="All",C1965='Dashboard'!$K$4)),1,0)</x:f>
        <x:v>1</x:v>
      </x:c>
      <x:c r="AI1965" s="84" t="n">
        <x:f>IF(AND(AG1965=1,OR('Dashboard'!$B$4="All",I1965='Dashboard'!$B$4),OR('Dashboard'!$E$4="All",N1965='Dashboard'!$E$4),OR('Dashboard'!$H$4="All",K1965='Dashboard'!$H$4)),1,0)</x:f>
        <x:v>1</x:v>
      </x:c>
    </x:row>
    <x:row r="1966">
      <x:c r="A1966" s="84" t="str">
        <x:f>'Raw Sales'!A1966</x:f>
        <x:v>ORD-2025-01160</x:v>
      </x:c>
      <x:c r="B1966" s="85" t="n">
        <x:f>'Raw Sales'!B1966</x:f>
        <x:v>45924</x:v>
      </x:c>
      <x:c r="C1966" s="84" t="n">
        <x:f>YEAR(B1966)</x:f>
        <x:v>2025</x:v>
      </x:c>
      <x:c r="D1966" s="91" t="n">
        <x:f>DATE(YEAR(B1966),MONTH(B1966),1)</x:f>
        <x:v>45901</x:v>
      </x:c>
      <x:c r="E1966" s="84" t="str">
        <x:f>TEXT(B1966,"mmm")</x:f>
        <x:v>Sep</x:v>
      </x:c>
      <x:c r="F1966" s="84" t="str">
        <x:f>'Raw Sales'!C1966</x:f>
        <x:v>CUST-0431</x:v>
      </x:c>
      <x:c r="G1966" s="84" t="str">
        <x:f>PROPER(TRIM('Raw Sales'!D1966))</x:f>
        <x:v>Jonah Garcia</x:v>
      </x:c>
      <x:c r="H1966" s="84" t="str">
        <x:f>IF(TRIM('Raw Sales'!E1966)="","Unknown",PROPER(TRIM('Raw Sales'!E1966)))</x:f>
        <x:v>Corporate</x:v>
      </x:c>
      <x:c r="I1966" s="84" t="str">
        <x:f>PROPER(TRIM('Raw Sales'!F1966))</x:f>
        <x:v>West</x:v>
      </x:c>
      <x:c r="J1966" s="84" t="str">
        <x:f>PROPER(TRIM('Raw Sales'!G1966))</x:f>
        <x:v>Denver</x:v>
      </x:c>
      <x:c r="K1966" s="84" t="str">
        <x:f>PROPER(TRIM('Raw Sales'!H1966))</x:f>
        <x:v>Retail Store</x:v>
      </x:c>
      <x:c r="L1966" s="84" t="str">
        <x:f>'Raw Sales'!I1966</x:f>
        <x:v>ELEC-001</x:v>
      </x:c>
      <x:c r="M1966" s="84" t="str">
        <x:f>IFERROR(VLOOKUP(L1966,'Reference Data'!$A$5:$F$40,2,FALSE),"Unknown Product")</x:f>
        <x:v>Wireless Earbuds</x:v>
      </x:c>
      <x:c r="N1966" s="84" t="str">
        <x:f>IFERROR(VLOOKUP(L1966,'Reference Data'!$A$5:$F$40,3,FALSE),"Unknown")</x:f>
        <x:v>Electronics</x:v>
      </x:c>
      <x:c r="O1966" s="84" t="str">
        <x:f>IFERROR(VLOOKUP(L1966,'Reference Data'!$A$5:$F$40,4,FALSE),"Unknown")</x:f>
        <x:v>Audio</x:v>
      </x:c>
      <x:c r="P1966" s="92" t="n">
        <x:f>IFERROR(VLOOKUP(L1966,'Reference Data'!$A$5:$F$40,5,FALSE),0)</x:f>
        <x:v>69</x:v>
      </x:c>
      <x:c r="Q1966" s="92" t="n">
        <x:f>IFERROR(VLOOKUP(L1966,'Reference Data'!$A$5:$F$40,6,FALSE),0)</x:f>
        <x:v>36</x:v>
      </x:c>
      <x:c r="R1966" s="84" t="n">
        <x:f>'Raw Sales'!J1966</x:f>
        <x:v>1</x:v>
      </x:c>
      <x:c r="S1966" s="87" t="n">
        <x:f>'Raw Sales'!K1966</x:f>
        <x:v>0.1</x:v>
      </x:c>
      <x:c r="T1966" s="93" t="n">
        <x:f>P1966*R1966</x:f>
        <x:v>69</x:v>
      </x:c>
      <x:c r="U1966" s="93" t="n">
        <x:f>T1966*S1966</x:f>
        <x:v>6.9</x:v>
      </x:c>
      <x:c r="V1966" s="93" t="str">
        <x:f>PROPER(TRIM('Raw Sales'!L1966))</x:f>
        <x:v>Completed</x:v>
      </x:c>
      <x:c r="W1966" s="93" t="n">
        <x:f>IF(V1966="Returned",0,T1966-U1966)</x:f>
        <x:v>62.1</x:v>
      </x:c>
      <x:c r="X1966" s="93" t="n">
        <x:f>IF(V1966="Returned",Q1966*R1966*10%,Q1966*R1966)</x:f>
        <x:v>36</x:v>
      </x:c>
      <x:c r="Y1966" s="93" t="n">
        <x:f>W1966-X1966</x:f>
        <x:v>26.1</x:v>
      </x:c>
      <x:c r="Z1966" s="94" t="n">
        <x:f>IFERROR(Y1966/W1966,0)</x:f>
        <x:v>0.4202898550724638</x:v>
      </x:c>
      <x:c r="AA1966" s="84" t="str">
        <x:f>PROPER(TRIM('Raw Sales'!M1966))</x:f>
        <x:v>Credit Card</x:v>
      </x:c>
      <x:c r="AB1966" s="84" t="str">
        <x:f>PROPER(TRIM('Raw Sales'!N1966))</x:f>
        <x:v>Mia Chen</x:v>
      </x:c>
      <x:c r="AC1966" s="85" t="n">
        <x:f>'Raw Sales'!O1966</x:f>
        <x:v>45924</x:v>
      </x:c>
      <x:c r="AD1966" s="84" t="n">
        <x:f>AC1966-B1966</x:f>
        <x:v>0</x:v>
      </x:c>
      <x:c r="AE1966" s="84" t="str">
        <x:f>IF(COUNTIF($A$5:A1966,A1966)&gt;1,"Duplicate","Keep")</x:f>
        <x:v>Keep</x:v>
      </x:c>
      <x:c r="AF1966" s="84" t="str">
        <x:f>IF(OR(R1966&lt;=0,AC1966&lt;B1966,H1966="Unknown",M1966="Unknown Product"),"Review","Valid")</x:f>
        <x:v>Valid</x:v>
      </x:c>
      <x:c r="AG1966" s="84" t="n">
        <x:f>IF(AND(AE1966="Keep",AF1966="Valid"),1,0)</x:f>
        <x:v>1</x:v>
      </x:c>
      <x:c r="AH1966" s="84" t="n">
        <x:f>IF(AND(AG1966=1,OR('Dashboard'!$B$4="All",I1966='Dashboard'!$B$4),OR('Dashboard'!$E$4="All",N1966='Dashboard'!$E$4),OR('Dashboard'!$H$4="All",K1966='Dashboard'!$H$4),OR('Dashboard'!$K$4="All",C1966='Dashboard'!$K$4)),1,0)</x:f>
        <x:v>1</x:v>
      </x:c>
      <x:c r="AI1966" s="84" t="n">
        <x:f>IF(AND(AG1966=1,OR('Dashboard'!$B$4="All",I1966='Dashboard'!$B$4),OR('Dashboard'!$E$4="All",N1966='Dashboard'!$E$4),OR('Dashboard'!$H$4="All",K1966='Dashboard'!$H$4)),1,0)</x:f>
        <x:v>1</x:v>
      </x:c>
    </x:row>
    <x:row r="1967">
      <x:c r="A1967" s="84" t="str">
        <x:f>'Raw Sales'!A1967</x:f>
        <x:v>ORD-2025-01259</x:v>
      </x:c>
      <x:c r="B1967" s="85" t="n">
        <x:f>'Raw Sales'!B1967</x:f>
        <x:v>45924</x:v>
      </x:c>
      <x:c r="C1967" s="84" t="n">
        <x:f>YEAR(B1967)</x:f>
        <x:v>2025</x:v>
      </x:c>
      <x:c r="D1967" s="91" t="n">
        <x:f>DATE(YEAR(B1967),MONTH(B1967),1)</x:f>
        <x:v>45901</x:v>
      </x:c>
      <x:c r="E1967" s="84" t="str">
        <x:f>TEXT(B1967,"mmm")</x:f>
        <x:v>Sep</x:v>
      </x:c>
      <x:c r="F1967" s="84" t="str">
        <x:f>'Raw Sales'!C1967</x:f>
        <x:v>CUST-0340</x:v>
      </x:c>
      <x:c r="G1967" s="84" t="str">
        <x:f>PROPER(TRIM('Raw Sales'!D1967))</x:f>
        <x:v>Nina Moore</x:v>
      </x:c>
      <x:c r="H1967" s="84" t="str">
        <x:f>IF(TRIM('Raw Sales'!E1967)="","Unknown",PROPER(TRIM('Raw Sales'!E1967)))</x:f>
        <x:v>Consumer</x:v>
      </x:c>
      <x:c r="I1967" s="84" t="str">
        <x:f>PROPER(TRIM('Raw Sales'!F1967))</x:f>
        <x:v>West</x:v>
      </x:c>
      <x:c r="J1967" s="84" t="str">
        <x:f>PROPER(TRIM('Raw Sales'!G1967))</x:f>
        <x:v>Los Angeles</x:v>
      </x:c>
      <x:c r="K1967" s="84" t="str">
        <x:f>PROPER(TRIM('Raw Sales'!H1967))</x:f>
        <x:v>Online</x:v>
      </x:c>
      <x:c r="L1967" s="84" t="str">
        <x:f>'Raw Sales'!I1967</x:f>
        <x:v>ELEC-005</x:v>
      </x:c>
      <x:c r="M1967" s="84" t="str">
        <x:f>IFERROR(VLOOKUP(L1967,'Reference Data'!$A$5:$F$40,2,FALSE),"Unknown Product")</x:f>
        <x:v>HD Webcam</x:v>
      </x:c>
      <x:c r="N1967" s="84" t="str">
        <x:f>IFERROR(VLOOKUP(L1967,'Reference Data'!$A$5:$F$40,3,FALSE),"Unknown")</x:f>
        <x:v>Electronics</x:v>
      </x:c>
      <x:c r="O1967" s="84" t="str">
        <x:f>IFERROR(VLOOKUP(L1967,'Reference Data'!$A$5:$F$40,4,FALSE),"Unknown")</x:f>
        <x:v>Computer Accessories</x:v>
      </x:c>
      <x:c r="P1967" s="92" t="n">
        <x:f>IFERROR(VLOOKUP(L1967,'Reference Data'!$A$5:$F$40,5,FALSE),0)</x:f>
        <x:v>79</x:v>
      </x:c>
      <x:c r="Q1967" s="92" t="n">
        <x:f>IFERROR(VLOOKUP(L1967,'Reference Data'!$A$5:$F$40,6,FALSE),0)</x:f>
        <x:v>37</x:v>
      </x:c>
      <x:c r="R1967" s="84" t="n">
        <x:f>'Raw Sales'!J1967</x:f>
        <x:v>1</x:v>
      </x:c>
      <x:c r="S1967" s="87" t="n">
        <x:f>'Raw Sales'!K1967</x:f>
        <x:v>0</x:v>
      </x:c>
      <x:c r="T1967" s="93" t="n">
        <x:f>P1967*R1967</x:f>
        <x:v>79</x:v>
      </x:c>
      <x:c r="U1967" s="93" t="n">
        <x:f>T1967*S1967</x:f>
        <x:v>0</x:v>
      </x:c>
      <x:c r="V1967" s="93" t="str">
        <x:f>PROPER(TRIM('Raw Sales'!L1967))</x:f>
        <x:v>Completed</x:v>
      </x:c>
      <x:c r="W1967" s="93" t="n">
        <x:f>IF(V1967="Returned",0,T1967-U1967)</x:f>
        <x:v>79</x:v>
      </x:c>
      <x:c r="X1967" s="93" t="n">
        <x:f>IF(V1967="Returned",Q1967*R1967*10%,Q1967*R1967)</x:f>
        <x:v>37</x:v>
      </x:c>
      <x:c r="Y1967" s="93" t="n">
        <x:f>W1967-X1967</x:f>
        <x:v>42</x:v>
      </x:c>
      <x:c r="Z1967" s="94" t="n">
        <x:f>IFERROR(Y1967/W1967,0)</x:f>
        <x:v>0.5316455696202531</x:v>
      </x:c>
      <x:c r="AA1967" s="84" t="str">
        <x:f>PROPER(TRIM('Raw Sales'!M1967))</x:f>
        <x:v>Mobile Wallet</x:v>
      </x:c>
      <x:c r="AB1967" s="84" t="str">
        <x:f>PROPER(TRIM('Raw Sales'!N1967))</x:f>
        <x:v>Leo Martinez</x:v>
      </x:c>
      <x:c r="AC1967" s="85" t="n">
        <x:f>'Raw Sales'!O1967</x:f>
        <x:v>45926</x:v>
      </x:c>
      <x:c r="AD1967" s="84" t="n">
        <x:f>AC1967-B1967</x:f>
        <x:v>2</x:v>
      </x:c>
      <x:c r="AE1967" s="84" t="str">
        <x:f>IF(COUNTIF($A$5:A1967,A1967)&gt;1,"Duplicate","Keep")</x:f>
        <x:v>Keep</x:v>
      </x:c>
      <x:c r="AF1967" s="84" t="str">
        <x:f>IF(OR(R1967&lt;=0,AC1967&lt;B1967,H1967="Unknown",M1967="Unknown Product"),"Review","Valid")</x:f>
        <x:v>Valid</x:v>
      </x:c>
      <x:c r="AG1967" s="84" t="n">
        <x:f>IF(AND(AE1967="Keep",AF1967="Valid"),1,0)</x:f>
        <x:v>1</x:v>
      </x:c>
      <x:c r="AH1967" s="84" t="n">
        <x:f>IF(AND(AG1967=1,OR('Dashboard'!$B$4="All",I1967='Dashboard'!$B$4),OR('Dashboard'!$E$4="All",N1967='Dashboard'!$E$4),OR('Dashboard'!$H$4="All",K1967='Dashboard'!$H$4),OR('Dashboard'!$K$4="All",C1967='Dashboard'!$K$4)),1,0)</x:f>
        <x:v>1</x:v>
      </x:c>
      <x:c r="AI1967" s="84" t="n">
        <x:f>IF(AND(AG1967=1,OR('Dashboard'!$B$4="All",I1967='Dashboard'!$B$4),OR('Dashboard'!$E$4="All",N1967='Dashboard'!$E$4),OR('Dashboard'!$H$4="All",K1967='Dashboard'!$H$4)),1,0)</x:f>
        <x:v>1</x:v>
      </x:c>
    </x:row>
    <x:row r="1968">
      <x:c r="A1968" s="84" t="str">
        <x:f>'Raw Sales'!A1968</x:f>
        <x:v>ORD-2025-01585</x:v>
      </x:c>
      <x:c r="B1968" s="85" t="n">
        <x:f>'Raw Sales'!B1968</x:f>
        <x:v>45924</x:v>
      </x:c>
      <x:c r="C1968" s="84" t="n">
        <x:f>YEAR(B1968)</x:f>
        <x:v>2025</x:v>
      </x:c>
      <x:c r="D1968" s="91" t="n">
        <x:f>DATE(YEAR(B1968),MONTH(B1968),1)</x:f>
        <x:v>45901</x:v>
      </x:c>
      <x:c r="E1968" s="84" t="str">
        <x:f>TEXT(B1968,"mmm")</x:f>
        <x:v>Sep</x:v>
      </x:c>
      <x:c r="F1968" s="84" t="str">
        <x:f>'Raw Sales'!C1968</x:f>
        <x:v>CUST-0524</x:v>
      </x:c>
      <x:c r="G1968" s="84" t="str">
        <x:f>PROPER(TRIM('Raw Sales'!D1968))</x:f>
        <x:v>Elena Adams</x:v>
      </x:c>
      <x:c r="H1968" s="84" t="str">
        <x:f>IF(TRIM('Raw Sales'!E1968)="","Unknown",PROPER(TRIM('Raw Sales'!E1968)))</x:f>
        <x:v>Consumer</x:v>
      </x:c>
      <x:c r="I1968" s="84" t="str">
        <x:f>PROPER(TRIM('Raw Sales'!F1968))</x:f>
        <x:v>Midwest</x:v>
      </x:c>
      <x:c r="J1968" s="84" t="str">
        <x:f>PROPER(TRIM('Raw Sales'!G1968))</x:f>
        <x:v>Detroit</x:v>
      </x:c>
      <x:c r="K1968" s="84" t="str">
        <x:f>PROPER(TRIM('Raw Sales'!H1968))</x:f>
        <x:v>Marketplace</x:v>
      </x:c>
      <x:c r="L1968" s="84" t="str">
        <x:f>'Raw Sales'!I1968</x:f>
        <x:v>FITN-005</x:v>
      </x:c>
      <x:c r="M1968" s="84" t="str">
        <x:f>IFERROR(VLOOKUP(L1968,'Reference Data'!$A$5:$F$40,2,FALSE),"Unknown Product")</x:f>
        <x:v>Sports Water Bottle</x:v>
      </x:c>
      <x:c r="N1968" s="84" t="str">
        <x:f>IFERROR(VLOOKUP(L1968,'Reference Data'!$A$5:$F$40,3,FALSE),"Unknown")</x:f>
        <x:v>Fitness</x:v>
      </x:c>
      <x:c r="O1968" s="84" t="str">
        <x:f>IFERROR(VLOOKUP(L1968,'Reference Data'!$A$5:$F$40,4,FALSE),"Unknown")</x:f>
        <x:v>Accessories</x:v>
      </x:c>
      <x:c r="P1968" s="92" t="n">
        <x:f>IFERROR(VLOOKUP(L1968,'Reference Data'!$A$5:$F$40,5,FALSE),0)</x:f>
        <x:v>22</x:v>
      </x:c>
      <x:c r="Q1968" s="92" t="n">
        <x:f>IFERROR(VLOOKUP(L1968,'Reference Data'!$A$5:$F$40,6,FALSE),0)</x:f>
        <x:v>7</x:v>
      </x:c>
      <x:c r="R1968" s="84" t="n">
        <x:f>'Raw Sales'!J1968</x:f>
        <x:v>2</x:v>
      </x:c>
      <x:c r="S1968" s="87" t="n">
        <x:f>'Raw Sales'!K1968</x:f>
        <x:v>0</x:v>
      </x:c>
      <x:c r="T1968" s="93" t="n">
        <x:f>P1968*R1968</x:f>
        <x:v>44</x:v>
      </x:c>
      <x:c r="U1968" s="93" t="n">
        <x:f>T1968*S1968</x:f>
        <x:v>0</x:v>
      </x:c>
      <x:c r="V1968" s="93" t="str">
        <x:f>PROPER(TRIM('Raw Sales'!L1968))</x:f>
        <x:v>Completed</x:v>
      </x:c>
      <x:c r="W1968" s="93" t="n">
        <x:f>IF(V1968="Returned",0,T1968-U1968)</x:f>
        <x:v>44</x:v>
      </x:c>
      <x:c r="X1968" s="93" t="n">
        <x:f>IF(V1968="Returned",Q1968*R1968*10%,Q1968*R1968)</x:f>
        <x:v>14</x:v>
      </x:c>
      <x:c r="Y1968" s="93" t="n">
        <x:f>W1968-X1968</x:f>
        <x:v>30</x:v>
      </x:c>
      <x:c r="Z1968" s="94" t="n">
        <x:f>IFERROR(Y1968/W1968,0)</x:f>
        <x:v>0.6818181818181818</x:v>
      </x:c>
      <x:c r="AA1968" s="84" t="str">
        <x:f>PROPER(TRIM('Raw Sales'!M1968))</x:f>
        <x:v>Paypal</x:v>
      </x:c>
      <x:c r="AB1968" s="84" t="str">
        <x:f>PROPER(TRIM('Raw Sales'!N1968))</x:f>
        <x:v>Zoe Turner</x:v>
      </x:c>
      <x:c r="AC1968" s="85" t="n">
        <x:f>'Raw Sales'!O1968</x:f>
        <x:v>45930</x:v>
      </x:c>
      <x:c r="AD1968" s="84" t="n">
        <x:f>AC1968-B1968</x:f>
        <x:v>6</x:v>
      </x:c>
      <x:c r="AE1968" s="84" t="str">
        <x:f>IF(COUNTIF($A$5:A1968,A1968)&gt;1,"Duplicate","Keep")</x:f>
        <x:v>Keep</x:v>
      </x:c>
      <x:c r="AF1968" s="84" t="str">
        <x:f>IF(OR(R1968&lt;=0,AC1968&lt;B1968,H1968="Unknown",M1968="Unknown Product"),"Review","Valid")</x:f>
        <x:v>Valid</x:v>
      </x:c>
      <x:c r="AG1968" s="84" t="n">
        <x:f>IF(AND(AE1968="Keep",AF1968="Valid"),1,0)</x:f>
        <x:v>1</x:v>
      </x:c>
      <x:c r="AH1968" s="84" t="n">
        <x:f>IF(AND(AG1968=1,OR('Dashboard'!$B$4="All",I1968='Dashboard'!$B$4),OR('Dashboard'!$E$4="All",N1968='Dashboard'!$E$4),OR('Dashboard'!$H$4="All",K1968='Dashboard'!$H$4),OR('Dashboard'!$K$4="All",C1968='Dashboard'!$K$4)),1,0)</x:f>
        <x:v>1</x:v>
      </x:c>
      <x:c r="AI1968" s="84" t="n">
        <x:f>IF(AND(AG1968=1,OR('Dashboard'!$B$4="All",I1968='Dashboard'!$B$4),OR('Dashboard'!$E$4="All",N1968='Dashboard'!$E$4),OR('Dashboard'!$H$4="All",K1968='Dashboard'!$H$4)),1,0)</x:f>
        <x:v>1</x:v>
      </x:c>
    </x:row>
    <x:row r="1969">
      <x:c r="A1969" s="84" t="str">
        <x:f>'Raw Sales'!A1969</x:f>
        <x:v>ORD-2025-02033</x:v>
      </x:c>
      <x:c r="B1969" s="85" t="n">
        <x:f>'Raw Sales'!B1969</x:f>
        <x:v>45924</x:v>
      </x:c>
      <x:c r="C1969" s="84" t="n">
        <x:f>YEAR(B1969)</x:f>
        <x:v>2025</x:v>
      </x:c>
      <x:c r="D1969" s="91" t="n">
        <x:f>DATE(YEAR(B1969),MONTH(B1969),1)</x:f>
        <x:v>45901</x:v>
      </x:c>
      <x:c r="E1969" s="84" t="str">
        <x:f>TEXT(B1969,"mmm")</x:f>
        <x:v>Sep</x:v>
      </x:c>
      <x:c r="F1969" s="84" t="str">
        <x:f>'Raw Sales'!C1969</x:f>
        <x:v>CUST-0198</x:v>
      </x:c>
      <x:c r="G1969" s="84" t="str">
        <x:f>PROPER(TRIM('Raw Sales'!D1969))</x:f>
        <x:v>Jonah Baker</x:v>
      </x:c>
      <x:c r="H1969" s="84" t="str">
        <x:f>IF(TRIM('Raw Sales'!E1969)="","Unknown",PROPER(TRIM('Raw Sales'!E1969)))</x:f>
        <x:v>Consumer</x:v>
      </x:c>
      <x:c r="I1969" s="84" t="str">
        <x:f>PROPER(TRIM('Raw Sales'!F1969))</x:f>
        <x:v>Southeast</x:v>
      </x:c>
      <x:c r="J1969" s="84" t="str">
        <x:f>PROPER(TRIM('Raw Sales'!G1969))</x:f>
        <x:v>Atlanta</x:v>
      </x:c>
      <x:c r="K1969" s="84" t="str">
        <x:f>PROPER(TRIM('Raw Sales'!H1969))</x:f>
        <x:v>Marketplace</x:v>
      </x:c>
      <x:c r="L1969" s="84" t="str">
        <x:f>'Raw Sales'!I1969</x:f>
        <x:v>ELEC-001</x:v>
      </x:c>
      <x:c r="M1969" s="84" t="str">
        <x:f>IFERROR(VLOOKUP(L1969,'Reference Data'!$A$5:$F$40,2,FALSE),"Unknown Product")</x:f>
        <x:v>Wireless Earbuds</x:v>
      </x:c>
      <x:c r="N1969" s="84" t="str">
        <x:f>IFERROR(VLOOKUP(L1969,'Reference Data'!$A$5:$F$40,3,FALSE),"Unknown")</x:f>
        <x:v>Electronics</x:v>
      </x:c>
      <x:c r="O1969" s="84" t="str">
        <x:f>IFERROR(VLOOKUP(L1969,'Reference Data'!$A$5:$F$40,4,FALSE),"Unknown")</x:f>
        <x:v>Audio</x:v>
      </x:c>
      <x:c r="P1969" s="92" t="n">
        <x:f>IFERROR(VLOOKUP(L1969,'Reference Data'!$A$5:$F$40,5,FALSE),0)</x:f>
        <x:v>69</x:v>
      </x:c>
      <x:c r="Q1969" s="92" t="n">
        <x:f>IFERROR(VLOOKUP(L1969,'Reference Data'!$A$5:$F$40,6,FALSE),0)</x:f>
        <x:v>36</x:v>
      </x:c>
      <x:c r="R1969" s="84" t="n">
        <x:f>'Raw Sales'!J1969</x:f>
        <x:v>2</x:v>
      </x:c>
      <x:c r="S1969" s="87" t="n">
        <x:f>'Raw Sales'!K1969</x:f>
        <x:v>0</x:v>
      </x:c>
      <x:c r="T1969" s="93" t="n">
        <x:f>P1969*R1969</x:f>
        <x:v>138</x:v>
      </x:c>
      <x:c r="U1969" s="93" t="n">
        <x:f>T1969*S1969</x:f>
        <x:v>0</x:v>
      </x:c>
      <x:c r="V1969" s="93" t="str">
        <x:f>PROPER(TRIM('Raw Sales'!L1969))</x:f>
        <x:v>Returned</x:v>
      </x:c>
      <x:c r="W1969" s="93" t="n">
        <x:f>IF(V1969="Returned",0,T1969-U1969)</x:f>
        <x:v>0</x:v>
      </x:c>
      <x:c r="X1969" s="93" t="n">
        <x:f>IF(V1969="Returned",Q1969*R1969*10%,Q1969*R1969)</x:f>
        <x:v>7.2</x:v>
      </x:c>
      <x:c r="Y1969" s="93" t="n">
        <x:f>W1969-X1969</x:f>
        <x:v>-7.2</x:v>
      </x:c>
      <x:c r="Z1969" s="94" t="n">
        <x:f>IFERROR(Y1969/W1969,0)</x:f>
        <x:v>0</x:v>
      </x:c>
      <x:c r="AA1969" s="84" t="str">
        <x:f>PROPER(TRIM('Raw Sales'!M1969))</x:f>
        <x:v>Credit Card</x:v>
      </x:c>
      <x:c r="AB1969" s="84" t="str">
        <x:f>PROPER(TRIM('Raw Sales'!N1969))</x:f>
        <x:v>Noah Reed</x:v>
      </x:c>
      <x:c r="AC1969" s="85" t="n">
        <x:f>'Raw Sales'!O1969</x:f>
        <x:v>45927</x:v>
      </x:c>
      <x:c r="AD1969" s="84" t="n">
        <x:f>AC1969-B1969</x:f>
        <x:v>3</x:v>
      </x:c>
      <x:c r="AE1969" s="84" t="str">
        <x:f>IF(COUNTIF($A$5:A1969,A1969)&gt;1,"Duplicate","Keep")</x:f>
        <x:v>Keep</x:v>
      </x:c>
      <x:c r="AF1969" s="84" t="str">
        <x:f>IF(OR(R1969&lt;=0,AC1969&lt;B1969,H1969="Unknown",M1969="Unknown Product"),"Review","Valid")</x:f>
        <x:v>Valid</x:v>
      </x:c>
      <x:c r="AG1969" s="84" t="n">
        <x:f>IF(AND(AE1969="Keep",AF1969="Valid"),1,0)</x:f>
        <x:v>1</x:v>
      </x:c>
      <x:c r="AH1969" s="84" t="n">
        <x:f>IF(AND(AG1969=1,OR('Dashboard'!$B$4="All",I1969='Dashboard'!$B$4),OR('Dashboard'!$E$4="All",N1969='Dashboard'!$E$4),OR('Dashboard'!$H$4="All",K1969='Dashboard'!$H$4),OR('Dashboard'!$K$4="All",C1969='Dashboard'!$K$4)),1,0)</x:f>
        <x:v>1</x:v>
      </x:c>
      <x:c r="AI1969" s="84" t="n">
        <x:f>IF(AND(AG1969=1,OR('Dashboard'!$B$4="All",I1969='Dashboard'!$B$4),OR('Dashboard'!$E$4="All",N1969='Dashboard'!$E$4),OR('Dashboard'!$H$4="All",K1969='Dashboard'!$H$4)),1,0)</x:f>
        <x:v>1</x:v>
      </x:c>
    </x:row>
    <x:row r="1970">
      <x:c r="A1970" s="84" t="str">
        <x:f>'Raw Sales'!A1970</x:f>
        <x:v>ORD-2025-02143</x:v>
      </x:c>
      <x:c r="B1970" s="85" t="n">
        <x:f>'Raw Sales'!B1970</x:f>
        <x:v>45924</x:v>
      </x:c>
      <x:c r="C1970" s="84" t="n">
        <x:f>YEAR(B1970)</x:f>
        <x:v>2025</x:v>
      </x:c>
      <x:c r="D1970" s="91" t="n">
        <x:f>DATE(YEAR(B1970),MONTH(B1970),1)</x:f>
        <x:v>45901</x:v>
      </x:c>
      <x:c r="E1970" s="84" t="str">
        <x:f>TEXT(B1970,"mmm")</x:f>
        <x:v>Sep</x:v>
      </x:c>
      <x:c r="F1970" s="84" t="str">
        <x:f>'Raw Sales'!C1970</x:f>
        <x:v>CUST-0564</x:v>
      </x:c>
      <x:c r="G1970" s="84" t="str">
        <x:f>PROPER(TRIM('Raw Sales'!D1970))</x:f>
        <x:v>Amelia Khan</x:v>
      </x:c>
      <x:c r="H1970" s="84" t="str">
        <x:f>IF(TRIM('Raw Sales'!E1970)="","Unknown",PROPER(TRIM('Raw Sales'!E1970)))</x:f>
        <x:v>Corporate</x:v>
      </x:c>
      <x:c r="I1970" s="84" t="str">
        <x:f>PROPER(TRIM('Raw Sales'!F1970))</x:f>
        <x:v>Southeast</x:v>
      </x:c>
      <x:c r="J1970" s="84" t="str">
        <x:f>PROPER(TRIM('Raw Sales'!G1970))</x:f>
        <x:v>Miami</x:v>
      </x:c>
      <x:c r="K1970" s="84" t="str">
        <x:f>PROPER(TRIM('Raw Sales'!H1970))</x:f>
        <x:v>Online</x:v>
      </x:c>
      <x:c r="L1970" s="84" t="str">
        <x:f>'Raw Sales'!I1970</x:f>
        <x:v>HOME-006</x:v>
      </x:c>
      <x:c r="M1970" s="84" t="str">
        <x:f>IFERROR(VLOOKUP(L1970,'Reference Data'!$A$5:$F$40,2,FALSE),"Unknown Product")</x:f>
        <x:v>Food Storage Set</x:v>
      </x:c>
      <x:c r="N1970" s="84" t="str">
        <x:f>IFERROR(VLOOKUP(L1970,'Reference Data'!$A$5:$F$40,3,FALSE),"Unknown")</x:f>
        <x:v>Home &amp; Kitchen</x:v>
      </x:c>
      <x:c r="O1970" s="84" t="str">
        <x:f>IFERROR(VLOOKUP(L1970,'Reference Data'!$A$5:$F$40,4,FALSE),"Unknown")</x:f>
        <x:v>Kitchenware</x:v>
      </x:c>
      <x:c r="P1970" s="92" t="n">
        <x:f>IFERROR(VLOOKUP(L1970,'Reference Data'!$A$5:$F$40,5,FALSE),0)</x:f>
        <x:v>34</x:v>
      </x:c>
      <x:c r="Q1970" s="92" t="n">
        <x:f>IFERROR(VLOOKUP(L1970,'Reference Data'!$A$5:$F$40,6,FALSE),0)</x:f>
        <x:v>15</x:v>
      </x:c>
      <x:c r="R1970" s="84" t="n">
        <x:f>'Raw Sales'!J1970</x:f>
        <x:v>4</x:v>
      </x:c>
      <x:c r="S1970" s="87" t="n">
        <x:f>'Raw Sales'!K1970</x:f>
        <x:v>0.05</x:v>
      </x:c>
      <x:c r="T1970" s="93" t="n">
        <x:f>P1970*R1970</x:f>
        <x:v>136</x:v>
      </x:c>
      <x:c r="U1970" s="93" t="n">
        <x:f>T1970*S1970</x:f>
        <x:v>6.800000000000001</x:v>
      </x:c>
      <x:c r="V1970" s="93" t="str">
        <x:f>PROPER(TRIM('Raw Sales'!L1970))</x:f>
        <x:v>Completed</x:v>
      </x:c>
      <x:c r="W1970" s="93" t="n">
        <x:f>IF(V1970="Returned",0,T1970-U1970)</x:f>
        <x:v>129.2</x:v>
      </x:c>
      <x:c r="X1970" s="93" t="n">
        <x:f>IF(V1970="Returned",Q1970*R1970*10%,Q1970*R1970)</x:f>
        <x:v>60</x:v>
      </x:c>
      <x:c r="Y1970" s="93" t="n">
        <x:f>W1970-X1970</x:f>
        <x:v>69.19999999999999</x:v>
      </x:c>
      <x:c r="Z1970" s="94" t="n">
        <x:f>IFERROR(Y1970/W1970,0)</x:f>
        <x:v>0.5356037151702786</x:v>
      </x:c>
      <x:c r="AA1970" s="84" t="str">
        <x:f>PROPER(TRIM('Raw Sales'!M1970))</x:f>
        <x:v>Debit Card</x:v>
      </x:c>
      <x:c r="AB1970" s="84" t="str">
        <x:f>PROPER(TRIM('Raw Sales'!N1970))</x:f>
        <x:v>Noah Reed</x:v>
      </x:c>
      <x:c r="AC1970" s="85" t="n">
        <x:f>'Raw Sales'!O1970</x:f>
        <x:v>45928</x:v>
      </x:c>
      <x:c r="AD1970" s="84" t="n">
        <x:f>AC1970-B1970</x:f>
        <x:v>4</x:v>
      </x:c>
      <x:c r="AE1970" s="84" t="str">
        <x:f>IF(COUNTIF($A$5:A1970,A1970)&gt;1,"Duplicate","Keep")</x:f>
        <x:v>Keep</x:v>
      </x:c>
      <x:c r="AF1970" s="84" t="str">
        <x:f>IF(OR(R1970&lt;=0,AC1970&lt;B1970,H1970="Unknown",M1970="Unknown Product"),"Review","Valid")</x:f>
        <x:v>Valid</x:v>
      </x:c>
      <x:c r="AG1970" s="84" t="n">
        <x:f>IF(AND(AE1970="Keep",AF1970="Valid"),1,0)</x:f>
        <x:v>1</x:v>
      </x:c>
      <x:c r="AH1970" s="84" t="n">
        <x:f>IF(AND(AG1970=1,OR('Dashboard'!$B$4="All",I1970='Dashboard'!$B$4),OR('Dashboard'!$E$4="All",N1970='Dashboard'!$E$4),OR('Dashboard'!$H$4="All",K1970='Dashboard'!$H$4),OR('Dashboard'!$K$4="All",C1970='Dashboard'!$K$4)),1,0)</x:f>
        <x:v>1</x:v>
      </x:c>
      <x:c r="AI1970" s="84" t="n">
        <x:f>IF(AND(AG1970=1,OR('Dashboard'!$B$4="All",I1970='Dashboard'!$B$4),OR('Dashboard'!$E$4="All",N1970='Dashboard'!$E$4),OR('Dashboard'!$H$4="All",K1970='Dashboard'!$H$4)),1,0)</x:f>
        <x:v>1</x:v>
      </x:c>
    </x:row>
    <x:row r="1971">
      <x:c r="A1971" s="84" t="str">
        <x:f>'Raw Sales'!A1971</x:f>
        <x:v>ORD-2025-00660</x:v>
      </x:c>
      <x:c r="B1971" s="85" t="n">
        <x:f>'Raw Sales'!B1971</x:f>
        <x:v>45925</x:v>
      </x:c>
      <x:c r="C1971" s="84" t="n">
        <x:f>YEAR(B1971)</x:f>
        <x:v>2025</x:v>
      </x:c>
      <x:c r="D1971" s="91" t="n">
        <x:f>DATE(YEAR(B1971),MONTH(B1971),1)</x:f>
        <x:v>45901</x:v>
      </x:c>
      <x:c r="E1971" s="84" t="str">
        <x:f>TEXT(B1971,"mmm")</x:f>
        <x:v>Sep</x:v>
      </x:c>
      <x:c r="F1971" s="84" t="str">
        <x:f>'Raw Sales'!C1971</x:f>
        <x:v>CUST-0259</x:v>
      </x:c>
      <x:c r="G1971" s="84" t="str">
        <x:f>PROPER(TRIM('Raw Sales'!D1971))</x:f>
        <x:v>Caleb Foster</x:v>
      </x:c>
      <x:c r="H1971" s="84" t="str">
        <x:f>IF(TRIM('Raw Sales'!E1971)="","Unknown",PROPER(TRIM('Raw Sales'!E1971)))</x:f>
        <x:v>Consumer</x:v>
      </x:c>
      <x:c r="I1971" s="84" t="str">
        <x:f>PROPER(TRIM('Raw Sales'!F1971))</x:f>
        <x:v>Northeast</x:v>
      </x:c>
      <x:c r="J1971" s="84" t="str">
        <x:f>PROPER(TRIM('Raw Sales'!G1971))</x:f>
        <x:v>New York</x:v>
      </x:c>
      <x:c r="K1971" s="84" t="str">
        <x:f>PROPER(TRIM('Raw Sales'!H1971))</x:f>
        <x:v>Marketplace</x:v>
      </x:c>
      <x:c r="L1971" s="84" t="str">
        <x:f>'Raw Sales'!I1971</x:f>
        <x:v>OFFC-005</x:v>
      </x:c>
      <x:c r="M1971" s="84" t="str">
        <x:f>IFERROR(VLOOKUP(L1971,'Reference Data'!$A$5:$F$40,2,FALSE),"Unknown Product")</x:f>
        <x:v>Wireless Keyboard</x:v>
      </x:c>
      <x:c r="N1971" s="84" t="str">
        <x:f>IFERROR(VLOOKUP(L1971,'Reference Data'!$A$5:$F$40,3,FALSE),"Unknown")</x:f>
        <x:v>Office</x:v>
      </x:c>
      <x:c r="O1971" s="84" t="str">
        <x:f>IFERROR(VLOOKUP(L1971,'Reference Data'!$A$5:$F$40,4,FALSE),"Unknown")</x:f>
        <x:v>Computer Accessories</x:v>
      </x:c>
      <x:c r="P1971" s="92" t="n">
        <x:f>IFERROR(VLOOKUP(L1971,'Reference Data'!$A$5:$F$40,5,FALSE),0)</x:f>
        <x:v>59</x:v>
      </x:c>
      <x:c r="Q1971" s="92" t="n">
        <x:f>IFERROR(VLOOKUP(L1971,'Reference Data'!$A$5:$F$40,6,FALSE),0)</x:f>
        <x:v>28</x:v>
      </x:c>
      <x:c r="R1971" s="84" t="n">
        <x:f>'Raw Sales'!J1971</x:f>
        <x:v>1</x:v>
      </x:c>
      <x:c r="S1971" s="87" t="n">
        <x:f>'Raw Sales'!K1971</x:f>
        <x:v>0.05</x:v>
      </x:c>
      <x:c r="T1971" s="93" t="n">
        <x:f>P1971*R1971</x:f>
        <x:v>59</x:v>
      </x:c>
      <x:c r="U1971" s="93" t="n">
        <x:f>T1971*S1971</x:f>
        <x:v>2.95</x:v>
      </x:c>
      <x:c r="V1971" s="93" t="str">
        <x:f>PROPER(TRIM('Raw Sales'!L1971))</x:f>
        <x:v>Completed</x:v>
      </x:c>
      <x:c r="W1971" s="93" t="n">
        <x:f>IF(V1971="Returned",0,T1971-U1971)</x:f>
        <x:v>56.05</x:v>
      </x:c>
      <x:c r="X1971" s="93" t="n">
        <x:f>IF(V1971="Returned",Q1971*R1971*10%,Q1971*R1971)</x:f>
        <x:v>28</x:v>
      </x:c>
      <x:c r="Y1971" s="93" t="n">
        <x:f>W1971-X1971</x:f>
        <x:v>28.049999999999997</x:v>
      </x:c>
      <x:c r="Z1971" s="94" t="n">
        <x:f>IFERROR(Y1971/W1971,0)</x:f>
        <x:v>0.5004460303300624</x:v>
      </x:c>
      <x:c r="AA1971" s="84" t="str">
        <x:f>PROPER(TRIM('Raw Sales'!M1971))</x:f>
        <x:v>Credit Card</x:v>
      </x:c>
      <x:c r="AB1971" s="84" t="str">
        <x:f>PROPER(TRIM('Raw Sales'!N1971))</x:f>
        <x:v>Ethan Cole</x:v>
      </x:c>
      <x:c r="AC1971" s="85" t="n">
        <x:f>'Raw Sales'!O1971</x:f>
        <x:v>45930</x:v>
      </x:c>
      <x:c r="AD1971" s="84" t="n">
        <x:f>AC1971-B1971</x:f>
        <x:v>5</x:v>
      </x:c>
      <x:c r="AE1971" s="84" t="str">
        <x:f>IF(COUNTIF($A$5:A1971,A1971)&gt;1,"Duplicate","Keep")</x:f>
        <x:v>Keep</x:v>
      </x:c>
      <x:c r="AF1971" s="84" t="str">
        <x:f>IF(OR(R1971&lt;=0,AC1971&lt;B1971,H1971="Unknown",M1971="Unknown Product"),"Review","Valid")</x:f>
        <x:v>Valid</x:v>
      </x:c>
      <x:c r="AG1971" s="84" t="n">
        <x:f>IF(AND(AE1971="Keep",AF1971="Valid"),1,0)</x:f>
        <x:v>1</x:v>
      </x:c>
      <x:c r="AH1971" s="84" t="n">
        <x:f>IF(AND(AG1971=1,OR('Dashboard'!$B$4="All",I1971='Dashboard'!$B$4),OR('Dashboard'!$E$4="All",N1971='Dashboard'!$E$4),OR('Dashboard'!$H$4="All",K1971='Dashboard'!$H$4),OR('Dashboard'!$K$4="All",C1971='Dashboard'!$K$4)),1,0)</x:f>
        <x:v>1</x:v>
      </x:c>
      <x:c r="AI1971" s="84" t="n">
        <x:f>IF(AND(AG1971=1,OR('Dashboard'!$B$4="All",I1971='Dashboard'!$B$4),OR('Dashboard'!$E$4="All",N1971='Dashboard'!$E$4),OR('Dashboard'!$H$4="All",K1971='Dashboard'!$H$4)),1,0)</x:f>
        <x:v>1</x:v>
      </x:c>
    </x:row>
    <x:row r="1972">
      <x:c r="A1972" s="84" t="str">
        <x:f>'Raw Sales'!A1972</x:f>
        <x:v>ORD-2025-01085</x:v>
      </x:c>
      <x:c r="B1972" s="85" t="n">
        <x:f>'Raw Sales'!B1972</x:f>
        <x:v>45925</x:v>
      </x:c>
      <x:c r="C1972" s="84" t="n">
        <x:f>YEAR(B1972)</x:f>
        <x:v>2025</x:v>
      </x:c>
      <x:c r="D1972" s="91" t="n">
        <x:f>DATE(YEAR(B1972),MONTH(B1972),1)</x:f>
        <x:v>45901</x:v>
      </x:c>
      <x:c r="E1972" s="84" t="str">
        <x:f>TEXT(B1972,"mmm")</x:f>
        <x:v>Sep</x:v>
      </x:c>
      <x:c r="F1972" s="84" t="str">
        <x:f>'Raw Sales'!C1972</x:f>
        <x:v>CUST-0376</x:v>
      </x:c>
      <x:c r="G1972" s="84" t="str">
        <x:f>PROPER(TRIM('Raw Sales'!D1972))</x:f>
        <x:v>Nina Foster</x:v>
      </x:c>
      <x:c r="H1972" s="84" t="str">
        <x:f>IF(TRIM('Raw Sales'!E1972)="","Unknown",PROPER(TRIM('Raw Sales'!E1972)))</x:f>
        <x:v>Consumer</x:v>
      </x:c>
      <x:c r="I1972" s="84" t="str">
        <x:f>PROPER(TRIM('Raw Sales'!F1972))</x:f>
        <x:v>West</x:v>
      </x:c>
      <x:c r="J1972" s="84" t="str">
        <x:f>PROPER(TRIM('Raw Sales'!G1972))</x:f>
        <x:v>Denver</x:v>
      </x:c>
      <x:c r="K1972" s="84" t="str">
        <x:f>PROPER(TRIM('Raw Sales'!H1972))</x:f>
        <x:v>Online</x:v>
      </x:c>
      <x:c r="L1972" s="84" t="str">
        <x:f>'Raw Sales'!I1972</x:f>
        <x:v>HOME-003</x:v>
      </x:c>
      <x:c r="M1972" s="84" t="str">
        <x:f>IFERROR(VLOOKUP(L1972,'Reference Data'!$A$5:$F$40,2,FALSE),"Unknown Product")</x:f>
        <x:v>Countertop Blender</x:v>
      </x:c>
      <x:c r="N1972" s="84" t="str">
        <x:f>IFERROR(VLOOKUP(L1972,'Reference Data'!$A$5:$F$40,3,FALSE),"Unknown")</x:f>
        <x:v>Home &amp; Kitchen</x:v>
      </x:c>
      <x:c r="O1972" s="84" t="str">
        <x:f>IFERROR(VLOOKUP(L1972,'Reference Data'!$A$5:$F$40,4,FALSE),"Unknown")</x:f>
        <x:v>Small Appliances</x:v>
      </x:c>
      <x:c r="P1972" s="92" t="n">
        <x:f>IFERROR(VLOOKUP(L1972,'Reference Data'!$A$5:$F$40,5,FALSE),0)</x:f>
        <x:v>89</x:v>
      </x:c>
      <x:c r="Q1972" s="92" t="n">
        <x:f>IFERROR(VLOOKUP(L1972,'Reference Data'!$A$5:$F$40,6,FALSE),0)</x:f>
        <x:v>46</x:v>
      </x:c>
      <x:c r="R1972" s="84" t="n">
        <x:f>'Raw Sales'!J1972</x:f>
        <x:v>1</x:v>
      </x:c>
      <x:c r="S1972" s="87" t="n">
        <x:f>'Raw Sales'!K1972</x:f>
        <x:v>0.1</x:v>
      </x:c>
      <x:c r="T1972" s="93" t="n">
        <x:f>P1972*R1972</x:f>
        <x:v>89</x:v>
      </x:c>
      <x:c r="U1972" s="93" t="n">
        <x:f>T1972*S1972</x:f>
        <x:v>8.9</x:v>
      </x:c>
      <x:c r="V1972" s="93" t="str">
        <x:f>PROPER(TRIM('Raw Sales'!L1972))</x:f>
        <x:v>Completed</x:v>
      </x:c>
      <x:c r="W1972" s="93" t="n">
        <x:f>IF(V1972="Returned",0,T1972-U1972)</x:f>
        <x:v>80.1</x:v>
      </x:c>
      <x:c r="X1972" s="93" t="n">
        <x:f>IF(V1972="Returned",Q1972*R1972*10%,Q1972*R1972)</x:f>
        <x:v>46</x:v>
      </x:c>
      <x:c r="Y1972" s="93" t="n">
        <x:f>W1972-X1972</x:f>
        <x:v>34.099999999999994</x:v>
      </x:c>
      <x:c r="Z1972" s="94" t="n">
        <x:f>IFERROR(Y1972/W1972,0)</x:f>
        <x:v>0.4257178526841448</x:v>
      </x:c>
      <x:c r="AA1972" s="84" t="str">
        <x:f>PROPER(TRIM('Raw Sales'!M1972))</x:f>
        <x:v>Mobile Wallet</x:v>
      </x:c>
      <x:c r="AB1972" s="84" t="str">
        <x:f>PROPER(TRIM('Raw Sales'!N1972))</x:f>
        <x:v>Leo Martinez</x:v>
      </x:c>
      <x:c r="AC1972" s="85" t="n">
        <x:f>'Raw Sales'!O1972</x:f>
        <x:v>45929</x:v>
      </x:c>
      <x:c r="AD1972" s="84" t="n">
        <x:f>AC1972-B1972</x:f>
        <x:v>4</x:v>
      </x:c>
      <x:c r="AE1972" s="84" t="str">
        <x:f>IF(COUNTIF($A$5:A1972,A1972)&gt;1,"Duplicate","Keep")</x:f>
        <x:v>Keep</x:v>
      </x:c>
      <x:c r="AF1972" s="84" t="str">
        <x:f>IF(OR(R1972&lt;=0,AC1972&lt;B1972,H1972="Unknown",M1972="Unknown Product"),"Review","Valid")</x:f>
        <x:v>Valid</x:v>
      </x:c>
      <x:c r="AG1972" s="84" t="n">
        <x:f>IF(AND(AE1972="Keep",AF1972="Valid"),1,0)</x:f>
        <x:v>1</x:v>
      </x:c>
      <x:c r="AH1972" s="84" t="n">
        <x:f>IF(AND(AG1972=1,OR('Dashboard'!$B$4="All",I1972='Dashboard'!$B$4),OR('Dashboard'!$E$4="All",N1972='Dashboard'!$E$4),OR('Dashboard'!$H$4="All",K1972='Dashboard'!$H$4),OR('Dashboard'!$K$4="All",C1972='Dashboard'!$K$4)),1,0)</x:f>
        <x:v>1</x:v>
      </x:c>
      <x:c r="AI1972" s="84" t="n">
        <x:f>IF(AND(AG1972=1,OR('Dashboard'!$B$4="All",I1972='Dashboard'!$B$4),OR('Dashboard'!$E$4="All",N1972='Dashboard'!$E$4),OR('Dashboard'!$H$4="All",K1972='Dashboard'!$H$4)),1,0)</x:f>
        <x:v>1</x:v>
      </x:c>
    </x:row>
    <x:row r="1973">
      <x:c r="A1973" s="84" t="str">
        <x:f>'Raw Sales'!A1973</x:f>
        <x:v>ORD-2025-02253</x:v>
      </x:c>
      <x:c r="B1973" s="85" t="n">
        <x:f>'Raw Sales'!B1973</x:f>
        <x:v>45925</x:v>
      </x:c>
      <x:c r="C1973" s="84" t="n">
        <x:f>YEAR(B1973)</x:f>
        <x:v>2025</x:v>
      </x:c>
      <x:c r="D1973" s="91" t="n">
        <x:f>DATE(YEAR(B1973),MONTH(B1973),1)</x:f>
        <x:v>45901</x:v>
      </x:c>
      <x:c r="E1973" s="84" t="str">
        <x:f>TEXT(B1973,"mmm")</x:f>
        <x:v>Sep</x:v>
      </x:c>
      <x:c r="F1973" s="84" t="str">
        <x:f>'Raw Sales'!C1973</x:f>
        <x:v>CUST-0460</x:v>
      </x:c>
      <x:c r="G1973" s="84" t="str">
        <x:f>PROPER(TRIM('Raw Sales'!D1973))</x:f>
        <x:v>Sara Johnson</x:v>
      </x:c>
      <x:c r="H1973" s="84" t="str">
        <x:f>IF(TRIM('Raw Sales'!E1973)="","Unknown",PROPER(TRIM('Raw Sales'!E1973)))</x:f>
        <x:v>Consumer</x:v>
      </x:c>
      <x:c r="I1973" s="84" t="str">
        <x:f>PROPER(TRIM('Raw Sales'!F1973))</x:f>
        <x:v>West</x:v>
      </x:c>
      <x:c r="J1973" s="84" t="str">
        <x:f>PROPER(TRIM('Raw Sales'!G1973))</x:f>
        <x:v>Denver</x:v>
      </x:c>
      <x:c r="K1973" s="84" t="str">
        <x:f>PROPER(TRIM('Raw Sales'!H1973))</x:f>
        <x:v>Online</x:v>
      </x:c>
      <x:c r="L1973" s="84" t="str">
        <x:f>'Raw Sales'!I1973</x:f>
        <x:v>HOME-006</x:v>
      </x:c>
      <x:c r="M1973" s="84" t="str">
        <x:f>IFERROR(VLOOKUP(L1973,'Reference Data'!$A$5:$F$40,2,FALSE),"Unknown Product")</x:f>
        <x:v>Food Storage Set</x:v>
      </x:c>
      <x:c r="N1973" s="84" t="str">
        <x:f>IFERROR(VLOOKUP(L1973,'Reference Data'!$A$5:$F$40,3,FALSE),"Unknown")</x:f>
        <x:v>Home &amp; Kitchen</x:v>
      </x:c>
      <x:c r="O1973" s="84" t="str">
        <x:f>IFERROR(VLOOKUP(L1973,'Reference Data'!$A$5:$F$40,4,FALSE),"Unknown")</x:f>
        <x:v>Kitchenware</x:v>
      </x:c>
      <x:c r="P1973" s="92" t="n">
        <x:f>IFERROR(VLOOKUP(L1973,'Reference Data'!$A$5:$F$40,5,FALSE),0)</x:f>
        <x:v>34</x:v>
      </x:c>
      <x:c r="Q1973" s="92" t="n">
        <x:f>IFERROR(VLOOKUP(L1973,'Reference Data'!$A$5:$F$40,6,FALSE),0)</x:f>
        <x:v>15</x:v>
      </x:c>
      <x:c r="R1973" s="84" t="n">
        <x:f>'Raw Sales'!J1973</x:f>
        <x:v>1</x:v>
      </x:c>
      <x:c r="S1973" s="87" t="n">
        <x:f>'Raw Sales'!K1973</x:f>
        <x:v>0.1</x:v>
      </x:c>
      <x:c r="T1973" s="93" t="n">
        <x:f>P1973*R1973</x:f>
        <x:v>34</x:v>
      </x:c>
      <x:c r="U1973" s="93" t="n">
        <x:f>T1973*S1973</x:f>
        <x:v>3.4000000000000004</x:v>
      </x:c>
      <x:c r="V1973" s="93" t="str">
        <x:f>PROPER(TRIM('Raw Sales'!L1973))</x:f>
        <x:v>Completed</x:v>
      </x:c>
      <x:c r="W1973" s="93" t="n">
        <x:f>IF(V1973="Returned",0,T1973-U1973)</x:f>
        <x:v>30.6</x:v>
      </x:c>
      <x:c r="X1973" s="93" t="n">
        <x:f>IF(V1973="Returned",Q1973*R1973*10%,Q1973*R1973)</x:f>
        <x:v>15</x:v>
      </x:c>
      <x:c r="Y1973" s="93" t="n">
        <x:f>W1973-X1973</x:f>
        <x:v>15.600000000000001</x:v>
      </x:c>
      <x:c r="Z1973" s="94" t="n">
        <x:f>IFERROR(Y1973/W1973,0)</x:f>
        <x:v>0.5098039215686275</x:v>
      </x:c>
      <x:c r="AA1973" s="84" t="str">
        <x:f>PROPER(TRIM('Raw Sales'!M1973))</x:f>
        <x:v>Credit Card</x:v>
      </x:c>
      <x:c r="AB1973" s="84" t="str">
        <x:f>PROPER(TRIM('Raw Sales'!N1973))</x:f>
        <x:v>Leo Martinez</x:v>
      </x:c>
      <x:c r="AC1973" s="85" t="n">
        <x:f>'Raw Sales'!O1973</x:f>
        <x:v>45927</x:v>
      </x:c>
      <x:c r="AD1973" s="84" t="n">
        <x:f>AC1973-B1973</x:f>
        <x:v>2</x:v>
      </x:c>
      <x:c r="AE1973" s="84" t="str">
        <x:f>IF(COUNTIF($A$5:A1973,A1973)&gt;1,"Duplicate","Keep")</x:f>
        <x:v>Keep</x:v>
      </x:c>
      <x:c r="AF1973" s="84" t="str">
        <x:f>IF(OR(R1973&lt;=0,AC1973&lt;B1973,H1973="Unknown",M1973="Unknown Product"),"Review","Valid")</x:f>
        <x:v>Valid</x:v>
      </x:c>
      <x:c r="AG1973" s="84" t="n">
        <x:f>IF(AND(AE1973="Keep",AF1973="Valid"),1,0)</x:f>
        <x:v>1</x:v>
      </x:c>
      <x:c r="AH1973" s="84" t="n">
        <x:f>IF(AND(AG1973=1,OR('Dashboard'!$B$4="All",I1973='Dashboard'!$B$4),OR('Dashboard'!$E$4="All",N1973='Dashboard'!$E$4),OR('Dashboard'!$H$4="All",K1973='Dashboard'!$H$4),OR('Dashboard'!$K$4="All",C1973='Dashboard'!$K$4)),1,0)</x:f>
        <x:v>1</x:v>
      </x:c>
      <x:c r="AI1973" s="84" t="n">
        <x:f>IF(AND(AG1973=1,OR('Dashboard'!$B$4="All",I1973='Dashboard'!$B$4),OR('Dashboard'!$E$4="All",N1973='Dashboard'!$E$4),OR('Dashboard'!$H$4="All",K1973='Dashboard'!$H$4)),1,0)</x:f>
        <x:v>1</x:v>
      </x:c>
    </x:row>
    <x:row r="1974">
      <x:c r="A1974" s="84" t="str">
        <x:f>'Raw Sales'!A1974</x:f>
        <x:v>ORD-2025-02262</x:v>
      </x:c>
      <x:c r="B1974" s="85" t="n">
        <x:f>'Raw Sales'!B1974</x:f>
        <x:v>45925</x:v>
      </x:c>
      <x:c r="C1974" s="84" t="n">
        <x:f>YEAR(B1974)</x:f>
        <x:v>2025</x:v>
      </x:c>
      <x:c r="D1974" s="91" t="n">
        <x:f>DATE(YEAR(B1974),MONTH(B1974),1)</x:f>
        <x:v>45901</x:v>
      </x:c>
      <x:c r="E1974" s="84" t="str">
        <x:f>TEXT(B1974,"mmm")</x:f>
        <x:v>Sep</x:v>
      </x:c>
      <x:c r="F1974" s="84" t="str">
        <x:f>'Raw Sales'!C1974</x:f>
        <x:v>CUST-0066</x:v>
      </x:c>
      <x:c r="G1974" s="84" t="str">
        <x:f>PROPER(TRIM('Raw Sales'!D1974))</x:f>
        <x:v>Zara Smith</x:v>
      </x:c>
      <x:c r="H1974" s="84" t="str">
        <x:f>IF(TRIM('Raw Sales'!E1974)="","Unknown",PROPER(TRIM('Raw Sales'!E1974)))</x:f>
        <x:v>Consumer</x:v>
      </x:c>
      <x:c r="I1974" s="84" t="str">
        <x:f>PROPER(TRIM('Raw Sales'!F1974))</x:f>
        <x:v>West</x:v>
      </x:c>
      <x:c r="J1974" s="84" t="str">
        <x:f>PROPER(TRIM('Raw Sales'!G1974))</x:f>
        <x:v>Phoenix</x:v>
      </x:c>
      <x:c r="K1974" s="84" t="str">
        <x:f>PROPER(TRIM('Raw Sales'!H1974))</x:f>
        <x:v>Retail Store</x:v>
      </x:c>
      <x:c r="L1974" s="84" t="str">
        <x:f>'Raw Sales'!I1974</x:f>
        <x:v>FITN-001</x:v>
      </x:c>
      <x:c r="M1974" s="84" t="str">
        <x:f>IFERROR(VLOOKUP(L1974,'Reference Data'!$A$5:$F$40,2,FALSE),"Unknown Product")</x:f>
        <x:v>Yoga Mat</x:v>
      </x:c>
      <x:c r="N1974" s="84" t="str">
        <x:f>IFERROR(VLOOKUP(L1974,'Reference Data'!$A$5:$F$40,3,FALSE),"Unknown")</x:f>
        <x:v>Fitness</x:v>
      </x:c>
      <x:c r="O1974" s="84" t="str">
        <x:f>IFERROR(VLOOKUP(L1974,'Reference Data'!$A$5:$F$40,4,FALSE),"Unknown")</x:f>
        <x:v>Yoga</x:v>
      </x:c>
      <x:c r="P1974" s="92" t="n">
        <x:f>IFERROR(VLOOKUP(L1974,'Reference Data'!$A$5:$F$40,5,FALSE),0)</x:f>
        <x:v>35</x:v>
      </x:c>
      <x:c r="Q1974" s="92" t="n">
        <x:f>IFERROR(VLOOKUP(L1974,'Reference Data'!$A$5:$F$40,6,FALSE),0)</x:f>
        <x:v>13</x:v>
      </x:c>
      <x:c r="R1974" s="84" t="n">
        <x:f>'Raw Sales'!J1974</x:f>
        <x:v>1</x:v>
      </x:c>
      <x:c r="S1974" s="87" t="n">
        <x:f>'Raw Sales'!K1974</x:f>
        <x:v>0.15</x:v>
      </x:c>
      <x:c r="T1974" s="93" t="n">
        <x:f>P1974*R1974</x:f>
        <x:v>35</x:v>
      </x:c>
      <x:c r="U1974" s="93" t="n">
        <x:f>T1974*S1974</x:f>
        <x:v>5.25</x:v>
      </x:c>
      <x:c r="V1974" s="93" t="str">
        <x:f>PROPER(TRIM('Raw Sales'!L1974))</x:f>
        <x:v>Completed</x:v>
      </x:c>
      <x:c r="W1974" s="93" t="n">
        <x:f>IF(V1974="Returned",0,T1974-U1974)</x:f>
        <x:v>29.75</x:v>
      </x:c>
      <x:c r="X1974" s="93" t="n">
        <x:f>IF(V1974="Returned",Q1974*R1974*10%,Q1974*R1974)</x:f>
        <x:v>13</x:v>
      </x:c>
      <x:c r="Y1974" s="93" t="n">
        <x:f>W1974-X1974</x:f>
        <x:v>16.75</x:v>
      </x:c>
      <x:c r="Z1974" s="94" t="n">
        <x:f>IFERROR(Y1974/W1974,0)</x:f>
        <x:v>0.5630252100840336</x:v>
      </x:c>
      <x:c r="AA1974" s="84" t="str">
        <x:f>PROPER(TRIM('Raw Sales'!M1974))</x:f>
        <x:v>Cash</x:v>
      </x:c>
      <x:c r="AB1974" s="84" t="str">
        <x:f>PROPER(TRIM('Raw Sales'!N1974))</x:f>
        <x:v>Nora Kim</x:v>
      </x:c>
      <x:c r="AC1974" s="85" t="n">
        <x:f>'Raw Sales'!O1974</x:f>
        <x:v>45925</x:v>
      </x:c>
      <x:c r="AD1974" s="84" t="n">
        <x:f>AC1974-B1974</x:f>
        <x:v>0</x:v>
      </x:c>
      <x:c r="AE1974" s="84" t="str">
        <x:f>IF(COUNTIF($A$5:A1974,A1974)&gt;1,"Duplicate","Keep")</x:f>
        <x:v>Keep</x:v>
      </x:c>
      <x:c r="AF1974" s="84" t="str">
        <x:f>IF(OR(R1974&lt;=0,AC1974&lt;B1974,H1974="Unknown",M1974="Unknown Product"),"Review","Valid")</x:f>
        <x:v>Valid</x:v>
      </x:c>
      <x:c r="AG1974" s="84" t="n">
        <x:f>IF(AND(AE1974="Keep",AF1974="Valid"),1,0)</x:f>
        <x:v>1</x:v>
      </x:c>
      <x:c r="AH1974" s="84" t="n">
        <x:f>IF(AND(AG1974=1,OR('Dashboard'!$B$4="All",I1974='Dashboard'!$B$4),OR('Dashboard'!$E$4="All",N1974='Dashboard'!$E$4),OR('Dashboard'!$H$4="All",K1974='Dashboard'!$H$4),OR('Dashboard'!$K$4="All",C1974='Dashboard'!$K$4)),1,0)</x:f>
        <x:v>1</x:v>
      </x:c>
      <x:c r="AI1974" s="84" t="n">
        <x:f>IF(AND(AG1974=1,OR('Dashboard'!$B$4="All",I1974='Dashboard'!$B$4),OR('Dashboard'!$E$4="All",N1974='Dashboard'!$E$4),OR('Dashboard'!$H$4="All",K1974='Dashboard'!$H$4)),1,0)</x:f>
        <x:v>1</x:v>
      </x:c>
    </x:row>
    <x:row r="1975">
      <x:c r="A1975" s="84" t="str">
        <x:f>'Raw Sales'!A1975</x:f>
        <x:v>ORD-2025-01567</x:v>
      </x:c>
      <x:c r="B1975" s="85" t="n">
        <x:f>'Raw Sales'!B1975</x:f>
        <x:v>45927</x:v>
      </x:c>
      <x:c r="C1975" s="84" t="n">
        <x:f>YEAR(B1975)</x:f>
        <x:v>2025</x:v>
      </x:c>
      <x:c r="D1975" s="91" t="n">
        <x:f>DATE(YEAR(B1975),MONTH(B1975),1)</x:f>
        <x:v>45901</x:v>
      </x:c>
      <x:c r="E1975" s="84" t="str">
        <x:f>TEXT(B1975,"mmm")</x:f>
        <x:v>Sep</x:v>
      </x:c>
      <x:c r="F1975" s="84" t="str">
        <x:f>'Raw Sales'!C1975</x:f>
        <x:v>CUST-0290</x:v>
      </x:c>
      <x:c r="G1975" s="84" t="str">
        <x:f>PROPER(TRIM('Raw Sales'!D1975))</x:f>
        <x:v>Nathan Baker</x:v>
      </x:c>
      <x:c r="H1975" s="84" t="str">
        <x:f>IF(TRIM('Raw Sales'!E1975)="","Unknown",PROPER(TRIM('Raw Sales'!E1975)))</x:f>
        <x:v>Consumer</x:v>
      </x:c>
      <x:c r="I1975" s="84" t="str">
        <x:f>PROPER(TRIM('Raw Sales'!F1975))</x:f>
        <x:v>West</x:v>
      </x:c>
      <x:c r="J1975" s="84" t="str">
        <x:f>PROPER(TRIM('Raw Sales'!G1975))</x:f>
        <x:v>Denver</x:v>
      </x:c>
      <x:c r="K1975" s="84" t="str">
        <x:f>PROPER(TRIM('Raw Sales'!H1975))</x:f>
        <x:v>Online</x:v>
      </x:c>
      <x:c r="L1975" s="84" t="str">
        <x:f>'Raw Sales'!I1975</x:f>
        <x:v>ACCS-006</x:v>
      </x:c>
      <x:c r="M1975" s="84" t="str">
        <x:f>IFERROR(VLOOKUP(L1975,'Reference Data'!$A$5:$F$40,2,FALSE),"Unknown Product")</x:f>
        <x:v>Insulated Lunch Bag</x:v>
      </x:c>
      <x:c r="N1975" s="84" t="str">
        <x:f>IFERROR(VLOOKUP(L1975,'Reference Data'!$A$5:$F$40,3,FALSE),"Unknown")</x:f>
        <x:v>Accessories</x:v>
      </x:c>
      <x:c r="O1975" s="84" t="str">
        <x:f>IFERROR(VLOOKUP(L1975,'Reference Data'!$A$5:$F$40,4,FALSE),"Unknown")</x:f>
        <x:v>Bags</x:v>
      </x:c>
      <x:c r="P1975" s="92" t="n">
        <x:f>IFERROR(VLOOKUP(L1975,'Reference Data'!$A$5:$F$40,5,FALSE),0)</x:f>
        <x:v>29</x:v>
      </x:c>
      <x:c r="Q1975" s="92" t="n">
        <x:f>IFERROR(VLOOKUP(L1975,'Reference Data'!$A$5:$F$40,6,FALSE),0)</x:f>
        <x:v>10</x:v>
      </x:c>
      <x:c r="R1975" s="84" t="n">
        <x:f>'Raw Sales'!J1975</x:f>
        <x:v>1</x:v>
      </x:c>
      <x:c r="S1975" s="87" t="n">
        <x:f>'Raw Sales'!K1975</x:f>
        <x:v>0.1</x:v>
      </x:c>
      <x:c r="T1975" s="93" t="n">
        <x:f>P1975*R1975</x:f>
        <x:v>29</x:v>
      </x:c>
      <x:c r="U1975" s="93" t="n">
        <x:f>T1975*S1975</x:f>
        <x:v>2.9000000000000004</x:v>
      </x:c>
      <x:c r="V1975" s="93" t="str">
        <x:f>PROPER(TRIM('Raw Sales'!L1975))</x:f>
        <x:v>Completed</x:v>
      </x:c>
      <x:c r="W1975" s="93" t="n">
        <x:f>IF(V1975="Returned",0,T1975-U1975)</x:f>
        <x:v>26.1</x:v>
      </x:c>
      <x:c r="X1975" s="93" t="n">
        <x:f>IF(V1975="Returned",Q1975*R1975*10%,Q1975*R1975)</x:f>
        <x:v>10</x:v>
      </x:c>
      <x:c r="Y1975" s="93" t="n">
        <x:f>W1975-X1975</x:f>
        <x:v>16.1</x:v>
      </x:c>
      <x:c r="Z1975" s="94" t="n">
        <x:f>IFERROR(Y1975/W1975,0)</x:f>
        <x:v>0.6168582375478927</x:v>
      </x:c>
      <x:c r="AA1975" s="84" t="str">
        <x:f>PROPER(TRIM('Raw Sales'!M1975))</x:f>
        <x:v>Paypal</x:v>
      </x:c>
      <x:c r="AB1975" s="84" t="str">
        <x:f>PROPER(TRIM('Raw Sales'!N1975))</x:f>
        <x:v>Leo Martinez</x:v>
      </x:c>
      <x:c r="AC1975" s="85" t="n">
        <x:f>'Raw Sales'!O1975</x:f>
        <x:v>45933</x:v>
      </x:c>
      <x:c r="AD1975" s="84" t="n">
        <x:f>AC1975-B1975</x:f>
        <x:v>6</x:v>
      </x:c>
      <x:c r="AE1975" s="84" t="str">
        <x:f>IF(COUNTIF($A$5:A1975,A1975)&gt;1,"Duplicate","Keep")</x:f>
        <x:v>Keep</x:v>
      </x:c>
      <x:c r="AF1975" s="84" t="str">
        <x:f>IF(OR(R1975&lt;=0,AC1975&lt;B1975,H1975="Unknown",M1975="Unknown Product"),"Review","Valid")</x:f>
        <x:v>Valid</x:v>
      </x:c>
      <x:c r="AG1975" s="84" t="n">
        <x:f>IF(AND(AE1975="Keep",AF1975="Valid"),1,0)</x:f>
        <x:v>1</x:v>
      </x:c>
      <x:c r="AH1975" s="84" t="n">
        <x:f>IF(AND(AG1975=1,OR('Dashboard'!$B$4="All",I1975='Dashboard'!$B$4),OR('Dashboard'!$E$4="All",N1975='Dashboard'!$E$4),OR('Dashboard'!$H$4="All",K1975='Dashboard'!$H$4),OR('Dashboard'!$K$4="All",C1975='Dashboard'!$K$4)),1,0)</x:f>
        <x:v>1</x:v>
      </x:c>
      <x:c r="AI1975" s="84" t="n">
        <x:f>IF(AND(AG1975=1,OR('Dashboard'!$B$4="All",I1975='Dashboard'!$B$4),OR('Dashboard'!$E$4="All",N1975='Dashboard'!$E$4),OR('Dashboard'!$H$4="All",K1975='Dashboard'!$H$4)),1,0)</x:f>
        <x:v>1</x:v>
      </x:c>
    </x:row>
    <x:row r="1976">
      <x:c r="A1976" s="84" t="str">
        <x:f>'Raw Sales'!A1976</x:f>
        <x:v>ORD-2025-01864</x:v>
      </x:c>
      <x:c r="B1976" s="85" t="n">
        <x:f>'Raw Sales'!B1976</x:f>
        <x:v>45927</x:v>
      </x:c>
      <x:c r="C1976" s="84" t="n">
        <x:f>YEAR(B1976)</x:f>
        <x:v>2025</x:v>
      </x:c>
      <x:c r="D1976" s="91" t="n">
        <x:f>DATE(YEAR(B1976),MONTH(B1976),1)</x:f>
        <x:v>45901</x:v>
      </x:c>
      <x:c r="E1976" s="84" t="str">
        <x:f>TEXT(B1976,"mmm")</x:f>
        <x:v>Sep</x:v>
      </x:c>
      <x:c r="F1976" s="84" t="str">
        <x:f>'Raw Sales'!C1976</x:f>
        <x:v>CUST-0434</x:v>
      </x:c>
      <x:c r="G1976" s="84" t="str">
        <x:f>PROPER(TRIM('Raw Sales'!D1976))</x:f>
        <x:v>Aiden Smith</x:v>
      </x:c>
      <x:c r="H1976" s="84" t="str">
        <x:f>IF(TRIM('Raw Sales'!E1976)="","Unknown",PROPER(TRIM('Raw Sales'!E1976)))</x:f>
        <x:v>Corporate</x:v>
      </x:c>
      <x:c r="I1976" s="84" t="str">
        <x:f>PROPER(TRIM('Raw Sales'!F1976))</x:f>
        <x:v>Northeast</x:v>
      </x:c>
      <x:c r="J1976" s="84" t="str">
        <x:f>PROPER(TRIM('Raw Sales'!G1976))</x:f>
        <x:v>New York</x:v>
      </x:c>
      <x:c r="K1976" s="84" t="str">
        <x:f>PROPER(TRIM('Raw Sales'!H1976))</x:f>
        <x:v>Marketplace</x:v>
      </x:c>
      <x:c r="L1976" s="84" t="str">
        <x:f>'Raw Sales'!I1976</x:f>
        <x:v>ELEC-006</x:v>
      </x:c>
      <x:c r="M1976" s="84" t="str">
        <x:f>IFERROR(VLOOKUP(L1976,'Reference Data'!$A$5:$F$40,2,FALSE),"Unknown Product")</x:f>
        <x:v>Portable SSD</x:v>
      </x:c>
      <x:c r="N1976" s="84" t="str">
        <x:f>IFERROR(VLOOKUP(L1976,'Reference Data'!$A$5:$F$40,3,FALSE),"Unknown")</x:f>
        <x:v>Electronics</x:v>
      </x:c>
      <x:c r="O1976" s="84" t="str">
        <x:f>IFERROR(VLOOKUP(L1976,'Reference Data'!$A$5:$F$40,4,FALSE),"Unknown")</x:f>
        <x:v>Storage</x:v>
      </x:c>
      <x:c r="P1976" s="92" t="n">
        <x:f>IFERROR(VLOOKUP(L1976,'Reference Data'!$A$5:$F$40,5,FALSE),0)</x:f>
        <x:v>129</x:v>
      </x:c>
      <x:c r="Q1976" s="92" t="n">
        <x:f>IFERROR(VLOOKUP(L1976,'Reference Data'!$A$5:$F$40,6,FALSE),0)</x:f>
        <x:v>75</x:v>
      </x:c>
      <x:c r="R1976" s="84" t="n">
        <x:f>'Raw Sales'!J1976</x:f>
        <x:v>6</x:v>
      </x:c>
      <x:c r="S1976" s="87" t="n">
        <x:f>'Raw Sales'!K1976</x:f>
        <x:v>0.05</x:v>
      </x:c>
      <x:c r="T1976" s="93" t="n">
        <x:f>P1976*R1976</x:f>
        <x:v>774</x:v>
      </x:c>
      <x:c r="U1976" s="93" t="n">
        <x:f>T1976*S1976</x:f>
        <x:v>38.7</x:v>
      </x:c>
      <x:c r="V1976" s="93" t="str">
        <x:f>PROPER(TRIM('Raw Sales'!L1976))</x:f>
        <x:v>Completed</x:v>
      </x:c>
      <x:c r="W1976" s="93" t="n">
        <x:f>IF(V1976="Returned",0,T1976-U1976)</x:f>
        <x:v>735.3</x:v>
      </x:c>
      <x:c r="X1976" s="93" t="n">
        <x:f>IF(V1976="Returned",Q1976*R1976*10%,Q1976*R1976)</x:f>
        <x:v>450</x:v>
      </x:c>
      <x:c r="Y1976" s="93" t="n">
        <x:f>W1976-X1976</x:f>
        <x:v>285.29999999999995</x:v>
      </x:c>
      <x:c r="Z1976" s="94" t="n">
        <x:f>IFERROR(Y1976/W1976,0)</x:f>
        <x:v>0.38800489596083226</x:v>
      </x:c>
      <x:c r="AA1976" s="84" t="str">
        <x:f>PROPER(TRIM('Raw Sales'!M1976))</x:f>
        <x:v>Credit Card</x:v>
      </x:c>
      <x:c r="AB1976" s="84" t="str">
        <x:f>PROPER(TRIM('Raw Sales'!N1976))</x:f>
        <x:v>Sofia Bennett</x:v>
      </x:c>
      <x:c r="AC1976" s="85" t="n">
        <x:f>'Raw Sales'!O1976</x:f>
        <x:v>45930</x:v>
      </x:c>
      <x:c r="AD1976" s="84" t="n">
        <x:f>AC1976-B1976</x:f>
        <x:v>3</x:v>
      </x:c>
      <x:c r="AE1976" s="84" t="str">
        <x:f>IF(COUNTIF($A$5:A1976,A1976)&gt;1,"Duplicate","Keep")</x:f>
        <x:v>Keep</x:v>
      </x:c>
      <x:c r="AF1976" s="84" t="str">
        <x:f>IF(OR(R1976&lt;=0,AC1976&lt;B1976,H1976="Unknown",M1976="Unknown Product"),"Review","Valid")</x:f>
        <x:v>Valid</x:v>
      </x:c>
      <x:c r="AG1976" s="84" t="n">
        <x:f>IF(AND(AE1976="Keep",AF1976="Valid"),1,0)</x:f>
        <x:v>1</x:v>
      </x:c>
      <x:c r="AH1976" s="84" t="n">
        <x:f>IF(AND(AG1976=1,OR('Dashboard'!$B$4="All",I1976='Dashboard'!$B$4),OR('Dashboard'!$E$4="All",N1976='Dashboard'!$E$4),OR('Dashboard'!$H$4="All",K1976='Dashboard'!$H$4),OR('Dashboard'!$K$4="All",C1976='Dashboard'!$K$4)),1,0)</x:f>
        <x:v>1</x:v>
      </x:c>
      <x:c r="AI1976" s="84" t="n">
        <x:f>IF(AND(AG1976=1,OR('Dashboard'!$B$4="All",I1976='Dashboard'!$B$4),OR('Dashboard'!$E$4="All",N1976='Dashboard'!$E$4),OR('Dashboard'!$H$4="All",K1976='Dashboard'!$H$4)),1,0)</x:f>
        <x:v>1</x:v>
      </x:c>
    </x:row>
    <x:row r="1977">
      <x:c r="A1977" s="84" t="str">
        <x:f>'Raw Sales'!A1977</x:f>
        <x:v>ORD-2025-00021</x:v>
      </x:c>
      <x:c r="B1977" s="85" t="n">
        <x:f>'Raw Sales'!B1977</x:f>
        <x:v>45928</x:v>
      </x:c>
      <x:c r="C1977" s="84" t="n">
        <x:f>YEAR(B1977)</x:f>
        <x:v>2025</x:v>
      </x:c>
      <x:c r="D1977" s="91" t="n">
        <x:f>DATE(YEAR(B1977),MONTH(B1977),1)</x:f>
        <x:v>45901</x:v>
      </x:c>
      <x:c r="E1977" s="84" t="str">
        <x:f>TEXT(B1977,"mmm")</x:f>
        <x:v>Sep</x:v>
      </x:c>
      <x:c r="F1977" s="84" t="str">
        <x:f>'Raw Sales'!C1977</x:f>
        <x:v>CUST-0184</x:v>
      </x:c>
      <x:c r="G1977" s="84" t="str">
        <x:f>PROPER(TRIM('Raw Sales'!D1977))</x:f>
        <x:v>Elena Patel</x:v>
      </x:c>
      <x:c r="H1977" s="84" t="str">
        <x:f>IF(TRIM('Raw Sales'!E1977)="","Unknown",PROPER(TRIM('Raw Sales'!E1977)))</x:f>
        <x:v>Consumer</x:v>
      </x:c>
      <x:c r="I1977" s="84" t="str">
        <x:f>PROPER(TRIM('Raw Sales'!F1977))</x:f>
        <x:v>Southeast</x:v>
      </x:c>
      <x:c r="J1977" s="84" t="str">
        <x:f>PROPER(TRIM('Raw Sales'!G1977))</x:f>
        <x:v>Miami</x:v>
      </x:c>
      <x:c r="K1977" s="84" t="str">
        <x:f>PROPER(TRIM('Raw Sales'!H1977))</x:f>
        <x:v>Online</x:v>
      </x:c>
      <x:c r="L1977" s="84" t="str">
        <x:f>'Raw Sales'!I1977</x:f>
        <x:v>ELEC-006</x:v>
      </x:c>
      <x:c r="M1977" s="84" t="str">
        <x:f>IFERROR(VLOOKUP(L1977,'Reference Data'!$A$5:$F$40,2,FALSE),"Unknown Product")</x:f>
        <x:v>Portable SSD</x:v>
      </x:c>
      <x:c r="N1977" s="84" t="str">
        <x:f>IFERROR(VLOOKUP(L1977,'Reference Data'!$A$5:$F$40,3,FALSE),"Unknown")</x:f>
        <x:v>Electronics</x:v>
      </x:c>
      <x:c r="O1977" s="84" t="str">
        <x:f>IFERROR(VLOOKUP(L1977,'Reference Data'!$A$5:$F$40,4,FALSE),"Unknown")</x:f>
        <x:v>Storage</x:v>
      </x:c>
      <x:c r="P1977" s="92" t="n">
        <x:f>IFERROR(VLOOKUP(L1977,'Reference Data'!$A$5:$F$40,5,FALSE),0)</x:f>
        <x:v>129</x:v>
      </x:c>
      <x:c r="Q1977" s="92" t="n">
        <x:f>IFERROR(VLOOKUP(L1977,'Reference Data'!$A$5:$F$40,6,FALSE),0)</x:f>
        <x:v>75</x:v>
      </x:c>
      <x:c r="R1977" s="84" t="n">
        <x:f>'Raw Sales'!J1977</x:f>
        <x:v>1</x:v>
      </x:c>
      <x:c r="S1977" s="87" t="n">
        <x:f>'Raw Sales'!K1977</x:f>
        <x:v>0.05</x:v>
      </x:c>
      <x:c r="T1977" s="93" t="n">
        <x:f>P1977*R1977</x:f>
        <x:v>129</x:v>
      </x:c>
      <x:c r="U1977" s="93" t="n">
        <x:f>T1977*S1977</x:f>
        <x:v>6.45</x:v>
      </x:c>
      <x:c r="V1977" s="93" t="str">
        <x:f>PROPER(TRIM('Raw Sales'!L1977))</x:f>
        <x:v>Completed</x:v>
      </x:c>
      <x:c r="W1977" s="93" t="n">
        <x:f>IF(V1977="Returned",0,T1977-U1977)</x:f>
        <x:v>122.55</x:v>
      </x:c>
      <x:c r="X1977" s="93" t="n">
        <x:f>IF(V1977="Returned",Q1977*R1977*10%,Q1977*R1977)</x:f>
        <x:v>75</x:v>
      </x:c>
      <x:c r="Y1977" s="93" t="n">
        <x:f>W1977-X1977</x:f>
        <x:v>47.55</x:v>
      </x:c>
      <x:c r="Z1977" s="94" t="n">
        <x:f>IFERROR(Y1977/W1977,0)</x:f>
        <x:v>0.3880048959608323</x:v>
      </x:c>
      <x:c r="AA1977" s="84" t="str">
        <x:f>PROPER(TRIM('Raw Sales'!M1977))</x:f>
        <x:v>Mobile Wallet</x:v>
      </x:c>
      <x:c r="AB1977" s="84" t="str">
        <x:f>PROPER(TRIM('Raw Sales'!N1977))</x:f>
        <x:v>Ava Mitchell</x:v>
      </x:c>
      <x:c r="AC1977" s="85" t="n">
        <x:f>'Raw Sales'!O1977</x:f>
        <x:v>45930</x:v>
      </x:c>
      <x:c r="AD1977" s="84" t="n">
        <x:f>AC1977-B1977</x:f>
        <x:v>2</x:v>
      </x:c>
      <x:c r="AE1977" s="84" t="str">
        <x:f>IF(COUNTIF($A$5:A1977,A1977)&gt;1,"Duplicate","Keep")</x:f>
        <x:v>Keep</x:v>
      </x:c>
      <x:c r="AF1977" s="84" t="str">
        <x:f>IF(OR(R1977&lt;=0,AC1977&lt;B1977,H1977="Unknown",M1977="Unknown Product"),"Review","Valid")</x:f>
        <x:v>Valid</x:v>
      </x:c>
      <x:c r="AG1977" s="84" t="n">
        <x:f>IF(AND(AE1977="Keep",AF1977="Valid"),1,0)</x:f>
        <x:v>1</x:v>
      </x:c>
      <x:c r="AH1977" s="84" t="n">
        <x:f>IF(AND(AG1977=1,OR('Dashboard'!$B$4="All",I1977='Dashboard'!$B$4),OR('Dashboard'!$E$4="All",N1977='Dashboard'!$E$4),OR('Dashboard'!$H$4="All",K1977='Dashboard'!$H$4),OR('Dashboard'!$K$4="All",C1977='Dashboard'!$K$4)),1,0)</x:f>
        <x:v>1</x:v>
      </x:c>
      <x:c r="AI1977" s="84" t="n">
        <x:f>IF(AND(AG1977=1,OR('Dashboard'!$B$4="All",I1977='Dashboard'!$B$4),OR('Dashboard'!$E$4="All",N1977='Dashboard'!$E$4),OR('Dashboard'!$H$4="All",K1977='Dashboard'!$H$4)),1,0)</x:f>
        <x:v>1</x:v>
      </x:c>
    </x:row>
    <x:row r="1978">
      <x:c r="A1978" s="84" t="str">
        <x:f>'Raw Sales'!A1978</x:f>
        <x:v>ORD-2025-00101</x:v>
      </x:c>
      <x:c r="B1978" s="85" t="n">
        <x:f>'Raw Sales'!B1978</x:f>
        <x:v>45928</x:v>
      </x:c>
      <x:c r="C1978" s="84" t="n">
        <x:f>YEAR(B1978)</x:f>
        <x:v>2025</x:v>
      </x:c>
      <x:c r="D1978" s="91" t="n">
        <x:f>DATE(YEAR(B1978),MONTH(B1978),1)</x:f>
        <x:v>45901</x:v>
      </x:c>
      <x:c r="E1978" s="84" t="str">
        <x:f>TEXT(B1978,"mmm")</x:f>
        <x:v>Sep</x:v>
      </x:c>
      <x:c r="F1978" s="84" t="str">
        <x:f>'Raw Sales'!C1978</x:f>
        <x:v>CUST-0345</x:v>
      </x:c>
      <x:c r="G1978" s="84" t="str">
        <x:f>PROPER(TRIM('Raw Sales'!D1978))</x:f>
        <x:v>Samuel Taylor</x:v>
      </x:c>
      <x:c r="H1978" s="84" t="str">
        <x:f>IF(TRIM('Raw Sales'!E1978)="","Unknown",PROPER(TRIM('Raw Sales'!E1978)))</x:f>
        <x:v>Consumer</x:v>
      </x:c>
      <x:c r="I1978" s="84" t="str">
        <x:f>PROPER(TRIM('Raw Sales'!F1978))</x:f>
        <x:v>Southeast</x:v>
      </x:c>
      <x:c r="J1978" s="84" t="str">
        <x:f>PROPER(TRIM('Raw Sales'!G1978))</x:f>
        <x:v>Charlotte</x:v>
      </x:c>
      <x:c r="K1978" s="84" t="str">
        <x:f>PROPER(TRIM('Raw Sales'!H1978))</x:f>
        <x:v>Retail Store</x:v>
      </x:c>
      <x:c r="L1978" s="84" t="str">
        <x:f>'Raw Sales'!I1978</x:f>
        <x:v>ELEC-003</x:v>
      </x:c>
      <x:c r="M1978" s="84" t="str">
        <x:f>IFERROR(VLOOKUP(L1978,'Reference Data'!$A$5:$F$40,2,FALSE),"Unknown Product")</x:f>
        <x:v>Bluetooth Speaker</x:v>
      </x:c>
      <x:c r="N1978" s="84" t="str">
        <x:f>IFERROR(VLOOKUP(L1978,'Reference Data'!$A$5:$F$40,3,FALSE),"Unknown")</x:f>
        <x:v>Electronics</x:v>
      </x:c>
      <x:c r="O1978" s="84" t="str">
        <x:f>IFERROR(VLOOKUP(L1978,'Reference Data'!$A$5:$F$40,4,FALSE),"Unknown")</x:f>
        <x:v>Audio</x:v>
      </x:c>
      <x:c r="P1978" s="92" t="n">
        <x:f>IFERROR(VLOOKUP(L1978,'Reference Data'!$A$5:$F$40,5,FALSE),0)</x:f>
        <x:v>89</x:v>
      </x:c>
      <x:c r="Q1978" s="92" t="n">
        <x:f>IFERROR(VLOOKUP(L1978,'Reference Data'!$A$5:$F$40,6,FALSE),0)</x:f>
        <x:v>44</x:v>
      </x:c>
      <x:c r="R1978" s="84" t="n">
        <x:f>'Raw Sales'!J1978</x:f>
        <x:v>1</x:v>
      </x:c>
      <x:c r="S1978" s="87" t="n">
        <x:f>'Raw Sales'!K1978</x:f>
        <x:v>0.1</x:v>
      </x:c>
      <x:c r="T1978" s="93" t="n">
        <x:f>P1978*R1978</x:f>
        <x:v>89</x:v>
      </x:c>
      <x:c r="U1978" s="93" t="n">
        <x:f>T1978*S1978</x:f>
        <x:v>8.9</x:v>
      </x:c>
      <x:c r="V1978" s="93" t="str">
        <x:f>PROPER(TRIM('Raw Sales'!L1978))</x:f>
        <x:v>Completed</x:v>
      </x:c>
      <x:c r="W1978" s="93" t="n">
        <x:f>IF(V1978="Returned",0,T1978-U1978)</x:f>
        <x:v>80.1</x:v>
      </x:c>
      <x:c r="X1978" s="93" t="n">
        <x:f>IF(V1978="Returned",Q1978*R1978*10%,Q1978*R1978)</x:f>
        <x:v>44</x:v>
      </x:c>
      <x:c r="Y1978" s="93" t="n">
        <x:f>W1978-X1978</x:f>
        <x:v>36.099999999999994</x:v>
      </x:c>
      <x:c r="Z1978" s="94" t="n">
        <x:f>IFERROR(Y1978/W1978,0)</x:f>
        <x:v>0.4506866416978776</x:v>
      </x:c>
      <x:c r="AA1978" s="84" t="str">
        <x:f>PROPER(TRIM('Raw Sales'!M1978))</x:f>
        <x:v>Debit Card</x:v>
      </x:c>
      <x:c r="AB1978" s="84" t="str">
        <x:f>PROPER(TRIM('Raw Sales'!N1978))</x:f>
        <x:v>Noah Reed</x:v>
      </x:c>
      <x:c r="AC1978" s="85" t="n">
        <x:f>'Raw Sales'!O1978</x:f>
        <x:v>45929</x:v>
      </x:c>
      <x:c r="AD1978" s="84" t="n">
        <x:f>AC1978-B1978</x:f>
        <x:v>1</x:v>
      </x:c>
      <x:c r="AE1978" s="84" t="str">
        <x:f>IF(COUNTIF($A$5:A1978,A1978)&gt;1,"Duplicate","Keep")</x:f>
        <x:v>Keep</x:v>
      </x:c>
      <x:c r="AF1978" s="84" t="str">
        <x:f>IF(OR(R1978&lt;=0,AC1978&lt;B1978,H1978="Unknown",M1978="Unknown Product"),"Review","Valid")</x:f>
        <x:v>Valid</x:v>
      </x:c>
      <x:c r="AG1978" s="84" t="n">
        <x:f>IF(AND(AE1978="Keep",AF1978="Valid"),1,0)</x:f>
        <x:v>1</x:v>
      </x:c>
      <x:c r="AH1978" s="84" t="n">
        <x:f>IF(AND(AG1978=1,OR('Dashboard'!$B$4="All",I1978='Dashboard'!$B$4),OR('Dashboard'!$E$4="All",N1978='Dashboard'!$E$4),OR('Dashboard'!$H$4="All",K1978='Dashboard'!$H$4),OR('Dashboard'!$K$4="All",C1978='Dashboard'!$K$4)),1,0)</x:f>
        <x:v>1</x:v>
      </x:c>
      <x:c r="AI1978" s="84" t="n">
        <x:f>IF(AND(AG1978=1,OR('Dashboard'!$B$4="All",I1978='Dashboard'!$B$4),OR('Dashboard'!$E$4="All",N1978='Dashboard'!$E$4),OR('Dashboard'!$H$4="All",K1978='Dashboard'!$H$4)),1,0)</x:f>
        <x:v>1</x:v>
      </x:c>
    </x:row>
    <x:row r="1979">
      <x:c r="A1979" s="84" t="str">
        <x:f>'Raw Sales'!A1979</x:f>
        <x:v>ORD-2025-00267</x:v>
      </x:c>
      <x:c r="B1979" s="85" t="n">
        <x:f>'Raw Sales'!B1979</x:f>
        <x:v>45928</x:v>
      </x:c>
      <x:c r="C1979" s="84" t="n">
        <x:f>YEAR(B1979)</x:f>
        <x:v>2025</x:v>
      </x:c>
      <x:c r="D1979" s="91" t="n">
        <x:f>DATE(YEAR(B1979),MONTH(B1979),1)</x:f>
        <x:v>45901</x:v>
      </x:c>
      <x:c r="E1979" s="84" t="str">
        <x:f>TEXT(B1979,"mmm")</x:f>
        <x:v>Sep</x:v>
      </x:c>
      <x:c r="F1979" s="84" t="str">
        <x:f>'Raw Sales'!C1979</x:f>
        <x:v>CUST-0312</x:v>
      </x:c>
      <x:c r="G1979" s="84" t="str">
        <x:f>PROPER(TRIM('Raw Sales'!D1979))</x:f>
        <x:v>Theo Carter</x:v>
      </x:c>
      <x:c r="H1979" s="84" t="str">
        <x:f>IF(TRIM('Raw Sales'!E1979)="","Unknown",PROPER(TRIM('Raw Sales'!E1979)))</x:f>
        <x:v>Small Business</x:v>
      </x:c>
      <x:c r="I1979" s="84" t="str">
        <x:f>PROPER(TRIM('Raw Sales'!F1979))</x:f>
        <x:v>Southeast</x:v>
      </x:c>
      <x:c r="J1979" s="84" t="str">
        <x:f>PROPER(TRIM('Raw Sales'!G1979))</x:f>
        <x:v>Atlanta</x:v>
      </x:c>
      <x:c r="K1979" s="84" t="str">
        <x:f>PROPER(TRIM('Raw Sales'!H1979))</x:f>
        <x:v>Online</x:v>
      </x:c>
      <x:c r="L1979" s="84" t="str">
        <x:f>'Raw Sales'!I1979</x:f>
        <x:v>OFFC-006</x:v>
      </x:c>
      <x:c r="M1979" s="84" t="str">
        <x:f>IFERROR(VLOOKUP(L1979,'Reference Data'!$A$5:$F$40,2,FALSE),"Unknown Product")</x:f>
        <x:v>Monitor Stand</x:v>
      </x:c>
      <x:c r="N1979" s="84" t="str">
        <x:f>IFERROR(VLOOKUP(L1979,'Reference Data'!$A$5:$F$40,3,FALSE),"Unknown")</x:f>
        <x:v>Office</x:v>
      </x:c>
      <x:c r="O1979" s="84" t="str">
        <x:f>IFERROR(VLOOKUP(L1979,'Reference Data'!$A$5:$F$40,4,FALSE),"Unknown")</x:f>
        <x:v>Desk Accessories</x:v>
      </x:c>
      <x:c r="P1979" s="92" t="n">
        <x:f>IFERROR(VLOOKUP(L1979,'Reference Data'!$A$5:$F$40,5,FALSE),0)</x:f>
        <x:v>49</x:v>
      </x:c>
      <x:c r="Q1979" s="92" t="n">
        <x:f>IFERROR(VLOOKUP(L1979,'Reference Data'!$A$5:$F$40,6,FALSE),0)</x:f>
        <x:v>21</x:v>
      </x:c>
      <x:c r="R1979" s="84" t="n">
        <x:f>'Raw Sales'!J1979</x:f>
        <x:v>4</x:v>
      </x:c>
      <x:c r="S1979" s="87" t="n">
        <x:f>'Raw Sales'!K1979</x:f>
        <x:v>0.05</x:v>
      </x:c>
      <x:c r="T1979" s="93" t="n">
        <x:f>P1979*R1979</x:f>
        <x:v>196</x:v>
      </x:c>
      <x:c r="U1979" s="93" t="n">
        <x:f>T1979*S1979</x:f>
        <x:v>9.8</x:v>
      </x:c>
      <x:c r="V1979" s="93" t="str">
        <x:f>PROPER(TRIM('Raw Sales'!L1979))</x:f>
        <x:v>Completed</x:v>
      </x:c>
      <x:c r="W1979" s="93" t="n">
        <x:f>IF(V1979="Returned",0,T1979-U1979)</x:f>
        <x:v>186.2</x:v>
      </x:c>
      <x:c r="X1979" s="93" t="n">
        <x:f>IF(V1979="Returned",Q1979*R1979*10%,Q1979*R1979)</x:f>
        <x:v>84</x:v>
      </x:c>
      <x:c r="Y1979" s="93" t="n">
        <x:f>W1979-X1979</x:f>
        <x:v>102.19999999999999</x:v>
      </x:c>
      <x:c r="Z1979" s="94" t="n">
        <x:f>IFERROR(Y1979/W1979,0)</x:f>
        <x:v>0.5488721804511278</x:v>
      </x:c>
      <x:c r="AA1979" s="84" t="str">
        <x:f>PROPER(TRIM('Raw Sales'!M1979))</x:f>
        <x:v>Credit Card</x:v>
      </x:c>
      <x:c r="AB1979" s="84" t="str">
        <x:f>PROPER(TRIM('Raw Sales'!N1979))</x:f>
        <x:v>Liam Parker</x:v>
      </x:c>
      <x:c r="AC1979" s="85" t="n">
        <x:f>'Raw Sales'!O1979</x:f>
        <x:v>45933</x:v>
      </x:c>
      <x:c r="AD1979" s="84" t="n">
        <x:f>AC1979-B1979</x:f>
        <x:v>5</x:v>
      </x:c>
      <x:c r="AE1979" s="84" t="str">
        <x:f>IF(COUNTIF($A$5:A1979,A1979)&gt;1,"Duplicate","Keep")</x:f>
        <x:v>Keep</x:v>
      </x:c>
      <x:c r="AF1979" s="84" t="str">
        <x:f>IF(OR(R1979&lt;=0,AC1979&lt;B1979,H1979="Unknown",M1979="Unknown Product"),"Review","Valid")</x:f>
        <x:v>Valid</x:v>
      </x:c>
      <x:c r="AG1979" s="84" t="n">
        <x:f>IF(AND(AE1979="Keep",AF1979="Valid"),1,0)</x:f>
        <x:v>1</x:v>
      </x:c>
      <x:c r="AH1979" s="84" t="n">
        <x:f>IF(AND(AG1979=1,OR('Dashboard'!$B$4="All",I1979='Dashboard'!$B$4),OR('Dashboard'!$E$4="All",N1979='Dashboard'!$E$4),OR('Dashboard'!$H$4="All",K1979='Dashboard'!$H$4),OR('Dashboard'!$K$4="All",C1979='Dashboard'!$K$4)),1,0)</x:f>
        <x:v>1</x:v>
      </x:c>
      <x:c r="AI1979" s="84" t="n">
        <x:f>IF(AND(AG1979=1,OR('Dashboard'!$B$4="All",I1979='Dashboard'!$B$4),OR('Dashboard'!$E$4="All",N1979='Dashboard'!$E$4),OR('Dashboard'!$H$4="All",K1979='Dashboard'!$H$4)),1,0)</x:f>
        <x:v>1</x:v>
      </x:c>
    </x:row>
    <x:row r="1980">
      <x:c r="A1980" s="84" t="str">
        <x:f>'Raw Sales'!A1980</x:f>
        <x:v>ORD-2025-00804</x:v>
      </x:c>
      <x:c r="B1980" s="85" t="n">
        <x:f>'Raw Sales'!B1980</x:f>
        <x:v>45928</x:v>
      </x:c>
      <x:c r="C1980" s="84" t="n">
        <x:f>YEAR(B1980)</x:f>
        <x:v>2025</x:v>
      </x:c>
      <x:c r="D1980" s="91" t="n">
        <x:f>DATE(YEAR(B1980),MONTH(B1980),1)</x:f>
        <x:v>45901</x:v>
      </x:c>
      <x:c r="E1980" s="84" t="str">
        <x:f>TEXT(B1980,"mmm")</x:f>
        <x:v>Sep</x:v>
      </x:c>
      <x:c r="F1980" s="84" t="str">
        <x:f>'Raw Sales'!C1980</x:f>
        <x:v>CUST-0372</x:v>
      </x:c>
      <x:c r="G1980" s="84" t="str">
        <x:f>PROPER(TRIM('Raw Sales'!D1980))</x:f>
        <x:v>Owen Baker</x:v>
      </x:c>
      <x:c r="H1980" s="84" t="str">
        <x:f>IF(TRIM('Raw Sales'!E1980)="","Unknown",PROPER(TRIM('Raw Sales'!E1980)))</x:f>
        <x:v>Small Business</x:v>
      </x:c>
      <x:c r="I1980" s="84" t="str">
        <x:f>PROPER(TRIM('Raw Sales'!F1980))</x:f>
        <x:v>Midwest</x:v>
      </x:c>
      <x:c r="J1980" s="84" t="str">
        <x:f>PROPER(TRIM('Raw Sales'!G1980))</x:f>
        <x:v>Detroit</x:v>
      </x:c>
      <x:c r="K1980" s="84" t="str">
        <x:f>PROPER(TRIM('Raw Sales'!H1980))</x:f>
        <x:v>Marketplace</x:v>
      </x:c>
      <x:c r="L1980" s="84" t="str">
        <x:f>'Raw Sales'!I1980</x:f>
        <x:v>CARE-002</x:v>
      </x:c>
      <x:c r="M1980" s="84" t="str">
        <x:f>IFERROR(VLOOKUP(L1980,'Reference Data'!$A$5:$F$40,2,FALSE),"Unknown Product")</x:f>
        <x:v>Rechargeable Trimmer</x:v>
      </x:c>
      <x:c r="N1980" s="84" t="str">
        <x:f>IFERROR(VLOOKUP(L1980,'Reference Data'!$A$5:$F$40,3,FALSE),"Unknown")</x:f>
        <x:v>Personal Care</x:v>
      </x:c>
      <x:c r="O1980" s="84" t="str">
        <x:f>IFERROR(VLOOKUP(L1980,'Reference Data'!$A$5:$F$40,4,FALSE),"Unknown")</x:f>
        <x:v>Grooming</x:v>
      </x:c>
      <x:c r="P1980" s="92" t="n">
        <x:f>IFERROR(VLOOKUP(L1980,'Reference Data'!$A$5:$F$40,5,FALSE),0)</x:f>
        <x:v>45</x:v>
      </x:c>
      <x:c r="Q1980" s="92" t="n">
        <x:f>IFERROR(VLOOKUP(L1980,'Reference Data'!$A$5:$F$40,6,FALSE),0)</x:f>
        <x:v>19</x:v>
      </x:c>
      <x:c r="R1980" s="84" t="n">
        <x:f>'Raw Sales'!J1980</x:f>
        <x:v>1</x:v>
      </x:c>
      <x:c r="S1980" s="87" t="n">
        <x:f>'Raw Sales'!K1980</x:f>
        <x:v>0.1</x:v>
      </x:c>
      <x:c r="T1980" s="93" t="n">
        <x:f>P1980*R1980</x:f>
        <x:v>45</x:v>
      </x:c>
      <x:c r="U1980" s="93" t="n">
        <x:f>T1980*S1980</x:f>
        <x:v>4.5</x:v>
      </x:c>
      <x:c r="V1980" s="93" t="str">
        <x:f>PROPER(TRIM('Raw Sales'!L1980))</x:f>
        <x:v>Completed</x:v>
      </x:c>
      <x:c r="W1980" s="93" t="n">
        <x:f>IF(V1980="Returned",0,T1980-U1980)</x:f>
        <x:v>40.5</x:v>
      </x:c>
      <x:c r="X1980" s="93" t="n">
        <x:f>IF(V1980="Returned",Q1980*R1980*10%,Q1980*R1980)</x:f>
        <x:v>19</x:v>
      </x:c>
      <x:c r="Y1980" s="93" t="n">
        <x:f>W1980-X1980</x:f>
        <x:v>21.5</x:v>
      </x:c>
      <x:c r="Z1980" s="94" t="n">
        <x:f>IFERROR(Y1980/W1980,0)</x:f>
        <x:v>0.5308641975308642</x:v>
      </x:c>
      <x:c r="AA1980" s="84" t="str">
        <x:f>PROPER(TRIM('Raw Sales'!M1980))</x:f>
        <x:v>Mobile Wallet</x:v>
      </x:c>
      <x:c r="AB1980" s="84" t="str">
        <x:f>PROPER(TRIM('Raw Sales'!N1980))</x:f>
        <x:v>Emma Hayes</x:v>
      </x:c>
      <x:c r="AC1980" s="85" t="n">
        <x:f>'Raw Sales'!O1980</x:f>
        <x:v>45935</x:v>
      </x:c>
      <x:c r="AD1980" s="84" t="n">
        <x:f>AC1980-B1980</x:f>
        <x:v>7</x:v>
      </x:c>
      <x:c r="AE1980" s="84" t="str">
        <x:f>IF(COUNTIF($A$5:A1980,A1980)&gt;1,"Duplicate","Keep")</x:f>
        <x:v>Keep</x:v>
      </x:c>
      <x:c r="AF1980" s="84" t="str">
        <x:f>IF(OR(R1980&lt;=0,AC1980&lt;B1980,H1980="Unknown",M1980="Unknown Product"),"Review","Valid")</x:f>
        <x:v>Valid</x:v>
      </x:c>
      <x:c r="AG1980" s="84" t="n">
        <x:f>IF(AND(AE1980="Keep",AF1980="Valid"),1,0)</x:f>
        <x:v>1</x:v>
      </x:c>
      <x:c r="AH1980" s="84" t="n">
        <x:f>IF(AND(AG1980=1,OR('Dashboard'!$B$4="All",I1980='Dashboard'!$B$4),OR('Dashboard'!$E$4="All",N1980='Dashboard'!$E$4),OR('Dashboard'!$H$4="All",K1980='Dashboard'!$H$4),OR('Dashboard'!$K$4="All",C1980='Dashboard'!$K$4)),1,0)</x:f>
        <x:v>1</x:v>
      </x:c>
      <x:c r="AI1980" s="84" t="n">
        <x:f>IF(AND(AG1980=1,OR('Dashboard'!$B$4="All",I1980='Dashboard'!$B$4),OR('Dashboard'!$E$4="All",N1980='Dashboard'!$E$4),OR('Dashboard'!$H$4="All",K1980='Dashboard'!$H$4)),1,0)</x:f>
        <x:v>1</x:v>
      </x:c>
    </x:row>
    <x:row r="1981">
      <x:c r="A1981" s="84" t="str">
        <x:f>'Raw Sales'!A1981</x:f>
        <x:v>ORD-2025-01011</x:v>
      </x:c>
      <x:c r="B1981" s="85" t="n">
        <x:f>'Raw Sales'!B1981</x:f>
        <x:v>45928</x:v>
      </x:c>
      <x:c r="C1981" s="84" t="n">
        <x:f>YEAR(B1981)</x:f>
        <x:v>2025</x:v>
      </x:c>
      <x:c r="D1981" s="91" t="n">
        <x:f>DATE(YEAR(B1981),MONTH(B1981),1)</x:f>
        <x:v>45901</x:v>
      </x:c>
      <x:c r="E1981" s="84" t="str">
        <x:f>TEXT(B1981,"mmm")</x:f>
        <x:v>Sep</x:v>
      </x:c>
      <x:c r="F1981" s="84" t="str">
        <x:f>'Raw Sales'!C1981</x:f>
        <x:v>CUST-0637</x:v>
      </x:c>
      <x:c r="G1981" s="84" t="str">
        <x:f>PROPER(TRIM('Raw Sales'!D1981))</x:f>
        <x:v>Amelia Adams</x:v>
      </x:c>
      <x:c r="H1981" s="84" t="str">
        <x:f>IF(TRIM('Raw Sales'!E1981)="","Unknown",PROPER(TRIM('Raw Sales'!E1981)))</x:f>
        <x:v>Consumer</x:v>
      </x:c>
      <x:c r="I1981" s="84" t="str">
        <x:f>PROPER(TRIM('Raw Sales'!F1981))</x:f>
        <x:v>Northeast</x:v>
      </x:c>
      <x:c r="J1981" s="84" t="str">
        <x:f>PROPER(TRIM('Raw Sales'!G1981))</x:f>
        <x:v>New York</x:v>
      </x:c>
      <x:c r="K1981" s="84" t="str">
        <x:f>PROPER(TRIM('Raw Sales'!H1981))</x:f>
        <x:v>Online</x:v>
      </x:c>
      <x:c r="L1981" s="84" t="str">
        <x:f>'Raw Sales'!I1981</x:f>
        <x:v>FITN-003</x:v>
      </x:c>
      <x:c r="M1981" s="84" t="str">
        <x:f>IFERROR(VLOOKUP(L1981,'Reference Data'!$A$5:$F$40,2,FALSE),"Unknown Product")</x:f>
        <x:v>Resistance Band Set</x:v>
      </x:c>
      <x:c r="N1981" s="84" t="str">
        <x:f>IFERROR(VLOOKUP(L1981,'Reference Data'!$A$5:$F$40,3,FALSE),"Unknown")</x:f>
        <x:v>Fitness</x:v>
      </x:c>
      <x:c r="O1981" s="84" t="str">
        <x:f>IFERROR(VLOOKUP(L1981,'Reference Data'!$A$5:$F$40,4,FALSE),"Unknown")</x:f>
        <x:v>Strength</x:v>
      </x:c>
      <x:c r="P1981" s="92" t="n">
        <x:f>IFERROR(VLOOKUP(L1981,'Reference Data'!$A$5:$F$40,5,FALSE),0)</x:f>
        <x:v>24</x:v>
      </x:c>
      <x:c r="Q1981" s="92" t="n">
        <x:f>IFERROR(VLOOKUP(L1981,'Reference Data'!$A$5:$F$40,6,FALSE),0)</x:f>
        <x:v>8</x:v>
      </x:c>
      <x:c r="R1981" s="84" t="n">
        <x:f>'Raw Sales'!J1981</x:f>
        <x:v>2</x:v>
      </x:c>
      <x:c r="S1981" s="87" t="n">
        <x:f>'Raw Sales'!K1981</x:f>
        <x:v>0.05</x:v>
      </x:c>
      <x:c r="T1981" s="93" t="n">
        <x:f>P1981*R1981</x:f>
        <x:v>48</x:v>
      </x:c>
      <x:c r="U1981" s="93" t="n">
        <x:f>T1981*S1981</x:f>
        <x:v>2.4000000000000004</x:v>
      </x:c>
      <x:c r="V1981" s="93" t="str">
        <x:f>PROPER(TRIM('Raw Sales'!L1981))</x:f>
        <x:v>Completed</x:v>
      </x:c>
      <x:c r="W1981" s="93" t="n">
        <x:f>IF(V1981="Returned",0,T1981-U1981)</x:f>
        <x:v>45.6</x:v>
      </x:c>
      <x:c r="X1981" s="93" t="n">
        <x:f>IF(V1981="Returned",Q1981*R1981*10%,Q1981*R1981)</x:f>
        <x:v>16</x:v>
      </x:c>
      <x:c r="Y1981" s="93" t="n">
        <x:f>W1981-X1981</x:f>
        <x:v>29.6</x:v>
      </x:c>
      <x:c r="Z1981" s="94" t="n">
        <x:f>IFERROR(Y1981/W1981,0)</x:f>
        <x:v>0.6491228070175439</x:v>
      </x:c>
      <x:c r="AA1981" s="84" t="str">
        <x:f>PROPER(TRIM('Raw Sales'!M1981))</x:f>
        <x:v>Debit Card</x:v>
      </x:c>
      <x:c r="AB1981" s="84" t="str">
        <x:f>PROPER(TRIM('Raw Sales'!N1981))</x:f>
        <x:v>Sofia Bennett</x:v>
      </x:c>
      <x:c r="AC1981" s="85" t="n">
        <x:f>'Raw Sales'!O1981</x:f>
        <x:v>45930</x:v>
      </x:c>
      <x:c r="AD1981" s="84" t="n">
        <x:f>AC1981-B1981</x:f>
        <x:v>2</x:v>
      </x:c>
      <x:c r="AE1981" s="84" t="str">
        <x:f>IF(COUNTIF($A$5:A1981,A1981)&gt;1,"Duplicate","Keep")</x:f>
        <x:v>Keep</x:v>
      </x:c>
      <x:c r="AF1981" s="84" t="str">
        <x:f>IF(OR(R1981&lt;=0,AC1981&lt;B1981,H1981="Unknown",M1981="Unknown Product"),"Review","Valid")</x:f>
        <x:v>Valid</x:v>
      </x:c>
      <x:c r="AG1981" s="84" t="n">
        <x:f>IF(AND(AE1981="Keep",AF1981="Valid"),1,0)</x:f>
        <x:v>1</x:v>
      </x:c>
      <x:c r="AH1981" s="84" t="n">
        <x:f>IF(AND(AG1981=1,OR('Dashboard'!$B$4="All",I1981='Dashboard'!$B$4),OR('Dashboard'!$E$4="All",N1981='Dashboard'!$E$4),OR('Dashboard'!$H$4="All",K1981='Dashboard'!$H$4),OR('Dashboard'!$K$4="All",C1981='Dashboard'!$K$4)),1,0)</x:f>
        <x:v>1</x:v>
      </x:c>
      <x:c r="AI1981" s="84" t="n">
        <x:f>IF(AND(AG1981=1,OR('Dashboard'!$B$4="All",I1981='Dashboard'!$B$4),OR('Dashboard'!$E$4="All",N1981='Dashboard'!$E$4),OR('Dashboard'!$H$4="All",K1981='Dashboard'!$H$4)),1,0)</x:f>
        <x:v>1</x:v>
      </x:c>
    </x:row>
    <x:row r="1982">
      <x:c r="A1982" s="84" t="str">
        <x:f>'Raw Sales'!A1982</x:f>
        <x:v>ORD-2025-01011</x:v>
      </x:c>
      <x:c r="B1982" s="85" t="n">
        <x:f>'Raw Sales'!B1982</x:f>
        <x:v>45928</x:v>
      </x:c>
      <x:c r="C1982" s="84" t="n">
        <x:f>YEAR(B1982)</x:f>
        <x:v>2025</x:v>
      </x:c>
      <x:c r="D1982" s="91" t="n">
        <x:f>DATE(YEAR(B1982),MONTH(B1982),1)</x:f>
        <x:v>45901</x:v>
      </x:c>
      <x:c r="E1982" s="84" t="str">
        <x:f>TEXT(B1982,"mmm")</x:f>
        <x:v>Sep</x:v>
      </x:c>
      <x:c r="F1982" s="84" t="str">
        <x:f>'Raw Sales'!C1982</x:f>
        <x:v>CUST-0637</x:v>
      </x:c>
      <x:c r="G1982" s="84" t="str">
        <x:f>PROPER(TRIM('Raw Sales'!D1982))</x:f>
        <x:v>Amelia Adams</x:v>
      </x:c>
      <x:c r="H1982" s="84" t="str">
        <x:f>IF(TRIM('Raw Sales'!E1982)="","Unknown",PROPER(TRIM('Raw Sales'!E1982)))</x:f>
        <x:v>Consumer</x:v>
      </x:c>
      <x:c r="I1982" s="84" t="str">
        <x:f>PROPER(TRIM('Raw Sales'!F1982))</x:f>
        <x:v>Northeast</x:v>
      </x:c>
      <x:c r="J1982" s="84" t="str">
        <x:f>PROPER(TRIM('Raw Sales'!G1982))</x:f>
        <x:v>New York</x:v>
      </x:c>
      <x:c r="K1982" s="84" t="str">
        <x:f>PROPER(TRIM('Raw Sales'!H1982))</x:f>
        <x:v>Online</x:v>
      </x:c>
      <x:c r="L1982" s="84" t="str">
        <x:f>'Raw Sales'!I1982</x:f>
        <x:v>FITN-003</x:v>
      </x:c>
      <x:c r="M1982" s="84" t="str">
        <x:f>IFERROR(VLOOKUP(L1982,'Reference Data'!$A$5:$F$40,2,FALSE),"Unknown Product")</x:f>
        <x:v>Resistance Band Set</x:v>
      </x:c>
      <x:c r="N1982" s="84" t="str">
        <x:f>IFERROR(VLOOKUP(L1982,'Reference Data'!$A$5:$F$40,3,FALSE),"Unknown")</x:f>
        <x:v>Fitness</x:v>
      </x:c>
      <x:c r="O1982" s="84" t="str">
        <x:f>IFERROR(VLOOKUP(L1982,'Reference Data'!$A$5:$F$40,4,FALSE),"Unknown")</x:f>
        <x:v>Strength</x:v>
      </x:c>
      <x:c r="P1982" s="92" t="n">
        <x:f>IFERROR(VLOOKUP(L1982,'Reference Data'!$A$5:$F$40,5,FALSE),0)</x:f>
        <x:v>24</x:v>
      </x:c>
      <x:c r="Q1982" s="92" t="n">
        <x:f>IFERROR(VLOOKUP(L1982,'Reference Data'!$A$5:$F$40,6,FALSE),0)</x:f>
        <x:v>8</x:v>
      </x:c>
      <x:c r="R1982" s="84" t="n">
        <x:f>'Raw Sales'!J1982</x:f>
        <x:v>2</x:v>
      </x:c>
      <x:c r="S1982" s="87" t="n">
        <x:f>'Raw Sales'!K1982</x:f>
        <x:v>0.05</x:v>
      </x:c>
      <x:c r="T1982" s="93" t="n">
        <x:f>P1982*R1982</x:f>
        <x:v>48</x:v>
      </x:c>
      <x:c r="U1982" s="93" t="n">
        <x:f>T1982*S1982</x:f>
        <x:v>2.4000000000000004</x:v>
      </x:c>
      <x:c r="V1982" s="93" t="str">
        <x:f>PROPER(TRIM('Raw Sales'!L1982))</x:f>
        <x:v>Completed</x:v>
      </x:c>
      <x:c r="W1982" s="93" t="n">
        <x:f>IF(V1982="Returned",0,T1982-U1982)</x:f>
        <x:v>45.6</x:v>
      </x:c>
      <x:c r="X1982" s="93" t="n">
        <x:f>IF(V1982="Returned",Q1982*R1982*10%,Q1982*R1982)</x:f>
        <x:v>16</x:v>
      </x:c>
      <x:c r="Y1982" s="93" t="n">
        <x:f>W1982-X1982</x:f>
        <x:v>29.6</x:v>
      </x:c>
      <x:c r="Z1982" s="94" t="n">
        <x:f>IFERROR(Y1982/W1982,0)</x:f>
        <x:v>0.6491228070175439</x:v>
      </x:c>
      <x:c r="AA1982" s="84" t="str">
        <x:f>PROPER(TRIM('Raw Sales'!M1982))</x:f>
        <x:v>Debit Card</x:v>
      </x:c>
      <x:c r="AB1982" s="84" t="str">
        <x:f>PROPER(TRIM('Raw Sales'!N1982))</x:f>
        <x:v>Sofia Bennett</x:v>
      </x:c>
      <x:c r="AC1982" s="85" t="n">
        <x:f>'Raw Sales'!O1982</x:f>
        <x:v>45930</x:v>
      </x:c>
      <x:c r="AD1982" s="84" t="n">
        <x:f>AC1982-B1982</x:f>
        <x:v>2</x:v>
      </x:c>
      <x:c r="AE1982" s="84" t="str">
        <x:f>IF(COUNTIF($A$5:A1982,A1982)&gt;1,"Duplicate","Keep")</x:f>
        <x:v>Duplicate</x:v>
      </x:c>
      <x:c r="AF1982" s="84" t="str">
        <x:f>IF(OR(R1982&lt;=0,AC1982&lt;B1982,H1982="Unknown",M1982="Unknown Product"),"Review","Valid")</x:f>
        <x:v>Valid</x:v>
      </x:c>
      <x:c r="AG1982" s="84" t="n">
        <x:f>IF(AND(AE1982="Keep",AF1982="Valid"),1,0)</x:f>
        <x:v>0</x:v>
      </x:c>
      <x:c r="AH1982" s="84" t="n">
        <x:f>IF(AND(AG1982=1,OR('Dashboard'!$B$4="All",I1982='Dashboard'!$B$4),OR('Dashboard'!$E$4="All",N1982='Dashboard'!$E$4),OR('Dashboard'!$H$4="All",K1982='Dashboard'!$H$4),OR('Dashboard'!$K$4="All",C1982='Dashboard'!$K$4)),1,0)</x:f>
        <x:v>0</x:v>
      </x:c>
      <x:c r="AI1982" s="84" t="n">
        <x:f>IF(AND(AG1982=1,OR('Dashboard'!$B$4="All",I1982='Dashboard'!$B$4),OR('Dashboard'!$E$4="All",N1982='Dashboard'!$E$4),OR('Dashboard'!$H$4="All",K1982='Dashboard'!$H$4)),1,0)</x:f>
        <x:v>0</x:v>
      </x:c>
    </x:row>
    <x:row r="1983">
      <x:c r="A1983" s="84" t="str">
        <x:f>'Raw Sales'!A1983</x:f>
        <x:v>ORD-2025-01546</x:v>
      </x:c>
      <x:c r="B1983" s="85" t="n">
        <x:f>'Raw Sales'!B1983</x:f>
        <x:v>45928</x:v>
      </x:c>
      <x:c r="C1983" s="84" t="n">
        <x:f>YEAR(B1983)</x:f>
        <x:v>2025</x:v>
      </x:c>
      <x:c r="D1983" s="91" t="n">
        <x:f>DATE(YEAR(B1983),MONTH(B1983),1)</x:f>
        <x:v>45901</x:v>
      </x:c>
      <x:c r="E1983" s="84" t="str">
        <x:f>TEXT(B1983,"mmm")</x:f>
        <x:v>Sep</x:v>
      </x:c>
      <x:c r="F1983" s="84" t="str">
        <x:f>'Raw Sales'!C1983</x:f>
        <x:v>CUST-0508</x:v>
      </x:c>
      <x:c r="G1983" s="84" t="str">
        <x:f>PROPER(TRIM('Raw Sales'!D1983))</x:f>
        <x:v>Nina Smith</x:v>
      </x:c>
      <x:c r="H1983" s="84" t="str">
        <x:f>IF(TRIM('Raw Sales'!E1983)="","Unknown",PROPER(TRIM('Raw Sales'!E1983)))</x:f>
        <x:v>Consumer</x:v>
      </x:c>
      <x:c r="I1983" s="84" t="str">
        <x:f>PROPER(TRIM('Raw Sales'!F1983))</x:f>
        <x:v>West</x:v>
      </x:c>
      <x:c r="J1983" s="84" t="str">
        <x:f>PROPER(TRIM('Raw Sales'!G1983))</x:f>
        <x:v>Denver</x:v>
      </x:c>
      <x:c r="K1983" s="84" t="str">
        <x:f>PROPER(TRIM('Raw Sales'!H1983))</x:f>
        <x:v>Online</x:v>
      </x:c>
      <x:c r="L1983" s="84" t="str">
        <x:f>'Raw Sales'!I1983</x:f>
        <x:v>ELEC-005</x:v>
      </x:c>
      <x:c r="M1983" s="84" t="str">
        <x:f>IFERROR(VLOOKUP(L1983,'Reference Data'!$A$5:$F$40,2,FALSE),"Unknown Product")</x:f>
        <x:v>HD Webcam</x:v>
      </x:c>
      <x:c r="N1983" s="84" t="str">
        <x:f>IFERROR(VLOOKUP(L1983,'Reference Data'!$A$5:$F$40,3,FALSE),"Unknown")</x:f>
        <x:v>Electronics</x:v>
      </x:c>
      <x:c r="O1983" s="84" t="str">
        <x:f>IFERROR(VLOOKUP(L1983,'Reference Data'!$A$5:$F$40,4,FALSE),"Unknown")</x:f>
        <x:v>Computer Accessories</x:v>
      </x:c>
      <x:c r="P1983" s="92" t="n">
        <x:f>IFERROR(VLOOKUP(L1983,'Reference Data'!$A$5:$F$40,5,FALSE),0)</x:f>
        <x:v>79</x:v>
      </x:c>
      <x:c r="Q1983" s="92" t="n">
        <x:f>IFERROR(VLOOKUP(L1983,'Reference Data'!$A$5:$F$40,6,FALSE),0)</x:f>
        <x:v>37</x:v>
      </x:c>
      <x:c r="R1983" s="84" t="n">
        <x:f>'Raw Sales'!J1983</x:f>
        <x:v>3</x:v>
      </x:c>
      <x:c r="S1983" s="87" t="n">
        <x:f>'Raw Sales'!K1983</x:f>
        <x:v>0.05</x:v>
      </x:c>
      <x:c r="T1983" s="93" t="n">
        <x:f>P1983*R1983</x:f>
        <x:v>237</x:v>
      </x:c>
      <x:c r="U1983" s="93" t="n">
        <x:f>T1983*S1983</x:f>
        <x:v>11.850000000000001</x:v>
      </x:c>
      <x:c r="V1983" s="93" t="str">
        <x:f>PROPER(TRIM('Raw Sales'!L1983))</x:f>
        <x:v>Completed</x:v>
      </x:c>
      <x:c r="W1983" s="93" t="n">
        <x:f>IF(V1983="Returned",0,T1983-U1983)</x:f>
        <x:v>225.15</x:v>
      </x:c>
      <x:c r="X1983" s="93" t="n">
        <x:f>IF(V1983="Returned",Q1983*R1983*10%,Q1983*R1983)</x:f>
        <x:v>111</x:v>
      </x:c>
      <x:c r="Y1983" s="93" t="n">
        <x:f>W1983-X1983</x:f>
        <x:v>114.15</x:v>
      </x:c>
      <x:c r="Z1983" s="94" t="n">
        <x:f>IFERROR(Y1983/W1983,0)</x:f>
        <x:v>0.5069953364423717</x:v>
      </x:c>
      <x:c r="AA1983" s="84" t="str">
        <x:f>PROPER(TRIM('Raw Sales'!M1983))</x:f>
        <x:v>Debit Card</x:v>
      </x:c>
      <x:c r="AB1983" s="84" t="str">
        <x:f>PROPER(TRIM('Raw Sales'!N1983))</x:f>
        <x:v>Leo Martinez</x:v>
      </x:c>
      <x:c r="AC1983" s="85" t="n">
        <x:f>'Raw Sales'!O1983</x:f>
        <x:v>45932</x:v>
      </x:c>
      <x:c r="AD1983" s="84" t="n">
        <x:f>AC1983-B1983</x:f>
        <x:v>4</x:v>
      </x:c>
      <x:c r="AE1983" s="84" t="str">
        <x:f>IF(COUNTIF($A$5:A1983,A1983)&gt;1,"Duplicate","Keep")</x:f>
        <x:v>Keep</x:v>
      </x:c>
      <x:c r="AF1983" s="84" t="str">
        <x:f>IF(OR(R1983&lt;=0,AC1983&lt;B1983,H1983="Unknown",M1983="Unknown Product"),"Review","Valid")</x:f>
        <x:v>Valid</x:v>
      </x:c>
      <x:c r="AG1983" s="84" t="n">
        <x:f>IF(AND(AE1983="Keep",AF1983="Valid"),1,0)</x:f>
        <x:v>1</x:v>
      </x:c>
      <x:c r="AH1983" s="84" t="n">
        <x:f>IF(AND(AG1983=1,OR('Dashboard'!$B$4="All",I1983='Dashboard'!$B$4),OR('Dashboard'!$E$4="All",N1983='Dashboard'!$E$4),OR('Dashboard'!$H$4="All",K1983='Dashboard'!$H$4),OR('Dashboard'!$K$4="All",C1983='Dashboard'!$K$4)),1,0)</x:f>
        <x:v>1</x:v>
      </x:c>
      <x:c r="AI1983" s="84" t="n">
        <x:f>IF(AND(AG1983=1,OR('Dashboard'!$B$4="All",I1983='Dashboard'!$B$4),OR('Dashboard'!$E$4="All",N1983='Dashboard'!$E$4),OR('Dashboard'!$H$4="All",K1983='Dashboard'!$H$4)),1,0)</x:f>
        <x:v>1</x:v>
      </x:c>
    </x:row>
    <x:row r="1984">
      <x:c r="A1984" s="84" t="str">
        <x:f>'Raw Sales'!A1984</x:f>
        <x:v>ORD-2025-01548</x:v>
      </x:c>
      <x:c r="B1984" s="85" t="n">
        <x:f>'Raw Sales'!B1984</x:f>
        <x:v>45928</x:v>
      </x:c>
      <x:c r="C1984" s="84" t="n">
        <x:f>YEAR(B1984)</x:f>
        <x:v>2025</x:v>
      </x:c>
      <x:c r="D1984" s="91" t="n">
        <x:f>DATE(YEAR(B1984),MONTH(B1984),1)</x:f>
        <x:v>45901</x:v>
      </x:c>
      <x:c r="E1984" s="84" t="str">
        <x:f>TEXT(B1984,"mmm")</x:f>
        <x:v>Sep</x:v>
      </x:c>
      <x:c r="F1984" s="84" t="str">
        <x:f>'Raw Sales'!C1984</x:f>
        <x:v>CUST-0232</x:v>
      </x:c>
      <x:c r="G1984" s="84" t="str">
        <x:f>PROPER(TRIM('Raw Sales'!D1984))</x:f>
        <x:v>Layla Smith</x:v>
      </x:c>
      <x:c r="H1984" s="84" t="str">
        <x:f>IF(TRIM('Raw Sales'!E1984)="","Unknown",PROPER(TRIM('Raw Sales'!E1984)))</x:f>
        <x:v>Consumer</x:v>
      </x:c>
      <x:c r="I1984" s="84" t="str">
        <x:f>PROPER(TRIM('Raw Sales'!F1984))</x:f>
        <x:v>Southeast</x:v>
      </x:c>
      <x:c r="J1984" s="84" t="str">
        <x:f>PROPER(TRIM('Raw Sales'!G1984))</x:f>
        <x:v>Atlanta</x:v>
      </x:c>
      <x:c r="K1984" s="84" t="str">
        <x:f>PROPER(TRIM('Raw Sales'!H1984))</x:f>
        <x:v>Online</x:v>
      </x:c>
      <x:c r="L1984" s="84" t="str">
        <x:f>'Raw Sales'!I1984</x:f>
        <x:v>OFFC-002</x:v>
      </x:c>
      <x:c r="M1984" s="84" t="str">
        <x:f>IFERROR(VLOOKUP(L1984,'Reference Data'!$A$5:$F$40,2,FALSE),"Unknown Product")</x:f>
        <x:v>Standing Desk</x:v>
      </x:c>
      <x:c r="N1984" s="84" t="str">
        <x:f>IFERROR(VLOOKUP(L1984,'Reference Data'!$A$5:$F$40,3,FALSE),"Unknown")</x:f>
        <x:v>Office</x:v>
      </x:c>
      <x:c r="O1984" s="84" t="str">
        <x:f>IFERROR(VLOOKUP(L1984,'Reference Data'!$A$5:$F$40,4,FALSE),"Unknown")</x:f>
        <x:v>Furniture</x:v>
      </x:c>
      <x:c r="P1984" s="92" t="n">
        <x:f>IFERROR(VLOOKUP(L1984,'Reference Data'!$A$5:$F$40,5,FALSE),0)</x:f>
        <x:v>399</x:v>
      </x:c>
      <x:c r="Q1984" s="92" t="n">
        <x:f>IFERROR(VLOOKUP(L1984,'Reference Data'!$A$5:$F$40,6,FALSE),0)</x:f>
        <x:v>235</x:v>
      </x:c>
      <x:c r="R1984" s="84" t="n">
        <x:f>'Raw Sales'!J1984</x:f>
        <x:v>2</x:v>
      </x:c>
      <x:c r="S1984" s="87" t="n">
        <x:f>'Raw Sales'!K1984</x:f>
        <x:v>0</x:v>
      </x:c>
      <x:c r="T1984" s="93" t="n">
        <x:f>P1984*R1984</x:f>
        <x:v>798</x:v>
      </x:c>
      <x:c r="U1984" s="93" t="n">
        <x:f>T1984*S1984</x:f>
        <x:v>0</x:v>
      </x:c>
      <x:c r="V1984" s="93" t="str">
        <x:f>PROPER(TRIM('Raw Sales'!L1984))</x:f>
        <x:v>Returned</x:v>
      </x:c>
      <x:c r="W1984" s="93" t="n">
        <x:f>IF(V1984="Returned",0,T1984-U1984)</x:f>
        <x:v>0</x:v>
      </x:c>
      <x:c r="X1984" s="93" t="n">
        <x:f>IF(V1984="Returned",Q1984*R1984*10%,Q1984*R1984)</x:f>
        <x:v>47</x:v>
      </x:c>
      <x:c r="Y1984" s="93" t="n">
        <x:f>W1984-X1984</x:f>
        <x:v>-47</x:v>
      </x:c>
      <x:c r="Z1984" s="94" t="n">
        <x:f>IFERROR(Y1984/W1984,0)</x:f>
        <x:v>0</x:v>
      </x:c>
      <x:c r="AA1984" s="84" t="str">
        <x:f>PROPER(TRIM('Raw Sales'!M1984))</x:f>
        <x:v>Credit Card</x:v>
      </x:c>
      <x:c r="AB1984" s="84" t="str">
        <x:f>PROPER(TRIM('Raw Sales'!N1984))</x:f>
        <x:v>Liam Parker</x:v>
      </x:c>
      <x:c r="AC1984" s="85" t="n">
        <x:f>'Raw Sales'!O1984</x:f>
        <x:v>45933</x:v>
      </x:c>
      <x:c r="AD1984" s="84" t="n">
        <x:f>AC1984-B1984</x:f>
        <x:v>5</x:v>
      </x:c>
      <x:c r="AE1984" s="84" t="str">
        <x:f>IF(COUNTIF($A$5:A1984,A1984)&gt;1,"Duplicate","Keep")</x:f>
        <x:v>Keep</x:v>
      </x:c>
      <x:c r="AF1984" s="84" t="str">
        <x:f>IF(OR(R1984&lt;=0,AC1984&lt;B1984,H1984="Unknown",M1984="Unknown Product"),"Review","Valid")</x:f>
        <x:v>Valid</x:v>
      </x:c>
      <x:c r="AG1984" s="84" t="n">
        <x:f>IF(AND(AE1984="Keep",AF1984="Valid"),1,0)</x:f>
        <x:v>1</x:v>
      </x:c>
      <x:c r="AH1984" s="84" t="n">
        <x:f>IF(AND(AG1984=1,OR('Dashboard'!$B$4="All",I1984='Dashboard'!$B$4),OR('Dashboard'!$E$4="All",N1984='Dashboard'!$E$4),OR('Dashboard'!$H$4="All",K1984='Dashboard'!$H$4),OR('Dashboard'!$K$4="All",C1984='Dashboard'!$K$4)),1,0)</x:f>
        <x:v>1</x:v>
      </x:c>
      <x:c r="AI1984" s="84" t="n">
        <x:f>IF(AND(AG1984=1,OR('Dashboard'!$B$4="All",I1984='Dashboard'!$B$4),OR('Dashboard'!$E$4="All",N1984='Dashboard'!$E$4),OR('Dashboard'!$H$4="All",K1984='Dashboard'!$H$4)),1,0)</x:f>
        <x:v>1</x:v>
      </x:c>
    </x:row>
    <x:row r="1985">
      <x:c r="A1985" s="84" t="str">
        <x:f>'Raw Sales'!A1985</x:f>
        <x:v>ORD-2025-00263</x:v>
      </x:c>
      <x:c r="B1985" s="85" t="n">
        <x:f>'Raw Sales'!B1985</x:f>
        <x:v>45929</x:v>
      </x:c>
      <x:c r="C1985" s="84" t="n">
        <x:f>YEAR(B1985)</x:f>
        <x:v>2025</x:v>
      </x:c>
      <x:c r="D1985" s="91" t="n">
        <x:f>DATE(YEAR(B1985),MONTH(B1985),1)</x:f>
        <x:v>45901</x:v>
      </x:c>
      <x:c r="E1985" s="84" t="str">
        <x:f>TEXT(B1985,"mmm")</x:f>
        <x:v>Sep</x:v>
      </x:c>
      <x:c r="F1985" s="84" t="str">
        <x:f>'Raw Sales'!C1985</x:f>
        <x:v>CUST-0525</x:v>
      </x:c>
      <x:c r="G1985" s="84" t="str">
        <x:f>PROPER(TRIM('Raw Sales'!D1985))</x:f>
        <x:v>Daniel Carter</x:v>
      </x:c>
      <x:c r="H1985" s="84" t="str">
        <x:f>IF(TRIM('Raw Sales'!E1985)="","Unknown",PROPER(TRIM('Raw Sales'!E1985)))</x:f>
        <x:v>Small Business</x:v>
      </x:c>
      <x:c r="I1985" s="84" t="str">
        <x:f>PROPER(TRIM('Raw Sales'!F1985))</x:f>
        <x:v>Midwest</x:v>
      </x:c>
      <x:c r="J1985" s="84" t="str">
        <x:f>PROPER(TRIM('Raw Sales'!G1985))</x:f>
        <x:v>Columbus</x:v>
      </x:c>
      <x:c r="K1985" s="84" t="str">
        <x:f>PROPER(TRIM('Raw Sales'!H1985))</x:f>
        <x:v>Marketplace</x:v>
      </x:c>
      <x:c r="L1985" s="84" t="str">
        <x:f>'Raw Sales'!I1985</x:f>
        <x:v>CARE-004</x:v>
      </x:c>
      <x:c r="M1985" s="84" t="str">
        <x:f>IFERROR(VLOOKUP(L1985,'Reference Data'!$A$5:$F$40,2,FALSE),"Unknown Product")</x:f>
        <x:v>Electric Toothbrush</x:v>
      </x:c>
      <x:c r="N1985" s="84" t="str">
        <x:f>IFERROR(VLOOKUP(L1985,'Reference Data'!$A$5:$F$40,3,FALSE),"Unknown")</x:f>
        <x:v>Personal Care</x:v>
      </x:c>
      <x:c r="O1985" s="84" t="str">
        <x:f>IFERROR(VLOOKUP(L1985,'Reference Data'!$A$5:$F$40,4,FALSE),"Unknown")</x:f>
        <x:v>Oral Care</x:v>
      </x:c>
      <x:c r="P1985" s="92" t="n">
        <x:f>IFERROR(VLOOKUP(L1985,'Reference Data'!$A$5:$F$40,5,FALSE),0)</x:f>
        <x:v>69</x:v>
      </x:c>
      <x:c r="Q1985" s="92" t="n">
        <x:f>IFERROR(VLOOKUP(L1985,'Reference Data'!$A$5:$F$40,6,FALSE),0)</x:f>
        <x:v>31</x:v>
      </x:c>
      <x:c r="R1985" s="84" t="n">
        <x:f>'Raw Sales'!J1985</x:f>
        <x:v>2</x:v>
      </x:c>
      <x:c r="S1985" s="87" t="n">
        <x:f>'Raw Sales'!K1985</x:f>
        <x:v>0</x:v>
      </x:c>
      <x:c r="T1985" s="93" t="n">
        <x:f>P1985*R1985</x:f>
        <x:v>138</x:v>
      </x:c>
      <x:c r="U1985" s="93" t="n">
        <x:f>T1985*S1985</x:f>
        <x:v>0</x:v>
      </x:c>
      <x:c r="V1985" s="93" t="str">
        <x:f>PROPER(TRIM('Raw Sales'!L1985))</x:f>
        <x:v>Completed</x:v>
      </x:c>
      <x:c r="W1985" s="93" t="n">
        <x:f>IF(V1985="Returned",0,T1985-U1985)</x:f>
        <x:v>138</x:v>
      </x:c>
      <x:c r="X1985" s="93" t="n">
        <x:f>IF(V1985="Returned",Q1985*R1985*10%,Q1985*R1985)</x:f>
        <x:v>62</x:v>
      </x:c>
      <x:c r="Y1985" s="93" t="n">
        <x:f>W1985-X1985</x:f>
        <x:v>76</x:v>
      </x:c>
      <x:c r="Z1985" s="94" t="n">
        <x:f>IFERROR(Y1985/W1985,0)</x:f>
        <x:v>0.5507246376811594</x:v>
      </x:c>
      <x:c r="AA1985" s="84" t="str">
        <x:f>PROPER(TRIM('Raw Sales'!M1985))</x:f>
        <x:v>Debit Card</x:v>
      </x:c>
      <x:c r="AB1985" s="84" t="str">
        <x:f>PROPER(TRIM('Raw Sales'!N1985))</x:f>
        <x:v>Lucas Grant</x:v>
      </x:c>
      <x:c r="AC1985" s="85" t="n">
        <x:f>'Raw Sales'!O1985</x:f>
        <x:v>45937</x:v>
      </x:c>
      <x:c r="AD1985" s="84" t="n">
        <x:f>AC1985-B1985</x:f>
        <x:v>8</x:v>
      </x:c>
      <x:c r="AE1985" s="84" t="str">
        <x:f>IF(COUNTIF($A$5:A1985,A1985)&gt;1,"Duplicate","Keep")</x:f>
        <x:v>Keep</x:v>
      </x:c>
      <x:c r="AF1985" s="84" t="str">
        <x:f>IF(OR(R1985&lt;=0,AC1985&lt;B1985,H1985="Unknown",M1985="Unknown Product"),"Review","Valid")</x:f>
        <x:v>Valid</x:v>
      </x:c>
      <x:c r="AG1985" s="84" t="n">
        <x:f>IF(AND(AE1985="Keep",AF1985="Valid"),1,0)</x:f>
        <x:v>1</x:v>
      </x:c>
      <x:c r="AH1985" s="84" t="n">
        <x:f>IF(AND(AG1985=1,OR('Dashboard'!$B$4="All",I1985='Dashboard'!$B$4),OR('Dashboard'!$E$4="All",N1985='Dashboard'!$E$4),OR('Dashboard'!$H$4="All",K1985='Dashboard'!$H$4),OR('Dashboard'!$K$4="All",C1985='Dashboard'!$K$4)),1,0)</x:f>
        <x:v>1</x:v>
      </x:c>
      <x:c r="AI1985" s="84" t="n">
        <x:f>IF(AND(AG1985=1,OR('Dashboard'!$B$4="All",I1985='Dashboard'!$B$4),OR('Dashboard'!$E$4="All",N1985='Dashboard'!$E$4),OR('Dashboard'!$H$4="All",K1985='Dashboard'!$H$4)),1,0)</x:f>
        <x:v>1</x:v>
      </x:c>
    </x:row>
    <x:row r="1986">
      <x:c r="A1986" s="84" t="str">
        <x:f>'Raw Sales'!A1986</x:f>
        <x:v>ORD-2025-01121</x:v>
      </x:c>
      <x:c r="B1986" s="85" t="n">
        <x:f>'Raw Sales'!B1986</x:f>
        <x:v>45929</x:v>
      </x:c>
      <x:c r="C1986" s="84" t="n">
        <x:f>YEAR(B1986)</x:f>
        <x:v>2025</x:v>
      </x:c>
      <x:c r="D1986" s="91" t="n">
        <x:f>DATE(YEAR(B1986),MONTH(B1986),1)</x:f>
        <x:v>45901</x:v>
      </x:c>
      <x:c r="E1986" s="84" t="str">
        <x:f>TEXT(B1986,"mmm")</x:f>
        <x:v>Sep</x:v>
      </x:c>
      <x:c r="F1986" s="84" t="str">
        <x:f>'Raw Sales'!C1986</x:f>
        <x:v>CUST-0326</x:v>
      </x:c>
      <x:c r="G1986" s="84" t="str">
        <x:f>PROPER(TRIM('Raw Sales'!D1986))</x:f>
        <x:v>Marcus Quinn</x:v>
      </x:c>
      <x:c r="H1986" s="84" t="str">
        <x:f>IF(TRIM('Raw Sales'!E1986)="","Unknown",PROPER(TRIM('Raw Sales'!E1986)))</x:f>
        <x:v>Corporate</x:v>
      </x:c>
      <x:c r="I1986" s="84" t="str">
        <x:f>PROPER(TRIM('Raw Sales'!F1986))</x:f>
        <x:v>Southeast</x:v>
      </x:c>
      <x:c r="J1986" s="84" t="str">
        <x:f>PROPER(TRIM('Raw Sales'!G1986))</x:f>
        <x:v>Nashville</x:v>
      </x:c>
      <x:c r="K1986" s="84" t="str">
        <x:f>PROPER(TRIM('Raw Sales'!H1986))</x:f>
        <x:v>Online</x:v>
      </x:c>
      <x:c r="L1986" s="84" t="str">
        <x:f>'Raw Sales'!I1986</x:f>
        <x:v>ACCS-002</x:v>
      </x:c>
      <x:c r="M1986" s="84" t="str">
        <x:f>IFERROR(VLOOKUP(L1986,'Reference Data'!$A$5:$F$40,2,FALSE),"Unknown Product")</x:f>
        <x:v>Travel Backpack</x:v>
      </x:c>
      <x:c r="N1986" s="84" t="str">
        <x:f>IFERROR(VLOOKUP(L1986,'Reference Data'!$A$5:$F$40,3,FALSE),"Unknown")</x:f>
        <x:v>Accessories</x:v>
      </x:c>
      <x:c r="O1986" s="84" t="str">
        <x:f>IFERROR(VLOOKUP(L1986,'Reference Data'!$A$5:$F$40,4,FALSE),"Unknown")</x:f>
        <x:v>Bags</x:v>
      </x:c>
      <x:c r="P1986" s="92" t="n">
        <x:f>IFERROR(VLOOKUP(L1986,'Reference Data'!$A$5:$F$40,5,FALSE),0)</x:f>
        <x:v>89</x:v>
      </x:c>
      <x:c r="Q1986" s="92" t="n">
        <x:f>IFERROR(VLOOKUP(L1986,'Reference Data'!$A$5:$F$40,6,FALSE),0)</x:f>
        <x:v>36</x:v>
      </x:c>
      <x:c r="R1986" s="84" t="n">
        <x:f>'Raw Sales'!J1986</x:f>
        <x:v>5</x:v>
      </x:c>
      <x:c r="S1986" s="87" t="n">
        <x:f>'Raw Sales'!K1986</x:f>
        <x:v>0</x:v>
      </x:c>
      <x:c r="T1986" s="93" t="n">
        <x:f>P1986*R1986</x:f>
        <x:v>445</x:v>
      </x:c>
      <x:c r="U1986" s="93" t="n">
        <x:f>T1986*S1986</x:f>
        <x:v>0</x:v>
      </x:c>
      <x:c r="V1986" s="93" t="str">
        <x:f>PROPER(TRIM('Raw Sales'!L1986))</x:f>
        <x:v>Completed</x:v>
      </x:c>
      <x:c r="W1986" s="93" t="n">
        <x:f>IF(V1986="Returned",0,T1986-U1986)</x:f>
        <x:v>445</x:v>
      </x:c>
      <x:c r="X1986" s="93" t="n">
        <x:f>IF(V1986="Returned",Q1986*R1986*10%,Q1986*R1986)</x:f>
        <x:v>180</x:v>
      </x:c>
      <x:c r="Y1986" s="93" t="n">
        <x:f>W1986-X1986</x:f>
        <x:v>265</x:v>
      </x:c>
      <x:c r="Z1986" s="94" t="n">
        <x:f>IFERROR(Y1986/W1986,0)</x:f>
        <x:v>0.5955056179775281</x:v>
      </x:c>
      <x:c r="AA1986" s="84" t="str">
        <x:f>PROPER(TRIM('Raw Sales'!M1986))</x:f>
        <x:v>Debit Card</x:v>
      </x:c>
      <x:c r="AB1986" s="84" t="str">
        <x:f>PROPER(TRIM('Raw Sales'!N1986))</x:f>
        <x:v>Ava Mitchell</x:v>
      </x:c>
      <x:c r="AC1986" s="85" t="n">
        <x:f>'Raw Sales'!O1986</x:f>
        <x:v>45933</x:v>
      </x:c>
      <x:c r="AD1986" s="84" t="n">
        <x:f>AC1986-B1986</x:f>
        <x:v>4</x:v>
      </x:c>
      <x:c r="AE1986" s="84" t="str">
        <x:f>IF(COUNTIF($A$5:A1986,A1986)&gt;1,"Duplicate","Keep")</x:f>
        <x:v>Keep</x:v>
      </x:c>
      <x:c r="AF1986" s="84" t="str">
        <x:f>IF(OR(R1986&lt;=0,AC1986&lt;B1986,H1986="Unknown",M1986="Unknown Product"),"Review","Valid")</x:f>
        <x:v>Valid</x:v>
      </x:c>
      <x:c r="AG1986" s="84" t="n">
        <x:f>IF(AND(AE1986="Keep",AF1986="Valid"),1,0)</x:f>
        <x:v>1</x:v>
      </x:c>
      <x:c r="AH1986" s="84" t="n">
        <x:f>IF(AND(AG1986=1,OR('Dashboard'!$B$4="All",I1986='Dashboard'!$B$4),OR('Dashboard'!$E$4="All",N1986='Dashboard'!$E$4),OR('Dashboard'!$H$4="All",K1986='Dashboard'!$H$4),OR('Dashboard'!$K$4="All",C1986='Dashboard'!$K$4)),1,0)</x:f>
        <x:v>1</x:v>
      </x:c>
      <x:c r="AI1986" s="84" t="n">
        <x:f>IF(AND(AG1986=1,OR('Dashboard'!$B$4="All",I1986='Dashboard'!$B$4),OR('Dashboard'!$E$4="All",N1986='Dashboard'!$E$4),OR('Dashboard'!$H$4="All",K1986='Dashboard'!$H$4)),1,0)</x:f>
        <x:v>1</x:v>
      </x:c>
    </x:row>
    <x:row r="1987">
      <x:c r="A1987" s="84" t="str">
        <x:f>'Raw Sales'!A1987</x:f>
        <x:v>ORD-2025-01471</x:v>
      </x:c>
      <x:c r="B1987" s="85" t="n">
        <x:f>'Raw Sales'!B1987</x:f>
        <x:v>45929</x:v>
      </x:c>
      <x:c r="C1987" s="84" t="n">
        <x:f>YEAR(B1987)</x:f>
        <x:v>2025</x:v>
      </x:c>
      <x:c r="D1987" s="91" t="n">
        <x:f>DATE(YEAR(B1987),MONTH(B1987),1)</x:f>
        <x:v>45901</x:v>
      </x:c>
      <x:c r="E1987" s="84" t="str">
        <x:f>TEXT(B1987,"mmm")</x:f>
        <x:v>Sep</x:v>
      </x:c>
      <x:c r="F1987" s="84" t="str">
        <x:f>'Raw Sales'!C1987</x:f>
        <x:v>CUST-0479</x:v>
      </x:c>
      <x:c r="G1987" s="84" t="str">
        <x:f>PROPER(TRIM('Raw Sales'!D1987))</x:f>
        <x:v>Zara Taylor</x:v>
      </x:c>
      <x:c r="H1987" s="84" t="str">
        <x:f>IF(TRIM('Raw Sales'!E1987)="","Unknown",PROPER(TRIM('Raw Sales'!E1987)))</x:f>
        <x:v>Consumer</x:v>
      </x:c>
      <x:c r="I1987" s="84" t="str">
        <x:f>PROPER(TRIM('Raw Sales'!F1987))</x:f>
        <x:v>West</x:v>
      </x:c>
      <x:c r="J1987" s="84" t="str">
        <x:f>PROPER(TRIM('Raw Sales'!G1987))</x:f>
        <x:v>Phoenix</x:v>
      </x:c>
      <x:c r="K1987" s="84" t="str">
        <x:f>PROPER(TRIM('Raw Sales'!H1987))</x:f>
        <x:v>Online</x:v>
      </x:c>
      <x:c r="L1987" s="84" t="str">
        <x:f>'Raw Sales'!I1987</x:f>
        <x:v>HOME-005</x:v>
      </x:c>
      <x:c r="M1987" s="84" t="str">
        <x:f>IFERROR(VLOOKUP(L1987,'Reference Data'!$A$5:$F$40,2,FALSE),"Unknown Product")</x:f>
        <x:v>Cordless Vacuum</x:v>
      </x:c>
      <x:c r="N1987" s="84" t="str">
        <x:f>IFERROR(VLOOKUP(L1987,'Reference Data'!$A$5:$F$40,3,FALSE),"Unknown")</x:f>
        <x:v>Home &amp; Kitchen</x:v>
      </x:c>
      <x:c r="O1987" s="84" t="str">
        <x:f>IFERROR(VLOOKUP(L1987,'Reference Data'!$A$5:$F$40,4,FALSE),"Unknown")</x:f>
        <x:v>Cleaning</x:v>
      </x:c>
      <x:c r="P1987" s="92" t="n">
        <x:f>IFERROR(VLOOKUP(L1987,'Reference Data'!$A$5:$F$40,5,FALSE),0)</x:f>
        <x:v>179</x:v>
      </x:c>
      <x:c r="Q1987" s="92" t="n">
        <x:f>IFERROR(VLOOKUP(L1987,'Reference Data'!$A$5:$F$40,6,FALSE),0)</x:f>
        <x:v>102</x:v>
      </x:c>
      <x:c r="R1987" s="84" t="n">
        <x:f>'Raw Sales'!J1987</x:f>
        <x:v>1</x:v>
      </x:c>
      <x:c r="S1987" s="87" t="n">
        <x:f>'Raw Sales'!K1987</x:f>
        <x:v>0</x:v>
      </x:c>
      <x:c r="T1987" s="93" t="n">
        <x:f>P1987*R1987</x:f>
        <x:v>179</x:v>
      </x:c>
      <x:c r="U1987" s="93" t="n">
        <x:f>T1987*S1987</x:f>
        <x:v>0</x:v>
      </x:c>
      <x:c r="V1987" s="93" t="str">
        <x:f>PROPER(TRIM('Raw Sales'!L1987))</x:f>
        <x:v>Completed</x:v>
      </x:c>
      <x:c r="W1987" s="93" t="n">
        <x:f>IF(V1987="Returned",0,T1987-U1987)</x:f>
        <x:v>179</x:v>
      </x:c>
      <x:c r="X1987" s="93" t="n">
        <x:f>IF(V1987="Returned",Q1987*R1987*10%,Q1987*R1987)</x:f>
        <x:v>102</x:v>
      </x:c>
      <x:c r="Y1987" s="93" t="n">
        <x:f>W1987-X1987</x:f>
        <x:v>77</x:v>
      </x:c>
      <x:c r="Z1987" s="94" t="n">
        <x:f>IFERROR(Y1987/W1987,0)</x:f>
        <x:v>0.4301675977653631</x:v>
      </x:c>
      <x:c r="AA1987" s="84" t="str">
        <x:f>PROPER(TRIM('Raw Sales'!M1987))</x:f>
        <x:v>Debit Card</x:v>
      </x:c>
      <x:c r="AB1987" s="84" t="str">
        <x:f>PROPER(TRIM('Raw Sales'!N1987))</x:f>
        <x:v>Mia Chen</x:v>
      </x:c>
      <x:c r="AC1987" s="85" t="n">
        <x:f>'Raw Sales'!O1987</x:f>
        <x:v>45931</x:v>
      </x:c>
      <x:c r="AD1987" s="84" t="n">
        <x:f>AC1987-B1987</x:f>
        <x:v>2</x:v>
      </x:c>
      <x:c r="AE1987" s="84" t="str">
        <x:f>IF(COUNTIF($A$5:A1987,A1987)&gt;1,"Duplicate","Keep")</x:f>
        <x:v>Keep</x:v>
      </x:c>
      <x:c r="AF1987" s="84" t="str">
        <x:f>IF(OR(R1987&lt;=0,AC1987&lt;B1987,H1987="Unknown",M1987="Unknown Product"),"Review","Valid")</x:f>
        <x:v>Valid</x:v>
      </x:c>
      <x:c r="AG1987" s="84" t="n">
        <x:f>IF(AND(AE1987="Keep",AF1987="Valid"),1,0)</x:f>
        <x:v>1</x:v>
      </x:c>
      <x:c r="AH1987" s="84" t="n">
        <x:f>IF(AND(AG1987=1,OR('Dashboard'!$B$4="All",I1987='Dashboard'!$B$4),OR('Dashboard'!$E$4="All",N1987='Dashboard'!$E$4),OR('Dashboard'!$H$4="All",K1987='Dashboard'!$H$4),OR('Dashboard'!$K$4="All",C1987='Dashboard'!$K$4)),1,0)</x:f>
        <x:v>1</x:v>
      </x:c>
      <x:c r="AI1987" s="84" t="n">
        <x:f>IF(AND(AG1987=1,OR('Dashboard'!$B$4="All",I1987='Dashboard'!$B$4),OR('Dashboard'!$E$4="All",N1987='Dashboard'!$E$4),OR('Dashboard'!$H$4="All",K1987='Dashboard'!$H$4)),1,0)</x:f>
        <x:v>1</x:v>
      </x:c>
    </x:row>
    <x:row r="1988">
      <x:c r="A1988" s="84" t="str">
        <x:f>'Raw Sales'!A1988</x:f>
        <x:v>ORD-2025-01230</x:v>
      </x:c>
      <x:c r="B1988" s="85" t="n">
        <x:f>'Raw Sales'!B1988</x:f>
        <x:v>45930</x:v>
      </x:c>
      <x:c r="C1988" s="84" t="n">
        <x:f>YEAR(B1988)</x:f>
        <x:v>2025</x:v>
      </x:c>
      <x:c r="D1988" s="91" t="n">
        <x:f>DATE(YEAR(B1988),MONTH(B1988),1)</x:f>
        <x:v>45901</x:v>
      </x:c>
      <x:c r="E1988" s="84" t="str">
        <x:f>TEXT(B1988,"mmm")</x:f>
        <x:v>Sep</x:v>
      </x:c>
      <x:c r="F1988" s="84" t="str">
        <x:f>'Raw Sales'!C1988</x:f>
        <x:v>CUST-0240</x:v>
      </x:c>
      <x:c r="G1988" s="84" t="str">
        <x:f>PROPER(TRIM('Raw Sales'!D1988))</x:f>
        <x:v>Elena Garcia</x:v>
      </x:c>
      <x:c r="H1988" s="84" t="str">
        <x:f>IF(TRIM('Raw Sales'!E1988)="","Unknown",PROPER(TRIM('Raw Sales'!E1988)))</x:f>
        <x:v>Consumer</x:v>
      </x:c>
      <x:c r="I1988" s="84" t="str">
        <x:f>PROPER(TRIM('Raw Sales'!F1988))</x:f>
        <x:v>Midwest</x:v>
      </x:c>
      <x:c r="J1988" s="84" t="str">
        <x:f>PROPER(TRIM('Raw Sales'!G1988))</x:f>
        <x:v>Detroit</x:v>
      </x:c>
      <x:c r="K1988" s="84" t="str">
        <x:f>PROPER(TRIM('Raw Sales'!H1988))</x:f>
        <x:v>Marketplace</x:v>
      </x:c>
      <x:c r="L1988" s="84" t="str">
        <x:f>'Raw Sales'!I1988</x:f>
        <x:v>ACCS-003</x:v>
      </x:c>
      <x:c r="M1988" s="84" t="str">
        <x:f>IFERROR(VLOOKUP(L1988,'Reference Data'!$A$5:$F$40,2,FALSE),"Unknown Product")</x:f>
        <x:v>Polarized Sunglasses</x:v>
      </x:c>
      <x:c r="N1988" s="84" t="str">
        <x:f>IFERROR(VLOOKUP(L1988,'Reference Data'!$A$5:$F$40,3,FALSE),"Unknown")</x:f>
        <x:v>Accessories</x:v>
      </x:c>
      <x:c r="O1988" s="84" t="str">
        <x:f>IFERROR(VLOOKUP(L1988,'Reference Data'!$A$5:$F$40,4,FALSE),"Unknown")</x:f>
        <x:v>Eyewear</x:v>
      </x:c>
      <x:c r="P1988" s="92" t="n">
        <x:f>IFERROR(VLOOKUP(L1988,'Reference Data'!$A$5:$F$40,5,FALSE),0)</x:f>
        <x:v>59</x:v>
      </x:c>
      <x:c r="Q1988" s="92" t="n">
        <x:f>IFERROR(VLOOKUP(L1988,'Reference Data'!$A$5:$F$40,6,FALSE),0)</x:f>
        <x:v>17</x:v>
      </x:c>
      <x:c r="R1988" s="84" t="n">
        <x:f>'Raw Sales'!J1988</x:f>
        <x:v>1</x:v>
      </x:c>
      <x:c r="S1988" s="87" t="n">
        <x:f>'Raw Sales'!K1988</x:f>
        <x:v>0.1</x:v>
      </x:c>
      <x:c r="T1988" s="93" t="n">
        <x:f>P1988*R1988</x:f>
        <x:v>59</x:v>
      </x:c>
      <x:c r="U1988" s="93" t="n">
        <x:f>T1988*S1988</x:f>
        <x:v>5.9</x:v>
      </x:c>
      <x:c r="V1988" s="93" t="str">
        <x:f>PROPER(TRIM('Raw Sales'!L1988))</x:f>
        <x:v>Returned</x:v>
      </x:c>
      <x:c r="W1988" s="93" t="n">
        <x:f>IF(V1988="Returned",0,T1988-U1988)</x:f>
        <x:v>0</x:v>
      </x:c>
      <x:c r="X1988" s="93" t="n">
        <x:f>IF(V1988="Returned",Q1988*R1988*10%,Q1988*R1988)</x:f>
        <x:v>1.7000000000000002</x:v>
      </x:c>
      <x:c r="Y1988" s="93" t="n">
        <x:f>W1988-X1988</x:f>
        <x:v>-1.7000000000000002</x:v>
      </x:c>
      <x:c r="Z1988" s="94" t="n">
        <x:f>IFERROR(Y1988/W1988,0)</x:f>
        <x:v>0</x:v>
      </x:c>
      <x:c r="AA1988" s="84" t="str">
        <x:f>PROPER(TRIM('Raw Sales'!M1988))</x:f>
        <x:v>Credit Card</x:v>
      </x:c>
      <x:c r="AB1988" s="84" t="str">
        <x:f>PROPER(TRIM('Raw Sales'!N1988))</x:f>
        <x:v>Lucas Grant</x:v>
      </x:c>
      <x:c r="AC1988" s="85" t="n">
        <x:f>'Raw Sales'!O1988</x:f>
        <x:v>45936</x:v>
      </x:c>
      <x:c r="AD1988" s="84" t="n">
        <x:f>AC1988-B1988</x:f>
        <x:v>6</x:v>
      </x:c>
      <x:c r="AE1988" s="84" t="str">
        <x:f>IF(COUNTIF($A$5:A1988,A1988)&gt;1,"Duplicate","Keep")</x:f>
        <x:v>Keep</x:v>
      </x:c>
      <x:c r="AF1988" s="84" t="str">
        <x:f>IF(OR(R1988&lt;=0,AC1988&lt;B1988,H1988="Unknown",M1988="Unknown Product"),"Review","Valid")</x:f>
        <x:v>Valid</x:v>
      </x:c>
      <x:c r="AG1988" s="84" t="n">
        <x:f>IF(AND(AE1988="Keep",AF1988="Valid"),1,0)</x:f>
        <x:v>1</x:v>
      </x:c>
      <x:c r="AH1988" s="84" t="n">
        <x:f>IF(AND(AG1988=1,OR('Dashboard'!$B$4="All",I1988='Dashboard'!$B$4),OR('Dashboard'!$E$4="All",N1988='Dashboard'!$E$4),OR('Dashboard'!$H$4="All",K1988='Dashboard'!$H$4),OR('Dashboard'!$K$4="All",C1988='Dashboard'!$K$4)),1,0)</x:f>
        <x:v>1</x:v>
      </x:c>
      <x:c r="AI1988" s="84" t="n">
        <x:f>IF(AND(AG1988=1,OR('Dashboard'!$B$4="All",I1988='Dashboard'!$B$4),OR('Dashboard'!$E$4="All",N1988='Dashboard'!$E$4),OR('Dashboard'!$H$4="All",K1988='Dashboard'!$H$4)),1,0)</x:f>
        <x:v>1</x:v>
      </x:c>
    </x:row>
    <x:row r="1989">
      <x:c r="A1989" s="84" t="str">
        <x:f>'Raw Sales'!A1989</x:f>
        <x:v>ORD-2025-00420</x:v>
      </x:c>
      <x:c r="B1989" s="85" t="n">
        <x:f>'Raw Sales'!B1989</x:f>
        <x:v>45931</x:v>
      </x:c>
      <x:c r="C1989" s="84" t="n">
        <x:f>YEAR(B1989)</x:f>
        <x:v>2025</x:v>
      </x:c>
      <x:c r="D1989" s="91" t="n">
        <x:f>DATE(YEAR(B1989),MONTH(B1989),1)</x:f>
        <x:v>45931</x:v>
      </x:c>
      <x:c r="E1989" s="84" t="str">
        <x:f>TEXT(B1989,"mmm")</x:f>
        <x:v>Oct</x:v>
      </x:c>
      <x:c r="F1989" s="84" t="str">
        <x:f>'Raw Sales'!C1989</x:f>
        <x:v>CUST-0443</x:v>
      </x:c>
      <x:c r="G1989" s="84" t="str">
        <x:f>PROPER(TRIM('Raw Sales'!D1989))</x:f>
        <x:v>Samuel Foster</x:v>
      </x:c>
      <x:c r="H1989" s="84" t="str">
        <x:f>IF(TRIM('Raw Sales'!E1989)="","Unknown",PROPER(TRIM('Raw Sales'!E1989)))</x:f>
        <x:v>Consumer</x:v>
      </x:c>
      <x:c r="I1989" s="84" t="str">
        <x:f>PROPER(TRIM('Raw Sales'!F1989))</x:f>
        <x:v>West</x:v>
      </x:c>
      <x:c r="J1989" s="84" t="str">
        <x:f>PROPER(TRIM('Raw Sales'!G1989))</x:f>
        <x:v>Denver</x:v>
      </x:c>
      <x:c r="K1989" s="84" t="str">
        <x:f>PROPER(TRIM('Raw Sales'!H1989))</x:f>
        <x:v>Online</x:v>
      </x:c>
      <x:c r="L1989" s="84" t="str">
        <x:f>'Raw Sales'!I1989</x:f>
        <x:v>ACCS-003</x:v>
      </x:c>
      <x:c r="M1989" s="84" t="str">
        <x:f>IFERROR(VLOOKUP(L1989,'Reference Data'!$A$5:$F$40,2,FALSE),"Unknown Product")</x:f>
        <x:v>Polarized Sunglasses</x:v>
      </x:c>
      <x:c r="N1989" s="84" t="str">
        <x:f>IFERROR(VLOOKUP(L1989,'Reference Data'!$A$5:$F$40,3,FALSE),"Unknown")</x:f>
        <x:v>Accessories</x:v>
      </x:c>
      <x:c r="O1989" s="84" t="str">
        <x:f>IFERROR(VLOOKUP(L1989,'Reference Data'!$A$5:$F$40,4,FALSE),"Unknown")</x:f>
        <x:v>Eyewear</x:v>
      </x:c>
      <x:c r="P1989" s="92" t="n">
        <x:f>IFERROR(VLOOKUP(L1989,'Reference Data'!$A$5:$F$40,5,FALSE),0)</x:f>
        <x:v>59</x:v>
      </x:c>
      <x:c r="Q1989" s="92" t="n">
        <x:f>IFERROR(VLOOKUP(L1989,'Reference Data'!$A$5:$F$40,6,FALSE),0)</x:f>
        <x:v>17</x:v>
      </x:c>
      <x:c r="R1989" s="84" t="n">
        <x:f>'Raw Sales'!J1989</x:f>
        <x:v>3</x:v>
      </x:c>
      <x:c r="S1989" s="87" t="n">
        <x:f>'Raw Sales'!K1989</x:f>
        <x:v>0.15</x:v>
      </x:c>
      <x:c r="T1989" s="93" t="n">
        <x:f>P1989*R1989</x:f>
        <x:v>177</x:v>
      </x:c>
      <x:c r="U1989" s="93" t="n">
        <x:f>T1989*S1989</x:f>
        <x:v>26.55</x:v>
      </x:c>
      <x:c r="V1989" s="93" t="str">
        <x:f>PROPER(TRIM('Raw Sales'!L1989))</x:f>
        <x:v>Completed</x:v>
      </x:c>
      <x:c r="W1989" s="93" t="n">
        <x:f>IF(V1989="Returned",0,T1989-U1989)</x:f>
        <x:v>150.45</x:v>
      </x:c>
      <x:c r="X1989" s="93" t="n">
        <x:f>IF(V1989="Returned",Q1989*R1989*10%,Q1989*R1989)</x:f>
        <x:v>51</x:v>
      </x:c>
      <x:c r="Y1989" s="93" t="n">
        <x:f>W1989-X1989</x:f>
        <x:v>99.44999999999999</x:v>
      </x:c>
      <x:c r="Z1989" s="94" t="n">
        <x:f>IFERROR(Y1989/W1989,0)</x:f>
        <x:v>0.6610169491525424</x:v>
      </x:c>
      <x:c r="AA1989" s="84" t="str">
        <x:f>PROPER(TRIM('Raw Sales'!M1989))</x:f>
        <x:v>Mobile Wallet</x:v>
      </x:c>
      <x:c r="AB1989" s="84" t="str">
        <x:f>PROPER(TRIM('Raw Sales'!N1989))</x:f>
        <x:v>Mia Chen</x:v>
      </x:c>
      <x:c r="AC1989" s="85" t="n">
        <x:f>'Raw Sales'!O1989</x:f>
        <x:v>45934</x:v>
      </x:c>
      <x:c r="AD1989" s="84" t="n">
        <x:f>AC1989-B1989</x:f>
        <x:v>3</x:v>
      </x:c>
      <x:c r="AE1989" s="84" t="str">
        <x:f>IF(COUNTIF($A$5:A1989,A1989)&gt;1,"Duplicate","Keep")</x:f>
        <x:v>Keep</x:v>
      </x:c>
      <x:c r="AF1989" s="84" t="str">
        <x:f>IF(OR(R1989&lt;=0,AC1989&lt;B1989,H1989="Unknown",M1989="Unknown Product"),"Review","Valid")</x:f>
        <x:v>Valid</x:v>
      </x:c>
      <x:c r="AG1989" s="84" t="n">
        <x:f>IF(AND(AE1989="Keep",AF1989="Valid"),1,0)</x:f>
        <x:v>1</x:v>
      </x:c>
      <x:c r="AH1989" s="84" t="n">
        <x:f>IF(AND(AG1989=1,OR('Dashboard'!$B$4="All",I1989='Dashboard'!$B$4),OR('Dashboard'!$E$4="All",N1989='Dashboard'!$E$4),OR('Dashboard'!$H$4="All",K1989='Dashboard'!$H$4),OR('Dashboard'!$K$4="All",C1989='Dashboard'!$K$4)),1,0)</x:f>
        <x:v>1</x:v>
      </x:c>
      <x:c r="AI1989" s="84" t="n">
        <x:f>IF(AND(AG1989=1,OR('Dashboard'!$B$4="All",I1989='Dashboard'!$B$4),OR('Dashboard'!$E$4="All",N1989='Dashboard'!$E$4),OR('Dashboard'!$H$4="All",K1989='Dashboard'!$H$4)),1,0)</x:f>
        <x:v>1</x:v>
      </x:c>
    </x:row>
    <x:row r="1990">
      <x:c r="A1990" s="84" t="str">
        <x:f>'Raw Sales'!A1990</x:f>
        <x:v>ORD-2025-00616</x:v>
      </x:c>
      <x:c r="B1990" s="85" t="n">
        <x:f>'Raw Sales'!B1990</x:f>
        <x:v>45931</x:v>
      </x:c>
      <x:c r="C1990" s="84" t="n">
        <x:f>YEAR(B1990)</x:f>
        <x:v>2025</x:v>
      </x:c>
      <x:c r="D1990" s="91" t="n">
        <x:f>DATE(YEAR(B1990),MONTH(B1990),1)</x:f>
        <x:v>45931</x:v>
      </x:c>
      <x:c r="E1990" s="84" t="str">
        <x:f>TEXT(B1990,"mmm")</x:f>
        <x:v>Oct</x:v>
      </x:c>
      <x:c r="F1990" s="84" t="str">
        <x:f>'Raw Sales'!C1990</x:f>
        <x:v>CUST-0526</x:v>
      </x:c>
      <x:c r="G1990" s="84" t="str">
        <x:f>PROPER(TRIM('Raw Sales'!D1990))</x:f>
        <x:v>Theo Davis</x:v>
      </x:c>
      <x:c r="H1990" s="84" t="str">
        <x:f>IF(TRIM('Raw Sales'!E1990)="","Unknown",PROPER(TRIM('Raw Sales'!E1990)))</x:f>
        <x:v>Corporate</x:v>
      </x:c>
      <x:c r="I1990" s="84" t="str">
        <x:f>PROPER(TRIM('Raw Sales'!F1990))</x:f>
        <x:v>West</x:v>
      </x:c>
      <x:c r="J1990" s="84" t="str">
        <x:f>PROPER(TRIM('Raw Sales'!G1990))</x:f>
        <x:v>Phoenix</x:v>
      </x:c>
      <x:c r="K1990" s="84" t="str">
        <x:f>PROPER(TRIM('Raw Sales'!H1990))</x:f>
        <x:v>Online</x:v>
      </x:c>
      <x:c r="L1990" s="84" t="str">
        <x:f>'Raw Sales'!I1990</x:f>
        <x:v>ELEC-004</x:v>
      </x:c>
      <x:c r="M1990" s="84" t="str">
        <x:f>IFERROR(VLOOKUP(L1990,'Reference Data'!$A$5:$F$40,2,FALSE),"Unknown Product")</x:f>
        <x:v>Power Bank</x:v>
      </x:c>
      <x:c r="N1990" s="84" t="str">
        <x:f>IFERROR(VLOOKUP(L1990,'Reference Data'!$A$5:$F$40,3,FALSE),"Unknown")</x:f>
        <x:v>Electronics</x:v>
      </x:c>
      <x:c r="O1990" s="84" t="str">
        <x:f>IFERROR(VLOOKUP(L1990,'Reference Data'!$A$5:$F$40,4,FALSE),"Unknown")</x:f>
        <x:v>Mobile Accessories</x:v>
      </x:c>
      <x:c r="P1990" s="92" t="n">
        <x:f>IFERROR(VLOOKUP(L1990,'Reference Data'!$A$5:$F$40,5,FALSE),0)</x:f>
        <x:v>39</x:v>
      </x:c>
      <x:c r="Q1990" s="92" t="n">
        <x:f>IFERROR(VLOOKUP(L1990,'Reference Data'!$A$5:$F$40,6,FALSE),0)</x:f>
        <x:v>18</x:v>
      </x:c>
      <x:c r="R1990" s="84" t="n">
        <x:f>'Raw Sales'!J1990</x:f>
        <x:v>5</x:v>
      </x:c>
      <x:c r="S1990" s="87" t="n">
        <x:f>'Raw Sales'!K1990</x:f>
        <x:v>0</x:v>
      </x:c>
      <x:c r="T1990" s="93" t="n">
        <x:f>P1990*R1990</x:f>
        <x:v>195</x:v>
      </x:c>
      <x:c r="U1990" s="93" t="n">
        <x:f>T1990*S1990</x:f>
        <x:v>0</x:v>
      </x:c>
      <x:c r="V1990" s="93" t="str">
        <x:f>PROPER(TRIM('Raw Sales'!L1990))</x:f>
        <x:v>Completed</x:v>
      </x:c>
      <x:c r="W1990" s="93" t="n">
        <x:f>IF(V1990="Returned",0,T1990-U1990)</x:f>
        <x:v>195</x:v>
      </x:c>
      <x:c r="X1990" s="93" t="n">
        <x:f>IF(V1990="Returned",Q1990*R1990*10%,Q1990*R1990)</x:f>
        <x:v>90</x:v>
      </x:c>
      <x:c r="Y1990" s="93" t="n">
        <x:f>W1990-X1990</x:f>
        <x:v>105</x:v>
      </x:c>
      <x:c r="Z1990" s="94" t="n">
        <x:f>IFERROR(Y1990/W1990,0)</x:f>
        <x:v>0.5384615384615384</x:v>
      </x:c>
      <x:c r="AA1990" s="84" t="str">
        <x:f>PROPER(TRIM('Raw Sales'!M1990))</x:f>
        <x:v>Credit Card</x:v>
      </x:c>
      <x:c r="AB1990" s="84" t="str">
        <x:f>PROPER(TRIM('Raw Sales'!N1990))</x:f>
        <x:v>Leo Martinez</x:v>
      </x:c>
      <x:c r="AC1990" s="85" t="n">
        <x:f>'Raw Sales'!O1990</x:f>
        <x:v>45936</x:v>
      </x:c>
      <x:c r="AD1990" s="84" t="n">
        <x:f>AC1990-B1990</x:f>
        <x:v>5</x:v>
      </x:c>
      <x:c r="AE1990" s="84" t="str">
        <x:f>IF(COUNTIF($A$5:A1990,A1990)&gt;1,"Duplicate","Keep")</x:f>
        <x:v>Keep</x:v>
      </x:c>
      <x:c r="AF1990" s="84" t="str">
        <x:f>IF(OR(R1990&lt;=0,AC1990&lt;B1990,H1990="Unknown",M1990="Unknown Product"),"Review","Valid")</x:f>
        <x:v>Valid</x:v>
      </x:c>
      <x:c r="AG1990" s="84" t="n">
        <x:f>IF(AND(AE1990="Keep",AF1990="Valid"),1,0)</x:f>
        <x:v>1</x:v>
      </x:c>
      <x:c r="AH1990" s="84" t="n">
        <x:f>IF(AND(AG1990=1,OR('Dashboard'!$B$4="All",I1990='Dashboard'!$B$4),OR('Dashboard'!$E$4="All",N1990='Dashboard'!$E$4),OR('Dashboard'!$H$4="All",K1990='Dashboard'!$H$4),OR('Dashboard'!$K$4="All",C1990='Dashboard'!$K$4)),1,0)</x:f>
        <x:v>1</x:v>
      </x:c>
      <x:c r="AI1990" s="84" t="n">
        <x:f>IF(AND(AG1990=1,OR('Dashboard'!$B$4="All",I1990='Dashboard'!$B$4),OR('Dashboard'!$E$4="All",N1990='Dashboard'!$E$4),OR('Dashboard'!$H$4="All",K1990='Dashboard'!$H$4)),1,0)</x:f>
        <x:v>1</x:v>
      </x:c>
    </x:row>
    <x:row r="1991">
      <x:c r="A1991" s="84" t="str">
        <x:f>'Raw Sales'!A1991</x:f>
        <x:v>ORD-2025-01193</x:v>
      </x:c>
      <x:c r="B1991" s="85" t="n">
        <x:f>'Raw Sales'!B1991</x:f>
        <x:v>45931</x:v>
      </x:c>
      <x:c r="C1991" s="84" t="n">
        <x:f>YEAR(B1991)</x:f>
        <x:v>2025</x:v>
      </x:c>
      <x:c r="D1991" s="91" t="n">
        <x:f>DATE(YEAR(B1991),MONTH(B1991),1)</x:f>
        <x:v>45931</x:v>
      </x:c>
      <x:c r="E1991" s="84" t="str">
        <x:f>TEXT(B1991,"mmm")</x:f>
        <x:v>Oct</x:v>
      </x:c>
      <x:c r="F1991" s="84" t="str">
        <x:f>'Raw Sales'!C1991</x:f>
        <x:v>CUST-0071</x:v>
      </x:c>
      <x:c r="G1991" s="84" t="str">
        <x:f>PROPER(TRIM('Raw Sales'!D1991))</x:f>
        <x:v>Owen Foster</x:v>
      </x:c>
      <x:c r="H1991" s="84" t="str">
        <x:f>IF(TRIM('Raw Sales'!E1991)="","Unknown",PROPER(TRIM('Raw Sales'!E1991)))</x:f>
        <x:v>Consumer</x:v>
      </x:c>
      <x:c r="I1991" s="84" t="str">
        <x:f>PROPER(TRIM('Raw Sales'!F1991))</x:f>
        <x:v>Midwest</x:v>
      </x:c>
      <x:c r="J1991" s="84" t="str">
        <x:f>PROPER(TRIM('Raw Sales'!G1991))</x:f>
        <x:v>Detroit</x:v>
      </x:c>
      <x:c r="K1991" s="84" t="str">
        <x:f>PROPER(TRIM('Raw Sales'!H1991))</x:f>
        <x:v>Marketplace</x:v>
      </x:c>
      <x:c r="L1991" s="84" t="str">
        <x:f>'Raw Sales'!I1991</x:f>
        <x:v>CARE-005</x:v>
      </x:c>
      <x:c r="M1991" s="84" t="str">
        <x:f>IFERROR(VLOOKUP(L1991,'Reference Data'!$A$5:$F$40,2,FALSE),"Unknown Product")</x:f>
        <x:v>Skin Care Starter Kit</x:v>
      </x:c>
      <x:c r="N1991" s="84" t="str">
        <x:f>IFERROR(VLOOKUP(L1991,'Reference Data'!$A$5:$F$40,3,FALSE),"Unknown")</x:f>
        <x:v>Personal Care</x:v>
      </x:c>
      <x:c r="O1991" s="84" t="str">
        <x:f>IFERROR(VLOOKUP(L1991,'Reference Data'!$A$5:$F$40,4,FALSE),"Unknown")</x:f>
        <x:v>Skin Care</x:v>
      </x:c>
      <x:c r="P1991" s="92" t="n">
        <x:f>IFERROR(VLOOKUP(L1991,'Reference Data'!$A$5:$F$40,5,FALSE),0)</x:f>
        <x:v>58</x:v>
      </x:c>
      <x:c r="Q1991" s="92" t="n">
        <x:f>IFERROR(VLOOKUP(L1991,'Reference Data'!$A$5:$F$40,6,FALSE),0)</x:f>
        <x:v>24</x:v>
      </x:c>
      <x:c r="R1991" s="84" t="n">
        <x:f>'Raw Sales'!J1991</x:f>
        <x:v>2</x:v>
      </x:c>
      <x:c r="S1991" s="87" t="n">
        <x:f>'Raw Sales'!K1991</x:f>
        <x:v>0.1</x:v>
      </x:c>
      <x:c r="T1991" s="93" t="n">
        <x:f>P1991*R1991</x:f>
        <x:v>116</x:v>
      </x:c>
      <x:c r="U1991" s="93" t="n">
        <x:f>T1991*S1991</x:f>
        <x:v>11.600000000000001</x:v>
      </x:c>
      <x:c r="V1991" s="93" t="str">
        <x:f>PROPER(TRIM('Raw Sales'!L1991))</x:f>
        <x:v>Completed</x:v>
      </x:c>
      <x:c r="W1991" s="93" t="n">
        <x:f>IF(V1991="Returned",0,T1991-U1991)</x:f>
        <x:v>104.4</x:v>
      </x:c>
      <x:c r="X1991" s="93" t="n">
        <x:f>IF(V1991="Returned",Q1991*R1991*10%,Q1991*R1991)</x:f>
        <x:v>48</x:v>
      </x:c>
      <x:c r="Y1991" s="93" t="n">
        <x:f>W1991-X1991</x:f>
        <x:v>56.400000000000006</x:v>
      </x:c>
      <x:c r="Z1991" s="94" t="n">
        <x:f>IFERROR(Y1991/W1991,0)</x:f>
        <x:v>0.5402298850574713</x:v>
      </x:c>
      <x:c r="AA1991" s="84" t="str">
        <x:f>PROPER(TRIM('Raw Sales'!M1991))</x:f>
        <x:v>Credit Card</x:v>
      </x:c>
      <x:c r="AB1991" s="84" t="str">
        <x:f>PROPER(TRIM('Raw Sales'!N1991))</x:f>
        <x:v>Zoe Turner</x:v>
      </x:c>
      <x:c r="AC1991" s="85" t="n">
        <x:f>'Raw Sales'!O1991</x:f>
        <x:v>45935</x:v>
      </x:c>
      <x:c r="AD1991" s="84" t="n">
        <x:f>AC1991-B1991</x:f>
        <x:v>4</x:v>
      </x:c>
      <x:c r="AE1991" s="84" t="str">
        <x:f>IF(COUNTIF($A$5:A1991,A1991)&gt;1,"Duplicate","Keep")</x:f>
        <x:v>Keep</x:v>
      </x:c>
      <x:c r="AF1991" s="84" t="str">
        <x:f>IF(OR(R1991&lt;=0,AC1991&lt;B1991,H1991="Unknown",M1991="Unknown Product"),"Review","Valid")</x:f>
        <x:v>Valid</x:v>
      </x:c>
      <x:c r="AG1991" s="84" t="n">
        <x:f>IF(AND(AE1991="Keep",AF1991="Valid"),1,0)</x:f>
        <x:v>1</x:v>
      </x:c>
      <x:c r="AH1991" s="84" t="n">
        <x:f>IF(AND(AG1991=1,OR('Dashboard'!$B$4="All",I1991='Dashboard'!$B$4),OR('Dashboard'!$E$4="All",N1991='Dashboard'!$E$4),OR('Dashboard'!$H$4="All",K1991='Dashboard'!$H$4),OR('Dashboard'!$K$4="All",C1991='Dashboard'!$K$4)),1,0)</x:f>
        <x:v>1</x:v>
      </x:c>
      <x:c r="AI1991" s="84" t="n">
        <x:f>IF(AND(AG1991=1,OR('Dashboard'!$B$4="All",I1991='Dashboard'!$B$4),OR('Dashboard'!$E$4="All",N1991='Dashboard'!$E$4),OR('Dashboard'!$H$4="All",K1991='Dashboard'!$H$4)),1,0)</x:f>
        <x:v>1</x:v>
      </x:c>
    </x:row>
    <x:row r="1992">
      <x:c r="A1992" s="84" t="str">
        <x:f>'Raw Sales'!A1992</x:f>
        <x:v>ORD-2025-00491</x:v>
      </x:c>
      <x:c r="B1992" s="85" t="n">
        <x:f>'Raw Sales'!B1992</x:f>
        <x:v>45932</x:v>
      </x:c>
      <x:c r="C1992" s="84" t="n">
        <x:f>YEAR(B1992)</x:f>
        <x:v>2025</x:v>
      </x:c>
      <x:c r="D1992" s="91" t="n">
        <x:f>DATE(YEAR(B1992),MONTH(B1992),1)</x:f>
        <x:v>45931</x:v>
      </x:c>
      <x:c r="E1992" s="84" t="str">
        <x:f>TEXT(B1992,"mmm")</x:f>
        <x:v>Oct</x:v>
      </x:c>
      <x:c r="F1992" s="84" t="str">
        <x:f>'Raw Sales'!C1992</x:f>
        <x:v>CUST-0271</x:v>
      </x:c>
      <x:c r="G1992" s="84" t="str">
        <x:f>PROPER(TRIM('Raw Sales'!D1992))</x:f>
        <x:v>Jonah Nelson</x:v>
      </x:c>
      <x:c r="H1992" s="84" t="str">
        <x:f>IF(TRIM('Raw Sales'!E1992)="","Unknown",PROPER(TRIM('Raw Sales'!E1992)))</x:f>
        <x:v>Consumer</x:v>
      </x:c>
      <x:c r="I1992" s="84" t="str">
        <x:f>PROPER(TRIM('Raw Sales'!F1992))</x:f>
        <x:v>Midwest</x:v>
      </x:c>
      <x:c r="J1992" s="84" t="str">
        <x:f>PROPER(TRIM('Raw Sales'!G1992))</x:f>
        <x:v>Detroit</x:v>
      </x:c>
      <x:c r="K1992" s="84" t="str">
        <x:f>PROPER(TRIM('Raw Sales'!H1992))</x:f>
        <x:v>Marketplace</x:v>
      </x:c>
      <x:c r="L1992" s="84" t="str">
        <x:f>'Raw Sales'!I1992</x:f>
        <x:v>ELEC-006</x:v>
      </x:c>
      <x:c r="M1992" s="84" t="str">
        <x:f>IFERROR(VLOOKUP(L1992,'Reference Data'!$A$5:$F$40,2,FALSE),"Unknown Product")</x:f>
        <x:v>Portable SSD</x:v>
      </x:c>
      <x:c r="N1992" s="84" t="str">
        <x:f>IFERROR(VLOOKUP(L1992,'Reference Data'!$A$5:$F$40,3,FALSE),"Unknown")</x:f>
        <x:v>Electronics</x:v>
      </x:c>
      <x:c r="O1992" s="84" t="str">
        <x:f>IFERROR(VLOOKUP(L1992,'Reference Data'!$A$5:$F$40,4,FALSE),"Unknown")</x:f>
        <x:v>Storage</x:v>
      </x:c>
      <x:c r="P1992" s="92" t="n">
        <x:f>IFERROR(VLOOKUP(L1992,'Reference Data'!$A$5:$F$40,5,FALSE),0)</x:f>
        <x:v>129</x:v>
      </x:c>
      <x:c r="Q1992" s="92" t="n">
        <x:f>IFERROR(VLOOKUP(L1992,'Reference Data'!$A$5:$F$40,6,FALSE),0)</x:f>
        <x:v>75</x:v>
      </x:c>
      <x:c r="R1992" s="84" t="n">
        <x:f>'Raw Sales'!J1992</x:f>
        <x:v>2</x:v>
      </x:c>
      <x:c r="S1992" s="87" t="n">
        <x:f>'Raw Sales'!K1992</x:f>
        <x:v>0.1</x:v>
      </x:c>
      <x:c r="T1992" s="93" t="n">
        <x:f>P1992*R1992</x:f>
        <x:v>258</x:v>
      </x:c>
      <x:c r="U1992" s="93" t="n">
        <x:f>T1992*S1992</x:f>
        <x:v>25.8</x:v>
      </x:c>
      <x:c r="V1992" s="93" t="str">
        <x:f>PROPER(TRIM('Raw Sales'!L1992))</x:f>
        <x:v>Completed</x:v>
      </x:c>
      <x:c r="W1992" s="93" t="n">
        <x:f>IF(V1992="Returned",0,T1992-U1992)</x:f>
        <x:v>232.2</x:v>
      </x:c>
      <x:c r="X1992" s="93" t="n">
        <x:f>IF(V1992="Returned",Q1992*R1992*10%,Q1992*R1992)</x:f>
        <x:v>150</x:v>
      </x:c>
      <x:c r="Y1992" s="93" t="n">
        <x:f>W1992-X1992</x:f>
        <x:v>82.19999999999999</x:v>
      </x:c>
      <x:c r="Z1992" s="94" t="n">
        <x:f>IFERROR(Y1992/W1992,0)</x:f>
        <x:v>0.3540051679586563</x:v>
      </x:c>
      <x:c r="AA1992" s="84" t="str">
        <x:f>PROPER(TRIM('Raw Sales'!M1992))</x:f>
        <x:v>Debit Card</x:v>
      </x:c>
      <x:c r="AB1992" s="84" t="str">
        <x:f>PROPER(TRIM('Raw Sales'!N1992))</x:f>
        <x:v>Lucas Grant</x:v>
      </x:c>
      <x:c r="AC1992" s="85" t="n">
        <x:f>'Raw Sales'!O1992</x:f>
        <x:v>45937</x:v>
      </x:c>
      <x:c r="AD1992" s="84" t="n">
        <x:f>AC1992-B1992</x:f>
        <x:v>5</x:v>
      </x:c>
      <x:c r="AE1992" s="84" t="str">
        <x:f>IF(COUNTIF($A$5:A1992,A1992)&gt;1,"Duplicate","Keep")</x:f>
        <x:v>Keep</x:v>
      </x:c>
      <x:c r="AF1992" s="84" t="str">
        <x:f>IF(OR(R1992&lt;=0,AC1992&lt;B1992,H1992="Unknown",M1992="Unknown Product"),"Review","Valid")</x:f>
        <x:v>Valid</x:v>
      </x:c>
      <x:c r="AG1992" s="84" t="n">
        <x:f>IF(AND(AE1992="Keep",AF1992="Valid"),1,0)</x:f>
        <x:v>1</x:v>
      </x:c>
      <x:c r="AH1992" s="84" t="n">
        <x:f>IF(AND(AG1992=1,OR('Dashboard'!$B$4="All",I1992='Dashboard'!$B$4),OR('Dashboard'!$E$4="All",N1992='Dashboard'!$E$4),OR('Dashboard'!$H$4="All",K1992='Dashboard'!$H$4),OR('Dashboard'!$K$4="All",C1992='Dashboard'!$K$4)),1,0)</x:f>
        <x:v>1</x:v>
      </x:c>
      <x:c r="AI1992" s="84" t="n">
        <x:f>IF(AND(AG1992=1,OR('Dashboard'!$B$4="All",I1992='Dashboard'!$B$4),OR('Dashboard'!$E$4="All",N1992='Dashboard'!$E$4),OR('Dashboard'!$H$4="All",K1992='Dashboard'!$H$4)),1,0)</x:f>
        <x:v>1</x:v>
      </x:c>
    </x:row>
    <x:row r="1993">
      <x:c r="A1993" s="84" t="str">
        <x:f>'Raw Sales'!A1993</x:f>
        <x:v>ORD-2025-01963</x:v>
      </x:c>
      <x:c r="B1993" s="85" t="n">
        <x:f>'Raw Sales'!B1993</x:f>
        <x:v>45932</x:v>
      </x:c>
      <x:c r="C1993" s="84" t="n">
        <x:f>YEAR(B1993)</x:f>
        <x:v>2025</x:v>
      </x:c>
      <x:c r="D1993" s="91" t="n">
        <x:f>DATE(YEAR(B1993),MONTH(B1993),1)</x:f>
        <x:v>45931</x:v>
      </x:c>
      <x:c r="E1993" s="84" t="str">
        <x:f>TEXT(B1993,"mmm")</x:f>
        <x:v>Oct</x:v>
      </x:c>
      <x:c r="F1993" s="84" t="str">
        <x:f>'Raw Sales'!C1993</x:f>
        <x:v>CUST-0632</x:v>
      </x:c>
      <x:c r="G1993" s="84" t="str">
        <x:f>PROPER(TRIM('Raw Sales'!D1993))</x:f>
        <x:v>Caleb Adams</x:v>
      </x:c>
      <x:c r="H1993" s="84" t="str">
        <x:f>IF(TRIM('Raw Sales'!E1993)="","Unknown",PROPER(TRIM('Raw Sales'!E1993)))</x:f>
        <x:v>Consumer</x:v>
      </x:c>
      <x:c r="I1993" s="84" t="str">
        <x:f>PROPER(TRIM('Raw Sales'!F1993))</x:f>
        <x:v>West</x:v>
      </x:c>
      <x:c r="J1993" s="84" t="str">
        <x:f>PROPER(TRIM('Raw Sales'!G1993))</x:f>
        <x:v>Phoenix</x:v>
      </x:c>
      <x:c r="K1993" s="84" t="str">
        <x:f>PROPER(TRIM('Raw Sales'!H1993))</x:f>
        <x:v>Online</x:v>
      </x:c>
      <x:c r="L1993" s="84" t="str">
        <x:f>'Raw Sales'!I1993</x:f>
        <x:v>HOME-001</x:v>
      </x:c>
      <x:c r="M1993" s="84" t="str">
        <x:f>IFERROR(VLOOKUP(L1993,'Reference Data'!$A$5:$F$40,2,FALSE),"Unknown Product")</x:f>
        <x:v>Air Fryer</x:v>
      </x:c>
      <x:c r="N1993" s="84" t="str">
        <x:f>IFERROR(VLOOKUP(L1993,'Reference Data'!$A$5:$F$40,3,FALSE),"Unknown")</x:f>
        <x:v>Home &amp; Kitchen</x:v>
      </x:c>
      <x:c r="O1993" s="84" t="str">
        <x:f>IFERROR(VLOOKUP(L1993,'Reference Data'!$A$5:$F$40,4,FALSE),"Unknown")</x:f>
        <x:v>Small Appliances</x:v>
      </x:c>
      <x:c r="P1993" s="92" t="n">
        <x:f>IFERROR(VLOOKUP(L1993,'Reference Data'!$A$5:$F$40,5,FALSE),0)</x:f>
        <x:v>119</x:v>
      </x:c>
      <x:c r="Q1993" s="92" t="n">
        <x:f>IFERROR(VLOOKUP(L1993,'Reference Data'!$A$5:$F$40,6,FALSE),0)</x:f>
        <x:v>68</x:v>
      </x:c>
      <x:c r="R1993" s="84" t="n">
        <x:f>'Raw Sales'!J1993</x:f>
        <x:v>1</x:v>
      </x:c>
      <x:c r="S1993" s="87" t="n">
        <x:f>'Raw Sales'!K1993</x:f>
        <x:v>0</x:v>
      </x:c>
      <x:c r="T1993" s="93" t="n">
        <x:f>P1993*R1993</x:f>
        <x:v>119</x:v>
      </x:c>
      <x:c r="U1993" s="93" t="n">
        <x:f>T1993*S1993</x:f>
        <x:v>0</x:v>
      </x:c>
      <x:c r="V1993" s="93" t="str">
        <x:f>PROPER(TRIM('Raw Sales'!L1993))</x:f>
        <x:v>Completed</x:v>
      </x:c>
      <x:c r="W1993" s="93" t="n">
        <x:f>IF(V1993="Returned",0,T1993-U1993)</x:f>
        <x:v>119</x:v>
      </x:c>
      <x:c r="X1993" s="93" t="n">
        <x:f>IF(V1993="Returned",Q1993*R1993*10%,Q1993*R1993)</x:f>
        <x:v>68</x:v>
      </x:c>
      <x:c r="Y1993" s="93" t="n">
        <x:f>W1993-X1993</x:f>
        <x:v>51</x:v>
      </x:c>
      <x:c r="Z1993" s="94" t="n">
        <x:f>IFERROR(Y1993/W1993,0)</x:f>
        <x:v>0.42857142857142855</x:v>
      </x:c>
      <x:c r="AA1993" s="84" t="str">
        <x:f>PROPER(TRIM('Raw Sales'!M1993))</x:f>
        <x:v>Credit Card</x:v>
      </x:c>
      <x:c r="AB1993" s="84" t="str">
        <x:f>PROPER(TRIM('Raw Sales'!N1993))</x:f>
        <x:v>Leo Martinez</x:v>
      </x:c>
      <x:c r="AC1993" s="85" t="n">
        <x:f>'Raw Sales'!O1993</x:f>
        <x:v>45935</x:v>
      </x:c>
      <x:c r="AD1993" s="84" t="n">
        <x:f>AC1993-B1993</x:f>
        <x:v>3</x:v>
      </x:c>
      <x:c r="AE1993" s="84" t="str">
        <x:f>IF(COUNTIF($A$5:A1993,A1993)&gt;1,"Duplicate","Keep")</x:f>
        <x:v>Keep</x:v>
      </x:c>
      <x:c r="AF1993" s="84" t="str">
        <x:f>IF(OR(R1993&lt;=0,AC1993&lt;B1993,H1993="Unknown",M1993="Unknown Product"),"Review","Valid")</x:f>
        <x:v>Valid</x:v>
      </x:c>
      <x:c r="AG1993" s="84" t="n">
        <x:f>IF(AND(AE1993="Keep",AF1993="Valid"),1,0)</x:f>
        <x:v>1</x:v>
      </x:c>
      <x:c r="AH1993" s="84" t="n">
        <x:f>IF(AND(AG1993=1,OR('Dashboard'!$B$4="All",I1993='Dashboard'!$B$4),OR('Dashboard'!$E$4="All",N1993='Dashboard'!$E$4),OR('Dashboard'!$H$4="All",K1993='Dashboard'!$H$4),OR('Dashboard'!$K$4="All",C1993='Dashboard'!$K$4)),1,0)</x:f>
        <x:v>1</x:v>
      </x:c>
      <x:c r="AI1993" s="84" t="n">
        <x:f>IF(AND(AG1993=1,OR('Dashboard'!$B$4="All",I1993='Dashboard'!$B$4),OR('Dashboard'!$E$4="All",N1993='Dashboard'!$E$4),OR('Dashboard'!$H$4="All",K1993='Dashboard'!$H$4)),1,0)</x:f>
        <x:v>1</x:v>
      </x:c>
    </x:row>
    <x:row r="1994">
      <x:c r="A1994" s="84" t="str">
        <x:f>'Raw Sales'!A1994</x:f>
        <x:v>ORD-2025-01964</x:v>
      </x:c>
      <x:c r="B1994" s="85" t="n">
        <x:f>'Raw Sales'!B1994</x:f>
        <x:v>45932</x:v>
      </x:c>
      <x:c r="C1994" s="84" t="n">
        <x:f>YEAR(B1994)</x:f>
        <x:v>2025</x:v>
      </x:c>
      <x:c r="D1994" s="91" t="n">
        <x:f>DATE(YEAR(B1994),MONTH(B1994),1)</x:f>
        <x:v>45931</x:v>
      </x:c>
      <x:c r="E1994" s="84" t="str">
        <x:f>TEXT(B1994,"mmm")</x:f>
        <x:v>Oct</x:v>
      </x:c>
      <x:c r="F1994" s="84" t="str">
        <x:f>'Raw Sales'!C1994</x:f>
        <x:v>CUST-0208</x:v>
      </x:c>
      <x:c r="G1994" s="84" t="str">
        <x:f>PROPER(TRIM('Raw Sales'!D1994))</x:f>
        <x:v>Layla Patel</x:v>
      </x:c>
      <x:c r="H1994" s="84" t="str">
        <x:f>IF(TRIM('Raw Sales'!E1994)="","Unknown",PROPER(TRIM('Raw Sales'!E1994)))</x:f>
        <x:v>Consumer</x:v>
      </x:c>
      <x:c r="I1994" s="84" t="str">
        <x:f>PROPER(TRIM('Raw Sales'!F1994))</x:f>
        <x:v>West</x:v>
      </x:c>
      <x:c r="J1994" s="84" t="str">
        <x:f>PROPER(TRIM('Raw Sales'!G1994))</x:f>
        <x:v>Los Angeles</x:v>
      </x:c>
      <x:c r="K1994" s="84" t="str">
        <x:f>PROPER(TRIM('Raw Sales'!H1994))</x:f>
        <x:v>Marketplace</x:v>
      </x:c>
      <x:c r="L1994" s="84" t="str">
        <x:f>'Raw Sales'!I1994</x:f>
        <x:v>ELEC-004</x:v>
      </x:c>
      <x:c r="M1994" s="84" t="str">
        <x:f>IFERROR(VLOOKUP(L1994,'Reference Data'!$A$5:$F$40,2,FALSE),"Unknown Product")</x:f>
        <x:v>Power Bank</x:v>
      </x:c>
      <x:c r="N1994" s="84" t="str">
        <x:f>IFERROR(VLOOKUP(L1994,'Reference Data'!$A$5:$F$40,3,FALSE),"Unknown")</x:f>
        <x:v>Electronics</x:v>
      </x:c>
      <x:c r="O1994" s="84" t="str">
        <x:f>IFERROR(VLOOKUP(L1994,'Reference Data'!$A$5:$F$40,4,FALSE),"Unknown")</x:f>
        <x:v>Mobile Accessories</x:v>
      </x:c>
      <x:c r="P1994" s="92" t="n">
        <x:f>IFERROR(VLOOKUP(L1994,'Reference Data'!$A$5:$F$40,5,FALSE),0)</x:f>
        <x:v>39</x:v>
      </x:c>
      <x:c r="Q1994" s="92" t="n">
        <x:f>IFERROR(VLOOKUP(L1994,'Reference Data'!$A$5:$F$40,6,FALSE),0)</x:f>
        <x:v>18</x:v>
      </x:c>
      <x:c r="R1994" s="84" t="n">
        <x:f>'Raw Sales'!J1994</x:f>
        <x:v>3</x:v>
      </x:c>
      <x:c r="S1994" s="87" t="n">
        <x:f>'Raw Sales'!K1994</x:f>
        <x:v>0.15</x:v>
      </x:c>
      <x:c r="T1994" s="93" t="n">
        <x:f>P1994*R1994</x:f>
        <x:v>117</x:v>
      </x:c>
      <x:c r="U1994" s="93" t="n">
        <x:f>T1994*S1994</x:f>
        <x:v>17.55</x:v>
      </x:c>
      <x:c r="V1994" s="93" t="str">
        <x:f>PROPER(TRIM('Raw Sales'!L1994))</x:f>
        <x:v>Completed</x:v>
      </x:c>
      <x:c r="W1994" s="93" t="n">
        <x:f>IF(V1994="Returned",0,T1994-U1994)</x:f>
        <x:v>99.45</x:v>
      </x:c>
      <x:c r="X1994" s="93" t="n">
        <x:f>IF(V1994="Returned",Q1994*R1994*10%,Q1994*R1994)</x:f>
        <x:v>54</x:v>
      </x:c>
      <x:c r="Y1994" s="93" t="n">
        <x:f>W1994-X1994</x:f>
        <x:v>45.45</x:v>
      </x:c>
      <x:c r="Z1994" s="94" t="n">
        <x:f>IFERROR(Y1994/W1994,0)</x:f>
        <x:v>0.4570135746606335</x:v>
      </x:c>
      <x:c r="AA1994" s="84" t="str">
        <x:f>PROPER(TRIM('Raw Sales'!M1994))</x:f>
        <x:v>Credit Card</x:v>
      </x:c>
      <x:c r="AB1994" s="84" t="str">
        <x:f>PROPER(TRIM('Raw Sales'!N1994))</x:f>
        <x:v>Nora Kim</x:v>
      </x:c>
      <x:c r="AC1994" s="85" t="n">
        <x:f>'Raw Sales'!O1994</x:f>
        <x:v>45937</x:v>
      </x:c>
      <x:c r="AD1994" s="84" t="n">
        <x:f>AC1994-B1994</x:f>
        <x:v>5</x:v>
      </x:c>
      <x:c r="AE1994" s="84" t="str">
        <x:f>IF(COUNTIF($A$5:A1994,A1994)&gt;1,"Duplicate","Keep")</x:f>
        <x:v>Keep</x:v>
      </x:c>
      <x:c r="AF1994" s="84" t="str">
        <x:f>IF(OR(R1994&lt;=0,AC1994&lt;B1994,H1994="Unknown",M1994="Unknown Product"),"Review","Valid")</x:f>
        <x:v>Valid</x:v>
      </x:c>
      <x:c r="AG1994" s="84" t="n">
        <x:f>IF(AND(AE1994="Keep",AF1994="Valid"),1,0)</x:f>
        <x:v>1</x:v>
      </x:c>
      <x:c r="AH1994" s="84" t="n">
        <x:f>IF(AND(AG1994=1,OR('Dashboard'!$B$4="All",I1994='Dashboard'!$B$4),OR('Dashboard'!$E$4="All",N1994='Dashboard'!$E$4),OR('Dashboard'!$H$4="All",K1994='Dashboard'!$H$4),OR('Dashboard'!$K$4="All",C1994='Dashboard'!$K$4)),1,0)</x:f>
        <x:v>1</x:v>
      </x:c>
      <x:c r="AI1994" s="84" t="n">
        <x:f>IF(AND(AG1994=1,OR('Dashboard'!$B$4="All",I1994='Dashboard'!$B$4),OR('Dashboard'!$E$4="All",N1994='Dashboard'!$E$4),OR('Dashboard'!$H$4="All",K1994='Dashboard'!$H$4)),1,0)</x:f>
        <x:v>1</x:v>
      </x:c>
    </x:row>
    <x:row r="1995">
      <x:c r="A1995" s="84" t="str">
        <x:f>'Raw Sales'!A1995</x:f>
        <x:v>ORD-2025-00280</x:v>
      </x:c>
      <x:c r="B1995" s="85" t="n">
        <x:f>'Raw Sales'!B1995</x:f>
        <x:v>45933</x:v>
      </x:c>
      <x:c r="C1995" s="84" t="n">
        <x:f>YEAR(B1995)</x:f>
        <x:v>2025</x:v>
      </x:c>
      <x:c r="D1995" s="91" t="n">
        <x:f>DATE(YEAR(B1995),MONTH(B1995),1)</x:f>
        <x:v>45931</x:v>
      </x:c>
      <x:c r="E1995" s="84" t="str">
        <x:f>TEXT(B1995,"mmm")</x:f>
        <x:v>Oct</x:v>
      </x:c>
      <x:c r="F1995" s="84" t="str">
        <x:f>'Raw Sales'!C1995</x:f>
        <x:v>CUST-0077</x:v>
      </x:c>
      <x:c r="G1995" s="84" t="str">
        <x:f>PROPER(TRIM('Raw Sales'!D1995))</x:f>
        <x:v>Layla Foster</x:v>
      </x:c>
      <x:c r="H1995" s="84" t="str">
        <x:f>IF(TRIM('Raw Sales'!E1995)="","Unknown",PROPER(TRIM('Raw Sales'!E1995)))</x:f>
        <x:v>Corporate</x:v>
      </x:c>
      <x:c r="I1995" s="84" t="str">
        <x:f>PROPER(TRIM('Raw Sales'!F1995))</x:f>
        <x:v>Northeast</x:v>
      </x:c>
      <x:c r="J1995" s="84" t="str">
        <x:f>PROPER(TRIM('Raw Sales'!G1995))</x:f>
        <x:v>Philadelphia</x:v>
      </x:c>
      <x:c r="K1995" s="84" t="str">
        <x:f>PROPER(TRIM('Raw Sales'!H1995))</x:f>
        <x:v>Retail Store</x:v>
      </x:c>
      <x:c r="L1995" s="84" t="str">
        <x:f>'Raw Sales'!I1995</x:f>
        <x:v>ACCS-006</x:v>
      </x:c>
      <x:c r="M1995" s="84" t="str">
        <x:f>IFERROR(VLOOKUP(L1995,'Reference Data'!$A$5:$F$40,2,FALSE),"Unknown Product")</x:f>
        <x:v>Insulated Lunch Bag</x:v>
      </x:c>
      <x:c r="N1995" s="84" t="str">
        <x:f>IFERROR(VLOOKUP(L1995,'Reference Data'!$A$5:$F$40,3,FALSE),"Unknown")</x:f>
        <x:v>Accessories</x:v>
      </x:c>
      <x:c r="O1995" s="84" t="str">
        <x:f>IFERROR(VLOOKUP(L1995,'Reference Data'!$A$5:$F$40,4,FALSE),"Unknown")</x:f>
        <x:v>Bags</x:v>
      </x:c>
      <x:c r="P1995" s="92" t="n">
        <x:f>IFERROR(VLOOKUP(L1995,'Reference Data'!$A$5:$F$40,5,FALSE),0)</x:f>
        <x:v>29</x:v>
      </x:c>
      <x:c r="Q1995" s="92" t="n">
        <x:f>IFERROR(VLOOKUP(L1995,'Reference Data'!$A$5:$F$40,6,FALSE),0)</x:f>
        <x:v>10</x:v>
      </x:c>
      <x:c r="R1995" s="84" t="n">
        <x:f>'Raw Sales'!J1995</x:f>
        <x:v>4</x:v>
      </x:c>
      <x:c r="S1995" s="87" t="n">
        <x:f>'Raw Sales'!K1995</x:f>
        <x:v>0.1</x:v>
      </x:c>
      <x:c r="T1995" s="93" t="n">
        <x:f>P1995*R1995</x:f>
        <x:v>116</x:v>
      </x:c>
      <x:c r="U1995" s="93" t="n">
        <x:f>T1995*S1995</x:f>
        <x:v>11.600000000000001</x:v>
      </x:c>
      <x:c r="V1995" s="93" t="str">
        <x:f>PROPER(TRIM('Raw Sales'!L1995))</x:f>
        <x:v>Completed</x:v>
      </x:c>
      <x:c r="W1995" s="93" t="n">
        <x:f>IF(V1995="Returned",0,T1995-U1995)</x:f>
        <x:v>104.4</x:v>
      </x:c>
      <x:c r="X1995" s="93" t="n">
        <x:f>IF(V1995="Returned",Q1995*R1995*10%,Q1995*R1995)</x:f>
        <x:v>40</x:v>
      </x:c>
      <x:c r="Y1995" s="93" t="n">
        <x:f>W1995-X1995</x:f>
        <x:v>64.4</x:v>
      </x:c>
      <x:c r="Z1995" s="94" t="n">
        <x:f>IFERROR(Y1995/W1995,0)</x:f>
        <x:v>0.6168582375478927</x:v>
      </x:c>
      <x:c r="AA1995" s="84" t="str">
        <x:f>PROPER(TRIM('Raw Sales'!M1995))</x:f>
        <x:v>Mobile Wallet</x:v>
      </x:c>
      <x:c r="AB1995" s="84" t="str">
        <x:f>PROPER(TRIM('Raw Sales'!N1995))</x:f>
        <x:v>Sofia Bennett</x:v>
      </x:c>
      <x:c r="AC1995" s="85" t="n">
        <x:f>'Raw Sales'!O1995</x:f>
        <x:v>45933</x:v>
      </x:c>
      <x:c r="AD1995" s="84" t="n">
        <x:f>AC1995-B1995</x:f>
        <x:v>0</x:v>
      </x:c>
      <x:c r="AE1995" s="84" t="str">
        <x:f>IF(COUNTIF($A$5:A1995,A1995)&gt;1,"Duplicate","Keep")</x:f>
        <x:v>Keep</x:v>
      </x:c>
      <x:c r="AF1995" s="84" t="str">
        <x:f>IF(OR(R1995&lt;=0,AC1995&lt;B1995,H1995="Unknown",M1995="Unknown Product"),"Review","Valid")</x:f>
        <x:v>Valid</x:v>
      </x:c>
      <x:c r="AG1995" s="84" t="n">
        <x:f>IF(AND(AE1995="Keep",AF1995="Valid"),1,0)</x:f>
        <x:v>1</x:v>
      </x:c>
      <x:c r="AH1995" s="84" t="n">
        <x:f>IF(AND(AG1995=1,OR('Dashboard'!$B$4="All",I1995='Dashboard'!$B$4),OR('Dashboard'!$E$4="All",N1995='Dashboard'!$E$4),OR('Dashboard'!$H$4="All",K1995='Dashboard'!$H$4),OR('Dashboard'!$K$4="All",C1995='Dashboard'!$K$4)),1,0)</x:f>
        <x:v>1</x:v>
      </x:c>
      <x:c r="AI1995" s="84" t="n">
        <x:f>IF(AND(AG1995=1,OR('Dashboard'!$B$4="All",I1995='Dashboard'!$B$4),OR('Dashboard'!$E$4="All",N1995='Dashboard'!$E$4),OR('Dashboard'!$H$4="All",K1995='Dashboard'!$H$4)),1,0)</x:f>
        <x:v>1</x:v>
      </x:c>
    </x:row>
    <x:row r="1996">
      <x:c r="A1996" s="84" t="str">
        <x:f>'Raw Sales'!A1996</x:f>
        <x:v>ORD-2025-01506</x:v>
      </x:c>
      <x:c r="B1996" s="85" t="n">
        <x:f>'Raw Sales'!B1996</x:f>
        <x:v>45933</x:v>
      </x:c>
      <x:c r="C1996" s="84" t="n">
        <x:f>YEAR(B1996)</x:f>
        <x:v>2025</x:v>
      </x:c>
      <x:c r="D1996" s="91" t="n">
        <x:f>DATE(YEAR(B1996),MONTH(B1996),1)</x:f>
        <x:v>45931</x:v>
      </x:c>
      <x:c r="E1996" s="84" t="str">
        <x:f>TEXT(B1996,"mmm")</x:f>
        <x:v>Oct</x:v>
      </x:c>
      <x:c r="F1996" s="84" t="str">
        <x:f>'Raw Sales'!C1996</x:f>
        <x:v>CUST-0635</x:v>
      </x:c>
      <x:c r="G1996" s="84" t="str">
        <x:f>PROPER(TRIM('Raw Sales'!D1996))</x:f>
        <x:v>Owen Patel</x:v>
      </x:c>
      <x:c r="H1996" s="84" t="str">
        <x:f>IF(TRIM('Raw Sales'!E1996)="","Unknown",PROPER(TRIM('Raw Sales'!E1996)))</x:f>
        <x:v>Consumer</x:v>
      </x:c>
      <x:c r="I1996" s="84" t="str">
        <x:f>PROPER(TRIM('Raw Sales'!F1996))</x:f>
        <x:v>Northeast</x:v>
      </x:c>
      <x:c r="J1996" s="84" t="str">
        <x:f>PROPER(TRIM('Raw Sales'!G1996))</x:f>
        <x:v>Philadelphia</x:v>
      </x:c>
      <x:c r="K1996" s="84" t="str">
        <x:f>PROPER(TRIM('Raw Sales'!H1996))</x:f>
        <x:v>Retail Store</x:v>
      </x:c>
      <x:c r="L1996" s="84" t="str">
        <x:f>'Raw Sales'!I1996</x:f>
        <x:v>HOME-003</x:v>
      </x:c>
      <x:c r="M1996" s="84" t="str">
        <x:f>IFERROR(VLOOKUP(L1996,'Reference Data'!$A$5:$F$40,2,FALSE),"Unknown Product")</x:f>
        <x:v>Countertop Blender</x:v>
      </x:c>
      <x:c r="N1996" s="84" t="str">
        <x:f>IFERROR(VLOOKUP(L1996,'Reference Data'!$A$5:$F$40,3,FALSE),"Unknown")</x:f>
        <x:v>Home &amp; Kitchen</x:v>
      </x:c>
      <x:c r="O1996" s="84" t="str">
        <x:f>IFERROR(VLOOKUP(L1996,'Reference Data'!$A$5:$F$40,4,FALSE),"Unknown")</x:f>
        <x:v>Small Appliances</x:v>
      </x:c>
      <x:c r="P1996" s="92" t="n">
        <x:f>IFERROR(VLOOKUP(L1996,'Reference Data'!$A$5:$F$40,5,FALSE),0)</x:f>
        <x:v>89</x:v>
      </x:c>
      <x:c r="Q1996" s="92" t="n">
        <x:f>IFERROR(VLOOKUP(L1996,'Reference Data'!$A$5:$F$40,6,FALSE),0)</x:f>
        <x:v>46</x:v>
      </x:c>
      <x:c r="R1996" s="84" t="n">
        <x:f>'Raw Sales'!J1996</x:f>
        <x:v>2</x:v>
      </x:c>
      <x:c r="S1996" s="87" t="n">
        <x:f>'Raw Sales'!K1996</x:f>
        <x:v>0</x:v>
      </x:c>
      <x:c r="T1996" s="93" t="n">
        <x:f>P1996*R1996</x:f>
        <x:v>178</x:v>
      </x:c>
      <x:c r="U1996" s="93" t="n">
        <x:f>T1996*S1996</x:f>
        <x:v>0</x:v>
      </x:c>
      <x:c r="V1996" s="93" t="str">
        <x:f>PROPER(TRIM('Raw Sales'!L1996))</x:f>
        <x:v>Completed</x:v>
      </x:c>
      <x:c r="W1996" s="93" t="n">
        <x:f>IF(V1996="Returned",0,T1996-U1996)</x:f>
        <x:v>178</x:v>
      </x:c>
      <x:c r="X1996" s="93" t="n">
        <x:f>IF(V1996="Returned",Q1996*R1996*10%,Q1996*R1996)</x:f>
        <x:v>92</x:v>
      </x:c>
      <x:c r="Y1996" s="93" t="n">
        <x:f>W1996-X1996</x:f>
        <x:v>86</x:v>
      </x:c>
      <x:c r="Z1996" s="94" t="n">
        <x:f>IFERROR(Y1996/W1996,0)</x:f>
        <x:v>0.48314606741573035</x:v>
      </x:c>
      <x:c r="AA1996" s="84" t="str">
        <x:f>PROPER(TRIM('Raw Sales'!M1996))</x:f>
        <x:v>Debit Card</x:v>
      </x:c>
      <x:c r="AB1996" s="84" t="str">
        <x:f>PROPER(TRIM('Raw Sales'!N1996))</x:f>
        <x:v>Maya Brooks</x:v>
      </x:c>
      <x:c r="AC1996" s="85" t="n">
        <x:f>'Raw Sales'!O1996</x:f>
        <x:v>45933</x:v>
      </x:c>
      <x:c r="AD1996" s="84" t="n">
        <x:f>AC1996-B1996</x:f>
        <x:v>0</x:v>
      </x:c>
      <x:c r="AE1996" s="84" t="str">
        <x:f>IF(COUNTIF($A$5:A1996,A1996)&gt;1,"Duplicate","Keep")</x:f>
        <x:v>Keep</x:v>
      </x:c>
      <x:c r="AF1996" s="84" t="str">
        <x:f>IF(OR(R1996&lt;=0,AC1996&lt;B1996,H1996="Unknown",M1996="Unknown Product"),"Review","Valid")</x:f>
        <x:v>Valid</x:v>
      </x:c>
      <x:c r="AG1996" s="84" t="n">
        <x:f>IF(AND(AE1996="Keep",AF1996="Valid"),1,0)</x:f>
        <x:v>1</x:v>
      </x:c>
      <x:c r="AH1996" s="84" t="n">
        <x:f>IF(AND(AG1996=1,OR('Dashboard'!$B$4="All",I1996='Dashboard'!$B$4),OR('Dashboard'!$E$4="All",N1996='Dashboard'!$E$4),OR('Dashboard'!$H$4="All",K1996='Dashboard'!$H$4),OR('Dashboard'!$K$4="All",C1996='Dashboard'!$K$4)),1,0)</x:f>
        <x:v>1</x:v>
      </x:c>
      <x:c r="AI1996" s="84" t="n">
        <x:f>IF(AND(AG1996=1,OR('Dashboard'!$B$4="All",I1996='Dashboard'!$B$4),OR('Dashboard'!$E$4="All",N1996='Dashboard'!$E$4),OR('Dashboard'!$H$4="All",K1996='Dashboard'!$H$4)),1,0)</x:f>
        <x:v>1</x:v>
      </x:c>
    </x:row>
    <x:row r="1997">
      <x:c r="A1997" s="84" t="str">
        <x:f>'Raw Sales'!A1997</x:f>
        <x:v>ORD-2025-02327</x:v>
      </x:c>
      <x:c r="B1997" s="85" t="n">
        <x:f>'Raw Sales'!B1997</x:f>
        <x:v>45933</x:v>
      </x:c>
      <x:c r="C1997" s="84" t="n">
        <x:f>YEAR(B1997)</x:f>
        <x:v>2025</x:v>
      </x:c>
      <x:c r="D1997" s="91" t="n">
        <x:f>DATE(YEAR(B1997),MONTH(B1997),1)</x:f>
        <x:v>45931</x:v>
      </x:c>
      <x:c r="E1997" s="84" t="str">
        <x:f>TEXT(B1997,"mmm")</x:f>
        <x:v>Oct</x:v>
      </x:c>
      <x:c r="F1997" s="84" t="str">
        <x:f>'Raw Sales'!C1997</x:f>
        <x:v>CUST-0483</x:v>
      </x:c>
      <x:c r="G1997" s="84" t="str">
        <x:f>PROPER(TRIM('Raw Sales'!D1997))</x:f>
        <x:v>Daniel Carter</x:v>
      </x:c>
      <x:c r="H1997" s="84" t="str">
        <x:f>IF(TRIM('Raw Sales'!E1997)="","Unknown",PROPER(TRIM('Raw Sales'!E1997)))</x:f>
        <x:v>Consumer</x:v>
      </x:c>
      <x:c r="I1997" s="84" t="str">
        <x:f>PROPER(TRIM('Raw Sales'!F1997))</x:f>
        <x:v>West</x:v>
      </x:c>
      <x:c r="J1997" s="84" t="str">
        <x:f>PROPER(TRIM('Raw Sales'!G1997))</x:f>
        <x:v>Denver</x:v>
      </x:c>
      <x:c r="K1997" s="84" t="str">
        <x:f>PROPER(TRIM('Raw Sales'!H1997))</x:f>
        <x:v>Retail Store</x:v>
      </x:c>
      <x:c r="L1997" s="84" t="str">
        <x:f>'Raw Sales'!I1997</x:f>
        <x:v>ELEC-001</x:v>
      </x:c>
      <x:c r="M1997" s="84" t="str">
        <x:f>IFERROR(VLOOKUP(L1997,'Reference Data'!$A$5:$F$40,2,FALSE),"Unknown Product")</x:f>
        <x:v>Wireless Earbuds</x:v>
      </x:c>
      <x:c r="N1997" s="84" t="str">
        <x:f>IFERROR(VLOOKUP(L1997,'Reference Data'!$A$5:$F$40,3,FALSE),"Unknown")</x:f>
        <x:v>Electronics</x:v>
      </x:c>
      <x:c r="O1997" s="84" t="str">
        <x:f>IFERROR(VLOOKUP(L1997,'Reference Data'!$A$5:$F$40,4,FALSE),"Unknown")</x:f>
        <x:v>Audio</x:v>
      </x:c>
      <x:c r="P1997" s="92" t="n">
        <x:f>IFERROR(VLOOKUP(L1997,'Reference Data'!$A$5:$F$40,5,FALSE),0)</x:f>
        <x:v>69</x:v>
      </x:c>
      <x:c r="Q1997" s="92" t="n">
        <x:f>IFERROR(VLOOKUP(L1997,'Reference Data'!$A$5:$F$40,6,FALSE),0)</x:f>
        <x:v>36</x:v>
      </x:c>
      <x:c r="R1997" s="84" t="n">
        <x:f>'Raw Sales'!J1997</x:f>
        <x:v>3</x:v>
      </x:c>
      <x:c r="S1997" s="87" t="n">
        <x:f>'Raw Sales'!K1997</x:f>
        <x:v>0.05</x:v>
      </x:c>
      <x:c r="T1997" s="93" t="n">
        <x:f>P1997*R1997</x:f>
        <x:v>207</x:v>
      </x:c>
      <x:c r="U1997" s="93" t="n">
        <x:f>T1997*S1997</x:f>
        <x:v>10.350000000000001</x:v>
      </x:c>
      <x:c r="V1997" s="93" t="str">
        <x:f>PROPER(TRIM('Raw Sales'!L1997))</x:f>
        <x:v>Completed</x:v>
      </x:c>
      <x:c r="W1997" s="93" t="n">
        <x:f>IF(V1997="Returned",0,T1997-U1997)</x:f>
        <x:v>196.65</x:v>
      </x:c>
      <x:c r="X1997" s="93" t="n">
        <x:f>IF(V1997="Returned",Q1997*R1997*10%,Q1997*R1997)</x:f>
        <x:v>108</x:v>
      </x:c>
      <x:c r="Y1997" s="93" t="n">
        <x:f>W1997-X1997</x:f>
        <x:v>88.65</x:v>
      </x:c>
      <x:c r="Z1997" s="94" t="n">
        <x:f>IFERROR(Y1997/W1997,0)</x:f>
        <x:v>0.45080091533180777</x:v>
      </x:c>
      <x:c r="AA1997" s="84" t="str">
        <x:f>PROPER(TRIM('Raw Sales'!M1997))</x:f>
        <x:v>Debit Card</x:v>
      </x:c>
      <x:c r="AB1997" s="84" t="str">
        <x:f>PROPER(TRIM('Raw Sales'!N1997))</x:f>
        <x:v>Mia Chen</x:v>
      </x:c>
      <x:c r="AC1997" s="85" t="n">
        <x:f>'Raw Sales'!O1997</x:f>
        <x:v>45934</x:v>
      </x:c>
      <x:c r="AD1997" s="84" t="n">
        <x:f>AC1997-B1997</x:f>
        <x:v>1</x:v>
      </x:c>
      <x:c r="AE1997" s="84" t="str">
        <x:f>IF(COUNTIF($A$5:A1997,A1997)&gt;1,"Duplicate","Keep")</x:f>
        <x:v>Keep</x:v>
      </x:c>
      <x:c r="AF1997" s="84" t="str">
        <x:f>IF(OR(R1997&lt;=0,AC1997&lt;B1997,H1997="Unknown",M1997="Unknown Product"),"Review","Valid")</x:f>
        <x:v>Valid</x:v>
      </x:c>
      <x:c r="AG1997" s="84" t="n">
        <x:f>IF(AND(AE1997="Keep",AF1997="Valid"),1,0)</x:f>
        <x:v>1</x:v>
      </x:c>
      <x:c r="AH1997" s="84" t="n">
        <x:f>IF(AND(AG1997=1,OR('Dashboard'!$B$4="All",I1997='Dashboard'!$B$4),OR('Dashboard'!$E$4="All",N1997='Dashboard'!$E$4),OR('Dashboard'!$H$4="All",K1997='Dashboard'!$H$4),OR('Dashboard'!$K$4="All",C1997='Dashboard'!$K$4)),1,0)</x:f>
        <x:v>1</x:v>
      </x:c>
      <x:c r="AI1997" s="84" t="n">
        <x:f>IF(AND(AG1997=1,OR('Dashboard'!$B$4="All",I1997='Dashboard'!$B$4),OR('Dashboard'!$E$4="All",N1997='Dashboard'!$E$4),OR('Dashboard'!$H$4="All",K1997='Dashboard'!$H$4)),1,0)</x:f>
        <x:v>1</x:v>
      </x:c>
    </x:row>
    <x:row r="1998">
      <x:c r="A1998" s="84" t="str">
        <x:f>'Raw Sales'!A1998</x:f>
        <x:v>ORD-2025-00872</x:v>
      </x:c>
      <x:c r="B1998" s="85" t="n">
        <x:f>'Raw Sales'!B1998</x:f>
        <x:v>45934</x:v>
      </x:c>
      <x:c r="C1998" s="84" t="n">
        <x:f>YEAR(B1998)</x:f>
        <x:v>2025</x:v>
      </x:c>
      <x:c r="D1998" s="91" t="n">
        <x:f>DATE(YEAR(B1998),MONTH(B1998),1)</x:f>
        <x:v>45931</x:v>
      </x:c>
      <x:c r="E1998" s="84" t="str">
        <x:f>TEXT(B1998,"mmm")</x:f>
        <x:v>Oct</x:v>
      </x:c>
      <x:c r="F1998" s="84" t="str">
        <x:f>'Raw Sales'!C1998</x:f>
        <x:v>CUST-0399</x:v>
      </x:c>
      <x:c r="G1998" s="84" t="str">
        <x:f>PROPER(TRIM('Raw Sales'!D1998))</x:f>
        <x:v>Aiden Foster</x:v>
      </x:c>
      <x:c r="H1998" s="84" t="str">
        <x:f>IF(TRIM('Raw Sales'!E1998)="","Unknown",PROPER(TRIM('Raw Sales'!E1998)))</x:f>
        <x:v>Consumer</x:v>
      </x:c>
      <x:c r="I1998" s="84" t="str">
        <x:f>PROPER(TRIM('Raw Sales'!F1998))</x:f>
        <x:v>Midwest</x:v>
      </x:c>
      <x:c r="J1998" s="84" t="str">
        <x:f>PROPER(TRIM('Raw Sales'!G1998))</x:f>
        <x:v>Detroit</x:v>
      </x:c>
      <x:c r="K1998" s="84" t="str">
        <x:f>PROPER(TRIM('Raw Sales'!H1998))</x:f>
        <x:v>Online</x:v>
      </x:c>
      <x:c r="L1998" s="84" t="str">
        <x:f>'Raw Sales'!I1998</x:f>
        <x:v>HOME-001</x:v>
      </x:c>
      <x:c r="M1998" s="84" t="str">
        <x:f>IFERROR(VLOOKUP(L1998,'Reference Data'!$A$5:$F$40,2,FALSE),"Unknown Product")</x:f>
        <x:v>Air Fryer</x:v>
      </x:c>
      <x:c r="N1998" s="84" t="str">
        <x:f>IFERROR(VLOOKUP(L1998,'Reference Data'!$A$5:$F$40,3,FALSE),"Unknown")</x:f>
        <x:v>Home &amp; Kitchen</x:v>
      </x:c>
      <x:c r="O1998" s="84" t="str">
        <x:f>IFERROR(VLOOKUP(L1998,'Reference Data'!$A$5:$F$40,4,FALSE),"Unknown")</x:f>
        <x:v>Small Appliances</x:v>
      </x:c>
      <x:c r="P1998" s="92" t="n">
        <x:f>IFERROR(VLOOKUP(L1998,'Reference Data'!$A$5:$F$40,5,FALSE),0)</x:f>
        <x:v>119</x:v>
      </x:c>
      <x:c r="Q1998" s="92" t="n">
        <x:f>IFERROR(VLOOKUP(L1998,'Reference Data'!$A$5:$F$40,6,FALSE),0)</x:f>
        <x:v>68</x:v>
      </x:c>
      <x:c r="R1998" s="84" t="n">
        <x:f>'Raw Sales'!J1998</x:f>
        <x:v>2</x:v>
      </x:c>
      <x:c r="S1998" s="87" t="n">
        <x:f>'Raw Sales'!K1998</x:f>
        <x:v>0</x:v>
      </x:c>
      <x:c r="T1998" s="93" t="n">
        <x:f>P1998*R1998</x:f>
        <x:v>238</x:v>
      </x:c>
      <x:c r="U1998" s="93" t="n">
        <x:f>T1998*S1998</x:f>
        <x:v>0</x:v>
      </x:c>
      <x:c r="V1998" s="93" t="str">
        <x:f>PROPER(TRIM('Raw Sales'!L1998))</x:f>
        <x:v>Completed</x:v>
      </x:c>
      <x:c r="W1998" s="93" t="n">
        <x:f>IF(V1998="Returned",0,T1998-U1998)</x:f>
        <x:v>238</x:v>
      </x:c>
      <x:c r="X1998" s="93" t="n">
        <x:f>IF(V1998="Returned",Q1998*R1998*10%,Q1998*R1998)</x:f>
        <x:v>136</x:v>
      </x:c>
      <x:c r="Y1998" s="93" t="n">
        <x:f>W1998-X1998</x:f>
        <x:v>102</x:v>
      </x:c>
      <x:c r="Z1998" s="94" t="n">
        <x:f>IFERROR(Y1998/W1998,0)</x:f>
        <x:v>0.42857142857142855</x:v>
      </x:c>
      <x:c r="AA1998" s="84" t="str">
        <x:f>PROPER(TRIM('Raw Sales'!M1998))</x:f>
        <x:v>Debit Card</x:v>
      </x:c>
      <x:c r="AB1998" s="84" t="str">
        <x:f>PROPER(TRIM('Raw Sales'!N1998))</x:f>
        <x:v>Zoe Turner</x:v>
      </x:c>
      <x:c r="AC1998" s="85" t="n">
        <x:f>'Raw Sales'!O1998</x:f>
        <x:v>45938</x:v>
      </x:c>
      <x:c r="AD1998" s="84" t="n">
        <x:f>AC1998-B1998</x:f>
        <x:v>4</x:v>
      </x:c>
      <x:c r="AE1998" s="84" t="str">
        <x:f>IF(COUNTIF($A$5:A1998,A1998)&gt;1,"Duplicate","Keep")</x:f>
        <x:v>Keep</x:v>
      </x:c>
      <x:c r="AF1998" s="84" t="str">
        <x:f>IF(OR(R1998&lt;=0,AC1998&lt;B1998,H1998="Unknown",M1998="Unknown Product"),"Review","Valid")</x:f>
        <x:v>Valid</x:v>
      </x:c>
      <x:c r="AG1998" s="84" t="n">
        <x:f>IF(AND(AE1998="Keep",AF1998="Valid"),1,0)</x:f>
        <x:v>1</x:v>
      </x:c>
      <x:c r="AH1998" s="84" t="n">
        <x:f>IF(AND(AG1998=1,OR('Dashboard'!$B$4="All",I1998='Dashboard'!$B$4),OR('Dashboard'!$E$4="All",N1998='Dashboard'!$E$4),OR('Dashboard'!$H$4="All",K1998='Dashboard'!$H$4),OR('Dashboard'!$K$4="All",C1998='Dashboard'!$K$4)),1,0)</x:f>
        <x:v>1</x:v>
      </x:c>
      <x:c r="AI1998" s="84" t="n">
        <x:f>IF(AND(AG1998=1,OR('Dashboard'!$B$4="All",I1998='Dashboard'!$B$4),OR('Dashboard'!$E$4="All",N1998='Dashboard'!$E$4),OR('Dashboard'!$H$4="All",K1998='Dashboard'!$H$4)),1,0)</x:f>
        <x:v>1</x:v>
      </x:c>
    </x:row>
    <x:row r="1999">
      <x:c r="A1999" s="84" t="str">
        <x:f>'Raw Sales'!A1999</x:f>
        <x:v>ORD-2025-00990</x:v>
      </x:c>
      <x:c r="B1999" s="85" t="n">
        <x:f>'Raw Sales'!B1999</x:f>
        <x:v>45934</x:v>
      </x:c>
      <x:c r="C1999" s="84" t="n">
        <x:f>YEAR(B1999)</x:f>
        <x:v>2025</x:v>
      </x:c>
      <x:c r="D1999" s="91" t="n">
        <x:f>DATE(YEAR(B1999),MONTH(B1999),1)</x:f>
        <x:v>45931</x:v>
      </x:c>
      <x:c r="E1999" s="84" t="str">
        <x:f>TEXT(B1999,"mmm")</x:f>
        <x:v>Oct</x:v>
      </x:c>
      <x:c r="F1999" s="84" t="str">
        <x:f>'Raw Sales'!C1999</x:f>
        <x:v>CUST-0543</x:v>
      </x:c>
      <x:c r="G1999" s="84" t="str">
        <x:f>PROPER(TRIM('Raw Sales'!D1999))</x:f>
        <x:v>Marcus Quinn</x:v>
      </x:c>
      <x:c r="H1999" s="84" t="str">
        <x:f>IF(TRIM('Raw Sales'!E1999)="","Unknown",PROPER(TRIM('Raw Sales'!E1999)))</x:f>
        <x:v>Consumer</x:v>
      </x:c>
      <x:c r="I1999" s="84" t="str">
        <x:f>PROPER(TRIM('Raw Sales'!F1999))</x:f>
        <x:v>Southeast</x:v>
      </x:c>
      <x:c r="J1999" s="84" t="str">
        <x:f>PROPER(TRIM('Raw Sales'!G1999))</x:f>
        <x:v>Charlotte</x:v>
      </x:c>
      <x:c r="K1999" s="84" t="str">
        <x:f>PROPER(TRIM('Raw Sales'!H1999))</x:f>
        <x:v>Retail Store</x:v>
      </x:c>
      <x:c r="L1999" s="84" t="str">
        <x:f>'Raw Sales'!I1999</x:f>
        <x:v>ELEC-001</x:v>
      </x:c>
      <x:c r="M1999" s="84" t="str">
        <x:f>IFERROR(VLOOKUP(L1999,'Reference Data'!$A$5:$F$40,2,FALSE),"Unknown Product")</x:f>
        <x:v>Wireless Earbuds</x:v>
      </x:c>
      <x:c r="N1999" s="84" t="str">
        <x:f>IFERROR(VLOOKUP(L1999,'Reference Data'!$A$5:$F$40,3,FALSE),"Unknown")</x:f>
        <x:v>Electronics</x:v>
      </x:c>
      <x:c r="O1999" s="84" t="str">
        <x:f>IFERROR(VLOOKUP(L1999,'Reference Data'!$A$5:$F$40,4,FALSE),"Unknown")</x:f>
        <x:v>Audio</x:v>
      </x:c>
      <x:c r="P1999" s="92" t="n">
        <x:f>IFERROR(VLOOKUP(L1999,'Reference Data'!$A$5:$F$40,5,FALSE),0)</x:f>
        <x:v>69</x:v>
      </x:c>
      <x:c r="Q1999" s="92" t="n">
        <x:f>IFERROR(VLOOKUP(L1999,'Reference Data'!$A$5:$F$40,6,FALSE),0)</x:f>
        <x:v>36</x:v>
      </x:c>
      <x:c r="R1999" s="84" t="n">
        <x:f>'Raw Sales'!J1999</x:f>
        <x:v>1</x:v>
      </x:c>
      <x:c r="S1999" s="87" t="n">
        <x:f>'Raw Sales'!K1999</x:f>
        <x:v>0.05</x:v>
      </x:c>
      <x:c r="T1999" s="93" t="n">
        <x:f>P1999*R1999</x:f>
        <x:v>69</x:v>
      </x:c>
      <x:c r="U1999" s="93" t="n">
        <x:f>T1999*S1999</x:f>
        <x:v>3.45</x:v>
      </x:c>
      <x:c r="V1999" s="93" t="str">
        <x:f>PROPER(TRIM('Raw Sales'!L1999))</x:f>
        <x:v>Completed</x:v>
      </x:c>
      <x:c r="W1999" s="93" t="n">
        <x:f>IF(V1999="Returned",0,T1999-U1999)</x:f>
        <x:v>65.55</x:v>
      </x:c>
      <x:c r="X1999" s="93" t="n">
        <x:f>IF(V1999="Returned",Q1999*R1999*10%,Q1999*R1999)</x:f>
        <x:v>36</x:v>
      </x:c>
      <x:c r="Y1999" s="93" t="n">
        <x:f>W1999-X1999</x:f>
        <x:v>29.549999999999997</x:v>
      </x:c>
      <x:c r="Z1999" s="94" t="n">
        <x:f>IFERROR(Y1999/W1999,0)</x:f>
        <x:v>0.45080091533180777</x:v>
      </x:c>
      <x:c r="AA1999" s="84" t="str">
        <x:f>PROPER(TRIM('Raw Sales'!M1999))</x:f>
        <x:v>Credit Card</x:v>
      </x:c>
      <x:c r="AB1999" s="84" t="str">
        <x:f>PROPER(TRIM('Raw Sales'!N1999))</x:f>
        <x:v>Ava Mitchell</x:v>
      </x:c>
      <x:c r="AC1999" s="85" t="n">
        <x:f>'Raw Sales'!O1999</x:f>
        <x:v>45934</x:v>
      </x:c>
      <x:c r="AD1999" s="84" t="n">
        <x:f>AC1999-B1999</x:f>
        <x:v>0</x:v>
      </x:c>
      <x:c r="AE1999" s="84" t="str">
        <x:f>IF(COUNTIF($A$5:A1999,A1999)&gt;1,"Duplicate","Keep")</x:f>
        <x:v>Keep</x:v>
      </x:c>
      <x:c r="AF1999" s="84" t="str">
        <x:f>IF(OR(R1999&lt;=0,AC1999&lt;B1999,H1999="Unknown",M1999="Unknown Product"),"Review","Valid")</x:f>
        <x:v>Valid</x:v>
      </x:c>
      <x:c r="AG1999" s="84" t="n">
        <x:f>IF(AND(AE1999="Keep",AF1999="Valid"),1,0)</x:f>
        <x:v>1</x:v>
      </x:c>
      <x:c r="AH1999" s="84" t="n">
        <x:f>IF(AND(AG1999=1,OR('Dashboard'!$B$4="All",I1999='Dashboard'!$B$4),OR('Dashboard'!$E$4="All",N1999='Dashboard'!$E$4),OR('Dashboard'!$H$4="All",K1999='Dashboard'!$H$4),OR('Dashboard'!$K$4="All",C1999='Dashboard'!$K$4)),1,0)</x:f>
        <x:v>1</x:v>
      </x:c>
      <x:c r="AI1999" s="84" t="n">
        <x:f>IF(AND(AG1999=1,OR('Dashboard'!$B$4="All",I1999='Dashboard'!$B$4),OR('Dashboard'!$E$4="All",N1999='Dashboard'!$E$4),OR('Dashboard'!$H$4="All",K1999='Dashboard'!$H$4)),1,0)</x:f>
        <x:v>1</x:v>
      </x:c>
    </x:row>
    <x:row r="2000">
      <x:c r="A2000" s="84" t="str">
        <x:f>'Raw Sales'!A2000</x:f>
        <x:v>ORD-2025-02296</x:v>
      </x:c>
      <x:c r="B2000" s="85" t="n">
        <x:f>'Raw Sales'!B2000</x:f>
        <x:v>45934</x:v>
      </x:c>
      <x:c r="C2000" s="84" t="n">
        <x:f>YEAR(B2000)</x:f>
        <x:v>2025</x:v>
      </x:c>
      <x:c r="D2000" s="91" t="n">
        <x:f>DATE(YEAR(B2000),MONTH(B2000),1)</x:f>
        <x:v>45931</x:v>
      </x:c>
      <x:c r="E2000" s="84" t="str">
        <x:f>TEXT(B2000,"mmm")</x:f>
        <x:v>Oct</x:v>
      </x:c>
      <x:c r="F2000" s="84" t="str">
        <x:f>'Raw Sales'!C2000</x:f>
        <x:v>CUST-0475</x:v>
      </x:c>
      <x:c r="G2000" s="84" t="str">
        <x:f>PROPER(TRIM('Raw Sales'!D2000))</x:f>
        <x:v>Samuel Walker</x:v>
      </x:c>
      <x:c r="H2000" s="84" t="str">
        <x:f>IF(TRIM('Raw Sales'!E2000)="","Unknown",PROPER(TRIM('Raw Sales'!E2000)))</x:f>
        <x:v>Corporate</x:v>
      </x:c>
      <x:c r="I2000" s="84" t="str">
        <x:f>PROPER(TRIM('Raw Sales'!F2000))</x:f>
        <x:v>Northeast</x:v>
      </x:c>
      <x:c r="J2000" s="84" t="str">
        <x:f>PROPER(TRIM('Raw Sales'!G2000))</x:f>
        <x:v>Boston</x:v>
      </x:c>
      <x:c r="K2000" s="84" t="str">
        <x:f>PROPER(TRIM('Raw Sales'!H2000))</x:f>
        <x:v>Marketplace</x:v>
      </x:c>
      <x:c r="L2000" s="84" t="str">
        <x:f>'Raw Sales'!I2000</x:f>
        <x:v>ELEC-004</x:v>
      </x:c>
      <x:c r="M2000" s="84" t="str">
        <x:f>IFERROR(VLOOKUP(L2000,'Reference Data'!$A$5:$F$40,2,FALSE),"Unknown Product")</x:f>
        <x:v>Power Bank</x:v>
      </x:c>
      <x:c r="N2000" s="84" t="str">
        <x:f>IFERROR(VLOOKUP(L2000,'Reference Data'!$A$5:$F$40,3,FALSE),"Unknown")</x:f>
        <x:v>Electronics</x:v>
      </x:c>
      <x:c r="O2000" s="84" t="str">
        <x:f>IFERROR(VLOOKUP(L2000,'Reference Data'!$A$5:$F$40,4,FALSE),"Unknown")</x:f>
        <x:v>Mobile Accessories</x:v>
      </x:c>
      <x:c r="P2000" s="92" t="n">
        <x:f>IFERROR(VLOOKUP(L2000,'Reference Data'!$A$5:$F$40,5,FALSE),0)</x:f>
        <x:v>39</x:v>
      </x:c>
      <x:c r="Q2000" s="92" t="n">
        <x:f>IFERROR(VLOOKUP(L2000,'Reference Data'!$A$5:$F$40,6,FALSE),0)</x:f>
        <x:v>18</x:v>
      </x:c>
      <x:c r="R2000" s="84" t="n">
        <x:f>'Raw Sales'!J2000</x:f>
        <x:v>2</x:v>
      </x:c>
      <x:c r="S2000" s="87" t="n">
        <x:f>'Raw Sales'!K2000</x:f>
        <x:v>0</x:v>
      </x:c>
      <x:c r="T2000" s="93" t="n">
        <x:f>P2000*R2000</x:f>
        <x:v>78</x:v>
      </x:c>
      <x:c r="U2000" s="93" t="n">
        <x:f>T2000*S2000</x:f>
        <x:v>0</x:v>
      </x:c>
      <x:c r="V2000" s="93" t="str">
        <x:f>PROPER(TRIM('Raw Sales'!L2000))</x:f>
        <x:v>Completed</x:v>
      </x:c>
      <x:c r="W2000" s="93" t="n">
        <x:f>IF(V2000="Returned",0,T2000-U2000)</x:f>
        <x:v>78</x:v>
      </x:c>
      <x:c r="X2000" s="93" t="n">
        <x:f>IF(V2000="Returned",Q2000*R2000*10%,Q2000*R2000)</x:f>
        <x:v>36</x:v>
      </x:c>
      <x:c r="Y2000" s="93" t="n">
        <x:f>W2000-X2000</x:f>
        <x:v>42</x:v>
      </x:c>
      <x:c r="Z2000" s="94" t="n">
        <x:f>IFERROR(Y2000/W2000,0)</x:f>
        <x:v>0.5384615384615384</x:v>
      </x:c>
      <x:c r="AA2000" s="84" t="str">
        <x:f>PROPER(TRIM('Raw Sales'!M2000))</x:f>
        <x:v>Credit Card</x:v>
      </x:c>
      <x:c r="AB2000" s="84" t="str">
        <x:f>PROPER(TRIM('Raw Sales'!N2000))</x:f>
        <x:v>Maya Brooks</x:v>
      </x:c>
      <x:c r="AC2000" s="85" t="n">
        <x:f>'Raw Sales'!O2000</x:f>
        <x:v>45939</x:v>
      </x:c>
      <x:c r="AD2000" s="84" t="n">
        <x:f>AC2000-B2000</x:f>
        <x:v>5</x:v>
      </x:c>
      <x:c r="AE2000" s="84" t="str">
        <x:f>IF(COUNTIF($A$5:A2000,A2000)&gt;1,"Duplicate","Keep")</x:f>
        <x:v>Keep</x:v>
      </x:c>
      <x:c r="AF2000" s="84" t="str">
        <x:f>IF(OR(R2000&lt;=0,AC2000&lt;B2000,H2000="Unknown",M2000="Unknown Product"),"Review","Valid")</x:f>
        <x:v>Valid</x:v>
      </x:c>
      <x:c r="AG2000" s="84" t="n">
        <x:f>IF(AND(AE2000="Keep",AF2000="Valid"),1,0)</x:f>
        <x:v>1</x:v>
      </x:c>
      <x:c r="AH2000" s="84" t="n">
        <x:f>IF(AND(AG2000=1,OR('Dashboard'!$B$4="All",I2000='Dashboard'!$B$4),OR('Dashboard'!$E$4="All",N2000='Dashboard'!$E$4),OR('Dashboard'!$H$4="All",K2000='Dashboard'!$H$4),OR('Dashboard'!$K$4="All",C2000='Dashboard'!$K$4)),1,0)</x:f>
        <x:v>1</x:v>
      </x:c>
      <x:c r="AI2000" s="84" t="n">
        <x:f>IF(AND(AG2000=1,OR('Dashboard'!$B$4="All",I2000='Dashboard'!$B$4),OR('Dashboard'!$E$4="All",N2000='Dashboard'!$E$4),OR('Dashboard'!$H$4="All",K2000='Dashboard'!$H$4)),1,0)</x:f>
        <x:v>1</x:v>
      </x:c>
    </x:row>
    <x:row r="2001">
      <x:c r="A2001" s="84" t="str">
        <x:f>'Raw Sales'!A2001</x:f>
        <x:v>ORD-2025-00589</x:v>
      </x:c>
      <x:c r="B2001" s="85" t="n">
        <x:f>'Raw Sales'!B2001</x:f>
        <x:v>45935</x:v>
      </x:c>
      <x:c r="C2001" s="84" t="n">
        <x:f>YEAR(B2001)</x:f>
        <x:v>2025</x:v>
      </x:c>
      <x:c r="D2001" s="91" t="n">
        <x:f>DATE(YEAR(B2001),MONTH(B2001),1)</x:f>
        <x:v>45931</x:v>
      </x:c>
      <x:c r="E2001" s="84" t="str">
        <x:f>TEXT(B2001,"mmm")</x:f>
        <x:v>Oct</x:v>
      </x:c>
      <x:c r="F2001" s="84" t="str">
        <x:f>'Raw Sales'!C2001</x:f>
        <x:v>CUST-0004</x:v>
      </x:c>
      <x:c r="G2001" s="84" t="str">
        <x:f>PROPER(TRIM('Raw Sales'!D2001))</x:f>
        <x:v>Caleb Carter</x:v>
      </x:c>
      <x:c r="H2001" s="84" t="str">
        <x:f>IF(TRIM('Raw Sales'!E2001)="","Unknown",PROPER(TRIM('Raw Sales'!E2001)))</x:f>
        <x:v>Consumer</x:v>
      </x:c>
      <x:c r="I2001" s="84" t="str">
        <x:f>PROPER(TRIM('Raw Sales'!F2001))</x:f>
        <x:v>Southeast</x:v>
      </x:c>
      <x:c r="J2001" s="84" t="str">
        <x:f>PROPER(TRIM('Raw Sales'!G2001))</x:f>
        <x:v>Atlanta</x:v>
      </x:c>
      <x:c r="K2001" s="84" t="str">
        <x:f>PROPER(TRIM('Raw Sales'!H2001))</x:f>
        <x:v>Retail Store</x:v>
      </x:c>
      <x:c r="L2001" s="84" t="str">
        <x:f>'Raw Sales'!I2001</x:f>
        <x:v>HOME-001</x:v>
      </x:c>
      <x:c r="M2001" s="84" t="str">
        <x:f>IFERROR(VLOOKUP(L2001,'Reference Data'!$A$5:$F$40,2,FALSE),"Unknown Product")</x:f>
        <x:v>Air Fryer</x:v>
      </x:c>
      <x:c r="N2001" s="84" t="str">
        <x:f>IFERROR(VLOOKUP(L2001,'Reference Data'!$A$5:$F$40,3,FALSE),"Unknown")</x:f>
        <x:v>Home &amp; Kitchen</x:v>
      </x:c>
      <x:c r="O2001" s="84" t="str">
        <x:f>IFERROR(VLOOKUP(L2001,'Reference Data'!$A$5:$F$40,4,FALSE),"Unknown")</x:f>
        <x:v>Small Appliances</x:v>
      </x:c>
      <x:c r="P2001" s="92" t="n">
        <x:f>IFERROR(VLOOKUP(L2001,'Reference Data'!$A$5:$F$40,5,FALSE),0)</x:f>
        <x:v>119</x:v>
      </x:c>
      <x:c r="Q2001" s="92" t="n">
        <x:f>IFERROR(VLOOKUP(L2001,'Reference Data'!$A$5:$F$40,6,FALSE),0)</x:f>
        <x:v>68</x:v>
      </x:c>
      <x:c r="R2001" s="84" t="n">
        <x:f>'Raw Sales'!J2001</x:f>
        <x:v>2</x:v>
      </x:c>
      <x:c r="S2001" s="87" t="n">
        <x:f>'Raw Sales'!K2001</x:f>
        <x:v>0.1</x:v>
      </x:c>
      <x:c r="T2001" s="93" t="n">
        <x:f>P2001*R2001</x:f>
        <x:v>238</x:v>
      </x:c>
      <x:c r="U2001" s="93" t="n">
        <x:f>T2001*S2001</x:f>
        <x:v>23.8</x:v>
      </x:c>
      <x:c r="V2001" s="93" t="str">
        <x:f>PROPER(TRIM('Raw Sales'!L2001))</x:f>
        <x:v>Completed</x:v>
      </x:c>
      <x:c r="W2001" s="93" t="n">
        <x:f>IF(V2001="Returned",0,T2001-U2001)</x:f>
        <x:v>214.2</x:v>
      </x:c>
      <x:c r="X2001" s="93" t="n">
        <x:f>IF(V2001="Returned",Q2001*R2001*10%,Q2001*R2001)</x:f>
        <x:v>136</x:v>
      </x:c>
      <x:c r="Y2001" s="93" t="n">
        <x:f>W2001-X2001</x:f>
        <x:v>78.19999999999999</x:v>
      </x:c>
      <x:c r="Z2001" s="94" t="n">
        <x:f>IFERROR(Y2001/W2001,0)</x:f>
        <x:v>0.36507936507936506</x:v>
      </x:c>
      <x:c r="AA2001" s="84" t="str">
        <x:f>PROPER(TRIM('Raw Sales'!M2001))</x:f>
        <x:v>Debit Card</x:v>
      </x:c>
      <x:c r="AB2001" s="84" t="str">
        <x:f>PROPER(TRIM('Raw Sales'!N2001))</x:f>
        <x:v>Noah Reed</x:v>
      </x:c>
      <x:c r="AC2001" s="85" t="n">
        <x:f>'Raw Sales'!O2001</x:f>
        <x:v>45935</x:v>
      </x:c>
      <x:c r="AD2001" s="84" t="n">
        <x:f>AC2001-B2001</x:f>
        <x:v>0</x:v>
      </x:c>
      <x:c r="AE2001" s="84" t="str">
        <x:f>IF(COUNTIF($A$5:A2001,A2001)&gt;1,"Duplicate","Keep")</x:f>
        <x:v>Keep</x:v>
      </x:c>
      <x:c r="AF2001" s="84" t="str">
        <x:f>IF(OR(R2001&lt;=0,AC2001&lt;B2001,H2001="Unknown",M2001="Unknown Product"),"Review","Valid")</x:f>
        <x:v>Valid</x:v>
      </x:c>
      <x:c r="AG2001" s="84" t="n">
        <x:f>IF(AND(AE2001="Keep",AF2001="Valid"),1,0)</x:f>
        <x:v>1</x:v>
      </x:c>
      <x:c r="AH2001" s="84" t="n">
        <x:f>IF(AND(AG2001=1,OR('Dashboard'!$B$4="All",I2001='Dashboard'!$B$4),OR('Dashboard'!$E$4="All",N2001='Dashboard'!$E$4),OR('Dashboard'!$H$4="All",K2001='Dashboard'!$H$4),OR('Dashboard'!$K$4="All",C2001='Dashboard'!$K$4)),1,0)</x:f>
        <x:v>1</x:v>
      </x:c>
      <x:c r="AI2001" s="84" t="n">
        <x:f>IF(AND(AG2001=1,OR('Dashboard'!$B$4="All",I2001='Dashboard'!$B$4),OR('Dashboard'!$E$4="All",N2001='Dashboard'!$E$4),OR('Dashboard'!$H$4="All",K2001='Dashboard'!$H$4)),1,0)</x:f>
        <x:v>1</x:v>
      </x:c>
    </x:row>
    <x:row r="2002">
      <x:c r="A2002" s="84" t="str">
        <x:f>'Raw Sales'!A2002</x:f>
        <x:v>ORD-2025-00486</x:v>
      </x:c>
      <x:c r="B2002" s="85" t="n">
        <x:f>'Raw Sales'!B2002</x:f>
        <x:v>45936</x:v>
      </x:c>
      <x:c r="C2002" s="84" t="n">
        <x:f>YEAR(B2002)</x:f>
        <x:v>2025</x:v>
      </x:c>
      <x:c r="D2002" s="91" t="n">
        <x:f>DATE(YEAR(B2002),MONTH(B2002),1)</x:f>
        <x:v>45931</x:v>
      </x:c>
      <x:c r="E2002" s="84" t="str">
        <x:f>TEXT(B2002,"mmm")</x:f>
        <x:v>Oct</x:v>
      </x:c>
      <x:c r="F2002" s="84" t="str">
        <x:f>'Raw Sales'!C2002</x:f>
        <x:v>CUST-0325</x:v>
      </x:c>
      <x:c r="G2002" s="84" t="str">
        <x:f>PROPER(TRIM('Raw Sales'!D2002))</x:f>
        <x:v>Caleb Baker</x:v>
      </x:c>
      <x:c r="H2002" s="84" t="str">
        <x:f>IF(TRIM('Raw Sales'!E2002)="","Unknown",PROPER(TRIM('Raw Sales'!E2002)))</x:f>
        <x:v>Small Business</x:v>
      </x:c>
      <x:c r="I2002" s="84" t="str">
        <x:f>PROPER(TRIM('Raw Sales'!F2002))</x:f>
        <x:v>West</x:v>
      </x:c>
      <x:c r="J2002" s="84" t="str">
        <x:f>PROPER(TRIM('Raw Sales'!G2002))</x:f>
        <x:v>Phoenix</x:v>
      </x:c>
      <x:c r="K2002" s="84" t="str">
        <x:f>PROPER(TRIM('Raw Sales'!H2002))</x:f>
        <x:v>Retail Store</x:v>
      </x:c>
      <x:c r="L2002" s="84" t="str">
        <x:f>'Raw Sales'!I2002</x:f>
        <x:v>OFFC-006</x:v>
      </x:c>
      <x:c r="M2002" s="84" t="str">
        <x:f>IFERROR(VLOOKUP(L2002,'Reference Data'!$A$5:$F$40,2,FALSE),"Unknown Product")</x:f>
        <x:v>Monitor Stand</x:v>
      </x:c>
      <x:c r="N2002" s="84" t="str">
        <x:f>IFERROR(VLOOKUP(L2002,'Reference Data'!$A$5:$F$40,3,FALSE),"Unknown")</x:f>
        <x:v>Office</x:v>
      </x:c>
      <x:c r="O2002" s="84" t="str">
        <x:f>IFERROR(VLOOKUP(L2002,'Reference Data'!$A$5:$F$40,4,FALSE),"Unknown")</x:f>
        <x:v>Desk Accessories</x:v>
      </x:c>
      <x:c r="P2002" s="92" t="n">
        <x:f>IFERROR(VLOOKUP(L2002,'Reference Data'!$A$5:$F$40,5,FALSE),0)</x:f>
        <x:v>49</x:v>
      </x:c>
      <x:c r="Q2002" s="92" t="n">
        <x:f>IFERROR(VLOOKUP(L2002,'Reference Data'!$A$5:$F$40,6,FALSE),0)</x:f>
        <x:v>21</x:v>
      </x:c>
      <x:c r="R2002" s="84" t="n">
        <x:f>'Raw Sales'!J2002</x:f>
        <x:v>4</x:v>
      </x:c>
      <x:c r="S2002" s="87" t="n">
        <x:f>'Raw Sales'!K2002</x:f>
        <x:v>0.05</x:v>
      </x:c>
      <x:c r="T2002" s="93" t="n">
        <x:f>P2002*R2002</x:f>
        <x:v>196</x:v>
      </x:c>
      <x:c r="U2002" s="93" t="n">
        <x:f>T2002*S2002</x:f>
        <x:v>9.8</x:v>
      </x:c>
      <x:c r="V2002" s="93" t="str">
        <x:f>PROPER(TRIM('Raw Sales'!L2002))</x:f>
        <x:v>Completed</x:v>
      </x:c>
      <x:c r="W2002" s="93" t="n">
        <x:f>IF(V2002="Returned",0,T2002-U2002)</x:f>
        <x:v>186.2</x:v>
      </x:c>
      <x:c r="X2002" s="93" t="n">
        <x:f>IF(V2002="Returned",Q2002*R2002*10%,Q2002*R2002)</x:f>
        <x:v>84</x:v>
      </x:c>
      <x:c r="Y2002" s="93" t="n">
        <x:f>W2002-X2002</x:f>
        <x:v>102.19999999999999</x:v>
      </x:c>
      <x:c r="Z2002" s="94" t="n">
        <x:f>IFERROR(Y2002/W2002,0)</x:f>
        <x:v>0.5488721804511278</x:v>
      </x:c>
      <x:c r="AA2002" s="84" t="str">
        <x:f>PROPER(TRIM('Raw Sales'!M2002))</x:f>
        <x:v>Cash</x:v>
      </x:c>
      <x:c r="AB2002" s="84" t="str">
        <x:f>PROPER(TRIM('Raw Sales'!N2002))</x:f>
        <x:v>Mia Chen</x:v>
      </x:c>
      <x:c r="AC2002" s="85" t="n">
        <x:f>'Raw Sales'!O2002</x:f>
        <x:v>45936</x:v>
      </x:c>
      <x:c r="AD2002" s="84" t="n">
        <x:f>AC2002-B2002</x:f>
        <x:v>0</x:v>
      </x:c>
      <x:c r="AE2002" s="84" t="str">
        <x:f>IF(COUNTIF($A$5:A2002,A2002)&gt;1,"Duplicate","Keep")</x:f>
        <x:v>Keep</x:v>
      </x:c>
      <x:c r="AF2002" s="84" t="str">
        <x:f>IF(OR(R2002&lt;=0,AC2002&lt;B2002,H2002="Unknown",M2002="Unknown Product"),"Review","Valid")</x:f>
        <x:v>Valid</x:v>
      </x:c>
      <x:c r="AG2002" s="84" t="n">
        <x:f>IF(AND(AE2002="Keep",AF2002="Valid"),1,0)</x:f>
        <x:v>1</x:v>
      </x:c>
      <x:c r="AH2002" s="84" t="n">
        <x:f>IF(AND(AG2002=1,OR('Dashboard'!$B$4="All",I2002='Dashboard'!$B$4),OR('Dashboard'!$E$4="All",N2002='Dashboard'!$E$4),OR('Dashboard'!$H$4="All",K2002='Dashboard'!$H$4),OR('Dashboard'!$K$4="All",C2002='Dashboard'!$K$4)),1,0)</x:f>
        <x:v>1</x:v>
      </x:c>
      <x:c r="AI2002" s="84" t="n">
        <x:f>IF(AND(AG2002=1,OR('Dashboard'!$B$4="All",I2002='Dashboard'!$B$4),OR('Dashboard'!$E$4="All",N2002='Dashboard'!$E$4),OR('Dashboard'!$H$4="All",K2002='Dashboard'!$H$4)),1,0)</x:f>
        <x:v>1</x:v>
      </x:c>
    </x:row>
    <x:row r="2003">
      <x:c r="A2003" s="84" t="str">
        <x:f>'Raw Sales'!A2003</x:f>
        <x:v>ORD-2025-00718</x:v>
      </x:c>
      <x:c r="B2003" s="85" t="n">
        <x:f>'Raw Sales'!B2003</x:f>
        <x:v>45936</x:v>
      </x:c>
      <x:c r="C2003" s="84" t="n">
        <x:f>YEAR(B2003)</x:f>
        <x:v>2025</x:v>
      </x:c>
      <x:c r="D2003" s="91" t="n">
        <x:f>DATE(YEAR(B2003),MONTH(B2003),1)</x:f>
        <x:v>45931</x:v>
      </x:c>
      <x:c r="E2003" s="84" t="str">
        <x:f>TEXT(B2003,"mmm")</x:f>
        <x:v>Oct</x:v>
      </x:c>
      <x:c r="F2003" s="84" t="str">
        <x:f>'Raw Sales'!C2003</x:f>
        <x:v>CUST-0178</x:v>
      </x:c>
      <x:c r="G2003" s="84" t="str">
        <x:f>PROPER(TRIM('Raw Sales'!D2003))</x:f>
        <x:v>Jasmine Baker</x:v>
      </x:c>
      <x:c r="H2003" s="84" t="str">
        <x:f>IF(TRIM('Raw Sales'!E2003)="","Unknown",PROPER(TRIM('Raw Sales'!E2003)))</x:f>
        <x:v>Corporate</x:v>
      </x:c>
      <x:c r="I2003" s="84" t="str">
        <x:f>PROPER(TRIM('Raw Sales'!F2003))</x:f>
        <x:v>Northeast</x:v>
      </x:c>
      <x:c r="J2003" s="84" t="str">
        <x:f>PROPER(TRIM('Raw Sales'!G2003))</x:f>
        <x:v>New York</x:v>
      </x:c>
      <x:c r="K2003" s="84" t="str">
        <x:f>PROPER(TRIM('Raw Sales'!H2003))</x:f>
        <x:v>Online</x:v>
      </x:c>
      <x:c r="L2003" s="84" t="str">
        <x:f>'Raw Sales'!I2003</x:f>
        <x:v>HOME-006</x:v>
      </x:c>
      <x:c r="M2003" s="84" t="str">
        <x:f>IFERROR(VLOOKUP(L2003,'Reference Data'!$A$5:$F$40,2,FALSE),"Unknown Product")</x:f>
        <x:v>Food Storage Set</x:v>
      </x:c>
      <x:c r="N2003" s="84" t="str">
        <x:f>IFERROR(VLOOKUP(L2003,'Reference Data'!$A$5:$F$40,3,FALSE),"Unknown")</x:f>
        <x:v>Home &amp; Kitchen</x:v>
      </x:c>
      <x:c r="O2003" s="84" t="str">
        <x:f>IFERROR(VLOOKUP(L2003,'Reference Data'!$A$5:$F$40,4,FALSE),"Unknown")</x:f>
        <x:v>Kitchenware</x:v>
      </x:c>
      <x:c r="P2003" s="92" t="n">
        <x:f>IFERROR(VLOOKUP(L2003,'Reference Data'!$A$5:$F$40,5,FALSE),0)</x:f>
        <x:v>34</x:v>
      </x:c>
      <x:c r="Q2003" s="92" t="n">
        <x:f>IFERROR(VLOOKUP(L2003,'Reference Data'!$A$5:$F$40,6,FALSE),0)</x:f>
        <x:v>15</x:v>
      </x:c>
      <x:c r="R2003" s="84" t="n">
        <x:f>'Raw Sales'!J2003</x:f>
        <x:v>3</x:v>
      </x:c>
      <x:c r="S2003" s="87" t="n">
        <x:f>'Raw Sales'!K2003</x:f>
        <x:v>0.1</x:v>
      </x:c>
      <x:c r="T2003" s="93" t="n">
        <x:f>P2003*R2003</x:f>
        <x:v>102</x:v>
      </x:c>
      <x:c r="U2003" s="93" t="n">
        <x:f>T2003*S2003</x:f>
        <x:v>10.200000000000001</x:v>
      </x:c>
      <x:c r="V2003" s="93" t="str">
        <x:f>PROPER(TRIM('Raw Sales'!L2003))</x:f>
        <x:v>Completed</x:v>
      </x:c>
      <x:c r="W2003" s="93" t="n">
        <x:f>IF(V2003="Returned",0,T2003-U2003)</x:f>
        <x:v>91.8</x:v>
      </x:c>
      <x:c r="X2003" s="93" t="n">
        <x:f>IF(V2003="Returned",Q2003*R2003*10%,Q2003*R2003)</x:f>
        <x:v>45</x:v>
      </x:c>
      <x:c r="Y2003" s="93" t="n">
        <x:f>W2003-X2003</x:f>
        <x:v>46.8</x:v>
      </x:c>
      <x:c r="Z2003" s="94" t="n">
        <x:f>IFERROR(Y2003/W2003,0)</x:f>
        <x:v>0.5098039215686274</x:v>
      </x:c>
      <x:c r="AA2003" s="84" t="str">
        <x:f>PROPER(TRIM('Raw Sales'!M2003))</x:f>
        <x:v>Debit Card</x:v>
      </x:c>
      <x:c r="AB2003" s="84" t="str">
        <x:f>PROPER(TRIM('Raw Sales'!N2003))</x:f>
        <x:v>Ethan Cole</x:v>
      </x:c>
      <x:c r="AC2003" s="85" t="n">
        <x:f>'Raw Sales'!O2003</x:f>
        <x:v>45939</x:v>
      </x:c>
      <x:c r="AD2003" s="84" t="n">
        <x:f>AC2003-B2003</x:f>
        <x:v>3</x:v>
      </x:c>
      <x:c r="AE2003" s="84" t="str">
        <x:f>IF(COUNTIF($A$5:A2003,A2003)&gt;1,"Duplicate","Keep")</x:f>
        <x:v>Keep</x:v>
      </x:c>
      <x:c r="AF2003" s="84" t="str">
        <x:f>IF(OR(R2003&lt;=0,AC2003&lt;B2003,H2003="Unknown",M2003="Unknown Product"),"Review","Valid")</x:f>
        <x:v>Valid</x:v>
      </x:c>
      <x:c r="AG2003" s="84" t="n">
        <x:f>IF(AND(AE2003="Keep",AF2003="Valid"),1,0)</x:f>
        <x:v>1</x:v>
      </x:c>
      <x:c r="AH2003" s="84" t="n">
        <x:f>IF(AND(AG2003=1,OR('Dashboard'!$B$4="All",I2003='Dashboard'!$B$4),OR('Dashboard'!$E$4="All",N2003='Dashboard'!$E$4),OR('Dashboard'!$H$4="All",K2003='Dashboard'!$H$4),OR('Dashboard'!$K$4="All",C2003='Dashboard'!$K$4)),1,0)</x:f>
        <x:v>1</x:v>
      </x:c>
      <x:c r="AI2003" s="84" t="n">
        <x:f>IF(AND(AG2003=1,OR('Dashboard'!$B$4="All",I2003='Dashboard'!$B$4),OR('Dashboard'!$E$4="All",N2003='Dashboard'!$E$4),OR('Dashboard'!$H$4="All",K2003='Dashboard'!$H$4)),1,0)</x:f>
        <x:v>1</x:v>
      </x:c>
    </x:row>
    <x:row r="2004">
      <x:c r="A2004" s="84" t="str">
        <x:f>'Raw Sales'!A2004</x:f>
        <x:v>ORD-2025-01361</x:v>
      </x:c>
      <x:c r="B2004" s="85" t="n">
        <x:f>'Raw Sales'!B2004</x:f>
        <x:v>45936</x:v>
      </x:c>
      <x:c r="C2004" s="84" t="n">
        <x:f>YEAR(B2004)</x:f>
        <x:v>2025</x:v>
      </x:c>
      <x:c r="D2004" s="91" t="n">
        <x:f>DATE(YEAR(B2004),MONTH(B2004),1)</x:f>
        <x:v>45931</x:v>
      </x:c>
      <x:c r="E2004" s="84" t="str">
        <x:f>TEXT(B2004,"mmm")</x:f>
        <x:v>Oct</x:v>
      </x:c>
      <x:c r="F2004" s="84" t="str">
        <x:f>'Raw Sales'!C2004</x:f>
        <x:v>CUST-0071</x:v>
      </x:c>
      <x:c r="G2004" s="84" t="str">
        <x:f>PROPER(TRIM('Raw Sales'!D2004))</x:f>
        <x:v>Owen Foster</x:v>
      </x:c>
      <x:c r="H2004" s="84" t="str">
        <x:f>IF(TRIM('Raw Sales'!E2004)="","Unknown",PROPER(TRIM('Raw Sales'!E2004)))</x:f>
        <x:v>Consumer</x:v>
      </x:c>
      <x:c r="I2004" s="84" t="str">
        <x:f>PROPER(TRIM('Raw Sales'!F2004))</x:f>
        <x:v>Midwest</x:v>
      </x:c>
      <x:c r="J2004" s="84" t="str">
        <x:f>PROPER(TRIM('Raw Sales'!G2004))</x:f>
        <x:v>Detroit</x:v>
      </x:c>
      <x:c r="K2004" s="84" t="str">
        <x:f>PROPER(TRIM('Raw Sales'!H2004))</x:f>
        <x:v>Retail Store</x:v>
      </x:c>
      <x:c r="L2004" s="84" t="str">
        <x:f>'Raw Sales'!I2004</x:f>
        <x:v>FITN-005</x:v>
      </x:c>
      <x:c r="M2004" s="84" t="str">
        <x:f>IFERROR(VLOOKUP(L2004,'Reference Data'!$A$5:$F$40,2,FALSE),"Unknown Product")</x:f>
        <x:v>Sports Water Bottle</x:v>
      </x:c>
      <x:c r="N2004" s="84" t="str">
        <x:f>IFERROR(VLOOKUP(L2004,'Reference Data'!$A$5:$F$40,3,FALSE),"Unknown")</x:f>
        <x:v>Fitness</x:v>
      </x:c>
      <x:c r="O2004" s="84" t="str">
        <x:f>IFERROR(VLOOKUP(L2004,'Reference Data'!$A$5:$F$40,4,FALSE),"Unknown")</x:f>
        <x:v>Accessories</x:v>
      </x:c>
      <x:c r="P2004" s="92" t="n">
        <x:f>IFERROR(VLOOKUP(L2004,'Reference Data'!$A$5:$F$40,5,FALSE),0)</x:f>
        <x:v>22</x:v>
      </x:c>
      <x:c r="Q2004" s="92" t="n">
        <x:f>IFERROR(VLOOKUP(L2004,'Reference Data'!$A$5:$F$40,6,FALSE),0)</x:f>
        <x:v>7</x:v>
      </x:c>
      <x:c r="R2004" s="84" t="n">
        <x:f>'Raw Sales'!J2004</x:f>
        <x:v>2</x:v>
      </x:c>
      <x:c r="S2004" s="87" t="n">
        <x:f>'Raw Sales'!K2004</x:f>
        <x:v>0.1</x:v>
      </x:c>
      <x:c r="T2004" s="93" t="n">
        <x:f>P2004*R2004</x:f>
        <x:v>44</x:v>
      </x:c>
      <x:c r="U2004" s="93" t="n">
        <x:f>T2004*S2004</x:f>
        <x:v>4.4</x:v>
      </x:c>
      <x:c r="V2004" s="93" t="str">
        <x:f>PROPER(TRIM('Raw Sales'!L2004))</x:f>
        <x:v>Completed</x:v>
      </x:c>
      <x:c r="W2004" s="93" t="n">
        <x:f>IF(V2004="Returned",0,T2004-U2004)</x:f>
        <x:v>39.6</x:v>
      </x:c>
      <x:c r="X2004" s="93" t="n">
        <x:f>IF(V2004="Returned",Q2004*R2004*10%,Q2004*R2004)</x:f>
        <x:v>14</x:v>
      </x:c>
      <x:c r="Y2004" s="93" t="n">
        <x:f>W2004-X2004</x:f>
        <x:v>25.6</x:v>
      </x:c>
      <x:c r="Z2004" s="94" t="n">
        <x:f>IFERROR(Y2004/W2004,0)</x:f>
        <x:v>0.6464646464646465</x:v>
      </x:c>
      <x:c r="AA2004" s="84" t="str">
        <x:f>PROPER(TRIM('Raw Sales'!M2004))</x:f>
        <x:v>Debit Card</x:v>
      </x:c>
      <x:c r="AB2004" s="84" t="str">
        <x:f>PROPER(TRIM('Raw Sales'!N2004))</x:f>
        <x:v>Zoe Turner</x:v>
      </x:c>
      <x:c r="AC2004" s="85" t="n">
        <x:f>'Raw Sales'!O2004</x:f>
        <x:v>45936</x:v>
      </x:c>
      <x:c r="AD2004" s="84" t="n">
        <x:f>AC2004-B2004</x:f>
        <x:v>0</x:v>
      </x:c>
      <x:c r="AE2004" s="84" t="str">
        <x:f>IF(COUNTIF($A$5:A2004,A2004)&gt;1,"Duplicate","Keep")</x:f>
        <x:v>Keep</x:v>
      </x:c>
      <x:c r="AF2004" s="84" t="str">
        <x:f>IF(OR(R2004&lt;=0,AC2004&lt;B2004,H2004="Unknown",M2004="Unknown Product"),"Review","Valid")</x:f>
        <x:v>Valid</x:v>
      </x:c>
      <x:c r="AG2004" s="84" t="n">
        <x:f>IF(AND(AE2004="Keep",AF2004="Valid"),1,0)</x:f>
        <x:v>1</x:v>
      </x:c>
      <x:c r="AH2004" s="84" t="n">
        <x:f>IF(AND(AG2004=1,OR('Dashboard'!$B$4="All",I2004='Dashboard'!$B$4),OR('Dashboard'!$E$4="All",N2004='Dashboard'!$E$4),OR('Dashboard'!$H$4="All",K2004='Dashboard'!$H$4),OR('Dashboard'!$K$4="All",C2004='Dashboard'!$K$4)),1,0)</x:f>
        <x:v>1</x:v>
      </x:c>
      <x:c r="AI2004" s="84" t="n">
        <x:f>IF(AND(AG2004=1,OR('Dashboard'!$B$4="All",I2004='Dashboard'!$B$4),OR('Dashboard'!$E$4="All",N2004='Dashboard'!$E$4),OR('Dashboard'!$H$4="All",K2004='Dashboard'!$H$4)),1,0)</x:f>
        <x:v>1</x:v>
      </x:c>
    </x:row>
    <x:row r="2005">
      <x:c r="A2005" s="84" t="str">
        <x:f>'Raw Sales'!A2005</x:f>
        <x:v>ORD-2025-02057</x:v>
      </x:c>
      <x:c r="B2005" s="85" t="n">
        <x:f>'Raw Sales'!B2005</x:f>
        <x:v>45936</x:v>
      </x:c>
      <x:c r="C2005" s="84" t="n">
        <x:f>YEAR(B2005)</x:f>
        <x:v>2025</x:v>
      </x:c>
      <x:c r="D2005" s="91" t="n">
        <x:f>DATE(YEAR(B2005),MONTH(B2005),1)</x:f>
        <x:v>45931</x:v>
      </x:c>
      <x:c r="E2005" s="84" t="str">
        <x:f>TEXT(B2005,"mmm")</x:f>
        <x:v>Oct</x:v>
      </x:c>
      <x:c r="F2005" s="84" t="str">
        <x:f>'Raw Sales'!C2005</x:f>
        <x:v>CUST-0220</x:v>
      </x:c>
      <x:c r="G2005" s="84" t="str">
        <x:f>PROPER(TRIM('Raw Sales'!D2005))</x:f>
        <x:v>Isaac Smith</x:v>
      </x:c>
      <x:c r="H2005" s="84" t="str">
        <x:f>IF(TRIM('Raw Sales'!E2005)="","Unknown",PROPER(TRIM('Raw Sales'!E2005)))</x:f>
        <x:v>Consumer</x:v>
      </x:c>
      <x:c r="I2005" s="84" t="str">
        <x:f>PROPER(TRIM('Raw Sales'!F2005))</x:f>
        <x:v>Midwest</x:v>
      </x:c>
      <x:c r="J2005" s="84" t="str">
        <x:f>PROPER(TRIM('Raw Sales'!G2005))</x:f>
        <x:v>Detroit</x:v>
      </x:c>
      <x:c r="K2005" s="84" t="str">
        <x:f>PROPER(TRIM('Raw Sales'!H2005))</x:f>
        <x:v>Online</x:v>
      </x:c>
      <x:c r="L2005" s="84" t="str">
        <x:f>'Raw Sales'!I2005</x:f>
        <x:v>OFFC-006</x:v>
      </x:c>
      <x:c r="M2005" s="84" t="str">
        <x:f>IFERROR(VLOOKUP(L2005,'Reference Data'!$A$5:$F$40,2,FALSE),"Unknown Product")</x:f>
        <x:v>Monitor Stand</x:v>
      </x:c>
      <x:c r="N2005" s="84" t="str">
        <x:f>IFERROR(VLOOKUP(L2005,'Reference Data'!$A$5:$F$40,3,FALSE),"Unknown")</x:f>
        <x:v>Office</x:v>
      </x:c>
      <x:c r="O2005" s="84" t="str">
        <x:f>IFERROR(VLOOKUP(L2005,'Reference Data'!$A$5:$F$40,4,FALSE),"Unknown")</x:f>
        <x:v>Desk Accessories</x:v>
      </x:c>
      <x:c r="P2005" s="92" t="n">
        <x:f>IFERROR(VLOOKUP(L2005,'Reference Data'!$A$5:$F$40,5,FALSE),0)</x:f>
        <x:v>49</x:v>
      </x:c>
      <x:c r="Q2005" s="92" t="n">
        <x:f>IFERROR(VLOOKUP(L2005,'Reference Data'!$A$5:$F$40,6,FALSE),0)</x:f>
        <x:v>21</x:v>
      </x:c>
      <x:c r="R2005" s="84" t="n">
        <x:f>'Raw Sales'!J2005</x:f>
        <x:v>1</x:v>
      </x:c>
      <x:c r="S2005" s="87" t="n">
        <x:f>'Raw Sales'!K2005</x:f>
        <x:v>0</x:v>
      </x:c>
      <x:c r="T2005" s="93" t="n">
        <x:f>P2005*R2005</x:f>
        <x:v>49</x:v>
      </x:c>
      <x:c r="U2005" s="93" t="n">
        <x:f>T2005*S2005</x:f>
        <x:v>0</x:v>
      </x:c>
      <x:c r="V2005" s="93" t="str">
        <x:f>PROPER(TRIM('Raw Sales'!L2005))</x:f>
        <x:v>Completed</x:v>
      </x:c>
      <x:c r="W2005" s="93" t="n">
        <x:f>IF(V2005="Returned",0,T2005-U2005)</x:f>
        <x:v>49</x:v>
      </x:c>
      <x:c r="X2005" s="93" t="n">
        <x:f>IF(V2005="Returned",Q2005*R2005*10%,Q2005*R2005)</x:f>
        <x:v>21</x:v>
      </x:c>
      <x:c r="Y2005" s="93" t="n">
        <x:f>W2005-X2005</x:f>
        <x:v>28</x:v>
      </x:c>
      <x:c r="Z2005" s="94" t="n">
        <x:f>IFERROR(Y2005/W2005,0)</x:f>
        <x:v>0.5714285714285714</x:v>
      </x:c>
      <x:c r="AA2005" s="84" t="str">
        <x:f>PROPER(TRIM('Raw Sales'!M2005))</x:f>
        <x:v>Mobile Wallet</x:v>
      </x:c>
      <x:c r="AB2005" s="84" t="str">
        <x:f>PROPER(TRIM('Raw Sales'!N2005))</x:f>
        <x:v>Emma Hayes</x:v>
      </x:c>
      <x:c r="AC2005" s="85" t="n">
        <x:f>'Raw Sales'!O2005</x:f>
        <x:v>45940</x:v>
      </x:c>
      <x:c r="AD2005" s="84" t="n">
        <x:f>AC2005-B2005</x:f>
        <x:v>4</x:v>
      </x:c>
      <x:c r="AE2005" s="84" t="str">
        <x:f>IF(COUNTIF($A$5:A2005,A2005)&gt;1,"Duplicate","Keep")</x:f>
        <x:v>Keep</x:v>
      </x:c>
      <x:c r="AF2005" s="84" t="str">
        <x:f>IF(OR(R2005&lt;=0,AC2005&lt;B2005,H2005="Unknown",M2005="Unknown Product"),"Review","Valid")</x:f>
        <x:v>Valid</x:v>
      </x:c>
      <x:c r="AG2005" s="84" t="n">
        <x:f>IF(AND(AE2005="Keep",AF2005="Valid"),1,0)</x:f>
        <x:v>1</x:v>
      </x:c>
      <x:c r="AH2005" s="84" t="n">
        <x:f>IF(AND(AG2005=1,OR('Dashboard'!$B$4="All",I2005='Dashboard'!$B$4),OR('Dashboard'!$E$4="All",N2005='Dashboard'!$E$4),OR('Dashboard'!$H$4="All",K2005='Dashboard'!$H$4),OR('Dashboard'!$K$4="All",C2005='Dashboard'!$K$4)),1,0)</x:f>
        <x:v>1</x:v>
      </x:c>
      <x:c r="AI2005" s="84" t="n">
        <x:f>IF(AND(AG2005=1,OR('Dashboard'!$B$4="All",I2005='Dashboard'!$B$4),OR('Dashboard'!$E$4="All",N2005='Dashboard'!$E$4),OR('Dashboard'!$H$4="All",K2005='Dashboard'!$H$4)),1,0)</x:f>
        <x:v>1</x:v>
      </x:c>
    </x:row>
    <x:row r="2006">
      <x:c r="A2006" s="84" t="str">
        <x:f>'Raw Sales'!A2006</x:f>
        <x:v>ORD-2025-02289</x:v>
      </x:c>
      <x:c r="B2006" s="85" t="n">
        <x:f>'Raw Sales'!B2006</x:f>
        <x:v>45936</x:v>
      </x:c>
      <x:c r="C2006" s="84" t="n">
        <x:f>YEAR(B2006)</x:f>
        <x:v>2025</x:v>
      </x:c>
      <x:c r="D2006" s="91" t="n">
        <x:f>DATE(YEAR(B2006),MONTH(B2006),1)</x:f>
        <x:v>45931</x:v>
      </x:c>
      <x:c r="E2006" s="84" t="str">
        <x:f>TEXT(B2006,"mmm")</x:f>
        <x:v>Oct</x:v>
      </x:c>
      <x:c r="F2006" s="84" t="str">
        <x:f>'Raw Sales'!C2006</x:f>
        <x:v>CUST-0388</x:v>
      </x:c>
      <x:c r="G2006" s="84" t="str">
        <x:f>PROPER(TRIM('Raw Sales'!D2006))</x:f>
        <x:v>Isaac Hall</x:v>
      </x:c>
      <x:c r="H2006" s="84" t="str">
        <x:f>IF(TRIM('Raw Sales'!E2006)="","Unknown",PROPER(TRIM('Raw Sales'!E2006)))</x:f>
        <x:v>Consumer</x:v>
      </x:c>
      <x:c r="I2006" s="84" t="str">
        <x:f>PROPER(TRIM('Raw Sales'!F2006))</x:f>
        <x:v>Northeast</x:v>
      </x:c>
      <x:c r="J2006" s="84" t="str">
        <x:f>PROPER(TRIM('Raw Sales'!G2006))</x:f>
        <x:v>Boston</x:v>
      </x:c>
      <x:c r="K2006" s="84" t="str">
        <x:f>PROPER(TRIM('Raw Sales'!H2006))</x:f>
        <x:v>Retail Store</x:v>
      </x:c>
      <x:c r="L2006" s="84" t="str">
        <x:f>'Raw Sales'!I2006</x:f>
        <x:v>ACCS-006</x:v>
      </x:c>
      <x:c r="M2006" s="84" t="str">
        <x:f>IFERROR(VLOOKUP(L2006,'Reference Data'!$A$5:$F$40,2,FALSE),"Unknown Product")</x:f>
        <x:v>Insulated Lunch Bag</x:v>
      </x:c>
      <x:c r="N2006" s="84" t="str">
        <x:f>IFERROR(VLOOKUP(L2006,'Reference Data'!$A$5:$F$40,3,FALSE),"Unknown")</x:f>
        <x:v>Accessories</x:v>
      </x:c>
      <x:c r="O2006" s="84" t="str">
        <x:f>IFERROR(VLOOKUP(L2006,'Reference Data'!$A$5:$F$40,4,FALSE),"Unknown")</x:f>
        <x:v>Bags</x:v>
      </x:c>
      <x:c r="P2006" s="92" t="n">
        <x:f>IFERROR(VLOOKUP(L2006,'Reference Data'!$A$5:$F$40,5,FALSE),0)</x:f>
        <x:v>29</x:v>
      </x:c>
      <x:c r="Q2006" s="92" t="n">
        <x:f>IFERROR(VLOOKUP(L2006,'Reference Data'!$A$5:$F$40,6,FALSE),0)</x:f>
        <x:v>10</x:v>
      </x:c>
      <x:c r="R2006" s="84" t="n">
        <x:f>'Raw Sales'!J2006</x:f>
        <x:v>2</x:v>
      </x:c>
      <x:c r="S2006" s="87" t="n">
        <x:f>'Raw Sales'!K2006</x:f>
        <x:v>0</x:v>
      </x:c>
      <x:c r="T2006" s="93" t="n">
        <x:f>P2006*R2006</x:f>
        <x:v>58</x:v>
      </x:c>
      <x:c r="U2006" s="93" t="n">
        <x:f>T2006*S2006</x:f>
        <x:v>0</x:v>
      </x:c>
      <x:c r="V2006" s="93" t="str">
        <x:f>PROPER(TRIM('Raw Sales'!L2006))</x:f>
        <x:v>Completed</x:v>
      </x:c>
      <x:c r="W2006" s="93" t="n">
        <x:f>IF(V2006="Returned",0,T2006-U2006)</x:f>
        <x:v>58</x:v>
      </x:c>
      <x:c r="X2006" s="93" t="n">
        <x:f>IF(V2006="Returned",Q2006*R2006*10%,Q2006*R2006)</x:f>
        <x:v>20</x:v>
      </x:c>
      <x:c r="Y2006" s="93" t="n">
        <x:f>W2006-X2006</x:f>
        <x:v>38</x:v>
      </x:c>
      <x:c r="Z2006" s="94" t="n">
        <x:f>IFERROR(Y2006/W2006,0)</x:f>
        <x:v>0.6551724137931034</x:v>
      </x:c>
      <x:c r="AA2006" s="84" t="str">
        <x:f>PROPER(TRIM('Raw Sales'!M2006))</x:f>
        <x:v>Credit Card</x:v>
      </x:c>
      <x:c r="AB2006" s="84" t="str">
        <x:f>PROPER(TRIM('Raw Sales'!N2006))</x:f>
        <x:v>Sofia Bennett</x:v>
      </x:c>
      <x:c r="AC2006" s="85" t="n">
        <x:f>'Raw Sales'!O2006</x:f>
        <x:v>45936</x:v>
      </x:c>
      <x:c r="AD2006" s="84" t="n">
        <x:f>AC2006-B2006</x:f>
        <x:v>0</x:v>
      </x:c>
      <x:c r="AE2006" s="84" t="str">
        <x:f>IF(COUNTIF($A$5:A2006,A2006)&gt;1,"Duplicate","Keep")</x:f>
        <x:v>Keep</x:v>
      </x:c>
      <x:c r="AF2006" s="84" t="str">
        <x:f>IF(OR(R2006&lt;=0,AC2006&lt;B2006,H2006="Unknown",M2006="Unknown Product"),"Review","Valid")</x:f>
        <x:v>Valid</x:v>
      </x:c>
      <x:c r="AG2006" s="84" t="n">
        <x:f>IF(AND(AE2006="Keep",AF2006="Valid"),1,0)</x:f>
        <x:v>1</x:v>
      </x:c>
      <x:c r="AH2006" s="84" t="n">
        <x:f>IF(AND(AG2006=1,OR('Dashboard'!$B$4="All",I2006='Dashboard'!$B$4),OR('Dashboard'!$E$4="All",N2006='Dashboard'!$E$4),OR('Dashboard'!$H$4="All",K2006='Dashboard'!$H$4),OR('Dashboard'!$K$4="All",C2006='Dashboard'!$K$4)),1,0)</x:f>
        <x:v>1</x:v>
      </x:c>
      <x:c r="AI2006" s="84" t="n">
        <x:f>IF(AND(AG2006=1,OR('Dashboard'!$B$4="All",I2006='Dashboard'!$B$4),OR('Dashboard'!$E$4="All",N2006='Dashboard'!$E$4),OR('Dashboard'!$H$4="All",K2006='Dashboard'!$H$4)),1,0)</x:f>
        <x:v>1</x:v>
      </x:c>
    </x:row>
    <x:row r="2007">
      <x:c r="A2007" s="84" t="str">
        <x:f>'Raw Sales'!A2007</x:f>
        <x:v>ORD-2025-00064</x:v>
      </x:c>
      <x:c r="B2007" s="85" t="n">
        <x:f>'Raw Sales'!B2007</x:f>
        <x:v>45937</x:v>
      </x:c>
      <x:c r="C2007" s="84" t="n">
        <x:f>YEAR(B2007)</x:f>
        <x:v>2025</x:v>
      </x:c>
      <x:c r="D2007" s="91" t="n">
        <x:f>DATE(YEAR(B2007),MONTH(B2007),1)</x:f>
        <x:v>45931</x:v>
      </x:c>
      <x:c r="E2007" s="84" t="str">
        <x:f>TEXT(B2007,"mmm")</x:f>
        <x:v>Oct</x:v>
      </x:c>
      <x:c r="F2007" s="84" t="str">
        <x:f>'Raw Sales'!C2007</x:f>
        <x:v>CUST-0207</x:v>
      </x:c>
      <x:c r="G2007" s="84" t="str">
        <x:f>PROPER(TRIM('Raw Sales'!D2007))</x:f>
        <x:v>Marcus Khan</x:v>
      </x:c>
      <x:c r="H2007" s="84" t="str">
        <x:f>IF(TRIM('Raw Sales'!E2007)="","Unknown",PROPER(TRIM('Raw Sales'!E2007)))</x:f>
        <x:v>Consumer</x:v>
      </x:c>
      <x:c r="I2007" s="84" t="str">
        <x:f>PROPER(TRIM('Raw Sales'!F2007))</x:f>
        <x:v>Southeast</x:v>
      </x:c>
      <x:c r="J2007" s="84" t="str">
        <x:f>PROPER(TRIM('Raw Sales'!G2007))</x:f>
        <x:v>Atlanta</x:v>
      </x:c>
      <x:c r="K2007" s="84" t="str">
        <x:f>PROPER(TRIM('Raw Sales'!H2007))</x:f>
        <x:v>Retail Store</x:v>
      </x:c>
      <x:c r="L2007" s="84" t="str">
        <x:f>'Raw Sales'!I2007</x:f>
        <x:v>ELEC-006</x:v>
      </x:c>
      <x:c r="M2007" s="84" t="str">
        <x:f>IFERROR(VLOOKUP(L2007,'Reference Data'!$A$5:$F$40,2,FALSE),"Unknown Product")</x:f>
        <x:v>Portable SSD</x:v>
      </x:c>
      <x:c r="N2007" s="84" t="str">
        <x:f>IFERROR(VLOOKUP(L2007,'Reference Data'!$A$5:$F$40,3,FALSE),"Unknown")</x:f>
        <x:v>Electronics</x:v>
      </x:c>
      <x:c r="O2007" s="84" t="str">
        <x:f>IFERROR(VLOOKUP(L2007,'Reference Data'!$A$5:$F$40,4,FALSE),"Unknown")</x:f>
        <x:v>Storage</x:v>
      </x:c>
      <x:c r="P2007" s="92" t="n">
        <x:f>IFERROR(VLOOKUP(L2007,'Reference Data'!$A$5:$F$40,5,FALSE),0)</x:f>
        <x:v>129</x:v>
      </x:c>
      <x:c r="Q2007" s="92" t="n">
        <x:f>IFERROR(VLOOKUP(L2007,'Reference Data'!$A$5:$F$40,6,FALSE),0)</x:f>
        <x:v>75</x:v>
      </x:c>
      <x:c r="R2007" s="84" t="n">
        <x:f>'Raw Sales'!J2007</x:f>
        <x:v>1</x:v>
      </x:c>
      <x:c r="S2007" s="87" t="n">
        <x:f>'Raw Sales'!K2007</x:f>
        <x:v>0.1</x:v>
      </x:c>
      <x:c r="T2007" s="93" t="n">
        <x:f>P2007*R2007</x:f>
        <x:v>129</x:v>
      </x:c>
      <x:c r="U2007" s="93" t="n">
        <x:f>T2007*S2007</x:f>
        <x:v>12.9</x:v>
      </x:c>
      <x:c r="V2007" s="93" t="str">
        <x:f>PROPER(TRIM('Raw Sales'!L2007))</x:f>
        <x:v>Completed</x:v>
      </x:c>
      <x:c r="W2007" s="93" t="n">
        <x:f>IF(V2007="Returned",0,T2007-U2007)</x:f>
        <x:v>116.1</x:v>
      </x:c>
      <x:c r="X2007" s="93" t="n">
        <x:f>IF(V2007="Returned",Q2007*R2007*10%,Q2007*R2007)</x:f>
        <x:v>75</x:v>
      </x:c>
      <x:c r="Y2007" s="93" t="n">
        <x:f>W2007-X2007</x:f>
        <x:v>41.099999999999994</x:v>
      </x:c>
      <x:c r="Z2007" s="94" t="n">
        <x:f>IFERROR(Y2007/W2007,0)</x:f>
        <x:v>0.3540051679586563</x:v>
      </x:c>
      <x:c r="AA2007" s="84" t="str">
        <x:f>PROPER(TRIM('Raw Sales'!M2007))</x:f>
        <x:v>Credit Card</x:v>
      </x:c>
      <x:c r="AB2007" s="84" t="str">
        <x:f>PROPER(TRIM('Raw Sales'!N2007))</x:f>
        <x:v>Noah Reed</x:v>
      </x:c>
      <x:c r="AC2007" s="85" t="n">
        <x:f>'Raw Sales'!O2007</x:f>
        <x:v>45937</x:v>
      </x:c>
      <x:c r="AD2007" s="84" t="n">
        <x:f>AC2007-B2007</x:f>
        <x:v>0</x:v>
      </x:c>
      <x:c r="AE2007" s="84" t="str">
        <x:f>IF(COUNTIF($A$5:A2007,A2007)&gt;1,"Duplicate","Keep")</x:f>
        <x:v>Keep</x:v>
      </x:c>
      <x:c r="AF2007" s="84" t="str">
        <x:f>IF(OR(R2007&lt;=0,AC2007&lt;B2007,H2007="Unknown",M2007="Unknown Product"),"Review","Valid")</x:f>
        <x:v>Valid</x:v>
      </x:c>
      <x:c r="AG2007" s="84" t="n">
        <x:f>IF(AND(AE2007="Keep",AF2007="Valid"),1,0)</x:f>
        <x:v>1</x:v>
      </x:c>
      <x:c r="AH2007" s="84" t="n">
        <x:f>IF(AND(AG2007=1,OR('Dashboard'!$B$4="All",I2007='Dashboard'!$B$4),OR('Dashboard'!$E$4="All",N2007='Dashboard'!$E$4),OR('Dashboard'!$H$4="All",K2007='Dashboard'!$H$4),OR('Dashboard'!$K$4="All",C2007='Dashboard'!$K$4)),1,0)</x:f>
        <x:v>1</x:v>
      </x:c>
      <x:c r="AI2007" s="84" t="n">
        <x:f>IF(AND(AG2007=1,OR('Dashboard'!$B$4="All",I2007='Dashboard'!$B$4),OR('Dashboard'!$E$4="All",N2007='Dashboard'!$E$4),OR('Dashboard'!$H$4="All",K2007='Dashboard'!$H$4)),1,0)</x:f>
        <x:v>1</x:v>
      </x:c>
    </x:row>
    <x:row r="2008">
      <x:c r="A2008" s="84" t="str">
        <x:f>'Raw Sales'!A2008</x:f>
        <x:v>ORD-2025-00606</x:v>
      </x:c>
      <x:c r="B2008" s="85" t="n">
        <x:f>'Raw Sales'!B2008</x:f>
        <x:v>45937</x:v>
      </x:c>
      <x:c r="C2008" s="84" t="n">
        <x:f>YEAR(B2008)</x:f>
        <x:v>2025</x:v>
      </x:c>
      <x:c r="D2008" s="91" t="n">
        <x:f>DATE(YEAR(B2008),MONTH(B2008),1)</x:f>
        <x:v>45931</x:v>
      </x:c>
      <x:c r="E2008" s="84" t="str">
        <x:f>TEXT(B2008,"mmm")</x:f>
        <x:v>Oct</x:v>
      </x:c>
      <x:c r="F2008" s="84" t="str">
        <x:f>'Raw Sales'!C2008</x:f>
        <x:v>CUST-0296</x:v>
      </x:c>
      <x:c r="G2008" s="84" t="str">
        <x:f>PROPER(TRIM('Raw Sales'!D2008))</x:f>
        <x:v>Sara Irwin</x:v>
      </x:c>
      <x:c r="H2008" s="84" t="str">
        <x:f>IF(TRIM('Raw Sales'!E2008)="","Unknown",PROPER(TRIM('Raw Sales'!E2008)))</x:f>
        <x:v>Corporate</x:v>
      </x:c>
      <x:c r="I2008" s="84" t="str">
        <x:f>PROPER(TRIM('Raw Sales'!F2008))</x:f>
        <x:v>Midwest</x:v>
      </x:c>
      <x:c r="J2008" s="84" t="str">
        <x:f>PROPER(TRIM('Raw Sales'!G2008))</x:f>
        <x:v>Columbus</x:v>
      </x:c>
      <x:c r="K2008" s="84" t="str">
        <x:f>PROPER(TRIM('Raw Sales'!H2008))</x:f>
        <x:v>Online</x:v>
      </x:c>
      <x:c r="L2008" s="84" t="str">
        <x:f>'Raw Sales'!I2008</x:f>
        <x:v>CARE-002</x:v>
      </x:c>
      <x:c r="M2008" s="84" t="str">
        <x:f>IFERROR(VLOOKUP(L2008,'Reference Data'!$A$5:$F$40,2,FALSE),"Unknown Product")</x:f>
        <x:v>Rechargeable Trimmer</x:v>
      </x:c>
      <x:c r="N2008" s="84" t="str">
        <x:f>IFERROR(VLOOKUP(L2008,'Reference Data'!$A$5:$F$40,3,FALSE),"Unknown")</x:f>
        <x:v>Personal Care</x:v>
      </x:c>
      <x:c r="O2008" s="84" t="str">
        <x:f>IFERROR(VLOOKUP(L2008,'Reference Data'!$A$5:$F$40,4,FALSE),"Unknown")</x:f>
        <x:v>Grooming</x:v>
      </x:c>
      <x:c r="P2008" s="92" t="n">
        <x:f>IFERROR(VLOOKUP(L2008,'Reference Data'!$A$5:$F$40,5,FALSE),0)</x:f>
        <x:v>45</x:v>
      </x:c>
      <x:c r="Q2008" s="92" t="n">
        <x:f>IFERROR(VLOOKUP(L2008,'Reference Data'!$A$5:$F$40,6,FALSE),0)</x:f>
        <x:v>19</x:v>
      </x:c>
      <x:c r="R2008" s="84" t="n">
        <x:f>'Raw Sales'!J2008</x:f>
        <x:v>2</x:v>
      </x:c>
      <x:c r="S2008" s="87" t="n">
        <x:f>'Raw Sales'!K2008</x:f>
        <x:v>0.05</x:v>
      </x:c>
      <x:c r="T2008" s="93" t="n">
        <x:f>P2008*R2008</x:f>
        <x:v>90</x:v>
      </x:c>
      <x:c r="U2008" s="93" t="n">
        <x:f>T2008*S2008</x:f>
        <x:v>4.5</x:v>
      </x:c>
      <x:c r="V2008" s="93" t="str">
        <x:f>PROPER(TRIM('Raw Sales'!L2008))</x:f>
        <x:v>Completed</x:v>
      </x:c>
      <x:c r="W2008" s="93" t="n">
        <x:f>IF(V2008="Returned",0,T2008-U2008)</x:f>
        <x:v>85.5</x:v>
      </x:c>
      <x:c r="X2008" s="93" t="n">
        <x:f>IF(V2008="Returned",Q2008*R2008*10%,Q2008*R2008)</x:f>
        <x:v>38</x:v>
      </x:c>
      <x:c r="Y2008" s="93" t="n">
        <x:f>W2008-X2008</x:f>
        <x:v>47.5</x:v>
      </x:c>
      <x:c r="Z2008" s="94" t="n">
        <x:f>IFERROR(Y2008/W2008,0)</x:f>
        <x:v>0.5555555555555556</x:v>
      </x:c>
      <x:c r="AA2008" s="84" t="str">
        <x:f>PROPER(TRIM('Raw Sales'!M2008))</x:f>
        <x:v>Credit Card</x:v>
      </x:c>
      <x:c r="AB2008" s="84" t="str">
        <x:f>PROPER(TRIM('Raw Sales'!N2008))</x:f>
        <x:v>Zoe Turner</x:v>
      </x:c>
      <x:c r="AC2008" s="85" t="n">
        <x:f>'Raw Sales'!O2008</x:f>
        <x:v>45940</x:v>
      </x:c>
      <x:c r="AD2008" s="84" t="n">
        <x:f>AC2008-B2008</x:f>
        <x:v>3</x:v>
      </x:c>
      <x:c r="AE2008" s="84" t="str">
        <x:f>IF(COUNTIF($A$5:A2008,A2008)&gt;1,"Duplicate","Keep")</x:f>
        <x:v>Keep</x:v>
      </x:c>
      <x:c r="AF2008" s="84" t="str">
        <x:f>IF(OR(R2008&lt;=0,AC2008&lt;B2008,H2008="Unknown",M2008="Unknown Product"),"Review","Valid")</x:f>
        <x:v>Valid</x:v>
      </x:c>
      <x:c r="AG2008" s="84" t="n">
        <x:f>IF(AND(AE2008="Keep",AF2008="Valid"),1,0)</x:f>
        <x:v>1</x:v>
      </x:c>
      <x:c r="AH2008" s="84" t="n">
        <x:f>IF(AND(AG2008=1,OR('Dashboard'!$B$4="All",I2008='Dashboard'!$B$4),OR('Dashboard'!$E$4="All",N2008='Dashboard'!$E$4),OR('Dashboard'!$H$4="All",K2008='Dashboard'!$H$4),OR('Dashboard'!$K$4="All",C2008='Dashboard'!$K$4)),1,0)</x:f>
        <x:v>1</x:v>
      </x:c>
      <x:c r="AI2008" s="84" t="n">
        <x:f>IF(AND(AG2008=1,OR('Dashboard'!$B$4="All",I2008='Dashboard'!$B$4),OR('Dashboard'!$E$4="All",N2008='Dashboard'!$E$4),OR('Dashboard'!$H$4="All",K2008='Dashboard'!$H$4)),1,0)</x:f>
        <x:v>1</x:v>
      </x:c>
    </x:row>
    <x:row r="2009">
      <x:c r="A2009" s="84" t="str">
        <x:f>'Raw Sales'!A2009</x:f>
        <x:v>ORD-2025-00614</x:v>
      </x:c>
      <x:c r="B2009" s="85" t="n">
        <x:f>'Raw Sales'!B2009</x:f>
        <x:v>45937</x:v>
      </x:c>
      <x:c r="C2009" s="84" t="n">
        <x:f>YEAR(B2009)</x:f>
        <x:v>2025</x:v>
      </x:c>
      <x:c r="D2009" s="91" t="n">
        <x:f>DATE(YEAR(B2009),MONTH(B2009),1)</x:f>
        <x:v>45931</x:v>
      </x:c>
      <x:c r="E2009" s="84" t="str">
        <x:f>TEXT(B2009,"mmm")</x:f>
        <x:v>Oct</x:v>
      </x:c>
      <x:c r="F2009" s="84" t="str">
        <x:f>'Raw Sales'!C2009</x:f>
        <x:v>CUST-0489</x:v>
      </x:c>
      <x:c r="G2009" s="84" t="str">
        <x:f>PROPER(TRIM('Raw Sales'!D2009))</x:f>
        <x:v>William Quinn</x:v>
      </x:c>
      <x:c r="H2009" s="84" t="str">
        <x:f>IF(TRIM('Raw Sales'!E2009)="","Unknown",PROPER(TRIM('Raw Sales'!E2009)))</x:f>
        <x:v>Consumer</x:v>
      </x:c>
      <x:c r="I2009" s="84" t="str">
        <x:f>PROPER(TRIM('Raw Sales'!F2009))</x:f>
        <x:v>West</x:v>
      </x:c>
      <x:c r="J2009" s="84" t="str">
        <x:f>PROPER(TRIM('Raw Sales'!G2009))</x:f>
        <x:v>Los Angeles</x:v>
      </x:c>
      <x:c r="K2009" s="84" t="str">
        <x:f>PROPER(TRIM('Raw Sales'!H2009))</x:f>
        <x:v>Online</x:v>
      </x:c>
      <x:c r="L2009" s="84" t="str">
        <x:f>'Raw Sales'!I2009</x:f>
        <x:v>FITN-001</x:v>
      </x:c>
      <x:c r="M2009" s="84" t="str">
        <x:f>IFERROR(VLOOKUP(L2009,'Reference Data'!$A$5:$F$40,2,FALSE),"Unknown Product")</x:f>
        <x:v>Yoga Mat</x:v>
      </x:c>
      <x:c r="N2009" s="84" t="str">
        <x:f>IFERROR(VLOOKUP(L2009,'Reference Data'!$A$5:$F$40,3,FALSE),"Unknown")</x:f>
        <x:v>Fitness</x:v>
      </x:c>
      <x:c r="O2009" s="84" t="str">
        <x:f>IFERROR(VLOOKUP(L2009,'Reference Data'!$A$5:$F$40,4,FALSE),"Unknown")</x:f>
        <x:v>Yoga</x:v>
      </x:c>
      <x:c r="P2009" s="92" t="n">
        <x:f>IFERROR(VLOOKUP(L2009,'Reference Data'!$A$5:$F$40,5,FALSE),0)</x:f>
        <x:v>35</x:v>
      </x:c>
      <x:c r="Q2009" s="92" t="n">
        <x:f>IFERROR(VLOOKUP(L2009,'Reference Data'!$A$5:$F$40,6,FALSE),0)</x:f>
        <x:v>13</x:v>
      </x:c>
      <x:c r="R2009" s="84" t="n">
        <x:f>'Raw Sales'!J2009</x:f>
        <x:v>1</x:v>
      </x:c>
      <x:c r="S2009" s="87" t="n">
        <x:f>'Raw Sales'!K2009</x:f>
        <x:v>0.1</x:v>
      </x:c>
      <x:c r="T2009" s="93" t="n">
        <x:f>P2009*R2009</x:f>
        <x:v>35</x:v>
      </x:c>
      <x:c r="U2009" s="93" t="n">
        <x:f>T2009*S2009</x:f>
        <x:v>3.5</x:v>
      </x:c>
      <x:c r="V2009" s="93" t="str">
        <x:f>PROPER(TRIM('Raw Sales'!L2009))</x:f>
        <x:v>Completed</x:v>
      </x:c>
      <x:c r="W2009" s="93" t="n">
        <x:f>IF(V2009="Returned",0,T2009-U2009)</x:f>
        <x:v>31.5</x:v>
      </x:c>
      <x:c r="X2009" s="93" t="n">
        <x:f>IF(V2009="Returned",Q2009*R2009*10%,Q2009*R2009)</x:f>
        <x:v>13</x:v>
      </x:c>
      <x:c r="Y2009" s="93" t="n">
        <x:f>W2009-X2009</x:f>
        <x:v>18.5</x:v>
      </x:c>
      <x:c r="Z2009" s="94" t="n">
        <x:f>IFERROR(Y2009/W2009,0)</x:f>
        <x:v>0.5873015873015873</x:v>
      </x:c>
      <x:c r="AA2009" s="84" t="str">
        <x:f>PROPER(TRIM('Raw Sales'!M2009))</x:f>
        <x:v>Paypal</x:v>
      </x:c>
      <x:c r="AB2009" s="84" t="str">
        <x:f>PROPER(TRIM('Raw Sales'!N2009))</x:f>
        <x:v>Leo Martinez</x:v>
      </x:c>
      <x:c r="AC2009" s="85" t="n">
        <x:f>'Raw Sales'!O2009</x:f>
        <x:v>45940</x:v>
      </x:c>
      <x:c r="AD2009" s="84" t="n">
        <x:f>AC2009-B2009</x:f>
        <x:v>3</x:v>
      </x:c>
      <x:c r="AE2009" s="84" t="str">
        <x:f>IF(COUNTIF($A$5:A2009,A2009)&gt;1,"Duplicate","Keep")</x:f>
        <x:v>Keep</x:v>
      </x:c>
      <x:c r="AF2009" s="84" t="str">
        <x:f>IF(OR(R2009&lt;=0,AC2009&lt;B2009,H2009="Unknown",M2009="Unknown Product"),"Review","Valid")</x:f>
        <x:v>Valid</x:v>
      </x:c>
      <x:c r="AG2009" s="84" t="n">
        <x:f>IF(AND(AE2009="Keep",AF2009="Valid"),1,0)</x:f>
        <x:v>1</x:v>
      </x:c>
      <x:c r="AH2009" s="84" t="n">
        <x:f>IF(AND(AG2009=1,OR('Dashboard'!$B$4="All",I2009='Dashboard'!$B$4),OR('Dashboard'!$E$4="All",N2009='Dashboard'!$E$4),OR('Dashboard'!$H$4="All",K2009='Dashboard'!$H$4),OR('Dashboard'!$K$4="All",C2009='Dashboard'!$K$4)),1,0)</x:f>
        <x:v>1</x:v>
      </x:c>
      <x:c r="AI2009" s="84" t="n">
        <x:f>IF(AND(AG2009=1,OR('Dashboard'!$B$4="All",I2009='Dashboard'!$B$4),OR('Dashboard'!$E$4="All",N2009='Dashboard'!$E$4),OR('Dashboard'!$H$4="All",K2009='Dashboard'!$H$4)),1,0)</x:f>
        <x:v>1</x:v>
      </x:c>
    </x:row>
    <x:row r="2010">
      <x:c r="A2010" s="84" t="str">
        <x:f>'Raw Sales'!A2010</x:f>
        <x:v>ORD-2025-02245</x:v>
      </x:c>
      <x:c r="B2010" s="85" t="n">
        <x:f>'Raw Sales'!B2010</x:f>
        <x:v>45937</x:v>
      </x:c>
      <x:c r="C2010" s="84" t="n">
        <x:f>YEAR(B2010)</x:f>
        <x:v>2025</x:v>
      </x:c>
      <x:c r="D2010" s="91" t="n">
        <x:f>DATE(YEAR(B2010),MONTH(B2010),1)</x:f>
        <x:v>45931</x:v>
      </x:c>
      <x:c r="E2010" s="84" t="str">
        <x:f>TEXT(B2010,"mmm")</x:f>
        <x:v>Oct</x:v>
      </x:c>
      <x:c r="F2010" s="84" t="str">
        <x:f>'Raw Sales'!C2010</x:f>
        <x:v>CUST-0041</x:v>
      </x:c>
      <x:c r="G2010" s="84" t="str">
        <x:f>PROPER(TRIM('Raw Sales'!D2010))</x:f>
        <x:v>Isaac Evans</x:v>
      </x:c>
      <x:c r="H2010" s="84" t="str">
        <x:f>IF(TRIM('Raw Sales'!E2010)="","Unknown",PROPER(TRIM('Raw Sales'!E2010)))</x:f>
        <x:v>Consumer</x:v>
      </x:c>
      <x:c r="I2010" s="84" t="str">
        <x:f>PROPER(TRIM('Raw Sales'!F2010))</x:f>
        <x:v>Midwest</x:v>
      </x:c>
      <x:c r="J2010" s="84" t="str">
        <x:f>PROPER(TRIM('Raw Sales'!G2010))</x:f>
        <x:v>Detroit</x:v>
      </x:c>
      <x:c r="K2010" s="84" t="str">
        <x:f>PROPER(TRIM('Raw Sales'!H2010))</x:f>
        <x:v>Online</x:v>
      </x:c>
      <x:c r="L2010" s="84" t="str">
        <x:f>'Raw Sales'!I2010</x:f>
        <x:v>ELEC-002</x:v>
      </x:c>
      <x:c r="M2010" s="84" t="str">
        <x:f>IFERROR(VLOOKUP(L2010,'Reference Data'!$A$5:$F$40,2,FALSE),"Unknown Product")</x:f>
        <x:v>Smartwatch</x:v>
      </x:c>
      <x:c r="N2010" s="84" t="str">
        <x:f>IFERROR(VLOOKUP(L2010,'Reference Data'!$A$5:$F$40,3,FALSE),"Unknown")</x:f>
        <x:v>Electronics</x:v>
      </x:c>
      <x:c r="O2010" s="84" t="str">
        <x:f>IFERROR(VLOOKUP(L2010,'Reference Data'!$A$5:$F$40,4,FALSE),"Unknown")</x:f>
        <x:v>Wearables</x:v>
      </x:c>
      <x:c r="P2010" s="92" t="n">
        <x:f>IFERROR(VLOOKUP(L2010,'Reference Data'!$A$5:$F$40,5,FALSE),0)</x:f>
        <x:v>159</x:v>
      </x:c>
      <x:c r="Q2010" s="92" t="n">
        <x:f>IFERROR(VLOOKUP(L2010,'Reference Data'!$A$5:$F$40,6,FALSE),0)</x:f>
        <x:v>92</x:v>
      </x:c>
      <x:c r="R2010" s="84" t="n">
        <x:f>'Raw Sales'!J2010</x:f>
        <x:v>2</x:v>
      </x:c>
      <x:c r="S2010" s="87" t="n">
        <x:f>'Raw Sales'!K2010</x:f>
        <x:v>0</x:v>
      </x:c>
      <x:c r="T2010" s="93" t="n">
        <x:f>P2010*R2010</x:f>
        <x:v>318</x:v>
      </x:c>
      <x:c r="U2010" s="93" t="n">
        <x:f>T2010*S2010</x:f>
        <x:v>0</x:v>
      </x:c>
      <x:c r="V2010" s="93" t="str">
        <x:f>PROPER(TRIM('Raw Sales'!L2010))</x:f>
        <x:v>Completed</x:v>
      </x:c>
      <x:c r="W2010" s="93" t="n">
        <x:f>IF(V2010="Returned",0,T2010-U2010)</x:f>
        <x:v>318</x:v>
      </x:c>
      <x:c r="X2010" s="93" t="n">
        <x:f>IF(V2010="Returned",Q2010*R2010*10%,Q2010*R2010)</x:f>
        <x:v>184</x:v>
      </x:c>
      <x:c r="Y2010" s="93" t="n">
        <x:f>W2010-X2010</x:f>
        <x:v>134</x:v>
      </x:c>
      <x:c r="Z2010" s="94" t="n">
        <x:f>IFERROR(Y2010/W2010,0)</x:f>
        <x:v>0.42138364779874216</x:v>
      </x:c>
      <x:c r="AA2010" s="84" t="str">
        <x:f>PROPER(TRIM('Raw Sales'!M2010))</x:f>
        <x:v>Credit Card</x:v>
      </x:c>
      <x:c r="AB2010" s="84" t="str">
        <x:f>PROPER(TRIM('Raw Sales'!N2010))</x:f>
        <x:v>Lucas Grant</x:v>
      </x:c>
      <x:c r="AC2010" s="85" t="n">
        <x:f>'Raw Sales'!O2010</x:f>
        <x:v>45939</x:v>
      </x:c>
      <x:c r="AD2010" s="84" t="n">
        <x:f>AC2010-B2010</x:f>
        <x:v>2</x:v>
      </x:c>
      <x:c r="AE2010" s="84" t="str">
        <x:f>IF(COUNTIF($A$5:A2010,A2010)&gt;1,"Duplicate","Keep")</x:f>
        <x:v>Keep</x:v>
      </x:c>
      <x:c r="AF2010" s="84" t="str">
        <x:f>IF(OR(R2010&lt;=0,AC2010&lt;B2010,H2010="Unknown",M2010="Unknown Product"),"Review","Valid")</x:f>
        <x:v>Valid</x:v>
      </x:c>
      <x:c r="AG2010" s="84" t="n">
        <x:f>IF(AND(AE2010="Keep",AF2010="Valid"),1,0)</x:f>
        <x:v>1</x:v>
      </x:c>
      <x:c r="AH2010" s="84" t="n">
        <x:f>IF(AND(AG2010=1,OR('Dashboard'!$B$4="All",I2010='Dashboard'!$B$4),OR('Dashboard'!$E$4="All",N2010='Dashboard'!$E$4),OR('Dashboard'!$H$4="All",K2010='Dashboard'!$H$4),OR('Dashboard'!$K$4="All",C2010='Dashboard'!$K$4)),1,0)</x:f>
        <x:v>1</x:v>
      </x:c>
      <x:c r="AI2010" s="84" t="n">
        <x:f>IF(AND(AG2010=1,OR('Dashboard'!$B$4="All",I2010='Dashboard'!$B$4),OR('Dashboard'!$E$4="All",N2010='Dashboard'!$E$4),OR('Dashboard'!$H$4="All",K2010='Dashboard'!$H$4)),1,0)</x:f>
        <x:v>1</x:v>
      </x:c>
    </x:row>
    <x:row r="2011">
      <x:c r="A2011" s="84" t="str">
        <x:f>'Raw Sales'!A2011</x:f>
        <x:v>ORD-2025-00180</x:v>
      </x:c>
      <x:c r="B2011" s="85" t="n">
        <x:f>'Raw Sales'!B2011</x:f>
        <x:v>45938</x:v>
      </x:c>
      <x:c r="C2011" s="84" t="n">
        <x:f>YEAR(B2011)</x:f>
        <x:v>2025</x:v>
      </x:c>
      <x:c r="D2011" s="91" t="n">
        <x:f>DATE(YEAR(B2011),MONTH(B2011),1)</x:f>
        <x:v>45931</x:v>
      </x:c>
      <x:c r="E2011" s="84" t="str">
        <x:f>TEXT(B2011,"mmm")</x:f>
        <x:v>Oct</x:v>
      </x:c>
      <x:c r="F2011" s="84" t="str">
        <x:f>'Raw Sales'!C2011</x:f>
        <x:v>CUST-0610</x:v>
      </x:c>
      <x:c r="G2011" s="84" t="str">
        <x:f>PROPER(TRIM('Raw Sales'!D2011))</x:f>
        <x:v>Grace Taylor</x:v>
      </x:c>
      <x:c r="H2011" s="84" t="str">
        <x:f>IF(TRIM('Raw Sales'!E2011)="","Unknown",PROPER(TRIM('Raw Sales'!E2011)))</x:f>
        <x:v>Consumer</x:v>
      </x:c>
      <x:c r="I2011" s="84" t="str">
        <x:f>PROPER(TRIM('Raw Sales'!F2011))</x:f>
        <x:v>Southeast</x:v>
      </x:c>
      <x:c r="J2011" s="84" t="str">
        <x:f>PROPER(TRIM('Raw Sales'!G2011))</x:f>
        <x:v>Miami</x:v>
      </x:c>
      <x:c r="K2011" s="84" t="str">
        <x:f>PROPER(TRIM('Raw Sales'!H2011))</x:f>
        <x:v>Marketplace</x:v>
      </x:c>
      <x:c r="L2011" s="84" t="str">
        <x:f>'Raw Sales'!I2011</x:f>
        <x:v>ACCS-004</x:v>
      </x:c>
      <x:c r="M2011" s="84" t="str">
        <x:f>IFERROR(VLOOKUP(L2011,'Reference Data'!$A$5:$F$40,2,FALSE),"Unknown Product")</x:f>
        <x:v>Leather Wallet</x:v>
      </x:c>
      <x:c r="N2011" s="84" t="str">
        <x:f>IFERROR(VLOOKUP(L2011,'Reference Data'!$A$5:$F$40,3,FALSE),"Unknown")</x:f>
        <x:v>Accessories</x:v>
      </x:c>
      <x:c r="O2011" s="84" t="str">
        <x:f>IFERROR(VLOOKUP(L2011,'Reference Data'!$A$5:$F$40,4,FALSE),"Unknown")</x:f>
        <x:v>Wallets</x:v>
      </x:c>
      <x:c r="P2011" s="92" t="n">
        <x:f>IFERROR(VLOOKUP(L2011,'Reference Data'!$A$5:$F$40,5,FALSE),0)</x:f>
        <x:v>49</x:v>
      </x:c>
      <x:c r="Q2011" s="92" t="n">
        <x:f>IFERROR(VLOOKUP(L2011,'Reference Data'!$A$5:$F$40,6,FALSE),0)</x:f>
        <x:v>18</x:v>
      </x:c>
      <x:c r="R2011" s="84" t="n">
        <x:f>'Raw Sales'!J2011</x:f>
        <x:v>2</x:v>
      </x:c>
      <x:c r="S2011" s="87" t="n">
        <x:f>'Raw Sales'!K2011</x:f>
        <x:v>0.15</x:v>
      </x:c>
      <x:c r="T2011" s="93" t="n">
        <x:f>P2011*R2011</x:f>
        <x:v>98</x:v>
      </x:c>
      <x:c r="U2011" s="93" t="n">
        <x:f>T2011*S2011</x:f>
        <x:v>14.7</x:v>
      </x:c>
      <x:c r="V2011" s="93" t="str">
        <x:f>PROPER(TRIM('Raw Sales'!L2011))</x:f>
        <x:v>Completed</x:v>
      </x:c>
      <x:c r="W2011" s="93" t="n">
        <x:f>IF(V2011="Returned",0,T2011-U2011)</x:f>
        <x:v>83.3</x:v>
      </x:c>
      <x:c r="X2011" s="93" t="n">
        <x:f>IF(V2011="Returned",Q2011*R2011*10%,Q2011*R2011)</x:f>
        <x:v>36</x:v>
      </x:c>
      <x:c r="Y2011" s="93" t="n">
        <x:f>W2011-X2011</x:f>
        <x:v>47.3</x:v>
      </x:c>
      <x:c r="Z2011" s="94" t="n">
        <x:f>IFERROR(Y2011/W2011,0)</x:f>
        <x:v>0.5678271308523409</x:v>
      </x:c>
      <x:c r="AA2011" s="84" t="str">
        <x:f>PROPER(TRIM('Raw Sales'!M2011))</x:f>
        <x:v>Debit Card</x:v>
      </x:c>
      <x:c r="AB2011" s="84" t="str">
        <x:f>PROPER(TRIM('Raw Sales'!N2011))</x:f>
        <x:v>Noah Reed</x:v>
      </x:c>
      <x:c r="AC2011" s="85" t="n">
        <x:f>'Raw Sales'!O2011</x:f>
        <x:v>45944</x:v>
      </x:c>
      <x:c r="AD2011" s="84" t="n">
        <x:f>AC2011-B2011</x:f>
        <x:v>6</x:v>
      </x:c>
      <x:c r="AE2011" s="84" t="str">
        <x:f>IF(COUNTIF($A$5:A2011,A2011)&gt;1,"Duplicate","Keep")</x:f>
        <x:v>Keep</x:v>
      </x:c>
      <x:c r="AF2011" s="84" t="str">
        <x:f>IF(OR(R2011&lt;=0,AC2011&lt;B2011,H2011="Unknown",M2011="Unknown Product"),"Review","Valid")</x:f>
        <x:v>Valid</x:v>
      </x:c>
      <x:c r="AG2011" s="84" t="n">
        <x:f>IF(AND(AE2011="Keep",AF2011="Valid"),1,0)</x:f>
        <x:v>1</x:v>
      </x:c>
      <x:c r="AH2011" s="84" t="n">
        <x:f>IF(AND(AG2011=1,OR('Dashboard'!$B$4="All",I2011='Dashboard'!$B$4),OR('Dashboard'!$E$4="All",N2011='Dashboard'!$E$4),OR('Dashboard'!$H$4="All",K2011='Dashboard'!$H$4),OR('Dashboard'!$K$4="All",C2011='Dashboard'!$K$4)),1,0)</x:f>
        <x:v>1</x:v>
      </x:c>
      <x:c r="AI2011" s="84" t="n">
        <x:f>IF(AND(AG2011=1,OR('Dashboard'!$B$4="All",I2011='Dashboard'!$B$4),OR('Dashboard'!$E$4="All",N2011='Dashboard'!$E$4),OR('Dashboard'!$H$4="All",K2011='Dashboard'!$H$4)),1,0)</x:f>
        <x:v>1</x:v>
      </x:c>
    </x:row>
    <x:row r="2012">
      <x:c r="A2012" s="84" t="str">
        <x:f>'Raw Sales'!A2012</x:f>
        <x:v>ORD-2025-01631</x:v>
      </x:c>
      <x:c r="B2012" s="85" t="n">
        <x:f>'Raw Sales'!B2012</x:f>
        <x:v>45938</x:v>
      </x:c>
      <x:c r="C2012" s="84" t="n">
        <x:f>YEAR(B2012)</x:f>
        <x:v>2025</x:v>
      </x:c>
      <x:c r="D2012" s="91" t="n">
        <x:f>DATE(YEAR(B2012),MONTH(B2012),1)</x:f>
        <x:v>45931</x:v>
      </x:c>
      <x:c r="E2012" s="84" t="str">
        <x:f>TEXT(B2012,"mmm")</x:f>
        <x:v>Oct</x:v>
      </x:c>
      <x:c r="F2012" s="84" t="str">
        <x:f>'Raw Sales'!C2012</x:f>
        <x:v>CUST-0573</x:v>
      </x:c>
      <x:c r="G2012" s="84" t="str">
        <x:f>PROPER(TRIM('Raw Sales'!D2012))</x:f>
        <x:v>Priya Johnson</x:v>
      </x:c>
      <x:c r="H2012" s="84" t="str">
        <x:f>IF(TRIM('Raw Sales'!E2012)="","Unknown",PROPER(TRIM('Raw Sales'!E2012)))</x:f>
        <x:v>Corporate</x:v>
      </x:c>
      <x:c r="I2012" s="84" t="str">
        <x:f>PROPER(TRIM('Raw Sales'!F2012))</x:f>
        <x:v>West</x:v>
      </x:c>
      <x:c r="J2012" s="84" t="str">
        <x:f>PROPER(TRIM('Raw Sales'!G2012))</x:f>
        <x:v>Los Angeles</x:v>
      </x:c>
      <x:c r="K2012" s="84" t="str">
        <x:f>PROPER(TRIM('Raw Sales'!H2012))</x:f>
        <x:v>Online</x:v>
      </x:c>
      <x:c r="L2012" s="84" t="str">
        <x:f>'Raw Sales'!I2012</x:f>
        <x:v>HOME-005</x:v>
      </x:c>
      <x:c r="M2012" s="84" t="str">
        <x:f>IFERROR(VLOOKUP(L2012,'Reference Data'!$A$5:$F$40,2,FALSE),"Unknown Product")</x:f>
        <x:v>Cordless Vacuum</x:v>
      </x:c>
      <x:c r="N2012" s="84" t="str">
        <x:f>IFERROR(VLOOKUP(L2012,'Reference Data'!$A$5:$F$40,3,FALSE),"Unknown")</x:f>
        <x:v>Home &amp; Kitchen</x:v>
      </x:c>
      <x:c r="O2012" s="84" t="str">
        <x:f>IFERROR(VLOOKUP(L2012,'Reference Data'!$A$5:$F$40,4,FALSE),"Unknown")</x:f>
        <x:v>Cleaning</x:v>
      </x:c>
      <x:c r="P2012" s="92" t="n">
        <x:f>IFERROR(VLOOKUP(L2012,'Reference Data'!$A$5:$F$40,5,FALSE),0)</x:f>
        <x:v>179</x:v>
      </x:c>
      <x:c r="Q2012" s="92" t="n">
        <x:f>IFERROR(VLOOKUP(L2012,'Reference Data'!$A$5:$F$40,6,FALSE),0)</x:f>
        <x:v>102</x:v>
      </x:c>
      <x:c r="R2012" s="84" t="n">
        <x:f>'Raw Sales'!J2012</x:f>
        <x:v>2</x:v>
      </x:c>
      <x:c r="S2012" s="87" t="n">
        <x:f>'Raw Sales'!K2012</x:f>
        <x:v>0</x:v>
      </x:c>
      <x:c r="T2012" s="93" t="n">
        <x:f>P2012*R2012</x:f>
        <x:v>358</x:v>
      </x:c>
      <x:c r="U2012" s="93" t="n">
        <x:f>T2012*S2012</x:f>
        <x:v>0</x:v>
      </x:c>
      <x:c r="V2012" s="93" t="str">
        <x:f>PROPER(TRIM('Raw Sales'!L2012))</x:f>
        <x:v>Completed</x:v>
      </x:c>
      <x:c r="W2012" s="93" t="n">
        <x:f>IF(V2012="Returned",0,T2012-U2012)</x:f>
        <x:v>358</x:v>
      </x:c>
      <x:c r="X2012" s="93" t="n">
        <x:f>IF(V2012="Returned",Q2012*R2012*10%,Q2012*R2012)</x:f>
        <x:v>204</x:v>
      </x:c>
      <x:c r="Y2012" s="93" t="n">
        <x:f>W2012-X2012</x:f>
        <x:v>154</x:v>
      </x:c>
      <x:c r="Z2012" s="94" t="n">
        <x:f>IFERROR(Y2012/W2012,0)</x:f>
        <x:v>0.4301675977653631</x:v>
      </x:c>
      <x:c r="AA2012" s="84" t="str">
        <x:f>PROPER(TRIM('Raw Sales'!M2012))</x:f>
        <x:v>Debit Card</x:v>
      </x:c>
      <x:c r="AB2012" s="84" t="str">
        <x:f>PROPER(TRIM('Raw Sales'!N2012))</x:f>
        <x:v>Leo Martinez</x:v>
      </x:c>
      <x:c r="AC2012" s="85" t="n">
        <x:f>'Raw Sales'!O2012</x:f>
        <x:v>45942</x:v>
      </x:c>
      <x:c r="AD2012" s="84" t="n">
        <x:f>AC2012-B2012</x:f>
        <x:v>4</x:v>
      </x:c>
      <x:c r="AE2012" s="84" t="str">
        <x:f>IF(COUNTIF($A$5:A2012,A2012)&gt;1,"Duplicate","Keep")</x:f>
        <x:v>Keep</x:v>
      </x:c>
      <x:c r="AF2012" s="84" t="str">
        <x:f>IF(OR(R2012&lt;=0,AC2012&lt;B2012,H2012="Unknown",M2012="Unknown Product"),"Review","Valid")</x:f>
        <x:v>Valid</x:v>
      </x:c>
      <x:c r="AG2012" s="84" t="n">
        <x:f>IF(AND(AE2012="Keep",AF2012="Valid"),1,0)</x:f>
        <x:v>1</x:v>
      </x:c>
      <x:c r="AH2012" s="84" t="n">
        <x:f>IF(AND(AG2012=1,OR('Dashboard'!$B$4="All",I2012='Dashboard'!$B$4),OR('Dashboard'!$E$4="All",N2012='Dashboard'!$E$4),OR('Dashboard'!$H$4="All",K2012='Dashboard'!$H$4),OR('Dashboard'!$K$4="All",C2012='Dashboard'!$K$4)),1,0)</x:f>
        <x:v>1</x:v>
      </x:c>
      <x:c r="AI2012" s="84" t="n">
        <x:f>IF(AND(AG2012=1,OR('Dashboard'!$B$4="All",I2012='Dashboard'!$B$4),OR('Dashboard'!$E$4="All",N2012='Dashboard'!$E$4),OR('Dashboard'!$H$4="All",K2012='Dashboard'!$H$4)),1,0)</x:f>
        <x:v>1</x:v>
      </x:c>
    </x:row>
    <x:row r="2013">
      <x:c r="A2013" s="84" t="str">
        <x:f>'Raw Sales'!A2013</x:f>
        <x:v>ORD-2025-00181</x:v>
      </x:c>
      <x:c r="B2013" s="85" t="n">
        <x:f>'Raw Sales'!B2013</x:f>
        <x:v>45939</x:v>
      </x:c>
      <x:c r="C2013" s="84" t="n">
        <x:f>YEAR(B2013)</x:f>
        <x:v>2025</x:v>
      </x:c>
      <x:c r="D2013" s="91" t="n">
        <x:f>DATE(YEAR(B2013),MONTH(B2013),1)</x:f>
        <x:v>45931</x:v>
      </x:c>
      <x:c r="E2013" s="84" t="str">
        <x:f>TEXT(B2013,"mmm")</x:f>
        <x:v>Oct</x:v>
      </x:c>
      <x:c r="F2013" s="84" t="str">
        <x:f>'Raw Sales'!C2013</x:f>
        <x:v>CUST-0072</x:v>
      </x:c>
      <x:c r="G2013" s="84" t="str">
        <x:f>PROPER(TRIM('Raw Sales'!D2013))</x:f>
        <x:v>Nina Roberts</x:v>
      </x:c>
      <x:c r="H2013" s="84" t="str">
        <x:f>IF(TRIM('Raw Sales'!E2013)="","Unknown",PROPER(TRIM('Raw Sales'!E2013)))</x:f>
        <x:v>Corporate</x:v>
      </x:c>
      <x:c r="I2013" s="84" t="str">
        <x:f>PROPER(TRIM('Raw Sales'!F2013))</x:f>
        <x:v>Northeast</x:v>
      </x:c>
      <x:c r="J2013" s="84" t="str">
        <x:f>PROPER(TRIM('Raw Sales'!G2013))</x:f>
        <x:v>New York</x:v>
      </x:c>
      <x:c r="K2013" s="84" t="str">
        <x:f>PROPER(TRIM('Raw Sales'!H2013))</x:f>
        <x:v>Online</x:v>
      </x:c>
      <x:c r="L2013" s="84" t="str">
        <x:f>'Raw Sales'!I2013</x:f>
        <x:v>HOME-002</x:v>
      </x:c>
      <x:c r="M2013" s="84" t="str">
        <x:f>IFERROR(VLOOKUP(L2013,'Reference Data'!$A$5:$F$40,2,FALSE),"Unknown Product")</x:f>
        <x:v>Electric Kettle</x:v>
      </x:c>
      <x:c r="N2013" s="84" t="str">
        <x:f>IFERROR(VLOOKUP(L2013,'Reference Data'!$A$5:$F$40,3,FALSE),"Unknown")</x:f>
        <x:v>Home &amp; Kitchen</x:v>
      </x:c>
      <x:c r="O2013" s="84" t="str">
        <x:f>IFERROR(VLOOKUP(L2013,'Reference Data'!$A$5:$F$40,4,FALSE),"Unknown")</x:f>
        <x:v>Small Appliances</x:v>
      </x:c>
      <x:c r="P2013" s="92" t="n">
        <x:f>IFERROR(VLOOKUP(L2013,'Reference Data'!$A$5:$F$40,5,FALSE),0)</x:f>
        <x:v>49</x:v>
      </x:c>
      <x:c r="Q2013" s="92" t="n">
        <x:f>IFERROR(VLOOKUP(L2013,'Reference Data'!$A$5:$F$40,6,FALSE),0)</x:f>
        <x:v>23</x:v>
      </x:c>
      <x:c r="R2013" s="84" t="n">
        <x:f>'Raw Sales'!J2013</x:f>
        <x:v>5</x:v>
      </x:c>
      <x:c r="S2013" s="87" t="n">
        <x:f>'Raw Sales'!K2013</x:f>
        <x:v>0.05</x:v>
      </x:c>
      <x:c r="T2013" s="93" t="n">
        <x:f>P2013*R2013</x:f>
        <x:v>245</x:v>
      </x:c>
      <x:c r="U2013" s="93" t="n">
        <x:f>T2013*S2013</x:f>
        <x:v>12.25</x:v>
      </x:c>
      <x:c r="V2013" s="93" t="str">
        <x:f>PROPER(TRIM('Raw Sales'!L2013))</x:f>
        <x:v>Completed</x:v>
      </x:c>
      <x:c r="W2013" s="93" t="n">
        <x:f>IF(V2013="Returned",0,T2013-U2013)</x:f>
        <x:v>232.75</x:v>
      </x:c>
      <x:c r="X2013" s="93" t="n">
        <x:f>IF(V2013="Returned",Q2013*R2013*10%,Q2013*R2013)</x:f>
        <x:v>115</x:v>
      </x:c>
      <x:c r="Y2013" s="93" t="n">
        <x:f>W2013-X2013</x:f>
        <x:v>117.75</x:v>
      </x:c>
      <x:c r="Z2013" s="94" t="n">
        <x:f>IFERROR(Y2013/W2013,0)</x:f>
        <x:v>0.505907626208378</x:v>
      </x:c>
      <x:c r="AA2013" s="84" t="str">
        <x:f>PROPER(TRIM('Raw Sales'!M2013))</x:f>
        <x:v>Credit Card</x:v>
      </x:c>
      <x:c r="AB2013" s="84" t="str">
        <x:f>PROPER(TRIM('Raw Sales'!N2013))</x:f>
        <x:v>Ethan Cole</x:v>
      </x:c>
      <x:c r="AC2013" s="85" t="n">
        <x:f>'Raw Sales'!O2013</x:f>
        <x:v>45944</x:v>
      </x:c>
      <x:c r="AD2013" s="84" t="n">
        <x:f>AC2013-B2013</x:f>
        <x:v>5</x:v>
      </x:c>
      <x:c r="AE2013" s="84" t="str">
        <x:f>IF(COUNTIF($A$5:A2013,A2013)&gt;1,"Duplicate","Keep")</x:f>
        <x:v>Keep</x:v>
      </x:c>
      <x:c r="AF2013" s="84" t="str">
        <x:f>IF(OR(R2013&lt;=0,AC2013&lt;B2013,H2013="Unknown",M2013="Unknown Product"),"Review","Valid")</x:f>
        <x:v>Valid</x:v>
      </x:c>
      <x:c r="AG2013" s="84" t="n">
        <x:f>IF(AND(AE2013="Keep",AF2013="Valid"),1,0)</x:f>
        <x:v>1</x:v>
      </x:c>
      <x:c r="AH2013" s="84" t="n">
        <x:f>IF(AND(AG2013=1,OR('Dashboard'!$B$4="All",I2013='Dashboard'!$B$4),OR('Dashboard'!$E$4="All",N2013='Dashboard'!$E$4),OR('Dashboard'!$H$4="All",K2013='Dashboard'!$H$4),OR('Dashboard'!$K$4="All",C2013='Dashboard'!$K$4)),1,0)</x:f>
        <x:v>1</x:v>
      </x:c>
      <x:c r="AI2013" s="84" t="n">
        <x:f>IF(AND(AG2013=1,OR('Dashboard'!$B$4="All",I2013='Dashboard'!$B$4),OR('Dashboard'!$E$4="All",N2013='Dashboard'!$E$4),OR('Dashboard'!$H$4="All",K2013='Dashboard'!$H$4)),1,0)</x:f>
        <x:v>1</x:v>
      </x:c>
    </x:row>
    <x:row r="2014">
      <x:c r="A2014" s="84" t="str">
        <x:f>'Raw Sales'!A2014</x:f>
        <x:v>ORD-2025-00803</x:v>
      </x:c>
      <x:c r="B2014" s="85" t="n">
        <x:f>'Raw Sales'!B2014</x:f>
        <x:v>45939</x:v>
      </x:c>
      <x:c r="C2014" s="84" t="n">
        <x:f>YEAR(B2014)</x:f>
        <x:v>2025</x:v>
      </x:c>
      <x:c r="D2014" s="91" t="n">
        <x:f>DATE(YEAR(B2014),MONTH(B2014),1)</x:f>
        <x:v>45931</x:v>
      </x:c>
      <x:c r="E2014" s="84" t="str">
        <x:f>TEXT(B2014,"mmm")</x:f>
        <x:v>Oct</x:v>
      </x:c>
      <x:c r="F2014" s="84" t="str">
        <x:f>'Raw Sales'!C2014</x:f>
        <x:v>CUST-0010</x:v>
      </x:c>
      <x:c r="G2014" s="84" t="str">
        <x:f>PROPER(TRIM('Raw Sales'!D2014))</x:f>
        <x:v>Nathan Taylor</x:v>
      </x:c>
      <x:c r="H2014" s="84" t="str">
        <x:f>IF(TRIM('Raw Sales'!E2014)="","Unknown",PROPER(TRIM('Raw Sales'!E2014)))</x:f>
        <x:v>Consumer</x:v>
      </x:c>
      <x:c r="I2014" s="84" t="str">
        <x:f>PROPER(TRIM('Raw Sales'!F2014))</x:f>
        <x:v>Midwest</x:v>
      </x:c>
      <x:c r="J2014" s="84" t="str">
        <x:f>PROPER(TRIM('Raw Sales'!G2014))</x:f>
        <x:v>Minneapolis</x:v>
      </x:c>
      <x:c r="K2014" s="84" t="str">
        <x:f>PROPER(TRIM('Raw Sales'!H2014))</x:f>
        <x:v>Marketplace</x:v>
      </x:c>
      <x:c r="L2014" s="84" t="str">
        <x:f>'Raw Sales'!I2014</x:f>
        <x:v>OFFC-001</x:v>
      </x:c>
      <x:c r="M2014" s="84" t="str">
        <x:f>IFERROR(VLOOKUP(L2014,'Reference Data'!$A$5:$F$40,2,FALSE),"Unknown Product")</x:f>
        <x:v>Ergonomic Chair</x:v>
      </x:c>
      <x:c r="N2014" s="84" t="str">
        <x:f>IFERROR(VLOOKUP(L2014,'Reference Data'!$A$5:$F$40,3,FALSE),"Unknown")</x:f>
        <x:v>Office</x:v>
      </x:c>
      <x:c r="O2014" s="84" t="str">
        <x:f>IFERROR(VLOOKUP(L2014,'Reference Data'!$A$5:$F$40,4,FALSE),"Unknown")</x:f>
        <x:v>Furniture</x:v>
      </x:c>
      <x:c r="P2014" s="92" t="n">
        <x:f>IFERROR(VLOOKUP(L2014,'Reference Data'!$A$5:$F$40,5,FALSE),0)</x:f>
        <x:v>249</x:v>
      </x:c>
      <x:c r="Q2014" s="92" t="n">
        <x:f>IFERROR(VLOOKUP(L2014,'Reference Data'!$A$5:$F$40,6,FALSE),0)</x:f>
        <x:v>145</x:v>
      </x:c>
      <x:c r="R2014" s="84" t="n">
        <x:f>'Raw Sales'!J2014</x:f>
        <x:v>2</x:v>
      </x:c>
      <x:c r="S2014" s="87" t="n">
        <x:f>'Raw Sales'!K2014</x:f>
        <x:v>0.05</x:v>
      </x:c>
      <x:c r="T2014" s="93" t="n">
        <x:f>P2014*R2014</x:f>
        <x:v>498</x:v>
      </x:c>
      <x:c r="U2014" s="93" t="n">
        <x:f>T2014*S2014</x:f>
        <x:v>24.900000000000002</x:v>
      </x:c>
      <x:c r="V2014" s="93" t="str">
        <x:f>PROPER(TRIM('Raw Sales'!L2014))</x:f>
        <x:v>Completed</x:v>
      </x:c>
      <x:c r="W2014" s="93" t="n">
        <x:f>IF(V2014="Returned",0,T2014-U2014)</x:f>
        <x:v>473.1</x:v>
      </x:c>
      <x:c r="X2014" s="93" t="n">
        <x:f>IF(V2014="Returned",Q2014*R2014*10%,Q2014*R2014)</x:f>
        <x:v>290</x:v>
      </x:c>
      <x:c r="Y2014" s="93" t="n">
        <x:f>W2014-X2014</x:f>
        <x:v>183.10000000000002</x:v>
      </x:c>
      <x:c r="Z2014" s="94" t="n">
        <x:f>IFERROR(Y2014/W2014,0)</x:f>
        <x:v>0.3870217712957092</x:v>
      </x:c>
      <x:c r="AA2014" s="84" t="str">
        <x:f>PROPER(TRIM('Raw Sales'!M2014))</x:f>
        <x:v>Credit Card</x:v>
      </x:c>
      <x:c r="AB2014" s="84" t="str">
        <x:f>PROPER(TRIM('Raw Sales'!N2014))</x:f>
        <x:v>Lucas Grant</x:v>
      </x:c>
      <x:c r="AC2014" s="85" t="n">
        <x:f>'Raw Sales'!O2014</x:f>
        <x:v>45946</x:v>
      </x:c>
      <x:c r="AD2014" s="84" t="n">
        <x:f>AC2014-B2014</x:f>
        <x:v>7</x:v>
      </x:c>
      <x:c r="AE2014" s="84" t="str">
        <x:f>IF(COUNTIF($A$5:A2014,A2014)&gt;1,"Duplicate","Keep")</x:f>
        <x:v>Keep</x:v>
      </x:c>
      <x:c r="AF2014" s="84" t="str">
        <x:f>IF(OR(R2014&lt;=0,AC2014&lt;B2014,H2014="Unknown",M2014="Unknown Product"),"Review","Valid")</x:f>
        <x:v>Valid</x:v>
      </x:c>
      <x:c r="AG2014" s="84" t="n">
        <x:f>IF(AND(AE2014="Keep",AF2014="Valid"),1,0)</x:f>
        <x:v>1</x:v>
      </x:c>
      <x:c r="AH2014" s="84" t="n">
        <x:f>IF(AND(AG2014=1,OR('Dashboard'!$B$4="All",I2014='Dashboard'!$B$4),OR('Dashboard'!$E$4="All",N2014='Dashboard'!$E$4),OR('Dashboard'!$H$4="All",K2014='Dashboard'!$H$4),OR('Dashboard'!$K$4="All",C2014='Dashboard'!$K$4)),1,0)</x:f>
        <x:v>1</x:v>
      </x:c>
      <x:c r="AI2014" s="84" t="n">
        <x:f>IF(AND(AG2014=1,OR('Dashboard'!$B$4="All",I2014='Dashboard'!$B$4),OR('Dashboard'!$E$4="All",N2014='Dashboard'!$E$4),OR('Dashboard'!$H$4="All",K2014='Dashboard'!$H$4)),1,0)</x:f>
        <x:v>1</x:v>
      </x:c>
    </x:row>
    <x:row r="2015">
      <x:c r="A2015" s="84" t="str">
        <x:f>'Raw Sales'!A2015</x:f>
        <x:v>ORD-2025-01024</x:v>
      </x:c>
      <x:c r="B2015" s="85" t="n">
        <x:f>'Raw Sales'!B2015</x:f>
        <x:v>45939</x:v>
      </x:c>
      <x:c r="C2015" s="84" t="n">
        <x:f>YEAR(B2015)</x:f>
        <x:v>2025</x:v>
      </x:c>
      <x:c r="D2015" s="91" t="n">
        <x:f>DATE(YEAR(B2015),MONTH(B2015),1)</x:f>
        <x:v>45931</x:v>
      </x:c>
      <x:c r="E2015" s="84" t="str">
        <x:f>TEXT(B2015,"mmm")</x:f>
        <x:v>Oct</x:v>
      </x:c>
      <x:c r="F2015" s="84" t="str">
        <x:f>'Raw Sales'!C2015</x:f>
        <x:v>CUST-0503</x:v>
      </x:c>
      <x:c r="G2015" s="84" t="str">
        <x:f>PROPER(TRIM('Raw Sales'!D2015))</x:f>
        <x:v>Elena Foster</x:v>
      </x:c>
      <x:c r="H2015" s="84" t="str">
        <x:f>IF(TRIM('Raw Sales'!E2015)="","Unknown",PROPER(TRIM('Raw Sales'!E2015)))</x:f>
        <x:v>Consumer</x:v>
      </x:c>
      <x:c r="I2015" s="84" t="str">
        <x:f>PROPER(TRIM('Raw Sales'!F2015))</x:f>
        <x:v>Southeast</x:v>
      </x:c>
      <x:c r="J2015" s="84" t="str">
        <x:f>PROPER(TRIM('Raw Sales'!G2015))</x:f>
        <x:v>Charlotte</x:v>
      </x:c>
      <x:c r="K2015" s="84" t="str">
        <x:f>PROPER(TRIM('Raw Sales'!H2015))</x:f>
        <x:v>Online</x:v>
      </x:c>
      <x:c r="L2015" s="84" t="str">
        <x:f>'Raw Sales'!I2015</x:f>
        <x:v>ACCS-003</x:v>
      </x:c>
      <x:c r="M2015" s="84" t="str">
        <x:f>IFERROR(VLOOKUP(L2015,'Reference Data'!$A$5:$F$40,2,FALSE),"Unknown Product")</x:f>
        <x:v>Polarized Sunglasses</x:v>
      </x:c>
      <x:c r="N2015" s="84" t="str">
        <x:f>IFERROR(VLOOKUP(L2015,'Reference Data'!$A$5:$F$40,3,FALSE),"Unknown")</x:f>
        <x:v>Accessories</x:v>
      </x:c>
      <x:c r="O2015" s="84" t="str">
        <x:f>IFERROR(VLOOKUP(L2015,'Reference Data'!$A$5:$F$40,4,FALSE),"Unknown")</x:f>
        <x:v>Eyewear</x:v>
      </x:c>
      <x:c r="P2015" s="92" t="n">
        <x:f>IFERROR(VLOOKUP(L2015,'Reference Data'!$A$5:$F$40,5,FALSE),0)</x:f>
        <x:v>59</x:v>
      </x:c>
      <x:c r="Q2015" s="92" t="n">
        <x:f>IFERROR(VLOOKUP(L2015,'Reference Data'!$A$5:$F$40,6,FALSE),0)</x:f>
        <x:v>17</x:v>
      </x:c>
      <x:c r="R2015" s="84" t="n">
        <x:f>'Raw Sales'!J2015</x:f>
        <x:v>1</x:v>
      </x:c>
      <x:c r="S2015" s="87" t="n">
        <x:f>'Raw Sales'!K2015</x:f>
        <x:v>0</x:v>
      </x:c>
      <x:c r="T2015" s="93" t="n">
        <x:f>P2015*R2015</x:f>
        <x:v>59</x:v>
      </x:c>
      <x:c r="U2015" s="93" t="n">
        <x:f>T2015*S2015</x:f>
        <x:v>0</x:v>
      </x:c>
      <x:c r="V2015" s="93" t="str">
        <x:f>PROPER(TRIM('Raw Sales'!L2015))</x:f>
        <x:v>Completed</x:v>
      </x:c>
      <x:c r="W2015" s="93" t="n">
        <x:f>IF(V2015="Returned",0,T2015-U2015)</x:f>
        <x:v>59</x:v>
      </x:c>
      <x:c r="X2015" s="93" t="n">
        <x:f>IF(V2015="Returned",Q2015*R2015*10%,Q2015*R2015)</x:f>
        <x:v>17</x:v>
      </x:c>
      <x:c r="Y2015" s="93" t="n">
        <x:f>W2015-X2015</x:f>
        <x:v>42</x:v>
      </x:c>
      <x:c r="Z2015" s="94" t="n">
        <x:f>IFERROR(Y2015/W2015,0)</x:f>
        <x:v>0.711864406779661</x:v>
      </x:c>
      <x:c r="AA2015" s="84" t="str">
        <x:f>PROPER(TRIM('Raw Sales'!M2015))</x:f>
        <x:v>Credit Card</x:v>
      </x:c>
      <x:c r="AB2015" s="84" t="str">
        <x:f>PROPER(TRIM('Raw Sales'!N2015))</x:f>
        <x:v>Liam Parker</x:v>
      </x:c>
      <x:c r="AC2015" s="85" t="n">
        <x:f>'Raw Sales'!O2015</x:f>
        <x:v>45942</x:v>
      </x:c>
      <x:c r="AD2015" s="84" t="n">
        <x:f>AC2015-B2015</x:f>
        <x:v>3</x:v>
      </x:c>
      <x:c r="AE2015" s="84" t="str">
        <x:f>IF(COUNTIF($A$5:A2015,A2015)&gt;1,"Duplicate","Keep")</x:f>
        <x:v>Keep</x:v>
      </x:c>
      <x:c r="AF2015" s="84" t="str">
        <x:f>IF(OR(R2015&lt;=0,AC2015&lt;B2015,H2015="Unknown",M2015="Unknown Product"),"Review","Valid")</x:f>
        <x:v>Valid</x:v>
      </x:c>
      <x:c r="AG2015" s="84" t="n">
        <x:f>IF(AND(AE2015="Keep",AF2015="Valid"),1,0)</x:f>
        <x:v>1</x:v>
      </x:c>
      <x:c r="AH2015" s="84" t="n">
        <x:f>IF(AND(AG2015=1,OR('Dashboard'!$B$4="All",I2015='Dashboard'!$B$4),OR('Dashboard'!$E$4="All",N2015='Dashboard'!$E$4),OR('Dashboard'!$H$4="All",K2015='Dashboard'!$H$4),OR('Dashboard'!$K$4="All",C2015='Dashboard'!$K$4)),1,0)</x:f>
        <x:v>1</x:v>
      </x:c>
      <x:c r="AI2015" s="84" t="n">
        <x:f>IF(AND(AG2015=1,OR('Dashboard'!$B$4="All",I2015='Dashboard'!$B$4),OR('Dashboard'!$E$4="All",N2015='Dashboard'!$E$4),OR('Dashboard'!$H$4="All",K2015='Dashboard'!$H$4)),1,0)</x:f>
        <x:v>1</x:v>
      </x:c>
    </x:row>
    <x:row r="2016">
      <x:c r="A2016" s="84" t="str">
        <x:f>'Raw Sales'!A2016</x:f>
        <x:v>ORD-2025-01901</x:v>
      </x:c>
      <x:c r="B2016" s="85" t="n">
        <x:f>'Raw Sales'!B2016</x:f>
        <x:v>45939</x:v>
      </x:c>
      <x:c r="C2016" s="84" t="n">
        <x:f>YEAR(B2016)</x:f>
        <x:v>2025</x:v>
      </x:c>
      <x:c r="D2016" s="91" t="n">
        <x:f>DATE(YEAR(B2016),MONTH(B2016),1)</x:f>
        <x:v>45931</x:v>
      </x:c>
      <x:c r="E2016" s="84" t="str">
        <x:f>TEXT(B2016,"mmm")</x:f>
        <x:v>Oct</x:v>
      </x:c>
      <x:c r="F2016" s="84" t="str">
        <x:f>'Raw Sales'!C2016</x:f>
        <x:v>CUST-0415</x:v>
      </x:c>
      <x:c r="G2016" s="84" t="str">
        <x:f>PROPER(TRIM('Raw Sales'!D2016))</x:f>
        <x:v>Zara Foster</x:v>
      </x:c>
      <x:c r="H2016" s="84" t="str">
        <x:f>IF(TRIM('Raw Sales'!E2016)="","Unknown",PROPER(TRIM('Raw Sales'!E2016)))</x:f>
        <x:v>Corporate</x:v>
      </x:c>
      <x:c r="I2016" s="84" t="str">
        <x:f>PROPER(TRIM('Raw Sales'!F2016))</x:f>
        <x:v>Southeast</x:v>
      </x:c>
      <x:c r="J2016" s="84" t="str">
        <x:f>PROPER(TRIM('Raw Sales'!G2016))</x:f>
        <x:v>Charlotte</x:v>
      </x:c>
      <x:c r="K2016" s="84" t="str">
        <x:f>PROPER(TRIM('Raw Sales'!H2016))</x:f>
        <x:v>Online</x:v>
      </x:c>
      <x:c r="L2016" s="84" t="str">
        <x:f>'Raw Sales'!I2016</x:f>
        <x:v>ELEC-001</x:v>
      </x:c>
      <x:c r="M2016" s="84" t="str">
        <x:f>IFERROR(VLOOKUP(L2016,'Reference Data'!$A$5:$F$40,2,FALSE),"Unknown Product")</x:f>
        <x:v>Wireless Earbuds</x:v>
      </x:c>
      <x:c r="N2016" s="84" t="str">
        <x:f>IFERROR(VLOOKUP(L2016,'Reference Data'!$A$5:$F$40,3,FALSE),"Unknown")</x:f>
        <x:v>Electronics</x:v>
      </x:c>
      <x:c r="O2016" s="84" t="str">
        <x:f>IFERROR(VLOOKUP(L2016,'Reference Data'!$A$5:$F$40,4,FALSE),"Unknown")</x:f>
        <x:v>Audio</x:v>
      </x:c>
      <x:c r="P2016" s="92" t="n">
        <x:f>IFERROR(VLOOKUP(L2016,'Reference Data'!$A$5:$F$40,5,FALSE),0)</x:f>
        <x:v>69</x:v>
      </x:c>
      <x:c r="Q2016" s="92" t="n">
        <x:f>IFERROR(VLOOKUP(L2016,'Reference Data'!$A$5:$F$40,6,FALSE),0)</x:f>
        <x:v>36</x:v>
      </x:c>
      <x:c r="R2016" s="84" t="n">
        <x:f>'Raw Sales'!J2016</x:f>
        <x:v>3</x:v>
      </x:c>
      <x:c r="S2016" s="87" t="n">
        <x:f>'Raw Sales'!K2016</x:f>
        <x:v>0.15</x:v>
      </x:c>
      <x:c r="T2016" s="93" t="n">
        <x:f>P2016*R2016</x:f>
        <x:v>207</x:v>
      </x:c>
      <x:c r="U2016" s="93" t="n">
        <x:f>T2016*S2016</x:f>
        <x:v>31.049999999999997</x:v>
      </x:c>
      <x:c r="V2016" s="93" t="str">
        <x:f>PROPER(TRIM('Raw Sales'!L2016))</x:f>
        <x:v>Completed</x:v>
      </x:c>
      <x:c r="W2016" s="93" t="n">
        <x:f>IF(V2016="Returned",0,T2016-U2016)</x:f>
        <x:v>175.95</x:v>
      </x:c>
      <x:c r="X2016" s="93" t="n">
        <x:f>IF(V2016="Returned",Q2016*R2016*10%,Q2016*R2016)</x:f>
        <x:v>108</x:v>
      </x:c>
      <x:c r="Y2016" s="93" t="n">
        <x:f>W2016-X2016</x:f>
        <x:v>67.94999999999999</x:v>
      </x:c>
      <x:c r="Z2016" s="94" t="n">
        <x:f>IFERROR(Y2016/W2016,0)</x:f>
        <x:v>0.38618925831202044</x:v>
      </x:c>
      <x:c r="AA2016" s="84" t="str">
        <x:f>PROPER(TRIM('Raw Sales'!M2016))</x:f>
        <x:v>Credit Card</x:v>
      </x:c>
      <x:c r="AB2016" s="84" t="str">
        <x:f>PROPER(TRIM('Raw Sales'!N2016))</x:f>
        <x:v>Ava Mitchell</x:v>
      </x:c>
      <x:c r="AC2016" s="85" t="n">
        <x:f>'Raw Sales'!O2016</x:f>
        <x:v>45943</x:v>
      </x:c>
      <x:c r="AD2016" s="84" t="n">
        <x:f>AC2016-B2016</x:f>
        <x:v>4</x:v>
      </x:c>
      <x:c r="AE2016" s="84" t="str">
        <x:f>IF(COUNTIF($A$5:A2016,A2016)&gt;1,"Duplicate","Keep")</x:f>
        <x:v>Keep</x:v>
      </x:c>
      <x:c r="AF2016" s="84" t="str">
        <x:f>IF(OR(R2016&lt;=0,AC2016&lt;B2016,H2016="Unknown",M2016="Unknown Product"),"Review","Valid")</x:f>
        <x:v>Valid</x:v>
      </x:c>
      <x:c r="AG2016" s="84" t="n">
        <x:f>IF(AND(AE2016="Keep",AF2016="Valid"),1,0)</x:f>
        <x:v>1</x:v>
      </x:c>
      <x:c r="AH2016" s="84" t="n">
        <x:f>IF(AND(AG2016=1,OR('Dashboard'!$B$4="All",I2016='Dashboard'!$B$4),OR('Dashboard'!$E$4="All",N2016='Dashboard'!$E$4),OR('Dashboard'!$H$4="All",K2016='Dashboard'!$H$4),OR('Dashboard'!$K$4="All",C2016='Dashboard'!$K$4)),1,0)</x:f>
        <x:v>1</x:v>
      </x:c>
      <x:c r="AI2016" s="84" t="n">
        <x:f>IF(AND(AG2016=1,OR('Dashboard'!$B$4="All",I2016='Dashboard'!$B$4),OR('Dashboard'!$E$4="All",N2016='Dashboard'!$E$4),OR('Dashboard'!$H$4="All",K2016='Dashboard'!$H$4)),1,0)</x:f>
        <x:v>1</x:v>
      </x:c>
    </x:row>
    <x:row r="2017">
      <x:c r="A2017" s="84" t="str">
        <x:f>'Raw Sales'!A2017</x:f>
        <x:v>ORD-2025-00128</x:v>
      </x:c>
      <x:c r="B2017" s="85" t="n">
        <x:f>'Raw Sales'!B2017</x:f>
        <x:v>45940</x:v>
      </x:c>
      <x:c r="C2017" s="84" t="n">
        <x:f>YEAR(B2017)</x:f>
        <x:v>2025</x:v>
      </x:c>
      <x:c r="D2017" s="91" t="n">
        <x:f>DATE(YEAR(B2017),MONTH(B2017),1)</x:f>
        <x:v>45931</x:v>
      </x:c>
      <x:c r="E2017" s="84" t="str">
        <x:f>TEXT(B2017,"mmm")</x:f>
        <x:v>Oct</x:v>
      </x:c>
      <x:c r="F2017" s="84" t="str">
        <x:f>'Raw Sales'!C2017</x:f>
        <x:v>CUST-0205</x:v>
      </x:c>
      <x:c r="G2017" s="84" t="str">
        <x:f>PROPER(TRIM('Raw Sales'!D2017))</x:f>
        <x:v>Elena Young</x:v>
      </x:c>
      <x:c r="H2017" s="84" t="str">
        <x:f>IF(TRIM('Raw Sales'!E2017)="","Unknown",PROPER(TRIM('Raw Sales'!E2017)))</x:f>
        <x:v>Corporate</x:v>
      </x:c>
      <x:c r="I2017" s="84" t="str">
        <x:f>PROPER(TRIM('Raw Sales'!F2017))</x:f>
        <x:v>West</x:v>
      </x:c>
      <x:c r="J2017" s="84" t="str">
        <x:f>PROPER(TRIM('Raw Sales'!G2017))</x:f>
        <x:v>Denver</x:v>
      </x:c>
      <x:c r="K2017" s="84" t="str">
        <x:f>PROPER(TRIM('Raw Sales'!H2017))</x:f>
        <x:v>Retail Store</x:v>
      </x:c>
      <x:c r="L2017" s="84" t="str">
        <x:f>'Raw Sales'!I2017</x:f>
        <x:v>ELEC-002</x:v>
      </x:c>
      <x:c r="M2017" s="84" t="str">
        <x:f>IFERROR(VLOOKUP(L2017,'Reference Data'!$A$5:$F$40,2,FALSE),"Unknown Product")</x:f>
        <x:v>Smartwatch</x:v>
      </x:c>
      <x:c r="N2017" s="84" t="str">
        <x:f>IFERROR(VLOOKUP(L2017,'Reference Data'!$A$5:$F$40,3,FALSE),"Unknown")</x:f>
        <x:v>Electronics</x:v>
      </x:c>
      <x:c r="O2017" s="84" t="str">
        <x:f>IFERROR(VLOOKUP(L2017,'Reference Data'!$A$5:$F$40,4,FALSE),"Unknown")</x:f>
        <x:v>Wearables</x:v>
      </x:c>
      <x:c r="P2017" s="92" t="n">
        <x:f>IFERROR(VLOOKUP(L2017,'Reference Data'!$A$5:$F$40,5,FALSE),0)</x:f>
        <x:v>159</x:v>
      </x:c>
      <x:c r="Q2017" s="92" t="n">
        <x:f>IFERROR(VLOOKUP(L2017,'Reference Data'!$A$5:$F$40,6,FALSE),0)</x:f>
        <x:v>92</x:v>
      </x:c>
      <x:c r="R2017" s="84" t="n">
        <x:f>'Raw Sales'!J2017</x:f>
        <x:v>2</x:v>
      </x:c>
      <x:c r="S2017" s="87" t="n">
        <x:f>'Raw Sales'!K2017</x:f>
        <x:v>0</x:v>
      </x:c>
      <x:c r="T2017" s="93" t="n">
        <x:f>P2017*R2017</x:f>
        <x:v>318</x:v>
      </x:c>
      <x:c r="U2017" s="93" t="n">
        <x:f>T2017*S2017</x:f>
        <x:v>0</x:v>
      </x:c>
      <x:c r="V2017" s="93" t="str">
        <x:f>PROPER(TRIM('Raw Sales'!L2017))</x:f>
        <x:v>Completed</x:v>
      </x:c>
      <x:c r="W2017" s="93" t="n">
        <x:f>IF(V2017="Returned",0,T2017-U2017)</x:f>
        <x:v>318</x:v>
      </x:c>
      <x:c r="X2017" s="93" t="n">
        <x:f>IF(V2017="Returned",Q2017*R2017*10%,Q2017*R2017)</x:f>
        <x:v>184</x:v>
      </x:c>
      <x:c r="Y2017" s="93" t="n">
        <x:f>W2017-X2017</x:f>
        <x:v>134</x:v>
      </x:c>
      <x:c r="Z2017" s="94" t="n">
        <x:f>IFERROR(Y2017/W2017,0)</x:f>
        <x:v>0.42138364779874216</x:v>
      </x:c>
      <x:c r="AA2017" s="84" t="str">
        <x:f>PROPER(TRIM('Raw Sales'!M2017))</x:f>
        <x:v>Cash</x:v>
      </x:c>
      <x:c r="AB2017" s="84" t="str">
        <x:f>PROPER(TRIM('Raw Sales'!N2017))</x:f>
        <x:v>Leo Martinez</x:v>
      </x:c>
      <x:c r="AC2017" s="85" t="n">
        <x:f>'Raw Sales'!O2017</x:f>
        <x:v>45940</x:v>
      </x:c>
      <x:c r="AD2017" s="84" t="n">
        <x:f>AC2017-B2017</x:f>
        <x:v>0</x:v>
      </x:c>
      <x:c r="AE2017" s="84" t="str">
        <x:f>IF(COUNTIF($A$5:A2017,A2017)&gt;1,"Duplicate","Keep")</x:f>
        <x:v>Keep</x:v>
      </x:c>
      <x:c r="AF2017" s="84" t="str">
        <x:f>IF(OR(R2017&lt;=0,AC2017&lt;B2017,H2017="Unknown",M2017="Unknown Product"),"Review","Valid")</x:f>
        <x:v>Valid</x:v>
      </x:c>
      <x:c r="AG2017" s="84" t="n">
        <x:f>IF(AND(AE2017="Keep",AF2017="Valid"),1,0)</x:f>
        <x:v>1</x:v>
      </x:c>
      <x:c r="AH2017" s="84" t="n">
        <x:f>IF(AND(AG2017=1,OR('Dashboard'!$B$4="All",I2017='Dashboard'!$B$4),OR('Dashboard'!$E$4="All",N2017='Dashboard'!$E$4),OR('Dashboard'!$H$4="All",K2017='Dashboard'!$H$4),OR('Dashboard'!$K$4="All",C2017='Dashboard'!$K$4)),1,0)</x:f>
        <x:v>1</x:v>
      </x:c>
      <x:c r="AI2017" s="84" t="n">
        <x:f>IF(AND(AG2017=1,OR('Dashboard'!$B$4="All",I2017='Dashboard'!$B$4),OR('Dashboard'!$E$4="All",N2017='Dashboard'!$E$4),OR('Dashboard'!$H$4="All",K2017='Dashboard'!$H$4)),1,0)</x:f>
        <x:v>1</x:v>
      </x:c>
    </x:row>
    <x:row r="2018">
      <x:c r="A2018" s="84" t="str">
        <x:f>'Raw Sales'!A2018</x:f>
        <x:v>ORD-2025-00252</x:v>
      </x:c>
      <x:c r="B2018" s="85" t="n">
        <x:f>'Raw Sales'!B2018</x:f>
        <x:v>45940</x:v>
      </x:c>
      <x:c r="C2018" s="84" t="n">
        <x:f>YEAR(B2018)</x:f>
        <x:v>2025</x:v>
      </x:c>
      <x:c r="D2018" s="91" t="n">
        <x:f>DATE(YEAR(B2018),MONTH(B2018),1)</x:f>
        <x:v>45931</x:v>
      </x:c>
      <x:c r="E2018" s="84" t="str">
        <x:f>TEXT(B2018,"mmm")</x:f>
        <x:v>Oct</x:v>
      </x:c>
      <x:c r="F2018" s="84" t="str">
        <x:f>'Raw Sales'!C2018</x:f>
        <x:v>CUST-0289</x:v>
      </x:c>
      <x:c r="G2018" s="84" t="str">
        <x:f>PROPER(TRIM('Raw Sales'!D2018))</x:f>
        <x:v>Chloe Patel</x:v>
      </x:c>
      <x:c r="H2018" s="84" t="str">
        <x:f>IF(TRIM('Raw Sales'!E2018)="","Unknown",PROPER(TRIM('Raw Sales'!E2018)))</x:f>
        <x:v>Consumer</x:v>
      </x:c>
      <x:c r="I2018" s="84" t="str">
        <x:f>PROPER(TRIM('Raw Sales'!F2018))</x:f>
        <x:v>West</x:v>
      </x:c>
      <x:c r="J2018" s="84" t="str">
        <x:f>PROPER(TRIM('Raw Sales'!G2018))</x:f>
        <x:v>Denver</x:v>
      </x:c>
      <x:c r="K2018" s="84" t="str">
        <x:f>PROPER(TRIM('Raw Sales'!H2018))</x:f>
        <x:v>Online</x:v>
      </x:c>
      <x:c r="L2018" s="84" t="str">
        <x:f>'Raw Sales'!I2018</x:f>
        <x:v>ACCS-005</x:v>
      </x:c>
      <x:c r="M2018" s="84" t="str">
        <x:f>IFERROR(VLOOKUP(L2018,'Reference Data'!$A$5:$F$40,2,FALSE),"Unknown Product")</x:f>
        <x:v>Protective Phone Case</x:v>
      </x:c>
      <x:c r="N2018" s="84" t="str">
        <x:f>IFERROR(VLOOKUP(L2018,'Reference Data'!$A$5:$F$40,3,FALSE),"Unknown")</x:f>
        <x:v>Accessories</x:v>
      </x:c>
      <x:c r="O2018" s="84" t="str">
        <x:f>IFERROR(VLOOKUP(L2018,'Reference Data'!$A$5:$F$40,4,FALSE),"Unknown")</x:f>
        <x:v>Mobile Accessories</x:v>
      </x:c>
      <x:c r="P2018" s="92" t="n">
        <x:f>IFERROR(VLOOKUP(L2018,'Reference Data'!$A$5:$F$40,5,FALSE),0)</x:f>
        <x:v>24</x:v>
      </x:c>
      <x:c r="Q2018" s="92" t="n">
        <x:f>IFERROR(VLOOKUP(L2018,'Reference Data'!$A$5:$F$40,6,FALSE),0)</x:f>
        <x:v>5</x:v>
      </x:c>
      <x:c r="R2018" s="84" t="n">
        <x:f>'Raw Sales'!J2018</x:f>
        <x:v>1</x:v>
      </x:c>
      <x:c r="S2018" s="87" t="n">
        <x:f>'Raw Sales'!K2018</x:f>
        <x:v>0.15</x:v>
      </x:c>
      <x:c r="T2018" s="93" t="n">
        <x:f>P2018*R2018</x:f>
        <x:v>24</x:v>
      </x:c>
      <x:c r="U2018" s="93" t="n">
        <x:f>T2018*S2018</x:f>
        <x:v>3.5999999999999996</x:v>
      </x:c>
      <x:c r="V2018" s="93" t="str">
        <x:f>PROPER(TRIM('Raw Sales'!L2018))</x:f>
        <x:v>Completed</x:v>
      </x:c>
      <x:c r="W2018" s="93" t="n">
        <x:f>IF(V2018="Returned",0,T2018-U2018)</x:f>
        <x:v>20.4</x:v>
      </x:c>
      <x:c r="X2018" s="93" t="n">
        <x:f>IF(V2018="Returned",Q2018*R2018*10%,Q2018*R2018)</x:f>
        <x:v>5</x:v>
      </x:c>
      <x:c r="Y2018" s="93" t="n">
        <x:f>W2018-X2018</x:f>
        <x:v>15.399999999999999</x:v>
      </x:c>
      <x:c r="Z2018" s="94" t="n">
        <x:f>IFERROR(Y2018/W2018,0)</x:f>
        <x:v>0.7549019607843137</x:v>
      </x:c>
      <x:c r="AA2018" s="84" t="str">
        <x:f>PROPER(TRIM('Raw Sales'!M2018))</x:f>
        <x:v>Credit Card</x:v>
      </x:c>
      <x:c r="AB2018" s="84" t="str">
        <x:f>PROPER(TRIM('Raw Sales'!N2018))</x:f>
        <x:v>Nora Kim</x:v>
      </x:c>
      <x:c r="AC2018" s="85" t="n">
        <x:f>'Raw Sales'!O2018</x:f>
        <x:v>45942</x:v>
      </x:c>
      <x:c r="AD2018" s="84" t="n">
        <x:f>AC2018-B2018</x:f>
        <x:v>2</x:v>
      </x:c>
      <x:c r="AE2018" s="84" t="str">
        <x:f>IF(COUNTIF($A$5:A2018,A2018)&gt;1,"Duplicate","Keep")</x:f>
        <x:v>Keep</x:v>
      </x:c>
      <x:c r="AF2018" s="84" t="str">
        <x:f>IF(OR(R2018&lt;=0,AC2018&lt;B2018,H2018="Unknown",M2018="Unknown Product"),"Review","Valid")</x:f>
        <x:v>Valid</x:v>
      </x:c>
      <x:c r="AG2018" s="84" t="n">
        <x:f>IF(AND(AE2018="Keep",AF2018="Valid"),1,0)</x:f>
        <x:v>1</x:v>
      </x:c>
      <x:c r="AH2018" s="84" t="n">
        <x:f>IF(AND(AG2018=1,OR('Dashboard'!$B$4="All",I2018='Dashboard'!$B$4),OR('Dashboard'!$E$4="All",N2018='Dashboard'!$E$4),OR('Dashboard'!$H$4="All",K2018='Dashboard'!$H$4),OR('Dashboard'!$K$4="All",C2018='Dashboard'!$K$4)),1,0)</x:f>
        <x:v>1</x:v>
      </x:c>
      <x:c r="AI2018" s="84" t="n">
        <x:f>IF(AND(AG2018=1,OR('Dashboard'!$B$4="All",I2018='Dashboard'!$B$4),OR('Dashboard'!$E$4="All",N2018='Dashboard'!$E$4),OR('Dashboard'!$H$4="All",K2018='Dashboard'!$H$4)),1,0)</x:f>
        <x:v>1</x:v>
      </x:c>
    </x:row>
    <x:row r="2019">
      <x:c r="A2019" s="84" t="str">
        <x:f>'Raw Sales'!A2019</x:f>
        <x:v>ORD-2025-01333</x:v>
      </x:c>
      <x:c r="B2019" s="85" t="n">
        <x:f>'Raw Sales'!B2019</x:f>
        <x:v>45940</x:v>
      </x:c>
      <x:c r="C2019" s="84" t="n">
        <x:f>YEAR(B2019)</x:f>
        <x:v>2025</x:v>
      </x:c>
      <x:c r="D2019" s="91" t="n">
        <x:f>DATE(YEAR(B2019),MONTH(B2019),1)</x:f>
        <x:v>45931</x:v>
      </x:c>
      <x:c r="E2019" s="84" t="str">
        <x:f>TEXT(B2019,"mmm")</x:f>
        <x:v>Oct</x:v>
      </x:c>
      <x:c r="F2019" s="84" t="str">
        <x:f>'Raw Sales'!C2019</x:f>
        <x:v>CUST-0390</x:v>
      </x:c>
      <x:c r="G2019" s="84" t="str">
        <x:f>PROPER(TRIM('Raw Sales'!D2019))</x:f>
        <x:v>Daniel Adams</x:v>
      </x:c>
      <x:c r="H2019" s="84" t="str">
        <x:f>IF(TRIM('Raw Sales'!E2019)="","Unknown",PROPER(TRIM('Raw Sales'!E2019)))</x:f>
        <x:v>Consumer</x:v>
      </x:c>
      <x:c r="I2019" s="84" t="str">
        <x:f>PROPER(TRIM('Raw Sales'!F2019))</x:f>
        <x:v>West</x:v>
      </x:c>
      <x:c r="J2019" s="84" t="str">
        <x:f>PROPER(TRIM('Raw Sales'!G2019))</x:f>
        <x:v>Los Angeles</x:v>
      </x:c>
      <x:c r="K2019" s="84" t="str">
        <x:f>PROPER(TRIM('Raw Sales'!H2019))</x:f>
        <x:v>Retail Store</x:v>
      </x:c>
      <x:c r="L2019" s="84" t="str">
        <x:f>'Raw Sales'!I2019</x:f>
        <x:v>FITN-003</x:v>
      </x:c>
      <x:c r="M2019" s="84" t="str">
        <x:f>IFERROR(VLOOKUP(L2019,'Reference Data'!$A$5:$F$40,2,FALSE),"Unknown Product")</x:f>
        <x:v>Resistance Band Set</x:v>
      </x:c>
      <x:c r="N2019" s="84" t="str">
        <x:f>IFERROR(VLOOKUP(L2019,'Reference Data'!$A$5:$F$40,3,FALSE),"Unknown")</x:f>
        <x:v>Fitness</x:v>
      </x:c>
      <x:c r="O2019" s="84" t="str">
        <x:f>IFERROR(VLOOKUP(L2019,'Reference Data'!$A$5:$F$40,4,FALSE),"Unknown")</x:f>
        <x:v>Strength</x:v>
      </x:c>
      <x:c r="P2019" s="92" t="n">
        <x:f>IFERROR(VLOOKUP(L2019,'Reference Data'!$A$5:$F$40,5,FALSE),0)</x:f>
        <x:v>24</x:v>
      </x:c>
      <x:c r="Q2019" s="92" t="n">
        <x:f>IFERROR(VLOOKUP(L2019,'Reference Data'!$A$5:$F$40,6,FALSE),0)</x:f>
        <x:v>8</x:v>
      </x:c>
      <x:c r="R2019" s="84" t="n">
        <x:f>'Raw Sales'!J2019</x:f>
        <x:v>2</x:v>
      </x:c>
      <x:c r="S2019" s="87" t="n">
        <x:f>'Raw Sales'!K2019</x:f>
        <x:v>0</x:v>
      </x:c>
      <x:c r="T2019" s="93" t="n">
        <x:f>P2019*R2019</x:f>
        <x:v>48</x:v>
      </x:c>
      <x:c r="U2019" s="93" t="n">
        <x:f>T2019*S2019</x:f>
        <x:v>0</x:v>
      </x:c>
      <x:c r="V2019" s="93" t="str">
        <x:f>PROPER(TRIM('Raw Sales'!L2019))</x:f>
        <x:v>Completed</x:v>
      </x:c>
      <x:c r="W2019" s="93" t="n">
        <x:f>IF(V2019="Returned",0,T2019-U2019)</x:f>
        <x:v>48</x:v>
      </x:c>
      <x:c r="X2019" s="93" t="n">
        <x:f>IF(V2019="Returned",Q2019*R2019*10%,Q2019*R2019)</x:f>
        <x:v>16</x:v>
      </x:c>
      <x:c r="Y2019" s="93" t="n">
        <x:f>W2019-X2019</x:f>
        <x:v>32</x:v>
      </x:c>
      <x:c r="Z2019" s="94" t="n">
        <x:f>IFERROR(Y2019/W2019,0)</x:f>
        <x:v>0.6666666666666666</x:v>
      </x:c>
      <x:c r="AA2019" s="84" t="str">
        <x:f>PROPER(TRIM('Raw Sales'!M2019))</x:f>
        <x:v>Debit Card</x:v>
      </x:c>
      <x:c r="AB2019" s="84" t="str">
        <x:f>PROPER(TRIM('Raw Sales'!N2019))</x:f>
        <x:v>Mia Chen</x:v>
      </x:c>
      <x:c r="AC2019" s="85" t="n">
        <x:f>'Raw Sales'!O2019</x:f>
        <x:v>45940</x:v>
      </x:c>
      <x:c r="AD2019" s="84" t="n">
        <x:f>AC2019-B2019</x:f>
        <x:v>0</x:v>
      </x:c>
      <x:c r="AE2019" s="84" t="str">
        <x:f>IF(COUNTIF($A$5:A2019,A2019)&gt;1,"Duplicate","Keep")</x:f>
        <x:v>Keep</x:v>
      </x:c>
      <x:c r="AF2019" s="84" t="str">
        <x:f>IF(OR(R2019&lt;=0,AC2019&lt;B2019,H2019="Unknown",M2019="Unknown Product"),"Review","Valid")</x:f>
        <x:v>Valid</x:v>
      </x:c>
      <x:c r="AG2019" s="84" t="n">
        <x:f>IF(AND(AE2019="Keep",AF2019="Valid"),1,0)</x:f>
        <x:v>1</x:v>
      </x:c>
      <x:c r="AH2019" s="84" t="n">
        <x:f>IF(AND(AG2019=1,OR('Dashboard'!$B$4="All",I2019='Dashboard'!$B$4),OR('Dashboard'!$E$4="All",N2019='Dashboard'!$E$4),OR('Dashboard'!$H$4="All",K2019='Dashboard'!$H$4),OR('Dashboard'!$K$4="All",C2019='Dashboard'!$K$4)),1,0)</x:f>
        <x:v>1</x:v>
      </x:c>
      <x:c r="AI2019" s="84" t="n">
        <x:f>IF(AND(AG2019=1,OR('Dashboard'!$B$4="All",I2019='Dashboard'!$B$4),OR('Dashboard'!$E$4="All",N2019='Dashboard'!$E$4),OR('Dashboard'!$H$4="All",K2019='Dashboard'!$H$4)),1,0)</x:f>
        <x:v>1</x:v>
      </x:c>
    </x:row>
    <x:row r="2020">
      <x:c r="A2020" s="84" t="str">
        <x:f>'Raw Sales'!A2020</x:f>
        <x:v>ORD-2025-00470</x:v>
      </x:c>
      <x:c r="B2020" s="85" t="n">
        <x:f>'Raw Sales'!B2020</x:f>
        <x:v>45941</x:v>
      </x:c>
      <x:c r="C2020" s="84" t="n">
        <x:f>YEAR(B2020)</x:f>
        <x:v>2025</x:v>
      </x:c>
      <x:c r="D2020" s="91" t="n">
        <x:f>DATE(YEAR(B2020),MONTH(B2020),1)</x:f>
        <x:v>45931</x:v>
      </x:c>
      <x:c r="E2020" s="84" t="str">
        <x:f>TEXT(B2020,"mmm")</x:f>
        <x:v>Oct</x:v>
      </x:c>
      <x:c r="F2020" s="84" t="str">
        <x:f>'Raw Sales'!C2020</x:f>
        <x:v>CUST-0595</x:v>
      </x:c>
      <x:c r="G2020" s="84" t="str">
        <x:f>PROPER(TRIM('Raw Sales'!D2020))</x:f>
        <x:v>Daniel Evans</x:v>
      </x:c>
      <x:c r="H2020" s="84" t="str">
        <x:f>IF(TRIM('Raw Sales'!E2020)="","Unknown",PROPER(TRIM('Raw Sales'!E2020)))</x:f>
        <x:v>Corporate</x:v>
      </x:c>
      <x:c r="I2020" s="84" t="str">
        <x:f>PROPER(TRIM('Raw Sales'!F2020))</x:f>
        <x:v>Northeast</x:v>
      </x:c>
      <x:c r="J2020" s="84" t="str">
        <x:f>PROPER(TRIM('Raw Sales'!G2020))</x:f>
        <x:v>Newark</x:v>
      </x:c>
      <x:c r="K2020" s="84" t="str">
        <x:f>PROPER(TRIM('Raw Sales'!H2020))</x:f>
        <x:v>Retail Store</x:v>
      </x:c>
      <x:c r="L2020" s="84" t="str">
        <x:f>'Raw Sales'!I2020</x:f>
        <x:v>ACCS-004</x:v>
      </x:c>
      <x:c r="M2020" s="84" t="str">
        <x:f>IFERROR(VLOOKUP(L2020,'Reference Data'!$A$5:$F$40,2,FALSE),"Unknown Product")</x:f>
        <x:v>Leather Wallet</x:v>
      </x:c>
      <x:c r="N2020" s="84" t="str">
        <x:f>IFERROR(VLOOKUP(L2020,'Reference Data'!$A$5:$F$40,3,FALSE),"Unknown")</x:f>
        <x:v>Accessories</x:v>
      </x:c>
      <x:c r="O2020" s="84" t="str">
        <x:f>IFERROR(VLOOKUP(L2020,'Reference Data'!$A$5:$F$40,4,FALSE),"Unknown")</x:f>
        <x:v>Wallets</x:v>
      </x:c>
      <x:c r="P2020" s="92" t="n">
        <x:f>IFERROR(VLOOKUP(L2020,'Reference Data'!$A$5:$F$40,5,FALSE),0)</x:f>
        <x:v>49</x:v>
      </x:c>
      <x:c r="Q2020" s="92" t="n">
        <x:f>IFERROR(VLOOKUP(L2020,'Reference Data'!$A$5:$F$40,6,FALSE),0)</x:f>
        <x:v>18</x:v>
      </x:c>
      <x:c r="R2020" s="84" t="n">
        <x:f>'Raw Sales'!J2020</x:f>
        <x:v>8</x:v>
      </x:c>
      <x:c r="S2020" s="87" t="n">
        <x:f>'Raw Sales'!K2020</x:f>
        <x:v>0.05</x:v>
      </x:c>
      <x:c r="T2020" s="93" t="n">
        <x:f>P2020*R2020</x:f>
        <x:v>392</x:v>
      </x:c>
      <x:c r="U2020" s="93" t="n">
        <x:f>T2020*S2020</x:f>
        <x:v>19.6</x:v>
      </x:c>
      <x:c r="V2020" s="93" t="str">
        <x:f>PROPER(TRIM('Raw Sales'!L2020))</x:f>
        <x:v>Completed</x:v>
      </x:c>
      <x:c r="W2020" s="93" t="n">
        <x:f>IF(V2020="Returned",0,T2020-U2020)</x:f>
        <x:v>372.4</x:v>
      </x:c>
      <x:c r="X2020" s="93" t="n">
        <x:f>IF(V2020="Returned",Q2020*R2020*10%,Q2020*R2020)</x:f>
        <x:v>144</x:v>
      </x:c>
      <x:c r="Y2020" s="93" t="n">
        <x:f>W2020-X2020</x:f>
        <x:v>228.39999999999998</x:v>
      </x:c>
      <x:c r="Z2020" s="94" t="n">
        <x:f>IFERROR(Y2020/W2020,0)</x:f>
        <x:v>0.6133190118152524</x:v>
      </x:c>
      <x:c r="AA2020" s="84" t="str">
        <x:f>PROPER(TRIM('Raw Sales'!M2020))</x:f>
        <x:v>Credit Card</x:v>
      </x:c>
      <x:c r="AB2020" s="84" t="str">
        <x:f>PROPER(TRIM('Raw Sales'!N2020))</x:f>
        <x:v>Maya Brooks</x:v>
      </x:c>
      <x:c r="AC2020" s="85" t="n">
        <x:f>'Raw Sales'!O2020</x:f>
        <x:v>45941</x:v>
      </x:c>
      <x:c r="AD2020" s="84" t="n">
        <x:f>AC2020-B2020</x:f>
        <x:v>0</x:v>
      </x:c>
      <x:c r="AE2020" s="84" t="str">
        <x:f>IF(COUNTIF($A$5:A2020,A2020)&gt;1,"Duplicate","Keep")</x:f>
        <x:v>Keep</x:v>
      </x:c>
      <x:c r="AF2020" s="84" t="str">
        <x:f>IF(OR(R2020&lt;=0,AC2020&lt;B2020,H2020="Unknown",M2020="Unknown Product"),"Review","Valid")</x:f>
        <x:v>Valid</x:v>
      </x:c>
      <x:c r="AG2020" s="84" t="n">
        <x:f>IF(AND(AE2020="Keep",AF2020="Valid"),1,0)</x:f>
        <x:v>1</x:v>
      </x:c>
      <x:c r="AH2020" s="84" t="n">
        <x:f>IF(AND(AG2020=1,OR('Dashboard'!$B$4="All",I2020='Dashboard'!$B$4),OR('Dashboard'!$E$4="All",N2020='Dashboard'!$E$4),OR('Dashboard'!$H$4="All",K2020='Dashboard'!$H$4),OR('Dashboard'!$K$4="All",C2020='Dashboard'!$K$4)),1,0)</x:f>
        <x:v>1</x:v>
      </x:c>
      <x:c r="AI2020" s="84" t="n">
        <x:f>IF(AND(AG2020=1,OR('Dashboard'!$B$4="All",I2020='Dashboard'!$B$4),OR('Dashboard'!$E$4="All",N2020='Dashboard'!$E$4),OR('Dashboard'!$H$4="All",K2020='Dashboard'!$H$4)),1,0)</x:f>
        <x:v>1</x:v>
      </x:c>
    </x:row>
    <x:row r="2021">
      <x:c r="A2021" s="84" t="str">
        <x:f>'Raw Sales'!A2021</x:f>
        <x:v>ORD-2025-01164</x:v>
      </x:c>
      <x:c r="B2021" s="85" t="n">
        <x:f>'Raw Sales'!B2021</x:f>
        <x:v>45941</x:v>
      </x:c>
      <x:c r="C2021" s="84" t="n">
        <x:f>YEAR(B2021)</x:f>
        <x:v>2025</x:v>
      </x:c>
      <x:c r="D2021" s="91" t="n">
        <x:f>DATE(YEAR(B2021),MONTH(B2021),1)</x:f>
        <x:v>45931</x:v>
      </x:c>
      <x:c r="E2021" s="84" t="str">
        <x:f>TEXT(B2021,"mmm")</x:f>
        <x:v>Oct</x:v>
      </x:c>
      <x:c r="F2021" s="84" t="str">
        <x:f>'Raw Sales'!C2021</x:f>
        <x:v>CUST-0621</x:v>
      </x:c>
      <x:c r="G2021" s="84" t="str">
        <x:f>PROPER(TRIM('Raw Sales'!D2021))</x:f>
        <x:v>Sara Hall</x:v>
      </x:c>
      <x:c r="H2021" s="84" t="str">
        <x:f>IF(TRIM('Raw Sales'!E2021)="","Unknown",PROPER(TRIM('Raw Sales'!E2021)))</x:f>
        <x:v>Consumer</x:v>
      </x:c>
      <x:c r="I2021" s="84" t="str">
        <x:f>PROPER(TRIM('Raw Sales'!F2021))</x:f>
        <x:v>Northeast</x:v>
      </x:c>
      <x:c r="J2021" s="84" t="str">
        <x:f>PROPER(TRIM('Raw Sales'!G2021))</x:f>
        <x:v>Philadelphia</x:v>
      </x:c>
      <x:c r="K2021" s="84" t="str">
        <x:f>PROPER(TRIM('Raw Sales'!H2021))</x:f>
        <x:v>Retail Store</x:v>
      </x:c>
      <x:c r="L2021" s="84" t="str">
        <x:f>'Raw Sales'!I2021</x:f>
        <x:v>HOME-005</x:v>
      </x:c>
      <x:c r="M2021" s="84" t="str">
        <x:f>IFERROR(VLOOKUP(L2021,'Reference Data'!$A$5:$F$40,2,FALSE),"Unknown Product")</x:f>
        <x:v>Cordless Vacuum</x:v>
      </x:c>
      <x:c r="N2021" s="84" t="str">
        <x:f>IFERROR(VLOOKUP(L2021,'Reference Data'!$A$5:$F$40,3,FALSE),"Unknown")</x:f>
        <x:v>Home &amp; Kitchen</x:v>
      </x:c>
      <x:c r="O2021" s="84" t="str">
        <x:f>IFERROR(VLOOKUP(L2021,'Reference Data'!$A$5:$F$40,4,FALSE),"Unknown")</x:f>
        <x:v>Cleaning</x:v>
      </x:c>
      <x:c r="P2021" s="92" t="n">
        <x:f>IFERROR(VLOOKUP(L2021,'Reference Data'!$A$5:$F$40,5,FALSE),0)</x:f>
        <x:v>179</x:v>
      </x:c>
      <x:c r="Q2021" s="92" t="n">
        <x:f>IFERROR(VLOOKUP(L2021,'Reference Data'!$A$5:$F$40,6,FALSE),0)</x:f>
        <x:v>102</x:v>
      </x:c>
      <x:c r="R2021" s="84" t="n">
        <x:f>'Raw Sales'!J2021</x:f>
        <x:v>1</x:v>
      </x:c>
      <x:c r="S2021" s="87" t="n">
        <x:f>'Raw Sales'!K2021</x:f>
        <x:v>0</x:v>
      </x:c>
      <x:c r="T2021" s="93" t="n">
        <x:f>P2021*R2021</x:f>
        <x:v>179</x:v>
      </x:c>
      <x:c r="U2021" s="93" t="n">
        <x:f>T2021*S2021</x:f>
        <x:v>0</x:v>
      </x:c>
      <x:c r="V2021" s="93" t="str">
        <x:f>PROPER(TRIM('Raw Sales'!L2021))</x:f>
        <x:v>Returned</x:v>
      </x:c>
      <x:c r="W2021" s="93" t="n">
        <x:f>IF(V2021="Returned",0,T2021-U2021)</x:f>
        <x:v>0</x:v>
      </x:c>
      <x:c r="X2021" s="93" t="n">
        <x:f>IF(V2021="Returned",Q2021*R2021*10%,Q2021*R2021)</x:f>
        <x:v>10.200000000000001</x:v>
      </x:c>
      <x:c r="Y2021" s="93" t="n">
        <x:f>W2021-X2021</x:f>
        <x:v>-10.200000000000001</x:v>
      </x:c>
      <x:c r="Z2021" s="94" t="n">
        <x:f>IFERROR(Y2021/W2021,0)</x:f>
        <x:v>0</x:v>
      </x:c>
      <x:c r="AA2021" s="84" t="str">
        <x:f>PROPER(TRIM('Raw Sales'!M2021))</x:f>
        <x:v>Credit Card</x:v>
      </x:c>
      <x:c r="AB2021" s="84" t="str">
        <x:f>PROPER(TRIM('Raw Sales'!N2021))</x:f>
        <x:v>Maya Brooks</x:v>
      </x:c>
      <x:c r="AC2021" s="85" t="n">
        <x:f>'Raw Sales'!O2021</x:f>
        <x:v>45941</x:v>
      </x:c>
      <x:c r="AD2021" s="84" t="n">
        <x:f>AC2021-B2021</x:f>
        <x:v>0</x:v>
      </x:c>
      <x:c r="AE2021" s="84" t="str">
        <x:f>IF(COUNTIF($A$5:A2021,A2021)&gt;1,"Duplicate","Keep")</x:f>
        <x:v>Keep</x:v>
      </x:c>
      <x:c r="AF2021" s="84" t="str">
        <x:f>IF(OR(R2021&lt;=0,AC2021&lt;B2021,H2021="Unknown",M2021="Unknown Product"),"Review","Valid")</x:f>
        <x:v>Valid</x:v>
      </x:c>
      <x:c r="AG2021" s="84" t="n">
        <x:f>IF(AND(AE2021="Keep",AF2021="Valid"),1,0)</x:f>
        <x:v>1</x:v>
      </x:c>
      <x:c r="AH2021" s="84" t="n">
        <x:f>IF(AND(AG2021=1,OR('Dashboard'!$B$4="All",I2021='Dashboard'!$B$4),OR('Dashboard'!$E$4="All",N2021='Dashboard'!$E$4),OR('Dashboard'!$H$4="All",K2021='Dashboard'!$H$4),OR('Dashboard'!$K$4="All",C2021='Dashboard'!$K$4)),1,0)</x:f>
        <x:v>1</x:v>
      </x:c>
      <x:c r="AI2021" s="84" t="n">
        <x:f>IF(AND(AG2021=1,OR('Dashboard'!$B$4="All",I2021='Dashboard'!$B$4),OR('Dashboard'!$E$4="All",N2021='Dashboard'!$E$4),OR('Dashboard'!$H$4="All",K2021='Dashboard'!$H$4)),1,0)</x:f>
        <x:v>1</x:v>
      </x:c>
    </x:row>
    <x:row r="2022">
      <x:c r="A2022" s="84" t="str">
        <x:f>'Raw Sales'!A2022</x:f>
        <x:v>ORD-2025-01962</x:v>
      </x:c>
      <x:c r="B2022" s="85" t="n">
        <x:f>'Raw Sales'!B2022</x:f>
        <x:v>45941</x:v>
      </x:c>
      <x:c r="C2022" s="84" t="n">
        <x:f>YEAR(B2022)</x:f>
        <x:v>2025</x:v>
      </x:c>
      <x:c r="D2022" s="91" t="n">
        <x:f>DATE(YEAR(B2022),MONTH(B2022),1)</x:f>
        <x:v>45931</x:v>
      </x:c>
      <x:c r="E2022" s="84" t="str">
        <x:f>TEXT(B2022,"mmm")</x:f>
        <x:v>Oct</x:v>
      </x:c>
      <x:c r="F2022" s="84" t="str">
        <x:f>'Raw Sales'!C2022</x:f>
        <x:v>CUST-0276</x:v>
      </x:c>
      <x:c r="G2022" s="84" t="str">
        <x:f>PROPER(TRIM('Raw Sales'!D2022))</x:f>
        <x:v>William Adams</x:v>
      </x:c>
      <x:c r="H2022" s="84" t="str">
        <x:f>IF(TRIM('Raw Sales'!E2022)="","Unknown",PROPER(TRIM('Raw Sales'!E2022)))</x:f>
        <x:v>Small Business</x:v>
      </x:c>
      <x:c r="I2022" s="84" t="str">
        <x:f>PROPER(TRIM('Raw Sales'!F2022))</x:f>
        <x:v>Southeast</x:v>
      </x:c>
      <x:c r="J2022" s="84" t="str">
        <x:f>PROPER(TRIM('Raw Sales'!G2022))</x:f>
        <x:v>Miami</x:v>
      </x:c>
      <x:c r="K2022" s="84" t="str">
        <x:f>PROPER(TRIM('Raw Sales'!H2022))</x:f>
        <x:v>Retail Store</x:v>
      </x:c>
      <x:c r="L2022" s="84" t="str">
        <x:f>'Raw Sales'!I2022</x:f>
        <x:v>CARE-003</x:v>
      </x:c>
      <x:c r="M2022" s="84" t="str">
        <x:f>IFERROR(VLOOKUP(L2022,'Reference Data'!$A$5:$F$40,2,FALSE),"Unknown Product")</x:f>
        <x:v>Facial Cleanser</x:v>
      </x:c>
      <x:c r="N2022" s="84" t="str">
        <x:f>IFERROR(VLOOKUP(L2022,'Reference Data'!$A$5:$F$40,3,FALSE),"Unknown")</x:f>
        <x:v>Personal Care</x:v>
      </x:c>
      <x:c r="O2022" s="84" t="str">
        <x:f>IFERROR(VLOOKUP(L2022,'Reference Data'!$A$5:$F$40,4,FALSE),"Unknown")</x:f>
        <x:v>Skin Care</x:v>
      </x:c>
      <x:c r="P2022" s="92" t="n">
        <x:f>IFERROR(VLOOKUP(L2022,'Reference Data'!$A$5:$F$40,5,FALSE),0)</x:f>
        <x:v>18</x:v>
      </x:c>
      <x:c r="Q2022" s="92" t="n">
        <x:f>IFERROR(VLOOKUP(L2022,'Reference Data'!$A$5:$F$40,6,FALSE),0)</x:f>
        <x:v>6</x:v>
      </x:c>
      <x:c r="R2022" s="84" t="n">
        <x:f>'Raw Sales'!J2022</x:f>
        <x:v>3</x:v>
      </x:c>
      <x:c r="S2022" s="87" t="n">
        <x:f>'Raw Sales'!K2022</x:f>
        <x:v>0</x:v>
      </x:c>
      <x:c r="T2022" s="93" t="n">
        <x:f>P2022*R2022</x:f>
        <x:v>54</x:v>
      </x:c>
      <x:c r="U2022" s="93" t="n">
        <x:f>T2022*S2022</x:f>
        <x:v>0</x:v>
      </x:c>
      <x:c r="V2022" s="93" t="str">
        <x:f>PROPER(TRIM('Raw Sales'!L2022))</x:f>
        <x:v>Completed</x:v>
      </x:c>
      <x:c r="W2022" s="93" t="n">
        <x:f>IF(V2022="Returned",0,T2022-U2022)</x:f>
        <x:v>54</x:v>
      </x:c>
      <x:c r="X2022" s="93" t="n">
        <x:f>IF(V2022="Returned",Q2022*R2022*10%,Q2022*R2022)</x:f>
        <x:v>18</x:v>
      </x:c>
      <x:c r="Y2022" s="93" t="n">
        <x:f>W2022-X2022</x:f>
        <x:v>36</x:v>
      </x:c>
      <x:c r="Z2022" s="94" t="n">
        <x:f>IFERROR(Y2022/W2022,0)</x:f>
        <x:v>0.6666666666666666</x:v>
      </x:c>
      <x:c r="AA2022" s="84" t="str">
        <x:f>PROPER(TRIM('Raw Sales'!M2022))</x:f>
        <x:v>Credit Card</x:v>
      </x:c>
      <x:c r="AB2022" s="84" t="str">
        <x:f>PROPER(TRIM('Raw Sales'!N2022))</x:f>
        <x:v>Ava Mitchell</x:v>
      </x:c>
      <x:c r="AC2022" s="85" t="n">
        <x:f>'Raw Sales'!O2022</x:f>
        <x:v>45941</x:v>
      </x:c>
      <x:c r="AD2022" s="84" t="n">
        <x:f>AC2022-B2022</x:f>
        <x:v>0</x:v>
      </x:c>
      <x:c r="AE2022" s="84" t="str">
        <x:f>IF(COUNTIF($A$5:A2022,A2022)&gt;1,"Duplicate","Keep")</x:f>
        <x:v>Keep</x:v>
      </x:c>
      <x:c r="AF2022" s="84" t="str">
        <x:f>IF(OR(R2022&lt;=0,AC2022&lt;B2022,H2022="Unknown",M2022="Unknown Product"),"Review","Valid")</x:f>
        <x:v>Valid</x:v>
      </x:c>
      <x:c r="AG2022" s="84" t="n">
        <x:f>IF(AND(AE2022="Keep",AF2022="Valid"),1,0)</x:f>
        <x:v>1</x:v>
      </x:c>
      <x:c r="AH2022" s="84" t="n">
        <x:f>IF(AND(AG2022=1,OR('Dashboard'!$B$4="All",I2022='Dashboard'!$B$4),OR('Dashboard'!$E$4="All",N2022='Dashboard'!$E$4),OR('Dashboard'!$H$4="All",K2022='Dashboard'!$H$4),OR('Dashboard'!$K$4="All",C2022='Dashboard'!$K$4)),1,0)</x:f>
        <x:v>1</x:v>
      </x:c>
      <x:c r="AI2022" s="84" t="n">
        <x:f>IF(AND(AG2022=1,OR('Dashboard'!$B$4="All",I2022='Dashboard'!$B$4),OR('Dashboard'!$E$4="All",N2022='Dashboard'!$E$4),OR('Dashboard'!$H$4="All",K2022='Dashboard'!$H$4)),1,0)</x:f>
        <x:v>1</x:v>
      </x:c>
    </x:row>
    <x:row r="2023">
      <x:c r="A2023" s="84" t="str">
        <x:f>'Raw Sales'!A2023</x:f>
        <x:v>ORD-2025-02224</x:v>
      </x:c>
      <x:c r="B2023" s="85" t="n">
        <x:f>'Raw Sales'!B2023</x:f>
        <x:v>45941</x:v>
      </x:c>
      <x:c r="C2023" s="84" t="n">
        <x:f>YEAR(B2023)</x:f>
        <x:v>2025</x:v>
      </x:c>
      <x:c r="D2023" s="91" t="n">
        <x:f>DATE(YEAR(B2023),MONTH(B2023),1)</x:f>
        <x:v>45931</x:v>
      </x:c>
      <x:c r="E2023" s="84" t="str">
        <x:f>TEXT(B2023,"mmm")</x:f>
        <x:v>Oct</x:v>
      </x:c>
      <x:c r="F2023" s="84" t="str">
        <x:f>'Raw Sales'!C2023</x:f>
        <x:v>CUST-0578</x:v>
      </x:c>
      <x:c r="G2023" s="84" t="str">
        <x:f>PROPER(TRIM('Raw Sales'!D2023))</x:f>
        <x:v>Priya Smith</x:v>
      </x:c>
      <x:c r="H2023" s="84" t="str">
        <x:f>IF(TRIM('Raw Sales'!E2023)="","Unknown",PROPER(TRIM('Raw Sales'!E2023)))</x:f>
        <x:v>Corporate</x:v>
      </x:c>
      <x:c r="I2023" s="84" t="str">
        <x:f>PROPER(TRIM('Raw Sales'!F2023))</x:f>
        <x:v>Northeast</x:v>
      </x:c>
      <x:c r="J2023" s="84" t="str">
        <x:f>PROPER(TRIM('Raw Sales'!G2023))</x:f>
        <x:v>Newark</x:v>
      </x:c>
      <x:c r="K2023" s="84" t="str">
        <x:f>PROPER(TRIM('Raw Sales'!H2023))</x:f>
        <x:v>Online</x:v>
      </x:c>
      <x:c r="L2023" s="84" t="str">
        <x:f>'Raw Sales'!I2023</x:f>
        <x:v>ELEC-003</x:v>
      </x:c>
      <x:c r="M2023" s="84" t="str">
        <x:f>IFERROR(VLOOKUP(L2023,'Reference Data'!$A$5:$F$40,2,FALSE),"Unknown Product")</x:f>
        <x:v>Bluetooth Speaker</x:v>
      </x:c>
      <x:c r="N2023" s="84" t="str">
        <x:f>IFERROR(VLOOKUP(L2023,'Reference Data'!$A$5:$F$40,3,FALSE),"Unknown")</x:f>
        <x:v>Electronics</x:v>
      </x:c>
      <x:c r="O2023" s="84" t="str">
        <x:f>IFERROR(VLOOKUP(L2023,'Reference Data'!$A$5:$F$40,4,FALSE),"Unknown")</x:f>
        <x:v>Audio</x:v>
      </x:c>
      <x:c r="P2023" s="92" t="n">
        <x:f>IFERROR(VLOOKUP(L2023,'Reference Data'!$A$5:$F$40,5,FALSE),0)</x:f>
        <x:v>89</x:v>
      </x:c>
      <x:c r="Q2023" s="92" t="n">
        <x:f>IFERROR(VLOOKUP(L2023,'Reference Data'!$A$5:$F$40,6,FALSE),0)</x:f>
        <x:v>44</x:v>
      </x:c>
      <x:c r="R2023" s="84" t="n">
        <x:f>'Raw Sales'!J2023</x:f>
        <x:v>5</x:v>
      </x:c>
      <x:c r="S2023" s="87" t="n">
        <x:f>'Raw Sales'!K2023</x:f>
        <x:v>0.05</x:v>
      </x:c>
      <x:c r="T2023" s="93" t="n">
        <x:f>P2023*R2023</x:f>
        <x:v>445</x:v>
      </x:c>
      <x:c r="U2023" s="93" t="n">
        <x:f>T2023*S2023</x:f>
        <x:v>22.25</x:v>
      </x:c>
      <x:c r="V2023" s="93" t="str">
        <x:f>PROPER(TRIM('Raw Sales'!L2023))</x:f>
        <x:v>Completed</x:v>
      </x:c>
      <x:c r="W2023" s="93" t="n">
        <x:f>IF(V2023="Returned",0,T2023-U2023)</x:f>
        <x:v>422.75</x:v>
      </x:c>
      <x:c r="X2023" s="93" t="n">
        <x:f>IF(V2023="Returned",Q2023*R2023*10%,Q2023*R2023)</x:f>
        <x:v>220</x:v>
      </x:c>
      <x:c r="Y2023" s="93" t="n">
        <x:f>W2023-X2023</x:f>
        <x:v>202.75</x:v>
      </x:c>
      <x:c r="Z2023" s="94" t="n">
        <x:f>IFERROR(Y2023/W2023,0)</x:f>
        <x:v>0.47959787108219987</x:v>
      </x:c>
      <x:c r="AA2023" s="84" t="str">
        <x:f>PROPER(TRIM('Raw Sales'!M2023))</x:f>
        <x:v>Credit Card</x:v>
      </x:c>
      <x:c r="AB2023" s="84" t="str">
        <x:f>PROPER(TRIM('Raw Sales'!N2023))</x:f>
        <x:v>Ethan Cole</x:v>
      </x:c>
      <x:c r="AC2023" s="85" t="n">
        <x:f>'Raw Sales'!O2023</x:f>
        <x:v>45944</x:v>
      </x:c>
      <x:c r="AD2023" s="84" t="n">
        <x:f>AC2023-B2023</x:f>
        <x:v>3</x:v>
      </x:c>
      <x:c r="AE2023" s="84" t="str">
        <x:f>IF(COUNTIF($A$5:A2023,A2023)&gt;1,"Duplicate","Keep")</x:f>
        <x:v>Keep</x:v>
      </x:c>
      <x:c r="AF2023" s="84" t="str">
        <x:f>IF(OR(R2023&lt;=0,AC2023&lt;B2023,H2023="Unknown",M2023="Unknown Product"),"Review","Valid")</x:f>
        <x:v>Valid</x:v>
      </x:c>
      <x:c r="AG2023" s="84" t="n">
        <x:f>IF(AND(AE2023="Keep",AF2023="Valid"),1,0)</x:f>
        <x:v>1</x:v>
      </x:c>
      <x:c r="AH2023" s="84" t="n">
        <x:f>IF(AND(AG2023=1,OR('Dashboard'!$B$4="All",I2023='Dashboard'!$B$4),OR('Dashboard'!$E$4="All",N2023='Dashboard'!$E$4),OR('Dashboard'!$H$4="All",K2023='Dashboard'!$H$4),OR('Dashboard'!$K$4="All",C2023='Dashboard'!$K$4)),1,0)</x:f>
        <x:v>1</x:v>
      </x:c>
      <x:c r="AI2023" s="84" t="n">
        <x:f>IF(AND(AG2023=1,OR('Dashboard'!$B$4="All",I2023='Dashboard'!$B$4),OR('Dashboard'!$E$4="All",N2023='Dashboard'!$E$4),OR('Dashboard'!$H$4="All",K2023='Dashboard'!$H$4)),1,0)</x:f>
        <x:v>1</x:v>
      </x:c>
    </x:row>
    <x:row r="2024">
      <x:c r="A2024" s="84" t="str">
        <x:f>'Raw Sales'!A2024</x:f>
        <x:v>ORD-2025-00208</x:v>
      </x:c>
      <x:c r="B2024" s="85" t="n">
        <x:f>'Raw Sales'!B2024</x:f>
        <x:v>45942</x:v>
      </x:c>
      <x:c r="C2024" s="84" t="n">
        <x:f>YEAR(B2024)</x:f>
        <x:v>2025</x:v>
      </x:c>
      <x:c r="D2024" s="91" t="n">
        <x:f>DATE(YEAR(B2024),MONTH(B2024),1)</x:f>
        <x:v>45931</x:v>
      </x:c>
      <x:c r="E2024" s="84" t="str">
        <x:f>TEXT(B2024,"mmm")</x:f>
        <x:v>Oct</x:v>
      </x:c>
      <x:c r="F2024" s="84" t="str">
        <x:f>'Raw Sales'!C2024</x:f>
        <x:v>CUST-0071</x:v>
      </x:c>
      <x:c r="G2024" s="84" t="str">
        <x:f>PROPER(TRIM('Raw Sales'!D2024))</x:f>
        <x:v>Owen Foster</x:v>
      </x:c>
      <x:c r="H2024" s="84" t="str">
        <x:f>IF(TRIM('Raw Sales'!E2024)="","Unknown",PROPER(TRIM('Raw Sales'!E2024)))</x:f>
        <x:v>Consumer</x:v>
      </x:c>
      <x:c r="I2024" s="84" t="str">
        <x:f>PROPER(TRIM('Raw Sales'!F2024))</x:f>
        <x:v>Midwest</x:v>
      </x:c>
      <x:c r="J2024" s="84" t="str">
        <x:f>PROPER(TRIM('Raw Sales'!G2024))</x:f>
        <x:v>Detroit</x:v>
      </x:c>
      <x:c r="K2024" s="84" t="str">
        <x:f>PROPER(TRIM('Raw Sales'!H2024))</x:f>
        <x:v>Online</x:v>
      </x:c>
      <x:c r="L2024" s="84" t="str">
        <x:f>'Raw Sales'!I2024</x:f>
        <x:v>CARE-006</x:v>
      </x:c>
      <x:c r="M2024" s="84" t="str">
        <x:f>IFERROR(VLOOKUP(L2024,'Reference Data'!$A$5:$F$40,2,FALSE),"Unknown Product")</x:f>
        <x:v>Percussion Massage Gun</x:v>
      </x:c>
      <x:c r="N2024" s="84" t="str">
        <x:f>IFERROR(VLOOKUP(L2024,'Reference Data'!$A$5:$F$40,3,FALSE),"Unknown")</x:f>
        <x:v>Personal Care</x:v>
      </x:c>
      <x:c r="O2024" s="84" t="str">
        <x:f>IFERROR(VLOOKUP(L2024,'Reference Data'!$A$5:$F$40,4,FALSE),"Unknown")</x:f>
        <x:v>Wellness</x:v>
      </x:c>
      <x:c r="P2024" s="92" t="n">
        <x:f>IFERROR(VLOOKUP(L2024,'Reference Data'!$A$5:$F$40,5,FALSE),0)</x:f>
        <x:v>129</x:v>
      </x:c>
      <x:c r="Q2024" s="92" t="n">
        <x:f>IFERROR(VLOOKUP(L2024,'Reference Data'!$A$5:$F$40,6,FALSE),0)</x:f>
        <x:v>70</x:v>
      </x:c>
      <x:c r="R2024" s="84" t="n">
        <x:f>'Raw Sales'!J2024</x:f>
        <x:v>1</x:v>
      </x:c>
      <x:c r="S2024" s="87" t="n">
        <x:f>'Raw Sales'!K2024</x:f>
        <x:v>0</x:v>
      </x:c>
      <x:c r="T2024" s="93" t="n">
        <x:f>P2024*R2024</x:f>
        <x:v>129</x:v>
      </x:c>
      <x:c r="U2024" s="93" t="n">
        <x:f>T2024*S2024</x:f>
        <x:v>0</x:v>
      </x:c>
      <x:c r="V2024" s="93" t="str">
        <x:f>PROPER(TRIM('Raw Sales'!L2024))</x:f>
        <x:v>Completed</x:v>
      </x:c>
      <x:c r="W2024" s="93" t="n">
        <x:f>IF(V2024="Returned",0,T2024-U2024)</x:f>
        <x:v>129</x:v>
      </x:c>
      <x:c r="X2024" s="93" t="n">
        <x:f>IF(V2024="Returned",Q2024*R2024*10%,Q2024*R2024)</x:f>
        <x:v>70</x:v>
      </x:c>
      <x:c r="Y2024" s="93" t="n">
        <x:f>W2024-X2024</x:f>
        <x:v>59</x:v>
      </x:c>
      <x:c r="Z2024" s="94" t="n">
        <x:f>IFERROR(Y2024/W2024,0)</x:f>
        <x:v>0.4573643410852713</x:v>
      </x:c>
      <x:c r="AA2024" s="84" t="str">
        <x:f>PROPER(TRIM('Raw Sales'!M2024))</x:f>
        <x:v>Mobile Wallet</x:v>
      </x:c>
      <x:c r="AB2024" s="84" t="str">
        <x:f>PROPER(TRIM('Raw Sales'!N2024))</x:f>
        <x:v>Zoe Turner</x:v>
      </x:c>
      <x:c r="AC2024" s="85" t="n">
        <x:f>'Raw Sales'!O2024</x:f>
        <x:v>45944</x:v>
      </x:c>
      <x:c r="AD2024" s="84" t="n">
        <x:f>AC2024-B2024</x:f>
        <x:v>2</x:v>
      </x:c>
      <x:c r="AE2024" s="84" t="str">
        <x:f>IF(COUNTIF($A$5:A2024,A2024)&gt;1,"Duplicate","Keep")</x:f>
        <x:v>Keep</x:v>
      </x:c>
      <x:c r="AF2024" s="84" t="str">
        <x:f>IF(OR(R2024&lt;=0,AC2024&lt;B2024,H2024="Unknown",M2024="Unknown Product"),"Review","Valid")</x:f>
        <x:v>Valid</x:v>
      </x:c>
      <x:c r="AG2024" s="84" t="n">
        <x:f>IF(AND(AE2024="Keep",AF2024="Valid"),1,0)</x:f>
        <x:v>1</x:v>
      </x:c>
      <x:c r="AH2024" s="84" t="n">
        <x:f>IF(AND(AG2024=1,OR('Dashboard'!$B$4="All",I2024='Dashboard'!$B$4),OR('Dashboard'!$E$4="All",N2024='Dashboard'!$E$4),OR('Dashboard'!$H$4="All",K2024='Dashboard'!$H$4),OR('Dashboard'!$K$4="All",C2024='Dashboard'!$K$4)),1,0)</x:f>
        <x:v>1</x:v>
      </x:c>
      <x:c r="AI2024" s="84" t="n">
        <x:f>IF(AND(AG2024=1,OR('Dashboard'!$B$4="All",I2024='Dashboard'!$B$4),OR('Dashboard'!$E$4="All",N2024='Dashboard'!$E$4),OR('Dashboard'!$H$4="All",K2024='Dashboard'!$H$4)),1,0)</x:f>
        <x:v>1</x:v>
      </x:c>
    </x:row>
    <x:row r="2025">
      <x:c r="A2025" s="84" t="str">
        <x:f>'Raw Sales'!A2025</x:f>
        <x:v>ORD-2025-00295</x:v>
      </x:c>
      <x:c r="B2025" s="85" t="n">
        <x:f>'Raw Sales'!B2025</x:f>
        <x:v>45942</x:v>
      </x:c>
      <x:c r="C2025" s="84" t="n">
        <x:f>YEAR(B2025)</x:f>
        <x:v>2025</x:v>
      </x:c>
      <x:c r="D2025" s="91" t="n">
        <x:f>DATE(YEAR(B2025),MONTH(B2025),1)</x:f>
        <x:v>45931</x:v>
      </x:c>
      <x:c r="E2025" s="84" t="str">
        <x:f>TEXT(B2025,"mmm")</x:f>
        <x:v>Oct</x:v>
      </x:c>
      <x:c r="F2025" s="84" t="str">
        <x:f>'Raw Sales'!C2025</x:f>
        <x:v>CUST-0123</x:v>
      </x:c>
      <x:c r="G2025" s="84" t="str">
        <x:f>PROPER(TRIM('Raw Sales'!D2025))</x:f>
        <x:v>Jasmine Patel</x:v>
      </x:c>
      <x:c r="H2025" s="84" t="str">
        <x:f>IF(TRIM('Raw Sales'!E2025)="","Unknown",PROPER(TRIM('Raw Sales'!E2025)))</x:f>
        <x:v>Consumer</x:v>
      </x:c>
      <x:c r="I2025" s="84" t="str">
        <x:f>PROPER(TRIM('Raw Sales'!F2025))</x:f>
        <x:v>Southeast</x:v>
      </x:c>
      <x:c r="J2025" s="84" t="str">
        <x:f>PROPER(TRIM('Raw Sales'!G2025))</x:f>
        <x:v>Nashville</x:v>
      </x:c>
      <x:c r="K2025" s="84" t="str">
        <x:f>PROPER(TRIM('Raw Sales'!H2025))</x:f>
        <x:v>Online</x:v>
      </x:c>
      <x:c r="L2025" s="84" t="str">
        <x:f>'Raw Sales'!I2025</x:f>
        <x:v>FITN-003</x:v>
      </x:c>
      <x:c r="M2025" s="84" t="str">
        <x:f>IFERROR(VLOOKUP(L2025,'Reference Data'!$A$5:$F$40,2,FALSE),"Unknown Product")</x:f>
        <x:v>Resistance Band Set</x:v>
      </x:c>
      <x:c r="N2025" s="84" t="str">
        <x:f>IFERROR(VLOOKUP(L2025,'Reference Data'!$A$5:$F$40,3,FALSE),"Unknown")</x:f>
        <x:v>Fitness</x:v>
      </x:c>
      <x:c r="O2025" s="84" t="str">
        <x:f>IFERROR(VLOOKUP(L2025,'Reference Data'!$A$5:$F$40,4,FALSE),"Unknown")</x:f>
        <x:v>Strength</x:v>
      </x:c>
      <x:c r="P2025" s="92" t="n">
        <x:f>IFERROR(VLOOKUP(L2025,'Reference Data'!$A$5:$F$40,5,FALSE),0)</x:f>
        <x:v>24</x:v>
      </x:c>
      <x:c r="Q2025" s="92" t="n">
        <x:f>IFERROR(VLOOKUP(L2025,'Reference Data'!$A$5:$F$40,6,FALSE),0)</x:f>
        <x:v>8</x:v>
      </x:c>
      <x:c r="R2025" s="84" t="n">
        <x:f>'Raw Sales'!J2025</x:f>
        <x:v>1</x:v>
      </x:c>
      <x:c r="S2025" s="87" t="n">
        <x:f>'Raw Sales'!K2025</x:f>
        <x:v>0</x:v>
      </x:c>
      <x:c r="T2025" s="93" t="n">
        <x:f>P2025*R2025</x:f>
        <x:v>24</x:v>
      </x:c>
      <x:c r="U2025" s="93" t="n">
        <x:f>T2025*S2025</x:f>
        <x:v>0</x:v>
      </x:c>
      <x:c r="V2025" s="93" t="str">
        <x:f>PROPER(TRIM('Raw Sales'!L2025))</x:f>
        <x:v>Completed</x:v>
      </x:c>
      <x:c r="W2025" s="93" t="n">
        <x:f>IF(V2025="Returned",0,T2025-U2025)</x:f>
        <x:v>24</x:v>
      </x:c>
      <x:c r="X2025" s="93" t="n">
        <x:f>IF(V2025="Returned",Q2025*R2025*10%,Q2025*R2025)</x:f>
        <x:v>8</x:v>
      </x:c>
      <x:c r="Y2025" s="93" t="n">
        <x:f>W2025-X2025</x:f>
        <x:v>16</x:v>
      </x:c>
      <x:c r="Z2025" s="94" t="n">
        <x:f>IFERROR(Y2025/W2025,0)</x:f>
        <x:v>0.6666666666666666</x:v>
      </x:c>
      <x:c r="AA2025" s="84" t="str">
        <x:f>PROPER(TRIM('Raw Sales'!M2025))</x:f>
        <x:v>Debit Card</x:v>
      </x:c>
      <x:c r="AB2025" s="84" t="str">
        <x:f>PROPER(TRIM('Raw Sales'!N2025))</x:f>
        <x:v>Noah Reed</x:v>
      </x:c>
      <x:c r="AC2025" s="85" t="n">
        <x:f>'Raw Sales'!O2025</x:f>
        <x:v>45944</x:v>
      </x:c>
      <x:c r="AD2025" s="84" t="n">
        <x:f>AC2025-B2025</x:f>
        <x:v>2</x:v>
      </x:c>
      <x:c r="AE2025" s="84" t="str">
        <x:f>IF(COUNTIF($A$5:A2025,A2025)&gt;1,"Duplicate","Keep")</x:f>
        <x:v>Keep</x:v>
      </x:c>
      <x:c r="AF2025" s="84" t="str">
        <x:f>IF(OR(R2025&lt;=0,AC2025&lt;B2025,H2025="Unknown",M2025="Unknown Product"),"Review","Valid")</x:f>
        <x:v>Valid</x:v>
      </x:c>
      <x:c r="AG2025" s="84" t="n">
        <x:f>IF(AND(AE2025="Keep",AF2025="Valid"),1,0)</x:f>
        <x:v>1</x:v>
      </x:c>
      <x:c r="AH2025" s="84" t="n">
        <x:f>IF(AND(AG2025=1,OR('Dashboard'!$B$4="All",I2025='Dashboard'!$B$4),OR('Dashboard'!$E$4="All",N2025='Dashboard'!$E$4),OR('Dashboard'!$H$4="All",K2025='Dashboard'!$H$4),OR('Dashboard'!$K$4="All",C2025='Dashboard'!$K$4)),1,0)</x:f>
        <x:v>1</x:v>
      </x:c>
      <x:c r="AI2025" s="84" t="n">
        <x:f>IF(AND(AG2025=1,OR('Dashboard'!$B$4="All",I2025='Dashboard'!$B$4),OR('Dashboard'!$E$4="All",N2025='Dashboard'!$E$4),OR('Dashboard'!$H$4="All",K2025='Dashboard'!$H$4)),1,0)</x:f>
        <x:v>1</x:v>
      </x:c>
    </x:row>
    <x:row r="2026">
      <x:c r="A2026" s="84" t="str">
        <x:f>'Raw Sales'!A2026</x:f>
        <x:v>ORD-2025-00385</x:v>
      </x:c>
      <x:c r="B2026" s="85" t="n">
        <x:f>'Raw Sales'!B2026</x:f>
        <x:v>45942</x:v>
      </x:c>
      <x:c r="C2026" s="84" t="n">
        <x:f>YEAR(B2026)</x:f>
        <x:v>2025</x:v>
      </x:c>
      <x:c r="D2026" s="91" t="n">
        <x:f>DATE(YEAR(B2026),MONTH(B2026),1)</x:f>
        <x:v>45931</x:v>
      </x:c>
      <x:c r="E2026" s="84" t="str">
        <x:f>TEXT(B2026,"mmm")</x:f>
        <x:v>Oct</x:v>
      </x:c>
      <x:c r="F2026" s="84" t="str">
        <x:f>'Raw Sales'!C2026</x:f>
        <x:v>CUST-0578</x:v>
      </x:c>
      <x:c r="G2026" s="84" t="str">
        <x:f>PROPER(TRIM('Raw Sales'!D2026))</x:f>
        <x:v>Priya Smith</x:v>
      </x:c>
      <x:c r="H2026" s="84" t="str">
        <x:f>IF(TRIM('Raw Sales'!E2026)="","Unknown",PROPER(TRIM('Raw Sales'!E2026)))</x:f>
        <x:v>Corporate</x:v>
      </x:c>
      <x:c r="I2026" s="84" t="str">
        <x:f>PROPER(TRIM('Raw Sales'!F2026))</x:f>
        <x:v>Northeast</x:v>
      </x:c>
      <x:c r="J2026" s="84" t="str">
        <x:f>PROPER(TRIM('Raw Sales'!G2026))</x:f>
        <x:v>Newark</x:v>
      </x:c>
      <x:c r="K2026" s="84" t="str">
        <x:f>PROPER(TRIM('Raw Sales'!H2026))</x:f>
        <x:v>Online</x:v>
      </x:c>
      <x:c r="L2026" s="84" t="str">
        <x:f>'Raw Sales'!I2026</x:f>
        <x:v>HOME-005</x:v>
      </x:c>
      <x:c r="M2026" s="84" t="str">
        <x:f>IFERROR(VLOOKUP(L2026,'Reference Data'!$A$5:$F$40,2,FALSE),"Unknown Product")</x:f>
        <x:v>Cordless Vacuum</x:v>
      </x:c>
      <x:c r="N2026" s="84" t="str">
        <x:f>IFERROR(VLOOKUP(L2026,'Reference Data'!$A$5:$F$40,3,FALSE),"Unknown")</x:f>
        <x:v>Home &amp; Kitchen</x:v>
      </x:c>
      <x:c r="O2026" s="84" t="str">
        <x:f>IFERROR(VLOOKUP(L2026,'Reference Data'!$A$5:$F$40,4,FALSE),"Unknown")</x:f>
        <x:v>Cleaning</x:v>
      </x:c>
      <x:c r="P2026" s="92" t="n">
        <x:f>IFERROR(VLOOKUP(L2026,'Reference Data'!$A$5:$F$40,5,FALSE),0)</x:f>
        <x:v>179</x:v>
      </x:c>
      <x:c r="Q2026" s="92" t="n">
        <x:f>IFERROR(VLOOKUP(L2026,'Reference Data'!$A$5:$F$40,6,FALSE),0)</x:f>
        <x:v>102</x:v>
      </x:c>
      <x:c r="R2026" s="84" t="n">
        <x:f>'Raw Sales'!J2026</x:f>
        <x:v>3</x:v>
      </x:c>
      <x:c r="S2026" s="87" t="n">
        <x:f>'Raw Sales'!K2026</x:f>
        <x:v>0</x:v>
      </x:c>
      <x:c r="T2026" s="93" t="n">
        <x:f>P2026*R2026</x:f>
        <x:v>537</x:v>
      </x:c>
      <x:c r="U2026" s="93" t="n">
        <x:f>T2026*S2026</x:f>
        <x:v>0</x:v>
      </x:c>
      <x:c r="V2026" s="93" t="str">
        <x:f>PROPER(TRIM('Raw Sales'!L2026))</x:f>
        <x:v>Completed</x:v>
      </x:c>
      <x:c r="W2026" s="93" t="n">
        <x:f>IF(V2026="Returned",0,T2026-U2026)</x:f>
        <x:v>537</x:v>
      </x:c>
      <x:c r="X2026" s="93" t="n">
        <x:f>IF(V2026="Returned",Q2026*R2026*10%,Q2026*R2026)</x:f>
        <x:v>306</x:v>
      </x:c>
      <x:c r="Y2026" s="93" t="n">
        <x:f>W2026-X2026</x:f>
        <x:v>231</x:v>
      </x:c>
      <x:c r="Z2026" s="94" t="n">
        <x:f>IFERROR(Y2026/W2026,0)</x:f>
        <x:v>0.4301675977653631</x:v>
      </x:c>
      <x:c r="AA2026" s="84" t="str">
        <x:f>PROPER(TRIM('Raw Sales'!M2026))</x:f>
        <x:v>Credit Card</x:v>
      </x:c>
      <x:c r="AB2026" s="84" t="str">
        <x:f>PROPER(TRIM('Raw Sales'!N2026))</x:f>
        <x:v>Ethan Cole</x:v>
      </x:c>
      <x:c r="AC2026" s="85" t="n">
        <x:f>'Raw Sales'!O2026</x:f>
        <x:v>45947</x:v>
      </x:c>
      <x:c r="AD2026" s="84" t="n">
        <x:f>AC2026-B2026</x:f>
        <x:v>5</x:v>
      </x:c>
      <x:c r="AE2026" s="84" t="str">
        <x:f>IF(COUNTIF($A$5:A2026,A2026)&gt;1,"Duplicate","Keep")</x:f>
        <x:v>Keep</x:v>
      </x:c>
      <x:c r="AF2026" s="84" t="str">
        <x:f>IF(OR(R2026&lt;=0,AC2026&lt;B2026,H2026="Unknown",M2026="Unknown Product"),"Review","Valid")</x:f>
        <x:v>Valid</x:v>
      </x:c>
      <x:c r="AG2026" s="84" t="n">
        <x:f>IF(AND(AE2026="Keep",AF2026="Valid"),1,0)</x:f>
        <x:v>1</x:v>
      </x:c>
      <x:c r="AH2026" s="84" t="n">
        <x:f>IF(AND(AG2026=1,OR('Dashboard'!$B$4="All",I2026='Dashboard'!$B$4),OR('Dashboard'!$E$4="All",N2026='Dashboard'!$E$4),OR('Dashboard'!$H$4="All",K2026='Dashboard'!$H$4),OR('Dashboard'!$K$4="All",C2026='Dashboard'!$K$4)),1,0)</x:f>
        <x:v>1</x:v>
      </x:c>
      <x:c r="AI2026" s="84" t="n">
        <x:f>IF(AND(AG2026=1,OR('Dashboard'!$B$4="All",I2026='Dashboard'!$B$4),OR('Dashboard'!$E$4="All",N2026='Dashboard'!$E$4),OR('Dashboard'!$H$4="All",K2026='Dashboard'!$H$4)),1,0)</x:f>
        <x:v>1</x:v>
      </x:c>
    </x:row>
    <x:row r="2027">
      <x:c r="A2027" s="84" t="str">
        <x:f>'Raw Sales'!A2027</x:f>
        <x:v>ORD-2025-01822</x:v>
      </x:c>
      <x:c r="B2027" s="85" t="n">
        <x:f>'Raw Sales'!B2027</x:f>
        <x:v>45942</x:v>
      </x:c>
      <x:c r="C2027" s="84" t="n">
        <x:f>YEAR(B2027)</x:f>
        <x:v>2025</x:v>
      </x:c>
      <x:c r="D2027" s="91" t="n">
        <x:f>DATE(YEAR(B2027),MONTH(B2027),1)</x:f>
        <x:v>45931</x:v>
      </x:c>
      <x:c r="E2027" s="84" t="str">
        <x:f>TEXT(B2027,"mmm")</x:f>
        <x:v>Oct</x:v>
      </x:c>
      <x:c r="F2027" s="84" t="str">
        <x:f>'Raw Sales'!C2027</x:f>
        <x:v>CUST-0117</x:v>
      </x:c>
      <x:c r="G2027" s="84" t="str">
        <x:f>PROPER(TRIM('Raw Sales'!D2027))</x:f>
        <x:v>Caleb Evans</x:v>
      </x:c>
      <x:c r="H2027" s="84" t="str">
        <x:f>IF(TRIM('Raw Sales'!E2027)="","Unknown",PROPER(TRIM('Raw Sales'!E2027)))</x:f>
        <x:v>Consumer</x:v>
      </x:c>
      <x:c r="I2027" s="84" t="str">
        <x:f>PROPER(TRIM('Raw Sales'!F2027))</x:f>
        <x:v>Northeast</x:v>
      </x:c>
      <x:c r="J2027" s="84" t="str">
        <x:f>PROPER(TRIM('Raw Sales'!G2027))</x:f>
        <x:v>Newark</x:v>
      </x:c>
      <x:c r="K2027" s="84" t="str">
        <x:f>PROPER(TRIM('Raw Sales'!H2027))</x:f>
        <x:v>Online</x:v>
      </x:c>
      <x:c r="L2027" s="84" t="str">
        <x:f>'Raw Sales'!I2027</x:f>
        <x:v>CARE-001</x:v>
      </x:c>
      <x:c r="M2027" s="84" t="str">
        <x:f>IFERROR(VLOOKUP(L2027,'Reference Data'!$A$5:$F$40,2,FALSE),"Unknown Product")</x:f>
        <x:v>Ionic Hair Dryer</x:v>
      </x:c>
      <x:c r="N2027" s="84" t="str">
        <x:f>IFERROR(VLOOKUP(L2027,'Reference Data'!$A$5:$F$40,3,FALSE),"Unknown")</x:f>
        <x:v>Personal Care</x:v>
      </x:c>
      <x:c r="O2027" s="84" t="str">
        <x:f>IFERROR(VLOOKUP(L2027,'Reference Data'!$A$5:$F$40,4,FALSE),"Unknown")</x:f>
        <x:v>Hair Care</x:v>
      </x:c>
      <x:c r="P2027" s="92" t="n">
        <x:f>IFERROR(VLOOKUP(L2027,'Reference Data'!$A$5:$F$40,5,FALSE),0)</x:f>
        <x:v>54</x:v>
      </x:c>
      <x:c r="Q2027" s="92" t="n">
        <x:f>IFERROR(VLOOKUP(L2027,'Reference Data'!$A$5:$F$40,6,FALSE),0)</x:f>
        <x:v>25</x:v>
      </x:c>
      <x:c r="R2027" s="84" t="n">
        <x:f>'Raw Sales'!J2027</x:f>
        <x:v>1</x:v>
      </x:c>
      <x:c r="S2027" s="87" t="n">
        <x:f>'Raw Sales'!K2027</x:f>
        <x:v>0</x:v>
      </x:c>
      <x:c r="T2027" s="93" t="n">
        <x:f>P2027*R2027</x:f>
        <x:v>54</x:v>
      </x:c>
      <x:c r="U2027" s="93" t="n">
        <x:f>T2027*S2027</x:f>
        <x:v>0</x:v>
      </x:c>
      <x:c r="V2027" s="93" t="str">
        <x:f>PROPER(TRIM('Raw Sales'!L2027))</x:f>
        <x:v>Completed</x:v>
      </x:c>
      <x:c r="W2027" s="93" t="n">
        <x:f>IF(V2027="Returned",0,T2027-U2027)</x:f>
        <x:v>54</x:v>
      </x:c>
      <x:c r="X2027" s="93" t="n">
        <x:f>IF(V2027="Returned",Q2027*R2027*10%,Q2027*R2027)</x:f>
        <x:v>25</x:v>
      </x:c>
      <x:c r="Y2027" s="93" t="n">
        <x:f>W2027-X2027</x:f>
        <x:v>29</x:v>
      </x:c>
      <x:c r="Z2027" s="94" t="n">
        <x:f>IFERROR(Y2027/W2027,0)</x:f>
        <x:v>0.5370370370370371</x:v>
      </x:c>
      <x:c r="AA2027" s="84" t="str">
        <x:f>PROPER(TRIM('Raw Sales'!M2027))</x:f>
        <x:v>Debit Card</x:v>
      </x:c>
      <x:c r="AB2027" s="84" t="str">
        <x:f>PROPER(TRIM('Raw Sales'!N2027))</x:f>
        <x:v>Sofia Bennett</x:v>
      </x:c>
      <x:c r="AC2027" s="85" t="n">
        <x:f>'Raw Sales'!O2027</x:f>
        <x:v>45945</x:v>
      </x:c>
      <x:c r="AD2027" s="84" t="n">
        <x:f>AC2027-B2027</x:f>
        <x:v>3</x:v>
      </x:c>
      <x:c r="AE2027" s="84" t="str">
        <x:f>IF(COUNTIF($A$5:A2027,A2027)&gt;1,"Duplicate","Keep")</x:f>
        <x:v>Keep</x:v>
      </x:c>
      <x:c r="AF2027" s="84" t="str">
        <x:f>IF(OR(R2027&lt;=0,AC2027&lt;B2027,H2027="Unknown",M2027="Unknown Product"),"Review","Valid")</x:f>
        <x:v>Valid</x:v>
      </x:c>
      <x:c r="AG2027" s="84" t="n">
        <x:f>IF(AND(AE2027="Keep",AF2027="Valid"),1,0)</x:f>
        <x:v>1</x:v>
      </x:c>
      <x:c r="AH2027" s="84" t="n">
        <x:f>IF(AND(AG2027=1,OR('Dashboard'!$B$4="All",I2027='Dashboard'!$B$4),OR('Dashboard'!$E$4="All",N2027='Dashboard'!$E$4),OR('Dashboard'!$H$4="All",K2027='Dashboard'!$H$4),OR('Dashboard'!$K$4="All",C2027='Dashboard'!$K$4)),1,0)</x:f>
        <x:v>1</x:v>
      </x:c>
      <x:c r="AI2027" s="84" t="n">
        <x:f>IF(AND(AG2027=1,OR('Dashboard'!$B$4="All",I2027='Dashboard'!$B$4),OR('Dashboard'!$E$4="All",N2027='Dashboard'!$E$4),OR('Dashboard'!$H$4="All",K2027='Dashboard'!$H$4)),1,0)</x:f>
        <x:v>1</x:v>
      </x:c>
    </x:row>
    <x:row r="2028">
      <x:c r="A2028" s="84" t="str">
        <x:f>'Raw Sales'!A2028</x:f>
        <x:v>ORD-2025-02078</x:v>
      </x:c>
      <x:c r="B2028" s="85" t="n">
        <x:f>'Raw Sales'!B2028</x:f>
        <x:v>45942</x:v>
      </x:c>
      <x:c r="C2028" s="84" t="n">
        <x:f>YEAR(B2028)</x:f>
        <x:v>2025</x:v>
      </x:c>
      <x:c r="D2028" s="91" t="n">
        <x:f>DATE(YEAR(B2028),MONTH(B2028),1)</x:f>
        <x:v>45931</x:v>
      </x:c>
      <x:c r="E2028" s="84" t="str">
        <x:f>TEXT(B2028,"mmm")</x:f>
        <x:v>Oct</x:v>
      </x:c>
      <x:c r="F2028" s="84" t="str">
        <x:f>'Raw Sales'!C2028</x:f>
        <x:v>CUST-0539</x:v>
      </x:c>
      <x:c r="G2028" s="84" t="str">
        <x:f>PROPER(TRIM('Raw Sales'!D2028))</x:f>
        <x:v>Chloe Johnson</x:v>
      </x:c>
      <x:c r="H2028" s="84" t="str">
        <x:f>IF(TRIM('Raw Sales'!E2028)="","Unknown",PROPER(TRIM('Raw Sales'!E2028)))</x:f>
        <x:v>Small Business</x:v>
      </x:c>
      <x:c r="I2028" s="84" t="str">
        <x:f>PROPER(TRIM('Raw Sales'!F2028))</x:f>
        <x:v>West</x:v>
      </x:c>
      <x:c r="J2028" s="84" t="str">
        <x:f>PROPER(TRIM('Raw Sales'!G2028))</x:f>
        <x:v>Los Angeles</x:v>
      </x:c>
      <x:c r="K2028" s="84" t="str">
        <x:f>PROPER(TRIM('Raw Sales'!H2028))</x:f>
        <x:v>Retail Store</x:v>
      </x:c>
      <x:c r="L2028" s="84" t="str">
        <x:f>'Raw Sales'!I2028</x:f>
        <x:v>CARE-001</x:v>
      </x:c>
      <x:c r="M2028" s="84" t="str">
        <x:f>IFERROR(VLOOKUP(L2028,'Reference Data'!$A$5:$F$40,2,FALSE),"Unknown Product")</x:f>
        <x:v>Ionic Hair Dryer</x:v>
      </x:c>
      <x:c r="N2028" s="84" t="str">
        <x:f>IFERROR(VLOOKUP(L2028,'Reference Data'!$A$5:$F$40,3,FALSE),"Unknown")</x:f>
        <x:v>Personal Care</x:v>
      </x:c>
      <x:c r="O2028" s="84" t="str">
        <x:f>IFERROR(VLOOKUP(L2028,'Reference Data'!$A$5:$F$40,4,FALSE),"Unknown")</x:f>
        <x:v>Hair Care</x:v>
      </x:c>
      <x:c r="P2028" s="92" t="n">
        <x:f>IFERROR(VLOOKUP(L2028,'Reference Data'!$A$5:$F$40,5,FALSE),0)</x:f>
        <x:v>54</x:v>
      </x:c>
      <x:c r="Q2028" s="92" t="n">
        <x:f>IFERROR(VLOOKUP(L2028,'Reference Data'!$A$5:$F$40,6,FALSE),0)</x:f>
        <x:v>25</x:v>
      </x:c>
      <x:c r="R2028" s="84" t="n">
        <x:f>'Raw Sales'!J2028</x:f>
        <x:v>1</x:v>
      </x:c>
      <x:c r="S2028" s="87" t="n">
        <x:f>'Raw Sales'!K2028</x:f>
        <x:v>0.1</x:v>
      </x:c>
      <x:c r="T2028" s="93" t="n">
        <x:f>P2028*R2028</x:f>
        <x:v>54</x:v>
      </x:c>
      <x:c r="U2028" s="93" t="n">
        <x:f>T2028*S2028</x:f>
        <x:v>5.4</x:v>
      </x:c>
      <x:c r="V2028" s="93" t="str">
        <x:f>PROPER(TRIM('Raw Sales'!L2028))</x:f>
        <x:v>Completed</x:v>
      </x:c>
      <x:c r="W2028" s="93" t="n">
        <x:f>IF(V2028="Returned",0,T2028-U2028)</x:f>
        <x:v>48.6</x:v>
      </x:c>
      <x:c r="X2028" s="93" t="n">
        <x:f>IF(V2028="Returned",Q2028*R2028*10%,Q2028*R2028)</x:f>
        <x:v>25</x:v>
      </x:c>
      <x:c r="Y2028" s="93" t="n">
        <x:f>W2028-X2028</x:f>
        <x:v>23.6</x:v>
      </x:c>
      <x:c r="Z2028" s="94" t="n">
        <x:f>IFERROR(Y2028/W2028,0)</x:f>
        <x:v>0.48559670781893005</x:v>
      </x:c>
      <x:c r="AA2028" s="84" t="str">
        <x:f>PROPER(TRIM('Raw Sales'!M2028))</x:f>
        <x:v>Cash</x:v>
      </x:c>
      <x:c r="AB2028" s="84" t="str">
        <x:f>PROPER(TRIM('Raw Sales'!N2028))</x:f>
        <x:v>Nora Kim</x:v>
      </x:c>
      <x:c r="AC2028" s="85" t="n">
        <x:f>'Raw Sales'!O2028</x:f>
        <x:v>45942</x:v>
      </x:c>
      <x:c r="AD2028" s="84" t="n">
        <x:f>AC2028-B2028</x:f>
        <x:v>0</x:v>
      </x:c>
      <x:c r="AE2028" s="84" t="str">
        <x:f>IF(COUNTIF($A$5:A2028,A2028)&gt;1,"Duplicate","Keep")</x:f>
        <x:v>Keep</x:v>
      </x:c>
      <x:c r="AF2028" s="84" t="str">
        <x:f>IF(OR(R2028&lt;=0,AC2028&lt;B2028,H2028="Unknown",M2028="Unknown Product"),"Review","Valid")</x:f>
        <x:v>Valid</x:v>
      </x:c>
      <x:c r="AG2028" s="84" t="n">
        <x:f>IF(AND(AE2028="Keep",AF2028="Valid"),1,0)</x:f>
        <x:v>1</x:v>
      </x:c>
      <x:c r="AH2028" s="84" t="n">
        <x:f>IF(AND(AG2028=1,OR('Dashboard'!$B$4="All",I2028='Dashboard'!$B$4),OR('Dashboard'!$E$4="All",N2028='Dashboard'!$E$4),OR('Dashboard'!$H$4="All",K2028='Dashboard'!$H$4),OR('Dashboard'!$K$4="All",C2028='Dashboard'!$K$4)),1,0)</x:f>
        <x:v>1</x:v>
      </x:c>
      <x:c r="AI2028" s="84" t="n">
        <x:f>IF(AND(AG2028=1,OR('Dashboard'!$B$4="All",I2028='Dashboard'!$B$4),OR('Dashboard'!$E$4="All",N2028='Dashboard'!$E$4),OR('Dashboard'!$H$4="All",K2028='Dashboard'!$H$4)),1,0)</x:f>
        <x:v>1</x:v>
      </x:c>
    </x:row>
    <x:row r="2029">
      <x:c r="A2029" s="84" t="str">
        <x:f>'Raw Sales'!A2029</x:f>
        <x:v>ORD-2025-02105</x:v>
      </x:c>
      <x:c r="B2029" s="85" t="n">
        <x:f>'Raw Sales'!B2029</x:f>
        <x:v>45942</x:v>
      </x:c>
      <x:c r="C2029" s="84" t="n">
        <x:f>YEAR(B2029)</x:f>
        <x:v>2025</x:v>
      </x:c>
      <x:c r="D2029" s="91" t="n">
        <x:f>DATE(YEAR(B2029),MONTH(B2029),1)</x:f>
        <x:v>45931</x:v>
      </x:c>
      <x:c r="E2029" s="84" t="str">
        <x:f>TEXT(B2029,"mmm")</x:f>
        <x:v>Oct</x:v>
      </x:c>
      <x:c r="F2029" s="84" t="str">
        <x:f>'Raw Sales'!C2029</x:f>
        <x:v>CUST-0592</x:v>
      </x:c>
      <x:c r="G2029" s="84" t="str">
        <x:f>PROPER(TRIM('Raw Sales'!D2029))</x:f>
        <x:v>Theo Patel</x:v>
      </x:c>
      <x:c r="H2029" s="84" t="str">
        <x:f>IF(TRIM('Raw Sales'!E2029)="","Unknown",PROPER(TRIM('Raw Sales'!E2029)))</x:f>
        <x:v>Corporate</x:v>
      </x:c>
      <x:c r="I2029" s="84" t="str">
        <x:f>PROPER(TRIM('Raw Sales'!F2029))</x:f>
        <x:v>Southeast</x:v>
      </x:c>
      <x:c r="J2029" s="84" t="str">
        <x:f>PROPER(TRIM('Raw Sales'!G2029))</x:f>
        <x:v>Nashville</x:v>
      </x:c>
      <x:c r="K2029" s="84" t="str">
        <x:f>PROPER(TRIM('Raw Sales'!H2029))</x:f>
        <x:v>Online</x:v>
      </x:c>
      <x:c r="L2029" s="84" t="str">
        <x:f>'Raw Sales'!I2029</x:f>
        <x:v>ACCS-001</x:v>
      </x:c>
      <x:c r="M2029" s="84" t="str">
        <x:f>IFERROR(VLOOKUP(L2029,'Reference Data'!$A$5:$F$40,2,FALSE),"Unknown Product")</x:f>
        <x:v>Canvas Tote Bag</x:v>
      </x:c>
      <x:c r="N2029" s="84" t="str">
        <x:f>IFERROR(VLOOKUP(L2029,'Reference Data'!$A$5:$F$40,3,FALSE),"Unknown")</x:f>
        <x:v>Accessories</x:v>
      </x:c>
      <x:c r="O2029" s="84" t="str">
        <x:f>IFERROR(VLOOKUP(L2029,'Reference Data'!$A$5:$F$40,4,FALSE),"Unknown")</x:f>
        <x:v>Bags</x:v>
      </x:c>
      <x:c r="P2029" s="92" t="n">
        <x:f>IFERROR(VLOOKUP(L2029,'Reference Data'!$A$5:$F$40,5,FALSE),0)</x:f>
        <x:v>39</x:v>
      </x:c>
      <x:c r="Q2029" s="92" t="n">
        <x:f>IFERROR(VLOOKUP(L2029,'Reference Data'!$A$5:$F$40,6,FALSE),0)</x:f>
        <x:v>14</x:v>
      </x:c>
      <x:c r="R2029" s="84" t="n">
        <x:f>'Raw Sales'!J2029</x:f>
        <x:v>4</x:v>
      </x:c>
      <x:c r="S2029" s="87" t="n">
        <x:f>'Raw Sales'!K2029</x:f>
        <x:v>0.15</x:v>
      </x:c>
      <x:c r="T2029" s="93" t="n">
        <x:f>P2029*R2029</x:f>
        <x:v>156</x:v>
      </x:c>
      <x:c r="U2029" s="93" t="n">
        <x:f>T2029*S2029</x:f>
        <x:v>23.4</x:v>
      </x:c>
      <x:c r="V2029" s="93" t="str">
        <x:f>PROPER(TRIM('Raw Sales'!L2029))</x:f>
        <x:v>Completed</x:v>
      </x:c>
      <x:c r="W2029" s="93" t="n">
        <x:f>IF(V2029="Returned",0,T2029-U2029)</x:f>
        <x:v>132.6</x:v>
      </x:c>
      <x:c r="X2029" s="93" t="n">
        <x:f>IF(V2029="Returned",Q2029*R2029*10%,Q2029*R2029)</x:f>
        <x:v>56</x:v>
      </x:c>
      <x:c r="Y2029" s="93" t="n">
        <x:f>W2029-X2029</x:f>
        <x:v>76.6</x:v>
      </x:c>
      <x:c r="Z2029" s="94" t="n">
        <x:f>IFERROR(Y2029/W2029,0)</x:f>
        <x:v>0.5776772247360482</x:v>
      </x:c>
      <x:c r="AA2029" s="84" t="str">
        <x:f>PROPER(TRIM('Raw Sales'!M2029))</x:f>
        <x:v>Credit Card</x:v>
      </x:c>
      <x:c r="AB2029" s="84" t="str">
        <x:f>PROPER(TRIM('Raw Sales'!N2029))</x:f>
        <x:v>Liam Parker</x:v>
      </x:c>
      <x:c r="AC2029" s="85" t="n">
        <x:f>'Raw Sales'!O2029</x:f>
        <x:v>45947</x:v>
      </x:c>
      <x:c r="AD2029" s="84" t="n">
        <x:f>AC2029-B2029</x:f>
        <x:v>5</x:v>
      </x:c>
      <x:c r="AE2029" s="84" t="str">
        <x:f>IF(COUNTIF($A$5:A2029,A2029)&gt;1,"Duplicate","Keep")</x:f>
        <x:v>Keep</x:v>
      </x:c>
      <x:c r="AF2029" s="84" t="str">
        <x:f>IF(OR(R2029&lt;=0,AC2029&lt;B2029,H2029="Unknown",M2029="Unknown Product"),"Review","Valid")</x:f>
        <x:v>Valid</x:v>
      </x:c>
      <x:c r="AG2029" s="84" t="n">
        <x:f>IF(AND(AE2029="Keep",AF2029="Valid"),1,0)</x:f>
        <x:v>1</x:v>
      </x:c>
      <x:c r="AH2029" s="84" t="n">
        <x:f>IF(AND(AG2029=1,OR('Dashboard'!$B$4="All",I2029='Dashboard'!$B$4),OR('Dashboard'!$E$4="All",N2029='Dashboard'!$E$4),OR('Dashboard'!$H$4="All",K2029='Dashboard'!$H$4),OR('Dashboard'!$K$4="All",C2029='Dashboard'!$K$4)),1,0)</x:f>
        <x:v>1</x:v>
      </x:c>
      <x:c r="AI2029" s="84" t="n">
        <x:f>IF(AND(AG2029=1,OR('Dashboard'!$B$4="All",I2029='Dashboard'!$B$4),OR('Dashboard'!$E$4="All",N2029='Dashboard'!$E$4),OR('Dashboard'!$H$4="All",K2029='Dashboard'!$H$4)),1,0)</x:f>
        <x:v>1</x:v>
      </x:c>
    </x:row>
    <x:row r="2030">
      <x:c r="A2030" s="84" t="str">
        <x:f>'Raw Sales'!A2030</x:f>
        <x:v>ORD-2025-00487</x:v>
      </x:c>
      <x:c r="B2030" s="85" t="n">
        <x:f>'Raw Sales'!B2030</x:f>
        <x:v>45943</x:v>
      </x:c>
      <x:c r="C2030" s="84" t="n">
        <x:f>YEAR(B2030)</x:f>
        <x:v>2025</x:v>
      </x:c>
      <x:c r="D2030" s="91" t="n">
        <x:f>DATE(YEAR(B2030),MONTH(B2030),1)</x:f>
        <x:v>45931</x:v>
      </x:c>
      <x:c r="E2030" s="84" t="str">
        <x:f>TEXT(B2030,"mmm")</x:f>
        <x:v>Oct</x:v>
      </x:c>
      <x:c r="F2030" s="84" t="str">
        <x:f>'Raw Sales'!C2030</x:f>
        <x:v>CUST-0591</x:v>
      </x:c>
      <x:c r="G2030" s="84" t="str">
        <x:f>PROPER(TRIM('Raw Sales'!D2030))</x:f>
        <x:v>Grace Quinn</x:v>
      </x:c>
      <x:c r="H2030" s="84" t="str">
        <x:f>IF(TRIM('Raw Sales'!E2030)="","Unknown",PROPER(TRIM('Raw Sales'!E2030)))</x:f>
        <x:v>Consumer</x:v>
      </x:c>
      <x:c r="I2030" s="84" t="str">
        <x:f>PROPER(TRIM('Raw Sales'!F2030))</x:f>
        <x:v>Northeast</x:v>
      </x:c>
      <x:c r="J2030" s="84" t="str">
        <x:f>PROPER(TRIM('Raw Sales'!G2030))</x:f>
        <x:v>Philadelphia</x:v>
      </x:c>
      <x:c r="K2030" s="84" t="str">
        <x:f>PROPER(TRIM('Raw Sales'!H2030))</x:f>
        <x:v>Online</x:v>
      </x:c>
      <x:c r="L2030" s="84" t="str">
        <x:f>'Raw Sales'!I2030</x:f>
        <x:v>ELEC-001</x:v>
      </x:c>
      <x:c r="M2030" s="84" t="str">
        <x:f>IFERROR(VLOOKUP(L2030,'Reference Data'!$A$5:$F$40,2,FALSE),"Unknown Product")</x:f>
        <x:v>Wireless Earbuds</x:v>
      </x:c>
      <x:c r="N2030" s="84" t="str">
        <x:f>IFERROR(VLOOKUP(L2030,'Reference Data'!$A$5:$F$40,3,FALSE),"Unknown")</x:f>
        <x:v>Electronics</x:v>
      </x:c>
      <x:c r="O2030" s="84" t="str">
        <x:f>IFERROR(VLOOKUP(L2030,'Reference Data'!$A$5:$F$40,4,FALSE),"Unknown")</x:f>
        <x:v>Audio</x:v>
      </x:c>
      <x:c r="P2030" s="92" t="n">
        <x:f>IFERROR(VLOOKUP(L2030,'Reference Data'!$A$5:$F$40,5,FALSE),0)</x:f>
        <x:v>69</x:v>
      </x:c>
      <x:c r="Q2030" s="92" t="n">
        <x:f>IFERROR(VLOOKUP(L2030,'Reference Data'!$A$5:$F$40,6,FALSE),0)</x:f>
        <x:v>36</x:v>
      </x:c>
      <x:c r="R2030" s="84" t="n">
        <x:f>'Raw Sales'!J2030</x:f>
        <x:v>1</x:v>
      </x:c>
      <x:c r="S2030" s="87" t="n">
        <x:f>'Raw Sales'!K2030</x:f>
        <x:v>0.1</x:v>
      </x:c>
      <x:c r="T2030" s="93" t="n">
        <x:f>P2030*R2030</x:f>
        <x:v>69</x:v>
      </x:c>
      <x:c r="U2030" s="93" t="n">
        <x:f>T2030*S2030</x:f>
        <x:v>6.9</x:v>
      </x:c>
      <x:c r="V2030" s="93" t="str">
        <x:f>PROPER(TRIM('Raw Sales'!L2030))</x:f>
        <x:v>Completed</x:v>
      </x:c>
      <x:c r="W2030" s="93" t="n">
        <x:f>IF(V2030="Returned",0,T2030-U2030)</x:f>
        <x:v>62.1</x:v>
      </x:c>
      <x:c r="X2030" s="93" t="n">
        <x:f>IF(V2030="Returned",Q2030*R2030*10%,Q2030*R2030)</x:f>
        <x:v>36</x:v>
      </x:c>
      <x:c r="Y2030" s="93" t="n">
        <x:f>W2030-X2030</x:f>
        <x:v>26.1</x:v>
      </x:c>
      <x:c r="Z2030" s="94" t="n">
        <x:f>IFERROR(Y2030/W2030,0)</x:f>
        <x:v>0.4202898550724638</x:v>
      </x:c>
      <x:c r="AA2030" s="84" t="str">
        <x:f>PROPER(TRIM('Raw Sales'!M2030))</x:f>
        <x:v>Credit Card</x:v>
      </x:c>
      <x:c r="AB2030" s="84" t="str">
        <x:f>PROPER(TRIM('Raw Sales'!N2030))</x:f>
        <x:v>Sofia Bennett</x:v>
      </x:c>
      <x:c r="AC2030" s="85" t="n">
        <x:f>'Raw Sales'!O2030</x:f>
        <x:v>45946</x:v>
      </x:c>
      <x:c r="AD2030" s="84" t="n">
        <x:f>AC2030-B2030</x:f>
        <x:v>3</x:v>
      </x:c>
      <x:c r="AE2030" s="84" t="str">
        <x:f>IF(COUNTIF($A$5:A2030,A2030)&gt;1,"Duplicate","Keep")</x:f>
        <x:v>Keep</x:v>
      </x:c>
      <x:c r="AF2030" s="84" t="str">
        <x:f>IF(OR(R2030&lt;=0,AC2030&lt;B2030,H2030="Unknown",M2030="Unknown Product"),"Review","Valid")</x:f>
        <x:v>Valid</x:v>
      </x:c>
      <x:c r="AG2030" s="84" t="n">
        <x:f>IF(AND(AE2030="Keep",AF2030="Valid"),1,0)</x:f>
        <x:v>1</x:v>
      </x:c>
      <x:c r="AH2030" s="84" t="n">
        <x:f>IF(AND(AG2030=1,OR('Dashboard'!$B$4="All",I2030='Dashboard'!$B$4),OR('Dashboard'!$E$4="All",N2030='Dashboard'!$E$4),OR('Dashboard'!$H$4="All",K2030='Dashboard'!$H$4),OR('Dashboard'!$K$4="All",C2030='Dashboard'!$K$4)),1,0)</x:f>
        <x:v>1</x:v>
      </x:c>
      <x:c r="AI2030" s="84" t="n">
        <x:f>IF(AND(AG2030=1,OR('Dashboard'!$B$4="All",I2030='Dashboard'!$B$4),OR('Dashboard'!$E$4="All",N2030='Dashboard'!$E$4),OR('Dashboard'!$H$4="All",K2030='Dashboard'!$H$4)),1,0)</x:f>
        <x:v>1</x:v>
      </x:c>
    </x:row>
    <x:row r="2031">
      <x:c r="A2031" s="84" t="str">
        <x:f>'Raw Sales'!A2031</x:f>
        <x:v>ORD-2025-00833</x:v>
      </x:c>
      <x:c r="B2031" s="85" t="n">
        <x:f>'Raw Sales'!B2031</x:f>
        <x:v>45943</x:v>
      </x:c>
      <x:c r="C2031" s="84" t="n">
        <x:f>YEAR(B2031)</x:f>
        <x:v>2025</x:v>
      </x:c>
      <x:c r="D2031" s="91" t="n">
        <x:f>DATE(YEAR(B2031),MONTH(B2031),1)</x:f>
        <x:v>45931</x:v>
      </x:c>
      <x:c r="E2031" s="84" t="str">
        <x:f>TEXT(B2031,"mmm")</x:f>
        <x:v>Oct</x:v>
      </x:c>
      <x:c r="F2031" s="84" t="str">
        <x:f>'Raw Sales'!C2031</x:f>
        <x:v>CUST-0344</x:v>
      </x:c>
      <x:c r="G2031" s="84" t="str">
        <x:f>PROPER(TRIM('Raw Sales'!D2031))</x:f>
        <x:v>Elena Quinn</x:v>
      </x:c>
      <x:c r="H2031" s="84" t="str">
        <x:f>IF(TRIM('Raw Sales'!E2031)="","Unknown",PROPER(TRIM('Raw Sales'!E2031)))</x:f>
        <x:v>Small Business</x:v>
      </x:c>
      <x:c r="I2031" s="84" t="str">
        <x:f>PROPER(TRIM('Raw Sales'!F2031))</x:f>
        <x:v>Northeast</x:v>
      </x:c>
      <x:c r="J2031" s="84" t="str">
        <x:f>PROPER(TRIM('Raw Sales'!G2031))</x:f>
        <x:v>Newark</x:v>
      </x:c>
      <x:c r="K2031" s="84" t="str">
        <x:f>PROPER(TRIM('Raw Sales'!H2031))</x:f>
        <x:v>Marketplace</x:v>
      </x:c>
      <x:c r="L2031" s="84" t="str">
        <x:f>'Raw Sales'!I2031</x:f>
        <x:v>HOME-001</x:v>
      </x:c>
      <x:c r="M2031" s="84" t="str">
        <x:f>IFERROR(VLOOKUP(L2031,'Reference Data'!$A$5:$F$40,2,FALSE),"Unknown Product")</x:f>
        <x:v>Air Fryer</x:v>
      </x:c>
      <x:c r="N2031" s="84" t="str">
        <x:f>IFERROR(VLOOKUP(L2031,'Reference Data'!$A$5:$F$40,3,FALSE),"Unknown")</x:f>
        <x:v>Home &amp; Kitchen</x:v>
      </x:c>
      <x:c r="O2031" s="84" t="str">
        <x:f>IFERROR(VLOOKUP(L2031,'Reference Data'!$A$5:$F$40,4,FALSE),"Unknown")</x:f>
        <x:v>Small Appliances</x:v>
      </x:c>
      <x:c r="P2031" s="92" t="n">
        <x:f>IFERROR(VLOOKUP(L2031,'Reference Data'!$A$5:$F$40,5,FALSE),0)</x:f>
        <x:v>119</x:v>
      </x:c>
      <x:c r="Q2031" s="92" t="n">
        <x:f>IFERROR(VLOOKUP(L2031,'Reference Data'!$A$5:$F$40,6,FALSE),0)</x:f>
        <x:v>68</x:v>
      </x:c>
      <x:c r="R2031" s="84" t="n">
        <x:f>'Raw Sales'!J2031</x:f>
        <x:v>1</x:v>
      </x:c>
      <x:c r="S2031" s="87" t="n">
        <x:f>'Raw Sales'!K2031</x:f>
        <x:v>0.1</x:v>
      </x:c>
      <x:c r="T2031" s="93" t="n">
        <x:f>P2031*R2031</x:f>
        <x:v>119</x:v>
      </x:c>
      <x:c r="U2031" s="93" t="n">
        <x:f>T2031*S2031</x:f>
        <x:v>11.9</x:v>
      </x:c>
      <x:c r="V2031" s="93" t="str">
        <x:f>PROPER(TRIM('Raw Sales'!L2031))</x:f>
        <x:v>Completed</x:v>
      </x:c>
      <x:c r="W2031" s="93" t="n">
        <x:f>IF(V2031="Returned",0,T2031-U2031)</x:f>
        <x:v>107.1</x:v>
      </x:c>
      <x:c r="X2031" s="93" t="n">
        <x:f>IF(V2031="Returned",Q2031*R2031*10%,Q2031*R2031)</x:f>
        <x:v>68</x:v>
      </x:c>
      <x:c r="Y2031" s="93" t="n">
        <x:f>W2031-X2031</x:f>
        <x:v>39.099999999999994</x:v>
      </x:c>
      <x:c r="Z2031" s="94" t="n">
        <x:f>IFERROR(Y2031/W2031,0)</x:f>
        <x:v>0.36507936507936506</x:v>
      </x:c>
      <x:c r="AA2031" s="84" t="str">
        <x:f>PROPER(TRIM('Raw Sales'!M2031))</x:f>
        <x:v>Credit Card</x:v>
      </x:c>
      <x:c r="AB2031" s="84" t="str">
        <x:f>PROPER(TRIM('Raw Sales'!N2031))</x:f>
        <x:v>Sofia Bennett</x:v>
      </x:c>
      <x:c r="AC2031" s="85" t="n">
        <x:f>'Raw Sales'!O2031</x:f>
        <x:v>45949</x:v>
      </x:c>
      <x:c r="AD2031" s="84" t="n">
        <x:f>AC2031-B2031</x:f>
        <x:v>6</x:v>
      </x:c>
      <x:c r="AE2031" s="84" t="str">
        <x:f>IF(COUNTIF($A$5:A2031,A2031)&gt;1,"Duplicate","Keep")</x:f>
        <x:v>Keep</x:v>
      </x:c>
      <x:c r="AF2031" s="84" t="str">
        <x:f>IF(OR(R2031&lt;=0,AC2031&lt;B2031,H2031="Unknown",M2031="Unknown Product"),"Review","Valid")</x:f>
        <x:v>Valid</x:v>
      </x:c>
      <x:c r="AG2031" s="84" t="n">
        <x:f>IF(AND(AE2031="Keep",AF2031="Valid"),1,0)</x:f>
        <x:v>1</x:v>
      </x:c>
      <x:c r="AH2031" s="84" t="n">
        <x:f>IF(AND(AG2031=1,OR('Dashboard'!$B$4="All",I2031='Dashboard'!$B$4),OR('Dashboard'!$E$4="All",N2031='Dashboard'!$E$4),OR('Dashboard'!$H$4="All",K2031='Dashboard'!$H$4),OR('Dashboard'!$K$4="All",C2031='Dashboard'!$K$4)),1,0)</x:f>
        <x:v>1</x:v>
      </x:c>
      <x:c r="AI2031" s="84" t="n">
        <x:f>IF(AND(AG2031=1,OR('Dashboard'!$B$4="All",I2031='Dashboard'!$B$4),OR('Dashboard'!$E$4="All",N2031='Dashboard'!$E$4),OR('Dashboard'!$H$4="All",K2031='Dashboard'!$H$4)),1,0)</x:f>
        <x:v>1</x:v>
      </x:c>
    </x:row>
    <x:row r="2032">
      <x:c r="A2032" s="84" t="str">
        <x:f>'Raw Sales'!A2032</x:f>
        <x:v>ORD-2025-01185</x:v>
      </x:c>
      <x:c r="B2032" s="85" t="n">
        <x:f>'Raw Sales'!B2032</x:f>
        <x:v>45943</x:v>
      </x:c>
      <x:c r="C2032" s="84" t="n">
        <x:f>YEAR(B2032)</x:f>
        <x:v>2025</x:v>
      </x:c>
      <x:c r="D2032" s="91" t="n">
        <x:f>DATE(YEAR(B2032),MONTH(B2032),1)</x:f>
        <x:v>45931</x:v>
      </x:c>
      <x:c r="E2032" s="84" t="str">
        <x:f>TEXT(B2032,"mmm")</x:f>
        <x:v>Oct</x:v>
      </x:c>
      <x:c r="F2032" s="84" t="str">
        <x:f>'Raw Sales'!C2032</x:f>
        <x:v>CUST-0580</x:v>
      </x:c>
      <x:c r="G2032" s="84" t="str">
        <x:f>PROPER(TRIM('Raw Sales'!D2032))</x:f>
        <x:v>Zara Foster</x:v>
      </x:c>
      <x:c r="H2032" s="84" t="str">
        <x:f>IF(TRIM('Raw Sales'!E2032)="","Unknown",PROPER(TRIM('Raw Sales'!E2032)))</x:f>
        <x:v>Consumer</x:v>
      </x:c>
      <x:c r="I2032" s="84" t="str">
        <x:f>PROPER(TRIM('Raw Sales'!F2032))</x:f>
        <x:v>Northeast</x:v>
      </x:c>
      <x:c r="J2032" s="84" t="str">
        <x:f>PROPER(TRIM('Raw Sales'!G2032))</x:f>
        <x:v>Philadelphia</x:v>
      </x:c>
      <x:c r="K2032" s="84" t="str">
        <x:f>PROPER(TRIM('Raw Sales'!H2032))</x:f>
        <x:v>Marketplace</x:v>
      </x:c>
      <x:c r="L2032" s="84" t="str">
        <x:f>'Raw Sales'!I2032</x:f>
        <x:v>HOME-002</x:v>
      </x:c>
      <x:c r="M2032" s="84" t="str">
        <x:f>IFERROR(VLOOKUP(L2032,'Reference Data'!$A$5:$F$40,2,FALSE),"Unknown Product")</x:f>
        <x:v>Electric Kettle</x:v>
      </x:c>
      <x:c r="N2032" s="84" t="str">
        <x:f>IFERROR(VLOOKUP(L2032,'Reference Data'!$A$5:$F$40,3,FALSE),"Unknown")</x:f>
        <x:v>Home &amp; Kitchen</x:v>
      </x:c>
      <x:c r="O2032" s="84" t="str">
        <x:f>IFERROR(VLOOKUP(L2032,'Reference Data'!$A$5:$F$40,4,FALSE),"Unknown")</x:f>
        <x:v>Small Appliances</x:v>
      </x:c>
      <x:c r="P2032" s="92" t="n">
        <x:f>IFERROR(VLOOKUP(L2032,'Reference Data'!$A$5:$F$40,5,FALSE),0)</x:f>
        <x:v>49</x:v>
      </x:c>
      <x:c r="Q2032" s="92" t="n">
        <x:f>IFERROR(VLOOKUP(L2032,'Reference Data'!$A$5:$F$40,6,FALSE),0)</x:f>
        <x:v>23</x:v>
      </x:c>
      <x:c r="R2032" s="84" t="n">
        <x:f>'Raw Sales'!J2032</x:f>
        <x:v>3</x:v>
      </x:c>
      <x:c r="S2032" s="87" t="n">
        <x:f>'Raw Sales'!K2032</x:f>
        <x:v>0.05</x:v>
      </x:c>
      <x:c r="T2032" s="93" t="n">
        <x:f>P2032*R2032</x:f>
        <x:v>147</x:v>
      </x:c>
      <x:c r="U2032" s="93" t="n">
        <x:f>T2032*S2032</x:f>
        <x:v>7.3500000000000005</x:v>
      </x:c>
      <x:c r="V2032" s="93" t="str">
        <x:f>PROPER(TRIM('Raw Sales'!L2032))</x:f>
        <x:v>Completed</x:v>
      </x:c>
      <x:c r="W2032" s="93" t="n">
        <x:f>IF(V2032="Returned",0,T2032-U2032)</x:f>
        <x:v>139.65</x:v>
      </x:c>
      <x:c r="X2032" s="93" t="n">
        <x:f>IF(V2032="Returned",Q2032*R2032*10%,Q2032*R2032)</x:f>
        <x:v>69</x:v>
      </x:c>
      <x:c r="Y2032" s="93" t="n">
        <x:f>W2032-X2032</x:f>
        <x:v>70.65</x:v>
      </x:c>
      <x:c r="Z2032" s="94" t="n">
        <x:f>IFERROR(Y2032/W2032,0)</x:f>
        <x:v>0.5059076262083781</x:v>
      </x:c>
      <x:c r="AA2032" s="84" t="str">
        <x:f>PROPER(TRIM('Raw Sales'!M2032))</x:f>
        <x:v>Credit Card</x:v>
      </x:c>
      <x:c r="AB2032" s="84" t="str">
        <x:f>PROPER(TRIM('Raw Sales'!N2032))</x:f>
        <x:v>Sofia Bennett</x:v>
      </x:c>
      <x:c r="AC2032" s="85" t="n">
        <x:f>'Raw Sales'!O2032</x:f>
        <x:v>45950</x:v>
      </x:c>
      <x:c r="AD2032" s="84" t="n">
        <x:f>AC2032-B2032</x:f>
        <x:v>7</x:v>
      </x:c>
      <x:c r="AE2032" s="84" t="str">
        <x:f>IF(COUNTIF($A$5:A2032,A2032)&gt;1,"Duplicate","Keep")</x:f>
        <x:v>Keep</x:v>
      </x:c>
      <x:c r="AF2032" s="84" t="str">
        <x:f>IF(OR(R2032&lt;=0,AC2032&lt;B2032,H2032="Unknown",M2032="Unknown Product"),"Review","Valid")</x:f>
        <x:v>Valid</x:v>
      </x:c>
      <x:c r="AG2032" s="84" t="n">
        <x:f>IF(AND(AE2032="Keep",AF2032="Valid"),1,0)</x:f>
        <x:v>1</x:v>
      </x:c>
      <x:c r="AH2032" s="84" t="n">
        <x:f>IF(AND(AG2032=1,OR('Dashboard'!$B$4="All",I2032='Dashboard'!$B$4),OR('Dashboard'!$E$4="All",N2032='Dashboard'!$E$4),OR('Dashboard'!$H$4="All",K2032='Dashboard'!$H$4),OR('Dashboard'!$K$4="All",C2032='Dashboard'!$K$4)),1,0)</x:f>
        <x:v>1</x:v>
      </x:c>
      <x:c r="AI2032" s="84" t="n">
        <x:f>IF(AND(AG2032=1,OR('Dashboard'!$B$4="All",I2032='Dashboard'!$B$4),OR('Dashboard'!$E$4="All",N2032='Dashboard'!$E$4),OR('Dashboard'!$H$4="All",K2032='Dashboard'!$H$4)),1,0)</x:f>
        <x:v>1</x:v>
      </x:c>
    </x:row>
    <x:row r="2033">
      <x:c r="A2033" s="84" t="str">
        <x:f>'Raw Sales'!A2033</x:f>
        <x:v>ORD-2025-01891</x:v>
      </x:c>
      <x:c r="B2033" s="85" t="n">
        <x:f>'Raw Sales'!B2033</x:f>
        <x:v>45943</x:v>
      </x:c>
      <x:c r="C2033" s="84" t="n">
        <x:f>YEAR(B2033)</x:f>
        <x:v>2025</x:v>
      </x:c>
      <x:c r="D2033" s="91" t="n">
        <x:f>DATE(YEAR(B2033),MONTH(B2033),1)</x:f>
        <x:v>45931</x:v>
      </x:c>
      <x:c r="E2033" s="84" t="str">
        <x:f>TEXT(B2033,"mmm")</x:f>
        <x:v>Oct</x:v>
      </x:c>
      <x:c r="F2033" s="84" t="str">
        <x:f>'Raw Sales'!C2033</x:f>
        <x:v>CUST-0243</x:v>
      </x:c>
      <x:c r="G2033" s="84" t="str">
        <x:f>PROPER(TRIM('Raw Sales'!D2033))</x:f>
        <x:v>Jasmine Johnson</x:v>
      </x:c>
      <x:c r="H2033" s="84" t="str">
        <x:f>IF(TRIM('Raw Sales'!E2033)="","Unknown",PROPER(TRIM('Raw Sales'!E2033)))</x:f>
        <x:v>Unknown</x:v>
      </x:c>
      <x:c r="I2033" s="84" t="str">
        <x:f>PROPER(TRIM('Raw Sales'!F2033))</x:f>
        <x:v>Northeast</x:v>
      </x:c>
      <x:c r="J2033" s="84" t="str">
        <x:f>PROPER(TRIM('Raw Sales'!G2033))</x:f>
        <x:v>Newark</x:v>
      </x:c>
      <x:c r="K2033" s="84" t="str">
        <x:f>PROPER(TRIM('Raw Sales'!H2033))</x:f>
        <x:v>Retail Store</x:v>
      </x:c>
      <x:c r="L2033" s="84" t="str">
        <x:f>'Raw Sales'!I2033</x:f>
        <x:v>CARE-006</x:v>
      </x:c>
      <x:c r="M2033" s="84" t="str">
        <x:f>IFERROR(VLOOKUP(L2033,'Reference Data'!$A$5:$F$40,2,FALSE),"Unknown Product")</x:f>
        <x:v>Percussion Massage Gun</x:v>
      </x:c>
      <x:c r="N2033" s="84" t="str">
        <x:f>IFERROR(VLOOKUP(L2033,'Reference Data'!$A$5:$F$40,3,FALSE),"Unknown")</x:f>
        <x:v>Personal Care</x:v>
      </x:c>
      <x:c r="O2033" s="84" t="str">
        <x:f>IFERROR(VLOOKUP(L2033,'Reference Data'!$A$5:$F$40,4,FALSE),"Unknown")</x:f>
        <x:v>Wellness</x:v>
      </x:c>
      <x:c r="P2033" s="92" t="n">
        <x:f>IFERROR(VLOOKUP(L2033,'Reference Data'!$A$5:$F$40,5,FALSE),0)</x:f>
        <x:v>129</x:v>
      </x:c>
      <x:c r="Q2033" s="92" t="n">
        <x:f>IFERROR(VLOOKUP(L2033,'Reference Data'!$A$5:$F$40,6,FALSE),0)</x:f>
        <x:v>70</x:v>
      </x:c>
      <x:c r="R2033" s="84" t="n">
        <x:f>'Raw Sales'!J2033</x:f>
        <x:v>5</x:v>
      </x:c>
      <x:c r="S2033" s="87" t="n">
        <x:f>'Raw Sales'!K2033</x:f>
        <x:v>0.1</x:v>
      </x:c>
      <x:c r="T2033" s="93" t="n">
        <x:f>P2033*R2033</x:f>
        <x:v>645</x:v>
      </x:c>
      <x:c r="U2033" s="93" t="n">
        <x:f>T2033*S2033</x:f>
        <x:v>64.5</x:v>
      </x:c>
      <x:c r="V2033" s="93" t="str">
        <x:f>PROPER(TRIM('Raw Sales'!L2033))</x:f>
        <x:v>Completed</x:v>
      </x:c>
      <x:c r="W2033" s="93" t="n">
        <x:f>IF(V2033="Returned",0,T2033-U2033)</x:f>
        <x:v>580.5</x:v>
      </x:c>
      <x:c r="X2033" s="93" t="n">
        <x:f>IF(V2033="Returned",Q2033*R2033*10%,Q2033*R2033)</x:f>
        <x:v>350</x:v>
      </x:c>
      <x:c r="Y2033" s="93" t="n">
        <x:f>W2033-X2033</x:f>
        <x:v>230.5</x:v>
      </x:c>
      <x:c r="Z2033" s="94" t="n">
        <x:f>IFERROR(Y2033/W2033,0)</x:f>
        <x:v>0.3970714900947459</x:v>
      </x:c>
      <x:c r="AA2033" s="84" t="str">
        <x:f>PROPER(TRIM('Raw Sales'!M2033))</x:f>
        <x:v>Cash</x:v>
      </x:c>
      <x:c r="AB2033" s="84" t="str">
        <x:f>PROPER(TRIM('Raw Sales'!N2033))</x:f>
        <x:v>Ethan Cole</x:v>
      </x:c>
      <x:c r="AC2033" s="85" t="n">
        <x:f>'Raw Sales'!O2033</x:f>
        <x:v>45943</x:v>
      </x:c>
      <x:c r="AD2033" s="84" t="n">
        <x:f>AC2033-B2033</x:f>
        <x:v>0</x:v>
      </x:c>
      <x:c r="AE2033" s="84" t="str">
        <x:f>IF(COUNTIF($A$5:A2033,A2033)&gt;1,"Duplicate","Keep")</x:f>
        <x:v>Keep</x:v>
      </x:c>
      <x:c r="AF2033" s="84" t="str">
        <x:f>IF(OR(R2033&lt;=0,AC2033&lt;B2033,H2033="Unknown",M2033="Unknown Product"),"Review","Valid")</x:f>
        <x:v>Review</x:v>
      </x:c>
      <x:c r="AG2033" s="84" t="n">
        <x:f>IF(AND(AE2033="Keep",AF2033="Valid"),1,0)</x:f>
        <x:v>0</x:v>
      </x:c>
      <x:c r="AH2033" s="84" t="n">
        <x:f>IF(AND(AG2033=1,OR('Dashboard'!$B$4="All",I2033='Dashboard'!$B$4),OR('Dashboard'!$E$4="All",N2033='Dashboard'!$E$4),OR('Dashboard'!$H$4="All",K2033='Dashboard'!$H$4),OR('Dashboard'!$K$4="All",C2033='Dashboard'!$K$4)),1,0)</x:f>
        <x:v>0</x:v>
      </x:c>
      <x:c r="AI2033" s="84" t="n">
        <x:f>IF(AND(AG2033=1,OR('Dashboard'!$B$4="All",I2033='Dashboard'!$B$4),OR('Dashboard'!$E$4="All",N2033='Dashboard'!$E$4),OR('Dashboard'!$H$4="All",K2033='Dashboard'!$H$4)),1,0)</x:f>
        <x:v>0</x:v>
      </x:c>
    </x:row>
    <x:row r="2034">
      <x:c r="A2034" s="84" t="str">
        <x:f>'Raw Sales'!A2034</x:f>
        <x:v>ORD-2025-00001</x:v>
      </x:c>
      <x:c r="B2034" s="85" t="n">
        <x:f>'Raw Sales'!B2034</x:f>
        <x:v>45944</x:v>
      </x:c>
      <x:c r="C2034" s="84" t="n">
        <x:f>YEAR(B2034)</x:f>
        <x:v>2025</x:v>
      </x:c>
      <x:c r="D2034" s="91" t="n">
        <x:f>DATE(YEAR(B2034),MONTH(B2034),1)</x:f>
        <x:v>45931</x:v>
      </x:c>
      <x:c r="E2034" s="84" t="str">
        <x:f>TEXT(B2034,"mmm")</x:f>
        <x:v>Oct</x:v>
      </x:c>
      <x:c r="F2034" s="84" t="str">
        <x:f>'Raw Sales'!C2034</x:f>
        <x:v>CUST-0369</x:v>
      </x:c>
      <x:c r="G2034" s="84" t="str">
        <x:f>PROPER(TRIM('Raw Sales'!D2034))</x:f>
        <x:v>Elena Johnson</x:v>
      </x:c>
      <x:c r="H2034" s="84" t="str">
        <x:f>IF(TRIM('Raw Sales'!E2034)="","Unknown",PROPER(TRIM('Raw Sales'!E2034)))</x:f>
        <x:v>Consumer</x:v>
      </x:c>
      <x:c r="I2034" s="84" t="str">
        <x:f>PROPER(TRIM('Raw Sales'!F2034))</x:f>
        <x:v>West</x:v>
      </x:c>
      <x:c r="J2034" s="84" t="str">
        <x:f>PROPER(TRIM('Raw Sales'!G2034))</x:f>
        <x:v>Phoenix</x:v>
      </x:c>
      <x:c r="K2034" s="84" t="str">
        <x:f>PROPER(TRIM('Raw Sales'!H2034))</x:f>
        <x:v>Online</x:v>
      </x:c>
      <x:c r="L2034" s="84" t="str">
        <x:f>'Raw Sales'!I2034</x:f>
        <x:v>ELEC-005</x:v>
      </x:c>
      <x:c r="M2034" s="84" t="str">
        <x:f>IFERROR(VLOOKUP(L2034,'Reference Data'!$A$5:$F$40,2,FALSE),"Unknown Product")</x:f>
        <x:v>HD Webcam</x:v>
      </x:c>
      <x:c r="N2034" s="84" t="str">
        <x:f>IFERROR(VLOOKUP(L2034,'Reference Data'!$A$5:$F$40,3,FALSE),"Unknown")</x:f>
        <x:v>Electronics</x:v>
      </x:c>
      <x:c r="O2034" s="84" t="str">
        <x:f>IFERROR(VLOOKUP(L2034,'Reference Data'!$A$5:$F$40,4,FALSE),"Unknown")</x:f>
        <x:v>Computer Accessories</x:v>
      </x:c>
      <x:c r="P2034" s="92" t="n">
        <x:f>IFERROR(VLOOKUP(L2034,'Reference Data'!$A$5:$F$40,5,FALSE),0)</x:f>
        <x:v>79</x:v>
      </x:c>
      <x:c r="Q2034" s="92" t="n">
        <x:f>IFERROR(VLOOKUP(L2034,'Reference Data'!$A$5:$F$40,6,FALSE),0)</x:f>
        <x:v>37</x:v>
      </x:c>
      <x:c r="R2034" s="84" t="n">
        <x:f>'Raw Sales'!J2034</x:f>
        <x:v>2</x:v>
      </x:c>
      <x:c r="S2034" s="87" t="n">
        <x:f>'Raw Sales'!K2034</x:f>
        <x:v>0</x:v>
      </x:c>
      <x:c r="T2034" s="93" t="n">
        <x:f>P2034*R2034</x:f>
        <x:v>158</x:v>
      </x:c>
      <x:c r="U2034" s="93" t="n">
        <x:f>T2034*S2034</x:f>
        <x:v>0</x:v>
      </x:c>
      <x:c r="V2034" s="93" t="str">
        <x:f>PROPER(TRIM('Raw Sales'!L2034))</x:f>
        <x:v>Completed</x:v>
      </x:c>
      <x:c r="W2034" s="93" t="n">
        <x:f>IF(V2034="Returned",0,T2034-U2034)</x:f>
        <x:v>158</x:v>
      </x:c>
      <x:c r="X2034" s="93" t="n">
        <x:f>IF(V2034="Returned",Q2034*R2034*10%,Q2034*R2034)</x:f>
        <x:v>74</x:v>
      </x:c>
      <x:c r="Y2034" s="93" t="n">
        <x:f>W2034-X2034</x:f>
        <x:v>84</x:v>
      </x:c>
      <x:c r="Z2034" s="94" t="n">
        <x:f>IFERROR(Y2034/W2034,0)</x:f>
        <x:v>0.5316455696202531</x:v>
      </x:c>
      <x:c r="AA2034" s="84" t="str">
        <x:f>PROPER(TRIM('Raw Sales'!M2034))</x:f>
        <x:v>Paypal</x:v>
      </x:c>
      <x:c r="AB2034" s="84" t="str">
        <x:f>PROPER(TRIM('Raw Sales'!N2034))</x:f>
        <x:v>Leo Martinez</x:v>
      </x:c>
      <x:c r="AC2034" s="85" t="n">
        <x:f>'Raw Sales'!O2034</x:f>
        <x:v>45948</x:v>
      </x:c>
      <x:c r="AD2034" s="84" t="n">
        <x:f>AC2034-B2034</x:f>
        <x:v>4</x:v>
      </x:c>
      <x:c r="AE2034" s="84" t="str">
        <x:f>IF(COUNTIF($A$5:A2034,A2034)&gt;1,"Duplicate","Keep")</x:f>
        <x:v>Keep</x:v>
      </x:c>
      <x:c r="AF2034" s="84" t="str">
        <x:f>IF(OR(R2034&lt;=0,AC2034&lt;B2034,H2034="Unknown",M2034="Unknown Product"),"Review","Valid")</x:f>
        <x:v>Valid</x:v>
      </x:c>
      <x:c r="AG2034" s="84" t="n">
        <x:f>IF(AND(AE2034="Keep",AF2034="Valid"),1,0)</x:f>
        <x:v>1</x:v>
      </x:c>
      <x:c r="AH2034" s="84" t="n">
        <x:f>IF(AND(AG2034=1,OR('Dashboard'!$B$4="All",I2034='Dashboard'!$B$4),OR('Dashboard'!$E$4="All",N2034='Dashboard'!$E$4),OR('Dashboard'!$H$4="All",K2034='Dashboard'!$H$4),OR('Dashboard'!$K$4="All",C2034='Dashboard'!$K$4)),1,0)</x:f>
        <x:v>1</x:v>
      </x:c>
      <x:c r="AI2034" s="84" t="n">
        <x:f>IF(AND(AG2034=1,OR('Dashboard'!$B$4="All",I2034='Dashboard'!$B$4),OR('Dashboard'!$E$4="All",N2034='Dashboard'!$E$4),OR('Dashboard'!$H$4="All",K2034='Dashboard'!$H$4)),1,0)</x:f>
        <x:v>1</x:v>
      </x:c>
    </x:row>
    <x:row r="2035">
      <x:c r="A2035" s="84" t="str">
        <x:f>'Raw Sales'!A2035</x:f>
        <x:v>ORD-2025-01195</x:v>
      </x:c>
      <x:c r="B2035" s="85" t="n">
        <x:f>'Raw Sales'!B2035</x:f>
        <x:v>45944</x:v>
      </x:c>
      <x:c r="C2035" s="84" t="n">
        <x:f>YEAR(B2035)</x:f>
        <x:v>2025</x:v>
      </x:c>
      <x:c r="D2035" s="91" t="n">
        <x:f>DATE(YEAR(B2035),MONTH(B2035),1)</x:f>
        <x:v>45931</x:v>
      </x:c>
      <x:c r="E2035" s="84" t="str">
        <x:f>TEXT(B2035,"mmm")</x:f>
        <x:v>Oct</x:v>
      </x:c>
      <x:c r="F2035" s="84" t="str">
        <x:f>'Raw Sales'!C2035</x:f>
        <x:v>CUST-0436</x:v>
      </x:c>
      <x:c r="G2035" s="84" t="str">
        <x:f>PROPER(TRIM('Raw Sales'!D2035))</x:f>
        <x:v>Nathan Hall</x:v>
      </x:c>
      <x:c r="H2035" s="84" t="str">
        <x:f>IF(TRIM('Raw Sales'!E2035)="","Unknown",PROPER(TRIM('Raw Sales'!E2035)))</x:f>
        <x:v>Consumer</x:v>
      </x:c>
      <x:c r="I2035" s="84" t="str">
        <x:f>PROPER(TRIM('Raw Sales'!F2035))</x:f>
        <x:v>West</x:v>
      </x:c>
      <x:c r="J2035" s="84" t="str">
        <x:f>PROPER(TRIM('Raw Sales'!G2035))</x:f>
        <x:v>Phoenix</x:v>
      </x:c>
      <x:c r="K2035" s="84" t="str">
        <x:f>PROPER(TRIM('Raw Sales'!H2035))</x:f>
        <x:v>Marketplace</x:v>
      </x:c>
      <x:c r="L2035" s="84" t="str">
        <x:f>'Raw Sales'!I2035</x:f>
        <x:v>HOME-006</x:v>
      </x:c>
      <x:c r="M2035" s="84" t="str">
        <x:f>IFERROR(VLOOKUP(L2035,'Reference Data'!$A$5:$F$40,2,FALSE),"Unknown Product")</x:f>
        <x:v>Food Storage Set</x:v>
      </x:c>
      <x:c r="N2035" s="84" t="str">
        <x:f>IFERROR(VLOOKUP(L2035,'Reference Data'!$A$5:$F$40,3,FALSE),"Unknown")</x:f>
        <x:v>Home &amp; Kitchen</x:v>
      </x:c>
      <x:c r="O2035" s="84" t="str">
        <x:f>IFERROR(VLOOKUP(L2035,'Reference Data'!$A$5:$F$40,4,FALSE),"Unknown")</x:f>
        <x:v>Kitchenware</x:v>
      </x:c>
      <x:c r="P2035" s="92" t="n">
        <x:f>IFERROR(VLOOKUP(L2035,'Reference Data'!$A$5:$F$40,5,FALSE),0)</x:f>
        <x:v>34</x:v>
      </x:c>
      <x:c r="Q2035" s="92" t="n">
        <x:f>IFERROR(VLOOKUP(L2035,'Reference Data'!$A$5:$F$40,6,FALSE),0)</x:f>
        <x:v>15</x:v>
      </x:c>
      <x:c r="R2035" s="84" t="n">
        <x:f>'Raw Sales'!J2035</x:f>
        <x:v>2</x:v>
      </x:c>
      <x:c r="S2035" s="87" t="n">
        <x:f>'Raw Sales'!K2035</x:f>
        <x:v>0.2</x:v>
      </x:c>
      <x:c r="T2035" s="93" t="n">
        <x:f>P2035*R2035</x:f>
        <x:v>68</x:v>
      </x:c>
      <x:c r="U2035" s="93" t="n">
        <x:f>T2035*S2035</x:f>
        <x:v>13.600000000000001</x:v>
      </x:c>
      <x:c r="V2035" s="93" t="str">
        <x:f>PROPER(TRIM('Raw Sales'!L2035))</x:f>
        <x:v>Completed</x:v>
      </x:c>
      <x:c r="W2035" s="93" t="n">
        <x:f>IF(V2035="Returned",0,T2035-U2035)</x:f>
        <x:v>54.4</x:v>
      </x:c>
      <x:c r="X2035" s="93" t="n">
        <x:f>IF(V2035="Returned",Q2035*R2035*10%,Q2035*R2035)</x:f>
        <x:v>30</x:v>
      </x:c>
      <x:c r="Y2035" s="93" t="n">
        <x:f>W2035-X2035</x:f>
        <x:v>24.4</x:v>
      </x:c>
      <x:c r="Z2035" s="94" t="n">
        <x:f>IFERROR(Y2035/W2035,0)</x:f>
        <x:v>0.44852941176470584</x:v>
      </x:c>
      <x:c r="AA2035" s="84" t="str">
        <x:f>PROPER(TRIM('Raw Sales'!M2035))</x:f>
        <x:v>Mobile Wallet</x:v>
      </x:c>
      <x:c r="AB2035" s="84" t="str">
        <x:f>PROPER(TRIM('Raw Sales'!N2035))</x:f>
        <x:v>Mia Chen</x:v>
      </x:c>
      <x:c r="AC2035" s="85" t="n">
        <x:f>'Raw Sales'!O2035</x:f>
        <x:v>45949</x:v>
      </x:c>
      <x:c r="AD2035" s="84" t="n">
        <x:f>AC2035-B2035</x:f>
        <x:v>5</x:v>
      </x:c>
      <x:c r="AE2035" s="84" t="str">
        <x:f>IF(COUNTIF($A$5:A2035,A2035)&gt;1,"Duplicate","Keep")</x:f>
        <x:v>Keep</x:v>
      </x:c>
      <x:c r="AF2035" s="84" t="str">
        <x:f>IF(OR(R2035&lt;=0,AC2035&lt;B2035,H2035="Unknown",M2035="Unknown Product"),"Review","Valid")</x:f>
        <x:v>Valid</x:v>
      </x:c>
      <x:c r="AG2035" s="84" t="n">
        <x:f>IF(AND(AE2035="Keep",AF2035="Valid"),1,0)</x:f>
        <x:v>1</x:v>
      </x:c>
      <x:c r="AH2035" s="84" t="n">
        <x:f>IF(AND(AG2035=1,OR('Dashboard'!$B$4="All",I2035='Dashboard'!$B$4),OR('Dashboard'!$E$4="All",N2035='Dashboard'!$E$4),OR('Dashboard'!$H$4="All",K2035='Dashboard'!$H$4),OR('Dashboard'!$K$4="All",C2035='Dashboard'!$K$4)),1,0)</x:f>
        <x:v>1</x:v>
      </x:c>
      <x:c r="AI2035" s="84" t="n">
        <x:f>IF(AND(AG2035=1,OR('Dashboard'!$B$4="All",I2035='Dashboard'!$B$4),OR('Dashboard'!$E$4="All",N2035='Dashboard'!$E$4),OR('Dashboard'!$H$4="All",K2035='Dashboard'!$H$4)),1,0)</x:f>
        <x:v>1</x:v>
      </x:c>
    </x:row>
    <x:row r="2036">
      <x:c r="A2036" s="84" t="str">
        <x:f>'Raw Sales'!A2036</x:f>
        <x:v>ORD-2025-01419</x:v>
      </x:c>
      <x:c r="B2036" s="85" t="n">
        <x:f>'Raw Sales'!B2036</x:f>
        <x:v>45945</x:v>
      </x:c>
      <x:c r="C2036" s="84" t="n">
        <x:f>YEAR(B2036)</x:f>
        <x:v>2025</x:v>
      </x:c>
      <x:c r="D2036" s="91" t="n">
        <x:f>DATE(YEAR(B2036),MONTH(B2036),1)</x:f>
        <x:v>45931</x:v>
      </x:c>
      <x:c r="E2036" s="84" t="str">
        <x:f>TEXT(B2036,"mmm")</x:f>
        <x:v>Oct</x:v>
      </x:c>
      <x:c r="F2036" s="84" t="str">
        <x:f>'Raw Sales'!C2036</x:f>
        <x:v>CUST-0363</x:v>
      </x:c>
      <x:c r="G2036" s="84" t="str">
        <x:f>PROPER(TRIM('Raw Sales'!D2036))</x:f>
        <x:v>Jasmine Baker</x:v>
      </x:c>
      <x:c r="H2036" s="84" t="str">
        <x:f>IF(TRIM('Raw Sales'!E2036)="","Unknown",PROPER(TRIM('Raw Sales'!E2036)))</x:f>
        <x:v>Corporate</x:v>
      </x:c>
      <x:c r="I2036" s="84" t="str">
        <x:f>PROPER(TRIM('Raw Sales'!F2036))</x:f>
        <x:v>Midwest</x:v>
      </x:c>
      <x:c r="J2036" s="84" t="str">
        <x:f>PROPER(TRIM('Raw Sales'!G2036))</x:f>
        <x:v>Minneapolis</x:v>
      </x:c>
      <x:c r="K2036" s="84" t="str">
        <x:f>PROPER(TRIM('Raw Sales'!H2036))</x:f>
        <x:v>Retail Store</x:v>
      </x:c>
      <x:c r="L2036" s="84" t="str">
        <x:f>'Raw Sales'!I2036</x:f>
        <x:v>ELEC-005</x:v>
      </x:c>
      <x:c r="M2036" s="84" t="str">
        <x:f>IFERROR(VLOOKUP(L2036,'Reference Data'!$A$5:$F$40,2,FALSE),"Unknown Product")</x:f>
        <x:v>HD Webcam</x:v>
      </x:c>
      <x:c r="N2036" s="84" t="str">
        <x:f>IFERROR(VLOOKUP(L2036,'Reference Data'!$A$5:$F$40,3,FALSE),"Unknown")</x:f>
        <x:v>Electronics</x:v>
      </x:c>
      <x:c r="O2036" s="84" t="str">
        <x:f>IFERROR(VLOOKUP(L2036,'Reference Data'!$A$5:$F$40,4,FALSE),"Unknown")</x:f>
        <x:v>Computer Accessories</x:v>
      </x:c>
      <x:c r="P2036" s="92" t="n">
        <x:f>IFERROR(VLOOKUP(L2036,'Reference Data'!$A$5:$F$40,5,FALSE),0)</x:f>
        <x:v>79</x:v>
      </x:c>
      <x:c r="Q2036" s="92" t="n">
        <x:f>IFERROR(VLOOKUP(L2036,'Reference Data'!$A$5:$F$40,6,FALSE),0)</x:f>
        <x:v>37</x:v>
      </x:c>
      <x:c r="R2036" s="84" t="n">
        <x:f>'Raw Sales'!J2036</x:f>
        <x:v>4</x:v>
      </x:c>
      <x:c r="S2036" s="87" t="n">
        <x:f>'Raw Sales'!K2036</x:f>
        <x:v>0.05</x:v>
      </x:c>
      <x:c r="T2036" s="93" t="n">
        <x:f>P2036*R2036</x:f>
        <x:v>316</x:v>
      </x:c>
      <x:c r="U2036" s="93" t="n">
        <x:f>T2036*S2036</x:f>
        <x:v>15.8</x:v>
      </x:c>
      <x:c r="V2036" s="93" t="str">
        <x:f>PROPER(TRIM('Raw Sales'!L2036))</x:f>
        <x:v>Completed</x:v>
      </x:c>
      <x:c r="W2036" s="93" t="n">
        <x:f>IF(V2036="Returned",0,T2036-U2036)</x:f>
        <x:v>300.2</x:v>
      </x:c>
      <x:c r="X2036" s="93" t="n">
        <x:f>IF(V2036="Returned",Q2036*R2036*10%,Q2036*R2036)</x:f>
        <x:v>148</x:v>
      </x:c>
      <x:c r="Y2036" s="93" t="n">
        <x:f>W2036-X2036</x:f>
        <x:v>152.2</x:v>
      </x:c>
      <x:c r="Z2036" s="94" t="n">
        <x:f>IFERROR(Y2036/W2036,0)</x:f>
        <x:v>0.5069953364423717</x:v>
      </x:c>
      <x:c r="AA2036" s="84" t="str">
        <x:f>PROPER(TRIM('Raw Sales'!M2036))</x:f>
        <x:v>Credit Card</x:v>
      </x:c>
      <x:c r="AB2036" s="84" t="str">
        <x:f>PROPER(TRIM('Raw Sales'!N2036))</x:f>
        <x:v>Zoe Turner</x:v>
      </x:c>
      <x:c r="AC2036" s="85" t="n">
        <x:f>'Raw Sales'!O2036</x:f>
        <x:v>45945</x:v>
      </x:c>
      <x:c r="AD2036" s="84" t="n">
        <x:f>AC2036-B2036</x:f>
        <x:v>0</x:v>
      </x:c>
      <x:c r="AE2036" s="84" t="str">
        <x:f>IF(COUNTIF($A$5:A2036,A2036)&gt;1,"Duplicate","Keep")</x:f>
        <x:v>Keep</x:v>
      </x:c>
      <x:c r="AF2036" s="84" t="str">
        <x:f>IF(OR(R2036&lt;=0,AC2036&lt;B2036,H2036="Unknown",M2036="Unknown Product"),"Review","Valid")</x:f>
        <x:v>Valid</x:v>
      </x:c>
      <x:c r="AG2036" s="84" t="n">
        <x:f>IF(AND(AE2036="Keep",AF2036="Valid"),1,0)</x:f>
        <x:v>1</x:v>
      </x:c>
      <x:c r="AH2036" s="84" t="n">
        <x:f>IF(AND(AG2036=1,OR('Dashboard'!$B$4="All",I2036='Dashboard'!$B$4),OR('Dashboard'!$E$4="All",N2036='Dashboard'!$E$4),OR('Dashboard'!$H$4="All",K2036='Dashboard'!$H$4),OR('Dashboard'!$K$4="All",C2036='Dashboard'!$K$4)),1,0)</x:f>
        <x:v>1</x:v>
      </x:c>
      <x:c r="AI2036" s="84" t="n">
        <x:f>IF(AND(AG2036=1,OR('Dashboard'!$B$4="All",I2036='Dashboard'!$B$4),OR('Dashboard'!$E$4="All",N2036='Dashboard'!$E$4),OR('Dashboard'!$H$4="All",K2036='Dashboard'!$H$4)),1,0)</x:f>
        <x:v>1</x:v>
      </x:c>
    </x:row>
    <x:row r="2037">
      <x:c r="A2037" s="84" t="str">
        <x:f>'Raw Sales'!A2037</x:f>
        <x:v>ORD-2025-00311</x:v>
      </x:c>
      <x:c r="B2037" s="85" t="n">
        <x:f>'Raw Sales'!B2037</x:f>
        <x:v>45946</x:v>
      </x:c>
      <x:c r="C2037" s="84" t="n">
        <x:f>YEAR(B2037)</x:f>
        <x:v>2025</x:v>
      </x:c>
      <x:c r="D2037" s="91" t="n">
        <x:f>DATE(YEAR(B2037),MONTH(B2037),1)</x:f>
        <x:v>45931</x:v>
      </x:c>
      <x:c r="E2037" s="84" t="str">
        <x:f>TEXT(B2037,"mmm")</x:f>
        <x:v>Oct</x:v>
      </x:c>
      <x:c r="F2037" s="84" t="str">
        <x:f>'Raw Sales'!C2037</x:f>
        <x:v>CUST-0469</x:v>
      </x:c>
      <x:c r="G2037" s="84" t="str">
        <x:f>PROPER(TRIM('Raw Sales'!D2037))</x:f>
        <x:v>Layla Evans</x:v>
      </x:c>
      <x:c r="H2037" s="84" t="str">
        <x:f>IF(TRIM('Raw Sales'!E2037)="","Unknown",PROPER(TRIM('Raw Sales'!E2037)))</x:f>
        <x:v>Corporate</x:v>
      </x:c>
      <x:c r="I2037" s="84" t="str">
        <x:f>PROPER(TRIM('Raw Sales'!F2037))</x:f>
        <x:v>Midwest</x:v>
      </x:c>
      <x:c r="J2037" s="84" t="str">
        <x:f>PROPER(TRIM('Raw Sales'!G2037))</x:f>
        <x:v>Minneapolis</x:v>
      </x:c>
      <x:c r="K2037" s="84" t="str">
        <x:f>PROPER(TRIM('Raw Sales'!H2037))</x:f>
        <x:v>Retail Store</x:v>
      </x:c>
      <x:c r="L2037" s="84" t="str">
        <x:f>'Raw Sales'!I2037</x:f>
        <x:v>ELEC-001</x:v>
      </x:c>
      <x:c r="M2037" s="84" t="str">
        <x:f>IFERROR(VLOOKUP(L2037,'Reference Data'!$A$5:$F$40,2,FALSE),"Unknown Product")</x:f>
        <x:v>Wireless Earbuds</x:v>
      </x:c>
      <x:c r="N2037" s="84" t="str">
        <x:f>IFERROR(VLOOKUP(L2037,'Reference Data'!$A$5:$F$40,3,FALSE),"Unknown")</x:f>
        <x:v>Electronics</x:v>
      </x:c>
      <x:c r="O2037" s="84" t="str">
        <x:f>IFERROR(VLOOKUP(L2037,'Reference Data'!$A$5:$F$40,4,FALSE),"Unknown")</x:f>
        <x:v>Audio</x:v>
      </x:c>
      <x:c r="P2037" s="92" t="n">
        <x:f>IFERROR(VLOOKUP(L2037,'Reference Data'!$A$5:$F$40,5,FALSE),0)</x:f>
        <x:v>69</x:v>
      </x:c>
      <x:c r="Q2037" s="92" t="n">
        <x:f>IFERROR(VLOOKUP(L2037,'Reference Data'!$A$5:$F$40,6,FALSE),0)</x:f>
        <x:v>36</x:v>
      </x:c>
      <x:c r="R2037" s="84" t="n">
        <x:f>'Raw Sales'!J2037</x:f>
        <x:v>8</x:v>
      </x:c>
      <x:c r="S2037" s="87" t="n">
        <x:f>'Raw Sales'!K2037</x:f>
        <x:v>0.1</x:v>
      </x:c>
      <x:c r="T2037" s="93" t="n">
        <x:f>P2037*R2037</x:f>
        <x:v>552</x:v>
      </x:c>
      <x:c r="U2037" s="93" t="n">
        <x:f>T2037*S2037</x:f>
        <x:v>55.2</x:v>
      </x:c>
      <x:c r="V2037" s="93" t="str">
        <x:f>PROPER(TRIM('Raw Sales'!L2037))</x:f>
        <x:v>Completed</x:v>
      </x:c>
      <x:c r="W2037" s="93" t="n">
        <x:f>IF(V2037="Returned",0,T2037-U2037)</x:f>
        <x:v>496.8</x:v>
      </x:c>
      <x:c r="X2037" s="93" t="n">
        <x:f>IF(V2037="Returned",Q2037*R2037*10%,Q2037*R2037)</x:f>
        <x:v>288</x:v>
      </x:c>
      <x:c r="Y2037" s="93" t="n">
        <x:f>W2037-X2037</x:f>
        <x:v>208.8</x:v>
      </x:c>
      <x:c r="Z2037" s="94" t="n">
        <x:f>IFERROR(Y2037/W2037,0)</x:f>
        <x:v>0.4202898550724638</x:v>
      </x:c>
      <x:c r="AA2037" s="84" t="str">
        <x:f>PROPER(TRIM('Raw Sales'!M2037))</x:f>
        <x:v>Mobile Wallet</x:v>
      </x:c>
      <x:c r="AB2037" s="84" t="str">
        <x:f>PROPER(TRIM('Raw Sales'!N2037))</x:f>
        <x:v>Emma Hayes</x:v>
      </x:c>
      <x:c r="AC2037" s="85" t="n">
        <x:f>'Raw Sales'!O2037</x:f>
        <x:v>45946</x:v>
      </x:c>
      <x:c r="AD2037" s="84" t="n">
        <x:f>AC2037-B2037</x:f>
        <x:v>0</x:v>
      </x:c>
      <x:c r="AE2037" s="84" t="str">
        <x:f>IF(COUNTIF($A$5:A2037,A2037)&gt;1,"Duplicate","Keep")</x:f>
        <x:v>Keep</x:v>
      </x:c>
      <x:c r="AF2037" s="84" t="str">
        <x:f>IF(OR(R2037&lt;=0,AC2037&lt;B2037,H2037="Unknown",M2037="Unknown Product"),"Review","Valid")</x:f>
        <x:v>Valid</x:v>
      </x:c>
      <x:c r="AG2037" s="84" t="n">
        <x:f>IF(AND(AE2037="Keep",AF2037="Valid"),1,0)</x:f>
        <x:v>1</x:v>
      </x:c>
      <x:c r="AH2037" s="84" t="n">
        <x:f>IF(AND(AG2037=1,OR('Dashboard'!$B$4="All",I2037='Dashboard'!$B$4),OR('Dashboard'!$E$4="All",N2037='Dashboard'!$E$4),OR('Dashboard'!$H$4="All",K2037='Dashboard'!$H$4),OR('Dashboard'!$K$4="All",C2037='Dashboard'!$K$4)),1,0)</x:f>
        <x:v>1</x:v>
      </x:c>
      <x:c r="AI2037" s="84" t="n">
        <x:f>IF(AND(AG2037=1,OR('Dashboard'!$B$4="All",I2037='Dashboard'!$B$4),OR('Dashboard'!$E$4="All",N2037='Dashboard'!$E$4),OR('Dashboard'!$H$4="All",K2037='Dashboard'!$H$4)),1,0)</x:f>
        <x:v>1</x:v>
      </x:c>
    </x:row>
    <x:row r="2038">
      <x:c r="A2038" s="84" t="str">
        <x:f>'Raw Sales'!A2038</x:f>
        <x:v>ORD-2025-01157</x:v>
      </x:c>
      <x:c r="B2038" s="85" t="n">
        <x:f>'Raw Sales'!B2038</x:f>
        <x:v>45946</x:v>
      </x:c>
      <x:c r="C2038" s="84" t="n">
        <x:f>YEAR(B2038)</x:f>
        <x:v>2025</x:v>
      </x:c>
      <x:c r="D2038" s="91" t="n">
        <x:f>DATE(YEAR(B2038),MONTH(B2038),1)</x:f>
        <x:v>45931</x:v>
      </x:c>
      <x:c r="E2038" s="84" t="str">
        <x:f>TEXT(B2038,"mmm")</x:f>
        <x:v>Oct</x:v>
      </x:c>
      <x:c r="F2038" s="84" t="str">
        <x:f>'Raw Sales'!C2038</x:f>
        <x:v>CUST-0400</x:v>
      </x:c>
      <x:c r="G2038" s="84" t="str">
        <x:f>PROPER(TRIM('Raw Sales'!D2038))</x:f>
        <x:v>Amelia Nelson</x:v>
      </x:c>
      <x:c r="H2038" s="84" t="str">
        <x:f>IF(TRIM('Raw Sales'!E2038)="","Unknown",PROPER(TRIM('Raw Sales'!E2038)))</x:f>
        <x:v>Consumer</x:v>
      </x:c>
      <x:c r="I2038" s="84" t="str">
        <x:f>PROPER(TRIM('Raw Sales'!F2038))</x:f>
        <x:v>Southeast</x:v>
      </x:c>
      <x:c r="J2038" s="84" t="str">
        <x:f>PROPER(TRIM('Raw Sales'!G2038))</x:f>
        <x:v>Nashville</x:v>
      </x:c>
      <x:c r="K2038" s="84" t="str">
        <x:f>PROPER(TRIM('Raw Sales'!H2038))</x:f>
        <x:v>Marketplace</x:v>
      </x:c>
      <x:c r="L2038" s="84" t="str">
        <x:f>'Raw Sales'!I2038</x:f>
        <x:v>ACCS-005</x:v>
      </x:c>
      <x:c r="M2038" s="84" t="str">
        <x:f>IFERROR(VLOOKUP(L2038,'Reference Data'!$A$5:$F$40,2,FALSE),"Unknown Product")</x:f>
        <x:v>Protective Phone Case</x:v>
      </x:c>
      <x:c r="N2038" s="84" t="str">
        <x:f>IFERROR(VLOOKUP(L2038,'Reference Data'!$A$5:$F$40,3,FALSE),"Unknown")</x:f>
        <x:v>Accessories</x:v>
      </x:c>
      <x:c r="O2038" s="84" t="str">
        <x:f>IFERROR(VLOOKUP(L2038,'Reference Data'!$A$5:$F$40,4,FALSE),"Unknown")</x:f>
        <x:v>Mobile Accessories</x:v>
      </x:c>
      <x:c r="P2038" s="92" t="n">
        <x:f>IFERROR(VLOOKUP(L2038,'Reference Data'!$A$5:$F$40,5,FALSE),0)</x:f>
        <x:v>24</x:v>
      </x:c>
      <x:c r="Q2038" s="92" t="n">
        <x:f>IFERROR(VLOOKUP(L2038,'Reference Data'!$A$5:$F$40,6,FALSE),0)</x:f>
        <x:v>5</x:v>
      </x:c>
      <x:c r="R2038" s="84" t="n">
        <x:f>'Raw Sales'!J2038</x:f>
        <x:v>2</x:v>
      </x:c>
      <x:c r="S2038" s="87" t="n">
        <x:f>'Raw Sales'!K2038</x:f>
        <x:v>0.1</x:v>
      </x:c>
      <x:c r="T2038" s="93" t="n">
        <x:f>P2038*R2038</x:f>
        <x:v>48</x:v>
      </x:c>
      <x:c r="U2038" s="93" t="n">
        <x:f>T2038*S2038</x:f>
        <x:v>4.800000000000001</x:v>
      </x:c>
      <x:c r="V2038" s="93" t="str">
        <x:f>PROPER(TRIM('Raw Sales'!L2038))</x:f>
        <x:v>Completed</x:v>
      </x:c>
      <x:c r="W2038" s="93" t="n">
        <x:f>IF(V2038="Returned",0,T2038-U2038)</x:f>
        <x:v>43.2</x:v>
      </x:c>
      <x:c r="X2038" s="93" t="n">
        <x:f>IF(V2038="Returned",Q2038*R2038*10%,Q2038*R2038)</x:f>
        <x:v>10</x:v>
      </x:c>
      <x:c r="Y2038" s="93" t="n">
        <x:f>W2038-X2038</x:f>
        <x:v>33.2</x:v>
      </x:c>
      <x:c r="Z2038" s="94" t="n">
        <x:f>IFERROR(Y2038/W2038,0)</x:f>
        <x:v>0.7685185185185185</x:v>
      </x:c>
      <x:c r="AA2038" s="84" t="str">
        <x:f>PROPER(TRIM('Raw Sales'!M2038))</x:f>
        <x:v>Credit Card</x:v>
      </x:c>
      <x:c r="AB2038" s="84" t="str">
        <x:f>PROPER(TRIM('Raw Sales'!N2038))</x:f>
        <x:v>Liam Parker</x:v>
      </x:c>
      <x:c r="AC2038" s="85" t="n">
        <x:f>'Raw Sales'!O2038</x:f>
        <x:v>45951</x:v>
      </x:c>
      <x:c r="AD2038" s="84" t="n">
        <x:f>AC2038-B2038</x:f>
        <x:v>5</x:v>
      </x:c>
      <x:c r="AE2038" s="84" t="str">
        <x:f>IF(COUNTIF($A$5:A2038,A2038)&gt;1,"Duplicate","Keep")</x:f>
        <x:v>Keep</x:v>
      </x:c>
      <x:c r="AF2038" s="84" t="str">
        <x:f>IF(OR(R2038&lt;=0,AC2038&lt;B2038,H2038="Unknown",M2038="Unknown Product"),"Review","Valid")</x:f>
        <x:v>Valid</x:v>
      </x:c>
      <x:c r="AG2038" s="84" t="n">
        <x:f>IF(AND(AE2038="Keep",AF2038="Valid"),1,0)</x:f>
        <x:v>1</x:v>
      </x:c>
      <x:c r="AH2038" s="84" t="n">
        <x:f>IF(AND(AG2038=1,OR('Dashboard'!$B$4="All",I2038='Dashboard'!$B$4),OR('Dashboard'!$E$4="All",N2038='Dashboard'!$E$4),OR('Dashboard'!$H$4="All",K2038='Dashboard'!$H$4),OR('Dashboard'!$K$4="All",C2038='Dashboard'!$K$4)),1,0)</x:f>
        <x:v>1</x:v>
      </x:c>
      <x:c r="AI2038" s="84" t="n">
        <x:f>IF(AND(AG2038=1,OR('Dashboard'!$B$4="All",I2038='Dashboard'!$B$4),OR('Dashboard'!$E$4="All",N2038='Dashboard'!$E$4),OR('Dashboard'!$H$4="All",K2038='Dashboard'!$H$4)),1,0)</x:f>
        <x:v>1</x:v>
      </x:c>
    </x:row>
    <x:row r="2039">
      <x:c r="A2039" s="84" t="str">
        <x:f>'Raw Sales'!A2039</x:f>
        <x:v>ORD-2025-01982</x:v>
      </x:c>
      <x:c r="B2039" s="85" t="n">
        <x:f>'Raw Sales'!B2039</x:f>
        <x:v>45946</x:v>
      </x:c>
      <x:c r="C2039" s="84" t="n">
        <x:f>YEAR(B2039)</x:f>
        <x:v>2025</x:v>
      </x:c>
      <x:c r="D2039" s="91" t="n">
        <x:f>DATE(YEAR(B2039),MONTH(B2039),1)</x:f>
        <x:v>45931</x:v>
      </x:c>
      <x:c r="E2039" s="84" t="str">
        <x:f>TEXT(B2039,"mmm")</x:f>
        <x:v>Oct</x:v>
      </x:c>
      <x:c r="F2039" s="84" t="str">
        <x:f>'Raw Sales'!C2039</x:f>
        <x:v>CUST-0466</x:v>
      </x:c>
      <x:c r="G2039" s="84" t="str">
        <x:f>PROPER(TRIM('Raw Sales'!D2039))</x:f>
        <x:v>Sara Young</x:v>
      </x:c>
      <x:c r="H2039" s="84" t="str">
        <x:f>IF(TRIM('Raw Sales'!E2039)="","Unknown",PROPER(TRIM('Raw Sales'!E2039)))</x:f>
        <x:v>Corporate</x:v>
      </x:c>
      <x:c r="I2039" s="84" t="str">
        <x:f>PROPER(TRIM('Raw Sales'!F2039))</x:f>
        <x:v>West</x:v>
      </x:c>
      <x:c r="J2039" s="84" t="str">
        <x:f>PROPER(TRIM('Raw Sales'!G2039))</x:f>
        <x:v>Los Angeles</x:v>
      </x:c>
      <x:c r="K2039" s="84" t="str">
        <x:f>PROPER(TRIM('Raw Sales'!H2039))</x:f>
        <x:v>Retail Store</x:v>
      </x:c>
      <x:c r="L2039" s="84" t="str">
        <x:f>'Raw Sales'!I2039</x:f>
        <x:v>CARE-006</x:v>
      </x:c>
      <x:c r="M2039" s="84" t="str">
        <x:f>IFERROR(VLOOKUP(L2039,'Reference Data'!$A$5:$F$40,2,FALSE),"Unknown Product")</x:f>
        <x:v>Percussion Massage Gun</x:v>
      </x:c>
      <x:c r="N2039" s="84" t="str">
        <x:f>IFERROR(VLOOKUP(L2039,'Reference Data'!$A$5:$F$40,3,FALSE),"Unknown")</x:f>
        <x:v>Personal Care</x:v>
      </x:c>
      <x:c r="O2039" s="84" t="str">
        <x:f>IFERROR(VLOOKUP(L2039,'Reference Data'!$A$5:$F$40,4,FALSE),"Unknown")</x:f>
        <x:v>Wellness</x:v>
      </x:c>
      <x:c r="P2039" s="92" t="n">
        <x:f>IFERROR(VLOOKUP(L2039,'Reference Data'!$A$5:$F$40,5,FALSE),0)</x:f>
        <x:v>129</x:v>
      </x:c>
      <x:c r="Q2039" s="92" t="n">
        <x:f>IFERROR(VLOOKUP(L2039,'Reference Data'!$A$5:$F$40,6,FALSE),0)</x:f>
        <x:v>70</x:v>
      </x:c>
      <x:c r="R2039" s="84" t="n">
        <x:f>'Raw Sales'!J2039</x:f>
        <x:v>8</x:v>
      </x:c>
      <x:c r="S2039" s="87" t="n">
        <x:f>'Raw Sales'!K2039</x:f>
        <x:v>0.2</x:v>
      </x:c>
      <x:c r="T2039" s="93" t="n">
        <x:f>P2039*R2039</x:f>
        <x:v>1032</x:v>
      </x:c>
      <x:c r="U2039" s="93" t="n">
        <x:f>T2039*S2039</x:f>
        <x:v>206.4</x:v>
      </x:c>
      <x:c r="V2039" s="93" t="str">
        <x:f>PROPER(TRIM('Raw Sales'!L2039))</x:f>
        <x:v>Completed</x:v>
      </x:c>
      <x:c r="W2039" s="93" t="n">
        <x:f>IF(V2039="Returned",0,T2039-U2039)</x:f>
        <x:v>825.6</x:v>
      </x:c>
      <x:c r="X2039" s="93" t="n">
        <x:f>IF(V2039="Returned",Q2039*R2039*10%,Q2039*R2039)</x:f>
        <x:v>560</x:v>
      </x:c>
      <x:c r="Y2039" s="93" t="n">
        <x:f>W2039-X2039</x:f>
        <x:v>265.6</x:v>
      </x:c>
      <x:c r="Z2039" s="94" t="n">
        <x:f>IFERROR(Y2039/W2039,0)</x:f>
        <x:v>0.32170542635658916</x:v>
      </x:c>
      <x:c r="AA2039" s="84" t="str">
        <x:f>PROPER(TRIM('Raw Sales'!M2039))</x:f>
        <x:v>Credit Card</x:v>
      </x:c>
      <x:c r="AB2039" s="84" t="str">
        <x:f>PROPER(TRIM('Raw Sales'!N2039))</x:f>
        <x:v>Leo Martinez</x:v>
      </x:c>
      <x:c r="AC2039" s="85" t="n">
        <x:f>'Raw Sales'!O2039</x:f>
        <x:v>45946</x:v>
      </x:c>
      <x:c r="AD2039" s="84" t="n">
        <x:f>AC2039-B2039</x:f>
        <x:v>0</x:v>
      </x:c>
      <x:c r="AE2039" s="84" t="str">
        <x:f>IF(COUNTIF($A$5:A2039,A2039)&gt;1,"Duplicate","Keep")</x:f>
        <x:v>Keep</x:v>
      </x:c>
      <x:c r="AF2039" s="84" t="str">
        <x:f>IF(OR(R2039&lt;=0,AC2039&lt;B2039,H2039="Unknown",M2039="Unknown Product"),"Review","Valid")</x:f>
        <x:v>Valid</x:v>
      </x:c>
      <x:c r="AG2039" s="84" t="n">
        <x:f>IF(AND(AE2039="Keep",AF2039="Valid"),1,0)</x:f>
        <x:v>1</x:v>
      </x:c>
      <x:c r="AH2039" s="84" t="n">
        <x:f>IF(AND(AG2039=1,OR('Dashboard'!$B$4="All",I2039='Dashboard'!$B$4),OR('Dashboard'!$E$4="All",N2039='Dashboard'!$E$4),OR('Dashboard'!$H$4="All",K2039='Dashboard'!$H$4),OR('Dashboard'!$K$4="All",C2039='Dashboard'!$K$4)),1,0)</x:f>
        <x:v>1</x:v>
      </x:c>
      <x:c r="AI2039" s="84" t="n">
        <x:f>IF(AND(AG2039=1,OR('Dashboard'!$B$4="All",I2039='Dashboard'!$B$4),OR('Dashboard'!$E$4="All",N2039='Dashboard'!$E$4),OR('Dashboard'!$H$4="All",K2039='Dashboard'!$H$4)),1,0)</x:f>
        <x:v>1</x:v>
      </x:c>
    </x:row>
    <x:row r="2040">
      <x:c r="A2040" s="84" t="str">
        <x:f>'Raw Sales'!A2040</x:f>
        <x:v>ORD-2025-00169</x:v>
      </x:c>
      <x:c r="B2040" s="85" t="n">
        <x:f>'Raw Sales'!B2040</x:f>
        <x:v>45947</x:v>
      </x:c>
      <x:c r="C2040" s="84" t="n">
        <x:f>YEAR(B2040)</x:f>
        <x:v>2025</x:v>
      </x:c>
      <x:c r="D2040" s="91" t="n">
        <x:f>DATE(YEAR(B2040),MONTH(B2040),1)</x:f>
        <x:v>45931</x:v>
      </x:c>
      <x:c r="E2040" s="84" t="str">
        <x:f>TEXT(B2040,"mmm")</x:f>
        <x:v>Oct</x:v>
      </x:c>
      <x:c r="F2040" s="84" t="str">
        <x:f>'Raw Sales'!C2040</x:f>
        <x:v>CUST-0400</x:v>
      </x:c>
      <x:c r="G2040" s="84" t="str">
        <x:f>PROPER(TRIM('Raw Sales'!D2040))</x:f>
        <x:v>Amelia Nelson</x:v>
      </x:c>
      <x:c r="H2040" s="84" t="str">
        <x:f>IF(TRIM('Raw Sales'!E2040)="","Unknown",PROPER(TRIM('Raw Sales'!E2040)))</x:f>
        <x:v>Consumer</x:v>
      </x:c>
      <x:c r="I2040" s="84" t="str">
        <x:f>PROPER(TRIM('Raw Sales'!F2040))</x:f>
        <x:v>Southeast</x:v>
      </x:c>
      <x:c r="J2040" s="84" t="str">
        <x:f>PROPER(TRIM('Raw Sales'!G2040))</x:f>
        <x:v>Nashville</x:v>
      </x:c>
      <x:c r="K2040" s="84" t="str">
        <x:f>PROPER(TRIM('Raw Sales'!H2040))</x:f>
        <x:v>Online</x:v>
      </x:c>
      <x:c r="L2040" s="84" t="str">
        <x:f>'Raw Sales'!I2040</x:f>
        <x:v>ELEC-006</x:v>
      </x:c>
      <x:c r="M2040" s="84" t="str">
        <x:f>IFERROR(VLOOKUP(L2040,'Reference Data'!$A$5:$F$40,2,FALSE),"Unknown Product")</x:f>
        <x:v>Portable SSD</x:v>
      </x:c>
      <x:c r="N2040" s="84" t="str">
        <x:f>IFERROR(VLOOKUP(L2040,'Reference Data'!$A$5:$F$40,3,FALSE),"Unknown")</x:f>
        <x:v>Electronics</x:v>
      </x:c>
      <x:c r="O2040" s="84" t="str">
        <x:f>IFERROR(VLOOKUP(L2040,'Reference Data'!$A$5:$F$40,4,FALSE),"Unknown")</x:f>
        <x:v>Storage</x:v>
      </x:c>
      <x:c r="P2040" s="92" t="n">
        <x:f>IFERROR(VLOOKUP(L2040,'Reference Data'!$A$5:$F$40,5,FALSE),0)</x:f>
        <x:v>129</x:v>
      </x:c>
      <x:c r="Q2040" s="92" t="n">
        <x:f>IFERROR(VLOOKUP(L2040,'Reference Data'!$A$5:$F$40,6,FALSE),0)</x:f>
        <x:v>75</x:v>
      </x:c>
      <x:c r="R2040" s="84" t="n">
        <x:f>'Raw Sales'!J2040</x:f>
        <x:v>1</x:v>
      </x:c>
      <x:c r="S2040" s="87" t="n">
        <x:f>'Raw Sales'!K2040</x:f>
        <x:v>0.15</x:v>
      </x:c>
      <x:c r="T2040" s="93" t="n">
        <x:f>P2040*R2040</x:f>
        <x:v>129</x:v>
      </x:c>
      <x:c r="U2040" s="93" t="n">
        <x:f>T2040*S2040</x:f>
        <x:v>19.349999999999998</x:v>
      </x:c>
      <x:c r="V2040" s="93" t="str">
        <x:f>PROPER(TRIM('Raw Sales'!L2040))</x:f>
        <x:v>Completed</x:v>
      </x:c>
      <x:c r="W2040" s="93" t="n">
        <x:f>IF(V2040="Returned",0,T2040-U2040)</x:f>
        <x:v>109.65</x:v>
      </x:c>
      <x:c r="X2040" s="93" t="n">
        <x:f>IF(V2040="Returned",Q2040*R2040*10%,Q2040*R2040)</x:f>
        <x:v>75</x:v>
      </x:c>
      <x:c r="Y2040" s="93" t="n">
        <x:f>W2040-X2040</x:f>
        <x:v>34.650000000000006</x:v>
      </x:c>
      <x:c r="Z2040" s="94" t="n">
        <x:f>IFERROR(Y2040/W2040,0)</x:f>
        <x:v>0.31600547195622436</x:v>
      </x:c>
      <x:c r="AA2040" s="84" t="str">
        <x:f>PROPER(TRIM('Raw Sales'!M2040))</x:f>
        <x:v>Debit Card</x:v>
      </x:c>
      <x:c r="AB2040" s="84" t="str">
        <x:f>PROPER(TRIM('Raw Sales'!N2040))</x:f>
        <x:v>Ava Mitchell</x:v>
      </x:c>
      <x:c r="AC2040" s="85" t="n">
        <x:f>'Raw Sales'!O2040</x:f>
        <x:v>45949</x:v>
      </x:c>
      <x:c r="AD2040" s="84" t="n">
        <x:f>AC2040-B2040</x:f>
        <x:v>2</x:v>
      </x:c>
      <x:c r="AE2040" s="84" t="str">
        <x:f>IF(COUNTIF($A$5:A2040,A2040)&gt;1,"Duplicate","Keep")</x:f>
        <x:v>Keep</x:v>
      </x:c>
      <x:c r="AF2040" s="84" t="str">
        <x:f>IF(OR(R2040&lt;=0,AC2040&lt;B2040,H2040="Unknown",M2040="Unknown Product"),"Review","Valid")</x:f>
        <x:v>Valid</x:v>
      </x:c>
      <x:c r="AG2040" s="84" t="n">
        <x:f>IF(AND(AE2040="Keep",AF2040="Valid"),1,0)</x:f>
        <x:v>1</x:v>
      </x:c>
      <x:c r="AH2040" s="84" t="n">
        <x:f>IF(AND(AG2040=1,OR('Dashboard'!$B$4="All",I2040='Dashboard'!$B$4),OR('Dashboard'!$E$4="All",N2040='Dashboard'!$E$4),OR('Dashboard'!$H$4="All",K2040='Dashboard'!$H$4),OR('Dashboard'!$K$4="All",C2040='Dashboard'!$K$4)),1,0)</x:f>
        <x:v>1</x:v>
      </x:c>
      <x:c r="AI2040" s="84" t="n">
        <x:f>IF(AND(AG2040=1,OR('Dashboard'!$B$4="All",I2040='Dashboard'!$B$4),OR('Dashboard'!$E$4="All",N2040='Dashboard'!$E$4),OR('Dashboard'!$H$4="All",K2040='Dashboard'!$H$4)),1,0)</x:f>
        <x:v>1</x:v>
      </x:c>
    </x:row>
    <x:row r="2041">
      <x:c r="A2041" s="84" t="str">
        <x:f>'Raw Sales'!A2041</x:f>
        <x:v>ORD-2025-01664</x:v>
      </x:c>
      <x:c r="B2041" s="85" t="n">
        <x:f>'Raw Sales'!B2041</x:f>
        <x:v>45947</x:v>
      </x:c>
      <x:c r="C2041" s="84" t="n">
        <x:f>YEAR(B2041)</x:f>
        <x:v>2025</x:v>
      </x:c>
      <x:c r="D2041" s="91" t="n">
        <x:f>DATE(YEAR(B2041),MONTH(B2041),1)</x:f>
        <x:v>45931</x:v>
      </x:c>
      <x:c r="E2041" s="84" t="str">
        <x:f>TEXT(B2041,"mmm")</x:f>
        <x:v>Oct</x:v>
      </x:c>
      <x:c r="F2041" s="84" t="str">
        <x:f>'Raw Sales'!C2041</x:f>
        <x:v>CUST-0621</x:v>
      </x:c>
      <x:c r="G2041" s="84" t="str">
        <x:f>PROPER(TRIM('Raw Sales'!D2041))</x:f>
        <x:v>Sara Hall</x:v>
      </x:c>
      <x:c r="H2041" s="84" t="str">
        <x:f>IF(TRIM('Raw Sales'!E2041)="","Unknown",PROPER(TRIM('Raw Sales'!E2041)))</x:f>
        <x:v>Consumer</x:v>
      </x:c>
      <x:c r="I2041" s="84" t="str">
        <x:f>PROPER(TRIM('Raw Sales'!F2041))</x:f>
        <x:v>Northeast</x:v>
      </x:c>
      <x:c r="J2041" s="84" t="str">
        <x:f>PROPER(TRIM('Raw Sales'!G2041))</x:f>
        <x:v>Philadelphia</x:v>
      </x:c>
      <x:c r="K2041" s="84" t="str">
        <x:f>PROPER(TRIM('Raw Sales'!H2041))</x:f>
        <x:v>Marketplace</x:v>
      </x:c>
      <x:c r="L2041" s="84" t="str">
        <x:f>'Raw Sales'!I2041</x:f>
        <x:v>OFFC-005</x:v>
      </x:c>
      <x:c r="M2041" s="84" t="str">
        <x:f>IFERROR(VLOOKUP(L2041,'Reference Data'!$A$5:$F$40,2,FALSE),"Unknown Product")</x:f>
        <x:v>Wireless Keyboard</x:v>
      </x:c>
      <x:c r="N2041" s="84" t="str">
        <x:f>IFERROR(VLOOKUP(L2041,'Reference Data'!$A$5:$F$40,3,FALSE),"Unknown")</x:f>
        <x:v>Office</x:v>
      </x:c>
      <x:c r="O2041" s="84" t="str">
        <x:f>IFERROR(VLOOKUP(L2041,'Reference Data'!$A$5:$F$40,4,FALSE),"Unknown")</x:f>
        <x:v>Computer Accessories</x:v>
      </x:c>
      <x:c r="P2041" s="92" t="n">
        <x:f>IFERROR(VLOOKUP(L2041,'Reference Data'!$A$5:$F$40,5,FALSE),0)</x:f>
        <x:v>59</x:v>
      </x:c>
      <x:c r="Q2041" s="92" t="n">
        <x:f>IFERROR(VLOOKUP(L2041,'Reference Data'!$A$5:$F$40,6,FALSE),0)</x:f>
        <x:v>28</x:v>
      </x:c>
      <x:c r="R2041" s="84" t="n">
        <x:f>'Raw Sales'!J2041</x:f>
        <x:v>3</x:v>
      </x:c>
      <x:c r="S2041" s="87" t="n">
        <x:f>'Raw Sales'!K2041</x:f>
        <x:v>0.2</x:v>
      </x:c>
      <x:c r="T2041" s="93" t="n">
        <x:f>P2041*R2041</x:f>
        <x:v>177</x:v>
      </x:c>
      <x:c r="U2041" s="93" t="n">
        <x:f>T2041*S2041</x:f>
        <x:v>35.4</x:v>
      </x:c>
      <x:c r="V2041" s="93" t="str">
        <x:f>PROPER(TRIM('Raw Sales'!L2041))</x:f>
        <x:v>Completed</x:v>
      </x:c>
      <x:c r="W2041" s="93" t="n">
        <x:f>IF(V2041="Returned",0,T2041-U2041)</x:f>
        <x:v>141.6</x:v>
      </x:c>
      <x:c r="X2041" s="93" t="n">
        <x:f>IF(V2041="Returned",Q2041*R2041*10%,Q2041*R2041)</x:f>
        <x:v>84</x:v>
      </x:c>
      <x:c r="Y2041" s="93" t="n">
        <x:f>W2041-X2041</x:f>
        <x:v>57.599999999999994</x:v>
      </x:c>
      <x:c r="Z2041" s="94" t="n">
        <x:f>IFERROR(Y2041/W2041,0)</x:f>
        <x:v>0.4067796610169491</x:v>
      </x:c>
      <x:c r="AA2041" s="84" t="str">
        <x:f>PROPER(TRIM('Raw Sales'!M2041))</x:f>
        <x:v>Debit Card</x:v>
      </x:c>
      <x:c r="AB2041" s="84" t="str">
        <x:f>PROPER(TRIM('Raw Sales'!N2041))</x:f>
        <x:v>Sofia Bennett</x:v>
      </x:c>
      <x:c r="AC2041" s="85" t="n">
        <x:f>'Raw Sales'!O2041</x:f>
        <x:v>45955</x:v>
      </x:c>
      <x:c r="AD2041" s="84" t="n">
        <x:f>AC2041-B2041</x:f>
        <x:v>8</x:v>
      </x:c>
      <x:c r="AE2041" s="84" t="str">
        <x:f>IF(COUNTIF($A$5:A2041,A2041)&gt;1,"Duplicate","Keep")</x:f>
        <x:v>Keep</x:v>
      </x:c>
      <x:c r="AF2041" s="84" t="str">
        <x:f>IF(OR(R2041&lt;=0,AC2041&lt;B2041,H2041="Unknown",M2041="Unknown Product"),"Review","Valid")</x:f>
        <x:v>Valid</x:v>
      </x:c>
      <x:c r="AG2041" s="84" t="n">
        <x:f>IF(AND(AE2041="Keep",AF2041="Valid"),1,0)</x:f>
        <x:v>1</x:v>
      </x:c>
      <x:c r="AH2041" s="84" t="n">
        <x:f>IF(AND(AG2041=1,OR('Dashboard'!$B$4="All",I2041='Dashboard'!$B$4),OR('Dashboard'!$E$4="All",N2041='Dashboard'!$E$4),OR('Dashboard'!$H$4="All",K2041='Dashboard'!$H$4),OR('Dashboard'!$K$4="All",C2041='Dashboard'!$K$4)),1,0)</x:f>
        <x:v>1</x:v>
      </x:c>
      <x:c r="AI2041" s="84" t="n">
        <x:f>IF(AND(AG2041=1,OR('Dashboard'!$B$4="All",I2041='Dashboard'!$B$4),OR('Dashboard'!$E$4="All",N2041='Dashboard'!$E$4),OR('Dashboard'!$H$4="All",K2041='Dashboard'!$H$4)),1,0)</x:f>
        <x:v>1</x:v>
      </x:c>
    </x:row>
    <x:row r="2042">
      <x:c r="A2042" s="84" t="str">
        <x:f>'Raw Sales'!A2042</x:f>
        <x:v>ORD-2025-01827</x:v>
      </x:c>
      <x:c r="B2042" s="85" t="n">
        <x:f>'Raw Sales'!B2042</x:f>
        <x:v>45947</x:v>
      </x:c>
      <x:c r="C2042" s="84" t="n">
        <x:f>YEAR(B2042)</x:f>
        <x:v>2025</x:v>
      </x:c>
      <x:c r="D2042" s="91" t="n">
        <x:f>DATE(YEAR(B2042),MONTH(B2042),1)</x:f>
        <x:v>45931</x:v>
      </x:c>
      <x:c r="E2042" s="84" t="str">
        <x:f>TEXT(B2042,"mmm")</x:f>
        <x:v>Oct</x:v>
      </x:c>
      <x:c r="F2042" s="84" t="str">
        <x:f>'Raw Sales'!C2042</x:f>
        <x:v>CUST-0441</x:v>
      </x:c>
      <x:c r="G2042" s="84" t="str">
        <x:f>PROPER(TRIM('Raw Sales'!D2042))</x:f>
        <x:v>Maya Roberts</x:v>
      </x:c>
      <x:c r="H2042" s="84" t="str">
        <x:f>IF(TRIM('Raw Sales'!E2042)="","Unknown",PROPER(TRIM('Raw Sales'!E2042)))</x:f>
        <x:v>Consumer</x:v>
      </x:c>
      <x:c r="I2042" s="84" t="str">
        <x:f>PROPER(TRIM('Raw Sales'!F2042))</x:f>
        <x:v>Southeast</x:v>
      </x:c>
      <x:c r="J2042" s="84" t="str">
        <x:f>PROPER(TRIM('Raw Sales'!G2042))</x:f>
        <x:v>Atlanta</x:v>
      </x:c>
      <x:c r="K2042" s="84" t="str">
        <x:f>PROPER(TRIM('Raw Sales'!H2042))</x:f>
        <x:v>Online</x:v>
      </x:c>
      <x:c r="L2042" s="84" t="str">
        <x:f>'Raw Sales'!I2042</x:f>
        <x:v>FITN-006</x:v>
      </x:c>
      <x:c r="M2042" s="84" t="str">
        <x:f>IFERROR(VLOOKUP(L2042,'Reference Data'!$A$5:$F$40,2,FALSE),"Unknown Product")</x:f>
        <x:v>Foam Roller</x:v>
      </x:c>
      <x:c r="N2042" s="84" t="str">
        <x:f>IFERROR(VLOOKUP(L2042,'Reference Data'!$A$5:$F$40,3,FALSE),"Unknown")</x:f>
        <x:v>Fitness</x:v>
      </x:c>
      <x:c r="O2042" s="84" t="str">
        <x:f>IFERROR(VLOOKUP(L2042,'Reference Data'!$A$5:$F$40,4,FALSE),"Unknown")</x:f>
        <x:v>Recovery</x:v>
      </x:c>
      <x:c r="P2042" s="92" t="n">
        <x:f>IFERROR(VLOOKUP(L2042,'Reference Data'!$A$5:$F$40,5,FALSE),0)</x:f>
        <x:v>31</x:v>
      </x:c>
      <x:c r="Q2042" s="92" t="n">
        <x:f>IFERROR(VLOOKUP(L2042,'Reference Data'!$A$5:$F$40,6,FALSE),0)</x:f>
        <x:v>12</x:v>
      </x:c>
      <x:c r="R2042" s="84" t="n">
        <x:f>'Raw Sales'!J2042</x:f>
        <x:v>4</x:v>
      </x:c>
      <x:c r="S2042" s="87" t="n">
        <x:f>'Raw Sales'!K2042</x:f>
        <x:v>0.1</x:v>
      </x:c>
      <x:c r="T2042" s="93" t="n">
        <x:f>P2042*R2042</x:f>
        <x:v>124</x:v>
      </x:c>
      <x:c r="U2042" s="93" t="n">
        <x:f>T2042*S2042</x:f>
        <x:v>12.4</x:v>
      </x:c>
      <x:c r="V2042" s="93" t="str">
        <x:f>PROPER(TRIM('Raw Sales'!L2042))</x:f>
        <x:v>Completed</x:v>
      </x:c>
      <x:c r="W2042" s="93" t="n">
        <x:f>IF(V2042="Returned",0,T2042-U2042)</x:f>
        <x:v>111.6</x:v>
      </x:c>
      <x:c r="X2042" s="93" t="n">
        <x:f>IF(V2042="Returned",Q2042*R2042*10%,Q2042*R2042)</x:f>
        <x:v>48</x:v>
      </x:c>
      <x:c r="Y2042" s="93" t="n">
        <x:f>W2042-X2042</x:f>
        <x:v>63.599999999999994</x:v>
      </x:c>
      <x:c r="Z2042" s="94" t="n">
        <x:f>IFERROR(Y2042/W2042,0)</x:f>
        <x:v>0.5698924731182795</x:v>
      </x:c>
      <x:c r="AA2042" s="84" t="str">
        <x:f>PROPER(TRIM('Raw Sales'!M2042))</x:f>
        <x:v>Debit Card</x:v>
      </x:c>
      <x:c r="AB2042" s="84" t="str">
        <x:f>PROPER(TRIM('Raw Sales'!N2042))</x:f>
        <x:v>Liam Parker</x:v>
      </x:c>
      <x:c r="AC2042" s="85" t="n">
        <x:f>'Raw Sales'!O2042</x:f>
        <x:v>45951</x:v>
      </x:c>
      <x:c r="AD2042" s="84" t="n">
        <x:f>AC2042-B2042</x:f>
        <x:v>4</x:v>
      </x:c>
      <x:c r="AE2042" s="84" t="str">
        <x:f>IF(COUNTIF($A$5:A2042,A2042)&gt;1,"Duplicate","Keep")</x:f>
        <x:v>Keep</x:v>
      </x:c>
      <x:c r="AF2042" s="84" t="str">
        <x:f>IF(OR(R2042&lt;=0,AC2042&lt;B2042,H2042="Unknown",M2042="Unknown Product"),"Review","Valid")</x:f>
        <x:v>Valid</x:v>
      </x:c>
      <x:c r="AG2042" s="84" t="n">
        <x:f>IF(AND(AE2042="Keep",AF2042="Valid"),1,0)</x:f>
        <x:v>1</x:v>
      </x:c>
      <x:c r="AH2042" s="84" t="n">
        <x:f>IF(AND(AG2042=1,OR('Dashboard'!$B$4="All",I2042='Dashboard'!$B$4),OR('Dashboard'!$E$4="All",N2042='Dashboard'!$E$4),OR('Dashboard'!$H$4="All",K2042='Dashboard'!$H$4),OR('Dashboard'!$K$4="All",C2042='Dashboard'!$K$4)),1,0)</x:f>
        <x:v>1</x:v>
      </x:c>
      <x:c r="AI2042" s="84" t="n">
        <x:f>IF(AND(AG2042=1,OR('Dashboard'!$B$4="All",I2042='Dashboard'!$B$4),OR('Dashboard'!$E$4="All",N2042='Dashboard'!$E$4),OR('Dashboard'!$H$4="All",K2042='Dashboard'!$H$4)),1,0)</x:f>
        <x:v>1</x:v>
      </x:c>
    </x:row>
    <x:row r="2043">
      <x:c r="A2043" s="84" t="str">
        <x:f>'Raw Sales'!A2043</x:f>
        <x:v>ORD-2025-02058</x:v>
      </x:c>
      <x:c r="B2043" s="85" t="n">
        <x:f>'Raw Sales'!B2043</x:f>
        <x:v>45947</x:v>
      </x:c>
      <x:c r="C2043" s="84" t="n">
        <x:f>YEAR(B2043)</x:f>
        <x:v>2025</x:v>
      </x:c>
      <x:c r="D2043" s="91" t="n">
        <x:f>DATE(YEAR(B2043),MONTH(B2043),1)</x:f>
        <x:v>45931</x:v>
      </x:c>
      <x:c r="E2043" s="84" t="str">
        <x:f>TEXT(B2043,"mmm")</x:f>
        <x:v>Oct</x:v>
      </x:c>
      <x:c r="F2043" s="84" t="str">
        <x:f>'Raw Sales'!C2043</x:f>
        <x:v>CUST-0097</x:v>
      </x:c>
      <x:c r="G2043" s="84" t="str">
        <x:f>PROPER(TRIM('Raw Sales'!D2043))</x:f>
        <x:v>Sara Ortiz</x:v>
      </x:c>
      <x:c r="H2043" s="84" t="str">
        <x:f>IF(TRIM('Raw Sales'!E2043)="","Unknown",PROPER(TRIM('Raw Sales'!E2043)))</x:f>
        <x:v>Corporate</x:v>
      </x:c>
      <x:c r="I2043" s="84" t="str">
        <x:f>PROPER(TRIM('Raw Sales'!F2043))</x:f>
        <x:v>Northeast</x:v>
      </x:c>
      <x:c r="J2043" s="84" t="str">
        <x:f>PROPER(TRIM('Raw Sales'!G2043))</x:f>
        <x:v>New York</x:v>
      </x:c>
      <x:c r="K2043" s="84" t="str">
        <x:f>PROPER(TRIM('Raw Sales'!H2043))</x:f>
        <x:v>Marketplace</x:v>
      </x:c>
      <x:c r="L2043" s="84" t="str">
        <x:f>'Raw Sales'!I2043</x:f>
        <x:v>OFFC-002</x:v>
      </x:c>
      <x:c r="M2043" s="84" t="str">
        <x:f>IFERROR(VLOOKUP(L2043,'Reference Data'!$A$5:$F$40,2,FALSE),"Unknown Product")</x:f>
        <x:v>Standing Desk</x:v>
      </x:c>
      <x:c r="N2043" s="84" t="str">
        <x:f>IFERROR(VLOOKUP(L2043,'Reference Data'!$A$5:$F$40,3,FALSE),"Unknown")</x:f>
        <x:v>Office</x:v>
      </x:c>
      <x:c r="O2043" s="84" t="str">
        <x:f>IFERROR(VLOOKUP(L2043,'Reference Data'!$A$5:$F$40,4,FALSE),"Unknown")</x:f>
        <x:v>Furniture</x:v>
      </x:c>
      <x:c r="P2043" s="92" t="n">
        <x:f>IFERROR(VLOOKUP(L2043,'Reference Data'!$A$5:$F$40,5,FALSE),0)</x:f>
        <x:v>399</x:v>
      </x:c>
      <x:c r="Q2043" s="92" t="n">
        <x:f>IFERROR(VLOOKUP(L2043,'Reference Data'!$A$5:$F$40,6,FALSE),0)</x:f>
        <x:v>235</x:v>
      </x:c>
      <x:c r="R2043" s="84" t="n">
        <x:f>'Raw Sales'!J2043</x:f>
        <x:v>2</x:v>
      </x:c>
      <x:c r="S2043" s="87" t="n">
        <x:f>'Raw Sales'!K2043</x:f>
        <x:v>0.1</x:v>
      </x:c>
      <x:c r="T2043" s="93" t="n">
        <x:f>P2043*R2043</x:f>
        <x:v>798</x:v>
      </x:c>
      <x:c r="U2043" s="93" t="n">
        <x:f>T2043*S2043</x:f>
        <x:v>79.80000000000001</x:v>
      </x:c>
      <x:c r="V2043" s="93" t="str">
        <x:f>PROPER(TRIM('Raw Sales'!L2043))</x:f>
        <x:v>Completed</x:v>
      </x:c>
      <x:c r="W2043" s="93" t="n">
        <x:f>IF(V2043="Returned",0,T2043-U2043)</x:f>
        <x:v>718.2</x:v>
      </x:c>
      <x:c r="X2043" s="93" t="n">
        <x:f>IF(V2043="Returned",Q2043*R2043*10%,Q2043*R2043)</x:f>
        <x:v>470</x:v>
      </x:c>
      <x:c r="Y2043" s="93" t="n">
        <x:f>W2043-X2043</x:f>
        <x:v>248.20000000000005</x:v>
      </x:c>
      <x:c r="Z2043" s="94" t="n">
        <x:f>IFERROR(Y2043/W2043,0)</x:f>
        <x:v>0.3455861876914509</x:v>
      </x:c>
      <x:c r="AA2043" s="84" t="str">
        <x:f>PROPER(TRIM('Raw Sales'!M2043))</x:f>
        <x:v>Credit Card</x:v>
      </x:c>
      <x:c r="AB2043" s="84" t="str">
        <x:f>PROPER(TRIM('Raw Sales'!N2043))</x:f>
        <x:v>Ethan Cole</x:v>
      </x:c>
      <x:c r="AC2043" s="85" t="n">
        <x:f>'Raw Sales'!O2043</x:f>
        <x:v>45951</x:v>
      </x:c>
      <x:c r="AD2043" s="84" t="n">
        <x:f>AC2043-B2043</x:f>
        <x:v>4</x:v>
      </x:c>
      <x:c r="AE2043" s="84" t="str">
        <x:f>IF(COUNTIF($A$5:A2043,A2043)&gt;1,"Duplicate","Keep")</x:f>
        <x:v>Keep</x:v>
      </x:c>
      <x:c r="AF2043" s="84" t="str">
        <x:f>IF(OR(R2043&lt;=0,AC2043&lt;B2043,H2043="Unknown",M2043="Unknown Product"),"Review","Valid")</x:f>
        <x:v>Valid</x:v>
      </x:c>
      <x:c r="AG2043" s="84" t="n">
        <x:f>IF(AND(AE2043="Keep",AF2043="Valid"),1,0)</x:f>
        <x:v>1</x:v>
      </x:c>
      <x:c r="AH2043" s="84" t="n">
        <x:f>IF(AND(AG2043=1,OR('Dashboard'!$B$4="All",I2043='Dashboard'!$B$4),OR('Dashboard'!$E$4="All",N2043='Dashboard'!$E$4),OR('Dashboard'!$H$4="All",K2043='Dashboard'!$H$4),OR('Dashboard'!$K$4="All",C2043='Dashboard'!$K$4)),1,0)</x:f>
        <x:v>1</x:v>
      </x:c>
      <x:c r="AI2043" s="84" t="n">
        <x:f>IF(AND(AG2043=1,OR('Dashboard'!$B$4="All",I2043='Dashboard'!$B$4),OR('Dashboard'!$E$4="All",N2043='Dashboard'!$E$4),OR('Dashboard'!$H$4="All",K2043='Dashboard'!$H$4)),1,0)</x:f>
        <x:v>1</x:v>
      </x:c>
    </x:row>
    <x:row r="2044">
      <x:c r="A2044" s="84" t="str">
        <x:f>'Raw Sales'!A2044</x:f>
        <x:v>ORD-2025-02102</x:v>
      </x:c>
      <x:c r="B2044" s="85" t="n">
        <x:f>'Raw Sales'!B2044</x:f>
        <x:v>45947</x:v>
      </x:c>
      <x:c r="C2044" s="84" t="n">
        <x:f>YEAR(B2044)</x:f>
        <x:v>2025</x:v>
      </x:c>
      <x:c r="D2044" s="91" t="n">
        <x:f>DATE(YEAR(B2044),MONTH(B2044),1)</x:f>
        <x:v>45931</x:v>
      </x:c>
      <x:c r="E2044" s="84" t="str">
        <x:f>TEXT(B2044,"mmm")</x:f>
        <x:v>Oct</x:v>
      </x:c>
      <x:c r="F2044" s="84" t="str">
        <x:f>'Raw Sales'!C2044</x:f>
        <x:v>CUST-0101</x:v>
      </x:c>
      <x:c r="G2044" s="84" t="str">
        <x:f>PROPER(TRIM('Raw Sales'!D2044))</x:f>
        <x:v>Jonah Patel</x:v>
      </x:c>
      <x:c r="H2044" s="84" t="str">
        <x:f>IF(TRIM('Raw Sales'!E2044)="","Unknown",PROPER(TRIM('Raw Sales'!E2044)))</x:f>
        <x:v>Consumer</x:v>
      </x:c>
      <x:c r="I2044" s="84" t="str">
        <x:f>PROPER(TRIM('Raw Sales'!F2044))</x:f>
        <x:v>Northeast</x:v>
      </x:c>
      <x:c r="J2044" s="84" t="str">
        <x:f>PROPER(TRIM('Raw Sales'!G2044))</x:f>
        <x:v>Boston</x:v>
      </x:c>
      <x:c r="K2044" s="84" t="str">
        <x:f>PROPER(TRIM('Raw Sales'!H2044))</x:f>
        <x:v>Marketplace</x:v>
      </x:c>
      <x:c r="L2044" s="84" t="str">
        <x:f>'Raw Sales'!I2044</x:f>
        <x:v>OFFC-006</x:v>
      </x:c>
      <x:c r="M2044" s="84" t="str">
        <x:f>IFERROR(VLOOKUP(L2044,'Reference Data'!$A$5:$F$40,2,FALSE),"Unknown Product")</x:f>
        <x:v>Monitor Stand</x:v>
      </x:c>
      <x:c r="N2044" s="84" t="str">
        <x:f>IFERROR(VLOOKUP(L2044,'Reference Data'!$A$5:$F$40,3,FALSE),"Unknown")</x:f>
        <x:v>Office</x:v>
      </x:c>
      <x:c r="O2044" s="84" t="str">
        <x:f>IFERROR(VLOOKUP(L2044,'Reference Data'!$A$5:$F$40,4,FALSE),"Unknown")</x:f>
        <x:v>Desk Accessories</x:v>
      </x:c>
      <x:c r="P2044" s="92" t="n">
        <x:f>IFERROR(VLOOKUP(L2044,'Reference Data'!$A$5:$F$40,5,FALSE),0)</x:f>
        <x:v>49</x:v>
      </x:c>
      <x:c r="Q2044" s="92" t="n">
        <x:f>IFERROR(VLOOKUP(L2044,'Reference Data'!$A$5:$F$40,6,FALSE),0)</x:f>
        <x:v>21</x:v>
      </x:c>
      <x:c r="R2044" s="84" t="n">
        <x:f>'Raw Sales'!J2044</x:f>
        <x:v>1</x:v>
      </x:c>
      <x:c r="S2044" s="87" t="n">
        <x:f>'Raw Sales'!K2044</x:f>
        <x:v>0.1</x:v>
      </x:c>
      <x:c r="T2044" s="93" t="n">
        <x:f>P2044*R2044</x:f>
        <x:v>49</x:v>
      </x:c>
      <x:c r="U2044" s="93" t="n">
        <x:f>T2044*S2044</x:f>
        <x:v>4.9</x:v>
      </x:c>
      <x:c r="V2044" s="93" t="str">
        <x:f>PROPER(TRIM('Raw Sales'!L2044))</x:f>
        <x:v>Completed</x:v>
      </x:c>
      <x:c r="W2044" s="93" t="n">
        <x:f>IF(V2044="Returned",0,T2044-U2044)</x:f>
        <x:v>44.1</x:v>
      </x:c>
      <x:c r="X2044" s="93" t="n">
        <x:f>IF(V2044="Returned",Q2044*R2044*10%,Q2044*R2044)</x:f>
        <x:v>21</x:v>
      </x:c>
      <x:c r="Y2044" s="93" t="n">
        <x:f>W2044-X2044</x:f>
        <x:v>23.1</x:v>
      </x:c>
      <x:c r="Z2044" s="94" t="n">
        <x:f>IFERROR(Y2044/W2044,0)</x:f>
        <x:v>0.5238095238095238</x:v>
      </x:c>
      <x:c r="AA2044" s="84" t="str">
        <x:f>PROPER(TRIM('Raw Sales'!M2044))</x:f>
        <x:v>Credit Card</x:v>
      </x:c>
      <x:c r="AB2044" s="84" t="str">
        <x:f>PROPER(TRIM('Raw Sales'!N2044))</x:f>
        <x:v>Sofia Bennett</x:v>
      </x:c>
      <x:c r="AC2044" s="85" t="n">
        <x:f>'Raw Sales'!O2044</x:f>
        <x:v>45950</x:v>
      </x:c>
      <x:c r="AD2044" s="84" t="n">
        <x:f>AC2044-B2044</x:f>
        <x:v>3</x:v>
      </x:c>
      <x:c r="AE2044" s="84" t="str">
        <x:f>IF(COUNTIF($A$5:A2044,A2044)&gt;1,"Duplicate","Keep")</x:f>
        <x:v>Keep</x:v>
      </x:c>
      <x:c r="AF2044" s="84" t="str">
        <x:f>IF(OR(R2044&lt;=0,AC2044&lt;B2044,H2044="Unknown",M2044="Unknown Product"),"Review","Valid")</x:f>
        <x:v>Valid</x:v>
      </x:c>
      <x:c r="AG2044" s="84" t="n">
        <x:f>IF(AND(AE2044="Keep",AF2044="Valid"),1,0)</x:f>
        <x:v>1</x:v>
      </x:c>
      <x:c r="AH2044" s="84" t="n">
        <x:f>IF(AND(AG2044=1,OR('Dashboard'!$B$4="All",I2044='Dashboard'!$B$4),OR('Dashboard'!$E$4="All",N2044='Dashboard'!$E$4),OR('Dashboard'!$H$4="All",K2044='Dashboard'!$H$4),OR('Dashboard'!$K$4="All",C2044='Dashboard'!$K$4)),1,0)</x:f>
        <x:v>1</x:v>
      </x:c>
      <x:c r="AI2044" s="84" t="n">
        <x:f>IF(AND(AG2044=1,OR('Dashboard'!$B$4="All",I2044='Dashboard'!$B$4),OR('Dashboard'!$E$4="All",N2044='Dashboard'!$E$4),OR('Dashboard'!$H$4="All",K2044='Dashboard'!$H$4)),1,0)</x:f>
        <x:v>1</x:v>
      </x:c>
    </x:row>
    <x:row r="2045">
      <x:c r="A2045" s="84" t="str">
        <x:f>'Raw Sales'!A2045</x:f>
        <x:v>ORD-2025-02111</x:v>
      </x:c>
      <x:c r="B2045" s="85" t="n">
        <x:f>'Raw Sales'!B2045</x:f>
        <x:v>45947</x:v>
      </x:c>
      <x:c r="C2045" s="84" t="n">
        <x:f>YEAR(B2045)</x:f>
        <x:v>2025</x:v>
      </x:c>
      <x:c r="D2045" s="91" t="n">
        <x:f>DATE(YEAR(B2045),MONTH(B2045),1)</x:f>
        <x:v>45931</x:v>
      </x:c>
      <x:c r="E2045" s="84" t="str">
        <x:f>TEXT(B2045,"mmm")</x:f>
        <x:v>Oct</x:v>
      </x:c>
      <x:c r="F2045" s="84" t="str">
        <x:f>'Raw Sales'!C2045</x:f>
        <x:v>CUST-0538</x:v>
      </x:c>
      <x:c r="G2045" s="84" t="str">
        <x:f>PROPER(TRIM('Raw Sales'!D2045))</x:f>
        <x:v>Elena Ortiz</x:v>
      </x:c>
      <x:c r="H2045" s="84" t="str">
        <x:f>IF(TRIM('Raw Sales'!E2045)="","Unknown",PROPER(TRIM('Raw Sales'!E2045)))</x:f>
        <x:v>Consumer</x:v>
      </x:c>
      <x:c r="I2045" s="84" t="str">
        <x:f>PROPER(TRIM('Raw Sales'!F2045))</x:f>
        <x:v>West</x:v>
      </x:c>
      <x:c r="J2045" s="84" t="str">
        <x:f>PROPER(TRIM('Raw Sales'!G2045))</x:f>
        <x:v>Seattle</x:v>
      </x:c>
      <x:c r="K2045" s="84" t="str">
        <x:f>PROPER(TRIM('Raw Sales'!H2045))</x:f>
        <x:v>Online</x:v>
      </x:c>
      <x:c r="L2045" s="84" t="str">
        <x:f>'Raw Sales'!I2045</x:f>
        <x:v>HOME-003</x:v>
      </x:c>
      <x:c r="M2045" s="84" t="str">
        <x:f>IFERROR(VLOOKUP(L2045,'Reference Data'!$A$5:$F$40,2,FALSE),"Unknown Product")</x:f>
        <x:v>Countertop Blender</x:v>
      </x:c>
      <x:c r="N2045" s="84" t="str">
        <x:f>IFERROR(VLOOKUP(L2045,'Reference Data'!$A$5:$F$40,3,FALSE),"Unknown")</x:f>
        <x:v>Home &amp; Kitchen</x:v>
      </x:c>
      <x:c r="O2045" s="84" t="str">
        <x:f>IFERROR(VLOOKUP(L2045,'Reference Data'!$A$5:$F$40,4,FALSE),"Unknown")</x:f>
        <x:v>Small Appliances</x:v>
      </x:c>
      <x:c r="P2045" s="92" t="n">
        <x:f>IFERROR(VLOOKUP(L2045,'Reference Data'!$A$5:$F$40,5,FALSE),0)</x:f>
        <x:v>89</x:v>
      </x:c>
      <x:c r="Q2045" s="92" t="n">
        <x:f>IFERROR(VLOOKUP(L2045,'Reference Data'!$A$5:$F$40,6,FALSE),0)</x:f>
        <x:v>46</x:v>
      </x:c>
      <x:c r="R2045" s="84" t="n">
        <x:f>'Raw Sales'!J2045</x:f>
        <x:v>1</x:v>
      </x:c>
      <x:c r="S2045" s="87" t="n">
        <x:f>'Raw Sales'!K2045</x:f>
        <x:v>0.05</x:v>
      </x:c>
      <x:c r="T2045" s="93" t="n">
        <x:f>P2045*R2045</x:f>
        <x:v>89</x:v>
      </x:c>
      <x:c r="U2045" s="93" t="n">
        <x:f>T2045*S2045</x:f>
        <x:v>4.45</x:v>
      </x:c>
      <x:c r="V2045" s="93" t="str">
        <x:f>PROPER(TRIM('Raw Sales'!L2045))</x:f>
        <x:v>Returned</x:v>
      </x:c>
      <x:c r="W2045" s="93" t="n">
        <x:f>IF(V2045="Returned",0,T2045-U2045)</x:f>
        <x:v>0</x:v>
      </x:c>
      <x:c r="X2045" s="93" t="n">
        <x:f>IF(V2045="Returned",Q2045*R2045*10%,Q2045*R2045)</x:f>
        <x:v>4.6000000000000005</x:v>
      </x:c>
      <x:c r="Y2045" s="93" t="n">
        <x:f>W2045-X2045</x:f>
        <x:v>-4.6000000000000005</x:v>
      </x:c>
      <x:c r="Z2045" s="94" t="n">
        <x:f>IFERROR(Y2045/W2045,0)</x:f>
        <x:v>0</x:v>
      </x:c>
      <x:c r="AA2045" s="84" t="str">
        <x:f>PROPER(TRIM('Raw Sales'!M2045))</x:f>
        <x:v>Paypal</x:v>
      </x:c>
      <x:c r="AB2045" s="84" t="str">
        <x:f>PROPER(TRIM('Raw Sales'!N2045))</x:f>
        <x:v>Mia Chen</x:v>
      </x:c>
      <x:c r="AC2045" s="85" t="n">
        <x:f>'Raw Sales'!O2045</x:f>
        <x:v>45952</x:v>
      </x:c>
      <x:c r="AD2045" s="84" t="n">
        <x:f>AC2045-B2045</x:f>
        <x:v>5</x:v>
      </x:c>
      <x:c r="AE2045" s="84" t="str">
        <x:f>IF(COUNTIF($A$5:A2045,A2045)&gt;1,"Duplicate","Keep")</x:f>
        <x:v>Keep</x:v>
      </x:c>
      <x:c r="AF2045" s="84" t="str">
        <x:f>IF(OR(R2045&lt;=0,AC2045&lt;B2045,H2045="Unknown",M2045="Unknown Product"),"Review","Valid")</x:f>
        <x:v>Valid</x:v>
      </x:c>
      <x:c r="AG2045" s="84" t="n">
        <x:f>IF(AND(AE2045="Keep",AF2045="Valid"),1,0)</x:f>
        <x:v>1</x:v>
      </x:c>
      <x:c r="AH2045" s="84" t="n">
        <x:f>IF(AND(AG2045=1,OR('Dashboard'!$B$4="All",I2045='Dashboard'!$B$4),OR('Dashboard'!$E$4="All",N2045='Dashboard'!$E$4),OR('Dashboard'!$H$4="All",K2045='Dashboard'!$H$4),OR('Dashboard'!$K$4="All",C2045='Dashboard'!$K$4)),1,0)</x:f>
        <x:v>1</x:v>
      </x:c>
      <x:c r="AI2045" s="84" t="n">
        <x:f>IF(AND(AG2045=1,OR('Dashboard'!$B$4="All",I2045='Dashboard'!$B$4),OR('Dashboard'!$E$4="All",N2045='Dashboard'!$E$4),OR('Dashboard'!$H$4="All",K2045='Dashboard'!$H$4)),1,0)</x:f>
        <x:v>1</x:v>
      </x:c>
    </x:row>
    <x:row r="2046">
      <x:c r="A2046" s="84" t="str">
        <x:f>'Raw Sales'!A2046</x:f>
        <x:v>ORD-2025-02086</x:v>
      </x:c>
      <x:c r="B2046" s="85" t="n">
        <x:f>'Raw Sales'!B2046</x:f>
        <x:v>45948</x:v>
      </x:c>
      <x:c r="C2046" s="84" t="n">
        <x:f>YEAR(B2046)</x:f>
        <x:v>2025</x:v>
      </x:c>
      <x:c r="D2046" s="91" t="n">
        <x:f>DATE(YEAR(B2046),MONTH(B2046),1)</x:f>
        <x:v>45931</x:v>
      </x:c>
      <x:c r="E2046" s="84" t="str">
        <x:f>TEXT(B2046,"mmm")</x:f>
        <x:v>Oct</x:v>
      </x:c>
      <x:c r="F2046" s="84" t="str">
        <x:f>'Raw Sales'!C2046</x:f>
        <x:v>CUST-0121</x:v>
      </x:c>
      <x:c r="G2046" s="84" t="str">
        <x:f>PROPER(TRIM('Raw Sales'!D2046))</x:f>
        <x:v>Zara Patel</x:v>
      </x:c>
      <x:c r="H2046" s="84" t="str">
        <x:f>IF(TRIM('Raw Sales'!E2046)="","Unknown",PROPER(TRIM('Raw Sales'!E2046)))</x:f>
        <x:v>Corporate</x:v>
      </x:c>
      <x:c r="I2046" s="84" t="str">
        <x:f>PROPER(TRIM('Raw Sales'!F2046))</x:f>
        <x:v>West</x:v>
      </x:c>
      <x:c r="J2046" s="84" t="str">
        <x:f>PROPER(TRIM('Raw Sales'!G2046))</x:f>
        <x:v>Denver</x:v>
      </x:c>
      <x:c r="K2046" s="84" t="str">
        <x:f>PROPER(TRIM('Raw Sales'!H2046))</x:f>
        <x:v>Marketplace</x:v>
      </x:c>
      <x:c r="L2046" s="84" t="str">
        <x:f>'Raw Sales'!I2046</x:f>
        <x:v>FITN-005</x:v>
      </x:c>
      <x:c r="M2046" s="84" t="str">
        <x:f>IFERROR(VLOOKUP(L2046,'Reference Data'!$A$5:$F$40,2,FALSE),"Unknown Product")</x:f>
        <x:v>Sports Water Bottle</x:v>
      </x:c>
      <x:c r="N2046" s="84" t="str">
        <x:f>IFERROR(VLOOKUP(L2046,'Reference Data'!$A$5:$F$40,3,FALSE),"Unknown")</x:f>
        <x:v>Fitness</x:v>
      </x:c>
      <x:c r="O2046" s="84" t="str">
        <x:f>IFERROR(VLOOKUP(L2046,'Reference Data'!$A$5:$F$40,4,FALSE),"Unknown")</x:f>
        <x:v>Accessories</x:v>
      </x:c>
      <x:c r="P2046" s="92" t="n">
        <x:f>IFERROR(VLOOKUP(L2046,'Reference Data'!$A$5:$F$40,5,FALSE),0)</x:f>
        <x:v>22</x:v>
      </x:c>
      <x:c r="Q2046" s="92" t="n">
        <x:f>IFERROR(VLOOKUP(L2046,'Reference Data'!$A$5:$F$40,6,FALSE),0)</x:f>
        <x:v>7</x:v>
      </x:c>
      <x:c r="R2046" s="84" t="n">
        <x:f>'Raw Sales'!J2046</x:f>
        <x:v>2</x:v>
      </x:c>
      <x:c r="S2046" s="87" t="n">
        <x:f>'Raw Sales'!K2046</x:f>
        <x:v>0.1</x:v>
      </x:c>
      <x:c r="T2046" s="93" t="n">
        <x:f>P2046*R2046</x:f>
        <x:v>44</x:v>
      </x:c>
      <x:c r="U2046" s="93" t="n">
        <x:f>T2046*S2046</x:f>
        <x:v>4.4</x:v>
      </x:c>
      <x:c r="V2046" s="93" t="str">
        <x:f>PROPER(TRIM('Raw Sales'!L2046))</x:f>
        <x:v>Completed</x:v>
      </x:c>
      <x:c r="W2046" s="93" t="n">
        <x:f>IF(V2046="Returned",0,T2046-U2046)</x:f>
        <x:v>39.6</x:v>
      </x:c>
      <x:c r="X2046" s="93" t="n">
        <x:f>IF(V2046="Returned",Q2046*R2046*10%,Q2046*R2046)</x:f>
        <x:v>14</x:v>
      </x:c>
      <x:c r="Y2046" s="93" t="n">
        <x:f>W2046-X2046</x:f>
        <x:v>25.6</x:v>
      </x:c>
      <x:c r="Z2046" s="94" t="n">
        <x:f>IFERROR(Y2046/W2046,0)</x:f>
        <x:v>0.6464646464646465</x:v>
      </x:c>
      <x:c r="AA2046" s="84" t="str">
        <x:f>PROPER(TRIM('Raw Sales'!M2046))</x:f>
        <x:v>Debit Card</x:v>
      </x:c>
      <x:c r="AB2046" s="84" t="str">
        <x:f>PROPER(TRIM('Raw Sales'!N2046))</x:f>
        <x:v>Leo Martinez</x:v>
      </x:c>
      <x:c r="AC2046" s="85" t="n">
        <x:f>'Raw Sales'!O2046</x:f>
        <x:v>45955</x:v>
      </x:c>
      <x:c r="AD2046" s="84" t="n">
        <x:f>AC2046-B2046</x:f>
        <x:v>7</x:v>
      </x:c>
      <x:c r="AE2046" s="84" t="str">
        <x:f>IF(COUNTIF($A$5:A2046,A2046)&gt;1,"Duplicate","Keep")</x:f>
        <x:v>Keep</x:v>
      </x:c>
      <x:c r="AF2046" s="84" t="str">
        <x:f>IF(OR(R2046&lt;=0,AC2046&lt;B2046,H2046="Unknown",M2046="Unknown Product"),"Review","Valid")</x:f>
        <x:v>Valid</x:v>
      </x:c>
      <x:c r="AG2046" s="84" t="n">
        <x:f>IF(AND(AE2046="Keep",AF2046="Valid"),1,0)</x:f>
        <x:v>1</x:v>
      </x:c>
      <x:c r="AH2046" s="84" t="n">
        <x:f>IF(AND(AG2046=1,OR('Dashboard'!$B$4="All",I2046='Dashboard'!$B$4),OR('Dashboard'!$E$4="All",N2046='Dashboard'!$E$4),OR('Dashboard'!$H$4="All",K2046='Dashboard'!$H$4),OR('Dashboard'!$K$4="All",C2046='Dashboard'!$K$4)),1,0)</x:f>
        <x:v>1</x:v>
      </x:c>
      <x:c r="AI2046" s="84" t="n">
        <x:f>IF(AND(AG2046=1,OR('Dashboard'!$B$4="All",I2046='Dashboard'!$B$4),OR('Dashboard'!$E$4="All",N2046='Dashboard'!$E$4),OR('Dashboard'!$H$4="All",K2046='Dashboard'!$H$4)),1,0)</x:f>
        <x:v>1</x:v>
      </x:c>
    </x:row>
    <x:row r="2047">
      <x:c r="A2047" s="84" t="str">
        <x:f>'Raw Sales'!A2047</x:f>
        <x:v>ORD-2025-02097</x:v>
      </x:c>
      <x:c r="B2047" s="85" t="n">
        <x:f>'Raw Sales'!B2047</x:f>
        <x:v>45948</x:v>
      </x:c>
      <x:c r="C2047" s="84" t="n">
        <x:f>YEAR(B2047)</x:f>
        <x:v>2025</x:v>
      </x:c>
      <x:c r="D2047" s="91" t="n">
        <x:f>DATE(YEAR(B2047),MONTH(B2047),1)</x:f>
        <x:v>45931</x:v>
      </x:c>
      <x:c r="E2047" s="84" t="str">
        <x:f>TEXT(B2047,"mmm")</x:f>
        <x:v>Oct</x:v>
      </x:c>
      <x:c r="F2047" s="84" t="str">
        <x:f>'Raw Sales'!C2047</x:f>
        <x:v>CUST-0274</x:v>
      </x:c>
      <x:c r="G2047" s="84" t="str">
        <x:f>PROPER(TRIM('Raw Sales'!D2047))</x:f>
        <x:v>Daniel Nelson</x:v>
      </x:c>
      <x:c r="H2047" s="84" t="str">
        <x:f>IF(TRIM('Raw Sales'!E2047)="","Unknown",PROPER(TRIM('Raw Sales'!E2047)))</x:f>
        <x:v>Corporate</x:v>
      </x:c>
      <x:c r="I2047" s="84" t="str">
        <x:f>PROPER(TRIM('Raw Sales'!F2047))</x:f>
        <x:v>Northeast</x:v>
      </x:c>
      <x:c r="J2047" s="84" t="str">
        <x:f>PROPER(TRIM('Raw Sales'!G2047))</x:f>
        <x:v>Boston</x:v>
      </x:c>
      <x:c r="K2047" s="84" t="str">
        <x:f>PROPER(TRIM('Raw Sales'!H2047))</x:f>
        <x:v>Retail Store</x:v>
      </x:c>
      <x:c r="L2047" s="84" t="str">
        <x:f>'Raw Sales'!I2047</x:f>
        <x:v>ELEC-005</x:v>
      </x:c>
      <x:c r="M2047" s="84" t="str">
        <x:f>IFERROR(VLOOKUP(L2047,'Reference Data'!$A$5:$F$40,2,FALSE),"Unknown Product")</x:f>
        <x:v>HD Webcam</x:v>
      </x:c>
      <x:c r="N2047" s="84" t="str">
        <x:f>IFERROR(VLOOKUP(L2047,'Reference Data'!$A$5:$F$40,3,FALSE),"Unknown")</x:f>
        <x:v>Electronics</x:v>
      </x:c>
      <x:c r="O2047" s="84" t="str">
        <x:f>IFERROR(VLOOKUP(L2047,'Reference Data'!$A$5:$F$40,4,FALSE),"Unknown")</x:f>
        <x:v>Computer Accessories</x:v>
      </x:c>
      <x:c r="P2047" s="92" t="n">
        <x:f>IFERROR(VLOOKUP(L2047,'Reference Data'!$A$5:$F$40,5,FALSE),0)</x:f>
        <x:v>79</x:v>
      </x:c>
      <x:c r="Q2047" s="92" t="n">
        <x:f>IFERROR(VLOOKUP(L2047,'Reference Data'!$A$5:$F$40,6,FALSE),0)</x:f>
        <x:v>37</x:v>
      </x:c>
      <x:c r="R2047" s="84" t="n">
        <x:f>'Raw Sales'!J2047</x:f>
        <x:v>2</x:v>
      </x:c>
      <x:c r="S2047" s="87" t="n">
        <x:f>'Raw Sales'!K2047</x:f>
        <x:v>0.05</x:v>
      </x:c>
      <x:c r="T2047" s="93" t="n">
        <x:f>P2047*R2047</x:f>
        <x:v>158</x:v>
      </x:c>
      <x:c r="U2047" s="93" t="n">
        <x:f>T2047*S2047</x:f>
        <x:v>7.9</x:v>
      </x:c>
      <x:c r="V2047" s="93" t="str">
        <x:f>PROPER(TRIM('Raw Sales'!L2047))</x:f>
        <x:v>Completed</x:v>
      </x:c>
      <x:c r="W2047" s="93" t="n">
        <x:f>IF(V2047="Returned",0,T2047-U2047)</x:f>
        <x:v>150.1</x:v>
      </x:c>
      <x:c r="X2047" s="93" t="n">
        <x:f>IF(V2047="Returned",Q2047*R2047*10%,Q2047*R2047)</x:f>
        <x:v>74</x:v>
      </x:c>
      <x:c r="Y2047" s="93" t="n">
        <x:f>W2047-X2047</x:f>
        <x:v>76.1</x:v>
      </x:c>
      <x:c r="Z2047" s="94" t="n">
        <x:f>IFERROR(Y2047/W2047,0)</x:f>
        <x:v>0.5069953364423717</x:v>
      </x:c>
      <x:c r="AA2047" s="84" t="str">
        <x:f>PROPER(TRIM('Raw Sales'!M2047))</x:f>
        <x:v>Credit Card</x:v>
      </x:c>
      <x:c r="AB2047" s="84" t="str">
        <x:f>PROPER(TRIM('Raw Sales'!N2047))</x:f>
        <x:v>Sofia Bennett</x:v>
      </x:c>
      <x:c r="AC2047" s="85" t="n">
        <x:f>'Raw Sales'!O2047</x:f>
        <x:v>45948</x:v>
      </x:c>
      <x:c r="AD2047" s="84" t="n">
        <x:f>AC2047-B2047</x:f>
        <x:v>0</x:v>
      </x:c>
      <x:c r="AE2047" s="84" t="str">
        <x:f>IF(COUNTIF($A$5:A2047,A2047)&gt;1,"Duplicate","Keep")</x:f>
        <x:v>Keep</x:v>
      </x:c>
      <x:c r="AF2047" s="84" t="str">
        <x:f>IF(OR(R2047&lt;=0,AC2047&lt;B2047,H2047="Unknown",M2047="Unknown Product"),"Review","Valid")</x:f>
        <x:v>Valid</x:v>
      </x:c>
      <x:c r="AG2047" s="84" t="n">
        <x:f>IF(AND(AE2047="Keep",AF2047="Valid"),1,0)</x:f>
        <x:v>1</x:v>
      </x:c>
      <x:c r="AH2047" s="84" t="n">
        <x:f>IF(AND(AG2047=1,OR('Dashboard'!$B$4="All",I2047='Dashboard'!$B$4),OR('Dashboard'!$E$4="All",N2047='Dashboard'!$E$4),OR('Dashboard'!$H$4="All",K2047='Dashboard'!$H$4),OR('Dashboard'!$K$4="All",C2047='Dashboard'!$K$4)),1,0)</x:f>
        <x:v>1</x:v>
      </x:c>
      <x:c r="AI2047" s="84" t="n">
        <x:f>IF(AND(AG2047=1,OR('Dashboard'!$B$4="All",I2047='Dashboard'!$B$4),OR('Dashboard'!$E$4="All",N2047='Dashboard'!$E$4),OR('Dashboard'!$H$4="All",K2047='Dashboard'!$H$4)),1,0)</x:f>
        <x:v>1</x:v>
      </x:c>
    </x:row>
    <x:row r="2048">
      <x:c r="A2048" s="84" t="str">
        <x:f>'Raw Sales'!A2048</x:f>
        <x:v>ORD-2025-02227</x:v>
      </x:c>
      <x:c r="B2048" s="85" t="n">
        <x:f>'Raw Sales'!B2048</x:f>
        <x:v>45948</x:v>
      </x:c>
      <x:c r="C2048" s="84" t="n">
        <x:f>YEAR(B2048)</x:f>
        <x:v>2025</x:v>
      </x:c>
      <x:c r="D2048" s="91" t="n">
        <x:f>DATE(YEAR(B2048),MONTH(B2048),1)</x:f>
        <x:v>45931</x:v>
      </x:c>
      <x:c r="E2048" s="84" t="str">
        <x:f>TEXT(B2048,"mmm")</x:f>
        <x:v>Oct</x:v>
      </x:c>
      <x:c r="F2048" s="84" t="str">
        <x:f>'Raw Sales'!C2048</x:f>
        <x:v>CUST-0444</x:v>
      </x:c>
      <x:c r="G2048" s="84" t="str">
        <x:f>PROPER(TRIM('Raw Sales'!D2048))</x:f>
        <x:v>Amelia Walker</x:v>
      </x:c>
      <x:c r="H2048" s="84" t="str">
        <x:f>IF(TRIM('Raw Sales'!E2048)="","Unknown",PROPER(TRIM('Raw Sales'!E2048)))</x:f>
        <x:v>Consumer</x:v>
      </x:c>
      <x:c r="I2048" s="84" t="str">
        <x:f>PROPER(TRIM('Raw Sales'!F2048))</x:f>
        <x:v>Northeast</x:v>
      </x:c>
      <x:c r="J2048" s="84" t="str">
        <x:f>PROPER(TRIM('Raw Sales'!G2048))</x:f>
        <x:v>Philadelphia</x:v>
      </x:c>
      <x:c r="K2048" s="84" t="str">
        <x:f>PROPER(TRIM('Raw Sales'!H2048))</x:f>
        <x:v>Retail Store</x:v>
      </x:c>
      <x:c r="L2048" s="84" t="str">
        <x:f>'Raw Sales'!I2048</x:f>
        <x:v>ACCS-004</x:v>
      </x:c>
      <x:c r="M2048" s="84" t="str">
        <x:f>IFERROR(VLOOKUP(L2048,'Reference Data'!$A$5:$F$40,2,FALSE),"Unknown Product")</x:f>
        <x:v>Leather Wallet</x:v>
      </x:c>
      <x:c r="N2048" s="84" t="str">
        <x:f>IFERROR(VLOOKUP(L2048,'Reference Data'!$A$5:$F$40,3,FALSE),"Unknown")</x:f>
        <x:v>Accessories</x:v>
      </x:c>
      <x:c r="O2048" s="84" t="str">
        <x:f>IFERROR(VLOOKUP(L2048,'Reference Data'!$A$5:$F$40,4,FALSE),"Unknown")</x:f>
        <x:v>Wallets</x:v>
      </x:c>
      <x:c r="P2048" s="92" t="n">
        <x:f>IFERROR(VLOOKUP(L2048,'Reference Data'!$A$5:$F$40,5,FALSE),0)</x:f>
        <x:v>49</x:v>
      </x:c>
      <x:c r="Q2048" s="92" t="n">
        <x:f>IFERROR(VLOOKUP(L2048,'Reference Data'!$A$5:$F$40,6,FALSE),0)</x:f>
        <x:v>18</x:v>
      </x:c>
      <x:c r="R2048" s="84" t="n">
        <x:f>'Raw Sales'!J2048</x:f>
        <x:v>1</x:v>
      </x:c>
      <x:c r="S2048" s="87" t="n">
        <x:f>'Raw Sales'!K2048</x:f>
        <x:v>0</x:v>
      </x:c>
      <x:c r="T2048" s="93" t="n">
        <x:f>P2048*R2048</x:f>
        <x:v>49</x:v>
      </x:c>
      <x:c r="U2048" s="93" t="n">
        <x:f>T2048*S2048</x:f>
        <x:v>0</x:v>
      </x:c>
      <x:c r="V2048" s="93" t="str">
        <x:f>PROPER(TRIM('Raw Sales'!L2048))</x:f>
        <x:v>Completed</x:v>
      </x:c>
      <x:c r="W2048" s="93" t="n">
        <x:f>IF(V2048="Returned",0,T2048-U2048)</x:f>
        <x:v>49</x:v>
      </x:c>
      <x:c r="X2048" s="93" t="n">
        <x:f>IF(V2048="Returned",Q2048*R2048*10%,Q2048*R2048)</x:f>
        <x:v>18</x:v>
      </x:c>
      <x:c r="Y2048" s="93" t="n">
        <x:f>W2048-X2048</x:f>
        <x:v>31</x:v>
      </x:c>
      <x:c r="Z2048" s="94" t="n">
        <x:f>IFERROR(Y2048/W2048,0)</x:f>
        <x:v>0.6326530612244898</x:v>
      </x:c>
      <x:c r="AA2048" s="84" t="str">
        <x:f>PROPER(TRIM('Raw Sales'!M2048))</x:f>
        <x:v>Debit Card</x:v>
      </x:c>
      <x:c r="AB2048" s="84" t="str">
        <x:f>PROPER(TRIM('Raw Sales'!N2048))</x:f>
        <x:v>Maya Brooks</x:v>
      </x:c>
      <x:c r="AC2048" s="85" t="n">
        <x:f>'Raw Sales'!O2048</x:f>
        <x:v>45948</x:v>
      </x:c>
      <x:c r="AD2048" s="84" t="n">
        <x:f>AC2048-B2048</x:f>
        <x:v>0</x:v>
      </x:c>
      <x:c r="AE2048" s="84" t="str">
        <x:f>IF(COUNTIF($A$5:A2048,A2048)&gt;1,"Duplicate","Keep")</x:f>
        <x:v>Keep</x:v>
      </x:c>
      <x:c r="AF2048" s="84" t="str">
        <x:f>IF(OR(R2048&lt;=0,AC2048&lt;B2048,H2048="Unknown",M2048="Unknown Product"),"Review","Valid")</x:f>
        <x:v>Valid</x:v>
      </x:c>
      <x:c r="AG2048" s="84" t="n">
        <x:f>IF(AND(AE2048="Keep",AF2048="Valid"),1,0)</x:f>
        <x:v>1</x:v>
      </x:c>
      <x:c r="AH2048" s="84" t="n">
        <x:f>IF(AND(AG2048=1,OR('Dashboard'!$B$4="All",I2048='Dashboard'!$B$4),OR('Dashboard'!$E$4="All",N2048='Dashboard'!$E$4),OR('Dashboard'!$H$4="All",K2048='Dashboard'!$H$4),OR('Dashboard'!$K$4="All",C2048='Dashboard'!$K$4)),1,0)</x:f>
        <x:v>1</x:v>
      </x:c>
      <x:c r="AI2048" s="84" t="n">
        <x:f>IF(AND(AG2048=1,OR('Dashboard'!$B$4="All",I2048='Dashboard'!$B$4),OR('Dashboard'!$E$4="All",N2048='Dashboard'!$E$4),OR('Dashboard'!$H$4="All",K2048='Dashboard'!$H$4)),1,0)</x:f>
        <x:v>1</x:v>
      </x:c>
    </x:row>
    <x:row r="2049">
      <x:c r="A2049" s="84" t="str">
        <x:f>'Raw Sales'!A2049</x:f>
        <x:v>ORD-2025-00120</x:v>
      </x:c>
      <x:c r="B2049" s="85" t="n">
        <x:f>'Raw Sales'!B2049</x:f>
        <x:v>45949</x:v>
      </x:c>
      <x:c r="C2049" s="84" t="n">
        <x:f>YEAR(B2049)</x:f>
        <x:v>2025</x:v>
      </x:c>
      <x:c r="D2049" s="91" t="n">
        <x:f>DATE(YEAR(B2049),MONTH(B2049),1)</x:f>
        <x:v>45931</x:v>
      </x:c>
      <x:c r="E2049" s="84" t="str">
        <x:f>TEXT(B2049,"mmm")</x:f>
        <x:v>Oct</x:v>
      </x:c>
      <x:c r="F2049" s="84" t="str">
        <x:f>'Raw Sales'!C2049</x:f>
        <x:v>CUST-0132</x:v>
      </x:c>
      <x:c r="G2049" s="84" t="str">
        <x:f>PROPER(TRIM('Raw Sales'!D2049))</x:f>
        <x:v>Chloe Taylor</x:v>
      </x:c>
      <x:c r="H2049" s="84" t="str">
        <x:f>IF(TRIM('Raw Sales'!E2049)="","Unknown",PROPER(TRIM('Raw Sales'!E2049)))</x:f>
        <x:v>Corporate</x:v>
      </x:c>
      <x:c r="I2049" s="84" t="str">
        <x:f>PROPER(TRIM('Raw Sales'!F2049))</x:f>
        <x:v>Southeast</x:v>
      </x:c>
      <x:c r="J2049" s="84" t="str">
        <x:f>PROPER(TRIM('Raw Sales'!G2049))</x:f>
        <x:v>Atlanta</x:v>
      </x:c>
      <x:c r="K2049" s="84" t="str">
        <x:f>PROPER(TRIM('Raw Sales'!H2049))</x:f>
        <x:v>Online</x:v>
      </x:c>
      <x:c r="L2049" s="84" t="str">
        <x:f>'Raw Sales'!I2049</x:f>
        <x:v>CARE-001</x:v>
      </x:c>
      <x:c r="M2049" s="84" t="str">
        <x:f>IFERROR(VLOOKUP(L2049,'Reference Data'!$A$5:$F$40,2,FALSE),"Unknown Product")</x:f>
        <x:v>Ionic Hair Dryer</x:v>
      </x:c>
      <x:c r="N2049" s="84" t="str">
        <x:f>IFERROR(VLOOKUP(L2049,'Reference Data'!$A$5:$F$40,3,FALSE),"Unknown")</x:f>
        <x:v>Personal Care</x:v>
      </x:c>
      <x:c r="O2049" s="84" t="str">
        <x:f>IFERROR(VLOOKUP(L2049,'Reference Data'!$A$5:$F$40,4,FALSE),"Unknown")</x:f>
        <x:v>Hair Care</x:v>
      </x:c>
      <x:c r="P2049" s="92" t="n">
        <x:f>IFERROR(VLOOKUP(L2049,'Reference Data'!$A$5:$F$40,5,FALSE),0)</x:f>
        <x:v>54</x:v>
      </x:c>
      <x:c r="Q2049" s="92" t="n">
        <x:f>IFERROR(VLOOKUP(L2049,'Reference Data'!$A$5:$F$40,6,FALSE),0)</x:f>
        <x:v>25</x:v>
      </x:c>
      <x:c r="R2049" s="84" t="n">
        <x:f>'Raw Sales'!J2049</x:f>
        <x:v>2</x:v>
      </x:c>
      <x:c r="S2049" s="87" t="n">
        <x:f>'Raw Sales'!K2049</x:f>
        <x:v>0.15</x:v>
      </x:c>
      <x:c r="T2049" s="93" t="n">
        <x:f>P2049*R2049</x:f>
        <x:v>108</x:v>
      </x:c>
      <x:c r="U2049" s="93" t="n">
        <x:f>T2049*S2049</x:f>
        <x:v>16.2</x:v>
      </x:c>
      <x:c r="V2049" s="93" t="str">
        <x:f>PROPER(TRIM('Raw Sales'!L2049))</x:f>
        <x:v>Completed</x:v>
      </x:c>
      <x:c r="W2049" s="93" t="n">
        <x:f>IF(V2049="Returned",0,T2049-U2049)</x:f>
        <x:v>91.8</x:v>
      </x:c>
      <x:c r="X2049" s="93" t="n">
        <x:f>IF(V2049="Returned",Q2049*R2049*10%,Q2049*R2049)</x:f>
        <x:v>50</x:v>
      </x:c>
      <x:c r="Y2049" s="93" t="n">
        <x:f>W2049-X2049</x:f>
        <x:v>41.8</x:v>
      </x:c>
      <x:c r="Z2049" s="94" t="n">
        <x:f>IFERROR(Y2049/W2049,0)</x:f>
        <x:v>0.4553376906318083</x:v>
      </x:c>
      <x:c r="AA2049" s="84" t="str">
        <x:f>PROPER(TRIM('Raw Sales'!M2049))</x:f>
        <x:v>Mobile Wallet</x:v>
      </x:c>
      <x:c r="AB2049" s="84" t="str">
        <x:f>PROPER(TRIM('Raw Sales'!N2049))</x:f>
        <x:v>Liam Parker</x:v>
      </x:c>
      <x:c r="AC2049" s="85" t="n">
        <x:f>'Raw Sales'!O2049</x:f>
        <x:v>45953</x:v>
      </x:c>
      <x:c r="AD2049" s="84" t="n">
        <x:f>AC2049-B2049</x:f>
        <x:v>4</x:v>
      </x:c>
      <x:c r="AE2049" s="84" t="str">
        <x:f>IF(COUNTIF($A$5:A2049,A2049)&gt;1,"Duplicate","Keep")</x:f>
        <x:v>Keep</x:v>
      </x:c>
      <x:c r="AF2049" s="84" t="str">
        <x:f>IF(OR(R2049&lt;=0,AC2049&lt;B2049,H2049="Unknown",M2049="Unknown Product"),"Review","Valid")</x:f>
        <x:v>Valid</x:v>
      </x:c>
      <x:c r="AG2049" s="84" t="n">
        <x:f>IF(AND(AE2049="Keep",AF2049="Valid"),1,0)</x:f>
        <x:v>1</x:v>
      </x:c>
      <x:c r="AH2049" s="84" t="n">
        <x:f>IF(AND(AG2049=1,OR('Dashboard'!$B$4="All",I2049='Dashboard'!$B$4),OR('Dashboard'!$E$4="All",N2049='Dashboard'!$E$4),OR('Dashboard'!$H$4="All",K2049='Dashboard'!$H$4),OR('Dashboard'!$K$4="All",C2049='Dashboard'!$K$4)),1,0)</x:f>
        <x:v>1</x:v>
      </x:c>
      <x:c r="AI2049" s="84" t="n">
        <x:f>IF(AND(AG2049=1,OR('Dashboard'!$B$4="All",I2049='Dashboard'!$B$4),OR('Dashboard'!$E$4="All",N2049='Dashboard'!$E$4),OR('Dashboard'!$H$4="All",K2049='Dashboard'!$H$4)),1,0)</x:f>
        <x:v>1</x:v>
      </x:c>
    </x:row>
    <x:row r="2050">
      <x:c r="A2050" s="84" t="str">
        <x:f>'Raw Sales'!A2050</x:f>
        <x:v>ORD-2025-00555</x:v>
      </x:c>
      <x:c r="B2050" s="85" t="n">
        <x:f>'Raw Sales'!B2050</x:f>
        <x:v>45949</x:v>
      </x:c>
      <x:c r="C2050" s="84" t="n">
        <x:f>YEAR(B2050)</x:f>
        <x:v>2025</x:v>
      </x:c>
      <x:c r="D2050" s="91" t="n">
        <x:f>DATE(YEAR(B2050),MONTH(B2050),1)</x:f>
        <x:v>45931</x:v>
      </x:c>
      <x:c r="E2050" s="84" t="str">
        <x:f>TEXT(B2050,"mmm")</x:f>
        <x:v>Oct</x:v>
      </x:c>
      <x:c r="F2050" s="84" t="str">
        <x:f>'Raw Sales'!C2050</x:f>
        <x:v>CUST-0492</x:v>
      </x:c>
      <x:c r="G2050" s="84" t="str">
        <x:f>PROPER(TRIM('Raw Sales'!D2050))</x:f>
        <x:v>Jonah Garcia</x:v>
      </x:c>
      <x:c r="H2050" s="84" t="str">
        <x:f>IF(TRIM('Raw Sales'!E2050)="","Unknown",PROPER(TRIM('Raw Sales'!E2050)))</x:f>
        <x:v>Small Business</x:v>
      </x:c>
      <x:c r="I2050" s="84" t="str">
        <x:f>PROPER(TRIM('Raw Sales'!F2050))</x:f>
        <x:v>Southeast</x:v>
      </x:c>
      <x:c r="J2050" s="84" t="str">
        <x:f>PROPER(TRIM('Raw Sales'!G2050))</x:f>
        <x:v>Charlotte</x:v>
      </x:c>
      <x:c r="K2050" s="84" t="str">
        <x:f>PROPER(TRIM('Raw Sales'!H2050))</x:f>
        <x:v>Online</x:v>
      </x:c>
      <x:c r="L2050" s="84" t="str">
        <x:f>'Raw Sales'!I2050</x:f>
        <x:v>FITN-003</x:v>
      </x:c>
      <x:c r="M2050" s="84" t="str">
        <x:f>IFERROR(VLOOKUP(L2050,'Reference Data'!$A$5:$F$40,2,FALSE),"Unknown Product")</x:f>
        <x:v>Resistance Band Set</x:v>
      </x:c>
      <x:c r="N2050" s="84" t="str">
        <x:f>IFERROR(VLOOKUP(L2050,'Reference Data'!$A$5:$F$40,3,FALSE),"Unknown")</x:f>
        <x:v>Fitness</x:v>
      </x:c>
      <x:c r="O2050" s="84" t="str">
        <x:f>IFERROR(VLOOKUP(L2050,'Reference Data'!$A$5:$F$40,4,FALSE),"Unknown")</x:f>
        <x:v>Strength</x:v>
      </x:c>
      <x:c r="P2050" s="92" t="n">
        <x:f>IFERROR(VLOOKUP(L2050,'Reference Data'!$A$5:$F$40,5,FALSE),0)</x:f>
        <x:v>24</x:v>
      </x:c>
      <x:c r="Q2050" s="92" t="n">
        <x:f>IFERROR(VLOOKUP(L2050,'Reference Data'!$A$5:$F$40,6,FALSE),0)</x:f>
        <x:v>8</x:v>
      </x:c>
      <x:c r="R2050" s="84" t="n">
        <x:f>'Raw Sales'!J2050</x:f>
        <x:v>2</x:v>
      </x:c>
      <x:c r="S2050" s="87" t="n">
        <x:f>'Raw Sales'!K2050</x:f>
        <x:v>0</x:v>
      </x:c>
      <x:c r="T2050" s="93" t="n">
        <x:f>P2050*R2050</x:f>
        <x:v>48</x:v>
      </x:c>
      <x:c r="U2050" s="93" t="n">
        <x:f>T2050*S2050</x:f>
        <x:v>0</x:v>
      </x:c>
      <x:c r="V2050" s="93" t="str">
        <x:f>PROPER(TRIM('Raw Sales'!L2050))</x:f>
        <x:v>Completed</x:v>
      </x:c>
      <x:c r="W2050" s="93" t="n">
        <x:f>IF(V2050="Returned",0,T2050-U2050)</x:f>
        <x:v>48</x:v>
      </x:c>
      <x:c r="X2050" s="93" t="n">
        <x:f>IF(V2050="Returned",Q2050*R2050*10%,Q2050*R2050)</x:f>
        <x:v>16</x:v>
      </x:c>
      <x:c r="Y2050" s="93" t="n">
        <x:f>W2050-X2050</x:f>
        <x:v>32</x:v>
      </x:c>
      <x:c r="Z2050" s="94" t="n">
        <x:f>IFERROR(Y2050/W2050,0)</x:f>
        <x:v>0.6666666666666666</x:v>
      </x:c>
      <x:c r="AA2050" s="84" t="str">
        <x:f>PROPER(TRIM('Raw Sales'!M2050))</x:f>
        <x:v>Paypal</x:v>
      </x:c>
      <x:c r="AB2050" s="84" t="str">
        <x:f>PROPER(TRIM('Raw Sales'!N2050))</x:f>
        <x:v>Ava Mitchell</x:v>
      </x:c>
      <x:c r="AC2050" s="85" t="n">
        <x:f>'Raw Sales'!O2050</x:f>
        <x:v>45951</x:v>
      </x:c>
      <x:c r="AD2050" s="84" t="n">
        <x:f>AC2050-B2050</x:f>
        <x:v>2</x:v>
      </x:c>
      <x:c r="AE2050" s="84" t="str">
        <x:f>IF(COUNTIF($A$5:A2050,A2050)&gt;1,"Duplicate","Keep")</x:f>
        <x:v>Keep</x:v>
      </x:c>
      <x:c r="AF2050" s="84" t="str">
        <x:f>IF(OR(R2050&lt;=0,AC2050&lt;B2050,H2050="Unknown",M2050="Unknown Product"),"Review","Valid")</x:f>
        <x:v>Valid</x:v>
      </x:c>
      <x:c r="AG2050" s="84" t="n">
        <x:f>IF(AND(AE2050="Keep",AF2050="Valid"),1,0)</x:f>
        <x:v>1</x:v>
      </x:c>
      <x:c r="AH2050" s="84" t="n">
        <x:f>IF(AND(AG2050=1,OR('Dashboard'!$B$4="All",I2050='Dashboard'!$B$4),OR('Dashboard'!$E$4="All",N2050='Dashboard'!$E$4),OR('Dashboard'!$H$4="All",K2050='Dashboard'!$H$4),OR('Dashboard'!$K$4="All",C2050='Dashboard'!$K$4)),1,0)</x:f>
        <x:v>1</x:v>
      </x:c>
      <x:c r="AI2050" s="84" t="n">
        <x:f>IF(AND(AG2050=1,OR('Dashboard'!$B$4="All",I2050='Dashboard'!$B$4),OR('Dashboard'!$E$4="All",N2050='Dashboard'!$E$4),OR('Dashboard'!$H$4="All",K2050='Dashboard'!$H$4)),1,0)</x:f>
        <x:v>1</x:v>
      </x:c>
    </x:row>
    <x:row r="2051">
      <x:c r="A2051" s="84" t="str">
        <x:f>'Raw Sales'!A2051</x:f>
        <x:v>ORD-2025-00557</x:v>
      </x:c>
      <x:c r="B2051" s="85" t="n">
        <x:f>'Raw Sales'!B2051</x:f>
        <x:v>45949</x:v>
      </x:c>
      <x:c r="C2051" s="84" t="n">
        <x:f>YEAR(B2051)</x:f>
        <x:v>2025</x:v>
      </x:c>
      <x:c r="D2051" s="91" t="n">
        <x:f>DATE(YEAR(B2051),MONTH(B2051),1)</x:f>
        <x:v>45931</x:v>
      </x:c>
      <x:c r="E2051" s="84" t="str">
        <x:f>TEXT(B2051,"mmm")</x:f>
        <x:v>Oct</x:v>
      </x:c>
      <x:c r="F2051" s="84" t="str">
        <x:f>'Raw Sales'!C2051</x:f>
        <x:v>CUST-0028</x:v>
      </x:c>
      <x:c r="G2051" s="84" t="str">
        <x:f>PROPER(TRIM('Raw Sales'!D2051))</x:f>
        <x:v>Theo Roberts</x:v>
      </x:c>
      <x:c r="H2051" s="84" t="str">
        <x:f>IF(TRIM('Raw Sales'!E2051)="","Unknown",PROPER(TRIM('Raw Sales'!E2051)))</x:f>
        <x:v>Consumer</x:v>
      </x:c>
      <x:c r="I2051" s="84" t="str">
        <x:f>PROPER(TRIM('Raw Sales'!F2051))</x:f>
        <x:v>Northeast</x:v>
      </x:c>
      <x:c r="J2051" s="84" t="str">
        <x:f>PROPER(TRIM('Raw Sales'!G2051))</x:f>
        <x:v>Newark</x:v>
      </x:c>
      <x:c r="K2051" s="84" t="str">
        <x:f>PROPER(TRIM('Raw Sales'!H2051))</x:f>
        <x:v>Online</x:v>
      </x:c>
      <x:c r="L2051" s="84" t="str">
        <x:f>'Raw Sales'!I2051</x:f>
        <x:v>ACCS-002</x:v>
      </x:c>
      <x:c r="M2051" s="84" t="str">
        <x:f>IFERROR(VLOOKUP(L2051,'Reference Data'!$A$5:$F$40,2,FALSE),"Unknown Product")</x:f>
        <x:v>Travel Backpack</x:v>
      </x:c>
      <x:c r="N2051" s="84" t="str">
        <x:f>IFERROR(VLOOKUP(L2051,'Reference Data'!$A$5:$F$40,3,FALSE),"Unknown")</x:f>
        <x:v>Accessories</x:v>
      </x:c>
      <x:c r="O2051" s="84" t="str">
        <x:f>IFERROR(VLOOKUP(L2051,'Reference Data'!$A$5:$F$40,4,FALSE),"Unknown")</x:f>
        <x:v>Bags</x:v>
      </x:c>
      <x:c r="P2051" s="92" t="n">
        <x:f>IFERROR(VLOOKUP(L2051,'Reference Data'!$A$5:$F$40,5,FALSE),0)</x:f>
        <x:v>89</x:v>
      </x:c>
      <x:c r="Q2051" s="92" t="n">
        <x:f>IFERROR(VLOOKUP(L2051,'Reference Data'!$A$5:$F$40,6,FALSE),0)</x:f>
        <x:v>36</x:v>
      </x:c>
      <x:c r="R2051" s="84" t="n">
        <x:f>'Raw Sales'!J2051</x:f>
        <x:v>2</x:v>
      </x:c>
      <x:c r="S2051" s="87" t="n">
        <x:f>'Raw Sales'!K2051</x:f>
        <x:v>0</x:v>
      </x:c>
      <x:c r="T2051" s="93" t="n">
        <x:f>P2051*R2051</x:f>
        <x:v>178</x:v>
      </x:c>
      <x:c r="U2051" s="93" t="n">
        <x:f>T2051*S2051</x:f>
        <x:v>0</x:v>
      </x:c>
      <x:c r="V2051" s="93" t="str">
        <x:f>PROPER(TRIM('Raw Sales'!L2051))</x:f>
        <x:v>Completed</x:v>
      </x:c>
      <x:c r="W2051" s="93" t="n">
        <x:f>IF(V2051="Returned",0,T2051-U2051)</x:f>
        <x:v>178</x:v>
      </x:c>
      <x:c r="X2051" s="93" t="n">
        <x:f>IF(V2051="Returned",Q2051*R2051*10%,Q2051*R2051)</x:f>
        <x:v>72</x:v>
      </x:c>
      <x:c r="Y2051" s="93" t="n">
        <x:f>W2051-X2051</x:f>
        <x:v>106</x:v>
      </x:c>
      <x:c r="Z2051" s="94" t="n">
        <x:f>IFERROR(Y2051/W2051,0)</x:f>
        <x:v>0.5955056179775281</x:v>
      </x:c>
      <x:c r="AA2051" s="84" t="str">
        <x:f>PROPER(TRIM('Raw Sales'!M2051))</x:f>
        <x:v>Debit Card</x:v>
      </x:c>
      <x:c r="AB2051" s="84" t="str">
        <x:f>PROPER(TRIM('Raw Sales'!N2051))</x:f>
        <x:v>Ethan Cole</x:v>
      </x:c>
      <x:c r="AC2051" s="85" t="n">
        <x:f>'Raw Sales'!O2051</x:f>
        <x:v>45954</x:v>
      </x:c>
      <x:c r="AD2051" s="84" t="n">
        <x:f>AC2051-B2051</x:f>
        <x:v>5</x:v>
      </x:c>
      <x:c r="AE2051" s="84" t="str">
        <x:f>IF(COUNTIF($A$5:A2051,A2051)&gt;1,"Duplicate","Keep")</x:f>
        <x:v>Keep</x:v>
      </x:c>
      <x:c r="AF2051" s="84" t="str">
        <x:f>IF(OR(R2051&lt;=0,AC2051&lt;B2051,H2051="Unknown",M2051="Unknown Product"),"Review","Valid")</x:f>
        <x:v>Valid</x:v>
      </x:c>
      <x:c r="AG2051" s="84" t="n">
        <x:f>IF(AND(AE2051="Keep",AF2051="Valid"),1,0)</x:f>
        <x:v>1</x:v>
      </x:c>
      <x:c r="AH2051" s="84" t="n">
        <x:f>IF(AND(AG2051=1,OR('Dashboard'!$B$4="All",I2051='Dashboard'!$B$4),OR('Dashboard'!$E$4="All",N2051='Dashboard'!$E$4),OR('Dashboard'!$H$4="All",K2051='Dashboard'!$H$4),OR('Dashboard'!$K$4="All",C2051='Dashboard'!$K$4)),1,0)</x:f>
        <x:v>1</x:v>
      </x:c>
      <x:c r="AI2051" s="84" t="n">
        <x:f>IF(AND(AG2051=1,OR('Dashboard'!$B$4="All",I2051='Dashboard'!$B$4),OR('Dashboard'!$E$4="All",N2051='Dashboard'!$E$4),OR('Dashboard'!$H$4="All",K2051='Dashboard'!$H$4)),1,0)</x:f>
        <x:v>1</x:v>
      </x:c>
    </x:row>
    <x:row r="2052">
      <x:c r="A2052" s="84" t="str">
        <x:f>'Raw Sales'!A2052</x:f>
        <x:v>ORD-2025-00998</x:v>
      </x:c>
      <x:c r="B2052" s="85" t="n">
        <x:f>'Raw Sales'!B2052</x:f>
        <x:v>45949</x:v>
      </x:c>
      <x:c r="C2052" s="84" t="n">
        <x:f>YEAR(B2052)</x:f>
        <x:v>2025</x:v>
      </x:c>
      <x:c r="D2052" s="91" t="n">
        <x:f>DATE(YEAR(B2052),MONTH(B2052),1)</x:f>
        <x:v>45931</x:v>
      </x:c>
      <x:c r="E2052" s="84" t="str">
        <x:f>TEXT(B2052,"mmm")</x:f>
        <x:v>Oct</x:v>
      </x:c>
      <x:c r="F2052" s="84" t="str">
        <x:f>'Raw Sales'!C2052</x:f>
        <x:v>CUST-0182</x:v>
      </x:c>
      <x:c r="G2052" s="84" t="str">
        <x:f>PROPER(TRIM('Raw Sales'!D2052))</x:f>
        <x:v>Zara Roberts</x:v>
      </x:c>
      <x:c r="H2052" s="84" t="str">
        <x:f>IF(TRIM('Raw Sales'!E2052)="","Unknown",PROPER(TRIM('Raw Sales'!E2052)))</x:f>
        <x:v>Consumer</x:v>
      </x:c>
      <x:c r="I2052" s="84" t="str">
        <x:f>PROPER(TRIM('Raw Sales'!F2052))</x:f>
        <x:v>Northeast</x:v>
      </x:c>
      <x:c r="J2052" s="84" t="str">
        <x:f>PROPER(TRIM('Raw Sales'!G2052))</x:f>
        <x:v>Philadelphia</x:v>
      </x:c>
      <x:c r="K2052" s="84" t="str">
        <x:f>PROPER(TRIM('Raw Sales'!H2052))</x:f>
        <x:v>Online</x:v>
      </x:c>
      <x:c r="L2052" s="84" t="str">
        <x:f>'Raw Sales'!I2052</x:f>
        <x:v>ACCS-004</x:v>
      </x:c>
      <x:c r="M2052" s="84" t="str">
        <x:f>IFERROR(VLOOKUP(L2052,'Reference Data'!$A$5:$F$40,2,FALSE),"Unknown Product")</x:f>
        <x:v>Leather Wallet</x:v>
      </x:c>
      <x:c r="N2052" s="84" t="str">
        <x:f>IFERROR(VLOOKUP(L2052,'Reference Data'!$A$5:$F$40,3,FALSE),"Unknown")</x:f>
        <x:v>Accessories</x:v>
      </x:c>
      <x:c r="O2052" s="84" t="str">
        <x:f>IFERROR(VLOOKUP(L2052,'Reference Data'!$A$5:$F$40,4,FALSE),"Unknown")</x:f>
        <x:v>Wallets</x:v>
      </x:c>
      <x:c r="P2052" s="92" t="n">
        <x:f>IFERROR(VLOOKUP(L2052,'Reference Data'!$A$5:$F$40,5,FALSE),0)</x:f>
        <x:v>49</x:v>
      </x:c>
      <x:c r="Q2052" s="92" t="n">
        <x:f>IFERROR(VLOOKUP(L2052,'Reference Data'!$A$5:$F$40,6,FALSE),0)</x:f>
        <x:v>18</x:v>
      </x:c>
      <x:c r="R2052" s="84" t="n">
        <x:f>'Raw Sales'!J2052</x:f>
        <x:v>1</x:v>
      </x:c>
      <x:c r="S2052" s="87" t="n">
        <x:f>'Raw Sales'!K2052</x:f>
        <x:v>0.05</x:v>
      </x:c>
      <x:c r="T2052" s="93" t="n">
        <x:f>P2052*R2052</x:f>
        <x:v>49</x:v>
      </x:c>
      <x:c r="U2052" s="93" t="n">
        <x:f>T2052*S2052</x:f>
        <x:v>2.45</x:v>
      </x:c>
      <x:c r="V2052" s="93" t="str">
        <x:f>PROPER(TRIM('Raw Sales'!L2052))</x:f>
        <x:v>Completed</x:v>
      </x:c>
      <x:c r="W2052" s="93" t="n">
        <x:f>IF(V2052="Returned",0,T2052-U2052)</x:f>
        <x:v>46.55</x:v>
      </x:c>
      <x:c r="X2052" s="93" t="n">
        <x:f>IF(V2052="Returned",Q2052*R2052*10%,Q2052*R2052)</x:f>
        <x:v>18</x:v>
      </x:c>
      <x:c r="Y2052" s="93" t="n">
        <x:f>W2052-X2052</x:f>
        <x:v>28.549999999999997</x:v>
      </x:c>
      <x:c r="Z2052" s="94" t="n">
        <x:f>IFERROR(Y2052/W2052,0)</x:f>
        <x:v>0.6133190118152524</x:v>
      </x:c>
      <x:c r="AA2052" s="84" t="str">
        <x:f>PROPER(TRIM('Raw Sales'!M2052))</x:f>
        <x:v>Credit Card</x:v>
      </x:c>
      <x:c r="AB2052" s="84" t="str">
        <x:f>PROPER(TRIM('Raw Sales'!N2052))</x:f>
        <x:v>Sofia Bennett</x:v>
      </x:c>
      <x:c r="AC2052" s="85" t="n">
        <x:f>'Raw Sales'!O2052</x:f>
        <x:v>45951</x:v>
      </x:c>
      <x:c r="AD2052" s="84" t="n">
        <x:f>AC2052-B2052</x:f>
        <x:v>2</x:v>
      </x:c>
      <x:c r="AE2052" s="84" t="str">
        <x:f>IF(COUNTIF($A$5:A2052,A2052)&gt;1,"Duplicate","Keep")</x:f>
        <x:v>Keep</x:v>
      </x:c>
      <x:c r="AF2052" s="84" t="str">
        <x:f>IF(OR(R2052&lt;=0,AC2052&lt;B2052,H2052="Unknown",M2052="Unknown Product"),"Review","Valid")</x:f>
        <x:v>Valid</x:v>
      </x:c>
      <x:c r="AG2052" s="84" t="n">
        <x:f>IF(AND(AE2052="Keep",AF2052="Valid"),1,0)</x:f>
        <x:v>1</x:v>
      </x:c>
      <x:c r="AH2052" s="84" t="n">
        <x:f>IF(AND(AG2052=1,OR('Dashboard'!$B$4="All",I2052='Dashboard'!$B$4),OR('Dashboard'!$E$4="All",N2052='Dashboard'!$E$4),OR('Dashboard'!$H$4="All",K2052='Dashboard'!$H$4),OR('Dashboard'!$K$4="All",C2052='Dashboard'!$K$4)),1,0)</x:f>
        <x:v>1</x:v>
      </x:c>
      <x:c r="AI2052" s="84" t="n">
        <x:f>IF(AND(AG2052=1,OR('Dashboard'!$B$4="All",I2052='Dashboard'!$B$4),OR('Dashboard'!$E$4="All",N2052='Dashboard'!$E$4),OR('Dashboard'!$H$4="All",K2052='Dashboard'!$H$4)),1,0)</x:f>
        <x:v>1</x:v>
      </x:c>
    </x:row>
    <x:row r="2053">
      <x:c r="A2053" s="84" t="str">
        <x:f>'Raw Sales'!A2053</x:f>
        <x:v>ORD-2025-00473</x:v>
      </x:c>
      <x:c r="B2053" s="85" t="n">
        <x:f>'Raw Sales'!B2053</x:f>
        <x:v>45950</x:v>
      </x:c>
      <x:c r="C2053" s="84" t="n">
        <x:f>YEAR(B2053)</x:f>
        <x:v>2025</x:v>
      </x:c>
      <x:c r="D2053" s="91" t="n">
        <x:f>DATE(YEAR(B2053),MONTH(B2053),1)</x:f>
        <x:v>45931</x:v>
      </x:c>
      <x:c r="E2053" s="84" t="str">
        <x:f>TEXT(B2053,"mmm")</x:f>
        <x:v>Oct</x:v>
      </x:c>
      <x:c r="F2053" s="84" t="str">
        <x:f>'Raw Sales'!C2053</x:f>
        <x:v>CUST-0613</x:v>
      </x:c>
      <x:c r="G2053" s="84" t="str">
        <x:f>PROPER(TRIM('Raw Sales'!D2053))</x:f>
        <x:v>Owen Hall</x:v>
      </x:c>
      <x:c r="H2053" s="84" t="str">
        <x:f>IF(TRIM('Raw Sales'!E2053)="","Unknown",PROPER(TRIM('Raw Sales'!E2053)))</x:f>
        <x:v>Consumer</x:v>
      </x:c>
      <x:c r="I2053" s="84" t="str">
        <x:f>PROPER(TRIM('Raw Sales'!F2053))</x:f>
        <x:v>Southeast</x:v>
      </x:c>
      <x:c r="J2053" s="84" t="str">
        <x:f>PROPER(TRIM('Raw Sales'!G2053))</x:f>
        <x:v>Nashville</x:v>
      </x:c>
      <x:c r="K2053" s="84" t="str">
        <x:f>PROPER(TRIM('Raw Sales'!H2053))</x:f>
        <x:v>Retail Store</x:v>
      </x:c>
      <x:c r="L2053" s="84" t="str">
        <x:f>'Raw Sales'!I2053</x:f>
        <x:v>ELEC-003</x:v>
      </x:c>
      <x:c r="M2053" s="84" t="str">
        <x:f>IFERROR(VLOOKUP(L2053,'Reference Data'!$A$5:$F$40,2,FALSE),"Unknown Product")</x:f>
        <x:v>Bluetooth Speaker</x:v>
      </x:c>
      <x:c r="N2053" s="84" t="str">
        <x:f>IFERROR(VLOOKUP(L2053,'Reference Data'!$A$5:$F$40,3,FALSE),"Unknown")</x:f>
        <x:v>Electronics</x:v>
      </x:c>
      <x:c r="O2053" s="84" t="str">
        <x:f>IFERROR(VLOOKUP(L2053,'Reference Data'!$A$5:$F$40,4,FALSE),"Unknown")</x:f>
        <x:v>Audio</x:v>
      </x:c>
      <x:c r="P2053" s="92" t="n">
        <x:f>IFERROR(VLOOKUP(L2053,'Reference Data'!$A$5:$F$40,5,FALSE),0)</x:f>
        <x:v>89</x:v>
      </x:c>
      <x:c r="Q2053" s="92" t="n">
        <x:f>IFERROR(VLOOKUP(L2053,'Reference Data'!$A$5:$F$40,6,FALSE),0)</x:f>
        <x:v>44</x:v>
      </x:c>
      <x:c r="R2053" s="84" t="n">
        <x:f>'Raw Sales'!J2053</x:f>
        <x:v>2</x:v>
      </x:c>
      <x:c r="S2053" s="87" t="n">
        <x:f>'Raw Sales'!K2053</x:f>
        <x:v>0.05</x:v>
      </x:c>
      <x:c r="T2053" s="93" t="n">
        <x:f>P2053*R2053</x:f>
        <x:v>178</x:v>
      </x:c>
      <x:c r="U2053" s="93" t="n">
        <x:f>T2053*S2053</x:f>
        <x:v>8.9</x:v>
      </x:c>
      <x:c r="V2053" s="93" t="str">
        <x:f>PROPER(TRIM('Raw Sales'!L2053))</x:f>
        <x:v>Completed</x:v>
      </x:c>
      <x:c r="W2053" s="93" t="n">
        <x:f>IF(V2053="Returned",0,T2053-U2053)</x:f>
        <x:v>169.1</x:v>
      </x:c>
      <x:c r="X2053" s="93" t="n">
        <x:f>IF(V2053="Returned",Q2053*R2053*10%,Q2053*R2053)</x:f>
        <x:v>88</x:v>
      </x:c>
      <x:c r="Y2053" s="93" t="n">
        <x:f>W2053-X2053</x:f>
        <x:v>81.1</x:v>
      </x:c>
      <x:c r="Z2053" s="94" t="n">
        <x:f>IFERROR(Y2053/W2053,0)</x:f>
        <x:v>0.47959787108219987</x:v>
      </x:c>
      <x:c r="AA2053" s="84" t="str">
        <x:f>PROPER(TRIM('Raw Sales'!M2053))</x:f>
        <x:v>Credit Card</x:v>
      </x:c>
      <x:c r="AB2053" s="84" t="str">
        <x:f>PROPER(TRIM('Raw Sales'!N2053))</x:f>
        <x:v>Noah Reed</x:v>
      </x:c>
      <x:c r="AC2053" s="85" t="n">
        <x:f>'Raw Sales'!O2053</x:f>
        <x:v>45950</x:v>
      </x:c>
      <x:c r="AD2053" s="84" t="n">
        <x:f>AC2053-B2053</x:f>
        <x:v>0</x:v>
      </x:c>
      <x:c r="AE2053" s="84" t="str">
        <x:f>IF(COUNTIF($A$5:A2053,A2053)&gt;1,"Duplicate","Keep")</x:f>
        <x:v>Keep</x:v>
      </x:c>
      <x:c r="AF2053" s="84" t="str">
        <x:f>IF(OR(R2053&lt;=0,AC2053&lt;B2053,H2053="Unknown",M2053="Unknown Product"),"Review","Valid")</x:f>
        <x:v>Valid</x:v>
      </x:c>
      <x:c r="AG2053" s="84" t="n">
        <x:f>IF(AND(AE2053="Keep",AF2053="Valid"),1,0)</x:f>
        <x:v>1</x:v>
      </x:c>
      <x:c r="AH2053" s="84" t="n">
        <x:f>IF(AND(AG2053=1,OR('Dashboard'!$B$4="All",I2053='Dashboard'!$B$4),OR('Dashboard'!$E$4="All",N2053='Dashboard'!$E$4),OR('Dashboard'!$H$4="All",K2053='Dashboard'!$H$4),OR('Dashboard'!$K$4="All",C2053='Dashboard'!$K$4)),1,0)</x:f>
        <x:v>1</x:v>
      </x:c>
      <x:c r="AI2053" s="84" t="n">
        <x:f>IF(AND(AG2053=1,OR('Dashboard'!$B$4="All",I2053='Dashboard'!$B$4),OR('Dashboard'!$E$4="All",N2053='Dashboard'!$E$4),OR('Dashboard'!$H$4="All",K2053='Dashboard'!$H$4)),1,0)</x:f>
        <x:v>1</x:v>
      </x:c>
    </x:row>
    <x:row r="2054">
      <x:c r="A2054" s="84" t="str">
        <x:f>'Raw Sales'!A2054</x:f>
        <x:v>ORD-2025-01253</x:v>
      </x:c>
      <x:c r="B2054" s="85" t="n">
        <x:f>'Raw Sales'!B2054</x:f>
        <x:v>45950</x:v>
      </x:c>
      <x:c r="C2054" s="84" t="n">
        <x:f>YEAR(B2054)</x:f>
        <x:v>2025</x:v>
      </x:c>
      <x:c r="D2054" s="91" t="n">
        <x:f>DATE(YEAR(B2054),MONTH(B2054),1)</x:f>
        <x:v>45931</x:v>
      </x:c>
      <x:c r="E2054" s="84" t="str">
        <x:f>TEXT(B2054,"mmm")</x:f>
        <x:v>Oct</x:v>
      </x:c>
      <x:c r="F2054" s="84" t="str">
        <x:f>'Raw Sales'!C2054</x:f>
        <x:v>CUST-0493</x:v>
      </x:c>
      <x:c r="G2054" s="84" t="str">
        <x:f>PROPER(TRIM('Raw Sales'!D2054))</x:f>
        <x:v>Nina Evans</x:v>
      </x:c>
      <x:c r="H2054" s="84" t="str">
        <x:f>IF(TRIM('Raw Sales'!E2054)="","Unknown",PROPER(TRIM('Raw Sales'!E2054)))</x:f>
        <x:v>Corporate</x:v>
      </x:c>
      <x:c r="I2054" s="84" t="str">
        <x:f>PROPER(TRIM('Raw Sales'!F2054))</x:f>
        <x:v>West</x:v>
      </x:c>
      <x:c r="J2054" s="84" t="str">
        <x:f>PROPER(TRIM('Raw Sales'!G2054))</x:f>
        <x:v>Denver</x:v>
      </x:c>
      <x:c r="K2054" s="84" t="str">
        <x:f>PROPER(TRIM('Raw Sales'!H2054))</x:f>
        <x:v>Online</x:v>
      </x:c>
      <x:c r="L2054" s="84" t="str">
        <x:f>'Raw Sales'!I2054</x:f>
        <x:v>FITN-004</x:v>
      </x:c>
      <x:c r="M2054" s="84" t="str">
        <x:f>IFERROR(VLOOKUP(L2054,'Reference Data'!$A$5:$F$40,2,FALSE),"Unknown Product")</x:f>
        <x:v>Fitness Tracker</x:v>
      </x:c>
      <x:c r="N2054" s="84" t="str">
        <x:f>IFERROR(VLOOKUP(L2054,'Reference Data'!$A$5:$F$40,3,FALSE),"Unknown")</x:f>
        <x:v>Fitness</x:v>
      </x:c>
      <x:c r="O2054" s="84" t="str">
        <x:f>IFERROR(VLOOKUP(L2054,'Reference Data'!$A$5:$F$40,4,FALSE),"Unknown")</x:f>
        <x:v>Wearables</x:v>
      </x:c>
      <x:c r="P2054" s="92" t="n">
        <x:f>IFERROR(VLOOKUP(L2054,'Reference Data'!$A$5:$F$40,5,FALSE),0)</x:f>
        <x:v>89</x:v>
      </x:c>
      <x:c r="Q2054" s="92" t="n">
        <x:f>IFERROR(VLOOKUP(L2054,'Reference Data'!$A$5:$F$40,6,FALSE),0)</x:f>
        <x:v>44</x:v>
      </x:c>
      <x:c r="R2054" s="84" t="n">
        <x:f>'Raw Sales'!J2054</x:f>
        <x:v>2</x:v>
      </x:c>
      <x:c r="S2054" s="87" t="n">
        <x:f>'Raw Sales'!K2054</x:f>
        <x:v>0.05</x:v>
      </x:c>
      <x:c r="T2054" s="93" t="n">
        <x:f>P2054*R2054</x:f>
        <x:v>178</x:v>
      </x:c>
      <x:c r="U2054" s="93" t="n">
        <x:f>T2054*S2054</x:f>
        <x:v>8.9</x:v>
      </x:c>
      <x:c r="V2054" s="93" t="str">
        <x:f>PROPER(TRIM('Raw Sales'!L2054))</x:f>
        <x:v>Completed</x:v>
      </x:c>
      <x:c r="W2054" s="93" t="n">
        <x:f>IF(V2054="Returned",0,T2054-U2054)</x:f>
        <x:v>169.1</x:v>
      </x:c>
      <x:c r="X2054" s="93" t="n">
        <x:f>IF(V2054="Returned",Q2054*R2054*10%,Q2054*R2054)</x:f>
        <x:v>88</x:v>
      </x:c>
      <x:c r="Y2054" s="93" t="n">
        <x:f>W2054-X2054</x:f>
        <x:v>81.1</x:v>
      </x:c>
      <x:c r="Z2054" s="94" t="n">
        <x:f>IFERROR(Y2054/W2054,0)</x:f>
        <x:v>0.47959787108219987</x:v>
      </x:c>
      <x:c r="AA2054" s="84" t="str">
        <x:f>PROPER(TRIM('Raw Sales'!M2054))</x:f>
        <x:v>Credit Card</x:v>
      </x:c>
      <x:c r="AB2054" s="84" t="str">
        <x:f>PROPER(TRIM('Raw Sales'!N2054))</x:f>
        <x:v>Nora Kim</x:v>
      </x:c>
      <x:c r="AC2054" s="85" t="n">
        <x:f>'Raw Sales'!O2054</x:f>
        <x:v>45954</x:v>
      </x:c>
      <x:c r="AD2054" s="84" t="n">
        <x:f>AC2054-B2054</x:f>
        <x:v>4</x:v>
      </x:c>
      <x:c r="AE2054" s="84" t="str">
        <x:f>IF(COUNTIF($A$5:A2054,A2054)&gt;1,"Duplicate","Keep")</x:f>
        <x:v>Keep</x:v>
      </x:c>
      <x:c r="AF2054" s="84" t="str">
        <x:f>IF(OR(R2054&lt;=0,AC2054&lt;B2054,H2054="Unknown",M2054="Unknown Product"),"Review","Valid")</x:f>
        <x:v>Valid</x:v>
      </x:c>
      <x:c r="AG2054" s="84" t="n">
        <x:f>IF(AND(AE2054="Keep",AF2054="Valid"),1,0)</x:f>
        <x:v>1</x:v>
      </x:c>
      <x:c r="AH2054" s="84" t="n">
        <x:f>IF(AND(AG2054=1,OR('Dashboard'!$B$4="All",I2054='Dashboard'!$B$4),OR('Dashboard'!$E$4="All",N2054='Dashboard'!$E$4),OR('Dashboard'!$H$4="All",K2054='Dashboard'!$H$4),OR('Dashboard'!$K$4="All",C2054='Dashboard'!$K$4)),1,0)</x:f>
        <x:v>1</x:v>
      </x:c>
      <x:c r="AI2054" s="84" t="n">
        <x:f>IF(AND(AG2054=1,OR('Dashboard'!$B$4="All",I2054='Dashboard'!$B$4),OR('Dashboard'!$E$4="All",N2054='Dashboard'!$E$4),OR('Dashboard'!$H$4="All",K2054='Dashboard'!$H$4)),1,0)</x:f>
        <x:v>1</x:v>
      </x:c>
    </x:row>
    <x:row r="2055">
      <x:c r="A2055" s="84" t="str">
        <x:f>'Raw Sales'!A2055</x:f>
        <x:v>ORD-2025-01925</x:v>
      </x:c>
      <x:c r="B2055" s="85" t="n">
        <x:f>'Raw Sales'!B2055</x:f>
        <x:v>45950</x:v>
      </x:c>
      <x:c r="C2055" s="84" t="n">
        <x:f>YEAR(B2055)</x:f>
        <x:v>2025</x:v>
      </x:c>
      <x:c r="D2055" s="91" t="n">
        <x:f>DATE(YEAR(B2055),MONTH(B2055),1)</x:f>
        <x:v>45931</x:v>
      </x:c>
      <x:c r="E2055" s="84" t="str">
        <x:f>TEXT(B2055,"mmm")</x:f>
        <x:v>Oct</x:v>
      </x:c>
      <x:c r="F2055" s="84" t="str">
        <x:f>'Raw Sales'!C2055</x:f>
        <x:v>CUST-0450</x:v>
      </x:c>
      <x:c r="G2055" s="84" t="str">
        <x:f>PROPER(TRIM('Raw Sales'!D2055))</x:f>
        <x:v>Samuel Garcia</x:v>
      </x:c>
      <x:c r="H2055" s="84" t="str">
        <x:f>IF(TRIM('Raw Sales'!E2055)="","Unknown",PROPER(TRIM('Raw Sales'!E2055)))</x:f>
        <x:v>Small Business</x:v>
      </x:c>
      <x:c r="I2055" s="84" t="str">
        <x:f>PROPER(TRIM('Raw Sales'!F2055))</x:f>
        <x:v>West</x:v>
      </x:c>
      <x:c r="J2055" s="84" t="str">
        <x:f>PROPER(TRIM('Raw Sales'!G2055))</x:f>
        <x:v>Seattle</x:v>
      </x:c>
      <x:c r="K2055" s="84" t="str">
        <x:f>PROPER(TRIM('Raw Sales'!H2055))</x:f>
        <x:v>Marketplace</x:v>
      </x:c>
      <x:c r="L2055" s="84" t="str">
        <x:f>'Raw Sales'!I2055</x:f>
        <x:v>OFFC-004</x:v>
      </x:c>
      <x:c r="M2055" s="84" t="str">
        <x:f>IFERROR(VLOOKUP(L2055,'Reference Data'!$A$5:$F$40,2,FALSE),"Unknown Product")</x:f>
        <x:v>Premium Notebook Pack</x:v>
      </x:c>
      <x:c r="N2055" s="84" t="str">
        <x:f>IFERROR(VLOOKUP(L2055,'Reference Data'!$A$5:$F$40,3,FALSE),"Unknown")</x:f>
        <x:v>Office</x:v>
      </x:c>
      <x:c r="O2055" s="84" t="str">
        <x:f>IFERROR(VLOOKUP(L2055,'Reference Data'!$A$5:$F$40,4,FALSE),"Unknown")</x:f>
        <x:v>Stationery</x:v>
      </x:c>
      <x:c r="P2055" s="92" t="n">
        <x:f>IFERROR(VLOOKUP(L2055,'Reference Data'!$A$5:$F$40,5,FALSE),0)</x:f>
        <x:v>18</x:v>
      </x:c>
      <x:c r="Q2055" s="92" t="n">
        <x:f>IFERROR(VLOOKUP(L2055,'Reference Data'!$A$5:$F$40,6,FALSE),0)</x:f>
        <x:v>6.5</x:v>
      </x:c>
      <x:c r="R2055" s="84" t="n">
        <x:f>'Raw Sales'!J2055</x:f>
        <x:v>1</x:v>
      </x:c>
      <x:c r="S2055" s="87" t="n">
        <x:f>'Raw Sales'!K2055</x:f>
        <x:v>0.05</x:v>
      </x:c>
      <x:c r="T2055" s="93" t="n">
        <x:f>P2055*R2055</x:f>
        <x:v>18</x:v>
      </x:c>
      <x:c r="U2055" s="93" t="n">
        <x:f>T2055*S2055</x:f>
        <x:v>0.9</x:v>
      </x:c>
      <x:c r="V2055" s="93" t="str">
        <x:f>PROPER(TRIM('Raw Sales'!L2055))</x:f>
        <x:v>Completed</x:v>
      </x:c>
      <x:c r="W2055" s="93" t="n">
        <x:f>IF(V2055="Returned",0,T2055-U2055)</x:f>
        <x:v>17.1</x:v>
      </x:c>
      <x:c r="X2055" s="93" t="n">
        <x:f>IF(V2055="Returned",Q2055*R2055*10%,Q2055*R2055)</x:f>
        <x:v>6.5</x:v>
      </x:c>
      <x:c r="Y2055" s="93" t="n">
        <x:f>W2055-X2055</x:f>
        <x:v>10.600000000000001</x:v>
      </x:c>
      <x:c r="Z2055" s="94" t="n">
        <x:f>IFERROR(Y2055/W2055,0)</x:f>
        <x:v>0.6198830409356726</x:v>
      </x:c>
      <x:c r="AA2055" s="84" t="str">
        <x:f>PROPER(TRIM('Raw Sales'!M2055))</x:f>
        <x:v>Paypal</x:v>
      </x:c>
      <x:c r="AB2055" s="84" t="str">
        <x:f>PROPER(TRIM('Raw Sales'!N2055))</x:f>
        <x:v>Leo Martinez</x:v>
      </x:c>
      <x:c r="AC2055" s="85" t="n">
        <x:f>'Raw Sales'!O2055</x:f>
        <x:v>45958</x:v>
      </x:c>
      <x:c r="AD2055" s="84" t="n">
        <x:f>AC2055-B2055</x:f>
        <x:v>8</x:v>
      </x:c>
      <x:c r="AE2055" s="84" t="str">
        <x:f>IF(COUNTIF($A$5:A2055,A2055)&gt;1,"Duplicate","Keep")</x:f>
        <x:v>Keep</x:v>
      </x:c>
      <x:c r="AF2055" s="84" t="str">
        <x:f>IF(OR(R2055&lt;=0,AC2055&lt;B2055,H2055="Unknown",M2055="Unknown Product"),"Review","Valid")</x:f>
        <x:v>Valid</x:v>
      </x:c>
      <x:c r="AG2055" s="84" t="n">
        <x:f>IF(AND(AE2055="Keep",AF2055="Valid"),1,0)</x:f>
        <x:v>1</x:v>
      </x:c>
      <x:c r="AH2055" s="84" t="n">
        <x:f>IF(AND(AG2055=1,OR('Dashboard'!$B$4="All",I2055='Dashboard'!$B$4),OR('Dashboard'!$E$4="All",N2055='Dashboard'!$E$4),OR('Dashboard'!$H$4="All",K2055='Dashboard'!$H$4),OR('Dashboard'!$K$4="All",C2055='Dashboard'!$K$4)),1,0)</x:f>
        <x:v>1</x:v>
      </x:c>
      <x:c r="AI2055" s="84" t="n">
        <x:f>IF(AND(AG2055=1,OR('Dashboard'!$B$4="All",I2055='Dashboard'!$B$4),OR('Dashboard'!$E$4="All",N2055='Dashboard'!$E$4),OR('Dashboard'!$H$4="All",K2055='Dashboard'!$H$4)),1,0)</x:f>
        <x:v>1</x:v>
      </x:c>
    </x:row>
    <x:row r="2056">
      <x:c r="A2056" s="84" t="str">
        <x:f>'Raw Sales'!A2056</x:f>
        <x:v>ORD-2025-00079</x:v>
      </x:c>
      <x:c r="B2056" s="85" t="n">
        <x:f>'Raw Sales'!B2056</x:f>
        <x:v>45951</x:v>
      </x:c>
      <x:c r="C2056" s="84" t="n">
        <x:f>YEAR(B2056)</x:f>
        <x:v>2025</x:v>
      </x:c>
      <x:c r="D2056" s="91" t="n">
        <x:f>DATE(YEAR(B2056),MONTH(B2056),1)</x:f>
        <x:v>45931</x:v>
      </x:c>
      <x:c r="E2056" s="84" t="str">
        <x:f>TEXT(B2056,"mmm")</x:f>
        <x:v>Oct</x:v>
      </x:c>
      <x:c r="F2056" s="84" t="str">
        <x:f>'Raw Sales'!C2056</x:f>
        <x:v>CUST-0284</x:v>
      </x:c>
      <x:c r="G2056" s="84" t="str">
        <x:f>PROPER(TRIM('Raw Sales'!D2056))</x:f>
        <x:v>Marcus Foster</x:v>
      </x:c>
      <x:c r="H2056" s="84" t="str">
        <x:f>IF(TRIM('Raw Sales'!E2056)="","Unknown",PROPER(TRIM('Raw Sales'!E2056)))</x:f>
        <x:v>Consumer</x:v>
      </x:c>
      <x:c r="I2056" s="84" t="str">
        <x:f>PROPER(TRIM('Raw Sales'!F2056))</x:f>
        <x:v>Midwest</x:v>
      </x:c>
      <x:c r="J2056" s="84" t="str">
        <x:f>PROPER(TRIM('Raw Sales'!G2056))</x:f>
        <x:v>Detroit</x:v>
      </x:c>
      <x:c r="K2056" s="84" t="str">
        <x:f>PROPER(TRIM('Raw Sales'!H2056))</x:f>
        <x:v>Retail Store</x:v>
      </x:c>
      <x:c r="L2056" s="84" t="str">
        <x:f>'Raw Sales'!I2056</x:f>
        <x:v>ELEC-004</x:v>
      </x:c>
      <x:c r="M2056" s="84" t="str">
        <x:f>IFERROR(VLOOKUP(L2056,'Reference Data'!$A$5:$F$40,2,FALSE),"Unknown Product")</x:f>
        <x:v>Power Bank</x:v>
      </x:c>
      <x:c r="N2056" s="84" t="str">
        <x:f>IFERROR(VLOOKUP(L2056,'Reference Data'!$A$5:$F$40,3,FALSE),"Unknown")</x:f>
        <x:v>Electronics</x:v>
      </x:c>
      <x:c r="O2056" s="84" t="str">
        <x:f>IFERROR(VLOOKUP(L2056,'Reference Data'!$A$5:$F$40,4,FALSE),"Unknown")</x:f>
        <x:v>Mobile Accessories</x:v>
      </x:c>
      <x:c r="P2056" s="92" t="n">
        <x:f>IFERROR(VLOOKUP(L2056,'Reference Data'!$A$5:$F$40,5,FALSE),0)</x:f>
        <x:v>39</x:v>
      </x:c>
      <x:c r="Q2056" s="92" t="n">
        <x:f>IFERROR(VLOOKUP(L2056,'Reference Data'!$A$5:$F$40,6,FALSE),0)</x:f>
        <x:v>18</x:v>
      </x:c>
      <x:c r="R2056" s="84" t="n">
        <x:f>'Raw Sales'!J2056</x:f>
        <x:v>2</x:v>
      </x:c>
      <x:c r="S2056" s="87" t="n">
        <x:f>'Raw Sales'!K2056</x:f>
        <x:v>0.05</x:v>
      </x:c>
      <x:c r="T2056" s="93" t="n">
        <x:f>P2056*R2056</x:f>
        <x:v>78</x:v>
      </x:c>
      <x:c r="U2056" s="93" t="n">
        <x:f>T2056*S2056</x:f>
        <x:v>3.9000000000000004</x:v>
      </x:c>
      <x:c r="V2056" s="93" t="str">
        <x:f>PROPER(TRIM('Raw Sales'!L2056))</x:f>
        <x:v>Completed</x:v>
      </x:c>
      <x:c r="W2056" s="93" t="n">
        <x:f>IF(V2056="Returned",0,T2056-U2056)</x:f>
        <x:v>74.1</x:v>
      </x:c>
      <x:c r="X2056" s="93" t="n">
        <x:f>IF(V2056="Returned",Q2056*R2056*10%,Q2056*R2056)</x:f>
        <x:v>36</x:v>
      </x:c>
      <x:c r="Y2056" s="93" t="n">
        <x:f>W2056-X2056</x:f>
        <x:v>38.099999999999994</x:v>
      </x:c>
      <x:c r="Z2056" s="94" t="n">
        <x:f>IFERROR(Y2056/W2056,0)</x:f>
        <x:v>0.5141700404858299</x:v>
      </x:c>
      <x:c r="AA2056" s="84" t="str">
        <x:f>PROPER(TRIM('Raw Sales'!M2056))</x:f>
        <x:v>Cash</x:v>
      </x:c>
      <x:c r="AB2056" s="84" t="str">
        <x:f>PROPER(TRIM('Raw Sales'!N2056))</x:f>
        <x:v>Emma Hayes</x:v>
      </x:c>
      <x:c r="AC2056" s="85" t="n">
        <x:f>'Raw Sales'!O2056</x:f>
        <x:v>45951</x:v>
      </x:c>
      <x:c r="AD2056" s="84" t="n">
        <x:f>AC2056-B2056</x:f>
        <x:v>0</x:v>
      </x:c>
      <x:c r="AE2056" s="84" t="str">
        <x:f>IF(COUNTIF($A$5:A2056,A2056)&gt;1,"Duplicate","Keep")</x:f>
        <x:v>Keep</x:v>
      </x:c>
      <x:c r="AF2056" s="84" t="str">
        <x:f>IF(OR(R2056&lt;=0,AC2056&lt;B2056,H2056="Unknown",M2056="Unknown Product"),"Review","Valid")</x:f>
        <x:v>Valid</x:v>
      </x:c>
      <x:c r="AG2056" s="84" t="n">
        <x:f>IF(AND(AE2056="Keep",AF2056="Valid"),1,0)</x:f>
        <x:v>1</x:v>
      </x:c>
      <x:c r="AH2056" s="84" t="n">
        <x:f>IF(AND(AG2056=1,OR('Dashboard'!$B$4="All",I2056='Dashboard'!$B$4),OR('Dashboard'!$E$4="All",N2056='Dashboard'!$E$4),OR('Dashboard'!$H$4="All",K2056='Dashboard'!$H$4),OR('Dashboard'!$K$4="All",C2056='Dashboard'!$K$4)),1,0)</x:f>
        <x:v>1</x:v>
      </x:c>
      <x:c r="AI2056" s="84" t="n">
        <x:f>IF(AND(AG2056=1,OR('Dashboard'!$B$4="All",I2056='Dashboard'!$B$4),OR('Dashboard'!$E$4="All",N2056='Dashboard'!$E$4),OR('Dashboard'!$H$4="All",K2056='Dashboard'!$H$4)),1,0)</x:f>
        <x:v>1</x:v>
      </x:c>
    </x:row>
    <x:row r="2057">
      <x:c r="A2057" s="84" t="str">
        <x:f>'Raw Sales'!A2057</x:f>
        <x:v>ORD-2025-02379</x:v>
      </x:c>
      <x:c r="B2057" s="85" t="n">
        <x:f>'Raw Sales'!B2057</x:f>
        <x:v>45951</x:v>
      </x:c>
      <x:c r="C2057" s="84" t="n">
        <x:f>YEAR(B2057)</x:f>
        <x:v>2025</x:v>
      </x:c>
      <x:c r="D2057" s="91" t="n">
        <x:f>DATE(YEAR(B2057),MONTH(B2057),1)</x:f>
        <x:v>45931</x:v>
      </x:c>
      <x:c r="E2057" s="84" t="str">
        <x:f>TEXT(B2057,"mmm")</x:f>
        <x:v>Oct</x:v>
      </x:c>
      <x:c r="F2057" s="84" t="str">
        <x:f>'Raw Sales'!C2057</x:f>
        <x:v>CUST-0466</x:v>
      </x:c>
      <x:c r="G2057" s="84" t="str">
        <x:f>PROPER(TRIM('Raw Sales'!D2057))</x:f>
        <x:v>Sara Young</x:v>
      </x:c>
      <x:c r="H2057" s="84" t="str">
        <x:f>IF(TRIM('Raw Sales'!E2057)="","Unknown",PROPER(TRIM('Raw Sales'!E2057)))</x:f>
        <x:v>Unknown</x:v>
      </x:c>
      <x:c r="I2057" s="84" t="str">
        <x:f>PROPER(TRIM('Raw Sales'!F2057))</x:f>
        <x:v>West</x:v>
      </x:c>
      <x:c r="J2057" s="84" t="str">
        <x:f>PROPER(TRIM('Raw Sales'!G2057))</x:f>
        <x:v>Los Angeles</x:v>
      </x:c>
      <x:c r="K2057" s="84" t="str">
        <x:f>PROPER(TRIM('Raw Sales'!H2057))</x:f>
        <x:v>Marketplace</x:v>
      </x:c>
      <x:c r="L2057" s="84" t="str">
        <x:f>'Raw Sales'!I2057</x:f>
        <x:v>OFFC-005</x:v>
      </x:c>
      <x:c r="M2057" s="84" t="str">
        <x:f>IFERROR(VLOOKUP(L2057,'Reference Data'!$A$5:$F$40,2,FALSE),"Unknown Product")</x:f>
        <x:v>Wireless Keyboard</x:v>
      </x:c>
      <x:c r="N2057" s="84" t="str">
        <x:f>IFERROR(VLOOKUP(L2057,'Reference Data'!$A$5:$F$40,3,FALSE),"Unknown")</x:f>
        <x:v>Office</x:v>
      </x:c>
      <x:c r="O2057" s="84" t="str">
        <x:f>IFERROR(VLOOKUP(L2057,'Reference Data'!$A$5:$F$40,4,FALSE),"Unknown")</x:f>
        <x:v>Computer Accessories</x:v>
      </x:c>
      <x:c r="P2057" s="92" t="n">
        <x:f>IFERROR(VLOOKUP(L2057,'Reference Data'!$A$5:$F$40,5,FALSE),0)</x:f>
        <x:v>59</x:v>
      </x:c>
      <x:c r="Q2057" s="92" t="n">
        <x:f>IFERROR(VLOOKUP(L2057,'Reference Data'!$A$5:$F$40,6,FALSE),0)</x:f>
        <x:v>28</x:v>
      </x:c>
      <x:c r="R2057" s="84" t="n">
        <x:f>'Raw Sales'!J2057</x:f>
        <x:v>2</x:v>
      </x:c>
      <x:c r="S2057" s="87" t="n">
        <x:f>'Raw Sales'!K2057</x:f>
        <x:v>0</x:v>
      </x:c>
      <x:c r="T2057" s="93" t="n">
        <x:f>P2057*R2057</x:f>
        <x:v>118</x:v>
      </x:c>
      <x:c r="U2057" s="93" t="n">
        <x:f>T2057*S2057</x:f>
        <x:v>0</x:v>
      </x:c>
      <x:c r="V2057" s="93" t="str">
        <x:f>PROPER(TRIM('Raw Sales'!L2057))</x:f>
        <x:v>Completed</x:v>
      </x:c>
      <x:c r="W2057" s="93" t="n">
        <x:f>IF(V2057="Returned",0,T2057-U2057)</x:f>
        <x:v>118</x:v>
      </x:c>
      <x:c r="X2057" s="93" t="n">
        <x:f>IF(V2057="Returned",Q2057*R2057*10%,Q2057*R2057)</x:f>
        <x:v>56</x:v>
      </x:c>
      <x:c r="Y2057" s="93" t="n">
        <x:f>W2057-X2057</x:f>
        <x:v>62</x:v>
      </x:c>
      <x:c r="Z2057" s="94" t="n">
        <x:f>IFERROR(Y2057/W2057,0)</x:f>
        <x:v>0.5254237288135594</x:v>
      </x:c>
      <x:c r="AA2057" s="84" t="str">
        <x:f>PROPER(TRIM('Raw Sales'!M2057))</x:f>
        <x:v>Debit Card</x:v>
      </x:c>
      <x:c r="AB2057" s="84" t="str">
        <x:f>PROPER(TRIM('Raw Sales'!N2057))</x:f>
        <x:v>Mia Chen</x:v>
      </x:c>
      <x:c r="AC2057" s="85" t="n">
        <x:f>'Raw Sales'!O2057</x:f>
        <x:v>45959</x:v>
      </x:c>
      <x:c r="AD2057" s="84" t="n">
        <x:f>AC2057-B2057</x:f>
        <x:v>8</x:v>
      </x:c>
      <x:c r="AE2057" s="84" t="str">
        <x:f>IF(COUNTIF($A$5:A2057,A2057)&gt;1,"Duplicate","Keep")</x:f>
        <x:v>Keep</x:v>
      </x:c>
      <x:c r="AF2057" s="84" t="str">
        <x:f>IF(OR(R2057&lt;=0,AC2057&lt;B2057,H2057="Unknown",M2057="Unknown Product"),"Review","Valid")</x:f>
        <x:v>Review</x:v>
      </x:c>
      <x:c r="AG2057" s="84" t="n">
        <x:f>IF(AND(AE2057="Keep",AF2057="Valid"),1,0)</x:f>
        <x:v>0</x:v>
      </x:c>
      <x:c r="AH2057" s="84" t="n">
        <x:f>IF(AND(AG2057=1,OR('Dashboard'!$B$4="All",I2057='Dashboard'!$B$4),OR('Dashboard'!$E$4="All",N2057='Dashboard'!$E$4),OR('Dashboard'!$H$4="All",K2057='Dashboard'!$H$4),OR('Dashboard'!$K$4="All",C2057='Dashboard'!$K$4)),1,0)</x:f>
        <x:v>0</x:v>
      </x:c>
      <x:c r="AI2057" s="84" t="n">
        <x:f>IF(AND(AG2057=1,OR('Dashboard'!$B$4="All",I2057='Dashboard'!$B$4),OR('Dashboard'!$E$4="All",N2057='Dashboard'!$E$4),OR('Dashboard'!$H$4="All",K2057='Dashboard'!$H$4)),1,0)</x:f>
        <x:v>0</x:v>
      </x:c>
    </x:row>
    <x:row r="2058">
      <x:c r="A2058" s="84" t="str">
        <x:f>'Raw Sales'!A2058</x:f>
        <x:v>ORD-2025-01610</x:v>
      </x:c>
      <x:c r="B2058" s="85" t="n">
        <x:f>'Raw Sales'!B2058</x:f>
        <x:v>45952</x:v>
      </x:c>
      <x:c r="C2058" s="84" t="n">
        <x:f>YEAR(B2058)</x:f>
        <x:v>2025</x:v>
      </x:c>
      <x:c r="D2058" s="91" t="n">
        <x:f>DATE(YEAR(B2058),MONTH(B2058),1)</x:f>
        <x:v>45931</x:v>
      </x:c>
      <x:c r="E2058" s="84" t="str">
        <x:f>TEXT(B2058,"mmm")</x:f>
        <x:v>Oct</x:v>
      </x:c>
      <x:c r="F2058" s="84" t="str">
        <x:f>'Raw Sales'!C2058</x:f>
        <x:v>CUST-0008</x:v>
      </x:c>
      <x:c r="G2058" s="84" t="str">
        <x:f>PROPER(TRIM('Raw Sales'!D2058))</x:f>
        <x:v>Nathan Foster</x:v>
      </x:c>
      <x:c r="H2058" s="84" t="str">
        <x:f>IF(TRIM('Raw Sales'!E2058)="","Unknown",PROPER(TRIM('Raw Sales'!E2058)))</x:f>
        <x:v>Consumer</x:v>
      </x:c>
      <x:c r="I2058" s="84" t="str">
        <x:f>PROPER(TRIM('Raw Sales'!F2058))</x:f>
        <x:v>West</x:v>
      </x:c>
      <x:c r="J2058" s="84" t="str">
        <x:f>PROPER(TRIM('Raw Sales'!G2058))</x:f>
        <x:v>Denver</x:v>
      </x:c>
      <x:c r="K2058" s="84" t="str">
        <x:f>PROPER(TRIM('Raw Sales'!H2058))</x:f>
        <x:v>Marketplace</x:v>
      </x:c>
      <x:c r="L2058" s="84" t="str">
        <x:f>'Raw Sales'!I2058</x:f>
        <x:v>OFFC-001</x:v>
      </x:c>
      <x:c r="M2058" s="84" t="str">
        <x:f>IFERROR(VLOOKUP(L2058,'Reference Data'!$A$5:$F$40,2,FALSE),"Unknown Product")</x:f>
        <x:v>Ergonomic Chair</x:v>
      </x:c>
      <x:c r="N2058" s="84" t="str">
        <x:f>IFERROR(VLOOKUP(L2058,'Reference Data'!$A$5:$F$40,3,FALSE),"Unknown")</x:f>
        <x:v>Office</x:v>
      </x:c>
      <x:c r="O2058" s="84" t="str">
        <x:f>IFERROR(VLOOKUP(L2058,'Reference Data'!$A$5:$F$40,4,FALSE),"Unknown")</x:f>
        <x:v>Furniture</x:v>
      </x:c>
      <x:c r="P2058" s="92" t="n">
        <x:f>IFERROR(VLOOKUP(L2058,'Reference Data'!$A$5:$F$40,5,FALSE),0)</x:f>
        <x:v>249</x:v>
      </x:c>
      <x:c r="Q2058" s="92" t="n">
        <x:f>IFERROR(VLOOKUP(L2058,'Reference Data'!$A$5:$F$40,6,FALSE),0)</x:f>
        <x:v>145</x:v>
      </x:c>
      <x:c r="R2058" s="84" t="n">
        <x:f>'Raw Sales'!J2058</x:f>
        <x:v>2</x:v>
      </x:c>
      <x:c r="S2058" s="87" t="n">
        <x:f>'Raw Sales'!K2058</x:f>
        <x:v>0</x:v>
      </x:c>
      <x:c r="T2058" s="93" t="n">
        <x:f>P2058*R2058</x:f>
        <x:v>498</x:v>
      </x:c>
      <x:c r="U2058" s="93" t="n">
        <x:f>T2058*S2058</x:f>
        <x:v>0</x:v>
      </x:c>
      <x:c r="V2058" s="93" t="str">
        <x:f>PROPER(TRIM('Raw Sales'!L2058))</x:f>
        <x:v>Completed</x:v>
      </x:c>
      <x:c r="W2058" s="93" t="n">
        <x:f>IF(V2058="Returned",0,T2058-U2058)</x:f>
        <x:v>498</x:v>
      </x:c>
      <x:c r="X2058" s="93" t="n">
        <x:f>IF(V2058="Returned",Q2058*R2058*10%,Q2058*R2058)</x:f>
        <x:v>290</x:v>
      </x:c>
      <x:c r="Y2058" s="93" t="n">
        <x:f>W2058-X2058</x:f>
        <x:v>208</x:v>
      </x:c>
      <x:c r="Z2058" s="94" t="n">
        <x:f>IFERROR(Y2058/W2058,0)</x:f>
        <x:v>0.41767068273092367</x:v>
      </x:c>
      <x:c r="AA2058" s="84" t="str">
        <x:f>PROPER(TRIM('Raw Sales'!M2058))</x:f>
        <x:v>Credit Card</x:v>
      </x:c>
      <x:c r="AB2058" s="84" t="str">
        <x:f>PROPER(TRIM('Raw Sales'!N2058))</x:f>
        <x:v>Leo Martinez</x:v>
      </x:c>
      <x:c r="AC2058" s="85" t="n">
        <x:f>'Raw Sales'!O2058</x:f>
        <x:v>45957</x:v>
      </x:c>
      <x:c r="AD2058" s="84" t="n">
        <x:f>AC2058-B2058</x:f>
        <x:v>5</x:v>
      </x:c>
      <x:c r="AE2058" s="84" t="str">
        <x:f>IF(COUNTIF($A$5:A2058,A2058)&gt;1,"Duplicate","Keep")</x:f>
        <x:v>Keep</x:v>
      </x:c>
      <x:c r="AF2058" s="84" t="str">
        <x:f>IF(OR(R2058&lt;=0,AC2058&lt;B2058,H2058="Unknown",M2058="Unknown Product"),"Review","Valid")</x:f>
        <x:v>Valid</x:v>
      </x:c>
      <x:c r="AG2058" s="84" t="n">
        <x:f>IF(AND(AE2058="Keep",AF2058="Valid"),1,0)</x:f>
        <x:v>1</x:v>
      </x:c>
      <x:c r="AH2058" s="84" t="n">
        <x:f>IF(AND(AG2058=1,OR('Dashboard'!$B$4="All",I2058='Dashboard'!$B$4),OR('Dashboard'!$E$4="All",N2058='Dashboard'!$E$4),OR('Dashboard'!$H$4="All",K2058='Dashboard'!$H$4),OR('Dashboard'!$K$4="All",C2058='Dashboard'!$K$4)),1,0)</x:f>
        <x:v>1</x:v>
      </x:c>
      <x:c r="AI2058" s="84" t="n">
        <x:f>IF(AND(AG2058=1,OR('Dashboard'!$B$4="All",I2058='Dashboard'!$B$4),OR('Dashboard'!$E$4="All",N2058='Dashboard'!$E$4),OR('Dashboard'!$H$4="All",K2058='Dashboard'!$H$4)),1,0)</x:f>
        <x:v>1</x:v>
      </x:c>
    </x:row>
    <x:row r="2059">
      <x:c r="A2059" s="84" t="str">
        <x:f>'Raw Sales'!A2059</x:f>
        <x:v>ORD-2025-00478</x:v>
      </x:c>
      <x:c r="B2059" s="85" t="n">
        <x:f>'Raw Sales'!B2059</x:f>
        <x:v>45953</x:v>
      </x:c>
      <x:c r="C2059" s="84" t="n">
        <x:f>YEAR(B2059)</x:f>
        <x:v>2025</x:v>
      </x:c>
      <x:c r="D2059" s="91" t="n">
        <x:f>DATE(YEAR(B2059),MONTH(B2059),1)</x:f>
        <x:v>45931</x:v>
      </x:c>
      <x:c r="E2059" s="84" t="str">
        <x:f>TEXT(B2059,"mmm")</x:f>
        <x:v>Oct</x:v>
      </x:c>
      <x:c r="F2059" s="84" t="str">
        <x:f>'Raw Sales'!C2059</x:f>
        <x:v>CUST-0123</x:v>
      </x:c>
      <x:c r="G2059" s="84" t="str">
        <x:f>PROPER(TRIM('Raw Sales'!D2059))</x:f>
        <x:v>Jasmine Patel</x:v>
      </x:c>
      <x:c r="H2059" s="84" t="str">
        <x:f>IF(TRIM('Raw Sales'!E2059)="","Unknown",PROPER(TRIM('Raw Sales'!E2059)))</x:f>
        <x:v>Consumer</x:v>
      </x:c>
      <x:c r="I2059" s="84" t="str">
        <x:f>PROPER(TRIM('Raw Sales'!F2059))</x:f>
        <x:v>Southeast</x:v>
      </x:c>
      <x:c r="J2059" s="84" t="str">
        <x:f>PROPER(TRIM('Raw Sales'!G2059))</x:f>
        <x:v>Nashville</x:v>
      </x:c>
      <x:c r="K2059" s="84" t="str">
        <x:f>PROPER(TRIM('Raw Sales'!H2059))</x:f>
        <x:v>Online</x:v>
      </x:c>
      <x:c r="L2059" s="84" t="str">
        <x:f>'Raw Sales'!I2059</x:f>
        <x:v>CARE-002</x:v>
      </x:c>
      <x:c r="M2059" s="84" t="str">
        <x:f>IFERROR(VLOOKUP(L2059,'Reference Data'!$A$5:$F$40,2,FALSE),"Unknown Product")</x:f>
        <x:v>Rechargeable Trimmer</x:v>
      </x:c>
      <x:c r="N2059" s="84" t="str">
        <x:f>IFERROR(VLOOKUP(L2059,'Reference Data'!$A$5:$F$40,3,FALSE),"Unknown")</x:f>
        <x:v>Personal Care</x:v>
      </x:c>
      <x:c r="O2059" s="84" t="str">
        <x:f>IFERROR(VLOOKUP(L2059,'Reference Data'!$A$5:$F$40,4,FALSE),"Unknown")</x:f>
        <x:v>Grooming</x:v>
      </x:c>
      <x:c r="P2059" s="92" t="n">
        <x:f>IFERROR(VLOOKUP(L2059,'Reference Data'!$A$5:$F$40,5,FALSE),0)</x:f>
        <x:v>45</x:v>
      </x:c>
      <x:c r="Q2059" s="92" t="n">
        <x:f>IFERROR(VLOOKUP(L2059,'Reference Data'!$A$5:$F$40,6,FALSE),0)</x:f>
        <x:v>19</x:v>
      </x:c>
      <x:c r="R2059" s="84" t="n">
        <x:f>'Raw Sales'!J2059</x:f>
        <x:v>1</x:v>
      </x:c>
      <x:c r="S2059" s="87" t="n">
        <x:f>'Raw Sales'!K2059</x:f>
        <x:v>0.1</x:v>
      </x:c>
      <x:c r="T2059" s="93" t="n">
        <x:f>P2059*R2059</x:f>
        <x:v>45</x:v>
      </x:c>
      <x:c r="U2059" s="93" t="n">
        <x:f>T2059*S2059</x:f>
        <x:v>4.5</x:v>
      </x:c>
      <x:c r="V2059" s="93" t="str">
        <x:f>PROPER(TRIM('Raw Sales'!L2059))</x:f>
        <x:v>Completed</x:v>
      </x:c>
      <x:c r="W2059" s="93" t="n">
        <x:f>IF(V2059="Returned",0,T2059-U2059)</x:f>
        <x:v>40.5</x:v>
      </x:c>
      <x:c r="X2059" s="93" t="n">
        <x:f>IF(V2059="Returned",Q2059*R2059*10%,Q2059*R2059)</x:f>
        <x:v>19</x:v>
      </x:c>
      <x:c r="Y2059" s="93" t="n">
        <x:f>W2059-X2059</x:f>
        <x:v>21.5</x:v>
      </x:c>
      <x:c r="Z2059" s="94" t="n">
        <x:f>IFERROR(Y2059/W2059,0)</x:f>
        <x:v>0.5308641975308642</x:v>
      </x:c>
      <x:c r="AA2059" s="84" t="str">
        <x:f>PROPER(TRIM('Raw Sales'!M2059))</x:f>
        <x:v>Mobile Wallet</x:v>
      </x:c>
      <x:c r="AB2059" s="84" t="str">
        <x:f>PROPER(TRIM('Raw Sales'!N2059))</x:f>
        <x:v>Ava Mitchell</x:v>
      </x:c>
      <x:c r="AC2059" s="85" t="n">
        <x:f>'Raw Sales'!O2059</x:f>
        <x:v>45957</x:v>
      </x:c>
      <x:c r="AD2059" s="84" t="n">
        <x:f>AC2059-B2059</x:f>
        <x:v>4</x:v>
      </x:c>
      <x:c r="AE2059" s="84" t="str">
        <x:f>IF(COUNTIF($A$5:A2059,A2059)&gt;1,"Duplicate","Keep")</x:f>
        <x:v>Keep</x:v>
      </x:c>
      <x:c r="AF2059" s="84" t="str">
        <x:f>IF(OR(R2059&lt;=0,AC2059&lt;B2059,H2059="Unknown",M2059="Unknown Product"),"Review","Valid")</x:f>
        <x:v>Valid</x:v>
      </x:c>
      <x:c r="AG2059" s="84" t="n">
        <x:f>IF(AND(AE2059="Keep",AF2059="Valid"),1,0)</x:f>
        <x:v>1</x:v>
      </x:c>
      <x:c r="AH2059" s="84" t="n">
        <x:f>IF(AND(AG2059=1,OR('Dashboard'!$B$4="All",I2059='Dashboard'!$B$4),OR('Dashboard'!$E$4="All",N2059='Dashboard'!$E$4),OR('Dashboard'!$H$4="All",K2059='Dashboard'!$H$4),OR('Dashboard'!$K$4="All",C2059='Dashboard'!$K$4)),1,0)</x:f>
        <x:v>1</x:v>
      </x:c>
      <x:c r="AI2059" s="84" t="n">
        <x:f>IF(AND(AG2059=1,OR('Dashboard'!$B$4="All",I2059='Dashboard'!$B$4),OR('Dashboard'!$E$4="All",N2059='Dashboard'!$E$4),OR('Dashboard'!$H$4="All",K2059='Dashboard'!$H$4)),1,0)</x:f>
        <x:v>1</x:v>
      </x:c>
    </x:row>
    <x:row r="2060">
      <x:c r="A2060" s="84" t="str">
        <x:f>'Raw Sales'!A2060</x:f>
        <x:v>ORD-2025-01957</x:v>
      </x:c>
      <x:c r="B2060" s="85" t="n">
        <x:f>'Raw Sales'!B2060</x:f>
        <x:v>45953</x:v>
      </x:c>
      <x:c r="C2060" s="84" t="n">
        <x:f>YEAR(B2060)</x:f>
        <x:v>2025</x:v>
      </x:c>
      <x:c r="D2060" s="91" t="n">
        <x:f>DATE(YEAR(B2060),MONTH(B2060),1)</x:f>
        <x:v>45931</x:v>
      </x:c>
      <x:c r="E2060" s="84" t="str">
        <x:f>TEXT(B2060,"mmm")</x:f>
        <x:v>Oct</x:v>
      </x:c>
      <x:c r="F2060" s="84" t="str">
        <x:f>'Raw Sales'!C2060</x:f>
        <x:v>CUST-0569</x:v>
      </x:c>
      <x:c r="G2060" s="84" t="str">
        <x:f>PROPER(TRIM('Raw Sales'!D2060))</x:f>
        <x:v>Daniel Walker</x:v>
      </x:c>
      <x:c r="H2060" s="84" t="str">
        <x:f>IF(TRIM('Raw Sales'!E2060)="","Unknown",PROPER(TRIM('Raw Sales'!E2060)))</x:f>
        <x:v>Consumer</x:v>
      </x:c>
      <x:c r="I2060" s="84" t="str">
        <x:f>PROPER(TRIM('Raw Sales'!F2060))</x:f>
        <x:v>Midwest</x:v>
      </x:c>
      <x:c r="J2060" s="84" t="str">
        <x:f>PROPER(TRIM('Raw Sales'!G2060))</x:f>
        <x:v>Chicago</x:v>
      </x:c>
      <x:c r="K2060" s="84" t="str">
        <x:f>PROPER(TRIM('Raw Sales'!H2060))</x:f>
        <x:v>Marketplace</x:v>
      </x:c>
      <x:c r="L2060" s="84" t="str">
        <x:f>'Raw Sales'!I2060</x:f>
        <x:v>CARE-003</x:v>
      </x:c>
      <x:c r="M2060" s="84" t="str">
        <x:f>IFERROR(VLOOKUP(L2060,'Reference Data'!$A$5:$F$40,2,FALSE),"Unknown Product")</x:f>
        <x:v>Facial Cleanser</x:v>
      </x:c>
      <x:c r="N2060" s="84" t="str">
        <x:f>IFERROR(VLOOKUP(L2060,'Reference Data'!$A$5:$F$40,3,FALSE),"Unknown")</x:f>
        <x:v>Personal Care</x:v>
      </x:c>
      <x:c r="O2060" s="84" t="str">
        <x:f>IFERROR(VLOOKUP(L2060,'Reference Data'!$A$5:$F$40,4,FALSE),"Unknown")</x:f>
        <x:v>Skin Care</x:v>
      </x:c>
      <x:c r="P2060" s="92" t="n">
        <x:f>IFERROR(VLOOKUP(L2060,'Reference Data'!$A$5:$F$40,5,FALSE),0)</x:f>
        <x:v>18</x:v>
      </x:c>
      <x:c r="Q2060" s="92" t="n">
        <x:f>IFERROR(VLOOKUP(L2060,'Reference Data'!$A$5:$F$40,6,FALSE),0)</x:f>
        <x:v>6</x:v>
      </x:c>
      <x:c r="R2060" s="84" t="n">
        <x:f>'Raw Sales'!J2060</x:f>
        <x:v>2</x:v>
      </x:c>
      <x:c r="S2060" s="87" t="n">
        <x:f>'Raw Sales'!K2060</x:f>
        <x:v>0.1</x:v>
      </x:c>
      <x:c r="T2060" s="93" t="n">
        <x:f>P2060*R2060</x:f>
        <x:v>36</x:v>
      </x:c>
      <x:c r="U2060" s="93" t="n">
        <x:f>T2060*S2060</x:f>
        <x:v>3.6</x:v>
      </x:c>
      <x:c r="V2060" s="93" t="str">
        <x:f>PROPER(TRIM('Raw Sales'!L2060))</x:f>
        <x:v>Completed</x:v>
      </x:c>
      <x:c r="W2060" s="93" t="n">
        <x:f>IF(V2060="Returned",0,T2060-U2060)</x:f>
        <x:v>32.4</x:v>
      </x:c>
      <x:c r="X2060" s="93" t="n">
        <x:f>IF(V2060="Returned",Q2060*R2060*10%,Q2060*R2060)</x:f>
        <x:v>12</x:v>
      </x:c>
      <x:c r="Y2060" s="93" t="n">
        <x:f>W2060-X2060</x:f>
        <x:v>20.4</x:v>
      </x:c>
      <x:c r="Z2060" s="94" t="n">
        <x:f>IFERROR(Y2060/W2060,0)</x:f>
        <x:v>0.6296296296296297</x:v>
      </x:c>
      <x:c r="AA2060" s="84" t="str">
        <x:f>PROPER(TRIM('Raw Sales'!M2060))</x:f>
        <x:v>Credit Card</x:v>
      </x:c>
      <x:c r="AB2060" s="84" t="str">
        <x:f>PROPER(TRIM('Raw Sales'!N2060))</x:f>
        <x:v>Lucas Grant</x:v>
      </x:c>
      <x:c r="AC2060" s="85" t="n">
        <x:f>'Raw Sales'!O2060</x:f>
        <x:v>45956</x:v>
      </x:c>
      <x:c r="AD2060" s="84" t="n">
        <x:f>AC2060-B2060</x:f>
        <x:v>3</x:v>
      </x:c>
      <x:c r="AE2060" s="84" t="str">
        <x:f>IF(COUNTIF($A$5:A2060,A2060)&gt;1,"Duplicate","Keep")</x:f>
        <x:v>Keep</x:v>
      </x:c>
      <x:c r="AF2060" s="84" t="str">
        <x:f>IF(OR(R2060&lt;=0,AC2060&lt;B2060,H2060="Unknown",M2060="Unknown Product"),"Review","Valid")</x:f>
        <x:v>Valid</x:v>
      </x:c>
      <x:c r="AG2060" s="84" t="n">
        <x:f>IF(AND(AE2060="Keep",AF2060="Valid"),1,0)</x:f>
        <x:v>1</x:v>
      </x:c>
      <x:c r="AH2060" s="84" t="n">
        <x:f>IF(AND(AG2060=1,OR('Dashboard'!$B$4="All",I2060='Dashboard'!$B$4),OR('Dashboard'!$E$4="All",N2060='Dashboard'!$E$4),OR('Dashboard'!$H$4="All",K2060='Dashboard'!$H$4),OR('Dashboard'!$K$4="All",C2060='Dashboard'!$K$4)),1,0)</x:f>
        <x:v>1</x:v>
      </x:c>
      <x:c r="AI2060" s="84" t="n">
        <x:f>IF(AND(AG2060=1,OR('Dashboard'!$B$4="All",I2060='Dashboard'!$B$4),OR('Dashboard'!$E$4="All",N2060='Dashboard'!$E$4),OR('Dashboard'!$H$4="All",K2060='Dashboard'!$H$4)),1,0)</x:f>
        <x:v>1</x:v>
      </x:c>
    </x:row>
    <x:row r="2061">
      <x:c r="A2061" s="84" t="str">
        <x:f>'Raw Sales'!A2061</x:f>
        <x:v>ORD-2025-02295</x:v>
      </x:c>
      <x:c r="B2061" s="85" t="n">
        <x:f>'Raw Sales'!B2061</x:f>
        <x:v>45953</x:v>
      </x:c>
      <x:c r="C2061" s="84" t="n">
        <x:f>YEAR(B2061)</x:f>
        <x:v>2025</x:v>
      </x:c>
      <x:c r="D2061" s="91" t="n">
        <x:f>DATE(YEAR(B2061),MONTH(B2061),1)</x:f>
        <x:v>45931</x:v>
      </x:c>
      <x:c r="E2061" s="84" t="str">
        <x:f>TEXT(B2061,"mmm")</x:f>
        <x:v>Oct</x:v>
      </x:c>
      <x:c r="F2061" s="84" t="str">
        <x:f>'Raw Sales'!C2061</x:f>
        <x:v>CUST-0541</x:v>
      </x:c>
      <x:c r="G2061" s="84" t="str">
        <x:f>PROPER(TRIM('Raw Sales'!D2061))</x:f>
        <x:v>Caleb Adams</x:v>
      </x:c>
      <x:c r="H2061" s="84" t="str">
        <x:f>IF(TRIM('Raw Sales'!E2061)="","Unknown",PROPER(TRIM('Raw Sales'!E2061)))</x:f>
        <x:v>Small Business</x:v>
      </x:c>
      <x:c r="I2061" s="84" t="str">
        <x:f>PROPER(TRIM('Raw Sales'!F2061))</x:f>
        <x:v>Northeast</x:v>
      </x:c>
      <x:c r="J2061" s="84" t="str">
        <x:f>PROPER(TRIM('Raw Sales'!G2061))</x:f>
        <x:v>Newark</x:v>
      </x:c>
      <x:c r="K2061" s="84" t="str">
        <x:f>PROPER(TRIM('Raw Sales'!H2061))</x:f>
        <x:v>Online</x:v>
      </x:c>
      <x:c r="L2061" s="84" t="str">
        <x:f>'Raw Sales'!I2061</x:f>
        <x:v>ELEC-005</x:v>
      </x:c>
      <x:c r="M2061" s="84" t="str">
        <x:f>IFERROR(VLOOKUP(L2061,'Reference Data'!$A$5:$F$40,2,FALSE),"Unknown Product")</x:f>
        <x:v>HD Webcam</x:v>
      </x:c>
      <x:c r="N2061" s="84" t="str">
        <x:f>IFERROR(VLOOKUP(L2061,'Reference Data'!$A$5:$F$40,3,FALSE),"Unknown")</x:f>
        <x:v>Electronics</x:v>
      </x:c>
      <x:c r="O2061" s="84" t="str">
        <x:f>IFERROR(VLOOKUP(L2061,'Reference Data'!$A$5:$F$40,4,FALSE),"Unknown")</x:f>
        <x:v>Computer Accessories</x:v>
      </x:c>
      <x:c r="P2061" s="92" t="n">
        <x:f>IFERROR(VLOOKUP(L2061,'Reference Data'!$A$5:$F$40,5,FALSE),0)</x:f>
        <x:v>79</x:v>
      </x:c>
      <x:c r="Q2061" s="92" t="n">
        <x:f>IFERROR(VLOOKUP(L2061,'Reference Data'!$A$5:$F$40,6,FALSE),0)</x:f>
        <x:v>37</x:v>
      </x:c>
      <x:c r="R2061" s="84" t="n">
        <x:f>'Raw Sales'!J2061</x:f>
        <x:v>2</x:v>
      </x:c>
      <x:c r="S2061" s="87" t="n">
        <x:f>'Raw Sales'!K2061</x:f>
        <x:v>0.15</x:v>
      </x:c>
      <x:c r="T2061" s="93" t="n">
        <x:f>P2061*R2061</x:f>
        <x:v>158</x:v>
      </x:c>
      <x:c r="U2061" s="93" t="n">
        <x:f>T2061*S2061</x:f>
        <x:v>23.7</x:v>
      </x:c>
      <x:c r="V2061" s="93" t="str">
        <x:f>PROPER(TRIM('Raw Sales'!L2061))</x:f>
        <x:v>Returned</x:v>
      </x:c>
      <x:c r="W2061" s="93" t="n">
        <x:f>IF(V2061="Returned",0,T2061-U2061)</x:f>
        <x:v>0</x:v>
      </x:c>
      <x:c r="X2061" s="93" t="n">
        <x:f>IF(V2061="Returned",Q2061*R2061*10%,Q2061*R2061)</x:f>
        <x:v>7.4</x:v>
      </x:c>
      <x:c r="Y2061" s="93" t="n">
        <x:f>W2061-X2061</x:f>
        <x:v>-7.4</x:v>
      </x:c>
      <x:c r="Z2061" s="94" t="n">
        <x:f>IFERROR(Y2061/W2061,0)</x:f>
        <x:v>0</x:v>
      </x:c>
      <x:c r="AA2061" s="84" t="str">
        <x:f>PROPER(TRIM('Raw Sales'!M2061))</x:f>
        <x:v>Debit Card</x:v>
      </x:c>
      <x:c r="AB2061" s="84" t="str">
        <x:f>PROPER(TRIM('Raw Sales'!N2061))</x:f>
        <x:v>Maya Brooks</x:v>
      </x:c>
      <x:c r="AC2061" s="85" t="n">
        <x:f>'Raw Sales'!O2061</x:f>
        <x:v>45955</x:v>
      </x:c>
      <x:c r="AD2061" s="84" t="n">
        <x:f>AC2061-B2061</x:f>
        <x:v>2</x:v>
      </x:c>
      <x:c r="AE2061" s="84" t="str">
        <x:f>IF(COUNTIF($A$5:A2061,A2061)&gt;1,"Duplicate","Keep")</x:f>
        <x:v>Keep</x:v>
      </x:c>
      <x:c r="AF2061" s="84" t="str">
        <x:f>IF(OR(R2061&lt;=0,AC2061&lt;B2061,H2061="Unknown",M2061="Unknown Product"),"Review","Valid")</x:f>
        <x:v>Valid</x:v>
      </x:c>
      <x:c r="AG2061" s="84" t="n">
        <x:f>IF(AND(AE2061="Keep",AF2061="Valid"),1,0)</x:f>
        <x:v>1</x:v>
      </x:c>
      <x:c r="AH2061" s="84" t="n">
        <x:f>IF(AND(AG2061=1,OR('Dashboard'!$B$4="All",I2061='Dashboard'!$B$4),OR('Dashboard'!$E$4="All",N2061='Dashboard'!$E$4),OR('Dashboard'!$H$4="All",K2061='Dashboard'!$H$4),OR('Dashboard'!$K$4="All",C2061='Dashboard'!$K$4)),1,0)</x:f>
        <x:v>1</x:v>
      </x:c>
      <x:c r="AI2061" s="84" t="n">
        <x:f>IF(AND(AG2061=1,OR('Dashboard'!$B$4="All",I2061='Dashboard'!$B$4),OR('Dashboard'!$E$4="All",N2061='Dashboard'!$E$4),OR('Dashboard'!$H$4="All",K2061='Dashboard'!$H$4)),1,0)</x:f>
        <x:v>1</x:v>
      </x:c>
    </x:row>
    <x:row r="2062">
      <x:c r="A2062" s="84" t="str">
        <x:f>'Raw Sales'!A2062</x:f>
        <x:v>ORD-2025-02393</x:v>
      </x:c>
      <x:c r="B2062" s="85" t="n">
        <x:f>'Raw Sales'!B2062</x:f>
        <x:v>45953</x:v>
      </x:c>
      <x:c r="C2062" s="84" t="n">
        <x:f>YEAR(B2062)</x:f>
        <x:v>2025</x:v>
      </x:c>
      <x:c r="D2062" s="91" t="n">
        <x:f>DATE(YEAR(B2062),MONTH(B2062),1)</x:f>
        <x:v>45931</x:v>
      </x:c>
      <x:c r="E2062" s="84" t="str">
        <x:f>TEXT(B2062,"mmm")</x:f>
        <x:v>Oct</x:v>
      </x:c>
      <x:c r="F2062" s="84" t="str">
        <x:f>'Raw Sales'!C2062</x:f>
        <x:v>CUST-0430</x:v>
      </x:c>
      <x:c r="G2062" s="84" t="str">
        <x:f>PROPER(TRIM('Raw Sales'!D2062))</x:f>
        <x:v>William Adams</x:v>
      </x:c>
      <x:c r="H2062" s="84" t="str">
        <x:f>IF(TRIM('Raw Sales'!E2062)="","Unknown",PROPER(TRIM('Raw Sales'!E2062)))</x:f>
        <x:v>Small Business</x:v>
      </x:c>
      <x:c r="I2062" s="84" t="str">
        <x:f>PROPER(TRIM('Raw Sales'!F2062))</x:f>
        <x:v>West</x:v>
      </x:c>
      <x:c r="J2062" s="84" t="str">
        <x:f>PROPER(TRIM('Raw Sales'!G2062))</x:f>
        <x:v>Los Angeles</x:v>
      </x:c>
      <x:c r="K2062" s="84" t="str">
        <x:f>PROPER(TRIM('Raw Sales'!H2062))</x:f>
        <x:v>Online</x:v>
      </x:c>
      <x:c r="L2062" s="84" t="str">
        <x:f>'Raw Sales'!I2062</x:f>
        <x:v>ACCS-005</x:v>
      </x:c>
      <x:c r="M2062" s="84" t="str">
        <x:f>IFERROR(VLOOKUP(L2062,'Reference Data'!$A$5:$F$40,2,FALSE),"Unknown Product")</x:f>
        <x:v>Protective Phone Case</x:v>
      </x:c>
      <x:c r="N2062" s="84" t="str">
        <x:f>IFERROR(VLOOKUP(L2062,'Reference Data'!$A$5:$F$40,3,FALSE),"Unknown")</x:f>
        <x:v>Accessories</x:v>
      </x:c>
      <x:c r="O2062" s="84" t="str">
        <x:f>IFERROR(VLOOKUP(L2062,'Reference Data'!$A$5:$F$40,4,FALSE),"Unknown")</x:f>
        <x:v>Mobile Accessories</x:v>
      </x:c>
      <x:c r="P2062" s="92" t="n">
        <x:f>IFERROR(VLOOKUP(L2062,'Reference Data'!$A$5:$F$40,5,FALSE),0)</x:f>
        <x:v>24</x:v>
      </x:c>
      <x:c r="Q2062" s="92" t="n">
        <x:f>IFERROR(VLOOKUP(L2062,'Reference Data'!$A$5:$F$40,6,FALSE),0)</x:f>
        <x:v>5</x:v>
      </x:c>
      <x:c r="R2062" s="84" t="n">
        <x:f>'Raw Sales'!J2062</x:f>
        <x:v>1</x:v>
      </x:c>
      <x:c r="S2062" s="87" t="n">
        <x:f>'Raw Sales'!K2062</x:f>
        <x:v>0</x:v>
      </x:c>
      <x:c r="T2062" s="93" t="n">
        <x:f>P2062*R2062</x:f>
        <x:v>24</x:v>
      </x:c>
      <x:c r="U2062" s="93" t="n">
        <x:f>T2062*S2062</x:f>
        <x:v>0</x:v>
      </x:c>
      <x:c r="V2062" s="93" t="str">
        <x:f>PROPER(TRIM('Raw Sales'!L2062))</x:f>
        <x:v>Completed</x:v>
      </x:c>
      <x:c r="W2062" s="93" t="n">
        <x:f>IF(V2062="Returned",0,T2062-U2062)</x:f>
        <x:v>24</x:v>
      </x:c>
      <x:c r="X2062" s="93" t="n">
        <x:f>IF(V2062="Returned",Q2062*R2062*10%,Q2062*R2062)</x:f>
        <x:v>5</x:v>
      </x:c>
      <x:c r="Y2062" s="93" t="n">
        <x:f>W2062-X2062</x:f>
        <x:v>19</x:v>
      </x:c>
      <x:c r="Z2062" s="94" t="n">
        <x:f>IFERROR(Y2062/W2062,0)</x:f>
        <x:v>0.7916666666666666</x:v>
      </x:c>
      <x:c r="AA2062" s="84" t="str">
        <x:f>PROPER(TRIM('Raw Sales'!M2062))</x:f>
        <x:v>Credit Card</x:v>
      </x:c>
      <x:c r="AB2062" s="84" t="str">
        <x:f>PROPER(TRIM('Raw Sales'!N2062))</x:f>
        <x:v>Nora Kim</x:v>
      </x:c>
      <x:c r="AC2062" s="85" t="n">
        <x:f>'Raw Sales'!O2062</x:f>
        <x:v>45956</x:v>
      </x:c>
      <x:c r="AD2062" s="84" t="n">
        <x:f>AC2062-B2062</x:f>
        <x:v>3</x:v>
      </x:c>
      <x:c r="AE2062" s="84" t="str">
        <x:f>IF(COUNTIF($A$5:A2062,A2062)&gt;1,"Duplicate","Keep")</x:f>
        <x:v>Keep</x:v>
      </x:c>
      <x:c r="AF2062" s="84" t="str">
        <x:f>IF(OR(R2062&lt;=0,AC2062&lt;B2062,H2062="Unknown",M2062="Unknown Product"),"Review","Valid")</x:f>
        <x:v>Valid</x:v>
      </x:c>
      <x:c r="AG2062" s="84" t="n">
        <x:f>IF(AND(AE2062="Keep",AF2062="Valid"),1,0)</x:f>
        <x:v>1</x:v>
      </x:c>
      <x:c r="AH2062" s="84" t="n">
        <x:f>IF(AND(AG2062=1,OR('Dashboard'!$B$4="All",I2062='Dashboard'!$B$4),OR('Dashboard'!$E$4="All",N2062='Dashboard'!$E$4),OR('Dashboard'!$H$4="All",K2062='Dashboard'!$H$4),OR('Dashboard'!$K$4="All",C2062='Dashboard'!$K$4)),1,0)</x:f>
        <x:v>1</x:v>
      </x:c>
      <x:c r="AI2062" s="84" t="n">
        <x:f>IF(AND(AG2062=1,OR('Dashboard'!$B$4="All",I2062='Dashboard'!$B$4),OR('Dashboard'!$E$4="All",N2062='Dashboard'!$E$4),OR('Dashboard'!$H$4="All",K2062='Dashboard'!$H$4)),1,0)</x:f>
        <x:v>1</x:v>
      </x:c>
    </x:row>
    <x:row r="2063">
      <x:c r="A2063" s="84" t="str">
        <x:f>'Raw Sales'!A2063</x:f>
        <x:v>ORD-2025-01131</x:v>
      </x:c>
      <x:c r="B2063" s="85" t="n">
        <x:f>'Raw Sales'!B2063</x:f>
        <x:v>45954</x:v>
      </x:c>
      <x:c r="C2063" s="84" t="n">
        <x:f>YEAR(B2063)</x:f>
        <x:v>2025</x:v>
      </x:c>
      <x:c r="D2063" s="91" t="n">
        <x:f>DATE(YEAR(B2063),MONTH(B2063),1)</x:f>
        <x:v>45931</x:v>
      </x:c>
      <x:c r="E2063" s="84" t="str">
        <x:f>TEXT(B2063,"mmm")</x:f>
        <x:v>Oct</x:v>
      </x:c>
      <x:c r="F2063" s="84" t="str">
        <x:f>'Raw Sales'!C2063</x:f>
        <x:v>CUST-0491</x:v>
      </x:c>
      <x:c r="G2063" s="84" t="str">
        <x:f>PROPER(TRIM('Raw Sales'!D2063))</x:f>
        <x:v>Jonah Walker</x:v>
      </x:c>
      <x:c r="H2063" s="84" t="str">
        <x:f>IF(TRIM('Raw Sales'!E2063)="","Unknown",PROPER(TRIM('Raw Sales'!E2063)))</x:f>
        <x:v>Consumer</x:v>
      </x:c>
      <x:c r="I2063" s="84" t="str">
        <x:f>PROPER(TRIM('Raw Sales'!F2063))</x:f>
        <x:v>Midwest</x:v>
      </x:c>
      <x:c r="J2063" s="84" t="str">
        <x:f>PROPER(TRIM('Raw Sales'!G2063))</x:f>
        <x:v>Detroit</x:v>
      </x:c>
      <x:c r="K2063" s="84" t="str">
        <x:f>PROPER(TRIM('Raw Sales'!H2063))</x:f>
        <x:v>Online</x:v>
      </x:c>
      <x:c r="L2063" s="84" t="str">
        <x:f>'Raw Sales'!I2063</x:f>
        <x:v>OFFC-003</x:v>
      </x:c>
      <x:c r="M2063" s="84" t="str">
        <x:f>IFERROR(VLOOKUP(L2063,'Reference Data'!$A$5:$F$40,2,FALSE),"Unknown Product")</x:f>
        <x:v>LED Desk Lamp</x:v>
      </x:c>
      <x:c r="N2063" s="84" t="str">
        <x:f>IFERROR(VLOOKUP(L2063,'Reference Data'!$A$5:$F$40,3,FALSE),"Unknown")</x:f>
        <x:v>Office</x:v>
      </x:c>
      <x:c r="O2063" s="84" t="str">
        <x:f>IFERROR(VLOOKUP(L2063,'Reference Data'!$A$5:$F$40,4,FALSE),"Unknown")</x:f>
        <x:v>Desk Accessories</x:v>
      </x:c>
      <x:c r="P2063" s="92" t="n">
        <x:f>IFERROR(VLOOKUP(L2063,'Reference Data'!$A$5:$F$40,5,FALSE),0)</x:f>
        <x:v>45</x:v>
      </x:c>
      <x:c r="Q2063" s="92" t="n">
        <x:f>IFERROR(VLOOKUP(L2063,'Reference Data'!$A$5:$F$40,6,FALSE),0)</x:f>
        <x:v>20</x:v>
      </x:c>
      <x:c r="R2063" s="84" t="n">
        <x:f>'Raw Sales'!J2063</x:f>
        <x:v>2</x:v>
      </x:c>
      <x:c r="S2063" s="87" t="n">
        <x:f>'Raw Sales'!K2063</x:f>
        <x:v>0</x:v>
      </x:c>
      <x:c r="T2063" s="93" t="n">
        <x:f>P2063*R2063</x:f>
        <x:v>90</x:v>
      </x:c>
      <x:c r="U2063" s="93" t="n">
        <x:f>T2063*S2063</x:f>
        <x:v>0</x:v>
      </x:c>
      <x:c r="V2063" s="93" t="str">
        <x:f>PROPER(TRIM('Raw Sales'!L2063))</x:f>
        <x:v>Completed</x:v>
      </x:c>
      <x:c r="W2063" s="93" t="n">
        <x:f>IF(V2063="Returned",0,T2063-U2063)</x:f>
        <x:v>90</x:v>
      </x:c>
      <x:c r="X2063" s="93" t="n">
        <x:f>IF(V2063="Returned",Q2063*R2063*10%,Q2063*R2063)</x:f>
        <x:v>40</x:v>
      </x:c>
      <x:c r="Y2063" s="93" t="n">
        <x:f>W2063-X2063</x:f>
        <x:v>50</x:v>
      </x:c>
      <x:c r="Z2063" s="94" t="n">
        <x:f>IFERROR(Y2063/W2063,0)</x:f>
        <x:v>0.5555555555555556</x:v>
      </x:c>
      <x:c r="AA2063" s="84" t="str">
        <x:f>PROPER(TRIM('Raw Sales'!M2063))</x:f>
        <x:v>Mobile Wallet</x:v>
      </x:c>
      <x:c r="AB2063" s="84" t="str">
        <x:f>PROPER(TRIM('Raw Sales'!N2063))</x:f>
        <x:v>Zoe Turner</x:v>
      </x:c>
      <x:c r="AC2063" s="85" t="n">
        <x:f>'Raw Sales'!O2063</x:f>
        <x:v>45957</x:v>
      </x:c>
      <x:c r="AD2063" s="84" t="n">
        <x:f>AC2063-B2063</x:f>
        <x:v>3</x:v>
      </x:c>
      <x:c r="AE2063" s="84" t="str">
        <x:f>IF(COUNTIF($A$5:A2063,A2063)&gt;1,"Duplicate","Keep")</x:f>
        <x:v>Keep</x:v>
      </x:c>
      <x:c r="AF2063" s="84" t="str">
        <x:f>IF(OR(R2063&lt;=0,AC2063&lt;B2063,H2063="Unknown",M2063="Unknown Product"),"Review","Valid")</x:f>
        <x:v>Valid</x:v>
      </x:c>
      <x:c r="AG2063" s="84" t="n">
        <x:f>IF(AND(AE2063="Keep",AF2063="Valid"),1,0)</x:f>
        <x:v>1</x:v>
      </x:c>
      <x:c r="AH2063" s="84" t="n">
        <x:f>IF(AND(AG2063=1,OR('Dashboard'!$B$4="All",I2063='Dashboard'!$B$4),OR('Dashboard'!$E$4="All",N2063='Dashboard'!$E$4),OR('Dashboard'!$H$4="All",K2063='Dashboard'!$H$4),OR('Dashboard'!$K$4="All",C2063='Dashboard'!$K$4)),1,0)</x:f>
        <x:v>1</x:v>
      </x:c>
      <x:c r="AI2063" s="84" t="n">
        <x:f>IF(AND(AG2063=1,OR('Dashboard'!$B$4="All",I2063='Dashboard'!$B$4),OR('Dashboard'!$E$4="All",N2063='Dashboard'!$E$4),OR('Dashboard'!$H$4="All",K2063='Dashboard'!$H$4)),1,0)</x:f>
        <x:v>1</x:v>
      </x:c>
    </x:row>
    <x:row r="2064">
      <x:c r="A2064" s="84" t="str">
        <x:f>'Raw Sales'!A2064</x:f>
        <x:v>ORD-2025-01451</x:v>
      </x:c>
      <x:c r="B2064" s="85" t="n">
        <x:f>'Raw Sales'!B2064</x:f>
        <x:v>45954</x:v>
      </x:c>
      <x:c r="C2064" s="84" t="n">
        <x:f>YEAR(B2064)</x:f>
        <x:v>2025</x:v>
      </x:c>
      <x:c r="D2064" s="91" t="n">
        <x:f>DATE(YEAR(B2064),MONTH(B2064),1)</x:f>
        <x:v>45931</x:v>
      </x:c>
      <x:c r="E2064" s="84" t="str">
        <x:f>TEXT(B2064,"mmm")</x:f>
        <x:v>Oct</x:v>
      </x:c>
      <x:c r="F2064" s="84" t="str">
        <x:f>'Raw Sales'!C2064</x:f>
        <x:v>CUST-0462</x:v>
      </x:c>
      <x:c r="G2064" s="84" t="str">
        <x:f>PROPER(TRIM('Raw Sales'!D2064))</x:f>
        <x:v>Grace Johnson</x:v>
      </x:c>
      <x:c r="H2064" s="84" t="str">
        <x:f>IF(TRIM('Raw Sales'!E2064)="","Unknown",PROPER(TRIM('Raw Sales'!E2064)))</x:f>
        <x:v>Consumer</x:v>
      </x:c>
      <x:c r="I2064" s="84" t="str">
        <x:f>PROPER(TRIM('Raw Sales'!F2064))</x:f>
        <x:v>Northeast</x:v>
      </x:c>
      <x:c r="J2064" s="84" t="str">
        <x:f>PROPER(TRIM('Raw Sales'!G2064))</x:f>
        <x:v>Philadelphia</x:v>
      </x:c>
      <x:c r="K2064" s="84" t="str">
        <x:f>PROPER(TRIM('Raw Sales'!H2064))</x:f>
        <x:v>Retail Store</x:v>
      </x:c>
      <x:c r="L2064" s="84" t="str">
        <x:f>'Raw Sales'!I2064</x:f>
        <x:v>HOME-005</x:v>
      </x:c>
      <x:c r="M2064" s="84" t="str">
        <x:f>IFERROR(VLOOKUP(L2064,'Reference Data'!$A$5:$F$40,2,FALSE),"Unknown Product")</x:f>
        <x:v>Cordless Vacuum</x:v>
      </x:c>
      <x:c r="N2064" s="84" t="str">
        <x:f>IFERROR(VLOOKUP(L2064,'Reference Data'!$A$5:$F$40,3,FALSE),"Unknown")</x:f>
        <x:v>Home &amp; Kitchen</x:v>
      </x:c>
      <x:c r="O2064" s="84" t="str">
        <x:f>IFERROR(VLOOKUP(L2064,'Reference Data'!$A$5:$F$40,4,FALSE),"Unknown")</x:f>
        <x:v>Cleaning</x:v>
      </x:c>
      <x:c r="P2064" s="92" t="n">
        <x:f>IFERROR(VLOOKUP(L2064,'Reference Data'!$A$5:$F$40,5,FALSE),0)</x:f>
        <x:v>179</x:v>
      </x:c>
      <x:c r="Q2064" s="92" t="n">
        <x:f>IFERROR(VLOOKUP(L2064,'Reference Data'!$A$5:$F$40,6,FALSE),0)</x:f>
        <x:v>102</x:v>
      </x:c>
      <x:c r="R2064" s="84" t="n">
        <x:f>'Raw Sales'!J2064</x:f>
        <x:v>2</x:v>
      </x:c>
      <x:c r="S2064" s="87" t="n">
        <x:f>'Raw Sales'!K2064</x:f>
        <x:v>0</x:v>
      </x:c>
      <x:c r="T2064" s="93" t="n">
        <x:f>P2064*R2064</x:f>
        <x:v>358</x:v>
      </x:c>
      <x:c r="U2064" s="93" t="n">
        <x:f>T2064*S2064</x:f>
        <x:v>0</x:v>
      </x:c>
      <x:c r="V2064" s="93" t="str">
        <x:f>PROPER(TRIM('Raw Sales'!L2064))</x:f>
        <x:v>Completed</x:v>
      </x:c>
      <x:c r="W2064" s="93" t="n">
        <x:f>IF(V2064="Returned",0,T2064-U2064)</x:f>
        <x:v>358</x:v>
      </x:c>
      <x:c r="X2064" s="93" t="n">
        <x:f>IF(V2064="Returned",Q2064*R2064*10%,Q2064*R2064)</x:f>
        <x:v>204</x:v>
      </x:c>
      <x:c r="Y2064" s="93" t="n">
        <x:f>W2064-X2064</x:f>
        <x:v>154</x:v>
      </x:c>
      <x:c r="Z2064" s="94" t="n">
        <x:f>IFERROR(Y2064/W2064,0)</x:f>
        <x:v>0.4301675977653631</x:v>
      </x:c>
      <x:c r="AA2064" s="84" t="str">
        <x:f>PROPER(TRIM('Raw Sales'!M2064))</x:f>
        <x:v>Debit Card</x:v>
      </x:c>
      <x:c r="AB2064" s="84" t="str">
        <x:f>PROPER(TRIM('Raw Sales'!N2064))</x:f>
        <x:v>Ethan Cole</x:v>
      </x:c>
      <x:c r="AC2064" s="85" t="n">
        <x:f>'Raw Sales'!O2064</x:f>
        <x:v>45955</x:v>
      </x:c>
      <x:c r="AD2064" s="84" t="n">
        <x:f>AC2064-B2064</x:f>
        <x:v>1</x:v>
      </x:c>
      <x:c r="AE2064" s="84" t="str">
        <x:f>IF(COUNTIF($A$5:A2064,A2064)&gt;1,"Duplicate","Keep")</x:f>
        <x:v>Keep</x:v>
      </x:c>
      <x:c r="AF2064" s="84" t="str">
        <x:f>IF(OR(R2064&lt;=0,AC2064&lt;B2064,H2064="Unknown",M2064="Unknown Product"),"Review","Valid")</x:f>
        <x:v>Valid</x:v>
      </x:c>
      <x:c r="AG2064" s="84" t="n">
        <x:f>IF(AND(AE2064="Keep",AF2064="Valid"),1,0)</x:f>
        <x:v>1</x:v>
      </x:c>
      <x:c r="AH2064" s="84" t="n">
        <x:f>IF(AND(AG2064=1,OR('Dashboard'!$B$4="All",I2064='Dashboard'!$B$4),OR('Dashboard'!$E$4="All",N2064='Dashboard'!$E$4),OR('Dashboard'!$H$4="All",K2064='Dashboard'!$H$4),OR('Dashboard'!$K$4="All",C2064='Dashboard'!$K$4)),1,0)</x:f>
        <x:v>1</x:v>
      </x:c>
      <x:c r="AI2064" s="84" t="n">
        <x:f>IF(AND(AG2064=1,OR('Dashboard'!$B$4="All",I2064='Dashboard'!$B$4),OR('Dashboard'!$E$4="All",N2064='Dashboard'!$E$4),OR('Dashboard'!$H$4="All",K2064='Dashboard'!$H$4)),1,0)</x:f>
        <x:v>1</x:v>
      </x:c>
    </x:row>
    <x:row r="2065">
      <x:c r="A2065" s="84" t="str">
        <x:f>'Raw Sales'!A2065</x:f>
        <x:v>ORD-2025-00264</x:v>
      </x:c>
      <x:c r="B2065" s="85" t="n">
        <x:f>'Raw Sales'!B2065</x:f>
        <x:v>45955</x:v>
      </x:c>
      <x:c r="C2065" s="84" t="n">
        <x:f>YEAR(B2065)</x:f>
        <x:v>2025</x:v>
      </x:c>
      <x:c r="D2065" s="91" t="n">
        <x:f>DATE(YEAR(B2065),MONTH(B2065),1)</x:f>
        <x:v>45931</x:v>
      </x:c>
      <x:c r="E2065" s="84" t="str">
        <x:f>TEXT(B2065,"mmm")</x:f>
        <x:v>Oct</x:v>
      </x:c>
      <x:c r="F2065" s="84" t="str">
        <x:f>'Raw Sales'!C2065</x:f>
        <x:v>CUST-0418</x:v>
      </x:c>
      <x:c r="G2065" s="84" t="str">
        <x:f>PROPER(TRIM('Raw Sales'!D2065))</x:f>
        <x:v>Grace Ortiz</x:v>
      </x:c>
      <x:c r="H2065" s="84" t="str">
        <x:f>IF(TRIM('Raw Sales'!E2065)="","Unknown",PROPER(TRIM('Raw Sales'!E2065)))</x:f>
        <x:v>Small Business</x:v>
      </x:c>
      <x:c r="I2065" s="84" t="str">
        <x:f>PROPER(TRIM('Raw Sales'!F2065))</x:f>
        <x:v>West</x:v>
      </x:c>
      <x:c r="J2065" s="84" t="str">
        <x:f>PROPER(TRIM('Raw Sales'!G2065))</x:f>
        <x:v>Seattle</x:v>
      </x:c>
      <x:c r="K2065" s="84" t="str">
        <x:f>PROPER(TRIM('Raw Sales'!H2065))</x:f>
        <x:v>Online</x:v>
      </x:c>
      <x:c r="L2065" s="84" t="str">
        <x:f>'Raw Sales'!I2065</x:f>
        <x:v>ELEC-001</x:v>
      </x:c>
      <x:c r="M2065" s="84" t="str">
        <x:f>IFERROR(VLOOKUP(L2065,'Reference Data'!$A$5:$F$40,2,FALSE),"Unknown Product")</x:f>
        <x:v>Wireless Earbuds</x:v>
      </x:c>
      <x:c r="N2065" s="84" t="str">
        <x:f>IFERROR(VLOOKUP(L2065,'Reference Data'!$A$5:$F$40,3,FALSE),"Unknown")</x:f>
        <x:v>Electronics</x:v>
      </x:c>
      <x:c r="O2065" s="84" t="str">
        <x:f>IFERROR(VLOOKUP(L2065,'Reference Data'!$A$5:$F$40,4,FALSE),"Unknown")</x:f>
        <x:v>Audio</x:v>
      </x:c>
      <x:c r="P2065" s="92" t="n">
        <x:f>IFERROR(VLOOKUP(L2065,'Reference Data'!$A$5:$F$40,5,FALSE),0)</x:f>
        <x:v>69</x:v>
      </x:c>
      <x:c r="Q2065" s="92" t="n">
        <x:f>IFERROR(VLOOKUP(L2065,'Reference Data'!$A$5:$F$40,6,FALSE),0)</x:f>
        <x:v>36</x:v>
      </x:c>
      <x:c r="R2065" s="84" t="n">
        <x:f>'Raw Sales'!J2065</x:f>
        <x:v>1</x:v>
      </x:c>
      <x:c r="S2065" s="87" t="n">
        <x:f>'Raw Sales'!K2065</x:f>
        <x:v>0</x:v>
      </x:c>
      <x:c r="T2065" s="93" t="n">
        <x:f>P2065*R2065</x:f>
        <x:v>69</x:v>
      </x:c>
      <x:c r="U2065" s="93" t="n">
        <x:f>T2065*S2065</x:f>
        <x:v>0</x:v>
      </x:c>
      <x:c r="V2065" s="93" t="str">
        <x:f>PROPER(TRIM('Raw Sales'!L2065))</x:f>
        <x:v>Completed</x:v>
      </x:c>
      <x:c r="W2065" s="93" t="n">
        <x:f>IF(V2065="Returned",0,T2065-U2065)</x:f>
        <x:v>69</x:v>
      </x:c>
      <x:c r="X2065" s="93" t="n">
        <x:f>IF(V2065="Returned",Q2065*R2065*10%,Q2065*R2065)</x:f>
        <x:v>36</x:v>
      </x:c>
      <x:c r="Y2065" s="93" t="n">
        <x:f>W2065-X2065</x:f>
        <x:v>33</x:v>
      </x:c>
      <x:c r="Z2065" s="94" t="n">
        <x:f>IFERROR(Y2065/W2065,0)</x:f>
        <x:v>0.4782608695652174</x:v>
      </x:c>
      <x:c r="AA2065" s="84" t="str">
        <x:f>PROPER(TRIM('Raw Sales'!M2065))</x:f>
        <x:v>Credit Card</x:v>
      </x:c>
      <x:c r="AB2065" s="84" t="str">
        <x:f>PROPER(TRIM('Raw Sales'!N2065))</x:f>
        <x:v>Nora Kim</x:v>
      </x:c>
      <x:c r="AC2065" s="85" t="n">
        <x:f>'Raw Sales'!O2065</x:f>
        <x:v>45958</x:v>
      </x:c>
      <x:c r="AD2065" s="84" t="n">
        <x:f>AC2065-B2065</x:f>
        <x:v>3</x:v>
      </x:c>
      <x:c r="AE2065" s="84" t="str">
        <x:f>IF(COUNTIF($A$5:A2065,A2065)&gt;1,"Duplicate","Keep")</x:f>
        <x:v>Keep</x:v>
      </x:c>
      <x:c r="AF2065" s="84" t="str">
        <x:f>IF(OR(R2065&lt;=0,AC2065&lt;B2065,H2065="Unknown",M2065="Unknown Product"),"Review","Valid")</x:f>
        <x:v>Valid</x:v>
      </x:c>
      <x:c r="AG2065" s="84" t="n">
        <x:f>IF(AND(AE2065="Keep",AF2065="Valid"),1,0)</x:f>
        <x:v>1</x:v>
      </x:c>
      <x:c r="AH2065" s="84" t="n">
        <x:f>IF(AND(AG2065=1,OR('Dashboard'!$B$4="All",I2065='Dashboard'!$B$4),OR('Dashboard'!$E$4="All",N2065='Dashboard'!$E$4),OR('Dashboard'!$H$4="All",K2065='Dashboard'!$H$4),OR('Dashboard'!$K$4="All",C2065='Dashboard'!$K$4)),1,0)</x:f>
        <x:v>1</x:v>
      </x:c>
      <x:c r="AI2065" s="84" t="n">
        <x:f>IF(AND(AG2065=1,OR('Dashboard'!$B$4="All",I2065='Dashboard'!$B$4),OR('Dashboard'!$E$4="All",N2065='Dashboard'!$E$4),OR('Dashboard'!$H$4="All",K2065='Dashboard'!$H$4)),1,0)</x:f>
        <x:v>1</x:v>
      </x:c>
    </x:row>
    <x:row r="2066">
      <x:c r="A2066" s="84" t="str">
        <x:f>'Raw Sales'!A2066</x:f>
        <x:v>ORD-2025-00567</x:v>
      </x:c>
      <x:c r="B2066" s="85" t="n">
        <x:f>'Raw Sales'!B2066</x:f>
        <x:v>45955</x:v>
      </x:c>
      <x:c r="C2066" s="84" t="n">
        <x:f>YEAR(B2066)</x:f>
        <x:v>2025</x:v>
      </x:c>
      <x:c r="D2066" s="91" t="n">
        <x:f>DATE(YEAR(B2066),MONTH(B2066),1)</x:f>
        <x:v>45931</x:v>
      </x:c>
      <x:c r="E2066" s="84" t="str">
        <x:f>TEXT(B2066,"mmm")</x:f>
        <x:v>Oct</x:v>
      </x:c>
      <x:c r="F2066" s="84" t="str">
        <x:f>'Raw Sales'!C2066</x:f>
        <x:v>CUST-0137</x:v>
      </x:c>
      <x:c r="G2066" s="84" t="str">
        <x:f>PROPER(TRIM('Raw Sales'!D2066))</x:f>
        <x:v>Owen Adams</x:v>
      </x:c>
      <x:c r="H2066" s="84" t="str">
        <x:f>IF(TRIM('Raw Sales'!E2066)="","Unknown",PROPER(TRIM('Raw Sales'!E2066)))</x:f>
        <x:v>Corporate</x:v>
      </x:c>
      <x:c r="I2066" s="84" t="str">
        <x:f>PROPER(TRIM('Raw Sales'!F2066))</x:f>
        <x:v>Midwest</x:v>
      </x:c>
      <x:c r="J2066" s="84" t="str">
        <x:f>PROPER(TRIM('Raw Sales'!G2066))</x:f>
        <x:v>Chicago</x:v>
      </x:c>
      <x:c r="K2066" s="84" t="str">
        <x:f>PROPER(TRIM('Raw Sales'!H2066))</x:f>
        <x:v>Marketplace</x:v>
      </x:c>
      <x:c r="L2066" s="84" t="str">
        <x:f>'Raw Sales'!I2066</x:f>
        <x:v>ACCS-004</x:v>
      </x:c>
      <x:c r="M2066" s="84" t="str">
        <x:f>IFERROR(VLOOKUP(L2066,'Reference Data'!$A$5:$F$40,2,FALSE),"Unknown Product")</x:f>
        <x:v>Leather Wallet</x:v>
      </x:c>
      <x:c r="N2066" s="84" t="str">
        <x:f>IFERROR(VLOOKUP(L2066,'Reference Data'!$A$5:$F$40,3,FALSE),"Unknown")</x:f>
        <x:v>Accessories</x:v>
      </x:c>
      <x:c r="O2066" s="84" t="str">
        <x:f>IFERROR(VLOOKUP(L2066,'Reference Data'!$A$5:$F$40,4,FALSE),"Unknown")</x:f>
        <x:v>Wallets</x:v>
      </x:c>
      <x:c r="P2066" s="92" t="n">
        <x:f>IFERROR(VLOOKUP(L2066,'Reference Data'!$A$5:$F$40,5,FALSE),0)</x:f>
        <x:v>49</x:v>
      </x:c>
      <x:c r="Q2066" s="92" t="n">
        <x:f>IFERROR(VLOOKUP(L2066,'Reference Data'!$A$5:$F$40,6,FALSE),0)</x:f>
        <x:v>18</x:v>
      </x:c>
      <x:c r="R2066" s="84" t="n">
        <x:f>'Raw Sales'!J2066</x:f>
        <x:v>3</x:v>
      </x:c>
      <x:c r="S2066" s="87" t="n">
        <x:f>'Raw Sales'!K2066</x:f>
        <x:v>0</x:v>
      </x:c>
      <x:c r="T2066" s="93" t="n">
        <x:f>P2066*R2066</x:f>
        <x:v>147</x:v>
      </x:c>
      <x:c r="U2066" s="93" t="n">
        <x:f>T2066*S2066</x:f>
        <x:v>0</x:v>
      </x:c>
      <x:c r="V2066" s="93" t="str">
        <x:f>PROPER(TRIM('Raw Sales'!L2066))</x:f>
        <x:v>Completed</x:v>
      </x:c>
      <x:c r="W2066" s="93" t="n">
        <x:f>IF(V2066="Returned",0,T2066-U2066)</x:f>
        <x:v>147</x:v>
      </x:c>
      <x:c r="X2066" s="93" t="n">
        <x:f>IF(V2066="Returned",Q2066*R2066*10%,Q2066*R2066)</x:f>
        <x:v>54</x:v>
      </x:c>
      <x:c r="Y2066" s="93" t="n">
        <x:f>W2066-X2066</x:f>
        <x:v>93</x:v>
      </x:c>
      <x:c r="Z2066" s="94" t="n">
        <x:f>IFERROR(Y2066/W2066,0)</x:f>
        <x:v>0.6326530612244898</x:v>
      </x:c>
      <x:c r="AA2066" s="84" t="str">
        <x:f>PROPER(TRIM('Raw Sales'!M2066))</x:f>
        <x:v>Credit Card</x:v>
      </x:c>
      <x:c r="AB2066" s="84" t="str">
        <x:f>PROPER(TRIM('Raw Sales'!N2066))</x:f>
        <x:v>Zoe Turner</x:v>
      </x:c>
      <x:c r="AC2066" s="85" t="n">
        <x:f>'Raw Sales'!O2066</x:f>
        <x:v>45958</x:v>
      </x:c>
      <x:c r="AD2066" s="84" t="n">
        <x:f>AC2066-B2066</x:f>
        <x:v>3</x:v>
      </x:c>
      <x:c r="AE2066" s="84" t="str">
        <x:f>IF(COUNTIF($A$5:A2066,A2066)&gt;1,"Duplicate","Keep")</x:f>
        <x:v>Keep</x:v>
      </x:c>
      <x:c r="AF2066" s="84" t="str">
        <x:f>IF(OR(R2066&lt;=0,AC2066&lt;B2066,H2066="Unknown",M2066="Unknown Product"),"Review","Valid")</x:f>
        <x:v>Valid</x:v>
      </x:c>
      <x:c r="AG2066" s="84" t="n">
        <x:f>IF(AND(AE2066="Keep",AF2066="Valid"),1,0)</x:f>
        <x:v>1</x:v>
      </x:c>
      <x:c r="AH2066" s="84" t="n">
        <x:f>IF(AND(AG2066=1,OR('Dashboard'!$B$4="All",I2066='Dashboard'!$B$4),OR('Dashboard'!$E$4="All",N2066='Dashboard'!$E$4),OR('Dashboard'!$H$4="All",K2066='Dashboard'!$H$4),OR('Dashboard'!$K$4="All",C2066='Dashboard'!$K$4)),1,0)</x:f>
        <x:v>1</x:v>
      </x:c>
      <x:c r="AI2066" s="84" t="n">
        <x:f>IF(AND(AG2066=1,OR('Dashboard'!$B$4="All",I2066='Dashboard'!$B$4),OR('Dashboard'!$E$4="All",N2066='Dashboard'!$E$4),OR('Dashboard'!$H$4="All",K2066='Dashboard'!$H$4)),1,0)</x:f>
        <x:v>1</x:v>
      </x:c>
    </x:row>
    <x:row r="2067">
      <x:c r="A2067" s="84" t="str">
        <x:f>'Raw Sales'!A2067</x:f>
        <x:v>ORD-2025-01203</x:v>
      </x:c>
      <x:c r="B2067" s="85" t="n">
        <x:f>'Raw Sales'!B2067</x:f>
        <x:v>45955</x:v>
      </x:c>
      <x:c r="C2067" s="84" t="n">
        <x:f>YEAR(B2067)</x:f>
        <x:v>2025</x:v>
      </x:c>
      <x:c r="D2067" s="91" t="n">
        <x:f>DATE(YEAR(B2067),MONTH(B2067),1)</x:f>
        <x:v>45931</x:v>
      </x:c>
      <x:c r="E2067" s="84" t="str">
        <x:f>TEXT(B2067,"mmm")</x:f>
        <x:v>Oct</x:v>
      </x:c>
      <x:c r="F2067" s="84" t="str">
        <x:f>'Raw Sales'!C2067</x:f>
        <x:v>CUST-0095</x:v>
      </x:c>
      <x:c r="G2067" s="84" t="str">
        <x:f>PROPER(TRIM('Raw Sales'!D2067))</x:f>
        <x:v>Elena Irwin</x:v>
      </x:c>
      <x:c r="H2067" s="84" t="str">
        <x:f>IF(TRIM('Raw Sales'!E2067)="","Unknown",PROPER(TRIM('Raw Sales'!E2067)))</x:f>
        <x:v>Corporate</x:v>
      </x:c>
      <x:c r="I2067" s="84" t="str">
        <x:f>PROPER(TRIM('Raw Sales'!F2067))</x:f>
        <x:v>Northeast</x:v>
      </x:c>
      <x:c r="J2067" s="84" t="str">
        <x:f>PROPER(TRIM('Raw Sales'!G2067))</x:f>
        <x:v>Newark</x:v>
      </x:c>
      <x:c r="K2067" s="84" t="str">
        <x:f>PROPER(TRIM('Raw Sales'!H2067))</x:f>
        <x:v>Online</x:v>
      </x:c>
      <x:c r="L2067" s="84" t="str">
        <x:f>'Raw Sales'!I2067</x:f>
        <x:v>ACCS-005</x:v>
      </x:c>
      <x:c r="M2067" s="84" t="str">
        <x:f>IFERROR(VLOOKUP(L2067,'Reference Data'!$A$5:$F$40,2,FALSE),"Unknown Product")</x:f>
        <x:v>Protective Phone Case</x:v>
      </x:c>
      <x:c r="N2067" s="84" t="str">
        <x:f>IFERROR(VLOOKUP(L2067,'Reference Data'!$A$5:$F$40,3,FALSE),"Unknown")</x:f>
        <x:v>Accessories</x:v>
      </x:c>
      <x:c r="O2067" s="84" t="str">
        <x:f>IFERROR(VLOOKUP(L2067,'Reference Data'!$A$5:$F$40,4,FALSE),"Unknown")</x:f>
        <x:v>Mobile Accessories</x:v>
      </x:c>
      <x:c r="P2067" s="92" t="n">
        <x:f>IFERROR(VLOOKUP(L2067,'Reference Data'!$A$5:$F$40,5,FALSE),0)</x:f>
        <x:v>24</x:v>
      </x:c>
      <x:c r="Q2067" s="92" t="n">
        <x:f>IFERROR(VLOOKUP(L2067,'Reference Data'!$A$5:$F$40,6,FALSE),0)</x:f>
        <x:v>5</x:v>
      </x:c>
      <x:c r="R2067" s="84" t="n">
        <x:f>'Raw Sales'!J2067</x:f>
        <x:v>5</x:v>
      </x:c>
      <x:c r="S2067" s="87" t="n">
        <x:f>'Raw Sales'!K2067</x:f>
        <x:v>0</x:v>
      </x:c>
      <x:c r="T2067" s="93" t="n">
        <x:f>P2067*R2067</x:f>
        <x:v>120</x:v>
      </x:c>
      <x:c r="U2067" s="93" t="n">
        <x:f>T2067*S2067</x:f>
        <x:v>0</x:v>
      </x:c>
      <x:c r="V2067" s="93" t="str">
        <x:f>PROPER(TRIM('Raw Sales'!L2067))</x:f>
        <x:v>Completed</x:v>
      </x:c>
      <x:c r="W2067" s="93" t="n">
        <x:f>IF(V2067="Returned",0,T2067-U2067)</x:f>
        <x:v>120</x:v>
      </x:c>
      <x:c r="X2067" s="93" t="n">
        <x:f>IF(V2067="Returned",Q2067*R2067*10%,Q2067*R2067)</x:f>
        <x:v>25</x:v>
      </x:c>
      <x:c r="Y2067" s="93" t="n">
        <x:f>W2067-X2067</x:f>
        <x:v>95</x:v>
      </x:c>
      <x:c r="Z2067" s="94" t="n">
        <x:f>IFERROR(Y2067/W2067,0)</x:f>
        <x:v>0.7916666666666666</x:v>
      </x:c>
      <x:c r="AA2067" s="84" t="str">
        <x:f>PROPER(TRIM('Raw Sales'!M2067))</x:f>
        <x:v>Mobile Wallet</x:v>
      </x:c>
      <x:c r="AB2067" s="84" t="str">
        <x:f>PROPER(TRIM('Raw Sales'!N2067))</x:f>
        <x:v>Sofia Bennett</x:v>
      </x:c>
      <x:c r="AC2067" s="85" t="n">
        <x:f>'Raw Sales'!O2067</x:f>
        <x:v>45959</x:v>
      </x:c>
      <x:c r="AD2067" s="84" t="n">
        <x:f>AC2067-B2067</x:f>
        <x:v>4</x:v>
      </x:c>
      <x:c r="AE2067" s="84" t="str">
        <x:f>IF(COUNTIF($A$5:A2067,A2067)&gt;1,"Duplicate","Keep")</x:f>
        <x:v>Keep</x:v>
      </x:c>
      <x:c r="AF2067" s="84" t="str">
        <x:f>IF(OR(R2067&lt;=0,AC2067&lt;B2067,H2067="Unknown",M2067="Unknown Product"),"Review","Valid")</x:f>
        <x:v>Valid</x:v>
      </x:c>
      <x:c r="AG2067" s="84" t="n">
        <x:f>IF(AND(AE2067="Keep",AF2067="Valid"),1,0)</x:f>
        <x:v>1</x:v>
      </x:c>
      <x:c r="AH2067" s="84" t="n">
        <x:f>IF(AND(AG2067=1,OR('Dashboard'!$B$4="All",I2067='Dashboard'!$B$4),OR('Dashboard'!$E$4="All",N2067='Dashboard'!$E$4),OR('Dashboard'!$H$4="All",K2067='Dashboard'!$H$4),OR('Dashboard'!$K$4="All",C2067='Dashboard'!$K$4)),1,0)</x:f>
        <x:v>1</x:v>
      </x:c>
      <x:c r="AI2067" s="84" t="n">
        <x:f>IF(AND(AG2067=1,OR('Dashboard'!$B$4="All",I2067='Dashboard'!$B$4),OR('Dashboard'!$E$4="All",N2067='Dashboard'!$E$4),OR('Dashboard'!$H$4="All",K2067='Dashboard'!$H$4)),1,0)</x:f>
        <x:v>1</x:v>
      </x:c>
    </x:row>
    <x:row r="2068">
      <x:c r="A2068" s="84" t="str">
        <x:f>'Raw Sales'!A2068</x:f>
        <x:v>ORD-2025-00623</x:v>
      </x:c>
      <x:c r="B2068" s="85" t="n">
        <x:f>'Raw Sales'!B2068</x:f>
        <x:v>45956</x:v>
      </x:c>
      <x:c r="C2068" s="84" t="n">
        <x:f>YEAR(B2068)</x:f>
        <x:v>2025</x:v>
      </x:c>
      <x:c r="D2068" s="91" t="n">
        <x:f>DATE(YEAR(B2068),MONTH(B2068),1)</x:f>
        <x:v>45931</x:v>
      </x:c>
      <x:c r="E2068" s="84" t="str">
        <x:f>TEXT(B2068,"mmm")</x:f>
        <x:v>Oct</x:v>
      </x:c>
      <x:c r="F2068" s="84" t="str">
        <x:f>'Raw Sales'!C2068</x:f>
        <x:v>CUST-0467</x:v>
      </x:c>
      <x:c r="G2068" s="84" t="str">
        <x:f>PROPER(TRIM('Raw Sales'!D2068))</x:f>
        <x:v>Owen Khan</x:v>
      </x:c>
      <x:c r="H2068" s="84" t="str">
        <x:f>IF(TRIM('Raw Sales'!E2068)="","Unknown",PROPER(TRIM('Raw Sales'!E2068)))</x:f>
        <x:v>Consumer</x:v>
      </x:c>
      <x:c r="I2068" s="84" t="str">
        <x:f>PROPER(TRIM('Raw Sales'!F2068))</x:f>
        <x:v>Northeast</x:v>
      </x:c>
      <x:c r="J2068" s="84" t="str">
        <x:f>PROPER(TRIM('Raw Sales'!G2068))</x:f>
        <x:v>New York</x:v>
      </x:c>
      <x:c r="K2068" s="84" t="str">
        <x:f>PROPER(TRIM('Raw Sales'!H2068))</x:f>
        <x:v>Retail Store</x:v>
      </x:c>
      <x:c r="L2068" s="84" t="str">
        <x:f>'Raw Sales'!I2068</x:f>
        <x:v>ELEC-003</x:v>
      </x:c>
      <x:c r="M2068" s="84" t="str">
        <x:f>IFERROR(VLOOKUP(L2068,'Reference Data'!$A$5:$F$40,2,FALSE),"Unknown Product")</x:f>
        <x:v>Bluetooth Speaker</x:v>
      </x:c>
      <x:c r="N2068" s="84" t="str">
        <x:f>IFERROR(VLOOKUP(L2068,'Reference Data'!$A$5:$F$40,3,FALSE),"Unknown")</x:f>
        <x:v>Electronics</x:v>
      </x:c>
      <x:c r="O2068" s="84" t="str">
        <x:f>IFERROR(VLOOKUP(L2068,'Reference Data'!$A$5:$F$40,4,FALSE),"Unknown")</x:f>
        <x:v>Audio</x:v>
      </x:c>
      <x:c r="P2068" s="92" t="n">
        <x:f>IFERROR(VLOOKUP(L2068,'Reference Data'!$A$5:$F$40,5,FALSE),0)</x:f>
        <x:v>89</x:v>
      </x:c>
      <x:c r="Q2068" s="92" t="n">
        <x:f>IFERROR(VLOOKUP(L2068,'Reference Data'!$A$5:$F$40,6,FALSE),0)</x:f>
        <x:v>44</x:v>
      </x:c>
      <x:c r="R2068" s="84" t="n">
        <x:f>'Raw Sales'!J2068</x:f>
        <x:v>3</x:v>
      </x:c>
      <x:c r="S2068" s="87" t="n">
        <x:f>'Raw Sales'!K2068</x:f>
        <x:v>0</x:v>
      </x:c>
      <x:c r="T2068" s="93" t="n">
        <x:f>P2068*R2068</x:f>
        <x:v>267</x:v>
      </x:c>
      <x:c r="U2068" s="93" t="n">
        <x:f>T2068*S2068</x:f>
        <x:v>0</x:v>
      </x:c>
      <x:c r="V2068" s="93" t="str">
        <x:f>PROPER(TRIM('Raw Sales'!L2068))</x:f>
        <x:v>Completed</x:v>
      </x:c>
      <x:c r="W2068" s="93" t="n">
        <x:f>IF(V2068="Returned",0,T2068-U2068)</x:f>
        <x:v>267</x:v>
      </x:c>
      <x:c r="X2068" s="93" t="n">
        <x:f>IF(V2068="Returned",Q2068*R2068*10%,Q2068*R2068)</x:f>
        <x:v>132</x:v>
      </x:c>
      <x:c r="Y2068" s="93" t="n">
        <x:f>W2068-X2068</x:f>
        <x:v>135</x:v>
      </x:c>
      <x:c r="Z2068" s="94" t="n">
        <x:f>IFERROR(Y2068/W2068,0)</x:f>
        <x:v>0.5056179775280899</x:v>
      </x:c>
      <x:c r="AA2068" s="84" t="str">
        <x:f>PROPER(TRIM('Raw Sales'!M2068))</x:f>
        <x:v>Cash</x:v>
      </x:c>
      <x:c r="AB2068" s="84" t="str">
        <x:f>PROPER(TRIM('Raw Sales'!N2068))</x:f>
        <x:v>Maya Brooks</x:v>
      </x:c>
      <x:c r="AC2068" s="85" t="n">
        <x:f>'Raw Sales'!O2068</x:f>
        <x:v>45957</x:v>
      </x:c>
      <x:c r="AD2068" s="84" t="n">
        <x:f>AC2068-B2068</x:f>
        <x:v>1</x:v>
      </x:c>
      <x:c r="AE2068" s="84" t="str">
        <x:f>IF(COUNTIF($A$5:A2068,A2068)&gt;1,"Duplicate","Keep")</x:f>
        <x:v>Keep</x:v>
      </x:c>
      <x:c r="AF2068" s="84" t="str">
        <x:f>IF(OR(R2068&lt;=0,AC2068&lt;B2068,H2068="Unknown",M2068="Unknown Product"),"Review","Valid")</x:f>
        <x:v>Valid</x:v>
      </x:c>
      <x:c r="AG2068" s="84" t="n">
        <x:f>IF(AND(AE2068="Keep",AF2068="Valid"),1,0)</x:f>
        <x:v>1</x:v>
      </x:c>
      <x:c r="AH2068" s="84" t="n">
        <x:f>IF(AND(AG2068=1,OR('Dashboard'!$B$4="All",I2068='Dashboard'!$B$4),OR('Dashboard'!$E$4="All",N2068='Dashboard'!$E$4),OR('Dashboard'!$H$4="All",K2068='Dashboard'!$H$4),OR('Dashboard'!$K$4="All",C2068='Dashboard'!$K$4)),1,0)</x:f>
        <x:v>1</x:v>
      </x:c>
      <x:c r="AI2068" s="84" t="n">
        <x:f>IF(AND(AG2068=1,OR('Dashboard'!$B$4="All",I2068='Dashboard'!$B$4),OR('Dashboard'!$E$4="All",N2068='Dashboard'!$E$4),OR('Dashboard'!$H$4="All",K2068='Dashboard'!$H$4)),1,0)</x:f>
        <x:v>1</x:v>
      </x:c>
    </x:row>
    <x:row r="2069">
      <x:c r="A2069" s="84" t="str">
        <x:f>'Raw Sales'!A2069</x:f>
        <x:v>ORD-2025-00774</x:v>
      </x:c>
      <x:c r="B2069" s="85" t="n">
        <x:f>'Raw Sales'!B2069</x:f>
        <x:v>45956</x:v>
      </x:c>
      <x:c r="C2069" s="84" t="n">
        <x:f>YEAR(B2069)</x:f>
        <x:v>2025</x:v>
      </x:c>
      <x:c r="D2069" s="91" t="n">
        <x:f>DATE(YEAR(B2069),MONTH(B2069),1)</x:f>
        <x:v>45931</x:v>
      </x:c>
      <x:c r="E2069" s="84" t="str">
        <x:f>TEXT(B2069,"mmm")</x:f>
        <x:v>Oct</x:v>
      </x:c>
      <x:c r="F2069" s="84" t="str">
        <x:f>'Raw Sales'!C2069</x:f>
        <x:v>CUST-0470</x:v>
      </x:c>
      <x:c r="G2069" s="84" t="str">
        <x:f>PROPER(TRIM('Raw Sales'!D2069))</x:f>
        <x:v>Jasmine Lewis</x:v>
      </x:c>
      <x:c r="H2069" s="84" t="str">
        <x:f>IF(TRIM('Raw Sales'!E2069)="","Unknown",PROPER(TRIM('Raw Sales'!E2069)))</x:f>
        <x:v>Corporate</x:v>
      </x:c>
      <x:c r="I2069" s="84" t="str">
        <x:f>PROPER(TRIM('Raw Sales'!F2069))</x:f>
        <x:v>Southeast</x:v>
      </x:c>
      <x:c r="J2069" s="84" t="str">
        <x:f>PROPER(TRIM('Raw Sales'!G2069))</x:f>
        <x:v>Miami</x:v>
      </x:c>
      <x:c r="K2069" s="84" t="str">
        <x:f>PROPER(TRIM('Raw Sales'!H2069))</x:f>
        <x:v>Online</x:v>
      </x:c>
      <x:c r="L2069" s="84" t="str">
        <x:f>'Raw Sales'!I2069</x:f>
        <x:v>ELEC-005</x:v>
      </x:c>
      <x:c r="M2069" s="84" t="str">
        <x:f>IFERROR(VLOOKUP(L2069,'Reference Data'!$A$5:$F$40,2,FALSE),"Unknown Product")</x:f>
        <x:v>HD Webcam</x:v>
      </x:c>
      <x:c r="N2069" s="84" t="str">
        <x:f>IFERROR(VLOOKUP(L2069,'Reference Data'!$A$5:$F$40,3,FALSE),"Unknown")</x:f>
        <x:v>Electronics</x:v>
      </x:c>
      <x:c r="O2069" s="84" t="str">
        <x:f>IFERROR(VLOOKUP(L2069,'Reference Data'!$A$5:$F$40,4,FALSE),"Unknown")</x:f>
        <x:v>Computer Accessories</x:v>
      </x:c>
      <x:c r="P2069" s="92" t="n">
        <x:f>IFERROR(VLOOKUP(L2069,'Reference Data'!$A$5:$F$40,5,FALSE),0)</x:f>
        <x:v>79</x:v>
      </x:c>
      <x:c r="Q2069" s="92" t="n">
        <x:f>IFERROR(VLOOKUP(L2069,'Reference Data'!$A$5:$F$40,6,FALSE),0)</x:f>
        <x:v>37</x:v>
      </x:c>
      <x:c r="R2069" s="84" t="n">
        <x:f>'Raw Sales'!J2069</x:f>
        <x:v>6</x:v>
      </x:c>
      <x:c r="S2069" s="87" t="n">
        <x:f>'Raw Sales'!K2069</x:f>
        <x:v>0.05</x:v>
      </x:c>
      <x:c r="T2069" s="93" t="n">
        <x:f>P2069*R2069</x:f>
        <x:v>474</x:v>
      </x:c>
      <x:c r="U2069" s="93" t="n">
        <x:f>T2069*S2069</x:f>
        <x:v>23.700000000000003</x:v>
      </x:c>
      <x:c r="V2069" s="93" t="str">
        <x:f>PROPER(TRIM('Raw Sales'!L2069))</x:f>
        <x:v>Completed</x:v>
      </x:c>
      <x:c r="W2069" s="93" t="n">
        <x:f>IF(V2069="Returned",0,T2069-U2069)</x:f>
        <x:v>450.3</x:v>
      </x:c>
      <x:c r="X2069" s="93" t="n">
        <x:f>IF(V2069="Returned",Q2069*R2069*10%,Q2069*R2069)</x:f>
        <x:v>222</x:v>
      </x:c>
      <x:c r="Y2069" s="93" t="n">
        <x:f>W2069-X2069</x:f>
        <x:v>228.3</x:v>
      </x:c>
      <x:c r="Z2069" s="94" t="n">
        <x:f>IFERROR(Y2069/W2069,0)</x:f>
        <x:v>0.5069953364423717</x:v>
      </x:c>
      <x:c r="AA2069" s="84" t="str">
        <x:f>PROPER(TRIM('Raw Sales'!M2069))</x:f>
        <x:v>Credit Card</x:v>
      </x:c>
      <x:c r="AB2069" s="84" t="str">
        <x:f>PROPER(TRIM('Raw Sales'!N2069))</x:f>
        <x:v>Ava Mitchell</x:v>
      </x:c>
      <x:c r="AC2069" s="85" t="n">
        <x:f>'Raw Sales'!O2069</x:f>
        <x:v>45958</x:v>
      </x:c>
      <x:c r="AD2069" s="84" t="n">
        <x:f>AC2069-B2069</x:f>
        <x:v>2</x:v>
      </x:c>
      <x:c r="AE2069" s="84" t="str">
        <x:f>IF(COUNTIF($A$5:A2069,A2069)&gt;1,"Duplicate","Keep")</x:f>
        <x:v>Keep</x:v>
      </x:c>
      <x:c r="AF2069" s="84" t="str">
        <x:f>IF(OR(R2069&lt;=0,AC2069&lt;B2069,H2069="Unknown",M2069="Unknown Product"),"Review","Valid")</x:f>
        <x:v>Valid</x:v>
      </x:c>
      <x:c r="AG2069" s="84" t="n">
        <x:f>IF(AND(AE2069="Keep",AF2069="Valid"),1,0)</x:f>
        <x:v>1</x:v>
      </x:c>
      <x:c r="AH2069" s="84" t="n">
        <x:f>IF(AND(AG2069=1,OR('Dashboard'!$B$4="All",I2069='Dashboard'!$B$4),OR('Dashboard'!$E$4="All",N2069='Dashboard'!$E$4),OR('Dashboard'!$H$4="All",K2069='Dashboard'!$H$4),OR('Dashboard'!$K$4="All",C2069='Dashboard'!$K$4)),1,0)</x:f>
        <x:v>1</x:v>
      </x:c>
      <x:c r="AI2069" s="84" t="n">
        <x:f>IF(AND(AG2069=1,OR('Dashboard'!$B$4="All",I2069='Dashboard'!$B$4),OR('Dashboard'!$E$4="All",N2069='Dashboard'!$E$4),OR('Dashboard'!$H$4="All",K2069='Dashboard'!$H$4)),1,0)</x:f>
        <x:v>1</x:v>
      </x:c>
    </x:row>
    <x:row r="2070">
      <x:c r="A2070" s="84" t="str">
        <x:f>'Raw Sales'!A2070</x:f>
        <x:v>ORD-2025-01819</x:v>
      </x:c>
      <x:c r="B2070" s="85" t="n">
        <x:f>'Raw Sales'!B2070</x:f>
        <x:v>45956</x:v>
      </x:c>
      <x:c r="C2070" s="84" t="n">
        <x:f>YEAR(B2070)</x:f>
        <x:v>2025</x:v>
      </x:c>
      <x:c r="D2070" s="91" t="n">
        <x:f>DATE(YEAR(B2070),MONTH(B2070),1)</x:f>
        <x:v>45931</x:v>
      </x:c>
      <x:c r="E2070" s="84" t="str">
        <x:f>TEXT(B2070,"mmm")</x:f>
        <x:v>Oct</x:v>
      </x:c>
      <x:c r="F2070" s="84" t="str">
        <x:f>'Raw Sales'!C2070</x:f>
        <x:v>CUST-0630</x:v>
      </x:c>
      <x:c r="G2070" s="84" t="str">
        <x:f>PROPER(TRIM('Raw Sales'!D2070))</x:f>
        <x:v>Jasmine Foster</x:v>
      </x:c>
      <x:c r="H2070" s="84" t="str">
        <x:f>IF(TRIM('Raw Sales'!E2070)="","Unknown",PROPER(TRIM('Raw Sales'!E2070)))</x:f>
        <x:v>Consumer</x:v>
      </x:c>
      <x:c r="I2070" s="84" t="str">
        <x:f>PROPER(TRIM('Raw Sales'!F2070))</x:f>
        <x:v>Southeast</x:v>
      </x:c>
      <x:c r="J2070" s="84" t="str">
        <x:f>PROPER(TRIM('Raw Sales'!G2070))</x:f>
        <x:v>Miami</x:v>
      </x:c>
      <x:c r="K2070" s="84" t="str">
        <x:f>PROPER(TRIM('Raw Sales'!H2070))</x:f>
        <x:v>Online</x:v>
      </x:c>
      <x:c r="L2070" s="84" t="str">
        <x:f>'Raw Sales'!I2070</x:f>
        <x:v>ELEC-006</x:v>
      </x:c>
      <x:c r="M2070" s="84" t="str">
        <x:f>IFERROR(VLOOKUP(L2070,'Reference Data'!$A$5:$F$40,2,FALSE),"Unknown Product")</x:f>
        <x:v>Portable SSD</x:v>
      </x:c>
      <x:c r="N2070" s="84" t="str">
        <x:f>IFERROR(VLOOKUP(L2070,'Reference Data'!$A$5:$F$40,3,FALSE),"Unknown")</x:f>
        <x:v>Electronics</x:v>
      </x:c>
      <x:c r="O2070" s="84" t="str">
        <x:f>IFERROR(VLOOKUP(L2070,'Reference Data'!$A$5:$F$40,4,FALSE),"Unknown")</x:f>
        <x:v>Storage</x:v>
      </x:c>
      <x:c r="P2070" s="92" t="n">
        <x:f>IFERROR(VLOOKUP(L2070,'Reference Data'!$A$5:$F$40,5,FALSE),0)</x:f>
        <x:v>129</x:v>
      </x:c>
      <x:c r="Q2070" s="92" t="n">
        <x:f>IFERROR(VLOOKUP(L2070,'Reference Data'!$A$5:$F$40,6,FALSE),0)</x:f>
        <x:v>75</x:v>
      </x:c>
      <x:c r="R2070" s="84" t="n">
        <x:f>'Raw Sales'!J2070</x:f>
        <x:v>1</x:v>
      </x:c>
      <x:c r="S2070" s="87" t="n">
        <x:f>'Raw Sales'!K2070</x:f>
        <x:v>0</x:v>
      </x:c>
      <x:c r="T2070" s="93" t="n">
        <x:f>P2070*R2070</x:f>
        <x:v>129</x:v>
      </x:c>
      <x:c r="U2070" s="93" t="n">
        <x:f>T2070*S2070</x:f>
        <x:v>0</x:v>
      </x:c>
      <x:c r="V2070" s="93" t="str">
        <x:f>PROPER(TRIM('Raw Sales'!L2070))</x:f>
        <x:v>Returned</x:v>
      </x:c>
      <x:c r="W2070" s="93" t="n">
        <x:f>IF(V2070="Returned",0,T2070-U2070)</x:f>
        <x:v>0</x:v>
      </x:c>
      <x:c r="X2070" s="93" t="n">
        <x:f>IF(V2070="Returned",Q2070*R2070*10%,Q2070*R2070)</x:f>
        <x:v>7.5</x:v>
      </x:c>
      <x:c r="Y2070" s="93" t="n">
        <x:f>W2070-X2070</x:f>
        <x:v>-7.5</x:v>
      </x:c>
      <x:c r="Z2070" s="94" t="n">
        <x:f>IFERROR(Y2070/W2070,0)</x:f>
        <x:v>0</x:v>
      </x:c>
      <x:c r="AA2070" s="84" t="str">
        <x:f>PROPER(TRIM('Raw Sales'!M2070))</x:f>
        <x:v>Mobile Wallet</x:v>
      </x:c>
      <x:c r="AB2070" s="84" t="str">
        <x:f>PROPER(TRIM('Raw Sales'!N2070))</x:f>
        <x:v>Ava Mitchell</x:v>
      </x:c>
      <x:c r="AC2070" s="85" t="n">
        <x:f>'Raw Sales'!O2070</x:f>
        <x:v>45959</x:v>
      </x:c>
      <x:c r="AD2070" s="84" t="n">
        <x:f>AC2070-B2070</x:f>
        <x:v>3</x:v>
      </x:c>
      <x:c r="AE2070" s="84" t="str">
        <x:f>IF(COUNTIF($A$5:A2070,A2070)&gt;1,"Duplicate","Keep")</x:f>
        <x:v>Keep</x:v>
      </x:c>
      <x:c r="AF2070" s="84" t="str">
        <x:f>IF(OR(R2070&lt;=0,AC2070&lt;B2070,H2070="Unknown",M2070="Unknown Product"),"Review","Valid")</x:f>
        <x:v>Valid</x:v>
      </x:c>
      <x:c r="AG2070" s="84" t="n">
        <x:f>IF(AND(AE2070="Keep",AF2070="Valid"),1,0)</x:f>
        <x:v>1</x:v>
      </x:c>
      <x:c r="AH2070" s="84" t="n">
        <x:f>IF(AND(AG2070=1,OR('Dashboard'!$B$4="All",I2070='Dashboard'!$B$4),OR('Dashboard'!$E$4="All",N2070='Dashboard'!$E$4),OR('Dashboard'!$H$4="All",K2070='Dashboard'!$H$4),OR('Dashboard'!$K$4="All",C2070='Dashboard'!$K$4)),1,0)</x:f>
        <x:v>1</x:v>
      </x:c>
      <x:c r="AI2070" s="84" t="n">
        <x:f>IF(AND(AG2070=1,OR('Dashboard'!$B$4="All",I2070='Dashboard'!$B$4),OR('Dashboard'!$E$4="All",N2070='Dashboard'!$E$4),OR('Dashboard'!$H$4="All",K2070='Dashboard'!$H$4)),1,0)</x:f>
        <x:v>1</x:v>
      </x:c>
    </x:row>
    <x:row r="2071">
      <x:c r="A2071" s="84" t="str">
        <x:f>'Raw Sales'!A2071</x:f>
        <x:v>ORD-2025-01997</x:v>
      </x:c>
      <x:c r="B2071" s="85" t="n">
        <x:f>'Raw Sales'!B2071</x:f>
        <x:v>45956</x:v>
      </x:c>
      <x:c r="C2071" s="84" t="n">
        <x:f>YEAR(B2071)</x:f>
        <x:v>2025</x:v>
      </x:c>
      <x:c r="D2071" s="91" t="n">
        <x:f>DATE(YEAR(B2071),MONTH(B2071),1)</x:f>
        <x:v>45931</x:v>
      </x:c>
      <x:c r="E2071" s="84" t="str">
        <x:f>TEXT(B2071,"mmm")</x:f>
        <x:v>Oct</x:v>
      </x:c>
      <x:c r="F2071" s="84" t="str">
        <x:f>'Raw Sales'!C2071</x:f>
        <x:v>CUST-0282</x:v>
      </x:c>
      <x:c r="G2071" s="84" t="str">
        <x:f>PROPER(TRIM('Raw Sales'!D2071))</x:f>
        <x:v>Caleb Carter</x:v>
      </x:c>
      <x:c r="H2071" s="84" t="str">
        <x:f>IF(TRIM('Raw Sales'!E2071)="","Unknown",PROPER(TRIM('Raw Sales'!E2071)))</x:f>
        <x:v>Consumer</x:v>
      </x:c>
      <x:c r="I2071" s="84" t="str">
        <x:f>PROPER(TRIM('Raw Sales'!F2071))</x:f>
        <x:v>Northeast</x:v>
      </x:c>
      <x:c r="J2071" s="84" t="str">
        <x:f>PROPER(TRIM('Raw Sales'!G2071))</x:f>
        <x:v>Boston</x:v>
      </x:c>
      <x:c r="K2071" s="84" t="str">
        <x:f>PROPER(TRIM('Raw Sales'!H2071))</x:f>
        <x:v>Online</x:v>
      </x:c>
      <x:c r="L2071" s="84" t="str">
        <x:f>'Raw Sales'!I2071</x:f>
        <x:v>OFFC-005</x:v>
      </x:c>
      <x:c r="M2071" s="84" t="str">
        <x:f>IFERROR(VLOOKUP(L2071,'Reference Data'!$A$5:$F$40,2,FALSE),"Unknown Product")</x:f>
        <x:v>Wireless Keyboard</x:v>
      </x:c>
      <x:c r="N2071" s="84" t="str">
        <x:f>IFERROR(VLOOKUP(L2071,'Reference Data'!$A$5:$F$40,3,FALSE),"Unknown")</x:f>
        <x:v>Office</x:v>
      </x:c>
      <x:c r="O2071" s="84" t="str">
        <x:f>IFERROR(VLOOKUP(L2071,'Reference Data'!$A$5:$F$40,4,FALSE),"Unknown")</x:f>
        <x:v>Computer Accessories</x:v>
      </x:c>
      <x:c r="P2071" s="92" t="n">
        <x:f>IFERROR(VLOOKUP(L2071,'Reference Data'!$A$5:$F$40,5,FALSE),0)</x:f>
        <x:v>59</x:v>
      </x:c>
      <x:c r="Q2071" s="92" t="n">
        <x:f>IFERROR(VLOOKUP(L2071,'Reference Data'!$A$5:$F$40,6,FALSE),0)</x:f>
        <x:v>28</x:v>
      </x:c>
      <x:c r="R2071" s="84" t="n">
        <x:f>'Raw Sales'!J2071</x:f>
        <x:v>3</x:v>
      </x:c>
      <x:c r="S2071" s="87" t="n">
        <x:f>'Raw Sales'!K2071</x:f>
        <x:v>0.1</x:v>
      </x:c>
      <x:c r="T2071" s="93" t="n">
        <x:f>P2071*R2071</x:f>
        <x:v>177</x:v>
      </x:c>
      <x:c r="U2071" s="93" t="n">
        <x:f>T2071*S2071</x:f>
        <x:v>17.7</x:v>
      </x:c>
      <x:c r="V2071" s="93" t="str">
        <x:f>PROPER(TRIM('Raw Sales'!L2071))</x:f>
        <x:v>Completed</x:v>
      </x:c>
      <x:c r="W2071" s="93" t="n">
        <x:f>IF(V2071="Returned",0,T2071-U2071)</x:f>
        <x:v>159.3</x:v>
      </x:c>
      <x:c r="X2071" s="93" t="n">
        <x:f>IF(V2071="Returned",Q2071*R2071*10%,Q2071*R2071)</x:f>
        <x:v>84</x:v>
      </x:c>
      <x:c r="Y2071" s="93" t="n">
        <x:f>W2071-X2071</x:f>
        <x:v>75.30000000000001</x:v>
      </x:c>
      <x:c r="Z2071" s="94" t="n">
        <x:f>IFERROR(Y2071/W2071,0)</x:f>
        <x:v>0.47269303201506596</x:v>
      </x:c>
      <x:c r="AA2071" s="84" t="str">
        <x:f>PROPER(TRIM('Raw Sales'!M2071))</x:f>
        <x:v>Credit Card</x:v>
      </x:c>
      <x:c r="AB2071" s="84" t="str">
        <x:f>PROPER(TRIM('Raw Sales'!N2071))</x:f>
        <x:v>Sofia Bennett</x:v>
      </x:c>
      <x:c r="AC2071" s="85" t="n">
        <x:f>'Raw Sales'!O2071</x:f>
        <x:v>45962</x:v>
      </x:c>
      <x:c r="AD2071" s="84" t="n">
        <x:f>AC2071-B2071</x:f>
        <x:v>6</x:v>
      </x:c>
      <x:c r="AE2071" s="84" t="str">
        <x:f>IF(COUNTIF($A$5:A2071,A2071)&gt;1,"Duplicate","Keep")</x:f>
        <x:v>Keep</x:v>
      </x:c>
      <x:c r="AF2071" s="84" t="str">
        <x:f>IF(OR(R2071&lt;=0,AC2071&lt;B2071,H2071="Unknown",M2071="Unknown Product"),"Review","Valid")</x:f>
        <x:v>Valid</x:v>
      </x:c>
      <x:c r="AG2071" s="84" t="n">
        <x:f>IF(AND(AE2071="Keep",AF2071="Valid"),1,0)</x:f>
        <x:v>1</x:v>
      </x:c>
      <x:c r="AH2071" s="84" t="n">
        <x:f>IF(AND(AG2071=1,OR('Dashboard'!$B$4="All",I2071='Dashboard'!$B$4),OR('Dashboard'!$E$4="All",N2071='Dashboard'!$E$4),OR('Dashboard'!$H$4="All",K2071='Dashboard'!$H$4),OR('Dashboard'!$K$4="All",C2071='Dashboard'!$K$4)),1,0)</x:f>
        <x:v>1</x:v>
      </x:c>
      <x:c r="AI2071" s="84" t="n">
        <x:f>IF(AND(AG2071=1,OR('Dashboard'!$B$4="All",I2071='Dashboard'!$B$4),OR('Dashboard'!$E$4="All",N2071='Dashboard'!$E$4),OR('Dashboard'!$H$4="All",K2071='Dashboard'!$H$4)),1,0)</x:f>
        <x:v>1</x:v>
      </x:c>
    </x:row>
    <x:row r="2072">
      <x:c r="A2072" s="84" t="str">
        <x:f>'Raw Sales'!A2072</x:f>
        <x:v>ORD-2025-00505</x:v>
      </x:c>
      <x:c r="B2072" s="85" t="n">
        <x:f>'Raw Sales'!B2072</x:f>
        <x:v>45957</x:v>
      </x:c>
      <x:c r="C2072" s="84" t="n">
        <x:f>YEAR(B2072)</x:f>
        <x:v>2025</x:v>
      </x:c>
      <x:c r="D2072" s="91" t="n">
        <x:f>DATE(YEAR(B2072),MONTH(B2072),1)</x:f>
        <x:v>45931</x:v>
      </x:c>
      <x:c r="E2072" s="84" t="str">
        <x:f>TEXT(B2072,"mmm")</x:f>
        <x:v>Oct</x:v>
      </x:c>
      <x:c r="F2072" s="84" t="str">
        <x:f>'Raw Sales'!C2072</x:f>
        <x:v>CUST-0064</x:v>
      </x:c>
      <x:c r="G2072" s="84" t="str">
        <x:f>PROPER(TRIM('Raw Sales'!D2072))</x:f>
        <x:v>Nina Walker</x:v>
      </x:c>
      <x:c r="H2072" s="84" t="str">
        <x:f>IF(TRIM('Raw Sales'!E2072)="","Unknown",PROPER(TRIM('Raw Sales'!E2072)))</x:f>
        <x:v>Consumer</x:v>
      </x:c>
      <x:c r="I2072" s="84" t="str">
        <x:f>PROPER(TRIM('Raw Sales'!F2072))</x:f>
        <x:v>Midwest</x:v>
      </x:c>
      <x:c r="J2072" s="84" t="str">
        <x:f>PROPER(TRIM('Raw Sales'!G2072))</x:f>
        <x:v>Columbus</x:v>
      </x:c>
      <x:c r="K2072" s="84" t="str">
        <x:f>PROPER(TRIM('Raw Sales'!H2072))</x:f>
        <x:v>Marketplace</x:v>
      </x:c>
      <x:c r="L2072" s="84" t="str">
        <x:f>'Raw Sales'!I2072</x:f>
        <x:v>HOME-004</x:v>
      </x:c>
      <x:c r="M2072" s="84" t="str">
        <x:f>IFERROR(VLOOKUP(L2072,'Reference Data'!$A$5:$F$40,2,FALSE),"Unknown Product")</x:f>
        <x:v>Coffee Maker</x:v>
      </x:c>
      <x:c r="N2072" s="84" t="str">
        <x:f>IFERROR(VLOOKUP(L2072,'Reference Data'!$A$5:$F$40,3,FALSE),"Unknown")</x:f>
        <x:v>Home &amp; Kitchen</x:v>
      </x:c>
      <x:c r="O2072" s="84" t="str">
        <x:f>IFERROR(VLOOKUP(L2072,'Reference Data'!$A$5:$F$40,4,FALSE),"Unknown")</x:f>
        <x:v>Small Appliances</x:v>
      </x:c>
      <x:c r="P2072" s="92" t="n">
        <x:f>IFERROR(VLOOKUP(L2072,'Reference Data'!$A$5:$F$40,5,FALSE),0)</x:f>
        <x:v>99</x:v>
      </x:c>
      <x:c r="Q2072" s="92" t="n">
        <x:f>IFERROR(VLOOKUP(L2072,'Reference Data'!$A$5:$F$40,6,FALSE),0)</x:f>
        <x:v>51</x:v>
      </x:c>
      <x:c r="R2072" s="84" t="n">
        <x:f>'Raw Sales'!J2072</x:f>
        <x:v>3</x:v>
      </x:c>
      <x:c r="S2072" s="87" t="n">
        <x:f>'Raw Sales'!K2072</x:f>
        <x:v>0.1</x:v>
      </x:c>
      <x:c r="T2072" s="93" t="n">
        <x:f>P2072*R2072</x:f>
        <x:v>297</x:v>
      </x:c>
      <x:c r="U2072" s="93" t="n">
        <x:f>T2072*S2072</x:f>
        <x:v>29.700000000000003</x:v>
      </x:c>
      <x:c r="V2072" s="93" t="str">
        <x:f>PROPER(TRIM('Raw Sales'!L2072))</x:f>
        <x:v>Completed</x:v>
      </x:c>
      <x:c r="W2072" s="93" t="n">
        <x:f>IF(V2072="Returned",0,T2072-U2072)</x:f>
        <x:v>267.3</x:v>
      </x:c>
      <x:c r="X2072" s="93" t="n">
        <x:f>IF(V2072="Returned",Q2072*R2072*10%,Q2072*R2072)</x:f>
        <x:v>153</x:v>
      </x:c>
      <x:c r="Y2072" s="93" t="n">
        <x:f>W2072-X2072</x:f>
        <x:v>114.30000000000001</x:v>
      </x:c>
      <x:c r="Z2072" s="94" t="n">
        <x:f>IFERROR(Y2072/W2072,0)</x:f>
        <x:v>0.42760942760942766</x:v>
      </x:c>
      <x:c r="AA2072" s="84" t="str">
        <x:f>PROPER(TRIM('Raw Sales'!M2072))</x:f>
        <x:v>Paypal</x:v>
      </x:c>
      <x:c r="AB2072" s="84" t="str">
        <x:f>PROPER(TRIM('Raw Sales'!N2072))</x:f>
        <x:v>Lucas Grant</x:v>
      </x:c>
      <x:c r="AC2072" s="85" t="n">
        <x:f>'Raw Sales'!O2072</x:f>
        <x:v>45961</x:v>
      </x:c>
      <x:c r="AD2072" s="84" t="n">
        <x:f>AC2072-B2072</x:f>
        <x:v>4</x:v>
      </x:c>
      <x:c r="AE2072" s="84" t="str">
        <x:f>IF(COUNTIF($A$5:A2072,A2072)&gt;1,"Duplicate","Keep")</x:f>
        <x:v>Keep</x:v>
      </x:c>
      <x:c r="AF2072" s="84" t="str">
        <x:f>IF(OR(R2072&lt;=0,AC2072&lt;B2072,H2072="Unknown",M2072="Unknown Product"),"Review","Valid")</x:f>
        <x:v>Valid</x:v>
      </x:c>
      <x:c r="AG2072" s="84" t="n">
        <x:f>IF(AND(AE2072="Keep",AF2072="Valid"),1,0)</x:f>
        <x:v>1</x:v>
      </x:c>
      <x:c r="AH2072" s="84" t="n">
        <x:f>IF(AND(AG2072=1,OR('Dashboard'!$B$4="All",I2072='Dashboard'!$B$4),OR('Dashboard'!$E$4="All",N2072='Dashboard'!$E$4),OR('Dashboard'!$H$4="All",K2072='Dashboard'!$H$4),OR('Dashboard'!$K$4="All",C2072='Dashboard'!$K$4)),1,0)</x:f>
        <x:v>1</x:v>
      </x:c>
      <x:c r="AI2072" s="84" t="n">
        <x:f>IF(AND(AG2072=1,OR('Dashboard'!$B$4="All",I2072='Dashboard'!$B$4),OR('Dashboard'!$E$4="All",N2072='Dashboard'!$E$4),OR('Dashboard'!$H$4="All",K2072='Dashboard'!$H$4)),1,0)</x:f>
        <x:v>1</x:v>
      </x:c>
    </x:row>
    <x:row r="2073">
      <x:c r="A2073" s="84" t="str">
        <x:f>'Raw Sales'!A2073</x:f>
        <x:v>ORD-2025-00727</x:v>
      </x:c>
      <x:c r="B2073" s="85" t="n">
        <x:f>'Raw Sales'!B2073</x:f>
        <x:v>45957</x:v>
      </x:c>
      <x:c r="C2073" s="84" t="n">
        <x:f>YEAR(B2073)</x:f>
        <x:v>2025</x:v>
      </x:c>
      <x:c r="D2073" s="91" t="n">
        <x:f>DATE(YEAR(B2073),MONTH(B2073),1)</x:f>
        <x:v>45931</x:v>
      </x:c>
      <x:c r="E2073" s="84" t="str">
        <x:f>TEXT(B2073,"mmm")</x:f>
        <x:v>Oct</x:v>
      </x:c>
      <x:c r="F2073" s="84" t="str">
        <x:f>'Raw Sales'!C2073</x:f>
        <x:v>CUST-0088</x:v>
      </x:c>
      <x:c r="G2073" s="84" t="str">
        <x:f>PROPER(TRIM('Raw Sales'!D2073))</x:f>
        <x:v>Jasmine Khan</x:v>
      </x:c>
      <x:c r="H2073" s="84" t="str">
        <x:f>IF(TRIM('Raw Sales'!E2073)="","Unknown",PROPER(TRIM('Raw Sales'!E2073)))</x:f>
        <x:v>Consumer</x:v>
      </x:c>
      <x:c r="I2073" s="84" t="str">
        <x:f>PROPER(TRIM('Raw Sales'!F2073))</x:f>
        <x:v>Northeast</x:v>
      </x:c>
      <x:c r="J2073" s="84" t="str">
        <x:f>PROPER(TRIM('Raw Sales'!G2073))</x:f>
        <x:v>Boston</x:v>
      </x:c>
      <x:c r="K2073" s="84" t="str">
        <x:f>PROPER(TRIM('Raw Sales'!H2073))</x:f>
        <x:v>Online</x:v>
      </x:c>
      <x:c r="L2073" s="84" t="str">
        <x:f>'Raw Sales'!I2073</x:f>
        <x:v>OFFC-001</x:v>
      </x:c>
      <x:c r="M2073" s="84" t="str">
        <x:f>IFERROR(VLOOKUP(L2073,'Reference Data'!$A$5:$F$40,2,FALSE),"Unknown Product")</x:f>
        <x:v>Ergonomic Chair</x:v>
      </x:c>
      <x:c r="N2073" s="84" t="str">
        <x:f>IFERROR(VLOOKUP(L2073,'Reference Data'!$A$5:$F$40,3,FALSE),"Unknown")</x:f>
        <x:v>Office</x:v>
      </x:c>
      <x:c r="O2073" s="84" t="str">
        <x:f>IFERROR(VLOOKUP(L2073,'Reference Data'!$A$5:$F$40,4,FALSE),"Unknown")</x:f>
        <x:v>Furniture</x:v>
      </x:c>
      <x:c r="P2073" s="92" t="n">
        <x:f>IFERROR(VLOOKUP(L2073,'Reference Data'!$A$5:$F$40,5,FALSE),0)</x:f>
        <x:v>249</x:v>
      </x:c>
      <x:c r="Q2073" s="92" t="n">
        <x:f>IFERROR(VLOOKUP(L2073,'Reference Data'!$A$5:$F$40,6,FALSE),0)</x:f>
        <x:v>145</x:v>
      </x:c>
      <x:c r="R2073" s="84" t="n">
        <x:f>'Raw Sales'!J2073</x:f>
        <x:v>1</x:v>
      </x:c>
      <x:c r="S2073" s="87" t="n">
        <x:f>'Raw Sales'!K2073</x:f>
        <x:v>0</x:v>
      </x:c>
      <x:c r="T2073" s="93" t="n">
        <x:f>P2073*R2073</x:f>
        <x:v>249</x:v>
      </x:c>
      <x:c r="U2073" s="93" t="n">
        <x:f>T2073*S2073</x:f>
        <x:v>0</x:v>
      </x:c>
      <x:c r="V2073" s="93" t="str">
        <x:f>PROPER(TRIM('Raw Sales'!L2073))</x:f>
        <x:v>Completed</x:v>
      </x:c>
      <x:c r="W2073" s="93" t="n">
        <x:f>IF(V2073="Returned",0,T2073-U2073)</x:f>
        <x:v>249</x:v>
      </x:c>
      <x:c r="X2073" s="93" t="n">
        <x:f>IF(V2073="Returned",Q2073*R2073*10%,Q2073*R2073)</x:f>
        <x:v>145</x:v>
      </x:c>
      <x:c r="Y2073" s="93" t="n">
        <x:f>W2073-X2073</x:f>
        <x:v>104</x:v>
      </x:c>
      <x:c r="Z2073" s="94" t="n">
        <x:f>IFERROR(Y2073/W2073,0)</x:f>
        <x:v>0.41767068273092367</x:v>
      </x:c>
      <x:c r="AA2073" s="84" t="str">
        <x:f>PROPER(TRIM('Raw Sales'!M2073))</x:f>
        <x:v>Credit Card</x:v>
      </x:c>
      <x:c r="AB2073" s="84" t="str">
        <x:f>PROPER(TRIM('Raw Sales'!N2073))</x:f>
        <x:v>Sofia Bennett</x:v>
      </x:c>
      <x:c r="AC2073" s="85" t="n">
        <x:f>'Raw Sales'!O2073</x:f>
        <x:v>45959</x:v>
      </x:c>
      <x:c r="AD2073" s="84" t="n">
        <x:f>AC2073-B2073</x:f>
        <x:v>2</x:v>
      </x:c>
      <x:c r="AE2073" s="84" t="str">
        <x:f>IF(COUNTIF($A$5:A2073,A2073)&gt;1,"Duplicate","Keep")</x:f>
        <x:v>Keep</x:v>
      </x:c>
      <x:c r="AF2073" s="84" t="str">
        <x:f>IF(OR(R2073&lt;=0,AC2073&lt;B2073,H2073="Unknown",M2073="Unknown Product"),"Review","Valid")</x:f>
        <x:v>Valid</x:v>
      </x:c>
      <x:c r="AG2073" s="84" t="n">
        <x:f>IF(AND(AE2073="Keep",AF2073="Valid"),1,0)</x:f>
        <x:v>1</x:v>
      </x:c>
      <x:c r="AH2073" s="84" t="n">
        <x:f>IF(AND(AG2073=1,OR('Dashboard'!$B$4="All",I2073='Dashboard'!$B$4),OR('Dashboard'!$E$4="All",N2073='Dashboard'!$E$4),OR('Dashboard'!$H$4="All",K2073='Dashboard'!$H$4),OR('Dashboard'!$K$4="All",C2073='Dashboard'!$K$4)),1,0)</x:f>
        <x:v>1</x:v>
      </x:c>
      <x:c r="AI2073" s="84" t="n">
        <x:f>IF(AND(AG2073=1,OR('Dashboard'!$B$4="All",I2073='Dashboard'!$B$4),OR('Dashboard'!$E$4="All",N2073='Dashboard'!$E$4),OR('Dashboard'!$H$4="All",K2073='Dashboard'!$H$4)),1,0)</x:f>
        <x:v>1</x:v>
      </x:c>
    </x:row>
    <x:row r="2074">
      <x:c r="A2074" s="84" t="str">
        <x:f>'Raw Sales'!A2074</x:f>
        <x:v>ORD-2025-01021</x:v>
      </x:c>
      <x:c r="B2074" s="85" t="n">
        <x:f>'Raw Sales'!B2074</x:f>
        <x:v>45957</x:v>
      </x:c>
      <x:c r="C2074" s="84" t="n">
        <x:f>YEAR(B2074)</x:f>
        <x:v>2025</x:v>
      </x:c>
      <x:c r="D2074" s="91" t="n">
        <x:f>DATE(YEAR(B2074),MONTH(B2074),1)</x:f>
        <x:v>45931</x:v>
      </x:c>
      <x:c r="E2074" s="84" t="str">
        <x:f>TEXT(B2074,"mmm")</x:f>
        <x:v>Oct</x:v>
      </x:c>
      <x:c r="F2074" s="84" t="str">
        <x:f>'Raw Sales'!C2074</x:f>
        <x:v>CUST-0111</x:v>
      </x:c>
      <x:c r="G2074" s="84" t="str">
        <x:f>PROPER(TRIM('Raw Sales'!D2074))</x:f>
        <x:v>Elias Evans</x:v>
      </x:c>
      <x:c r="H2074" s="84" t="str">
        <x:f>IF(TRIM('Raw Sales'!E2074)="","Unknown",PROPER(TRIM('Raw Sales'!E2074)))</x:f>
        <x:v>Small Business</x:v>
      </x:c>
      <x:c r="I2074" s="84" t="str">
        <x:f>PROPER(TRIM('Raw Sales'!F2074))</x:f>
        <x:v>Northeast</x:v>
      </x:c>
      <x:c r="J2074" s="84" t="str">
        <x:f>PROPER(TRIM('Raw Sales'!G2074))</x:f>
        <x:v>New York</x:v>
      </x:c>
      <x:c r="K2074" s="84" t="str">
        <x:f>PROPER(TRIM('Raw Sales'!H2074))</x:f>
        <x:v>Online</x:v>
      </x:c>
      <x:c r="L2074" s="84" t="str">
        <x:f>'Raw Sales'!I2074</x:f>
        <x:v>OFFC-003</x:v>
      </x:c>
      <x:c r="M2074" s="84" t="str">
        <x:f>IFERROR(VLOOKUP(L2074,'Reference Data'!$A$5:$F$40,2,FALSE),"Unknown Product")</x:f>
        <x:v>LED Desk Lamp</x:v>
      </x:c>
      <x:c r="N2074" s="84" t="str">
        <x:f>IFERROR(VLOOKUP(L2074,'Reference Data'!$A$5:$F$40,3,FALSE),"Unknown")</x:f>
        <x:v>Office</x:v>
      </x:c>
      <x:c r="O2074" s="84" t="str">
        <x:f>IFERROR(VLOOKUP(L2074,'Reference Data'!$A$5:$F$40,4,FALSE),"Unknown")</x:f>
        <x:v>Desk Accessories</x:v>
      </x:c>
      <x:c r="P2074" s="92" t="n">
        <x:f>IFERROR(VLOOKUP(L2074,'Reference Data'!$A$5:$F$40,5,FALSE),0)</x:f>
        <x:v>45</x:v>
      </x:c>
      <x:c r="Q2074" s="92" t="n">
        <x:f>IFERROR(VLOOKUP(L2074,'Reference Data'!$A$5:$F$40,6,FALSE),0)</x:f>
        <x:v>20</x:v>
      </x:c>
      <x:c r="R2074" s="84" t="n">
        <x:f>'Raw Sales'!J2074</x:f>
        <x:v>-1</x:v>
      </x:c>
      <x:c r="S2074" s="87" t="n">
        <x:f>'Raw Sales'!K2074</x:f>
        <x:v>0.1</x:v>
      </x:c>
      <x:c r="T2074" s="93" t="n">
        <x:f>P2074*R2074</x:f>
        <x:v>-45</x:v>
      </x:c>
      <x:c r="U2074" s="93" t="n">
        <x:f>T2074*S2074</x:f>
        <x:v>-4.5</x:v>
      </x:c>
      <x:c r="V2074" s="93" t="str">
        <x:f>PROPER(TRIM('Raw Sales'!L2074))</x:f>
        <x:v>Completed</x:v>
      </x:c>
      <x:c r="W2074" s="93" t="n">
        <x:f>IF(V2074="Returned",0,T2074-U2074)</x:f>
        <x:v>-40.5</x:v>
      </x:c>
      <x:c r="X2074" s="93" t="n">
        <x:f>IF(V2074="Returned",Q2074*R2074*10%,Q2074*R2074)</x:f>
        <x:v>-20</x:v>
      </x:c>
      <x:c r="Y2074" s="93" t="n">
        <x:f>W2074-X2074</x:f>
        <x:v>-20.5</x:v>
      </x:c>
      <x:c r="Z2074" s="94" t="n">
        <x:f>IFERROR(Y2074/W2074,0)</x:f>
        <x:v>0.5061728395061729</x:v>
      </x:c>
      <x:c r="AA2074" s="84" t="str">
        <x:f>PROPER(TRIM('Raw Sales'!M2074))</x:f>
        <x:v>Paypal</x:v>
      </x:c>
      <x:c r="AB2074" s="84" t="str">
        <x:f>PROPER(TRIM('Raw Sales'!N2074))</x:f>
        <x:v>Ethan Cole</x:v>
      </x:c>
      <x:c r="AC2074" s="85" t="n">
        <x:f>'Raw Sales'!O2074</x:f>
        <x:v>45959</x:v>
      </x:c>
      <x:c r="AD2074" s="84" t="n">
        <x:f>AC2074-B2074</x:f>
        <x:v>2</x:v>
      </x:c>
      <x:c r="AE2074" s="84" t="str">
        <x:f>IF(COUNTIF($A$5:A2074,A2074)&gt;1,"Duplicate","Keep")</x:f>
        <x:v>Keep</x:v>
      </x:c>
      <x:c r="AF2074" s="84" t="str">
        <x:f>IF(OR(R2074&lt;=0,AC2074&lt;B2074,H2074="Unknown",M2074="Unknown Product"),"Review","Valid")</x:f>
        <x:v>Review</x:v>
      </x:c>
      <x:c r="AG2074" s="84" t="n">
        <x:f>IF(AND(AE2074="Keep",AF2074="Valid"),1,0)</x:f>
        <x:v>0</x:v>
      </x:c>
      <x:c r="AH2074" s="84" t="n">
        <x:f>IF(AND(AG2074=1,OR('Dashboard'!$B$4="All",I2074='Dashboard'!$B$4),OR('Dashboard'!$E$4="All",N2074='Dashboard'!$E$4),OR('Dashboard'!$H$4="All",K2074='Dashboard'!$H$4),OR('Dashboard'!$K$4="All",C2074='Dashboard'!$K$4)),1,0)</x:f>
        <x:v>0</x:v>
      </x:c>
      <x:c r="AI2074" s="84" t="n">
        <x:f>IF(AND(AG2074=1,OR('Dashboard'!$B$4="All",I2074='Dashboard'!$B$4),OR('Dashboard'!$E$4="All",N2074='Dashboard'!$E$4),OR('Dashboard'!$H$4="All",K2074='Dashboard'!$H$4)),1,0)</x:f>
        <x:v>0</x:v>
      </x:c>
    </x:row>
    <x:row r="2075">
      <x:c r="A2075" s="84" t="str">
        <x:f>'Raw Sales'!A2075</x:f>
        <x:v>ORD-2025-01878</x:v>
      </x:c>
      <x:c r="B2075" s="85" t="n">
        <x:f>'Raw Sales'!B2075</x:f>
        <x:v>45957</x:v>
      </x:c>
      <x:c r="C2075" s="84" t="n">
        <x:f>YEAR(B2075)</x:f>
        <x:v>2025</x:v>
      </x:c>
      <x:c r="D2075" s="91" t="n">
        <x:f>DATE(YEAR(B2075),MONTH(B2075),1)</x:f>
        <x:v>45931</x:v>
      </x:c>
      <x:c r="E2075" s="84" t="str">
        <x:f>TEXT(B2075,"mmm")</x:f>
        <x:v>Oct</x:v>
      </x:c>
      <x:c r="F2075" s="84" t="str">
        <x:f>'Raw Sales'!C2075</x:f>
        <x:v>CUST-0118</x:v>
      </x:c>
      <x:c r="G2075" s="84" t="str">
        <x:f>PROPER(TRIM('Raw Sales'!D2075))</x:f>
        <x:v>Daniel Davis</x:v>
      </x:c>
      <x:c r="H2075" s="84" t="str">
        <x:f>IF(TRIM('Raw Sales'!E2075)="","Unknown",PROPER(TRIM('Raw Sales'!E2075)))</x:f>
        <x:v>Consumer</x:v>
      </x:c>
      <x:c r="I2075" s="84" t="str">
        <x:f>PROPER(TRIM('Raw Sales'!F2075))</x:f>
        <x:v>Midwest</x:v>
      </x:c>
      <x:c r="J2075" s="84" t="str">
        <x:f>PROPER(TRIM('Raw Sales'!G2075))</x:f>
        <x:v>Minneapolis</x:v>
      </x:c>
      <x:c r="K2075" s="84" t="str">
        <x:f>PROPER(TRIM('Raw Sales'!H2075))</x:f>
        <x:v>Online</x:v>
      </x:c>
      <x:c r="L2075" s="84" t="str">
        <x:f>'Raw Sales'!I2075</x:f>
        <x:v>OFFC-003</x:v>
      </x:c>
      <x:c r="M2075" s="84" t="str">
        <x:f>IFERROR(VLOOKUP(L2075,'Reference Data'!$A$5:$F$40,2,FALSE),"Unknown Product")</x:f>
        <x:v>LED Desk Lamp</x:v>
      </x:c>
      <x:c r="N2075" s="84" t="str">
        <x:f>IFERROR(VLOOKUP(L2075,'Reference Data'!$A$5:$F$40,3,FALSE),"Unknown")</x:f>
        <x:v>Office</x:v>
      </x:c>
      <x:c r="O2075" s="84" t="str">
        <x:f>IFERROR(VLOOKUP(L2075,'Reference Data'!$A$5:$F$40,4,FALSE),"Unknown")</x:f>
        <x:v>Desk Accessories</x:v>
      </x:c>
      <x:c r="P2075" s="92" t="n">
        <x:f>IFERROR(VLOOKUP(L2075,'Reference Data'!$A$5:$F$40,5,FALSE),0)</x:f>
        <x:v>45</x:v>
      </x:c>
      <x:c r="Q2075" s="92" t="n">
        <x:f>IFERROR(VLOOKUP(L2075,'Reference Data'!$A$5:$F$40,6,FALSE),0)</x:f>
        <x:v>20</x:v>
      </x:c>
      <x:c r="R2075" s="84" t="n">
        <x:f>'Raw Sales'!J2075</x:f>
        <x:v>1</x:v>
      </x:c>
      <x:c r="S2075" s="87" t="n">
        <x:f>'Raw Sales'!K2075</x:f>
        <x:v>0</x:v>
      </x:c>
      <x:c r="T2075" s="93" t="n">
        <x:f>P2075*R2075</x:f>
        <x:v>45</x:v>
      </x:c>
      <x:c r="U2075" s="93" t="n">
        <x:f>T2075*S2075</x:f>
        <x:v>0</x:v>
      </x:c>
      <x:c r="V2075" s="93" t="str">
        <x:f>PROPER(TRIM('Raw Sales'!L2075))</x:f>
        <x:v>Completed</x:v>
      </x:c>
      <x:c r="W2075" s="93" t="n">
        <x:f>IF(V2075="Returned",0,T2075-U2075)</x:f>
        <x:v>45</x:v>
      </x:c>
      <x:c r="X2075" s="93" t="n">
        <x:f>IF(V2075="Returned",Q2075*R2075*10%,Q2075*R2075)</x:f>
        <x:v>20</x:v>
      </x:c>
      <x:c r="Y2075" s="93" t="n">
        <x:f>W2075-X2075</x:f>
        <x:v>25</x:v>
      </x:c>
      <x:c r="Z2075" s="94" t="n">
        <x:f>IFERROR(Y2075/W2075,0)</x:f>
        <x:v>0.5555555555555556</x:v>
      </x:c>
      <x:c r="AA2075" s="84" t="str">
        <x:f>PROPER(TRIM('Raw Sales'!M2075))</x:f>
        <x:v>Credit Card</x:v>
      </x:c>
      <x:c r="AB2075" s="84" t="str">
        <x:f>PROPER(TRIM('Raw Sales'!N2075))</x:f>
        <x:v>Emma Hayes</x:v>
      </x:c>
      <x:c r="AC2075" s="85" t="n">
        <x:f>'Raw Sales'!O2075</x:f>
        <x:v>45960</x:v>
      </x:c>
      <x:c r="AD2075" s="84" t="n">
        <x:f>AC2075-B2075</x:f>
        <x:v>3</x:v>
      </x:c>
      <x:c r="AE2075" s="84" t="str">
        <x:f>IF(COUNTIF($A$5:A2075,A2075)&gt;1,"Duplicate","Keep")</x:f>
        <x:v>Keep</x:v>
      </x:c>
      <x:c r="AF2075" s="84" t="str">
        <x:f>IF(OR(R2075&lt;=0,AC2075&lt;B2075,H2075="Unknown",M2075="Unknown Product"),"Review","Valid")</x:f>
        <x:v>Valid</x:v>
      </x:c>
      <x:c r="AG2075" s="84" t="n">
        <x:f>IF(AND(AE2075="Keep",AF2075="Valid"),1,0)</x:f>
        <x:v>1</x:v>
      </x:c>
      <x:c r="AH2075" s="84" t="n">
        <x:f>IF(AND(AG2075=1,OR('Dashboard'!$B$4="All",I2075='Dashboard'!$B$4),OR('Dashboard'!$E$4="All",N2075='Dashboard'!$E$4),OR('Dashboard'!$H$4="All",K2075='Dashboard'!$H$4),OR('Dashboard'!$K$4="All",C2075='Dashboard'!$K$4)),1,0)</x:f>
        <x:v>1</x:v>
      </x:c>
      <x:c r="AI2075" s="84" t="n">
        <x:f>IF(AND(AG2075=1,OR('Dashboard'!$B$4="All",I2075='Dashboard'!$B$4),OR('Dashboard'!$E$4="All",N2075='Dashboard'!$E$4),OR('Dashboard'!$H$4="All",K2075='Dashboard'!$H$4)),1,0)</x:f>
        <x:v>1</x:v>
      </x:c>
    </x:row>
    <x:row r="2076">
      <x:c r="A2076" s="84" t="str">
        <x:f>'Raw Sales'!A2076</x:f>
        <x:v>ORD-2025-00236</x:v>
      </x:c>
      <x:c r="B2076" s="85" t="n">
        <x:f>'Raw Sales'!B2076</x:f>
        <x:v>45958</x:v>
      </x:c>
      <x:c r="C2076" s="84" t="n">
        <x:f>YEAR(B2076)</x:f>
        <x:v>2025</x:v>
      </x:c>
      <x:c r="D2076" s="91" t="n">
        <x:f>DATE(YEAR(B2076),MONTH(B2076),1)</x:f>
        <x:v>45931</x:v>
      </x:c>
      <x:c r="E2076" s="84" t="str">
        <x:f>TEXT(B2076,"mmm")</x:f>
        <x:v>Oct</x:v>
      </x:c>
      <x:c r="F2076" s="84" t="str">
        <x:f>'Raw Sales'!C2076</x:f>
        <x:v>CUST-0427</x:v>
      </x:c>
      <x:c r="G2076" s="84" t="str">
        <x:f>PROPER(TRIM('Raw Sales'!D2076))</x:f>
        <x:v>Aiden Ortiz</x:v>
      </x:c>
      <x:c r="H2076" s="84" t="str">
        <x:f>IF(TRIM('Raw Sales'!E2076)="","Unknown",PROPER(TRIM('Raw Sales'!E2076)))</x:f>
        <x:v>Consumer</x:v>
      </x:c>
      <x:c r="I2076" s="84" t="str">
        <x:f>PROPER(TRIM('Raw Sales'!F2076))</x:f>
        <x:v>West</x:v>
      </x:c>
      <x:c r="J2076" s="84" t="str">
        <x:f>PROPER(TRIM('Raw Sales'!G2076))</x:f>
        <x:v>Los Angeles</x:v>
      </x:c>
      <x:c r="K2076" s="84" t="str">
        <x:f>PROPER(TRIM('Raw Sales'!H2076))</x:f>
        <x:v>Retail Store</x:v>
      </x:c>
      <x:c r="L2076" s="84" t="str">
        <x:f>'Raw Sales'!I2076</x:f>
        <x:v>HOME-003</x:v>
      </x:c>
      <x:c r="M2076" s="84" t="str">
        <x:f>IFERROR(VLOOKUP(L2076,'Reference Data'!$A$5:$F$40,2,FALSE),"Unknown Product")</x:f>
        <x:v>Countertop Blender</x:v>
      </x:c>
      <x:c r="N2076" s="84" t="str">
        <x:f>IFERROR(VLOOKUP(L2076,'Reference Data'!$A$5:$F$40,3,FALSE),"Unknown")</x:f>
        <x:v>Home &amp; Kitchen</x:v>
      </x:c>
      <x:c r="O2076" s="84" t="str">
        <x:f>IFERROR(VLOOKUP(L2076,'Reference Data'!$A$5:$F$40,4,FALSE),"Unknown")</x:f>
        <x:v>Small Appliances</x:v>
      </x:c>
      <x:c r="P2076" s="92" t="n">
        <x:f>IFERROR(VLOOKUP(L2076,'Reference Data'!$A$5:$F$40,5,FALSE),0)</x:f>
        <x:v>89</x:v>
      </x:c>
      <x:c r="Q2076" s="92" t="n">
        <x:f>IFERROR(VLOOKUP(L2076,'Reference Data'!$A$5:$F$40,6,FALSE),0)</x:f>
        <x:v>46</x:v>
      </x:c>
      <x:c r="R2076" s="84" t="n">
        <x:f>'Raw Sales'!J2076</x:f>
        <x:v>1</x:v>
      </x:c>
      <x:c r="S2076" s="87" t="n">
        <x:f>'Raw Sales'!K2076</x:f>
        <x:v>0</x:v>
      </x:c>
      <x:c r="T2076" s="93" t="n">
        <x:f>P2076*R2076</x:f>
        <x:v>89</x:v>
      </x:c>
      <x:c r="U2076" s="93" t="n">
        <x:f>T2076*S2076</x:f>
        <x:v>0</x:v>
      </x:c>
      <x:c r="V2076" s="93" t="str">
        <x:f>PROPER(TRIM('Raw Sales'!L2076))</x:f>
        <x:v>Completed</x:v>
      </x:c>
      <x:c r="W2076" s="93" t="n">
        <x:f>IF(V2076="Returned",0,T2076-U2076)</x:f>
        <x:v>89</x:v>
      </x:c>
      <x:c r="X2076" s="93" t="n">
        <x:f>IF(V2076="Returned",Q2076*R2076*10%,Q2076*R2076)</x:f>
        <x:v>46</x:v>
      </x:c>
      <x:c r="Y2076" s="93" t="n">
        <x:f>W2076-X2076</x:f>
        <x:v>43</x:v>
      </x:c>
      <x:c r="Z2076" s="94" t="n">
        <x:f>IFERROR(Y2076/W2076,0)</x:f>
        <x:v>0.48314606741573035</x:v>
      </x:c>
      <x:c r="AA2076" s="84" t="str">
        <x:f>PROPER(TRIM('Raw Sales'!M2076))</x:f>
        <x:v>Credit Card</x:v>
      </x:c>
      <x:c r="AB2076" s="84" t="str">
        <x:f>PROPER(TRIM('Raw Sales'!N2076))</x:f>
        <x:v>Leo Martinez</x:v>
      </x:c>
      <x:c r="AC2076" s="85" t="n">
        <x:f>'Raw Sales'!O2076</x:f>
        <x:v>45958</x:v>
      </x:c>
      <x:c r="AD2076" s="84" t="n">
        <x:f>AC2076-B2076</x:f>
        <x:v>0</x:v>
      </x:c>
      <x:c r="AE2076" s="84" t="str">
        <x:f>IF(COUNTIF($A$5:A2076,A2076)&gt;1,"Duplicate","Keep")</x:f>
        <x:v>Keep</x:v>
      </x:c>
      <x:c r="AF2076" s="84" t="str">
        <x:f>IF(OR(R2076&lt;=0,AC2076&lt;B2076,H2076="Unknown",M2076="Unknown Product"),"Review","Valid")</x:f>
        <x:v>Valid</x:v>
      </x:c>
      <x:c r="AG2076" s="84" t="n">
        <x:f>IF(AND(AE2076="Keep",AF2076="Valid"),1,0)</x:f>
        <x:v>1</x:v>
      </x:c>
      <x:c r="AH2076" s="84" t="n">
        <x:f>IF(AND(AG2076=1,OR('Dashboard'!$B$4="All",I2076='Dashboard'!$B$4),OR('Dashboard'!$E$4="All",N2076='Dashboard'!$E$4),OR('Dashboard'!$H$4="All",K2076='Dashboard'!$H$4),OR('Dashboard'!$K$4="All",C2076='Dashboard'!$K$4)),1,0)</x:f>
        <x:v>1</x:v>
      </x:c>
      <x:c r="AI2076" s="84" t="n">
        <x:f>IF(AND(AG2076=1,OR('Dashboard'!$B$4="All",I2076='Dashboard'!$B$4),OR('Dashboard'!$E$4="All",N2076='Dashboard'!$E$4),OR('Dashboard'!$H$4="All",K2076='Dashboard'!$H$4)),1,0)</x:f>
        <x:v>1</x:v>
      </x:c>
    </x:row>
    <x:row r="2077">
      <x:c r="A2077" s="84" t="str">
        <x:f>'Raw Sales'!A2077</x:f>
        <x:v>ORD-2025-00422</x:v>
      </x:c>
      <x:c r="B2077" s="85" t="n">
        <x:f>'Raw Sales'!B2077</x:f>
        <x:v>45958</x:v>
      </x:c>
      <x:c r="C2077" s="84" t="n">
        <x:f>YEAR(B2077)</x:f>
        <x:v>2025</x:v>
      </x:c>
      <x:c r="D2077" s="91" t="n">
        <x:f>DATE(YEAR(B2077),MONTH(B2077),1)</x:f>
        <x:v>45931</x:v>
      </x:c>
      <x:c r="E2077" s="84" t="str">
        <x:f>TEXT(B2077,"mmm")</x:f>
        <x:v>Oct</x:v>
      </x:c>
      <x:c r="F2077" s="84" t="str">
        <x:f>'Raw Sales'!C2077</x:f>
        <x:v>CUST-0051</x:v>
      </x:c>
      <x:c r="G2077" s="84" t="str">
        <x:f>PROPER(TRIM('Raw Sales'!D2077))</x:f>
        <x:v>Marcus Moore</x:v>
      </x:c>
      <x:c r="H2077" s="84" t="str">
        <x:f>IF(TRIM('Raw Sales'!E2077)="","Unknown",PROPER(TRIM('Raw Sales'!E2077)))</x:f>
        <x:v>Consumer</x:v>
      </x:c>
      <x:c r="I2077" s="84" t="str">
        <x:f>PROPER(TRIM('Raw Sales'!F2077))</x:f>
        <x:v>West</x:v>
      </x:c>
      <x:c r="J2077" s="84" t="str">
        <x:f>PROPER(TRIM('Raw Sales'!G2077))</x:f>
        <x:v>Seattle</x:v>
      </x:c>
      <x:c r="K2077" s="84" t="str">
        <x:f>PROPER(TRIM('Raw Sales'!H2077))</x:f>
        <x:v>Marketplace</x:v>
      </x:c>
      <x:c r="L2077" s="84" t="str">
        <x:f>'Raw Sales'!I2077</x:f>
        <x:v>HOME-006</x:v>
      </x:c>
      <x:c r="M2077" s="84" t="str">
        <x:f>IFERROR(VLOOKUP(L2077,'Reference Data'!$A$5:$F$40,2,FALSE),"Unknown Product")</x:f>
        <x:v>Food Storage Set</x:v>
      </x:c>
      <x:c r="N2077" s="84" t="str">
        <x:f>IFERROR(VLOOKUP(L2077,'Reference Data'!$A$5:$F$40,3,FALSE),"Unknown")</x:f>
        <x:v>Home &amp; Kitchen</x:v>
      </x:c>
      <x:c r="O2077" s="84" t="str">
        <x:f>IFERROR(VLOOKUP(L2077,'Reference Data'!$A$5:$F$40,4,FALSE),"Unknown")</x:f>
        <x:v>Kitchenware</x:v>
      </x:c>
      <x:c r="P2077" s="92" t="n">
        <x:f>IFERROR(VLOOKUP(L2077,'Reference Data'!$A$5:$F$40,5,FALSE),0)</x:f>
        <x:v>34</x:v>
      </x:c>
      <x:c r="Q2077" s="92" t="n">
        <x:f>IFERROR(VLOOKUP(L2077,'Reference Data'!$A$5:$F$40,6,FALSE),0)</x:f>
        <x:v>15</x:v>
      </x:c>
      <x:c r="R2077" s="84" t="n">
        <x:f>'Raw Sales'!J2077</x:f>
        <x:v>1</x:v>
      </x:c>
      <x:c r="S2077" s="87" t="n">
        <x:f>'Raw Sales'!K2077</x:f>
        <x:v>0.2</x:v>
      </x:c>
      <x:c r="T2077" s="93" t="n">
        <x:f>P2077*R2077</x:f>
        <x:v>34</x:v>
      </x:c>
      <x:c r="U2077" s="93" t="n">
        <x:f>T2077*S2077</x:f>
        <x:v>6.800000000000001</x:v>
      </x:c>
      <x:c r="V2077" s="93" t="str">
        <x:f>PROPER(TRIM('Raw Sales'!L2077))</x:f>
        <x:v>Completed</x:v>
      </x:c>
      <x:c r="W2077" s="93" t="n">
        <x:f>IF(V2077="Returned",0,T2077-U2077)</x:f>
        <x:v>27.2</x:v>
      </x:c>
      <x:c r="X2077" s="93" t="n">
        <x:f>IF(V2077="Returned",Q2077*R2077*10%,Q2077*R2077)</x:f>
        <x:v>15</x:v>
      </x:c>
      <x:c r="Y2077" s="93" t="n">
        <x:f>W2077-X2077</x:f>
        <x:v>12.2</x:v>
      </x:c>
      <x:c r="Z2077" s="94" t="n">
        <x:f>IFERROR(Y2077/W2077,0)</x:f>
        <x:v>0.44852941176470584</x:v>
      </x:c>
      <x:c r="AA2077" s="84" t="str">
        <x:f>PROPER(TRIM('Raw Sales'!M2077))</x:f>
        <x:v>Debit Card</x:v>
      </x:c>
      <x:c r="AB2077" s="84" t="str">
        <x:f>PROPER(TRIM('Raw Sales'!N2077))</x:f>
        <x:v>Nora Kim</x:v>
      </x:c>
      <x:c r="AC2077" s="85" t="n">
        <x:f>'Raw Sales'!O2077</x:f>
        <x:v>45961</x:v>
      </x:c>
      <x:c r="AD2077" s="84" t="n">
        <x:f>AC2077-B2077</x:f>
        <x:v>3</x:v>
      </x:c>
      <x:c r="AE2077" s="84" t="str">
        <x:f>IF(COUNTIF($A$5:A2077,A2077)&gt;1,"Duplicate","Keep")</x:f>
        <x:v>Keep</x:v>
      </x:c>
      <x:c r="AF2077" s="84" t="str">
        <x:f>IF(OR(R2077&lt;=0,AC2077&lt;B2077,H2077="Unknown",M2077="Unknown Product"),"Review","Valid")</x:f>
        <x:v>Valid</x:v>
      </x:c>
      <x:c r="AG2077" s="84" t="n">
        <x:f>IF(AND(AE2077="Keep",AF2077="Valid"),1,0)</x:f>
        <x:v>1</x:v>
      </x:c>
      <x:c r="AH2077" s="84" t="n">
        <x:f>IF(AND(AG2077=1,OR('Dashboard'!$B$4="All",I2077='Dashboard'!$B$4),OR('Dashboard'!$E$4="All",N2077='Dashboard'!$E$4),OR('Dashboard'!$H$4="All",K2077='Dashboard'!$H$4),OR('Dashboard'!$K$4="All",C2077='Dashboard'!$K$4)),1,0)</x:f>
        <x:v>1</x:v>
      </x:c>
      <x:c r="AI2077" s="84" t="n">
        <x:f>IF(AND(AG2077=1,OR('Dashboard'!$B$4="All",I2077='Dashboard'!$B$4),OR('Dashboard'!$E$4="All",N2077='Dashboard'!$E$4),OR('Dashboard'!$H$4="All",K2077='Dashboard'!$H$4)),1,0)</x:f>
        <x:v>1</x:v>
      </x:c>
    </x:row>
    <x:row r="2078">
      <x:c r="A2078" s="84" t="str">
        <x:f>'Raw Sales'!A2078</x:f>
        <x:v>ORD-2025-00581</x:v>
      </x:c>
      <x:c r="B2078" s="85" t="n">
        <x:f>'Raw Sales'!B2078</x:f>
        <x:v>45958</x:v>
      </x:c>
      <x:c r="C2078" s="84" t="n">
        <x:f>YEAR(B2078)</x:f>
        <x:v>2025</x:v>
      </x:c>
      <x:c r="D2078" s="91" t="n">
        <x:f>DATE(YEAR(B2078),MONTH(B2078),1)</x:f>
        <x:v>45931</x:v>
      </x:c>
      <x:c r="E2078" s="84" t="str">
        <x:f>TEXT(B2078,"mmm")</x:f>
        <x:v>Oct</x:v>
      </x:c>
      <x:c r="F2078" s="84" t="str">
        <x:f>'Raw Sales'!C2078</x:f>
        <x:v>CUST-0488</x:v>
      </x:c>
      <x:c r="G2078" s="84" t="str">
        <x:f>PROPER(TRIM('Raw Sales'!D2078))</x:f>
        <x:v>Nathan Moore</x:v>
      </x:c>
      <x:c r="H2078" s="84" t="str">
        <x:f>IF(TRIM('Raw Sales'!E2078)="","Unknown",PROPER(TRIM('Raw Sales'!E2078)))</x:f>
        <x:v>Consumer</x:v>
      </x:c>
      <x:c r="I2078" s="84" t="str">
        <x:f>PROPER(TRIM('Raw Sales'!F2078))</x:f>
        <x:v>Northeast</x:v>
      </x:c>
      <x:c r="J2078" s="84" t="str">
        <x:f>PROPER(TRIM('Raw Sales'!G2078))</x:f>
        <x:v>New York</x:v>
      </x:c>
      <x:c r="K2078" s="84" t="str">
        <x:f>PROPER(TRIM('Raw Sales'!H2078))</x:f>
        <x:v>Retail Store</x:v>
      </x:c>
      <x:c r="L2078" s="84" t="str">
        <x:f>'Raw Sales'!I2078</x:f>
        <x:v>CARE-002</x:v>
      </x:c>
      <x:c r="M2078" s="84" t="str">
        <x:f>IFERROR(VLOOKUP(L2078,'Reference Data'!$A$5:$F$40,2,FALSE),"Unknown Product")</x:f>
        <x:v>Rechargeable Trimmer</x:v>
      </x:c>
      <x:c r="N2078" s="84" t="str">
        <x:f>IFERROR(VLOOKUP(L2078,'Reference Data'!$A$5:$F$40,3,FALSE),"Unknown")</x:f>
        <x:v>Personal Care</x:v>
      </x:c>
      <x:c r="O2078" s="84" t="str">
        <x:f>IFERROR(VLOOKUP(L2078,'Reference Data'!$A$5:$F$40,4,FALSE),"Unknown")</x:f>
        <x:v>Grooming</x:v>
      </x:c>
      <x:c r="P2078" s="92" t="n">
        <x:f>IFERROR(VLOOKUP(L2078,'Reference Data'!$A$5:$F$40,5,FALSE),0)</x:f>
        <x:v>45</x:v>
      </x:c>
      <x:c r="Q2078" s="92" t="n">
        <x:f>IFERROR(VLOOKUP(L2078,'Reference Data'!$A$5:$F$40,6,FALSE),0)</x:f>
        <x:v>19</x:v>
      </x:c>
      <x:c r="R2078" s="84" t="n">
        <x:f>'Raw Sales'!J2078</x:f>
        <x:v>3</x:v>
      </x:c>
      <x:c r="S2078" s="87" t="n">
        <x:f>'Raw Sales'!K2078</x:f>
        <x:v>0</x:v>
      </x:c>
      <x:c r="T2078" s="93" t="n">
        <x:f>P2078*R2078</x:f>
        <x:v>135</x:v>
      </x:c>
      <x:c r="U2078" s="93" t="n">
        <x:f>T2078*S2078</x:f>
        <x:v>0</x:v>
      </x:c>
      <x:c r="V2078" s="93" t="str">
        <x:f>PROPER(TRIM('Raw Sales'!L2078))</x:f>
        <x:v>Completed</x:v>
      </x:c>
      <x:c r="W2078" s="93" t="n">
        <x:f>IF(V2078="Returned",0,T2078-U2078)</x:f>
        <x:v>135</x:v>
      </x:c>
      <x:c r="X2078" s="93" t="n">
        <x:f>IF(V2078="Returned",Q2078*R2078*10%,Q2078*R2078)</x:f>
        <x:v>57</x:v>
      </x:c>
      <x:c r="Y2078" s="93" t="n">
        <x:f>W2078-X2078</x:f>
        <x:v>78</x:v>
      </x:c>
      <x:c r="Z2078" s="94" t="n">
        <x:f>IFERROR(Y2078/W2078,0)</x:f>
        <x:v>0.5777777777777777</x:v>
      </x:c>
      <x:c r="AA2078" s="84" t="str">
        <x:f>PROPER(TRIM('Raw Sales'!M2078))</x:f>
        <x:v>Credit Card</x:v>
      </x:c>
      <x:c r="AB2078" s="84" t="str">
        <x:f>PROPER(TRIM('Raw Sales'!N2078))</x:f>
        <x:v>Maya Brooks</x:v>
      </x:c>
      <x:c r="AC2078" s="85" t="n">
        <x:f>'Raw Sales'!O2078</x:f>
        <x:v>45958</x:v>
      </x:c>
      <x:c r="AD2078" s="84" t="n">
        <x:f>AC2078-B2078</x:f>
        <x:v>0</x:v>
      </x:c>
      <x:c r="AE2078" s="84" t="str">
        <x:f>IF(COUNTIF($A$5:A2078,A2078)&gt;1,"Duplicate","Keep")</x:f>
        <x:v>Keep</x:v>
      </x:c>
      <x:c r="AF2078" s="84" t="str">
        <x:f>IF(OR(R2078&lt;=0,AC2078&lt;B2078,H2078="Unknown",M2078="Unknown Product"),"Review","Valid")</x:f>
        <x:v>Valid</x:v>
      </x:c>
      <x:c r="AG2078" s="84" t="n">
        <x:f>IF(AND(AE2078="Keep",AF2078="Valid"),1,0)</x:f>
        <x:v>1</x:v>
      </x:c>
      <x:c r="AH2078" s="84" t="n">
        <x:f>IF(AND(AG2078=1,OR('Dashboard'!$B$4="All",I2078='Dashboard'!$B$4),OR('Dashboard'!$E$4="All",N2078='Dashboard'!$E$4),OR('Dashboard'!$H$4="All",K2078='Dashboard'!$H$4),OR('Dashboard'!$K$4="All",C2078='Dashboard'!$K$4)),1,0)</x:f>
        <x:v>1</x:v>
      </x:c>
      <x:c r="AI2078" s="84" t="n">
        <x:f>IF(AND(AG2078=1,OR('Dashboard'!$B$4="All",I2078='Dashboard'!$B$4),OR('Dashboard'!$E$4="All",N2078='Dashboard'!$E$4),OR('Dashboard'!$H$4="All",K2078='Dashboard'!$H$4)),1,0)</x:f>
        <x:v>1</x:v>
      </x:c>
    </x:row>
    <x:row r="2079">
      <x:c r="A2079" s="84" t="str">
        <x:f>'Raw Sales'!A2079</x:f>
        <x:v>ORD-2025-01073</x:v>
      </x:c>
      <x:c r="B2079" s="85" t="n">
        <x:f>'Raw Sales'!B2079</x:f>
        <x:v>45958</x:v>
      </x:c>
      <x:c r="C2079" s="84" t="n">
        <x:f>YEAR(B2079)</x:f>
        <x:v>2025</x:v>
      </x:c>
      <x:c r="D2079" s="91" t="n">
        <x:f>DATE(YEAR(B2079),MONTH(B2079),1)</x:f>
        <x:v>45931</x:v>
      </x:c>
      <x:c r="E2079" s="84" t="str">
        <x:f>TEXT(B2079,"mmm")</x:f>
        <x:v>Oct</x:v>
      </x:c>
      <x:c r="F2079" s="84" t="str">
        <x:f>'Raw Sales'!C2079</x:f>
        <x:v>CUST-0122</x:v>
      </x:c>
      <x:c r="G2079" s="84" t="str">
        <x:f>PROPER(TRIM('Raw Sales'!D2079))</x:f>
        <x:v>Priya Young</x:v>
      </x:c>
      <x:c r="H2079" s="84" t="str">
        <x:f>IF(TRIM('Raw Sales'!E2079)="","Unknown",PROPER(TRIM('Raw Sales'!E2079)))</x:f>
        <x:v>Small Business</x:v>
      </x:c>
      <x:c r="I2079" s="84" t="str">
        <x:f>PROPER(TRIM('Raw Sales'!F2079))</x:f>
        <x:v>West</x:v>
      </x:c>
      <x:c r="J2079" s="84" t="str">
        <x:f>PROPER(TRIM('Raw Sales'!G2079))</x:f>
        <x:v>Los Angeles</x:v>
      </x:c>
      <x:c r="K2079" s="84" t="str">
        <x:f>PROPER(TRIM('Raw Sales'!H2079))</x:f>
        <x:v>Online</x:v>
      </x:c>
      <x:c r="L2079" s="84" t="str">
        <x:f>'Raw Sales'!I2079</x:f>
        <x:v>CARE-001</x:v>
      </x:c>
      <x:c r="M2079" s="84" t="str">
        <x:f>IFERROR(VLOOKUP(L2079,'Reference Data'!$A$5:$F$40,2,FALSE),"Unknown Product")</x:f>
        <x:v>Ionic Hair Dryer</x:v>
      </x:c>
      <x:c r="N2079" s="84" t="str">
        <x:f>IFERROR(VLOOKUP(L2079,'Reference Data'!$A$5:$F$40,3,FALSE),"Unknown")</x:f>
        <x:v>Personal Care</x:v>
      </x:c>
      <x:c r="O2079" s="84" t="str">
        <x:f>IFERROR(VLOOKUP(L2079,'Reference Data'!$A$5:$F$40,4,FALSE),"Unknown")</x:f>
        <x:v>Hair Care</x:v>
      </x:c>
      <x:c r="P2079" s="92" t="n">
        <x:f>IFERROR(VLOOKUP(L2079,'Reference Data'!$A$5:$F$40,5,FALSE),0)</x:f>
        <x:v>54</x:v>
      </x:c>
      <x:c r="Q2079" s="92" t="n">
        <x:f>IFERROR(VLOOKUP(L2079,'Reference Data'!$A$5:$F$40,6,FALSE),0)</x:f>
        <x:v>25</x:v>
      </x:c>
      <x:c r="R2079" s="84" t="n">
        <x:f>'Raw Sales'!J2079</x:f>
        <x:v>1</x:v>
      </x:c>
      <x:c r="S2079" s="87" t="n">
        <x:f>'Raw Sales'!K2079</x:f>
        <x:v>0</x:v>
      </x:c>
      <x:c r="T2079" s="93" t="n">
        <x:f>P2079*R2079</x:f>
        <x:v>54</x:v>
      </x:c>
      <x:c r="U2079" s="93" t="n">
        <x:f>T2079*S2079</x:f>
        <x:v>0</x:v>
      </x:c>
      <x:c r="V2079" s="93" t="str">
        <x:f>PROPER(TRIM('Raw Sales'!L2079))</x:f>
        <x:v>Completed</x:v>
      </x:c>
      <x:c r="W2079" s="93" t="n">
        <x:f>IF(V2079="Returned",0,T2079-U2079)</x:f>
        <x:v>54</x:v>
      </x:c>
      <x:c r="X2079" s="93" t="n">
        <x:f>IF(V2079="Returned",Q2079*R2079*10%,Q2079*R2079)</x:f>
        <x:v>25</x:v>
      </x:c>
      <x:c r="Y2079" s="93" t="n">
        <x:f>W2079-X2079</x:f>
        <x:v>29</x:v>
      </x:c>
      <x:c r="Z2079" s="94" t="n">
        <x:f>IFERROR(Y2079/W2079,0)</x:f>
        <x:v>0.5370370370370371</x:v>
      </x:c>
      <x:c r="AA2079" s="84" t="str">
        <x:f>PROPER(TRIM('Raw Sales'!M2079))</x:f>
        <x:v>Debit Card</x:v>
      </x:c>
      <x:c r="AB2079" s="84" t="str">
        <x:f>PROPER(TRIM('Raw Sales'!N2079))</x:f>
        <x:v>Nora Kim</x:v>
      </x:c>
      <x:c r="AC2079" s="85" t="n">
        <x:f>'Raw Sales'!O2079</x:f>
        <x:v>45962</x:v>
      </x:c>
      <x:c r="AD2079" s="84" t="n">
        <x:f>AC2079-B2079</x:f>
        <x:v>4</x:v>
      </x:c>
      <x:c r="AE2079" s="84" t="str">
        <x:f>IF(COUNTIF($A$5:A2079,A2079)&gt;1,"Duplicate","Keep")</x:f>
        <x:v>Keep</x:v>
      </x:c>
      <x:c r="AF2079" s="84" t="str">
        <x:f>IF(OR(R2079&lt;=0,AC2079&lt;B2079,H2079="Unknown",M2079="Unknown Product"),"Review","Valid")</x:f>
        <x:v>Valid</x:v>
      </x:c>
      <x:c r="AG2079" s="84" t="n">
        <x:f>IF(AND(AE2079="Keep",AF2079="Valid"),1,0)</x:f>
        <x:v>1</x:v>
      </x:c>
      <x:c r="AH2079" s="84" t="n">
        <x:f>IF(AND(AG2079=1,OR('Dashboard'!$B$4="All",I2079='Dashboard'!$B$4),OR('Dashboard'!$E$4="All",N2079='Dashboard'!$E$4),OR('Dashboard'!$H$4="All",K2079='Dashboard'!$H$4),OR('Dashboard'!$K$4="All",C2079='Dashboard'!$K$4)),1,0)</x:f>
        <x:v>1</x:v>
      </x:c>
      <x:c r="AI2079" s="84" t="n">
        <x:f>IF(AND(AG2079=1,OR('Dashboard'!$B$4="All",I2079='Dashboard'!$B$4),OR('Dashboard'!$E$4="All",N2079='Dashboard'!$E$4),OR('Dashboard'!$H$4="All",K2079='Dashboard'!$H$4)),1,0)</x:f>
        <x:v>1</x:v>
      </x:c>
    </x:row>
    <x:row r="2080">
      <x:c r="A2080" s="84" t="str">
        <x:f>'Raw Sales'!A2080</x:f>
        <x:v>ORD-2025-00339</x:v>
      </x:c>
      <x:c r="B2080" s="85" t="n">
        <x:f>'Raw Sales'!B2080</x:f>
        <x:v>45959</x:v>
      </x:c>
      <x:c r="C2080" s="84" t="n">
        <x:f>YEAR(B2080)</x:f>
        <x:v>2025</x:v>
      </x:c>
      <x:c r="D2080" s="91" t="n">
        <x:f>DATE(YEAR(B2080),MONTH(B2080),1)</x:f>
        <x:v>45931</x:v>
      </x:c>
      <x:c r="E2080" s="84" t="str">
        <x:f>TEXT(B2080,"mmm")</x:f>
        <x:v>Oct</x:v>
      </x:c>
      <x:c r="F2080" s="84" t="str">
        <x:f>'Raw Sales'!C2080</x:f>
        <x:v>CUST-0024</x:v>
      </x:c>
      <x:c r="G2080" s="84" t="str">
        <x:f>PROPER(TRIM('Raw Sales'!D2080))</x:f>
        <x:v>Zara Quinn</x:v>
      </x:c>
      <x:c r="H2080" s="84" t="str">
        <x:f>IF(TRIM('Raw Sales'!E2080)="","Unknown",PROPER(TRIM('Raw Sales'!E2080)))</x:f>
        <x:v>Consumer</x:v>
      </x:c>
      <x:c r="I2080" s="84" t="str">
        <x:f>PROPER(TRIM('Raw Sales'!F2080))</x:f>
        <x:v>Midwest</x:v>
      </x:c>
      <x:c r="J2080" s="84" t="str">
        <x:f>PROPER(TRIM('Raw Sales'!G2080))</x:f>
        <x:v>Columbus</x:v>
      </x:c>
      <x:c r="K2080" s="84" t="str">
        <x:f>PROPER(TRIM('Raw Sales'!H2080))</x:f>
        <x:v>Online</x:v>
      </x:c>
      <x:c r="L2080" s="84" t="str">
        <x:f>'Raw Sales'!I2080</x:f>
        <x:v>HOME-003</x:v>
      </x:c>
      <x:c r="M2080" s="84" t="str">
        <x:f>IFERROR(VLOOKUP(L2080,'Reference Data'!$A$5:$F$40,2,FALSE),"Unknown Product")</x:f>
        <x:v>Countertop Blender</x:v>
      </x:c>
      <x:c r="N2080" s="84" t="str">
        <x:f>IFERROR(VLOOKUP(L2080,'Reference Data'!$A$5:$F$40,3,FALSE),"Unknown")</x:f>
        <x:v>Home &amp; Kitchen</x:v>
      </x:c>
      <x:c r="O2080" s="84" t="str">
        <x:f>IFERROR(VLOOKUP(L2080,'Reference Data'!$A$5:$F$40,4,FALSE),"Unknown")</x:f>
        <x:v>Small Appliances</x:v>
      </x:c>
      <x:c r="P2080" s="92" t="n">
        <x:f>IFERROR(VLOOKUP(L2080,'Reference Data'!$A$5:$F$40,5,FALSE),0)</x:f>
        <x:v>89</x:v>
      </x:c>
      <x:c r="Q2080" s="92" t="n">
        <x:f>IFERROR(VLOOKUP(L2080,'Reference Data'!$A$5:$F$40,6,FALSE),0)</x:f>
        <x:v>46</x:v>
      </x:c>
      <x:c r="R2080" s="84" t="n">
        <x:f>'Raw Sales'!J2080</x:f>
        <x:v>1</x:v>
      </x:c>
      <x:c r="S2080" s="87" t="n">
        <x:f>'Raw Sales'!K2080</x:f>
        <x:v>0.1</x:v>
      </x:c>
      <x:c r="T2080" s="93" t="n">
        <x:f>P2080*R2080</x:f>
        <x:v>89</x:v>
      </x:c>
      <x:c r="U2080" s="93" t="n">
        <x:f>T2080*S2080</x:f>
        <x:v>8.9</x:v>
      </x:c>
      <x:c r="V2080" s="93" t="str">
        <x:f>PROPER(TRIM('Raw Sales'!L2080))</x:f>
        <x:v>Completed</x:v>
      </x:c>
      <x:c r="W2080" s="93" t="n">
        <x:f>IF(V2080="Returned",0,T2080-U2080)</x:f>
        <x:v>80.1</x:v>
      </x:c>
      <x:c r="X2080" s="93" t="n">
        <x:f>IF(V2080="Returned",Q2080*R2080*10%,Q2080*R2080)</x:f>
        <x:v>46</x:v>
      </x:c>
      <x:c r="Y2080" s="93" t="n">
        <x:f>W2080-X2080</x:f>
        <x:v>34.099999999999994</x:v>
      </x:c>
      <x:c r="Z2080" s="94" t="n">
        <x:f>IFERROR(Y2080/W2080,0)</x:f>
        <x:v>0.4257178526841448</x:v>
      </x:c>
      <x:c r="AA2080" s="84" t="str">
        <x:f>PROPER(TRIM('Raw Sales'!M2080))</x:f>
        <x:v>Debit Card</x:v>
      </x:c>
      <x:c r="AB2080" s="84" t="str">
        <x:f>PROPER(TRIM('Raw Sales'!N2080))</x:f>
        <x:v>Lucas Grant</x:v>
      </x:c>
      <x:c r="AC2080" s="85" t="n">
        <x:f>'Raw Sales'!O2080</x:f>
        <x:v>45961</x:v>
      </x:c>
      <x:c r="AD2080" s="84" t="n">
        <x:f>AC2080-B2080</x:f>
        <x:v>2</x:v>
      </x:c>
      <x:c r="AE2080" s="84" t="str">
        <x:f>IF(COUNTIF($A$5:A2080,A2080)&gt;1,"Duplicate","Keep")</x:f>
        <x:v>Keep</x:v>
      </x:c>
      <x:c r="AF2080" s="84" t="str">
        <x:f>IF(OR(R2080&lt;=0,AC2080&lt;B2080,H2080="Unknown",M2080="Unknown Product"),"Review","Valid")</x:f>
        <x:v>Valid</x:v>
      </x:c>
      <x:c r="AG2080" s="84" t="n">
        <x:f>IF(AND(AE2080="Keep",AF2080="Valid"),1,0)</x:f>
        <x:v>1</x:v>
      </x:c>
      <x:c r="AH2080" s="84" t="n">
        <x:f>IF(AND(AG2080=1,OR('Dashboard'!$B$4="All",I2080='Dashboard'!$B$4),OR('Dashboard'!$E$4="All",N2080='Dashboard'!$E$4),OR('Dashboard'!$H$4="All",K2080='Dashboard'!$H$4),OR('Dashboard'!$K$4="All",C2080='Dashboard'!$K$4)),1,0)</x:f>
        <x:v>1</x:v>
      </x:c>
      <x:c r="AI2080" s="84" t="n">
        <x:f>IF(AND(AG2080=1,OR('Dashboard'!$B$4="All",I2080='Dashboard'!$B$4),OR('Dashboard'!$E$4="All",N2080='Dashboard'!$E$4),OR('Dashboard'!$H$4="All",K2080='Dashboard'!$H$4)),1,0)</x:f>
        <x:v>1</x:v>
      </x:c>
    </x:row>
    <x:row r="2081">
      <x:c r="A2081" s="84" t="str">
        <x:f>'Raw Sales'!A2081</x:f>
        <x:v>ORD-2025-01210</x:v>
      </x:c>
      <x:c r="B2081" s="85" t="n">
        <x:f>'Raw Sales'!B2081</x:f>
        <x:v>45959</x:v>
      </x:c>
      <x:c r="C2081" s="84" t="n">
        <x:f>YEAR(B2081)</x:f>
        <x:v>2025</x:v>
      </x:c>
      <x:c r="D2081" s="91" t="n">
        <x:f>DATE(YEAR(B2081),MONTH(B2081),1)</x:f>
        <x:v>45931</x:v>
      </x:c>
      <x:c r="E2081" s="84" t="str">
        <x:f>TEXT(B2081,"mmm")</x:f>
        <x:v>Oct</x:v>
      </x:c>
      <x:c r="F2081" s="84" t="str">
        <x:f>'Raw Sales'!C2081</x:f>
        <x:v>CUST-0037</x:v>
      </x:c>
      <x:c r="G2081" s="84" t="str">
        <x:f>PROPER(TRIM('Raw Sales'!D2081))</x:f>
        <x:v>Isaac Garcia</x:v>
      </x:c>
      <x:c r="H2081" s="84" t="str">
        <x:f>IF(TRIM('Raw Sales'!E2081)="","Unknown",PROPER(TRIM('Raw Sales'!E2081)))</x:f>
        <x:v>Corporate</x:v>
      </x:c>
      <x:c r="I2081" s="84" t="str">
        <x:f>PROPER(TRIM('Raw Sales'!F2081))</x:f>
        <x:v>West</x:v>
      </x:c>
      <x:c r="J2081" s="84" t="str">
        <x:f>PROPER(TRIM('Raw Sales'!G2081))</x:f>
        <x:v>Los Angeles</x:v>
      </x:c>
      <x:c r="K2081" s="84" t="str">
        <x:f>PROPER(TRIM('Raw Sales'!H2081))</x:f>
        <x:v>Online</x:v>
      </x:c>
      <x:c r="L2081" s="84" t="str">
        <x:f>'Raw Sales'!I2081</x:f>
        <x:v>OFFC-005</x:v>
      </x:c>
      <x:c r="M2081" s="84" t="str">
        <x:f>IFERROR(VLOOKUP(L2081,'Reference Data'!$A$5:$F$40,2,FALSE),"Unknown Product")</x:f>
        <x:v>Wireless Keyboard</x:v>
      </x:c>
      <x:c r="N2081" s="84" t="str">
        <x:f>IFERROR(VLOOKUP(L2081,'Reference Data'!$A$5:$F$40,3,FALSE),"Unknown")</x:f>
        <x:v>Office</x:v>
      </x:c>
      <x:c r="O2081" s="84" t="str">
        <x:f>IFERROR(VLOOKUP(L2081,'Reference Data'!$A$5:$F$40,4,FALSE),"Unknown")</x:f>
        <x:v>Computer Accessories</x:v>
      </x:c>
      <x:c r="P2081" s="92" t="n">
        <x:f>IFERROR(VLOOKUP(L2081,'Reference Data'!$A$5:$F$40,5,FALSE),0)</x:f>
        <x:v>59</x:v>
      </x:c>
      <x:c r="Q2081" s="92" t="n">
        <x:f>IFERROR(VLOOKUP(L2081,'Reference Data'!$A$5:$F$40,6,FALSE),0)</x:f>
        <x:v>28</x:v>
      </x:c>
      <x:c r="R2081" s="84" t="n">
        <x:f>'Raw Sales'!J2081</x:f>
        <x:v>3</x:v>
      </x:c>
      <x:c r="S2081" s="87" t="n">
        <x:f>'Raw Sales'!K2081</x:f>
        <x:v>0.15</x:v>
      </x:c>
      <x:c r="T2081" s="93" t="n">
        <x:f>P2081*R2081</x:f>
        <x:v>177</x:v>
      </x:c>
      <x:c r="U2081" s="93" t="n">
        <x:f>T2081*S2081</x:f>
        <x:v>26.55</x:v>
      </x:c>
      <x:c r="V2081" s="93" t="str">
        <x:f>PROPER(TRIM('Raw Sales'!L2081))</x:f>
        <x:v>Completed</x:v>
      </x:c>
      <x:c r="W2081" s="93" t="n">
        <x:f>IF(V2081="Returned",0,T2081-U2081)</x:f>
        <x:v>150.45</x:v>
      </x:c>
      <x:c r="X2081" s="93" t="n">
        <x:f>IF(V2081="Returned",Q2081*R2081*10%,Q2081*R2081)</x:f>
        <x:v>84</x:v>
      </x:c>
      <x:c r="Y2081" s="93" t="n">
        <x:f>W2081-X2081</x:f>
        <x:v>66.44999999999999</x:v>
      </x:c>
      <x:c r="Z2081" s="94" t="n">
        <x:f>IFERROR(Y2081/W2081,0)</x:f>
        <x:v>0.44167497507477566</x:v>
      </x:c>
      <x:c r="AA2081" s="84" t="str">
        <x:f>PROPER(TRIM('Raw Sales'!M2081))</x:f>
        <x:v>Credit Card</x:v>
      </x:c>
      <x:c r="AB2081" s="84" t="str">
        <x:f>PROPER(TRIM('Raw Sales'!N2081))</x:f>
        <x:v>Mia Chen</x:v>
      </x:c>
      <x:c r="AC2081" s="85" t="n">
        <x:f>'Raw Sales'!O2081</x:f>
        <x:v>45962</x:v>
      </x:c>
      <x:c r="AD2081" s="84" t="n">
        <x:f>AC2081-B2081</x:f>
        <x:v>3</x:v>
      </x:c>
      <x:c r="AE2081" s="84" t="str">
        <x:f>IF(COUNTIF($A$5:A2081,A2081)&gt;1,"Duplicate","Keep")</x:f>
        <x:v>Keep</x:v>
      </x:c>
      <x:c r="AF2081" s="84" t="str">
        <x:f>IF(OR(R2081&lt;=0,AC2081&lt;B2081,H2081="Unknown",M2081="Unknown Product"),"Review","Valid")</x:f>
        <x:v>Valid</x:v>
      </x:c>
      <x:c r="AG2081" s="84" t="n">
        <x:f>IF(AND(AE2081="Keep",AF2081="Valid"),1,0)</x:f>
        <x:v>1</x:v>
      </x:c>
      <x:c r="AH2081" s="84" t="n">
        <x:f>IF(AND(AG2081=1,OR('Dashboard'!$B$4="All",I2081='Dashboard'!$B$4),OR('Dashboard'!$E$4="All",N2081='Dashboard'!$E$4),OR('Dashboard'!$H$4="All",K2081='Dashboard'!$H$4),OR('Dashboard'!$K$4="All",C2081='Dashboard'!$K$4)),1,0)</x:f>
        <x:v>1</x:v>
      </x:c>
      <x:c r="AI2081" s="84" t="n">
        <x:f>IF(AND(AG2081=1,OR('Dashboard'!$B$4="All",I2081='Dashboard'!$B$4),OR('Dashboard'!$E$4="All",N2081='Dashboard'!$E$4),OR('Dashboard'!$H$4="All",K2081='Dashboard'!$H$4)),1,0)</x:f>
        <x:v>1</x:v>
      </x:c>
    </x:row>
    <x:row r="2082">
      <x:c r="A2082" s="84" t="str">
        <x:f>'Raw Sales'!A2082</x:f>
        <x:v>ORD-2025-01575</x:v>
      </x:c>
      <x:c r="B2082" s="85" t="n">
        <x:f>'Raw Sales'!B2082</x:f>
        <x:v>45959</x:v>
      </x:c>
      <x:c r="C2082" s="84" t="n">
        <x:f>YEAR(B2082)</x:f>
        <x:v>2025</x:v>
      </x:c>
      <x:c r="D2082" s="91" t="n">
        <x:f>DATE(YEAR(B2082),MONTH(B2082),1)</x:f>
        <x:v>45931</x:v>
      </x:c>
      <x:c r="E2082" s="84" t="str">
        <x:f>TEXT(B2082,"mmm")</x:f>
        <x:v>Oct</x:v>
      </x:c>
      <x:c r="F2082" s="84" t="str">
        <x:f>'Raw Sales'!C2082</x:f>
        <x:v>CUST-0252</x:v>
      </x:c>
      <x:c r="G2082" s="84" t="str">
        <x:f>PROPER(TRIM('Raw Sales'!D2082))</x:f>
        <x:v>Theo Carter</x:v>
      </x:c>
      <x:c r="H2082" s="84" t="str">
        <x:f>IF(TRIM('Raw Sales'!E2082)="","Unknown",PROPER(TRIM('Raw Sales'!E2082)))</x:f>
        <x:v>Consumer</x:v>
      </x:c>
      <x:c r="I2082" s="84" t="str">
        <x:f>PROPER(TRIM('Raw Sales'!F2082))</x:f>
        <x:v>Midwest</x:v>
      </x:c>
      <x:c r="J2082" s="84" t="str">
        <x:f>PROPER(TRIM('Raw Sales'!G2082))</x:f>
        <x:v>Columbus</x:v>
      </x:c>
      <x:c r="K2082" s="84" t="str">
        <x:f>PROPER(TRIM('Raw Sales'!H2082))</x:f>
        <x:v>Retail Store</x:v>
      </x:c>
      <x:c r="L2082" s="84" t="str">
        <x:f>'Raw Sales'!I2082</x:f>
        <x:v>OFFC-005</x:v>
      </x:c>
      <x:c r="M2082" s="84" t="str">
        <x:f>IFERROR(VLOOKUP(L2082,'Reference Data'!$A$5:$F$40,2,FALSE),"Unknown Product")</x:f>
        <x:v>Wireless Keyboard</x:v>
      </x:c>
      <x:c r="N2082" s="84" t="str">
        <x:f>IFERROR(VLOOKUP(L2082,'Reference Data'!$A$5:$F$40,3,FALSE),"Unknown")</x:f>
        <x:v>Office</x:v>
      </x:c>
      <x:c r="O2082" s="84" t="str">
        <x:f>IFERROR(VLOOKUP(L2082,'Reference Data'!$A$5:$F$40,4,FALSE),"Unknown")</x:f>
        <x:v>Computer Accessories</x:v>
      </x:c>
      <x:c r="P2082" s="92" t="n">
        <x:f>IFERROR(VLOOKUP(L2082,'Reference Data'!$A$5:$F$40,5,FALSE),0)</x:f>
        <x:v>59</x:v>
      </x:c>
      <x:c r="Q2082" s="92" t="n">
        <x:f>IFERROR(VLOOKUP(L2082,'Reference Data'!$A$5:$F$40,6,FALSE),0)</x:f>
        <x:v>28</x:v>
      </x:c>
      <x:c r="R2082" s="84" t="n">
        <x:f>'Raw Sales'!J2082</x:f>
        <x:v>1</x:v>
      </x:c>
      <x:c r="S2082" s="87" t="n">
        <x:f>'Raw Sales'!K2082</x:f>
        <x:v>0.15</x:v>
      </x:c>
      <x:c r="T2082" s="93" t="n">
        <x:f>P2082*R2082</x:f>
        <x:v>59</x:v>
      </x:c>
      <x:c r="U2082" s="93" t="n">
        <x:f>T2082*S2082</x:f>
        <x:v>8.85</x:v>
      </x:c>
      <x:c r="V2082" s="93" t="str">
        <x:f>PROPER(TRIM('Raw Sales'!L2082))</x:f>
        <x:v>Completed</x:v>
      </x:c>
      <x:c r="W2082" s="93" t="n">
        <x:f>IF(V2082="Returned",0,T2082-U2082)</x:f>
        <x:v>50.15</x:v>
      </x:c>
      <x:c r="X2082" s="93" t="n">
        <x:f>IF(V2082="Returned",Q2082*R2082*10%,Q2082*R2082)</x:f>
        <x:v>28</x:v>
      </x:c>
      <x:c r="Y2082" s="93" t="n">
        <x:f>W2082-X2082</x:f>
        <x:v>22.15</x:v>
      </x:c>
      <x:c r="Z2082" s="94" t="n">
        <x:f>IFERROR(Y2082/W2082,0)</x:f>
        <x:v>0.44167497507477566</x:v>
      </x:c>
      <x:c r="AA2082" s="84" t="str">
        <x:f>PROPER(TRIM('Raw Sales'!M2082))</x:f>
        <x:v>Cash</x:v>
      </x:c>
      <x:c r="AB2082" s="84" t="str">
        <x:f>PROPER(TRIM('Raw Sales'!N2082))</x:f>
        <x:v>Zoe Turner</x:v>
      </x:c>
      <x:c r="AC2082" s="85" t="n">
        <x:f>'Raw Sales'!O2082</x:f>
        <x:v>45959</x:v>
      </x:c>
      <x:c r="AD2082" s="84" t="n">
        <x:f>AC2082-B2082</x:f>
        <x:v>0</x:v>
      </x:c>
      <x:c r="AE2082" s="84" t="str">
        <x:f>IF(COUNTIF($A$5:A2082,A2082)&gt;1,"Duplicate","Keep")</x:f>
        <x:v>Keep</x:v>
      </x:c>
      <x:c r="AF2082" s="84" t="str">
        <x:f>IF(OR(R2082&lt;=0,AC2082&lt;B2082,H2082="Unknown",M2082="Unknown Product"),"Review","Valid")</x:f>
        <x:v>Valid</x:v>
      </x:c>
      <x:c r="AG2082" s="84" t="n">
        <x:f>IF(AND(AE2082="Keep",AF2082="Valid"),1,0)</x:f>
        <x:v>1</x:v>
      </x:c>
      <x:c r="AH2082" s="84" t="n">
        <x:f>IF(AND(AG2082=1,OR('Dashboard'!$B$4="All",I2082='Dashboard'!$B$4),OR('Dashboard'!$E$4="All",N2082='Dashboard'!$E$4),OR('Dashboard'!$H$4="All",K2082='Dashboard'!$H$4),OR('Dashboard'!$K$4="All",C2082='Dashboard'!$K$4)),1,0)</x:f>
        <x:v>1</x:v>
      </x:c>
      <x:c r="AI2082" s="84" t="n">
        <x:f>IF(AND(AG2082=1,OR('Dashboard'!$B$4="All",I2082='Dashboard'!$B$4),OR('Dashboard'!$E$4="All",N2082='Dashboard'!$E$4),OR('Dashboard'!$H$4="All",K2082='Dashboard'!$H$4)),1,0)</x:f>
        <x:v>1</x:v>
      </x:c>
    </x:row>
    <x:row r="2083">
      <x:c r="A2083" s="84" t="str">
        <x:f>'Raw Sales'!A2083</x:f>
        <x:v>ORD-2025-01718</x:v>
      </x:c>
      <x:c r="B2083" s="85" t="n">
        <x:f>'Raw Sales'!B2083</x:f>
        <x:v>45959</x:v>
      </x:c>
      <x:c r="C2083" s="84" t="n">
        <x:f>YEAR(B2083)</x:f>
        <x:v>2025</x:v>
      </x:c>
      <x:c r="D2083" s="91" t="n">
        <x:f>DATE(YEAR(B2083),MONTH(B2083),1)</x:f>
        <x:v>45931</x:v>
      </x:c>
      <x:c r="E2083" s="84" t="str">
        <x:f>TEXT(B2083,"mmm")</x:f>
        <x:v>Oct</x:v>
      </x:c>
      <x:c r="F2083" s="84" t="str">
        <x:f>'Raw Sales'!C2083</x:f>
        <x:v>CUST-0312</x:v>
      </x:c>
      <x:c r="G2083" s="84" t="str">
        <x:f>PROPER(TRIM('Raw Sales'!D2083))</x:f>
        <x:v>Theo Carter</x:v>
      </x:c>
      <x:c r="H2083" s="84" t="str">
        <x:f>IF(TRIM('Raw Sales'!E2083)="","Unknown",PROPER(TRIM('Raw Sales'!E2083)))</x:f>
        <x:v>Small Business</x:v>
      </x:c>
      <x:c r="I2083" s="84" t="str">
        <x:f>PROPER(TRIM('Raw Sales'!F2083))</x:f>
        <x:v>Southeast</x:v>
      </x:c>
      <x:c r="J2083" s="84" t="str">
        <x:f>PROPER(TRIM('Raw Sales'!G2083))</x:f>
        <x:v>Atlanta</x:v>
      </x:c>
      <x:c r="K2083" s="84" t="str">
        <x:f>PROPER(TRIM('Raw Sales'!H2083))</x:f>
        <x:v>Retail Store</x:v>
      </x:c>
      <x:c r="L2083" s="84" t="str">
        <x:f>'Raw Sales'!I2083</x:f>
        <x:v>ACCS-003</x:v>
      </x:c>
      <x:c r="M2083" s="84" t="str">
        <x:f>IFERROR(VLOOKUP(L2083,'Reference Data'!$A$5:$F$40,2,FALSE),"Unknown Product")</x:f>
        <x:v>Polarized Sunglasses</x:v>
      </x:c>
      <x:c r="N2083" s="84" t="str">
        <x:f>IFERROR(VLOOKUP(L2083,'Reference Data'!$A$5:$F$40,3,FALSE),"Unknown")</x:f>
        <x:v>Accessories</x:v>
      </x:c>
      <x:c r="O2083" s="84" t="str">
        <x:f>IFERROR(VLOOKUP(L2083,'Reference Data'!$A$5:$F$40,4,FALSE),"Unknown")</x:f>
        <x:v>Eyewear</x:v>
      </x:c>
      <x:c r="P2083" s="92" t="n">
        <x:f>IFERROR(VLOOKUP(L2083,'Reference Data'!$A$5:$F$40,5,FALSE),0)</x:f>
        <x:v>59</x:v>
      </x:c>
      <x:c r="Q2083" s="92" t="n">
        <x:f>IFERROR(VLOOKUP(L2083,'Reference Data'!$A$5:$F$40,6,FALSE),0)</x:f>
        <x:v>17</x:v>
      </x:c>
      <x:c r="R2083" s="84" t="n">
        <x:f>'Raw Sales'!J2083</x:f>
        <x:v>1</x:v>
      </x:c>
      <x:c r="S2083" s="87" t="n">
        <x:f>'Raw Sales'!K2083</x:f>
        <x:v>0</x:v>
      </x:c>
      <x:c r="T2083" s="93" t="n">
        <x:f>P2083*R2083</x:f>
        <x:v>59</x:v>
      </x:c>
      <x:c r="U2083" s="93" t="n">
        <x:f>T2083*S2083</x:f>
        <x:v>0</x:v>
      </x:c>
      <x:c r="V2083" s="93" t="str">
        <x:f>PROPER(TRIM('Raw Sales'!L2083))</x:f>
        <x:v>Completed</x:v>
      </x:c>
      <x:c r="W2083" s="93" t="n">
        <x:f>IF(V2083="Returned",0,T2083-U2083)</x:f>
        <x:v>59</x:v>
      </x:c>
      <x:c r="X2083" s="93" t="n">
        <x:f>IF(V2083="Returned",Q2083*R2083*10%,Q2083*R2083)</x:f>
        <x:v>17</x:v>
      </x:c>
      <x:c r="Y2083" s="93" t="n">
        <x:f>W2083-X2083</x:f>
        <x:v>42</x:v>
      </x:c>
      <x:c r="Z2083" s="94" t="n">
        <x:f>IFERROR(Y2083/W2083,0)</x:f>
        <x:v>0.711864406779661</x:v>
      </x:c>
      <x:c r="AA2083" s="84" t="str">
        <x:f>PROPER(TRIM('Raw Sales'!M2083))</x:f>
        <x:v>Debit Card</x:v>
      </x:c>
      <x:c r="AB2083" s="84" t="str">
        <x:f>PROPER(TRIM('Raw Sales'!N2083))</x:f>
        <x:v>Liam Parker</x:v>
      </x:c>
      <x:c r="AC2083" s="85" t="n">
        <x:f>'Raw Sales'!O2083</x:f>
        <x:v>45959</x:v>
      </x:c>
      <x:c r="AD2083" s="84" t="n">
        <x:f>AC2083-B2083</x:f>
        <x:v>0</x:v>
      </x:c>
      <x:c r="AE2083" s="84" t="str">
        <x:f>IF(COUNTIF($A$5:A2083,A2083)&gt;1,"Duplicate","Keep")</x:f>
        <x:v>Keep</x:v>
      </x:c>
      <x:c r="AF2083" s="84" t="str">
        <x:f>IF(OR(R2083&lt;=0,AC2083&lt;B2083,H2083="Unknown",M2083="Unknown Product"),"Review","Valid")</x:f>
        <x:v>Valid</x:v>
      </x:c>
      <x:c r="AG2083" s="84" t="n">
        <x:f>IF(AND(AE2083="Keep",AF2083="Valid"),1,0)</x:f>
        <x:v>1</x:v>
      </x:c>
      <x:c r="AH2083" s="84" t="n">
        <x:f>IF(AND(AG2083=1,OR('Dashboard'!$B$4="All",I2083='Dashboard'!$B$4),OR('Dashboard'!$E$4="All",N2083='Dashboard'!$E$4),OR('Dashboard'!$H$4="All",K2083='Dashboard'!$H$4),OR('Dashboard'!$K$4="All",C2083='Dashboard'!$K$4)),1,0)</x:f>
        <x:v>1</x:v>
      </x:c>
      <x:c r="AI2083" s="84" t="n">
        <x:f>IF(AND(AG2083=1,OR('Dashboard'!$B$4="All",I2083='Dashboard'!$B$4),OR('Dashboard'!$E$4="All",N2083='Dashboard'!$E$4),OR('Dashboard'!$H$4="All",K2083='Dashboard'!$H$4)),1,0)</x:f>
        <x:v>1</x:v>
      </x:c>
    </x:row>
    <x:row r="2084">
      <x:c r="A2084" s="84" t="str">
        <x:f>'Raw Sales'!A2084</x:f>
        <x:v>ORD-2025-01630</x:v>
      </x:c>
      <x:c r="B2084" s="85" t="n">
        <x:f>'Raw Sales'!B2084</x:f>
        <x:v>45960</x:v>
      </x:c>
      <x:c r="C2084" s="84" t="n">
        <x:f>YEAR(B2084)</x:f>
        <x:v>2025</x:v>
      </x:c>
      <x:c r="D2084" s="91" t="n">
        <x:f>DATE(YEAR(B2084),MONTH(B2084),1)</x:f>
        <x:v>45931</x:v>
      </x:c>
      <x:c r="E2084" s="84" t="str">
        <x:f>TEXT(B2084,"mmm")</x:f>
        <x:v>Oct</x:v>
      </x:c>
      <x:c r="F2084" s="84" t="str">
        <x:f>'Raw Sales'!C2084</x:f>
        <x:v>CUST-0581</x:v>
      </x:c>
      <x:c r="G2084" s="84" t="str">
        <x:f>PROPER(TRIM('Raw Sales'!D2084))</x:f>
        <x:v>Grace Lewis</x:v>
      </x:c>
      <x:c r="H2084" s="84" t="str">
        <x:f>IF(TRIM('Raw Sales'!E2084)="","Unknown",PROPER(TRIM('Raw Sales'!E2084)))</x:f>
        <x:v>Consumer</x:v>
      </x:c>
      <x:c r="I2084" s="84" t="str">
        <x:f>PROPER(TRIM('Raw Sales'!F2084))</x:f>
        <x:v>West</x:v>
      </x:c>
      <x:c r="J2084" s="84" t="str">
        <x:f>PROPER(TRIM('Raw Sales'!G2084))</x:f>
        <x:v>Phoenix</x:v>
      </x:c>
      <x:c r="K2084" s="84" t="str">
        <x:f>PROPER(TRIM('Raw Sales'!H2084))</x:f>
        <x:v>Online</x:v>
      </x:c>
      <x:c r="L2084" s="84" t="str">
        <x:f>'Raw Sales'!I2084</x:f>
        <x:v>CARE-003</x:v>
      </x:c>
      <x:c r="M2084" s="84" t="str">
        <x:f>IFERROR(VLOOKUP(L2084,'Reference Data'!$A$5:$F$40,2,FALSE),"Unknown Product")</x:f>
        <x:v>Facial Cleanser</x:v>
      </x:c>
      <x:c r="N2084" s="84" t="str">
        <x:f>IFERROR(VLOOKUP(L2084,'Reference Data'!$A$5:$F$40,3,FALSE),"Unknown")</x:f>
        <x:v>Personal Care</x:v>
      </x:c>
      <x:c r="O2084" s="84" t="str">
        <x:f>IFERROR(VLOOKUP(L2084,'Reference Data'!$A$5:$F$40,4,FALSE),"Unknown")</x:f>
        <x:v>Skin Care</x:v>
      </x:c>
      <x:c r="P2084" s="92" t="n">
        <x:f>IFERROR(VLOOKUP(L2084,'Reference Data'!$A$5:$F$40,5,FALSE),0)</x:f>
        <x:v>18</x:v>
      </x:c>
      <x:c r="Q2084" s="92" t="n">
        <x:f>IFERROR(VLOOKUP(L2084,'Reference Data'!$A$5:$F$40,6,FALSE),0)</x:f>
        <x:v>6</x:v>
      </x:c>
      <x:c r="R2084" s="84" t="n">
        <x:f>'Raw Sales'!J2084</x:f>
        <x:v>4</x:v>
      </x:c>
      <x:c r="S2084" s="87" t="n">
        <x:f>'Raw Sales'!K2084</x:f>
        <x:v>0.1</x:v>
      </x:c>
      <x:c r="T2084" s="93" t="n">
        <x:f>P2084*R2084</x:f>
        <x:v>72</x:v>
      </x:c>
      <x:c r="U2084" s="93" t="n">
        <x:f>T2084*S2084</x:f>
        <x:v>7.2</x:v>
      </x:c>
      <x:c r="V2084" s="93" t="str">
        <x:f>PROPER(TRIM('Raw Sales'!L2084))</x:f>
        <x:v>Completed</x:v>
      </x:c>
      <x:c r="W2084" s="93" t="n">
        <x:f>IF(V2084="Returned",0,T2084-U2084)</x:f>
        <x:v>64.8</x:v>
      </x:c>
      <x:c r="X2084" s="93" t="n">
        <x:f>IF(V2084="Returned",Q2084*R2084*10%,Q2084*R2084)</x:f>
        <x:v>24</x:v>
      </x:c>
      <x:c r="Y2084" s="93" t="n">
        <x:f>W2084-X2084</x:f>
        <x:v>40.8</x:v>
      </x:c>
      <x:c r="Z2084" s="94" t="n">
        <x:f>IFERROR(Y2084/W2084,0)</x:f>
        <x:v>0.6296296296296297</x:v>
      </x:c>
      <x:c r="AA2084" s="84" t="str">
        <x:f>PROPER(TRIM('Raw Sales'!M2084))</x:f>
        <x:v>Credit Card</x:v>
      </x:c>
      <x:c r="AB2084" s="84" t="str">
        <x:f>PROPER(TRIM('Raw Sales'!N2084))</x:f>
        <x:v>Leo Martinez</x:v>
      </x:c>
      <x:c r="AC2084" s="85" t="n">
        <x:f>'Raw Sales'!O2084</x:f>
        <x:v>45962</x:v>
      </x:c>
      <x:c r="AD2084" s="84" t="n">
        <x:f>AC2084-B2084</x:f>
        <x:v>2</x:v>
      </x:c>
      <x:c r="AE2084" s="84" t="str">
        <x:f>IF(COUNTIF($A$5:A2084,A2084)&gt;1,"Duplicate","Keep")</x:f>
        <x:v>Keep</x:v>
      </x:c>
      <x:c r="AF2084" s="84" t="str">
        <x:f>IF(OR(R2084&lt;=0,AC2084&lt;B2084,H2084="Unknown",M2084="Unknown Product"),"Review","Valid")</x:f>
        <x:v>Valid</x:v>
      </x:c>
      <x:c r="AG2084" s="84" t="n">
        <x:f>IF(AND(AE2084="Keep",AF2084="Valid"),1,0)</x:f>
        <x:v>1</x:v>
      </x:c>
      <x:c r="AH2084" s="84" t="n">
        <x:f>IF(AND(AG2084=1,OR('Dashboard'!$B$4="All",I2084='Dashboard'!$B$4),OR('Dashboard'!$E$4="All",N2084='Dashboard'!$E$4),OR('Dashboard'!$H$4="All",K2084='Dashboard'!$H$4),OR('Dashboard'!$K$4="All",C2084='Dashboard'!$K$4)),1,0)</x:f>
        <x:v>1</x:v>
      </x:c>
      <x:c r="AI2084" s="84" t="n">
        <x:f>IF(AND(AG2084=1,OR('Dashboard'!$B$4="All",I2084='Dashboard'!$B$4),OR('Dashboard'!$E$4="All",N2084='Dashboard'!$E$4),OR('Dashboard'!$H$4="All",K2084='Dashboard'!$H$4)),1,0)</x:f>
        <x:v>1</x:v>
      </x:c>
    </x:row>
    <x:row r="2085">
      <x:c r="A2085" s="84" t="str">
        <x:f>'Raw Sales'!A2085</x:f>
        <x:v>ORD-2025-01956</x:v>
      </x:c>
      <x:c r="B2085" s="85" t="n">
        <x:f>'Raw Sales'!B2085</x:f>
        <x:v>45960</x:v>
      </x:c>
      <x:c r="C2085" s="84" t="n">
        <x:f>YEAR(B2085)</x:f>
        <x:v>2025</x:v>
      </x:c>
      <x:c r="D2085" s="91" t="n">
        <x:f>DATE(YEAR(B2085),MONTH(B2085),1)</x:f>
        <x:v>45931</x:v>
      </x:c>
      <x:c r="E2085" s="84" t="str">
        <x:f>TEXT(B2085,"mmm")</x:f>
        <x:v>Oct</x:v>
      </x:c>
      <x:c r="F2085" s="84" t="str">
        <x:f>'Raw Sales'!C2085</x:f>
        <x:v>CUST-0029</x:v>
      </x:c>
      <x:c r="G2085" s="84" t="str">
        <x:f>PROPER(TRIM('Raw Sales'!D2085))</x:f>
        <x:v>Theo Ortiz</x:v>
      </x:c>
      <x:c r="H2085" s="84" t="str">
        <x:f>IF(TRIM('Raw Sales'!E2085)="","Unknown",PROPER(TRIM('Raw Sales'!E2085)))</x:f>
        <x:v>Corporate</x:v>
      </x:c>
      <x:c r="I2085" s="84" t="str">
        <x:f>PROPER(TRIM('Raw Sales'!F2085))</x:f>
        <x:v>Northeast</x:v>
      </x:c>
      <x:c r="J2085" s="84" t="str">
        <x:f>PROPER(TRIM('Raw Sales'!G2085))</x:f>
        <x:v>Philadelphia</x:v>
      </x:c>
      <x:c r="K2085" s="84" t="str">
        <x:f>PROPER(TRIM('Raw Sales'!H2085))</x:f>
        <x:v>Retail Store</x:v>
      </x:c>
      <x:c r="L2085" s="84" t="str">
        <x:f>'Raw Sales'!I2085</x:f>
        <x:v>ACCS-001</x:v>
      </x:c>
      <x:c r="M2085" s="84" t="str">
        <x:f>IFERROR(VLOOKUP(L2085,'Reference Data'!$A$5:$F$40,2,FALSE),"Unknown Product")</x:f>
        <x:v>Canvas Tote Bag</x:v>
      </x:c>
      <x:c r="N2085" s="84" t="str">
        <x:f>IFERROR(VLOOKUP(L2085,'Reference Data'!$A$5:$F$40,3,FALSE),"Unknown")</x:f>
        <x:v>Accessories</x:v>
      </x:c>
      <x:c r="O2085" s="84" t="str">
        <x:f>IFERROR(VLOOKUP(L2085,'Reference Data'!$A$5:$F$40,4,FALSE),"Unknown")</x:f>
        <x:v>Bags</x:v>
      </x:c>
      <x:c r="P2085" s="92" t="n">
        <x:f>IFERROR(VLOOKUP(L2085,'Reference Data'!$A$5:$F$40,5,FALSE),0)</x:f>
        <x:v>39</x:v>
      </x:c>
      <x:c r="Q2085" s="92" t="n">
        <x:f>IFERROR(VLOOKUP(L2085,'Reference Data'!$A$5:$F$40,6,FALSE),0)</x:f>
        <x:v>14</x:v>
      </x:c>
      <x:c r="R2085" s="84" t="n">
        <x:f>'Raw Sales'!J2085</x:f>
        <x:v>2</x:v>
      </x:c>
      <x:c r="S2085" s="87" t="n">
        <x:f>'Raw Sales'!K2085</x:f>
        <x:v>0.1</x:v>
      </x:c>
      <x:c r="T2085" s="93" t="n">
        <x:f>P2085*R2085</x:f>
        <x:v>78</x:v>
      </x:c>
      <x:c r="U2085" s="93" t="n">
        <x:f>T2085*S2085</x:f>
        <x:v>7.800000000000001</x:v>
      </x:c>
      <x:c r="V2085" s="93" t="str">
        <x:f>PROPER(TRIM('Raw Sales'!L2085))</x:f>
        <x:v>Completed</x:v>
      </x:c>
      <x:c r="W2085" s="93" t="n">
        <x:f>IF(V2085="Returned",0,T2085-U2085)</x:f>
        <x:v>70.2</x:v>
      </x:c>
      <x:c r="X2085" s="93" t="n">
        <x:f>IF(V2085="Returned",Q2085*R2085*10%,Q2085*R2085)</x:f>
        <x:v>28</x:v>
      </x:c>
      <x:c r="Y2085" s="93" t="n">
        <x:f>W2085-X2085</x:f>
        <x:v>42.2</x:v>
      </x:c>
      <x:c r="Z2085" s="94" t="n">
        <x:f>IFERROR(Y2085/W2085,0)</x:f>
        <x:v>0.6011396011396012</x:v>
      </x:c>
      <x:c r="AA2085" s="84" t="str">
        <x:f>PROPER(TRIM('Raw Sales'!M2085))</x:f>
        <x:v>Credit Card</x:v>
      </x:c>
      <x:c r="AB2085" s="84" t="str">
        <x:f>PROPER(TRIM('Raw Sales'!N2085))</x:f>
        <x:v>Sofia Bennett</x:v>
      </x:c>
      <x:c r="AC2085" s="85" t="n">
        <x:f>'Raw Sales'!O2085</x:f>
        <x:v>45961</x:v>
      </x:c>
      <x:c r="AD2085" s="84" t="n">
        <x:f>AC2085-B2085</x:f>
        <x:v>1</x:v>
      </x:c>
      <x:c r="AE2085" s="84" t="str">
        <x:f>IF(COUNTIF($A$5:A2085,A2085)&gt;1,"Duplicate","Keep")</x:f>
        <x:v>Keep</x:v>
      </x:c>
      <x:c r="AF2085" s="84" t="str">
        <x:f>IF(OR(R2085&lt;=0,AC2085&lt;B2085,H2085="Unknown",M2085="Unknown Product"),"Review","Valid")</x:f>
        <x:v>Valid</x:v>
      </x:c>
      <x:c r="AG2085" s="84" t="n">
        <x:f>IF(AND(AE2085="Keep",AF2085="Valid"),1,0)</x:f>
        <x:v>1</x:v>
      </x:c>
      <x:c r="AH2085" s="84" t="n">
        <x:f>IF(AND(AG2085=1,OR('Dashboard'!$B$4="All",I2085='Dashboard'!$B$4),OR('Dashboard'!$E$4="All",N2085='Dashboard'!$E$4),OR('Dashboard'!$H$4="All",K2085='Dashboard'!$H$4),OR('Dashboard'!$K$4="All",C2085='Dashboard'!$K$4)),1,0)</x:f>
        <x:v>1</x:v>
      </x:c>
      <x:c r="AI2085" s="84" t="n">
        <x:f>IF(AND(AG2085=1,OR('Dashboard'!$B$4="All",I2085='Dashboard'!$B$4),OR('Dashboard'!$E$4="All",N2085='Dashboard'!$E$4),OR('Dashboard'!$H$4="All",K2085='Dashboard'!$H$4)),1,0)</x:f>
        <x:v>1</x:v>
      </x:c>
    </x:row>
    <x:row r="2086">
      <x:c r="A2086" s="84" t="str">
        <x:f>'Raw Sales'!A2086</x:f>
        <x:v>ORD-2025-00777</x:v>
      </x:c>
      <x:c r="B2086" s="85" t="n">
        <x:f>'Raw Sales'!B2086</x:f>
        <x:v>45961</x:v>
      </x:c>
      <x:c r="C2086" s="84" t="n">
        <x:f>YEAR(B2086)</x:f>
        <x:v>2025</x:v>
      </x:c>
      <x:c r="D2086" s="91" t="n">
        <x:f>DATE(YEAR(B2086),MONTH(B2086),1)</x:f>
        <x:v>45931</x:v>
      </x:c>
      <x:c r="E2086" s="84" t="str">
        <x:f>TEXT(B2086,"mmm")</x:f>
        <x:v>Oct</x:v>
      </x:c>
      <x:c r="F2086" s="84" t="str">
        <x:f>'Raw Sales'!C2086</x:f>
        <x:v>CUST-0321</x:v>
      </x:c>
      <x:c r="G2086" s="84" t="str">
        <x:f>PROPER(TRIM('Raw Sales'!D2086))</x:f>
        <x:v>Grace Smith</x:v>
      </x:c>
      <x:c r="H2086" s="84" t="str">
        <x:f>IF(TRIM('Raw Sales'!E2086)="","Unknown",PROPER(TRIM('Raw Sales'!E2086)))</x:f>
        <x:v>Corporate</x:v>
      </x:c>
      <x:c r="I2086" s="84" t="str">
        <x:f>PROPER(TRIM('Raw Sales'!F2086))</x:f>
        <x:v>Southeast</x:v>
      </x:c>
      <x:c r="J2086" s="84" t="str">
        <x:f>PROPER(TRIM('Raw Sales'!G2086))</x:f>
        <x:v>Miami</x:v>
      </x:c>
      <x:c r="K2086" s="84" t="str">
        <x:f>PROPER(TRIM('Raw Sales'!H2086))</x:f>
        <x:v>Retail Store</x:v>
      </x:c>
      <x:c r="L2086" s="84" t="str">
        <x:f>'Raw Sales'!I2086</x:f>
        <x:v>ELEC-004</x:v>
      </x:c>
      <x:c r="M2086" s="84" t="str">
        <x:f>IFERROR(VLOOKUP(L2086,'Reference Data'!$A$5:$F$40,2,FALSE),"Unknown Product")</x:f>
        <x:v>Power Bank</x:v>
      </x:c>
      <x:c r="N2086" s="84" t="str">
        <x:f>IFERROR(VLOOKUP(L2086,'Reference Data'!$A$5:$F$40,3,FALSE),"Unknown")</x:f>
        <x:v>Electronics</x:v>
      </x:c>
      <x:c r="O2086" s="84" t="str">
        <x:f>IFERROR(VLOOKUP(L2086,'Reference Data'!$A$5:$F$40,4,FALSE),"Unknown")</x:f>
        <x:v>Mobile Accessories</x:v>
      </x:c>
      <x:c r="P2086" s="92" t="n">
        <x:f>IFERROR(VLOOKUP(L2086,'Reference Data'!$A$5:$F$40,5,FALSE),0)</x:f>
        <x:v>39</x:v>
      </x:c>
      <x:c r="Q2086" s="92" t="n">
        <x:f>IFERROR(VLOOKUP(L2086,'Reference Data'!$A$5:$F$40,6,FALSE),0)</x:f>
        <x:v>18</x:v>
      </x:c>
      <x:c r="R2086" s="84" t="n">
        <x:f>'Raw Sales'!J2086</x:f>
        <x:v>2</x:v>
      </x:c>
      <x:c r="S2086" s="87" t="n">
        <x:f>'Raw Sales'!K2086</x:f>
        <x:v>0.05</x:v>
      </x:c>
      <x:c r="T2086" s="93" t="n">
        <x:f>P2086*R2086</x:f>
        <x:v>78</x:v>
      </x:c>
      <x:c r="U2086" s="93" t="n">
        <x:f>T2086*S2086</x:f>
        <x:v>3.9000000000000004</x:v>
      </x:c>
      <x:c r="V2086" s="93" t="str">
        <x:f>PROPER(TRIM('Raw Sales'!L2086))</x:f>
        <x:v>Completed</x:v>
      </x:c>
      <x:c r="W2086" s="93" t="n">
        <x:f>IF(V2086="Returned",0,T2086-U2086)</x:f>
        <x:v>74.1</x:v>
      </x:c>
      <x:c r="X2086" s="93" t="n">
        <x:f>IF(V2086="Returned",Q2086*R2086*10%,Q2086*R2086)</x:f>
        <x:v>36</x:v>
      </x:c>
      <x:c r="Y2086" s="93" t="n">
        <x:f>W2086-X2086</x:f>
        <x:v>38.099999999999994</x:v>
      </x:c>
      <x:c r="Z2086" s="94" t="n">
        <x:f>IFERROR(Y2086/W2086,0)</x:f>
        <x:v>0.5141700404858299</x:v>
      </x:c>
      <x:c r="AA2086" s="84" t="str">
        <x:f>PROPER(TRIM('Raw Sales'!M2086))</x:f>
        <x:v>Cash</x:v>
      </x:c>
      <x:c r="AB2086" s="84" t="str">
        <x:f>PROPER(TRIM('Raw Sales'!N2086))</x:f>
        <x:v>Liam Parker</x:v>
      </x:c>
      <x:c r="AC2086" s="85" t="n">
        <x:f>'Raw Sales'!O2086</x:f>
        <x:v>45961</x:v>
      </x:c>
      <x:c r="AD2086" s="84" t="n">
        <x:f>AC2086-B2086</x:f>
        <x:v>0</x:v>
      </x:c>
      <x:c r="AE2086" s="84" t="str">
        <x:f>IF(COUNTIF($A$5:A2086,A2086)&gt;1,"Duplicate","Keep")</x:f>
        <x:v>Keep</x:v>
      </x:c>
      <x:c r="AF2086" s="84" t="str">
        <x:f>IF(OR(R2086&lt;=0,AC2086&lt;B2086,H2086="Unknown",M2086="Unknown Product"),"Review","Valid")</x:f>
        <x:v>Valid</x:v>
      </x:c>
      <x:c r="AG2086" s="84" t="n">
        <x:f>IF(AND(AE2086="Keep",AF2086="Valid"),1,0)</x:f>
        <x:v>1</x:v>
      </x:c>
      <x:c r="AH2086" s="84" t="n">
        <x:f>IF(AND(AG2086=1,OR('Dashboard'!$B$4="All",I2086='Dashboard'!$B$4),OR('Dashboard'!$E$4="All",N2086='Dashboard'!$E$4),OR('Dashboard'!$H$4="All",K2086='Dashboard'!$H$4),OR('Dashboard'!$K$4="All",C2086='Dashboard'!$K$4)),1,0)</x:f>
        <x:v>1</x:v>
      </x:c>
      <x:c r="AI2086" s="84" t="n">
        <x:f>IF(AND(AG2086=1,OR('Dashboard'!$B$4="All",I2086='Dashboard'!$B$4),OR('Dashboard'!$E$4="All",N2086='Dashboard'!$E$4),OR('Dashboard'!$H$4="All",K2086='Dashboard'!$H$4)),1,0)</x:f>
        <x:v>1</x:v>
      </x:c>
    </x:row>
    <x:row r="2087">
      <x:c r="A2087" s="84" t="str">
        <x:f>'Raw Sales'!A2087</x:f>
        <x:v>ORD-2025-01484</x:v>
      </x:c>
      <x:c r="B2087" s="85" t="n">
        <x:f>'Raw Sales'!B2087</x:f>
        <x:v>45961</x:v>
      </x:c>
      <x:c r="C2087" s="84" t="n">
        <x:f>YEAR(B2087)</x:f>
        <x:v>2025</x:v>
      </x:c>
      <x:c r="D2087" s="91" t="n">
        <x:f>DATE(YEAR(B2087),MONTH(B2087),1)</x:f>
        <x:v>45931</x:v>
      </x:c>
      <x:c r="E2087" s="84" t="str">
        <x:f>TEXT(B2087,"mmm")</x:f>
        <x:v>Oct</x:v>
      </x:c>
      <x:c r="F2087" s="84" t="str">
        <x:f>'Raw Sales'!C2087</x:f>
        <x:v>CUST-0432</x:v>
      </x:c>
      <x:c r="G2087" s="84" t="str">
        <x:f>PROPER(TRIM('Raw Sales'!D2087))</x:f>
        <x:v>Caleb Young</x:v>
      </x:c>
      <x:c r="H2087" s="84" t="str">
        <x:f>IF(TRIM('Raw Sales'!E2087)="","Unknown",PROPER(TRIM('Raw Sales'!E2087)))</x:f>
        <x:v>Consumer</x:v>
      </x:c>
      <x:c r="I2087" s="84" t="str">
        <x:f>PROPER(TRIM('Raw Sales'!F2087))</x:f>
        <x:v>Northeast</x:v>
      </x:c>
      <x:c r="J2087" s="84" t="str">
        <x:f>PROPER(TRIM('Raw Sales'!G2087))</x:f>
        <x:v>New York</x:v>
      </x:c>
      <x:c r="K2087" s="84" t="str">
        <x:f>PROPER(TRIM('Raw Sales'!H2087))</x:f>
        <x:v>Online</x:v>
      </x:c>
      <x:c r="L2087" s="84" t="str">
        <x:f>'Raw Sales'!I2087</x:f>
        <x:v>ACCS-005</x:v>
      </x:c>
      <x:c r="M2087" s="84" t="str">
        <x:f>IFERROR(VLOOKUP(L2087,'Reference Data'!$A$5:$F$40,2,FALSE),"Unknown Product")</x:f>
        <x:v>Protective Phone Case</x:v>
      </x:c>
      <x:c r="N2087" s="84" t="str">
        <x:f>IFERROR(VLOOKUP(L2087,'Reference Data'!$A$5:$F$40,3,FALSE),"Unknown")</x:f>
        <x:v>Accessories</x:v>
      </x:c>
      <x:c r="O2087" s="84" t="str">
        <x:f>IFERROR(VLOOKUP(L2087,'Reference Data'!$A$5:$F$40,4,FALSE),"Unknown")</x:f>
        <x:v>Mobile Accessories</x:v>
      </x:c>
      <x:c r="P2087" s="92" t="n">
        <x:f>IFERROR(VLOOKUP(L2087,'Reference Data'!$A$5:$F$40,5,FALSE),0)</x:f>
        <x:v>24</x:v>
      </x:c>
      <x:c r="Q2087" s="92" t="n">
        <x:f>IFERROR(VLOOKUP(L2087,'Reference Data'!$A$5:$F$40,6,FALSE),0)</x:f>
        <x:v>5</x:v>
      </x:c>
      <x:c r="R2087" s="84" t="n">
        <x:f>'Raw Sales'!J2087</x:f>
        <x:v>2</x:v>
      </x:c>
      <x:c r="S2087" s="87" t="n">
        <x:f>'Raw Sales'!K2087</x:f>
        <x:v>0</x:v>
      </x:c>
      <x:c r="T2087" s="93" t="n">
        <x:f>P2087*R2087</x:f>
        <x:v>48</x:v>
      </x:c>
      <x:c r="U2087" s="93" t="n">
        <x:f>T2087*S2087</x:f>
        <x:v>0</x:v>
      </x:c>
      <x:c r="V2087" s="93" t="str">
        <x:f>PROPER(TRIM('Raw Sales'!L2087))</x:f>
        <x:v>Completed</x:v>
      </x:c>
      <x:c r="W2087" s="93" t="n">
        <x:f>IF(V2087="Returned",0,T2087-U2087)</x:f>
        <x:v>48</x:v>
      </x:c>
      <x:c r="X2087" s="93" t="n">
        <x:f>IF(V2087="Returned",Q2087*R2087*10%,Q2087*R2087)</x:f>
        <x:v>10</x:v>
      </x:c>
      <x:c r="Y2087" s="93" t="n">
        <x:f>W2087-X2087</x:f>
        <x:v>38</x:v>
      </x:c>
      <x:c r="Z2087" s="94" t="n">
        <x:f>IFERROR(Y2087/W2087,0)</x:f>
        <x:v>0.7916666666666666</x:v>
      </x:c>
      <x:c r="AA2087" s="84" t="str">
        <x:f>PROPER(TRIM('Raw Sales'!M2087))</x:f>
        <x:v>Paypal</x:v>
      </x:c>
      <x:c r="AB2087" s="84" t="str">
        <x:f>PROPER(TRIM('Raw Sales'!N2087))</x:f>
        <x:v>Sofia Bennett</x:v>
      </x:c>
      <x:c r="AC2087" s="85" t="n">
        <x:f>'Raw Sales'!O2087</x:f>
        <x:v>45964</x:v>
      </x:c>
      <x:c r="AD2087" s="84" t="n">
        <x:f>AC2087-B2087</x:f>
        <x:v>3</x:v>
      </x:c>
      <x:c r="AE2087" s="84" t="str">
        <x:f>IF(COUNTIF($A$5:A2087,A2087)&gt;1,"Duplicate","Keep")</x:f>
        <x:v>Keep</x:v>
      </x:c>
      <x:c r="AF2087" s="84" t="str">
        <x:f>IF(OR(R2087&lt;=0,AC2087&lt;B2087,H2087="Unknown",M2087="Unknown Product"),"Review","Valid")</x:f>
        <x:v>Valid</x:v>
      </x:c>
      <x:c r="AG2087" s="84" t="n">
        <x:f>IF(AND(AE2087="Keep",AF2087="Valid"),1,0)</x:f>
        <x:v>1</x:v>
      </x:c>
      <x:c r="AH2087" s="84" t="n">
        <x:f>IF(AND(AG2087=1,OR('Dashboard'!$B$4="All",I2087='Dashboard'!$B$4),OR('Dashboard'!$E$4="All",N2087='Dashboard'!$E$4),OR('Dashboard'!$H$4="All",K2087='Dashboard'!$H$4),OR('Dashboard'!$K$4="All",C2087='Dashboard'!$K$4)),1,0)</x:f>
        <x:v>1</x:v>
      </x:c>
      <x:c r="AI2087" s="84" t="n">
        <x:f>IF(AND(AG2087=1,OR('Dashboard'!$B$4="All",I2087='Dashboard'!$B$4),OR('Dashboard'!$E$4="All",N2087='Dashboard'!$E$4),OR('Dashboard'!$H$4="All",K2087='Dashboard'!$H$4)),1,0)</x:f>
        <x:v>1</x:v>
      </x:c>
    </x:row>
    <x:row r="2088">
      <x:c r="A2088" s="84" t="str">
        <x:f>'Raw Sales'!A2088</x:f>
        <x:v>ORD-2025-02061</x:v>
      </x:c>
      <x:c r="B2088" s="85" t="n">
        <x:f>'Raw Sales'!B2088</x:f>
        <x:v>45961</x:v>
      </x:c>
      <x:c r="C2088" s="84" t="n">
        <x:f>YEAR(B2088)</x:f>
        <x:v>2025</x:v>
      </x:c>
      <x:c r="D2088" s="91" t="n">
        <x:f>DATE(YEAR(B2088),MONTH(B2088),1)</x:f>
        <x:v>45931</x:v>
      </x:c>
      <x:c r="E2088" s="84" t="str">
        <x:f>TEXT(B2088,"mmm")</x:f>
        <x:v>Oct</x:v>
      </x:c>
      <x:c r="F2088" s="84" t="str">
        <x:f>'Raw Sales'!C2088</x:f>
        <x:v>CUST-0410</x:v>
      </x:c>
      <x:c r="G2088" s="84" t="str">
        <x:f>PROPER(TRIM('Raw Sales'!D2088))</x:f>
        <x:v>Jasmine Quinn</x:v>
      </x:c>
      <x:c r="H2088" s="84" t="str">
        <x:f>IF(TRIM('Raw Sales'!E2088)="","Unknown",PROPER(TRIM('Raw Sales'!E2088)))</x:f>
        <x:v>Consumer</x:v>
      </x:c>
      <x:c r="I2088" s="84" t="str">
        <x:f>PROPER(TRIM('Raw Sales'!F2088))</x:f>
        <x:v>Midwest</x:v>
      </x:c>
      <x:c r="J2088" s="84" t="str">
        <x:f>PROPER(TRIM('Raw Sales'!G2088))</x:f>
        <x:v>Chicago</x:v>
      </x:c>
      <x:c r="K2088" s="84" t="str">
        <x:f>PROPER(TRIM('Raw Sales'!H2088))</x:f>
        <x:v>Online</x:v>
      </x:c>
      <x:c r="L2088" s="84" t="str">
        <x:f>'Raw Sales'!I2088</x:f>
        <x:v>ACCS-005</x:v>
      </x:c>
      <x:c r="M2088" s="84" t="str">
        <x:f>IFERROR(VLOOKUP(L2088,'Reference Data'!$A$5:$F$40,2,FALSE),"Unknown Product")</x:f>
        <x:v>Protective Phone Case</x:v>
      </x:c>
      <x:c r="N2088" s="84" t="str">
        <x:f>IFERROR(VLOOKUP(L2088,'Reference Data'!$A$5:$F$40,3,FALSE),"Unknown")</x:f>
        <x:v>Accessories</x:v>
      </x:c>
      <x:c r="O2088" s="84" t="str">
        <x:f>IFERROR(VLOOKUP(L2088,'Reference Data'!$A$5:$F$40,4,FALSE),"Unknown")</x:f>
        <x:v>Mobile Accessories</x:v>
      </x:c>
      <x:c r="P2088" s="92" t="n">
        <x:f>IFERROR(VLOOKUP(L2088,'Reference Data'!$A$5:$F$40,5,FALSE),0)</x:f>
        <x:v>24</x:v>
      </x:c>
      <x:c r="Q2088" s="92" t="n">
        <x:f>IFERROR(VLOOKUP(L2088,'Reference Data'!$A$5:$F$40,6,FALSE),0)</x:f>
        <x:v>5</x:v>
      </x:c>
      <x:c r="R2088" s="84" t="n">
        <x:f>'Raw Sales'!J2088</x:f>
        <x:v>1</x:v>
      </x:c>
      <x:c r="S2088" s="87" t="n">
        <x:f>'Raw Sales'!K2088</x:f>
        <x:v>0.15</x:v>
      </x:c>
      <x:c r="T2088" s="93" t="n">
        <x:f>P2088*R2088</x:f>
        <x:v>24</x:v>
      </x:c>
      <x:c r="U2088" s="93" t="n">
        <x:f>T2088*S2088</x:f>
        <x:v>3.5999999999999996</x:v>
      </x:c>
      <x:c r="V2088" s="93" t="str">
        <x:f>PROPER(TRIM('Raw Sales'!L2088))</x:f>
        <x:v>Returned</x:v>
      </x:c>
      <x:c r="W2088" s="93" t="n">
        <x:f>IF(V2088="Returned",0,T2088-U2088)</x:f>
        <x:v>0</x:v>
      </x:c>
      <x:c r="X2088" s="93" t="n">
        <x:f>IF(V2088="Returned",Q2088*R2088*10%,Q2088*R2088)</x:f>
        <x:v>0.5</x:v>
      </x:c>
      <x:c r="Y2088" s="93" t="n">
        <x:f>W2088-X2088</x:f>
        <x:v>-0.5</x:v>
      </x:c>
      <x:c r="Z2088" s="94" t="n">
        <x:f>IFERROR(Y2088/W2088,0)</x:f>
        <x:v>0</x:v>
      </x:c>
      <x:c r="AA2088" s="84" t="str">
        <x:f>PROPER(TRIM('Raw Sales'!M2088))</x:f>
        <x:v>Debit Card</x:v>
      </x:c>
      <x:c r="AB2088" s="84" t="str">
        <x:f>PROPER(TRIM('Raw Sales'!N2088))</x:f>
        <x:v>Emma Hayes</x:v>
      </x:c>
      <x:c r="AC2088" s="85" t="n">
        <x:f>'Raw Sales'!O2088</x:f>
        <x:v>45964</x:v>
      </x:c>
      <x:c r="AD2088" s="84" t="n">
        <x:f>AC2088-B2088</x:f>
        <x:v>3</x:v>
      </x:c>
      <x:c r="AE2088" s="84" t="str">
        <x:f>IF(COUNTIF($A$5:A2088,A2088)&gt;1,"Duplicate","Keep")</x:f>
        <x:v>Keep</x:v>
      </x:c>
      <x:c r="AF2088" s="84" t="str">
        <x:f>IF(OR(R2088&lt;=0,AC2088&lt;B2088,H2088="Unknown",M2088="Unknown Product"),"Review","Valid")</x:f>
        <x:v>Valid</x:v>
      </x:c>
      <x:c r="AG2088" s="84" t="n">
        <x:f>IF(AND(AE2088="Keep",AF2088="Valid"),1,0)</x:f>
        <x:v>1</x:v>
      </x:c>
      <x:c r="AH2088" s="84" t="n">
        <x:f>IF(AND(AG2088=1,OR('Dashboard'!$B$4="All",I2088='Dashboard'!$B$4),OR('Dashboard'!$E$4="All",N2088='Dashboard'!$E$4),OR('Dashboard'!$H$4="All",K2088='Dashboard'!$H$4),OR('Dashboard'!$K$4="All",C2088='Dashboard'!$K$4)),1,0)</x:f>
        <x:v>1</x:v>
      </x:c>
      <x:c r="AI2088" s="84" t="n">
        <x:f>IF(AND(AG2088=1,OR('Dashboard'!$B$4="All",I2088='Dashboard'!$B$4),OR('Dashboard'!$E$4="All",N2088='Dashboard'!$E$4),OR('Dashboard'!$H$4="All",K2088='Dashboard'!$H$4)),1,0)</x:f>
        <x:v>1</x:v>
      </x:c>
    </x:row>
    <x:row r="2089">
      <x:c r="A2089" s="84" t="str">
        <x:f>'Raw Sales'!A2089</x:f>
        <x:v>ORD-2025-00894</x:v>
      </x:c>
      <x:c r="B2089" s="85" t="n">
        <x:f>'Raw Sales'!B2089</x:f>
        <x:v>45962</x:v>
      </x:c>
      <x:c r="C2089" s="84" t="n">
        <x:f>YEAR(B2089)</x:f>
        <x:v>2025</x:v>
      </x:c>
      <x:c r="D2089" s="91" t="n">
        <x:f>DATE(YEAR(B2089),MONTH(B2089),1)</x:f>
        <x:v>45962</x:v>
      </x:c>
      <x:c r="E2089" s="84" t="str">
        <x:f>TEXT(B2089,"mmm")</x:f>
        <x:v>Nov</x:v>
      </x:c>
      <x:c r="F2089" s="84" t="str">
        <x:f>'Raw Sales'!C2089</x:f>
        <x:v>CUST-0238</x:v>
      </x:c>
      <x:c r="G2089" s="84" t="str">
        <x:f>PROPER(TRIM('Raw Sales'!D2089))</x:f>
        <x:v>Aiden Ortiz</x:v>
      </x:c>
      <x:c r="H2089" s="84" t="str">
        <x:f>IF(TRIM('Raw Sales'!E2089)="","Unknown",PROPER(TRIM('Raw Sales'!E2089)))</x:f>
        <x:v>Small Business</x:v>
      </x:c>
      <x:c r="I2089" s="84" t="str">
        <x:f>PROPER(TRIM('Raw Sales'!F2089))</x:f>
        <x:v>West</x:v>
      </x:c>
      <x:c r="J2089" s="84" t="str">
        <x:f>PROPER(TRIM('Raw Sales'!G2089))</x:f>
        <x:v>Phoenix</x:v>
      </x:c>
      <x:c r="K2089" s="84" t="str">
        <x:f>PROPER(TRIM('Raw Sales'!H2089))</x:f>
        <x:v>Online</x:v>
      </x:c>
      <x:c r="L2089" s="84" t="str">
        <x:f>'Raw Sales'!I2089</x:f>
        <x:v>ELEC-003</x:v>
      </x:c>
      <x:c r="M2089" s="84" t="str">
        <x:f>IFERROR(VLOOKUP(L2089,'Reference Data'!$A$5:$F$40,2,FALSE),"Unknown Product")</x:f>
        <x:v>Bluetooth Speaker</x:v>
      </x:c>
      <x:c r="N2089" s="84" t="str">
        <x:f>IFERROR(VLOOKUP(L2089,'Reference Data'!$A$5:$F$40,3,FALSE),"Unknown")</x:f>
        <x:v>Electronics</x:v>
      </x:c>
      <x:c r="O2089" s="84" t="str">
        <x:f>IFERROR(VLOOKUP(L2089,'Reference Data'!$A$5:$F$40,4,FALSE),"Unknown")</x:f>
        <x:v>Audio</x:v>
      </x:c>
      <x:c r="P2089" s="92" t="n">
        <x:f>IFERROR(VLOOKUP(L2089,'Reference Data'!$A$5:$F$40,5,FALSE),0)</x:f>
        <x:v>89</x:v>
      </x:c>
      <x:c r="Q2089" s="92" t="n">
        <x:f>IFERROR(VLOOKUP(L2089,'Reference Data'!$A$5:$F$40,6,FALSE),0)</x:f>
        <x:v>44</x:v>
      </x:c>
      <x:c r="R2089" s="84" t="n">
        <x:f>'Raw Sales'!J2089</x:f>
        <x:v>2</x:v>
      </x:c>
      <x:c r="S2089" s="87" t="n">
        <x:f>'Raw Sales'!K2089</x:f>
        <x:v>0.2</x:v>
      </x:c>
      <x:c r="T2089" s="93" t="n">
        <x:f>P2089*R2089</x:f>
        <x:v>178</x:v>
      </x:c>
      <x:c r="U2089" s="93" t="n">
        <x:f>T2089*S2089</x:f>
        <x:v>35.6</x:v>
      </x:c>
      <x:c r="V2089" s="93" t="str">
        <x:f>PROPER(TRIM('Raw Sales'!L2089))</x:f>
        <x:v>Completed</x:v>
      </x:c>
      <x:c r="W2089" s="93" t="n">
        <x:f>IF(V2089="Returned",0,T2089-U2089)</x:f>
        <x:v>142.4</x:v>
      </x:c>
      <x:c r="X2089" s="93" t="n">
        <x:f>IF(V2089="Returned",Q2089*R2089*10%,Q2089*R2089)</x:f>
        <x:v>88</x:v>
      </x:c>
      <x:c r="Y2089" s="93" t="n">
        <x:f>W2089-X2089</x:f>
        <x:v>54.400000000000006</x:v>
      </x:c>
      <x:c r="Z2089" s="94" t="n">
        <x:f>IFERROR(Y2089/W2089,0)</x:f>
        <x:v>0.3820224719101124</x:v>
      </x:c>
      <x:c r="AA2089" s="84" t="str">
        <x:f>PROPER(TRIM('Raw Sales'!M2089))</x:f>
        <x:v>Debit Card</x:v>
      </x:c>
      <x:c r="AB2089" s="84" t="str">
        <x:f>PROPER(TRIM('Raw Sales'!N2089))</x:f>
        <x:v>Mia Chen</x:v>
      </x:c>
      <x:c r="AC2089" s="85" t="n">
        <x:f>'Raw Sales'!O2089</x:f>
        <x:v>45964</x:v>
      </x:c>
      <x:c r="AD2089" s="84" t="n">
        <x:f>AC2089-B2089</x:f>
        <x:v>2</x:v>
      </x:c>
      <x:c r="AE2089" s="84" t="str">
        <x:f>IF(COUNTIF($A$5:A2089,A2089)&gt;1,"Duplicate","Keep")</x:f>
        <x:v>Keep</x:v>
      </x:c>
      <x:c r="AF2089" s="84" t="str">
        <x:f>IF(OR(R2089&lt;=0,AC2089&lt;B2089,H2089="Unknown",M2089="Unknown Product"),"Review","Valid")</x:f>
        <x:v>Valid</x:v>
      </x:c>
      <x:c r="AG2089" s="84" t="n">
        <x:f>IF(AND(AE2089="Keep",AF2089="Valid"),1,0)</x:f>
        <x:v>1</x:v>
      </x:c>
      <x:c r="AH2089" s="84" t="n">
        <x:f>IF(AND(AG2089=1,OR('Dashboard'!$B$4="All",I2089='Dashboard'!$B$4),OR('Dashboard'!$E$4="All",N2089='Dashboard'!$E$4),OR('Dashboard'!$H$4="All",K2089='Dashboard'!$H$4),OR('Dashboard'!$K$4="All",C2089='Dashboard'!$K$4)),1,0)</x:f>
        <x:v>1</x:v>
      </x:c>
      <x:c r="AI2089" s="84" t="n">
        <x:f>IF(AND(AG2089=1,OR('Dashboard'!$B$4="All",I2089='Dashboard'!$B$4),OR('Dashboard'!$E$4="All",N2089='Dashboard'!$E$4),OR('Dashboard'!$H$4="All",K2089='Dashboard'!$H$4)),1,0)</x:f>
        <x:v>1</x:v>
      </x:c>
    </x:row>
    <x:row r="2090">
      <x:c r="A2090" s="84" t="str">
        <x:f>'Raw Sales'!A2090</x:f>
        <x:v>ORD-2025-01675</x:v>
      </x:c>
      <x:c r="B2090" s="85" t="n">
        <x:f>'Raw Sales'!B2090</x:f>
        <x:v>45962</x:v>
      </x:c>
      <x:c r="C2090" s="84" t="n">
        <x:f>YEAR(B2090)</x:f>
        <x:v>2025</x:v>
      </x:c>
      <x:c r="D2090" s="91" t="n">
        <x:f>DATE(YEAR(B2090),MONTH(B2090),1)</x:f>
        <x:v>45962</x:v>
      </x:c>
      <x:c r="E2090" s="84" t="str">
        <x:f>TEXT(B2090,"mmm")</x:f>
        <x:v>Nov</x:v>
      </x:c>
      <x:c r="F2090" s="84" t="str">
        <x:f>'Raw Sales'!C2090</x:f>
        <x:v>CUST-0295</x:v>
      </x:c>
      <x:c r="G2090" s="84" t="str">
        <x:f>PROPER(TRIM('Raw Sales'!D2090))</x:f>
        <x:v>Nina Garcia</x:v>
      </x:c>
      <x:c r="H2090" s="84" t="str">
        <x:f>IF(TRIM('Raw Sales'!E2090)="","Unknown",PROPER(TRIM('Raw Sales'!E2090)))</x:f>
        <x:v>Consumer</x:v>
      </x:c>
      <x:c r="I2090" s="84" t="str">
        <x:f>PROPER(TRIM('Raw Sales'!F2090))</x:f>
        <x:v>Northeast</x:v>
      </x:c>
      <x:c r="J2090" s="84" t="str">
        <x:f>PROPER(TRIM('Raw Sales'!G2090))</x:f>
        <x:v>Boston</x:v>
      </x:c>
      <x:c r="K2090" s="84" t="str">
        <x:f>PROPER(TRIM('Raw Sales'!H2090))</x:f>
        <x:v>Retail Store</x:v>
      </x:c>
      <x:c r="L2090" s="84" t="str">
        <x:f>'Raw Sales'!I2090</x:f>
        <x:v>CARE-006</x:v>
      </x:c>
      <x:c r="M2090" s="84" t="str">
        <x:f>IFERROR(VLOOKUP(L2090,'Reference Data'!$A$5:$F$40,2,FALSE),"Unknown Product")</x:f>
        <x:v>Percussion Massage Gun</x:v>
      </x:c>
      <x:c r="N2090" s="84" t="str">
        <x:f>IFERROR(VLOOKUP(L2090,'Reference Data'!$A$5:$F$40,3,FALSE),"Unknown")</x:f>
        <x:v>Personal Care</x:v>
      </x:c>
      <x:c r="O2090" s="84" t="str">
        <x:f>IFERROR(VLOOKUP(L2090,'Reference Data'!$A$5:$F$40,4,FALSE),"Unknown")</x:f>
        <x:v>Wellness</x:v>
      </x:c>
      <x:c r="P2090" s="92" t="n">
        <x:f>IFERROR(VLOOKUP(L2090,'Reference Data'!$A$5:$F$40,5,FALSE),0)</x:f>
        <x:v>129</x:v>
      </x:c>
      <x:c r="Q2090" s="92" t="n">
        <x:f>IFERROR(VLOOKUP(L2090,'Reference Data'!$A$5:$F$40,6,FALSE),0)</x:f>
        <x:v>70</x:v>
      </x:c>
      <x:c r="R2090" s="84" t="n">
        <x:f>'Raw Sales'!J2090</x:f>
        <x:v>1</x:v>
      </x:c>
      <x:c r="S2090" s="87" t="n">
        <x:f>'Raw Sales'!K2090</x:f>
        <x:v>0.1</x:v>
      </x:c>
      <x:c r="T2090" s="93" t="n">
        <x:f>P2090*R2090</x:f>
        <x:v>129</x:v>
      </x:c>
      <x:c r="U2090" s="93" t="n">
        <x:f>T2090*S2090</x:f>
        <x:v>12.9</x:v>
      </x:c>
      <x:c r="V2090" s="93" t="str">
        <x:f>PROPER(TRIM('Raw Sales'!L2090))</x:f>
        <x:v>Completed</x:v>
      </x:c>
      <x:c r="W2090" s="93" t="n">
        <x:f>IF(V2090="Returned",0,T2090-U2090)</x:f>
        <x:v>116.1</x:v>
      </x:c>
      <x:c r="X2090" s="93" t="n">
        <x:f>IF(V2090="Returned",Q2090*R2090*10%,Q2090*R2090)</x:f>
        <x:v>70</x:v>
      </x:c>
      <x:c r="Y2090" s="93" t="n">
        <x:f>W2090-X2090</x:f>
        <x:v>46.099999999999994</x:v>
      </x:c>
      <x:c r="Z2090" s="94" t="n">
        <x:f>IFERROR(Y2090/W2090,0)</x:f>
        <x:v>0.3970714900947459</x:v>
      </x:c>
      <x:c r="AA2090" s="84" t="str">
        <x:f>PROPER(TRIM('Raw Sales'!M2090))</x:f>
        <x:v>Mobile Wallet</x:v>
      </x:c>
      <x:c r="AB2090" s="84" t="str">
        <x:f>PROPER(TRIM('Raw Sales'!N2090))</x:f>
        <x:v>Ethan Cole</x:v>
      </x:c>
      <x:c r="AC2090" s="85" t="n">
        <x:f>'Raw Sales'!O2090</x:f>
        <x:v>45962</x:v>
      </x:c>
      <x:c r="AD2090" s="84" t="n">
        <x:f>AC2090-B2090</x:f>
        <x:v>0</x:v>
      </x:c>
      <x:c r="AE2090" s="84" t="str">
        <x:f>IF(COUNTIF($A$5:A2090,A2090)&gt;1,"Duplicate","Keep")</x:f>
        <x:v>Keep</x:v>
      </x:c>
      <x:c r="AF2090" s="84" t="str">
        <x:f>IF(OR(R2090&lt;=0,AC2090&lt;B2090,H2090="Unknown",M2090="Unknown Product"),"Review","Valid")</x:f>
        <x:v>Valid</x:v>
      </x:c>
      <x:c r="AG2090" s="84" t="n">
        <x:f>IF(AND(AE2090="Keep",AF2090="Valid"),1,0)</x:f>
        <x:v>1</x:v>
      </x:c>
      <x:c r="AH2090" s="84" t="n">
        <x:f>IF(AND(AG2090=1,OR('Dashboard'!$B$4="All",I2090='Dashboard'!$B$4),OR('Dashboard'!$E$4="All",N2090='Dashboard'!$E$4),OR('Dashboard'!$H$4="All",K2090='Dashboard'!$H$4),OR('Dashboard'!$K$4="All",C2090='Dashboard'!$K$4)),1,0)</x:f>
        <x:v>1</x:v>
      </x:c>
      <x:c r="AI2090" s="84" t="n">
        <x:f>IF(AND(AG2090=1,OR('Dashboard'!$B$4="All",I2090='Dashboard'!$B$4),OR('Dashboard'!$E$4="All",N2090='Dashboard'!$E$4),OR('Dashboard'!$H$4="All",K2090='Dashboard'!$H$4)),1,0)</x:f>
        <x:v>1</x:v>
      </x:c>
    </x:row>
    <x:row r="2091">
      <x:c r="A2091" s="84" t="str">
        <x:f>'Raw Sales'!A2091</x:f>
        <x:v>ORD-2025-01854</x:v>
      </x:c>
      <x:c r="B2091" s="85" t="n">
        <x:f>'Raw Sales'!B2091</x:f>
        <x:v>45962</x:v>
      </x:c>
      <x:c r="C2091" s="84" t="n">
        <x:f>YEAR(B2091)</x:f>
        <x:v>2025</x:v>
      </x:c>
      <x:c r="D2091" s="91" t="n">
        <x:f>DATE(YEAR(B2091),MONTH(B2091),1)</x:f>
        <x:v>45962</x:v>
      </x:c>
      <x:c r="E2091" s="84" t="str">
        <x:f>TEXT(B2091,"mmm")</x:f>
        <x:v>Nov</x:v>
      </x:c>
      <x:c r="F2091" s="84" t="str">
        <x:f>'Raw Sales'!C2091</x:f>
        <x:v>CUST-0103</x:v>
      </x:c>
      <x:c r="G2091" s="84" t="str">
        <x:f>PROPER(TRIM('Raw Sales'!D2091))</x:f>
        <x:v>Layla Garcia</x:v>
      </x:c>
      <x:c r="H2091" s="84" t="str">
        <x:f>IF(TRIM('Raw Sales'!E2091)="","Unknown",PROPER(TRIM('Raw Sales'!E2091)))</x:f>
        <x:v>Consumer</x:v>
      </x:c>
      <x:c r="I2091" s="84" t="str">
        <x:f>PROPER(TRIM('Raw Sales'!F2091))</x:f>
        <x:v>Southeast</x:v>
      </x:c>
      <x:c r="J2091" s="84" t="str">
        <x:f>PROPER(TRIM('Raw Sales'!G2091))</x:f>
        <x:v>Atlanta</x:v>
      </x:c>
      <x:c r="K2091" s="84" t="str">
        <x:f>PROPER(TRIM('Raw Sales'!H2091))</x:f>
        <x:v>Retail Store</x:v>
      </x:c>
      <x:c r="L2091" s="84" t="str">
        <x:f>'Raw Sales'!I2091</x:f>
        <x:v>HOME-003</x:v>
      </x:c>
      <x:c r="M2091" s="84" t="str">
        <x:f>IFERROR(VLOOKUP(L2091,'Reference Data'!$A$5:$F$40,2,FALSE),"Unknown Product")</x:f>
        <x:v>Countertop Blender</x:v>
      </x:c>
      <x:c r="N2091" s="84" t="str">
        <x:f>IFERROR(VLOOKUP(L2091,'Reference Data'!$A$5:$F$40,3,FALSE),"Unknown")</x:f>
        <x:v>Home &amp; Kitchen</x:v>
      </x:c>
      <x:c r="O2091" s="84" t="str">
        <x:f>IFERROR(VLOOKUP(L2091,'Reference Data'!$A$5:$F$40,4,FALSE),"Unknown")</x:f>
        <x:v>Small Appliances</x:v>
      </x:c>
      <x:c r="P2091" s="92" t="n">
        <x:f>IFERROR(VLOOKUP(L2091,'Reference Data'!$A$5:$F$40,5,FALSE),0)</x:f>
        <x:v>89</x:v>
      </x:c>
      <x:c r="Q2091" s="92" t="n">
        <x:f>IFERROR(VLOOKUP(L2091,'Reference Data'!$A$5:$F$40,6,FALSE),0)</x:f>
        <x:v>46</x:v>
      </x:c>
      <x:c r="R2091" s="84" t="n">
        <x:f>'Raw Sales'!J2091</x:f>
        <x:v>1</x:v>
      </x:c>
      <x:c r="S2091" s="87" t="n">
        <x:f>'Raw Sales'!K2091</x:f>
        <x:v>0</x:v>
      </x:c>
      <x:c r="T2091" s="93" t="n">
        <x:f>P2091*R2091</x:f>
        <x:v>89</x:v>
      </x:c>
      <x:c r="U2091" s="93" t="n">
        <x:f>T2091*S2091</x:f>
        <x:v>0</x:v>
      </x:c>
      <x:c r="V2091" s="93" t="str">
        <x:f>PROPER(TRIM('Raw Sales'!L2091))</x:f>
        <x:v>Returned</x:v>
      </x:c>
      <x:c r="W2091" s="93" t="n">
        <x:f>IF(V2091="Returned",0,T2091-U2091)</x:f>
        <x:v>0</x:v>
      </x:c>
      <x:c r="X2091" s="93" t="n">
        <x:f>IF(V2091="Returned",Q2091*R2091*10%,Q2091*R2091)</x:f>
        <x:v>4.6000000000000005</x:v>
      </x:c>
      <x:c r="Y2091" s="93" t="n">
        <x:f>W2091-X2091</x:f>
        <x:v>-4.6000000000000005</x:v>
      </x:c>
      <x:c r="Z2091" s="94" t="n">
        <x:f>IFERROR(Y2091/W2091,0)</x:f>
        <x:v>0</x:v>
      </x:c>
      <x:c r="AA2091" s="84" t="str">
        <x:f>PROPER(TRIM('Raw Sales'!M2091))</x:f>
        <x:v>Mobile Wallet</x:v>
      </x:c>
      <x:c r="AB2091" s="84" t="str">
        <x:f>PROPER(TRIM('Raw Sales'!N2091))</x:f>
        <x:v>Noah Reed</x:v>
      </x:c>
      <x:c r="AC2091" s="85" t="n">
        <x:f>'Raw Sales'!O2091</x:f>
        <x:v>45962</x:v>
      </x:c>
      <x:c r="AD2091" s="84" t="n">
        <x:f>AC2091-B2091</x:f>
        <x:v>0</x:v>
      </x:c>
      <x:c r="AE2091" s="84" t="str">
        <x:f>IF(COUNTIF($A$5:A2091,A2091)&gt;1,"Duplicate","Keep")</x:f>
        <x:v>Keep</x:v>
      </x:c>
      <x:c r="AF2091" s="84" t="str">
        <x:f>IF(OR(R2091&lt;=0,AC2091&lt;B2091,H2091="Unknown",M2091="Unknown Product"),"Review","Valid")</x:f>
        <x:v>Valid</x:v>
      </x:c>
      <x:c r="AG2091" s="84" t="n">
        <x:f>IF(AND(AE2091="Keep",AF2091="Valid"),1,0)</x:f>
        <x:v>1</x:v>
      </x:c>
      <x:c r="AH2091" s="84" t="n">
        <x:f>IF(AND(AG2091=1,OR('Dashboard'!$B$4="All",I2091='Dashboard'!$B$4),OR('Dashboard'!$E$4="All",N2091='Dashboard'!$E$4),OR('Dashboard'!$H$4="All",K2091='Dashboard'!$H$4),OR('Dashboard'!$K$4="All",C2091='Dashboard'!$K$4)),1,0)</x:f>
        <x:v>1</x:v>
      </x:c>
      <x:c r="AI2091" s="84" t="n">
        <x:f>IF(AND(AG2091=1,OR('Dashboard'!$B$4="All",I2091='Dashboard'!$B$4),OR('Dashboard'!$E$4="All",N2091='Dashboard'!$E$4),OR('Dashboard'!$H$4="All",K2091='Dashboard'!$H$4)),1,0)</x:f>
        <x:v>1</x:v>
      </x:c>
    </x:row>
    <x:row r="2092">
      <x:c r="A2092" s="84" t="str">
        <x:f>'Raw Sales'!A2092</x:f>
        <x:v>ORD-2025-01959</x:v>
      </x:c>
      <x:c r="B2092" s="85" t="n">
        <x:f>'Raw Sales'!B2092</x:f>
        <x:v>45962</x:v>
      </x:c>
      <x:c r="C2092" s="84" t="n">
        <x:f>YEAR(B2092)</x:f>
        <x:v>2025</x:v>
      </x:c>
      <x:c r="D2092" s="91" t="n">
        <x:f>DATE(YEAR(B2092),MONTH(B2092),1)</x:f>
        <x:v>45962</x:v>
      </x:c>
      <x:c r="E2092" s="84" t="str">
        <x:f>TEXT(B2092,"mmm")</x:f>
        <x:v>Nov</x:v>
      </x:c>
      <x:c r="F2092" s="84" t="str">
        <x:f>'Raw Sales'!C2092</x:f>
        <x:v>CUST-0128</x:v>
      </x:c>
      <x:c r="G2092" s="84" t="str">
        <x:f>PROPER(TRIM('Raw Sales'!D2092))</x:f>
        <x:v>Zara Patel</x:v>
      </x:c>
      <x:c r="H2092" s="84" t="str">
        <x:f>IF(TRIM('Raw Sales'!E2092)="","Unknown",PROPER(TRIM('Raw Sales'!E2092)))</x:f>
        <x:v>Consumer</x:v>
      </x:c>
      <x:c r="I2092" s="84" t="str">
        <x:f>PROPER(TRIM('Raw Sales'!F2092))</x:f>
        <x:v>Midwest</x:v>
      </x:c>
      <x:c r="J2092" s="84" t="str">
        <x:f>PROPER(TRIM('Raw Sales'!G2092))</x:f>
        <x:v>Detroit</x:v>
      </x:c>
      <x:c r="K2092" s="84" t="str">
        <x:f>PROPER(TRIM('Raw Sales'!H2092))</x:f>
        <x:v>Marketplace</x:v>
      </x:c>
      <x:c r="L2092" s="84" t="str">
        <x:f>'Raw Sales'!I2092</x:f>
        <x:v>ELEC-002</x:v>
      </x:c>
      <x:c r="M2092" s="84" t="str">
        <x:f>IFERROR(VLOOKUP(L2092,'Reference Data'!$A$5:$F$40,2,FALSE),"Unknown Product")</x:f>
        <x:v>Smartwatch</x:v>
      </x:c>
      <x:c r="N2092" s="84" t="str">
        <x:f>IFERROR(VLOOKUP(L2092,'Reference Data'!$A$5:$F$40,3,FALSE),"Unknown")</x:f>
        <x:v>Electronics</x:v>
      </x:c>
      <x:c r="O2092" s="84" t="str">
        <x:f>IFERROR(VLOOKUP(L2092,'Reference Data'!$A$5:$F$40,4,FALSE),"Unknown")</x:f>
        <x:v>Wearables</x:v>
      </x:c>
      <x:c r="P2092" s="92" t="n">
        <x:f>IFERROR(VLOOKUP(L2092,'Reference Data'!$A$5:$F$40,5,FALSE),0)</x:f>
        <x:v>159</x:v>
      </x:c>
      <x:c r="Q2092" s="92" t="n">
        <x:f>IFERROR(VLOOKUP(L2092,'Reference Data'!$A$5:$F$40,6,FALSE),0)</x:f>
        <x:v>92</x:v>
      </x:c>
      <x:c r="R2092" s="84" t="n">
        <x:f>'Raw Sales'!J2092</x:f>
        <x:v>1</x:v>
      </x:c>
      <x:c r="S2092" s="87" t="n">
        <x:f>'Raw Sales'!K2092</x:f>
        <x:v>0.05</x:v>
      </x:c>
      <x:c r="T2092" s="93" t="n">
        <x:f>P2092*R2092</x:f>
        <x:v>159</x:v>
      </x:c>
      <x:c r="U2092" s="93" t="n">
        <x:f>T2092*S2092</x:f>
        <x:v>7.95</x:v>
      </x:c>
      <x:c r="V2092" s="93" t="str">
        <x:f>PROPER(TRIM('Raw Sales'!L2092))</x:f>
        <x:v>Completed</x:v>
      </x:c>
      <x:c r="W2092" s="93" t="n">
        <x:f>IF(V2092="Returned",0,T2092-U2092)</x:f>
        <x:v>151.05</x:v>
      </x:c>
      <x:c r="X2092" s="93" t="n">
        <x:f>IF(V2092="Returned",Q2092*R2092*10%,Q2092*R2092)</x:f>
        <x:v>92</x:v>
      </x:c>
      <x:c r="Y2092" s="93" t="n">
        <x:f>W2092-X2092</x:f>
        <x:v>59.05000000000001</x:v>
      </x:c>
      <x:c r="Z2092" s="94" t="n">
        <x:f>IFERROR(Y2092/W2092,0)</x:f>
        <x:v>0.39093015557762334</x:v>
      </x:c>
      <x:c r="AA2092" s="84" t="str">
        <x:f>PROPER(TRIM('Raw Sales'!M2092))</x:f>
        <x:v>Mobile Wallet</x:v>
      </x:c>
      <x:c r="AB2092" s="84" t="str">
        <x:f>PROPER(TRIM('Raw Sales'!N2092))</x:f>
        <x:v>Lucas Grant</x:v>
      </x:c>
      <x:c r="AC2092" s="85" t="n">
        <x:f>'Raw Sales'!O2092</x:f>
        <x:v>45967</x:v>
      </x:c>
      <x:c r="AD2092" s="84" t="n">
        <x:f>AC2092-B2092</x:f>
        <x:v>5</x:v>
      </x:c>
      <x:c r="AE2092" s="84" t="str">
        <x:f>IF(COUNTIF($A$5:A2092,A2092)&gt;1,"Duplicate","Keep")</x:f>
        <x:v>Keep</x:v>
      </x:c>
      <x:c r="AF2092" s="84" t="str">
        <x:f>IF(OR(R2092&lt;=0,AC2092&lt;B2092,H2092="Unknown",M2092="Unknown Product"),"Review","Valid")</x:f>
        <x:v>Valid</x:v>
      </x:c>
      <x:c r="AG2092" s="84" t="n">
        <x:f>IF(AND(AE2092="Keep",AF2092="Valid"),1,0)</x:f>
        <x:v>1</x:v>
      </x:c>
      <x:c r="AH2092" s="84" t="n">
        <x:f>IF(AND(AG2092=1,OR('Dashboard'!$B$4="All",I2092='Dashboard'!$B$4),OR('Dashboard'!$E$4="All",N2092='Dashboard'!$E$4),OR('Dashboard'!$H$4="All",K2092='Dashboard'!$H$4),OR('Dashboard'!$K$4="All",C2092='Dashboard'!$K$4)),1,0)</x:f>
        <x:v>1</x:v>
      </x:c>
      <x:c r="AI2092" s="84" t="n">
        <x:f>IF(AND(AG2092=1,OR('Dashboard'!$B$4="All",I2092='Dashboard'!$B$4),OR('Dashboard'!$E$4="All",N2092='Dashboard'!$E$4),OR('Dashboard'!$H$4="All",K2092='Dashboard'!$H$4)),1,0)</x:f>
        <x:v>1</x:v>
      </x:c>
    </x:row>
    <x:row r="2093">
      <x:c r="A2093" s="84" t="str">
        <x:f>'Raw Sales'!A2093</x:f>
        <x:v>ORD-2025-01977</x:v>
      </x:c>
      <x:c r="B2093" s="85" t="n">
        <x:f>'Raw Sales'!B2093</x:f>
        <x:v>45962</x:v>
      </x:c>
      <x:c r="C2093" s="84" t="n">
        <x:f>YEAR(B2093)</x:f>
        <x:v>2025</x:v>
      </x:c>
      <x:c r="D2093" s="91" t="n">
        <x:f>DATE(YEAR(B2093),MONTH(B2093),1)</x:f>
        <x:v>45962</x:v>
      </x:c>
      <x:c r="E2093" s="84" t="str">
        <x:f>TEXT(B2093,"mmm")</x:f>
        <x:v>Nov</x:v>
      </x:c>
      <x:c r="F2093" s="84" t="str">
        <x:f>'Raw Sales'!C2093</x:f>
        <x:v>CUST-0414</x:v>
      </x:c>
      <x:c r="G2093" s="84" t="str">
        <x:f>PROPER(TRIM('Raw Sales'!D2093))</x:f>
        <x:v>Aiden Garcia</x:v>
      </x:c>
      <x:c r="H2093" s="84" t="str">
        <x:f>IF(TRIM('Raw Sales'!E2093)="","Unknown",PROPER(TRIM('Raw Sales'!E2093)))</x:f>
        <x:v>Corporate</x:v>
      </x:c>
      <x:c r="I2093" s="84" t="str">
        <x:f>PROPER(TRIM('Raw Sales'!F2093))</x:f>
        <x:v>Midwest</x:v>
      </x:c>
      <x:c r="J2093" s="84" t="str">
        <x:f>PROPER(TRIM('Raw Sales'!G2093))</x:f>
        <x:v>Minneapolis</x:v>
      </x:c>
      <x:c r="K2093" s="84" t="str">
        <x:f>PROPER(TRIM('Raw Sales'!H2093))</x:f>
        <x:v>Online</x:v>
      </x:c>
      <x:c r="L2093" s="84" t="str">
        <x:f>'Raw Sales'!I2093</x:f>
        <x:v>ACCS-006</x:v>
      </x:c>
      <x:c r="M2093" s="84" t="str">
        <x:f>IFERROR(VLOOKUP(L2093,'Reference Data'!$A$5:$F$40,2,FALSE),"Unknown Product")</x:f>
        <x:v>Insulated Lunch Bag</x:v>
      </x:c>
      <x:c r="N2093" s="84" t="str">
        <x:f>IFERROR(VLOOKUP(L2093,'Reference Data'!$A$5:$F$40,3,FALSE),"Unknown")</x:f>
        <x:v>Accessories</x:v>
      </x:c>
      <x:c r="O2093" s="84" t="str">
        <x:f>IFERROR(VLOOKUP(L2093,'Reference Data'!$A$5:$F$40,4,FALSE),"Unknown")</x:f>
        <x:v>Bags</x:v>
      </x:c>
      <x:c r="P2093" s="92" t="n">
        <x:f>IFERROR(VLOOKUP(L2093,'Reference Data'!$A$5:$F$40,5,FALSE),0)</x:f>
        <x:v>29</x:v>
      </x:c>
      <x:c r="Q2093" s="92" t="n">
        <x:f>IFERROR(VLOOKUP(L2093,'Reference Data'!$A$5:$F$40,6,FALSE),0)</x:f>
        <x:v>10</x:v>
      </x:c>
      <x:c r="R2093" s="84" t="n">
        <x:f>'Raw Sales'!J2093</x:f>
        <x:v>2</x:v>
      </x:c>
      <x:c r="S2093" s="87" t="n">
        <x:f>'Raw Sales'!K2093</x:f>
        <x:v>0</x:v>
      </x:c>
      <x:c r="T2093" s="93" t="n">
        <x:f>P2093*R2093</x:f>
        <x:v>58</x:v>
      </x:c>
      <x:c r="U2093" s="93" t="n">
        <x:f>T2093*S2093</x:f>
        <x:v>0</x:v>
      </x:c>
      <x:c r="V2093" s="93" t="str">
        <x:f>PROPER(TRIM('Raw Sales'!L2093))</x:f>
        <x:v>Completed</x:v>
      </x:c>
      <x:c r="W2093" s="93" t="n">
        <x:f>IF(V2093="Returned",0,T2093-U2093)</x:f>
        <x:v>58</x:v>
      </x:c>
      <x:c r="X2093" s="93" t="n">
        <x:f>IF(V2093="Returned",Q2093*R2093*10%,Q2093*R2093)</x:f>
        <x:v>20</x:v>
      </x:c>
      <x:c r="Y2093" s="93" t="n">
        <x:f>W2093-X2093</x:f>
        <x:v>38</x:v>
      </x:c>
      <x:c r="Z2093" s="94" t="n">
        <x:f>IFERROR(Y2093/W2093,0)</x:f>
        <x:v>0.6551724137931034</x:v>
      </x:c>
      <x:c r="AA2093" s="84" t="str">
        <x:f>PROPER(TRIM('Raw Sales'!M2093))</x:f>
        <x:v>Credit Card</x:v>
      </x:c>
      <x:c r="AB2093" s="84" t="str">
        <x:f>PROPER(TRIM('Raw Sales'!N2093))</x:f>
        <x:v>Lucas Grant</x:v>
      </x:c>
      <x:c r="AC2093" s="85" t="n">
        <x:f>'Raw Sales'!O2093</x:f>
        <x:v>45968</x:v>
      </x:c>
      <x:c r="AD2093" s="84" t="n">
        <x:f>AC2093-B2093</x:f>
        <x:v>6</x:v>
      </x:c>
      <x:c r="AE2093" s="84" t="str">
        <x:f>IF(COUNTIF($A$5:A2093,A2093)&gt;1,"Duplicate","Keep")</x:f>
        <x:v>Keep</x:v>
      </x:c>
      <x:c r="AF2093" s="84" t="str">
        <x:f>IF(OR(R2093&lt;=0,AC2093&lt;B2093,H2093="Unknown",M2093="Unknown Product"),"Review","Valid")</x:f>
        <x:v>Valid</x:v>
      </x:c>
      <x:c r="AG2093" s="84" t="n">
        <x:f>IF(AND(AE2093="Keep",AF2093="Valid"),1,0)</x:f>
        <x:v>1</x:v>
      </x:c>
      <x:c r="AH2093" s="84" t="n">
        <x:f>IF(AND(AG2093=1,OR('Dashboard'!$B$4="All",I2093='Dashboard'!$B$4),OR('Dashboard'!$E$4="All",N2093='Dashboard'!$E$4),OR('Dashboard'!$H$4="All",K2093='Dashboard'!$H$4),OR('Dashboard'!$K$4="All",C2093='Dashboard'!$K$4)),1,0)</x:f>
        <x:v>1</x:v>
      </x:c>
      <x:c r="AI2093" s="84" t="n">
        <x:f>IF(AND(AG2093=1,OR('Dashboard'!$B$4="All",I2093='Dashboard'!$B$4),OR('Dashboard'!$E$4="All",N2093='Dashboard'!$E$4),OR('Dashboard'!$H$4="All",K2093='Dashboard'!$H$4)),1,0)</x:f>
        <x:v>1</x:v>
      </x:c>
    </x:row>
    <x:row r="2094">
      <x:c r="A2094" s="84" t="str">
        <x:f>'Raw Sales'!A2094</x:f>
        <x:v>ORD-2025-02188</x:v>
      </x:c>
      <x:c r="B2094" s="85" t="n">
        <x:f>'Raw Sales'!B2094</x:f>
        <x:v>45962</x:v>
      </x:c>
      <x:c r="C2094" s="84" t="n">
        <x:f>YEAR(B2094)</x:f>
        <x:v>2025</x:v>
      </x:c>
      <x:c r="D2094" s="91" t="n">
        <x:f>DATE(YEAR(B2094),MONTH(B2094),1)</x:f>
        <x:v>45962</x:v>
      </x:c>
      <x:c r="E2094" s="84" t="str">
        <x:f>TEXT(B2094,"mmm")</x:f>
        <x:v>Nov</x:v>
      </x:c>
      <x:c r="F2094" s="84" t="str">
        <x:f>'Raw Sales'!C2094</x:f>
        <x:v>CUST-0279</x:v>
      </x:c>
      <x:c r="G2094" s="84" t="str">
        <x:f>PROPER(TRIM('Raw Sales'!D2094))</x:f>
        <x:v>Priya Johnson</x:v>
      </x:c>
      <x:c r="H2094" s="84" t="str">
        <x:f>IF(TRIM('Raw Sales'!E2094)="","Unknown",PROPER(TRIM('Raw Sales'!E2094)))</x:f>
        <x:v>Consumer</x:v>
      </x:c>
      <x:c r="I2094" s="84" t="str">
        <x:f>PROPER(TRIM('Raw Sales'!F2094))</x:f>
        <x:v>West</x:v>
      </x:c>
      <x:c r="J2094" s="84" t="str">
        <x:f>PROPER(TRIM('Raw Sales'!G2094))</x:f>
        <x:v>Seattle</x:v>
      </x:c>
      <x:c r="K2094" s="84" t="str">
        <x:f>PROPER(TRIM('Raw Sales'!H2094))</x:f>
        <x:v>Marketplace</x:v>
      </x:c>
      <x:c r="L2094" s="84" t="str">
        <x:f>'Raw Sales'!I2094</x:f>
        <x:v>FITN-006</x:v>
      </x:c>
      <x:c r="M2094" s="84" t="str">
        <x:f>IFERROR(VLOOKUP(L2094,'Reference Data'!$A$5:$F$40,2,FALSE),"Unknown Product")</x:f>
        <x:v>Foam Roller</x:v>
      </x:c>
      <x:c r="N2094" s="84" t="str">
        <x:f>IFERROR(VLOOKUP(L2094,'Reference Data'!$A$5:$F$40,3,FALSE),"Unknown")</x:f>
        <x:v>Fitness</x:v>
      </x:c>
      <x:c r="O2094" s="84" t="str">
        <x:f>IFERROR(VLOOKUP(L2094,'Reference Data'!$A$5:$F$40,4,FALSE),"Unknown")</x:f>
        <x:v>Recovery</x:v>
      </x:c>
      <x:c r="P2094" s="92" t="n">
        <x:f>IFERROR(VLOOKUP(L2094,'Reference Data'!$A$5:$F$40,5,FALSE),0)</x:f>
        <x:v>31</x:v>
      </x:c>
      <x:c r="Q2094" s="92" t="n">
        <x:f>IFERROR(VLOOKUP(L2094,'Reference Data'!$A$5:$F$40,6,FALSE),0)</x:f>
        <x:v>12</x:v>
      </x:c>
      <x:c r="R2094" s="84" t="n">
        <x:f>'Raw Sales'!J2094</x:f>
        <x:v>1</x:v>
      </x:c>
      <x:c r="S2094" s="87" t="n">
        <x:f>'Raw Sales'!K2094</x:f>
        <x:v>0.1</x:v>
      </x:c>
      <x:c r="T2094" s="93" t="n">
        <x:f>P2094*R2094</x:f>
        <x:v>31</x:v>
      </x:c>
      <x:c r="U2094" s="93" t="n">
        <x:f>T2094*S2094</x:f>
        <x:v>3.1</x:v>
      </x:c>
      <x:c r="V2094" s="93" t="str">
        <x:f>PROPER(TRIM('Raw Sales'!L2094))</x:f>
        <x:v>Completed</x:v>
      </x:c>
      <x:c r="W2094" s="93" t="n">
        <x:f>IF(V2094="Returned",0,T2094-U2094)</x:f>
        <x:v>27.9</x:v>
      </x:c>
      <x:c r="X2094" s="93" t="n">
        <x:f>IF(V2094="Returned",Q2094*R2094*10%,Q2094*R2094)</x:f>
        <x:v>12</x:v>
      </x:c>
      <x:c r="Y2094" s="93" t="n">
        <x:f>W2094-X2094</x:f>
        <x:v>15.899999999999999</x:v>
      </x:c>
      <x:c r="Z2094" s="94" t="n">
        <x:f>IFERROR(Y2094/W2094,0)</x:f>
        <x:v>0.5698924731182795</x:v>
      </x:c>
      <x:c r="AA2094" s="84" t="str">
        <x:f>PROPER(TRIM('Raw Sales'!M2094))</x:f>
        <x:v>Mobile Wallet</x:v>
      </x:c>
      <x:c r="AB2094" s="84" t="str">
        <x:f>PROPER(TRIM('Raw Sales'!N2094))</x:f>
        <x:v>Nora Kim</x:v>
      </x:c>
      <x:c r="AC2094" s="85" t="n">
        <x:f>'Raw Sales'!O2094</x:f>
        <x:v>45968</x:v>
      </x:c>
      <x:c r="AD2094" s="84" t="n">
        <x:f>AC2094-B2094</x:f>
        <x:v>6</x:v>
      </x:c>
      <x:c r="AE2094" s="84" t="str">
        <x:f>IF(COUNTIF($A$5:A2094,A2094)&gt;1,"Duplicate","Keep")</x:f>
        <x:v>Keep</x:v>
      </x:c>
      <x:c r="AF2094" s="84" t="str">
        <x:f>IF(OR(R2094&lt;=0,AC2094&lt;B2094,H2094="Unknown",M2094="Unknown Product"),"Review","Valid")</x:f>
        <x:v>Valid</x:v>
      </x:c>
      <x:c r="AG2094" s="84" t="n">
        <x:f>IF(AND(AE2094="Keep",AF2094="Valid"),1,0)</x:f>
        <x:v>1</x:v>
      </x:c>
      <x:c r="AH2094" s="84" t="n">
        <x:f>IF(AND(AG2094=1,OR('Dashboard'!$B$4="All",I2094='Dashboard'!$B$4),OR('Dashboard'!$E$4="All",N2094='Dashboard'!$E$4),OR('Dashboard'!$H$4="All",K2094='Dashboard'!$H$4),OR('Dashboard'!$K$4="All",C2094='Dashboard'!$K$4)),1,0)</x:f>
        <x:v>1</x:v>
      </x:c>
      <x:c r="AI2094" s="84" t="n">
        <x:f>IF(AND(AG2094=1,OR('Dashboard'!$B$4="All",I2094='Dashboard'!$B$4),OR('Dashboard'!$E$4="All",N2094='Dashboard'!$E$4),OR('Dashboard'!$H$4="All",K2094='Dashboard'!$H$4)),1,0)</x:f>
        <x:v>1</x:v>
      </x:c>
    </x:row>
    <x:row r="2095">
      <x:c r="A2095" s="84" t="str">
        <x:f>'Raw Sales'!A2095</x:f>
        <x:v>ORD-2025-02202</x:v>
      </x:c>
      <x:c r="B2095" s="85" t="n">
        <x:f>'Raw Sales'!B2095</x:f>
        <x:v>45962</x:v>
      </x:c>
      <x:c r="C2095" s="84" t="n">
        <x:f>YEAR(B2095)</x:f>
        <x:v>2025</x:v>
      </x:c>
      <x:c r="D2095" s="91" t="n">
        <x:f>DATE(YEAR(B2095),MONTH(B2095),1)</x:f>
        <x:v>45962</x:v>
      </x:c>
      <x:c r="E2095" s="84" t="str">
        <x:f>TEXT(B2095,"mmm")</x:f>
        <x:v>Nov</x:v>
      </x:c>
      <x:c r="F2095" s="84" t="str">
        <x:f>'Raw Sales'!C2095</x:f>
        <x:v>CUST-0446</x:v>
      </x:c>
      <x:c r="G2095" s="84" t="str">
        <x:f>PROPER(TRIM('Raw Sales'!D2095))</x:f>
        <x:v>Nathan Davis</x:v>
      </x:c>
      <x:c r="H2095" s="84" t="str">
        <x:f>IF(TRIM('Raw Sales'!E2095)="","Unknown",PROPER(TRIM('Raw Sales'!E2095)))</x:f>
        <x:v>Consumer</x:v>
      </x:c>
      <x:c r="I2095" s="84" t="str">
        <x:f>PROPER(TRIM('Raw Sales'!F2095))</x:f>
        <x:v>Southeast</x:v>
      </x:c>
      <x:c r="J2095" s="84" t="str">
        <x:f>PROPER(TRIM('Raw Sales'!G2095))</x:f>
        <x:v>Nashville</x:v>
      </x:c>
      <x:c r="K2095" s="84" t="str">
        <x:f>PROPER(TRIM('Raw Sales'!H2095))</x:f>
        <x:v>Marketplace</x:v>
      </x:c>
      <x:c r="L2095" s="84" t="str">
        <x:f>'Raw Sales'!I2095</x:f>
        <x:v>FITN-002</x:v>
      </x:c>
      <x:c r="M2095" s="84" t="str">
        <x:f>IFERROR(VLOOKUP(L2095,'Reference Data'!$A$5:$F$40,2,FALSE),"Unknown Product")</x:f>
        <x:v>Adjustable Dumbbell Set</x:v>
      </x:c>
      <x:c r="N2095" s="84" t="str">
        <x:f>IFERROR(VLOOKUP(L2095,'Reference Data'!$A$5:$F$40,3,FALSE),"Unknown")</x:f>
        <x:v>Fitness</x:v>
      </x:c>
      <x:c r="O2095" s="84" t="str">
        <x:f>IFERROR(VLOOKUP(L2095,'Reference Data'!$A$5:$F$40,4,FALSE),"Unknown")</x:f>
        <x:v>Strength</x:v>
      </x:c>
      <x:c r="P2095" s="92" t="n">
        <x:f>IFERROR(VLOOKUP(L2095,'Reference Data'!$A$5:$F$40,5,FALSE),0)</x:f>
        <x:v>99</x:v>
      </x:c>
      <x:c r="Q2095" s="92" t="n">
        <x:f>IFERROR(VLOOKUP(L2095,'Reference Data'!$A$5:$F$40,6,FALSE),0)</x:f>
        <x:v>57</x:v>
      </x:c>
      <x:c r="R2095" s="84" t="n">
        <x:f>'Raw Sales'!J2095</x:f>
        <x:v>2</x:v>
      </x:c>
      <x:c r="S2095" s="87" t="n">
        <x:f>'Raw Sales'!K2095</x:f>
        <x:v>0.1</x:v>
      </x:c>
      <x:c r="T2095" s="93" t="n">
        <x:f>P2095*R2095</x:f>
        <x:v>198</x:v>
      </x:c>
      <x:c r="U2095" s="93" t="n">
        <x:f>T2095*S2095</x:f>
        <x:v>19.8</x:v>
      </x:c>
      <x:c r="V2095" s="93" t="str">
        <x:f>PROPER(TRIM('Raw Sales'!L2095))</x:f>
        <x:v>Completed</x:v>
      </x:c>
      <x:c r="W2095" s="93" t="n">
        <x:f>IF(V2095="Returned",0,T2095-U2095)</x:f>
        <x:v>178.2</x:v>
      </x:c>
      <x:c r="X2095" s="93" t="n">
        <x:f>IF(V2095="Returned",Q2095*R2095*10%,Q2095*R2095)</x:f>
        <x:v>114</x:v>
      </x:c>
      <x:c r="Y2095" s="93" t="n">
        <x:f>W2095-X2095</x:f>
        <x:v>64.19999999999999</x:v>
      </x:c>
      <x:c r="Z2095" s="94" t="n">
        <x:f>IFERROR(Y2095/W2095,0)</x:f>
        <x:v>0.36026936026936024</x:v>
      </x:c>
      <x:c r="AA2095" s="84" t="str">
        <x:f>PROPER(TRIM('Raw Sales'!M2095))</x:f>
        <x:v>Mobile Wallet</x:v>
      </x:c>
      <x:c r="AB2095" s="84" t="str">
        <x:f>PROPER(TRIM('Raw Sales'!N2095))</x:f>
        <x:v>Liam Parker</x:v>
      </x:c>
      <x:c r="AC2095" s="85" t="n">
        <x:f>'Raw Sales'!O2095</x:f>
        <x:v>45969</x:v>
      </x:c>
      <x:c r="AD2095" s="84" t="n">
        <x:f>AC2095-B2095</x:f>
        <x:v>7</x:v>
      </x:c>
      <x:c r="AE2095" s="84" t="str">
        <x:f>IF(COUNTIF($A$5:A2095,A2095)&gt;1,"Duplicate","Keep")</x:f>
        <x:v>Keep</x:v>
      </x:c>
      <x:c r="AF2095" s="84" t="str">
        <x:f>IF(OR(R2095&lt;=0,AC2095&lt;B2095,H2095="Unknown",M2095="Unknown Product"),"Review","Valid")</x:f>
        <x:v>Valid</x:v>
      </x:c>
      <x:c r="AG2095" s="84" t="n">
        <x:f>IF(AND(AE2095="Keep",AF2095="Valid"),1,0)</x:f>
        <x:v>1</x:v>
      </x:c>
      <x:c r="AH2095" s="84" t="n">
        <x:f>IF(AND(AG2095=1,OR('Dashboard'!$B$4="All",I2095='Dashboard'!$B$4),OR('Dashboard'!$E$4="All",N2095='Dashboard'!$E$4),OR('Dashboard'!$H$4="All",K2095='Dashboard'!$H$4),OR('Dashboard'!$K$4="All",C2095='Dashboard'!$K$4)),1,0)</x:f>
        <x:v>1</x:v>
      </x:c>
      <x:c r="AI2095" s="84" t="n">
        <x:f>IF(AND(AG2095=1,OR('Dashboard'!$B$4="All",I2095='Dashboard'!$B$4),OR('Dashboard'!$E$4="All",N2095='Dashboard'!$E$4),OR('Dashboard'!$H$4="All",K2095='Dashboard'!$H$4)),1,0)</x:f>
        <x:v>1</x:v>
      </x:c>
    </x:row>
    <x:row r="2096">
      <x:c r="A2096" s="84" t="str">
        <x:f>'Raw Sales'!A2096</x:f>
        <x:v>ORD-2025-02326</x:v>
      </x:c>
      <x:c r="B2096" s="85" t="n">
        <x:f>'Raw Sales'!B2096</x:f>
        <x:v>45962</x:v>
      </x:c>
      <x:c r="C2096" s="84" t="n">
        <x:f>YEAR(B2096)</x:f>
        <x:v>2025</x:v>
      </x:c>
      <x:c r="D2096" s="91" t="n">
        <x:f>DATE(YEAR(B2096),MONTH(B2096),1)</x:f>
        <x:v>45962</x:v>
      </x:c>
      <x:c r="E2096" s="84" t="str">
        <x:f>TEXT(B2096,"mmm")</x:f>
        <x:v>Nov</x:v>
      </x:c>
      <x:c r="F2096" s="84" t="str">
        <x:f>'Raw Sales'!C2096</x:f>
        <x:v>CUST-0355</x:v>
      </x:c>
      <x:c r="G2096" s="84" t="str">
        <x:f>PROPER(TRIM('Raw Sales'!D2096))</x:f>
        <x:v>Caleb Evans</x:v>
      </x:c>
      <x:c r="H2096" s="84" t="str">
        <x:f>IF(TRIM('Raw Sales'!E2096)="","Unknown",PROPER(TRIM('Raw Sales'!E2096)))</x:f>
        <x:v>Consumer</x:v>
      </x:c>
      <x:c r="I2096" s="84" t="str">
        <x:f>PROPER(TRIM('Raw Sales'!F2096))</x:f>
        <x:v>Northeast</x:v>
      </x:c>
      <x:c r="J2096" s="84" t="str">
        <x:f>PROPER(TRIM('Raw Sales'!G2096))</x:f>
        <x:v>Philadelphia</x:v>
      </x:c>
      <x:c r="K2096" s="84" t="str">
        <x:f>PROPER(TRIM('Raw Sales'!H2096))</x:f>
        <x:v>Marketplace</x:v>
      </x:c>
      <x:c r="L2096" s="84" t="str">
        <x:f>'Raw Sales'!I2096</x:f>
        <x:v>ACCS-006</x:v>
      </x:c>
      <x:c r="M2096" s="84" t="str">
        <x:f>IFERROR(VLOOKUP(L2096,'Reference Data'!$A$5:$F$40,2,FALSE),"Unknown Product")</x:f>
        <x:v>Insulated Lunch Bag</x:v>
      </x:c>
      <x:c r="N2096" s="84" t="str">
        <x:f>IFERROR(VLOOKUP(L2096,'Reference Data'!$A$5:$F$40,3,FALSE),"Unknown")</x:f>
        <x:v>Accessories</x:v>
      </x:c>
      <x:c r="O2096" s="84" t="str">
        <x:f>IFERROR(VLOOKUP(L2096,'Reference Data'!$A$5:$F$40,4,FALSE),"Unknown")</x:f>
        <x:v>Bags</x:v>
      </x:c>
      <x:c r="P2096" s="92" t="n">
        <x:f>IFERROR(VLOOKUP(L2096,'Reference Data'!$A$5:$F$40,5,FALSE),0)</x:f>
        <x:v>29</x:v>
      </x:c>
      <x:c r="Q2096" s="92" t="n">
        <x:f>IFERROR(VLOOKUP(L2096,'Reference Data'!$A$5:$F$40,6,FALSE),0)</x:f>
        <x:v>10</x:v>
      </x:c>
      <x:c r="R2096" s="84" t="n">
        <x:f>'Raw Sales'!J2096</x:f>
        <x:v>2</x:v>
      </x:c>
      <x:c r="S2096" s="87" t="n">
        <x:f>'Raw Sales'!K2096</x:f>
        <x:v>0.2</x:v>
      </x:c>
      <x:c r="T2096" s="93" t="n">
        <x:f>P2096*R2096</x:f>
        <x:v>58</x:v>
      </x:c>
      <x:c r="U2096" s="93" t="n">
        <x:f>T2096*S2096</x:f>
        <x:v>11.600000000000001</x:v>
      </x:c>
      <x:c r="V2096" s="93" t="str">
        <x:f>PROPER(TRIM('Raw Sales'!L2096))</x:f>
        <x:v>Completed</x:v>
      </x:c>
      <x:c r="W2096" s="93" t="n">
        <x:f>IF(V2096="Returned",0,T2096-U2096)</x:f>
        <x:v>46.4</x:v>
      </x:c>
      <x:c r="X2096" s="93" t="n">
        <x:f>IF(V2096="Returned",Q2096*R2096*10%,Q2096*R2096)</x:f>
        <x:v>20</x:v>
      </x:c>
      <x:c r="Y2096" s="93" t="n">
        <x:f>W2096-X2096</x:f>
        <x:v>26.4</x:v>
      </x:c>
      <x:c r="Z2096" s="94" t="n">
        <x:f>IFERROR(Y2096/W2096,0)</x:f>
        <x:v>0.5689655172413793</x:v>
      </x:c>
      <x:c r="AA2096" s="84" t="str">
        <x:f>PROPER(TRIM('Raw Sales'!M2096))</x:f>
        <x:v>Debit Card</x:v>
      </x:c>
      <x:c r="AB2096" s="84" t="str">
        <x:f>PROPER(TRIM('Raw Sales'!N2096))</x:f>
        <x:v>Maya Brooks</x:v>
      </x:c>
      <x:c r="AC2096" s="85" t="n">
        <x:f>'Raw Sales'!O2096</x:f>
        <x:v>45968</x:v>
      </x:c>
      <x:c r="AD2096" s="84" t="n">
        <x:f>AC2096-B2096</x:f>
        <x:v>6</x:v>
      </x:c>
      <x:c r="AE2096" s="84" t="str">
        <x:f>IF(COUNTIF($A$5:A2096,A2096)&gt;1,"Duplicate","Keep")</x:f>
        <x:v>Keep</x:v>
      </x:c>
      <x:c r="AF2096" s="84" t="str">
        <x:f>IF(OR(R2096&lt;=0,AC2096&lt;B2096,H2096="Unknown",M2096="Unknown Product"),"Review","Valid")</x:f>
        <x:v>Valid</x:v>
      </x:c>
      <x:c r="AG2096" s="84" t="n">
        <x:f>IF(AND(AE2096="Keep",AF2096="Valid"),1,0)</x:f>
        <x:v>1</x:v>
      </x:c>
      <x:c r="AH2096" s="84" t="n">
        <x:f>IF(AND(AG2096=1,OR('Dashboard'!$B$4="All",I2096='Dashboard'!$B$4),OR('Dashboard'!$E$4="All",N2096='Dashboard'!$E$4),OR('Dashboard'!$H$4="All",K2096='Dashboard'!$H$4),OR('Dashboard'!$K$4="All",C2096='Dashboard'!$K$4)),1,0)</x:f>
        <x:v>1</x:v>
      </x:c>
      <x:c r="AI2096" s="84" t="n">
        <x:f>IF(AND(AG2096=1,OR('Dashboard'!$B$4="All",I2096='Dashboard'!$B$4),OR('Dashboard'!$E$4="All",N2096='Dashboard'!$E$4),OR('Dashboard'!$H$4="All",K2096='Dashboard'!$H$4)),1,0)</x:f>
        <x:v>1</x:v>
      </x:c>
    </x:row>
    <x:row r="2097">
      <x:c r="A2097" s="84" t="str">
        <x:f>'Raw Sales'!A2097</x:f>
        <x:v>ORD-2025-01504</x:v>
      </x:c>
      <x:c r="B2097" s="85" t="n">
        <x:f>'Raw Sales'!B2097</x:f>
        <x:v>45963</x:v>
      </x:c>
      <x:c r="C2097" s="84" t="n">
        <x:f>YEAR(B2097)</x:f>
        <x:v>2025</x:v>
      </x:c>
      <x:c r="D2097" s="91" t="n">
        <x:f>DATE(YEAR(B2097),MONTH(B2097),1)</x:f>
        <x:v>45962</x:v>
      </x:c>
      <x:c r="E2097" s="84" t="str">
        <x:f>TEXT(B2097,"mmm")</x:f>
        <x:v>Nov</x:v>
      </x:c>
      <x:c r="F2097" s="84" t="str">
        <x:f>'Raw Sales'!C2097</x:f>
        <x:v>CUST-0294</x:v>
      </x:c>
      <x:c r="G2097" s="84" t="str">
        <x:f>PROPER(TRIM('Raw Sales'!D2097))</x:f>
        <x:v>Aiden Evans</x:v>
      </x:c>
      <x:c r="H2097" s="84" t="str">
        <x:f>IF(TRIM('Raw Sales'!E2097)="","Unknown",PROPER(TRIM('Raw Sales'!E2097)))</x:f>
        <x:v>Consumer</x:v>
      </x:c>
      <x:c r="I2097" s="84" t="str">
        <x:f>PROPER(TRIM('Raw Sales'!F2097))</x:f>
        <x:v>Northeast</x:v>
      </x:c>
      <x:c r="J2097" s="84" t="str">
        <x:f>PROPER(TRIM('Raw Sales'!G2097))</x:f>
        <x:v>Newark</x:v>
      </x:c>
      <x:c r="K2097" s="84" t="str">
        <x:f>PROPER(TRIM('Raw Sales'!H2097))</x:f>
        <x:v>Online</x:v>
      </x:c>
      <x:c r="L2097" s="84" t="str">
        <x:f>'Raw Sales'!I2097</x:f>
        <x:v>OFFC-003</x:v>
      </x:c>
      <x:c r="M2097" s="84" t="str">
        <x:f>IFERROR(VLOOKUP(L2097,'Reference Data'!$A$5:$F$40,2,FALSE),"Unknown Product")</x:f>
        <x:v>LED Desk Lamp</x:v>
      </x:c>
      <x:c r="N2097" s="84" t="str">
        <x:f>IFERROR(VLOOKUP(L2097,'Reference Data'!$A$5:$F$40,3,FALSE),"Unknown")</x:f>
        <x:v>Office</x:v>
      </x:c>
      <x:c r="O2097" s="84" t="str">
        <x:f>IFERROR(VLOOKUP(L2097,'Reference Data'!$A$5:$F$40,4,FALSE),"Unknown")</x:f>
        <x:v>Desk Accessories</x:v>
      </x:c>
      <x:c r="P2097" s="92" t="n">
        <x:f>IFERROR(VLOOKUP(L2097,'Reference Data'!$A$5:$F$40,5,FALSE),0)</x:f>
        <x:v>45</x:v>
      </x:c>
      <x:c r="Q2097" s="92" t="n">
        <x:f>IFERROR(VLOOKUP(L2097,'Reference Data'!$A$5:$F$40,6,FALSE),0)</x:f>
        <x:v>20</x:v>
      </x:c>
      <x:c r="R2097" s="84" t="n">
        <x:f>'Raw Sales'!J2097</x:f>
        <x:v>1</x:v>
      </x:c>
      <x:c r="S2097" s="87" t="n">
        <x:f>'Raw Sales'!K2097</x:f>
        <x:v>0.05</x:v>
      </x:c>
      <x:c r="T2097" s="93" t="n">
        <x:f>P2097*R2097</x:f>
        <x:v>45</x:v>
      </x:c>
      <x:c r="U2097" s="93" t="n">
        <x:f>T2097*S2097</x:f>
        <x:v>2.25</x:v>
      </x:c>
      <x:c r="V2097" s="93" t="str">
        <x:f>PROPER(TRIM('Raw Sales'!L2097))</x:f>
        <x:v>Completed</x:v>
      </x:c>
      <x:c r="W2097" s="93" t="n">
        <x:f>IF(V2097="Returned",0,T2097-U2097)</x:f>
        <x:v>42.75</x:v>
      </x:c>
      <x:c r="X2097" s="93" t="n">
        <x:f>IF(V2097="Returned",Q2097*R2097*10%,Q2097*R2097)</x:f>
        <x:v>20</x:v>
      </x:c>
      <x:c r="Y2097" s="93" t="n">
        <x:f>W2097-X2097</x:f>
        <x:v>22.75</x:v>
      </x:c>
      <x:c r="Z2097" s="94" t="n">
        <x:f>IFERROR(Y2097/W2097,0)</x:f>
        <x:v>0.5321637426900585</x:v>
      </x:c>
      <x:c r="AA2097" s="84" t="str">
        <x:f>PROPER(TRIM('Raw Sales'!M2097))</x:f>
        <x:v>Credit Card</x:v>
      </x:c>
      <x:c r="AB2097" s="84" t="str">
        <x:f>PROPER(TRIM('Raw Sales'!N2097))</x:f>
        <x:v>Sofia Bennett</x:v>
      </x:c>
      <x:c r="AC2097" s="85" t="n">
        <x:f>'Raw Sales'!O2097</x:f>
        <x:v>45969</x:v>
      </x:c>
      <x:c r="AD2097" s="84" t="n">
        <x:f>AC2097-B2097</x:f>
        <x:v>6</x:v>
      </x:c>
      <x:c r="AE2097" s="84" t="str">
        <x:f>IF(COUNTIF($A$5:A2097,A2097)&gt;1,"Duplicate","Keep")</x:f>
        <x:v>Keep</x:v>
      </x:c>
      <x:c r="AF2097" s="84" t="str">
        <x:f>IF(OR(R2097&lt;=0,AC2097&lt;B2097,H2097="Unknown",M2097="Unknown Product"),"Review","Valid")</x:f>
        <x:v>Valid</x:v>
      </x:c>
      <x:c r="AG2097" s="84" t="n">
        <x:f>IF(AND(AE2097="Keep",AF2097="Valid"),1,0)</x:f>
        <x:v>1</x:v>
      </x:c>
      <x:c r="AH2097" s="84" t="n">
        <x:f>IF(AND(AG2097=1,OR('Dashboard'!$B$4="All",I2097='Dashboard'!$B$4),OR('Dashboard'!$E$4="All",N2097='Dashboard'!$E$4),OR('Dashboard'!$H$4="All",K2097='Dashboard'!$H$4),OR('Dashboard'!$K$4="All",C2097='Dashboard'!$K$4)),1,0)</x:f>
        <x:v>1</x:v>
      </x:c>
      <x:c r="AI2097" s="84" t="n">
        <x:f>IF(AND(AG2097=1,OR('Dashboard'!$B$4="All",I2097='Dashboard'!$B$4),OR('Dashboard'!$E$4="All",N2097='Dashboard'!$E$4),OR('Dashboard'!$H$4="All",K2097='Dashboard'!$H$4)),1,0)</x:f>
        <x:v>1</x:v>
      </x:c>
    </x:row>
    <x:row r="2098">
      <x:c r="A2098" s="84" t="str">
        <x:f>'Raw Sales'!A2098</x:f>
        <x:v>ORD-2025-01742</x:v>
      </x:c>
      <x:c r="B2098" s="85" t="n">
        <x:f>'Raw Sales'!B2098</x:f>
        <x:v>45963</x:v>
      </x:c>
      <x:c r="C2098" s="84" t="n">
        <x:f>YEAR(B2098)</x:f>
        <x:v>2025</x:v>
      </x:c>
      <x:c r="D2098" s="91" t="n">
        <x:f>DATE(YEAR(B2098),MONTH(B2098),1)</x:f>
        <x:v>45962</x:v>
      </x:c>
      <x:c r="E2098" s="84" t="str">
        <x:f>TEXT(B2098,"mmm")</x:f>
        <x:v>Nov</x:v>
      </x:c>
      <x:c r="F2098" s="84" t="str">
        <x:f>'Raw Sales'!C2098</x:f>
        <x:v>CUST-0497</x:v>
      </x:c>
      <x:c r="G2098" s="84" t="str">
        <x:f>PROPER(TRIM('Raw Sales'!D2098))</x:f>
        <x:v>Theo Foster</x:v>
      </x:c>
      <x:c r="H2098" s="84" t="str">
        <x:f>IF(TRIM('Raw Sales'!E2098)="","Unknown",PROPER(TRIM('Raw Sales'!E2098)))</x:f>
        <x:v>Consumer</x:v>
      </x:c>
      <x:c r="I2098" s="84" t="str">
        <x:f>PROPER(TRIM('Raw Sales'!F2098))</x:f>
        <x:v>Midwest</x:v>
      </x:c>
      <x:c r="J2098" s="84" t="str">
        <x:f>PROPER(TRIM('Raw Sales'!G2098))</x:f>
        <x:v>Chicago</x:v>
      </x:c>
      <x:c r="K2098" s="84" t="str">
        <x:f>PROPER(TRIM('Raw Sales'!H2098))</x:f>
        <x:v>Marketplace</x:v>
      </x:c>
      <x:c r="L2098" s="84" t="str">
        <x:f>'Raw Sales'!I2098</x:f>
        <x:v>ELEC-002</x:v>
      </x:c>
      <x:c r="M2098" s="84" t="str">
        <x:f>IFERROR(VLOOKUP(L2098,'Reference Data'!$A$5:$F$40,2,FALSE),"Unknown Product")</x:f>
        <x:v>Smartwatch</x:v>
      </x:c>
      <x:c r="N2098" s="84" t="str">
        <x:f>IFERROR(VLOOKUP(L2098,'Reference Data'!$A$5:$F$40,3,FALSE),"Unknown")</x:f>
        <x:v>Electronics</x:v>
      </x:c>
      <x:c r="O2098" s="84" t="str">
        <x:f>IFERROR(VLOOKUP(L2098,'Reference Data'!$A$5:$F$40,4,FALSE),"Unknown")</x:f>
        <x:v>Wearables</x:v>
      </x:c>
      <x:c r="P2098" s="92" t="n">
        <x:f>IFERROR(VLOOKUP(L2098,'Reference Data'!$A$5:$F$40,5,FALSE),0)</x:f>
        <x:v>159</x:v>
      </x:c>
      <x:c r="Q2098" s="92" t="n">
        <x:f>IFERROR(VLOOKUP(L2098,'Reference Data'!$A$5:$F$40,6,FALSE),0)</x:f>
        <x:v>92</x:v>
      </x:c>
      <x:c r="R2098" s="84" t="n">
        <x:f>'Raw Sales'!J2098</x:f>
        <x:v>1</x:v>
      </x:c>
      <x:c r="S2098" s="87" t="n">
        <x:f>'Raw Sales'!K2098</x:f>
        <x:v>0.15</x:v>
      </x:c>
      <x:c r="T2098" s="93" t="n">
        <x:f>P2098*R2098</x:f>
        <x:v>159</x:v>
      </x:c>
      <x:c r="U2098" s="93" t="n">
        <x:f>T2098*S2098</x:f>
        <x:v>23.849999999999998</x:v>
      </x:c>
      <x:c r="V2098" s="93" t="str">
        <x:f>PROPER(TRIM('Raw Sales'!L2098))</x:f>
        <x:v>Completed</x:v>
      </x:c>
      <x:c r="W2098" s="93" t="n">
        <x:f>IF(V2098="Returned",0,T2098-U2098)</x:f>
        <x:v>135.15</x:v>
      </x:c>
      <x:c r="X2098" s="93" t="n">
        <x:f>IF(V2098="Returned",Q2098*R2098*10%,Q2098*R2098)</x:f>
        <x:v>92</x:v>
      </x:c>
      <x:c r="Y2098" s="93" t="n">
        <x:f>W2098-X2098</x:f>
        <x:v>43.150000000000006</x:v>
      </x:c>
      <x:c r="Z2098" s="94" t="n">
        <x:f>IFERROR(Y2098/W2098,0)</x:f>
        <x:v>0.31927487976322605</x:v>
      </x:c>
      <x:c r="AA2098" s="84" t="str">
        <x:f>PROPER(TRIM('Raw Sales'!M2098))</x:f>
        <x:v>Debit Card</x:v>
      </x:c>
      <x:c r="AB2098" s="84" t="str">
        <x:f>PROPER(TRIM('Raw Sales'!N2098))</x:f>
        <x:v>Emma Hayes</x:v>
      </x:c>
      <x:c r="AC2098" s="85" t="n">
        <x:f>'Raw Sales'!O2098</x:f>
        <x:v>45967</x:v>
      </x:c>
      <x:c r="AD2098" s="84" t="n">
        <x:f>AC2098-B2098</x:f>
        <x:v>4</x:v>
      </x:c>
      <x:c r="AE2098" s="84" t="str">
        <x:f>IF(COUNTIF($A$5:A2098,A2098)&gt;1,"Duplicate","Keep")</x:f>
        <x:v>Keep</x:v>
      </x:c>
      <x:c r="AF2098" s="84" t="str">
        <x:f>IF(OR(R2098&lt;=0,AC2098&lt;B2098,H2098="Unknown",M2098="Unknown Product"),"Review","Valid")</x:f>
        <x:v>Valid</x:v>
      </x:c>
      <x:c r="AG2098" s="84" t="n">
        <x:f>IF(AND(AE2098="Keep",AF2098="Valid"),1,0)</x:f>
        <x:v>1</x:v>
      </x:c>
      <x:c r="AH2098" s="84" t="n">
        <x:f>IF(AND(AG2098=1,OR('Dashboard'!$B$4="All",I2098='Dashboard'!$B$4),OR('Dashboard'!$E$4="All",N2098='Dashboard'!$E$4),OR('Dashboard'!$H$4="All",K2098='Dashboard'!$H$4),OR('Dashboard'!$K$4="All",C2098='Dashboard'!$K$4)),1,0)</x:f>
        <x:v>1</x:v>
      </x:c>
      <x:c r="AI2098" s="84" t="n">
        <x:f>IF(AND(AG2098=1,OR('Dashboard'!$B$4="All",I2098='Dashboard'!$B$4),OR('Dashboard'!$E$4="All",N2098='Dashboard'!$E$4),OR('Dashboard'!$H$4="All",K2098='Dashboard'!$H$4)),1,0)</x:f>
        <x:v>1</x:v>
      </x:c>
    </x:row>
    <x:row r="2099">
      <x:c r="A2099" s="84" t="str">
        <x:f>'Raw Sales'!A2099</x:f>
        <x:v>ORD-2025-01812</x:v>
      </x:c>
      <x:c r="B2099" s="85" t="n">
        <x:f>'Raw Sales'!B2099</x:f>
        <x:v>45963</x:v>
      </x:c>
      <x:c r="C2099" s="84" t="n">
        <x:f>YEAR(B2099)</x:f>
        <x:v>2025</x:v>
      </x:c>
      <x:c r="D2099" s="91" t="n">
        <x:f>DATE(YEAR(B2099),MONTH(B2099),1)</x:f>
        <x:v>45962</x:v>
      </x:c>
      <x:c r="E2099" s="84" t="str">
        <x:f>TEXT(B2099,"mmm")</x:f>
        <x:v>Nov</x:v>
      </x:c>
      <x:c r="F2099" s="84" t="str">
        <x:f>'Raw Sales'!C2099</x:f>
        <x:v>CUST-0034</x:v>
      </x:c>
      <x:c r="G2099" s="84" t="str">
        <x:f>PROPER(TRIM('Raw Sales'!D2099))</x:f>
        <x:v>Priya Roberts</x:v>
      </x:c>
      <x:c r="H2099" s="84" t="str">
        <x:f>IF(TRIM('Raw Sales'!E2099)="","Unknown",PROPER(TRIM('Raw Sales'!E2099)))</x:f>
        <x:v>Consumer</x:v>
      </x:c>
      <x:c r="I2099" s="84" t="str">
        <x:f>PROPER(TRIM('Raw Sales'!F2099))</x:f>
        <x:v>Southeast</x:v>
      </x:c>
      <x:c r="J2099" s="84" t="str">
        <x:f>PROPER(TRIM('Raw Sales'!G2099))</x:f>
        <x:v>Nashville</x:v>
      </x:c>
      <x:c r="K2099" s="84" t="str">
        <x:f>PROPER(TRIM('Raw Sales'!H2099))</x:f>
        <x:v>Retail Store</x:v>
      </x:c>
      <x:c r="L2099" s="84" t="str">
        <x:f>'Raw Sales'!I2099</x:f>
        <x:v>OFFC-004</x:v>
      </x:c>
      <x:c r="M2099" s="84" t="str">
        <x:f>IFERROR(VLOOKUP(L2099,'Reference Data'!$A$5:$F$40,2,FALSE),"Unknown Product")</x:f>
        <x:v>Premium Notebook Pack</x:v>
      </x:c>
      <x:c r="N2099" s="84" t="str">
        <x:f>IFERROR(VLOOKUP(L2099,'Reference Data'!$A$5:$F$40,3,FALSE),"Unknown")</x:f>
        <x:v>Office</x:v>
      </x:c>
      <x:c r="O2099" s="84" t="str">
        <x:f>IFERROR(VLOOKUP(L2099,'Reference Data'!$A$5:$F$40,4,FALSE),"Unknown")</x:f>
        <x:v>Stationery</x:v>
      </x:c>
      <x:c r="P2099" s="92" t="n">
        <x:f>IFERROR(VLOOKUP(L2099,'Reference Data'!$A$5:$F$40,5,FALSE),0)</x:f>
        <x:v>18</x:v>
      </x:c>
      <x:c r="Q2099" s="92" t="n">
        <x:f>IFERROR(VLOOKUP(L2099,'Reference Data'!$A$5:$F$40,6,FALSE),0)</x:f>
        <x:v>6.5</x:v>
      </x:c>
      <x:c r="R2099" s="84" t="n">
        <x:f>'Raw Sales'!J2099</x:f>
        <x:v>1</x:v>
      </x:c>
      <x:c r="S2099" s="87" t="n">
        <x:f>'Raw Sales'!K2099</x:f>
        <x:v>0.15</x:v>
      </x:c>
      <x:c r="T2099" s="93" t="n">
        <x:f>P2099*R2099</x:f>
        <x:v>18</x:v>
      </x:c>
      <x:c r="U2099" s="93" t="n">
        <x:f>T2099*S2099</x:f>
        <x:v>2.6999999999999997</x:v>
      </x:c>
      <x:c r="V2099" s="93" t="str">
        <x:f>PROPER(TRIM('Raw Sales'!L2099))</x:f>
        <x:v>Completed</x:v>
      </x:c>
      <x:c r="W2099" s="93" t="n">
        <x:f>IF(V2099="Returned",0,T2099-U2099)</x:f>
        <x:v>15.3</x:v>
      </x:c>
      <x:c r="X2099" s="93" t="n">
        <x:f>IF(V2099="Returned",Q2099*R2099*10%,Q2099*R2099)</x:f>
        <x:v>6.5</x:v>
      </x:c>
      <x:c r="Y2099" s="93" t="n">
        <x:f>W2099-X2099</x:f>
        <x:v>8.8</x:v>
      </x:c>
      <x:c r="Z2099" s="94" t="n">
        <x:f>IFERROR(Y2099/W2099,0)</x:f>
        <x:v>0.5751633986928105</x:v>
      </x:c>
      <x:c r="AA2099" s="84" t="str">
        <x:f>PROPER(TRIM('Raw Sales'!M2099))</x:f>
        <x:v>Cash</x:v>
      </x:c>
      <x:c r="AB2099" s="84" t="str">
        <x:f>PROPER(TRIM('Raw Sales'!N2099))</x:f>
        <x:v>Ava Mitchell</x:v>
      </x:c>
      <x:c r="AC2099" s="85" t="n">
        <x:f>'Raw Sales'!O2099</x:f>
        <x:v>45964</x:v>
      </x:c>
      <x:c r="AD2099" s="84" t="n">
        <x:f>AC2099-B2099</x:f>
        <x:v>1</x:v>
      </x:c>
      <x:c r="AE2099" s="84" t="str">
        <x:f>IF(COUNTIF($A$5:A2099,A2099)&gt;1,"Duplicate","Keep")</x:f>
        <x:v>Keep</x:v>
      </x:c>
      <x:c r="AF2099" s="84" t="str">
        <x:f>IF(OR(R2099&lt;=0,AC2099&lt;B2099,H2099="Unknown",M2099="Unknown Product"),"Review","Valid")</x:f>
        <x:v>Valid</x:v>
      </x:c>
      <x:c r="AG2099" s="84" t="n">
        <x:f>IF(AND(AE2099="Keep",AF2099="Valid"),1,0)</x:f>
        <x:v>1</x:v>
      </x:c>
      <x:c r="AH2099" s="84" t="n">
        <x:f>IF(AND(AG2099=1,OR('Dashboard'!$B$4="All",I2099='Dashboard'!$B$4),OR('Dashboard'!$E$4="All",N2099='Dashboard'!$E$4),OR('Dashboard'!$H$4="All",K2099='Dashboard'!$H$4),OR('Dashboard'!$K$4="All",C2099='Dashboard'!$K$4)),1,0)</x:f>
        <x:v>1</x:v>
      </x:c>
      <x:c r="AI2099" s="84" t="n">
        <x:f>IF(AND(AG2099=1,OR('Dashboard'!$B$4="All",I2099='Dashboard'!$B$4),OR('Dashboard'!$E$4="All",N2099='Dashboard'!$E$4),OR('Dashboard'!$H$4="All",K2099='Dashboard'!$H$4)),1,0)</x:f>
        <x:v>1</x:v>
      </x:c>
    </x:row>
    <x:row r="2100">
      <x:c r="A2100" s="84" t="str">
        <x:f>'Raw Sales'!A2100</x:f>
        <x:v>ORD-2025-02276</x:v>
      </x:c>
      <x:c r="B2100" s="85" t="n">
        <x:f>'Raw Sales'!B2100</x:f>
        <x:v>45963</x:v>
      </x:c>
      <x:c r="C2100" s="84" t="n">
        <x:f>YEAR(B2100)</x:f>
        <x:v>2025</x:v>
      </x:c>
      <x:c r="D2100" s="91" t="n">
        <x:f>DATE(YEAR(B2100),MONTH(B2100),1)</x:f>
        <x:v>45962</x:v>
      </x:c>
      <x:c r="E2100" s="84" t="str">
        <x:f>TEXT(B2100,"mmm")</x:f>
        <x:v>Nov</x:v>
      </x:c>
      <x:c r="F2100" s="84" t="str">
        <x:f>'Raw Sales'!C2100</x:f>
        <x:v>CUST-0606</x:v>
      </x:c>
      <x:c r="G2100" s="84" t="str">
        <x:f>PROPER(TRIM('Raw Sales'!D2100))</x:f>
        <x:v>Isaac Taylor</x:v>
      </x:c>
      <x:c r="H2100" s="84" t="str">
        <x:f>IF(TRIM('Raw Sales'!E2100)="","Unknown",PROPER(TRIM('Raw Sales'!E2100)))</x:f>
        <x:v>Corporate</x:v>
      </x:c>
      <x:c r="I2100" s="84" t="str">
        <x:f>PROPER(TRIM('Raw Sales'!F2100))</x:f>
        <x:v>Southeast</x:v>
      </x:c>
      <x:c r="J2100" s="84" t="str">
        <x:f>PROPER(TRIM('Raw Sales'!G2100))</x:f>
        <x:v>Charlotte</x:v>
      </x:c>
      <x:c r="K2100" s="84" t="str">
        <x:f>PROPER(TRIM('Raw Sales'!H2100))</x:f>
        <x:v>Online</x:v>
      </x:c>
      <x:c r="L2100" s="84" t="str">
        <x:f>'Raw Sales'!I2100</x:f>
        <x:v>HOME-004</x:v>
      </x:c>
      <x:c r="M2100" s="84" t="str">
        <x:f>IFERROR(VLOOKUP(L2100,'Reference Data'!$A$5:$F$40,2,FALSE),"Unknown Product")</x:f>
        <x:v>Coffee Maker</x:v>
      </x:c>
      <x:c r="N2100" s="84" t="str">
        <x:f>IFERROR(VLOOKUP(L2100,'Reference Data'!$A$5:$F$40,3,FALSE),"Unknown")</x:f>
        <x:v>Home &amp; Kitchen</x:v>
      </x:c>
      <x:c r="O2100" s="84" t="str">
        <x:f>IFERROR(VLOOKUP(L2100,'Reference Data'!$A$5:$F$40,4,FALSE),"Unknown")</x:f>
        <x:v>Small Appliances</x:v>
      </x:c>
      <x:c r="P2100" s="92" t="n">
        <x:f>IFERROR(VLOOKUP(L2100,'Reference Data'!$A$5:$F$40,5,FALSE),0)</x:f>
        <x:v>99</x:v>
      </x:c>
      <x:c r="Q2100" s="92" t="n">
        <x:f>IFERROR(VLOOKUP(L2100,'Reference Data'!$A$5:$F$40,6,FALSE),0)</x:f>
        <x:v>51</x:v>
      </x:c>
      <x:c r="R2100" s="84" t="n">
        <x:f>'Raw Sales'!J2100</x:f>
        <x:v>2</x:v>
      </x:c>
      <x:c r="S2100" s="87" t="n">
        <x:f>'Raw Sales'!K2100</x:f>
        <x:v>0</x:v>
      </x:c>
      <x:c r="T2100" s="93" t="n">
        <x:f>P2100*R2100</x:f>
        <x:v>198</x:v>
      </x:c>
      <x:c r="U2100" s="93" t="n">
        <x:f>T2100*S2100</x:f>
        <x:v>0</x:v>
      </x:c>
      <x:c r="V2100" s="93" t="str">
        <x:f>PROPER(TRIM('Raw Sales'!L2100))</x:f>
        <x:v>Completed</x:v>
      </x:c>
      <x:c r="W2100" s="93" t="n">
        <x:f>IF(V2100="Returned",0,T2100-U2100)</x:f>
        <x:v>198</x:v>
      </x:c>
      <x:c r="X2100" s="93" t="n">
        <x:f>IF(V2100="Returned",Q2100*R2100*10%,Q2100*R2100)</x:f>
        <x:v>102</x:v>
      </x:c>
      <x:c r="Y2100" s="93" t="n">
        <x:f>W2100-X2100</x:f>
        <x:v>96</x:v>
      </x:c>
      <x:c r="Z2100" s="94" t="n">
        <x:f>IFERROR(Y2100/W2100,0)</x:f>
        <x:v>0.48484848484848486</x:v>
      </x:c>
      <x:c r="AA2100" s="84" t="str">
        <x:f>PROPER(TRIM('Raw Sales'!M2100))</x:f>
        <x:v>Credit Card</x:v>
      </x:c>
      <x:c r="AB2100" s="84" t="str">
        <x:f>PROPER(TRIM('Raw Sales'!N2100))</x:f>
        <x:v>Liam Parker</x:v>
      </x:c>
      <x:c r="AC2100" s="85" t="n">
        <x:f>'Raw Sales'!O2100</x:f>
        <x:v>45966</x:v>
      </x:c>
      <x:c r="AD2100" s="84" t="n">
        <x:f>AC2100-B2100</x:f>
        <x:v>3</x:v>
      </x:c>
      <x:c r="AE2100" s="84" t="str">
        <x:f>IF(COUNTIF($A$5:A2100,A2100)&gt;1,"Duplicate","Keep")</x:f>
        <x:v>Keep</x:v>
      </x:c>
      <x:c r="AF2100" s="84" t="str">
        <x:f>IF(OR(R2100&lt;=0,AC2100&lt;B2100,H2100="Unknown",M2100="Unknown Product"),"Review","Valid")</x:f>
        <x:v>Valid</x:v>
      </x:c>
      <x:c r="AG2100" s="84" t="n">
        <x:f>IF(AND(AE2100="Keep",AF2100="Valid"),1,0)</x:f>
        <x:v>1</x:v>
      </x:c>
      <x:c r="AH2100" s="84" t="n">
        <x:f>IF(AND(AG2100=1,OR('Dashboard'!$B$4="All",I2100='Dashboard'!$B$4),OR('Dashboard'!$E$4="All",N2100='Dashboard'!$E$4),OR('Dashboard'!$H$4="All",K2100='Dashboard'!$H$4),OR('Dashboard'!$K$4="All",C2100='Dashboard'!$K$4)),1,0)</x:f>
        <x:v>1</x:v>
      </x:c>
      <x:c r="AI2100" s="84" t="n">
        <x:f>IF(AND(AG2100=1,OR('Dashboard'!$B$4="All",I2100='Dashboard'!$B$4),OR('Dashboard'!$E$4="All",N2100='Dashboard'!$E$4),OR('Dashboard'!$H$4="All",K2100='Dashboard'!$H$4)),1,0)</x:f>
        <x:v>1</x:v>
      </x:c>
    </x:row>
    <x:row r="2101">
      <x:c r="A2101" s="84" t="str">
        <x:f>'Raw Sales'!A2101</x:f>
        <x:v>ORD-2025-02315</x:v>
      </x:c>
      <x:c r="B2101" s="85" t="n">
        <x:f>'Raw Sales'!B2101</x:f>
        <x:v>45963</x:v>
      </x:c>
      <x:c r="C2101" s="84" t="n">
        <x:f>YEAR(B2101)</x:f>
        <x:v>2025</x:v>
      </x:c>
      <x:c r="D2101" s="91" t="n">
        <x:f>DATE(YEAR(B2101),MONTH(B2101),1)</x:f>
        <x:v>45962</x:v>
      </x:c>
      <x:c r="E2101" s="84" t="str">
        <x:f>TEXT(B2101,"mmm")</x:f>
        <x:v>Nov</x:v>
      </x:c>
      <x:c r="F2101" s="84" t="str">
        <x:f>'Raw Sales'!C2101</x:f>
        <x:v>CUST-0097</x:v>
      </x:c>
      <x:c r="G2101" s="84" t="str">
        <x:f>PROPER(TRIM('Raw Sales'!D2101))</x:f>
        <x:v>Sara Ortiz</x:v>
      </x:c>
      <x:c r="H2101" s="84" t="str">
        <x:f>IF(TRIM('Raw Sales'!E2101)="","Unknown",PROPER(TRIM('Raw Sales'!E2101)))</x:f>
        <x:v>Corporate</x:v>
      </x:c>
      <x:c r="I2101" s="84" t="str">
        <x:f>PROPER(TRIM('Raw Sales'!F2101))</x:f>
        <x:v>Northeast</x:v>
      </x:c>
      <x:c r="J2101" s="84" t="str">
        <x:f>PROPER(TRIM('Raw Sales'!G2101))</x:f>
        <x:v>New York</x:v>
      </x:c>
      <x:c r="K2101" s="84" t="str">
        <x:f>PROPER(TRIM('Raw Sales'!H2101))</x:f>
        <x:v>Marketplace</x:v>
      </x:c>
      <x:c r="L2101" s="84" t="str">
        <x:f>'Raw Sales'!I2101</x:f>
        <x:v>OFFC-005</x:v>
      </x:c>
      <x:c r="M2101" s="84" t="str">
        <x:f>IFERROR(VLOOKUP(L2101,'Reference Data'!$A$5:$F$40,2,FALSE),"Unknown Product")</x:f>
        <x:v>Wireless Keyboard</x:v>
      </x:c>
      <x:c r="N2101" s="84" t="str">
        <x:f>IFERROR(VLOOKUP(L2101,'Reference Data'!$A$5:$F$40,3,FALSE),"Unknown")</x:f>
        <x:v>Office</x:v>
      </x:c>
      <x:c r="O2101" s="84" t="str">
        <x:f>IFERROR(VLOOKUP(L2101,'Reference Data'!$A$5:$F$40,4,FALSE),"Unknown")</x:f>
        <x:v>Computer Accessories</x:v>
      </x:c>
      <x:c r="P2101" s="92" t="n">
        <x:f>IFERROR(VLOOKUP(L2101,'Reference Data'!$A$5:$F$40,5,FALSE),0)</x:f>
        <x:v>59</x:v>
      </x:c>
      <x:c r="Q2101" s="92" t="n">
        <x:f>IFERROR(VLOOKUP(L2101,'Reference Data'!$A$5:$F$40,6,FALSE),0)</x:f>
        <x:v>28</x:v>
      </x:c>
      <x:c r="R2101" s="84" t="n">
        <x:f>'Raw Sales'!J2101</x:f>
        <x:v>2</x:v>
      </x:c>
      <x:c r="S2101" s="87" t="n">
        <x:f>'Raw Sales'!K2101</x:f>
        <x:v>0.1</x:v>
      </x:c>
      <x:c r="T2101" s="93" t="n">
        <x:f>P2101*R2101</x:f>
        <x:v>118</x:v>
      </x:c>
      <x:c r="U2101" s="93" t="n">
        <x:f>T2101*S2101</x:f>
        <x:v>11.8</x:v>
      </x:c>
      <x:c r="V2101" s="93" t="str">
        <x:f>PROPER(TRIM('Raw Sales'!L2101))</x:f>
        <x:v>Completed</x:v>
      </x:c>
      <x:c r="W2101" s="93" t="n">
        <x:f>IF(V2101="Returned",0,T2101-U2101)</x:f>
        <x:v>106.2</x:v>
      </x:c>
      <x:c r="X2101" s="93" t="n">
        <x:f>IF(V2101="Returned",Q2101*R2101*10%,Q2101*R2101)</x:f>
        <x:v>56</x:v>
      </x:c>
      <x:c r="Y2101" s="93" t="n">
        <x:f>W2101-X2101</x:f>
        <x:v>50.2</x:v>
      </x:c>
      <x:c r="Z2101" s="94" t="n">
        <x:f>IFERROR(Y2101/W2101,0)</x:f>
        <x:v>0.4726930320150659</x:v>
      </x:c>
      <x:c r="AA2101" s="84" t="str">
        <x:f>PROPER(TRIM('Raw Sales'!M2101))</x:f>
        <x:v>Debit Card</x:v>
      </x:c>
      <x:c r="AB2101" s="84" t="str">
        <x:f>PROPER(TRIM('Raw Sales'!N2101))</x:f>
        <x:v>Maya Brooks</x:v>
      </x:c>
      <x:c r="AC2101" s="85" t="n">
        <x:f>'Raw Sales'!O2101</x:f>
        <x:v>45968</x:v>
      </x:c>
      <x:c r="AD2101" s="84" t="n">
        <x:f>AC2101-B2101</x:f>
        <x:v>5</x:v>
      </x:c>
      <x:c r="AE2101" s="84" t="str">
        <x:f>IF(COUNTIF($A$5:A2101,A2101)&gt;1,"Duplicate","Keep")</x:f>
        <x:v>Keep</x:v>
      </x:c>
      <x:c r="AF2101" s="84" t="str">
        <x:f>IF(OR(R2101&lt;=0,AC2101&lt;B2101,H2101="Unknown",M2101="Unknown Product"),"Review","Valid")</x:f>
        <x:v>Valid</x:v>
      </x:c>
      <x:c r="AG2101" s="84" t="n">
        <x:f>IF(AND(AE2101="Keep",AF2101="Valid"),1,0)</x:f>
        <x:v>1</x:v>
      </x:c>
      <x:c r="AH2101" s="84" t="n">
        <x:f>IF(AND(AG2101=1,OR('Dashboard'!$B$4="All",I2101='Dashboard'!$B$4),OR('Dashboard'!$E$4="All",N2101='Dashboard'!$E$4),OR('Dashboard'!$H$4="All",K2101='Dashboard'!$H$4),OR('Dashboard'!$K$4="All",C2101='Dashboard'!$K$4)),1,0)</x:f>
        <x:v>1</x:v>
      </x:c>
      <x:c r="AI2101" s="84" t="n">
        <x:f>IF(AND(AG2101=1,OR('Dashboard'!$B$4="All",I2101='Dashboard'!$B$4),OR('Dashboard'!$E$4="All",N2101='Dashboard'!$E$4),OR('Dashboard'!$H$4="All",K2101='Dashboard'!$H$4)),1,0)</x:f>
        <x:v>1</x:v>
      </x:c>
    </x:row>
    <x:row r="2102">
      <x:c r="A2102" s="84" t="str">
        <x:f>'Raw Sales'!A2102</x:f>
        <x:v>ORD-2025-00388</x:v>
      </x:c>
      <x:c r="B2102" s="85" t="n">
        <x:f>'Raw Sales'!B2102</x:f>
        <x:v>45964</x:v>
      </x:c>
      <x:c r="C2102" s="84" t="n">
        <x:f>YEAR(B2102)</x:f>
        <x:v>2025</x:v>
      </x:c>
      <x:c r="D2102" s="91" t="n">
        <x:f>DATE(YEAR(B2102),MONTH(B2102),1)</x:f>
        <x:v>45962</x:v>
      </x:c>
      <x:c r="E2102" s="84" t="str">
        <x:f>TEXT(B2102,"mmm")</x:f>
        <x:v>Nov</x:v>
      </x:c>
      <x:c r="F2102" s="84" t="str">
        <x:f>'Raw Sales'!C2102</x:f>
        <x:v>CUST-0097</x:v>
      </x:c>
      <x:c r="G2102" s="84" t="str">
        <x:f>PROPER(TRIM('Raw Sales'!D2102))</x:f>
        <x:v>Sara Ortiz</x:v>
      </x:c>
      <x:c r="H2102" s="84" t="str">
        <x:f>IF(TRIM('Raw Sales'!E2102)="","Unknown",PROPER(TRIM('Raw Sales'!E2102)))</x:f>
        <x:v>Corporate</x:v>
      </x:c>
      <x:c r="I2102" s="84" t="str">
        <x:f>PROPER(TRIM('Raw Sales'!F2102))</x:f>
        <x:v>Northeast</x:v>
      </x:c>
      <x:c r="J2102" s="84" t="str">
        <x:f>PROPER(TRIM('Raw Sales'!G2102))</x:f>
        <x:v>New York</x:v>
      </x:c>
      <x:c r="K2102" s="84" t="str">
        <x:f>PROPER(TRIM('Raw Sales'!H2102))</x:f>
        <x:v>Retail Store</x:v>
      </x:c>
      <x:c r="L2102" s="84" t="str">
        <x:f>'Raw Sales'!I2102</x:f>
        <x:v>FITN-004</x:v>
      </x:c>
      <x:c r="M2102" s="84" t="str">
        <x:f>IFERROR(VLOOKUP(L2102,'Reference Data'!$A$5:$F$40,2,FALSE),"Unknown Product")</x:f>
        <x:v>Fitness Tracker</x:v>
      </x:c>
      <x:c r="N2102" s="84" t="str">
        <x:f>IFERROR(VLOOKUP(L2102,'Reference Data'!$A$5:$F$40,3,FALSE),"Unknown")</x:f>
        <x:v>Fitness</x:v>
      </x:c>
      <x:c r="O2102" s="84" t="str">
        <x:f>IFERROR(VLOOKUP(L2102,'Reference Data'!$A$5:$F$40,4,FALSE),"Unknown")</x:f>
        <x:v>Wearables</x:v>
      </x:c>
      <x:c r="P2102" s="92" t="n">
        <x:f>IFERROR(VLOOKUP(L2102,'Reference Data'!$A$5:$F$40,5,FALSE),0)</x:f>
        <x:v>89</x:v>
      </x:c>
      <x:c r="Q2102" s="92" t="n">
        <x:f>IFERROR(VLOOKUP(L2102,'Reference Data'!$A$5:$F$40,6,FALSE),0)</x:f>
        <x:v>44</x:v>
      </x:c>
      <x:c r="R2102" s="84" t="n">
        <x:f>'Raw Sales'!J2102</x:f>
        <x:v>6</x:v>
      </x:c>
      <x:c r="S2102" s="87" t="n">
        <x:f>'Raw Sales'!K2102</x:f>
        <x:v>0</x:v>
      </x:c>
      <x:c r="T2102" s="93" t="n">
        <x:f>P2102*R2102</x:f>
        <x:v>534</x:v>
      </x:c>
      <x:c r="U2102" s="93" t="n">
        <x:f>T2102*S2102</x:f>
        <x:v>0</x:v>
      </x:c>
      <x:c r="V2102" s="93" t="str">
        <x:f>PROPER(TRIM('Raw Sales'!L2102))</x:f>
        <x:v>Completed</x:v>
      </x:c>
      <x:c r="W2102" s="93" t="n">
        <x:f>IF(V2102="Returned",0,T2102-U2102)</x:f>
        <x:v>534</x:v>
      </x:c>
      <x:c r="X2102" s="93" t="n">
        <x:f>IF(V2102="Returned",Q2102*R2102*10%,Q2102*R2102)</x:f>
        <x:v>264</x:v>
      </x:c>
      <x:c r="Y2102" s="93" t="n">
        <x:f>W2102-X2102</x:f>
        <x:v>270</x:v>
      </x:c>
      <x:c r="Z2102" s="94" t="n">
        <x:f>IFERROR(Y2102/W2102,0)</x:f>
        <x:v>0.5056179775280899</x:v>
      </x:c>
      <x:c r="AA2102" s="84" t="str">
        <x:f>PROPER(TRIM('Raw Sales'!M2102))</x:f>
        <x:v>Debit Card</x:v>
      </x:c>
      <x:c r="AB2102" s="84" t="str">
        <x:f>PROPER(TRIM('Raw Sales'!N2102))</x:f>
        <x:v>Maya Brooks</x:v>
      </x:c>
      <x:c r="AC2102" s="85" t="n">
        <x:f>'Raw Sales'!O2102</x:f>
        <x:v>45964</x:v>
      </x:c>
      <x:c r="AD2102" s="84" t="n">
        <x:f>AC2102-B2102</x:f>
        <x:v>0</x:v>
      </x:c>
      <x:c r="AE2102" s="84" t="str">
        <x:f>IF(COUNTIF($A$5:A2102,A2102)&gt;1,"Duplicate","Keep")</x:f>
        <x:v>Keep</x:v>
      </x:c>
      <x:c r="AF2102" s="84" t="str">
        <x:f>IF(OR(R2102&lt;=0,AC2102&lt;B2102,H2102="Unknown",M2102="Unknown Product"),"Review","Valid")</x:f>
        <x:v>Valid</x:v>
      </x:c>
      <x:c r="AG2102" s="84" t="n">
        <x:f>IF(AND(AE2102="Keep",AF2102="Valid"),1,0)</x:f>
        <x:v>1</x:v>
      </x:c>
      <x:c r="AH2102" s="84" t="n">
        <x:f>IF(AND(AG2102=1,OR('Dashboard'!$B$4="All",I2102='Dashboard'!$B$4),OR('Dashboard'!$E$4="All",N2102='Dashboard'!$E$4),OR('Dashboard'!$H$4="All",K2102='Dashboard'!$H$4),OR('Dashboard'!$K$4="All",C2102='Dashboard'!$K$4)),1,0)</x:f>
        <x:v>1</x:v>
      </x:c>
      <x:c r="AI2102" s="84" t="n">
        <x:f>IF(AND(AG2102=1,OR('Dashboard'!$B$4="All",I2102='Dashboard'!$B$4),OR('Dashboard'!$E$4="All",N2102='Dashboard'!$E$4),OR('Dashboard'!$H$4="All",K2102='Dashboard'!$H$4)),1,0)</x:f>
        <x:v>1</x:v>
      </x:c>
    </x:row>
    <x:row r="2103">
      <x:c r="A2103" s="84" t="str">
        <x:f>'Raw Sales'!A2103</x:f>
        <x:v>ORD-2025-00893</x:v>
      </x:c>
      <x:c r="B2103" s="85" t="n">
        <x:f>'Raw Sales'!B2103</x:f>
        <x:v>45964</x:v>
      </x:c>
      <x:c r="C2103" s="84" t="n">
        <x:f>YEAR(B2103)</x:f>
        <x:v>2025</x:v>
      </x:c>
      <x:c r="D2103" s="91" t="n">
        <x:f>DATE(YEAR(B2103),MONTH(B2103),1)</x:f>
        <x:v>45962</x:v>
      </x:c>
      <x:c r="E2103" s="84" t="str">
        <x:f>TEXT(B2103,"mmm")</x:f>
        <x:v>Nov</x:v>
      </x:c>
      <x:c r="F2103" s="84" t="str">
        <x:f>'Raw Sales'!C2103</x:f>
        <x:v>CUST-0601</x:v>
      </x:c>
      <x:c r="G2103" s="84" t="str">
        <x:f>PROPER(TRIM('Raw Sales'!D2103))</x:f>
        <x:v>Grace Taylor</x:v>
      </x:c>
      <x:c r="H2103" s="84" t="str">
        <x:f>IF(TRIM('Raw Sales'!E2103)="","Unknown",PROPER(TRIM('Raw Sales'!E2103)))</x:f>
        <x:v>Small Business</x:v>
      </x:c>
      <x:c r="I2103" s="84" t="str">
        <x:f>PROPER(TRIM('Raw Sales'!F2103))</x:f>
        <x:v>Northeast</x:v>
      </x:c>
      <x:c r="J2103" s="84" t="str">
        <x:f>PROPER(TRIM('Raw Sales'!G2103))</x:f>
        <x:v>Philadelphia</x:v>
      </x:c>
      <x:c r="K2103" s="84" t="str">
        <x:f>PROPER(TRIM('Raw Sales'!H2103))</x:f>
        <x:v>Retail Store</x:v>
      </x:c>
      <x:c r="L2103" s="84" t="str">
        <x:f>'Raw Sales'!I2103</x:f>
        <x:v>ELEC-001</x:v>
      </x:c>
      <x:c r="M2103" s="84" t="str">
        <x:f>IFERROR(VLOOKUP(L2103,'Reference Data'!$A$5:$F$40,2,FALSE),"Unknown Product")</x:f>
        <x:v>Wireless Earbuds</x:v>
      </x:c>
      <x:c r="N2103" s="84" t="str">
        <x:f>IFERROR(VLOOKUP(L2103,'Reference Data'!$A$5:$F$40,3,FALSE),"Unknown")</x:f>
        <x:v>Electronics</x:v>
      </x:c>
      <x:c r="O2103" s="84" t="str">
        <x:f>IFERROR(VLOOKUP(L2103,'Reference Data'!$A$5:$F$40,4,FALSE),"Unknown")</x:f>
        <x:v>Audio</x:v>
      </x:c>
      <x:c r="P2103" s="92" t="n">
        <x:f>IFERROR(VLOOKUP(L2103,'Reference Data'!$A$5:$F$40,5,FALSE),0)</x:f>
        <x:v>69</x:v>
      </x:c>
      <x:c r="Q2103" s="92" t="n">
        <x:f>IFERROR(VLOOKUP(L2103,'Reference Data'!$A$5:$F$40,6,FALSE),0)</x:f>
        <x:v>36</x:v>
      </x:c>
      <x:c r="R2103" s="84" t="n">
        <x:f>'Raw Sales'!J2103</x:f>
        <x:v>4</x:v>
      </x:c>
      <x:c r="S2103" s="87" t="n">
        <x:f>'Raw Sales'!K2103</x:f>
        <x:v>0</x:v>
      </x:c>
      <x:c r="T2103" s="93" t="n">
        <x:f>P2103*R2103</x:f>
        <x:v>276</x:v>
      </x:c>
      <x:c r="U2103" s="93" t="n">
        <x:f>T2103*S2103</x:f>
        <x:v>0</x:v>
      </x:c>
      <x:c r="V2103" s="93" t="str">
        <x:f>PROPER(TRIM('Raw Sales'!L2103))</x:f>
        <x:v>Completed</x:v>
      </x:c>
      <x:c r="W2103" s="93" t="n">
        <x:f>IF(V2103="Returned",0,T2103-U2103)</x:f>
        <x:v>276</x:v>
      </x:c>
      <x:c r="X2103" s="93" t="n">
        <x:f>IF(V2103="Returned",Q2103*R2103*10%,Q2103*R2103)</x:f>
        <x:v>144</x:v>
      </x:c>
      <x:c r="Y2103" s="93" t="n">
        <x:f>W2103-X2103</x:f>
        <x:v>132</x:v>
      </x:c>
      <x:c r="Z2103" s="94" t="n">
        <x:f>IFERROR(Y2103/W2103,0)</x:f>
        <x:v>0.4782608695652174</x:v>
      </x:c>
      <x:c r="AA2103" s="84" t="str">
        <x:f>PROPER(TRIM('Raw Sales'!M2103))</x:f>
        <x:v>Credit Card</x:v>
      </x:c>
      <x:c r="AB2103" s="84" t="str">
        <x:f>PROPER(TRIM('Raw Sales'!N2103))</x:f>
        <x:v>Ethan Cole</x:v>
      </x:c>
      <x:c r="AC2103" s="85" t="n">
        <x:f>'Raw Sales'!O2103</x:f>
        <x:v>45965</x:v>
      </x:c>
      <x:c r="AD2103" s="84" t="n">
        <x:f>AC2103-B2103</x:f>
        <x:v>1</x:v>
      </x:c>
      <x:c r="AE2103" s="84" t="str">
        <x:f>IF(COUNTIF($A$5:A2103,A2103)&gt;1,"Duplicate","Keep")</x:f>
        <x:v>Keep</x:v>
      </x:c>
      <x:c r="AF2103" s="84" t="str">
        <x:f>IF(OR(R2103&lt;=0,AC2103&lt;B2103,H2103="Unknown",M2103="Unknown Product"),"Review","Valid")</x:f>
        <x:v>Valid</x:v>
      </x:c>
      <x:c r="AG2103" s="84" t="n">
        <x:f>IF(AND(AE2103="Keep",AF2103="Valid"),1,0)</x:f>
        <x:v>1</x:v>
      </x:c>
      <x:c r="AH2103" s="84" t="n">
        <x:f>IF(AND(AG2103=1,OR('Dashboard'!$B$4="All",I2103='Dashboard'!$B$4),OR('Dashboard'!$E$4="All",N2103='Dashboard'!$E$4),OR('Dashboard'!$H$4="All",K2103='Dashboard'!$H$4),OR('Dashboard'!$K$4="All",C2103='Dashboard'!$K$4)),1,0)</x:f>
        <x:v>1</x:v>
      </x:c>
      <x:c r="AI2103" s="84" t="n">
        <x:f>IF(AND(AG2103=1,OR('Dashboard'!$B$4="All",I2103='Dashboard'!$B$4),OR('Dashboard'!$E$4="All",N2103='Dashboard'!$E$4),OR('Dashboard'!$H$4="All",K2103='Dashboard'!$H$4)),1,0)</x:f>
        <x:v>1</x:v>
      </x:c>
    </x:row>
    <x:row r="2104">
      <x:c r="A2104" s="84" t="str">
        <x:f>'Raw Sales'!A2104</x:f>
        <x:v>ORD-2025-01034</x:v>
      </x:c>
      <x:c r="B2104" s="85" t="n">
        <x:f>'Raw Sales'!B2104</x:f>
        <x:v>45964</x:v>
      </x:c>
      <x:c r="C2104" s="84" t="n">
        <x:f>YEAR(B2104)</x:f>
        <x:v>2025</x:v>
      </x:c>
      <x:c r="D2104" s="91" t="n">
        <x:f>DATE(YEAR(B2104),MONTH(B2104),1)</x:f>
        <x:v>45962</x:v>
      </x:c>
      <x:c r="E2104" s="84" t="str">
        <x:f>TEXT(B2104,"mmm")</x:f>
        <x:v>Nov</x:v>
      </x:c>
      <x:c r="F2104" s="84" t="str">
        <x:f>'Raw Sales'!C2104</x:f>
        <x:v>CUST-0058</x:v>
      </x:c>
      <x:c r="G2104" s="84" t="str">
        <x:f>PROPER(TRIM('Raw Sales'!D2104))</x:f>
        <x:v>Zara Evans</x:v>
      </x:c>
      <x:c r="H2104" s="84" t="str">
        <x:f>IF(TRIM('Raw Sales'!E2104)="","Unknown",PROPER(TRIM('Raw Sales'!E2104)))</x:f>
        <x:v>Consumer</x:v>
      </x:c>
      <x:c r="I2104" s="84" t="str">
        <x:f>PROPER(TRIM('Raw Sales'!F2104))</x:f>
        <x:v>Midwest</x:v>
      </x:c>
      <x:c r="J2104" s="84" t="str">
        <x:f>PROPER(TRIM('Raw Sales'!G2104))</x:f>
        <x:v>Chicago</x:v>
      </x:c>
      <x:c r="K2104" s="84" t="str">
        <x:f>PROPER(TRIM('Raw Sales'!H2104))</x:f>
        <x:v>Retail Store</x:v>
      </x:c>
      <x:c r="L2104" s="84" t="str">
        <x:f>'Raw Sales'!I2104</x:f>
        <x:v>ACCS-005</x:v>
      </x:c>
      <x:c r="M2104" s="84" t="str">
        <x:f>IFERROR(VLOOKUP(L2104,'Reference Data'!$A$5:$F$40,2,FALSE),"Unknown Product")</x:f>
        <x:v>Protective Phone Case</x:v>
      </x:c>
      <x:c r="N2104" s="84" t="str">
        <x:f>IFERROR(VLOOKUP(L2104,'Reference Data'!$A$5:$F$40,3,FALSE),"Unknown")</x:f>
        <x:v>Accessories</x:v>
      </x:c>
      <x:c r="O2104" s="84" t="str">
        <x:f>IFERROR(VLOOKUP(L2104,'Reference Data'!$A$5:$F$40,4,FALSE),"Unknown")</x:f>
        <x:v>Mobile Accessories</x:v>
      </x:c>
      <x:c r="P2104" s="92" t="n">
        <x:f>IFERROR(VLOOKUP(L2104,'Reference Data'!$A$5:$F$40,5,FALSE),0)</x:f>
        <x:v>24</x:v>
      </x:c>
      <x:c r="Q2104" s="92" t="n">
        <x:f>IFERROR(VLOOKUP(L2104,'Reference Data'!$A$5:$F$40,6,FALSE),0)</x:f>
        <x:v>5</x:v>
      </x:c>
      <x:c r="R2104" s="84" t="n">
        <x:f>'Raw Sales'!J2104</x:f>
        <x:v>1</x:v>
      </x:c>
      <x:c r="S2104" s="87" t="n">
        <x:f>'Raw Sales'!K2104</x:f>
        <x:v>0</x:v>
      </x:c>
      <x:c r="T2104" s="93" t="n">
        <x:f>P2104*R2104</x:f>
        <x:v>24</x:v>
      </x:c>
      <x:c r="U2104" s="93" t="n">
        <x:f>T2104*S2104</x:f>
        <x:v>0</x:v>
      </x:c>
      <x:c r="V2104" s="93" t="str">
        <x:f>PROPER(TRIM('Raw Sales'!L2104))</x:f>
        <x:v>Completed</x:v>
      </x:c>
      <x:c r="W2104" s="93" t="n">
        <x:f>IF(V2104="Returned",0,T2104-U2104)</x:f>
        <x:v>24</x:v>
      </x:c>
      <x:c r="X2104" s="93" t="n">
        <x:f>IF(V2104="Returned",Q2104*R2104*10%,Q2104*R2104)</x:f>
        <x:v>5</x:v>
      </x:c>
      <x:c r="Y2104" s="93" t="n">
        <x:f>W2104-X2104</x:f>
        <x:v>19</x:v>
      </x:c>
      <x:c r="Z2104" s="94" t="n">
        <x:f>IFERROR(Y2104/W2104,0)</x:f>
        <x:v>0.7916666666666666</x:v>
      </x:c>
      <x:c r="AA2104" s="84" t="str">
        <x:f>PROPER(TRIM('Raw Sales'!M2104))</x:f>
        <x:v>Credit Card</x:v>
      </x:c>
      <x:c r="AB2104" s="84" t="str">
        <x:f>PROPER(TRIM('Raw Sales'!N2104))</x:f>
        <x:v>Emma Hayes</x:v>
      </x:c>
      <x:c r="AC2104" s="85" t="n">
        <x:f>'Raw Sales'!O2104</x:f>
        <x:v>45964</x:v>
      </x:c>
      <x:c r="AD2104" s="84" t="n">
        <x:f>AC2104-B2104</x:f>
        <x:v>0</x:v>
      </x:c>
      <x:c r="AE2104" s="84" t="str">
        <x:f>IF(COUNTIF($A$5:A2104,A2104)&gt;1,"Duplicate","Keep")</x:f>
        <x:v>Keep</x:v>
      </x:c>
      <x:c r="AF2104" s="84" t="str">
        <x:f>IF(OR(R2104&lt;=0,AC2104&lt;B2104,H2104="Unknown",M2104="Unknown Product"),"Review","Valid")</x:f>
        <x:v>Valid</x:v>
      </x:c>
      <x:c r="AG2104" s="84" t="n">
        <x:f>IF(AND(AE2104="Keep",AF2104="Valid"),1,0)</x:f>
        <x:v>1</x:v>
      </x:c>
      <x:c r="AH2104" s="84" t="n">
        <x:f>IF(AND(AG2104=1,OR('Dashboard'!$B$4="All",I2104='Dashboard'!$B$4),OR('Dashboard'!$E$4="All",N2104='Dashboard'!$E$4),OR('Dashboard'!$H$4="All",K2104='Dashboard'!$H$4),OR('Dashboard'!$K$4="All",C2104='Dashboard'!$K$4)),1,0)</x:f>
        <x:v>1</x:v>
      </x:c>
      <x:c r="AI2104" s="84" t="n">
        <x:f>IF(AND(AG2104=1,OR('Dashboard'!$B$4="All",I2104='Dashboard'!$B$4),OR('Dashboard'!$E$4="All",N2104='Dashboard'!$E$4),OR('Dashboard'!$H$4="All",K2104='Dashboard'!$H$4)),1,0)</x:f>
        <x:v>1</x:v>
      </x:c>
    </x:row>
    <x:row r="2105">
      <x:c r="A2105" s="84" t="str">
        <x:f>'Raw Sales'!A2105</x:f>
        <x:v>ORD-2025-01143</x:v>
      </x:c>
      <x:c r="B2105" s="85" t="n">
        <x:f>'Raw Sales'!B2105</x:f>
        <x:v>45964</x:v>
      </x:c>
      <x:c r="C2105" s="84" t="n">
        <x:f>YEAR(B2105)</x:f>
        <x:v>2025</x:v>
      </x:c>
      <x:c r="D2105" s="91" t="n">
        <x:f>DATE(YEAR(B2105),MONTH(B2105),1)</x:f>
        <x:v>45962</x:v>
      </x:c>
      <x:c r="E2105" s="84" t="str">
        <x:f>TEXT(B2105,"mmm")</x:f>
        <x:v>Nov</x:v>
      </x:c>
      <x:c r="F2105" s="84" t="str">
        <x:f>'Raw Sales'!C2105</x:f>
        <x:v>CUST-0628</x:v>
      </x:c>
      <x:c r="G2105" s="84" t="str">
        <x:f>PROPER(TRIM('Raw Sales'!D2105))</x:f>
        <x:v>Isaac Young</x:v>
      </x:c>
      <x:c r="H2105" s="84" t="str">
        <x:f>IF(TRIM('Raw Sales'!E2105)="","Unknown",PROPER(TRIM('Raw Sales'!E2105)))</x:f>
        <x:v>Small Business</x:v>
      </x:c>
      <x:c r="I2105" s="84" t="str">
        <x:f>PROPER(TRIM('Raw Sales'!F2105))</x:f>
        <x:v>West</x:v>
      </x:c>
      <x:c r="J2105" s="84" t="str">
        <x:f>PROPER(TRIM('Raw Sales'!G2105))</x:f>
        <x:v>Denver</x:v>
      </x:c>
      <x:c r="K2105" s="84" t="str">
        <x:f>PROPER(TRIM('Raw Sales'!H2105))</x:f>
        <x:v>Retail Store</x:v>
      </x:c>
      <x:c r="L2105" s="84" t="str">
        <x:f>'Raw Sales'!I2105</x:f>
        <x:v>HOME-002</x:v>
      </x:c>
      <x:c r="M2105" s="84" t="str">
        <x:f>IFERROR(VLOOKUP(L2105,'Reference Data'!$A$5:$F$40,2,FALSE),"Unknown Product")</x:f>
        <x:v>Electric Kettle</x:v>
      </x:c>
      <x:c r="N2105" s="84" t="str">
        <x:f>IFERROR(VLOOKUP(L2105,'Reference Data'!$A$5:$F$40,3,FALSE),"Unknown")</x:f>
        <x:v>Home &amp; Kitchen</x:v>
      </x:c>
      <x:c r="O2105" s="84" t="str">
        <x:f>IFERROR(VLOOKUP(L2105,'Reference Data'!$A$5:$F$40,4,FALSE),"Unknown")</x:f>
        <x:v>Small Appliances</x:v>
      </x:c>
      <x:c r="P2105" s="92" t="n">
        <x:f>IFERROR(VLOOKUP(L2105,'Reference Data'!$A$5:$F$40,5,FALSE),0)</x:f>
        <x:v>49</x:v>
      </x:c>
      <x:c r="Q2105" s="92" t="n">
        <x:f>IFERROR(VLOOKUP(L2105,'Reference Data'!$A$5:$F$40,6,FALSE),0)</x:f>
        <x:v>23</x:v>
      </x:c>
      <x:c r="R2105" s="84" t="n">
        <x:f>'Raw Sales'!J2105</x:f>
        <x:v>1</x:v>
      </x:c>
      <x:c r="S2105" s="87" t="n">
        <x:f>'Raw Sales'!K2105</x:f>
        <x:v>0</x:v>
      </x:c>
      <x:c r="T2105" s="93" t="n">
        <x:f>P2105*R2105</x:f>
        <x:v>49</x:v>
      </x:c>
      <x:c r="U2105" s="93" t="n">
        <x:f>T2105*S2105</x:f>
        <x:v>0</x:v>
      </x:c>
      <x:c r="V2105" s="93" t="str">
        <x:f>PROPER(TRIM('Raw Sales'!L2105))</x:f>
        <x:v>Completed</x:v>
      </x:c>
      <x:c r="W2105" s="93" t="n">
        <x:f>IF(V2105="Returned",0,T2105-U2105)</x:f>
        <x:v>49</x:v>
      </x:c>
      <x:c r="X2105" s="93" t="n">
        <x:f>IF(V2105="Returned",Q2105*R2105*10%,Q2105*R2105)</x:f>
        <x:v>23</x:v>
      </x:c>
      <x:c r="Y2105" s="93" t="n">
        <x:f>W2105-X2105</x:f>
        <x:v>26</x:v>
      </x:c>
      <x:c r="Z2105" s="94" t="n">
        <x:f>IFERROR(Y2105/W2105,0)</x:f>
        <x:v>0.5306122448979592</x:v>
      </x:c>
      <x:c r="AA2105" s="84" t="str">
        <x:f>PROPER(TRIM('Raw Sales'!M2105))</x:f>
        <x:v>Credit Card</x:v>
      </x:c>
      <x:c r="AB2105" s="84" t="str">
        <x:f>PROPER(TRIM('Raw Sales'!N2105))</x:f>
        <x:v>Nora Kim</x:v>
      </x:c>
      <x:c r="AC2105" s="85" t="n">
        <x:f>'Raw Sales'!O2105</x:f>
        <x:v>45964</x:v>
      </x:c>
      <x:c r="AD2105" s="84" t="n">
        <x:f>AC2105-B2105</x:f>
        <x:v>0</x:v>
      </x:c>
      <x:c r="AE2105" s="84" t="str">
        <x:f>IF(COUNTIF($A$5:A2105,A2105)&gt;1,"Duplicate","Keep")</x:f>
        <x:v>Keep</x:v>
      </x:c>
      <x:c r="AF2105" s="84" t="str">
        <x:f>IF(OR(R2105&lt;=0,AC2105&lt;B2105,H2105="Unknown",M2105="Unknown Product"),"Review","Valid")</x:f>
        <x:v>Valid</x:v>
      </x:c>
      <x:c r="AG2105" s="84" t="n">
        <x:f>IF(AND(AE2105="Keep",AF2105="Valid"),1,0)</x:f>
        <x:v>1</x:v>
      </x:c>
      <x:c r="AH2105" s="84" t="n">
        <x:f>IF(AND(AG2105=1,OR('Dashboard'!$B$4="All",I2105='Dashboard'!$B$4),OR('Dashboard'!$E$4="All",N2105='Dashboard'!$E$4),OR('Dashboard'!$H$4="All",K2105='Dashboard'!$H$4),OR('Dashboard'!$K$4="All",C2105='Dashboard'!$K$4)),1,0)</x:f>
        <x:v>1</x:v>
      </x:c>
      <x:c r="AI2105" s="84" t="n">
        <x:f>IF(AND(AG2105=1,OR('Dashboard'!$B$4="All",I2105='Dashboard'!$B$4),OR('Dashboard'!$E$4="All",N2105='Dashboard'!$E$4),OR('Dashboard'!$H$4="All",K2105='Dashboard'!$H$4)),1,0)</x:f>
        <x:v>1</x:v>
      </x:c>
    </x:row>
    <x:row r="2106">
      <x:c r="A2106" s="84" t="str">
        <x:f>'Raw Sales'!A2106</x:f>
        <x:v>ORD-2025-01318</x:v>
      </x:c>
      <x:c r="B2106" s="85" t="n">
        <x:f>'Raw Sales'!B2106</x:f>
        <x:v>45964</x:v>
      </x:c>
      <x:c r="C2106" s="84" t="n">
        <x:f>YEAR(B2106)</x:f>
        <x:v>2025</x:v>
      </x:c>
      <x:c r="D2106" s="91" t="n">
        <x:f>DATE(YEAR(B2106),MONTH(B2106),1)</x:f>
        <x:v>45962</x:v>
      </x:c>
      <x:c r="E2106" s="84" t="str">
        <x:f>TEXT(B2106,"mmm")</x:f>
        <x:v>Nov</x:v>
      </x:c>
      <x:c r="F2106" s="84" t="str">
        <x:f>'Raw Sales'!C2106</x:f>
        <x:v>CUST-0096</x:v>
      </x:c>
      <x:c r="G2106" s="84" t="str">
        <x:f>PROPER(TRIM('Raw Sales'!D2106))</x:f>
        <x:v>Nina Irwin</x:v>
      </x:c>
      <x:c r="H2106" s="84" t="str">
        <x:f>IF(TRIM('Raw Sales'!E2106)="","Unknown",PROPER(TRIM('Raw Sales'!E2106)))</x:f>
        <x:v>Consumer</x:v>
      </x:c>
      <x:c r="I2106" s="84" t="str">
        <x:f>PROPER(TRIM('Raw Sales'!F2106))</x:f>
        <x:v>Southeast</x:v>
      </x:c>
      <x:c r="J2106" s="84" t="str">
        <x:f>PROPER(TRIM('Raw Sales'!G2106))</x:f>
        <x:v>Miami</x:v>
      </x:c>
      <x:c r="K2106" s="84" t="str">
        <x:f>PROPER(TRIM('Raw Sales'!H2106))</x:f>
        <x:v>Marketplace</x:v>
      </x:c>
      <x:c r="L2106" s="84" t="str">
        <x:f>'Raw Sales'!I2106</x:f>
        <x:v>HOME-005</x:v>
      </x:c>
      <x:c r="M2106" s="84" t="str">
        <x:f>IFERROR(VLOOKUP(L2106,'Reference Data'!$A$5:$F$40,2,FALSE),"Unknown Product")</x:f>
        <x:v>Cordless Vacuum</x:v>
      </x:c>
      <x:c r="N2106" s="84" t="str">
        <x:f>IFERROR(VLOOKUP(L2106,'Reference Data'!$A$5:$F$40,3,FALSE),"Unknown")</x:f>
        <x:v>Home &amp; Kitchen</x:v>
      </x:c>
      <x:c r="O2106" s="84" t="str">
        <x:f>IFERROR(VLOOKUP(L2106,'Reference Data'!$A$5:$F$40,4,FALSE),"Unknown")</x:f>
        <x:v>Cleaning</x:v>
      </x:c>
      <x:c r="P2106" s="92" t="n">
        <x:f>IFERROR(VLOOKUP(L2106,'Reference Data'!$A$5:$F$40,5,FALSE),0)</x:f>
        <x:v>179</x:v>
      </x:c>
      <x:c r="Q2106" s="92" t="n">
        <x:f>IFERROR(VLOOKUP(L2106,'Reference Data'!$A$5:$F$40,6,FALSE),0)</x:f>
        <x:v>102</x:v>
      </x:c>
      <x:c r="R2106" s="84" t="n">
        <x:f>'Raw Sales'!J2106</x:f>
        <x:v>3</x:v>
      </x:c>
      <x:c r="S2106" s="87" t="n">
        <x:f>'Raw Sales'!K2106</x:f>
        <x:v>0</x:v>
      </x:c>
      <x:c r="T2106" s="93" t="n">
        <x:f>P2106*R2106</x:f>
        <x:v>537</x:v>
      </x:c>
      <x:c r="U2106" s="93" t="n">
        <x:f>T2106*S2106</x:f>
        <x:v>0</x:v>
      </x:c>
      <x:c r="V2106" s="93" t="str">
        <x:f>PROPER(TRIM('Raw Sales'!L2106))</x:f>
        <x:v>Completed</x:v>
      </x:c>
      <x:c r="W2106" s="93" t="n">
        <x:f>IF(V2106="Returned",0,T2106-U2106)</x:f>
        <x:v>537</x:v>
      </x:c>
      <x:c r="X2106" s="93" t="n">
        <x:f>IF(V2106="Returned",Q2106*R2106*10%,Q2106*R2106)</x:f>
        <x:v>306</x:v>
      </x:c>
      <x:c r="Y2106" s="93" t="n">
        <x:f>W2106-X2106</x:f>
        <x:v>231</x:v>
      </x:c>
      <x:c r="Z2106" s="94" t="n">
        <x:f>IFERROR(Y2106/W2106,0)</x:f>
        <x:v>0.4301675977653631</x:v>
      </x:c>
      <x:c r="AA2106" s="84" t="str">
        <x:f>PROPER(TRIM('Raw Sales'!M2106))</x:f>
        <x:v>Paypal</x:v>
      </x:c>
      <x:c r="AB2106" s="84" t="str">
        <x:f>PROPER(TRIM('Raw Sales'!N2106))</x:f>
        <x:v>Liam Parker</x:v>
      </x:c>
      <x:c r="AC2106" s="85" t="n">
        <x:f>'Raw Sales'!O2106</x:f>
        <x:v>45968</x:v>
      </x:c>
      <x:c r="AD2106" s="84" t="n">
        <x:f>AC2106-B2106</x:f>
        <x:v>4</x:v>
      </x:c>
      <x:c r="AE2106" s="84" t="str">
        <x:f>IF(COUNTIF($A$5:A2106,A2106)&gt;1,"Duplicate","Keep")</x:f>
        <x:v>Keep</x:v>
      </x:c>
      <x:c r="AF2106" s="84" t="str">
        <x:f>IF(OR(R2106&lt;=0,AC2106&lt;B2106,H2106="Unknown",M2106="Unknown Product"),"Review","Valid")</x:f>
        <x:v>Valid</x:v>
      </x:c>
      <x:c r="AG2106" s="84" t="n">
        <x:f>IF(AND(AE2106="Keep",AF2106="Valid"),1,0)</x:f>
        <x:v>1</x:v>
      </x:c>
      <x:c r="AH2106" s="84" t="n">
        <x:f>IF(AND(AG2106=1,OR('Dashboard'!$B$4="All",I2106='Dashboard'!$B$4),OR('Dashboard'!$E$4="All",N2106='Dashboard'!$E$4),OR('Dashboard'!$H$4="All",K2106='Dashboard'!$H$4),OR('Dashboard'!$K$4="All",C2106='Dashboard'!$K$4)),1,0)</x:f>
        <x:v>1</x:v>
      </x:c>
      <x:c r="AI2106" s="84" t="n">
        <x:f>IF(AND(AG2106=1,OR('Dashboard'!$B$4="All",I2106='Dashboard'!$B$4),OR('Dashboard'!$E$4="All",N2106='Dashboard'!$E$4),OR('Dashboard'!$H$4="All",K2106='Dashboard'!$H$4)),1,0)</x:f>
        <x:v>1</x:v>
      </x:c>
    </x:row>
    <x:row r="2107">
      <x:c r="A2107" s="84" t="str">
        <x:f>'Raw Sales'!A2107</x:f>
        <x:v>ORD-2025-01556</x:v>
      </x:c>
      <x:c r="B2107" s="85" t="n">
        <x:f>'Raw Sales'!B2107</x:f>
        <x:v>45964</x:v>
      </x:c>
      <x:c r="C2107" s="84" t="n">
        <x:f>YEAR(B2107)</x:f>
        <x:v>2025</x:v>
      </x:c>
      <x:c r="D2107" s="91" t="n">
        <x:f>DATE(YEAR(B2107),MONTH(B2107),1)</x:f>
        <x:v>45962</x:v>
      </x:c>
      <x:c r="E2107" s="84" t="str">
        <x:f>TEXT(B2107,"mmm")</x:f>
        <x:v>Nov</x:v>
      </x:c>
      <x:c r="F2107" s="84" t="str">
        <x:f>'Raw Sales'!C2107</x:f>
        <x:v>CUST-0325</x:v>
      </x:c>
      <x:c r="G2107" s="84" t="str">
        <x:f>PROPER(TRIM('Raw Sales'!D2107))</x:f>
        <x:v>Caleb Baker</x:v>
      </x:c>
      <x:c r="H2107" s="84" t="str">
        <x:f>IF(TRIM('Raw Sales'!E2107)="","Unknown",PROPER(TRIM('Raw Sales'!E2107)))</x:f>
        <x:v>Small Business</x:v>
      </x:c>
      <x:c r="I2107" s="84" t="str">
        <x:f>PROPER(TRIM('Raw Sales'!F2107))</x:f>
        <x:v>West</x:v>
      </x:c>
      <x:c r="J2107" s="84" t="str">
        <x:f>PROPER(TRIM('Raw Sales'!G2107))</x:f>
        <x:v>Phoenix</x:v>
      </x:c>
      <x:c r="K2107" s="84" t="str">
        <x:f>PROPER(TRIM('Raw Sales'!H2107))</x:f>
        <x:v>Marketplace</x:v>
      </x:c>
      <x:c r="L2107" s="84" t="str">
        <x:f>'Raw Sales'!I2107</x:f>
        <x:v>ELEC-003</x:v>
      </x:c>
      <x:c r="M2107" s="84" t="str">
        <x:f>IFERROR(VLOOKUP(L2107,'Reference Data'!$A$5:$F$40,2,FALSE),"Unknown Product")</x:f>
        <x:v>Bluetooth Speaker</x:v>
      </x:c>
      <x:c r="N2107" s="84" t="str">
        <x:f>IFERROR(VLOOKUP(L2107,'Reference Data'!$A$5:$F$40,3,FALSE),"Unknown")</x:f>
        <x:v>Electronics</x:v>
      </x:c>
      <x:c r="O2107" s="84" t="str">
        <x:f>IFERROR(VLOOKUP(L2107,'Reference Data'!$A$5:$F$40,4,FALSE),"Unknown")</x:f>
        <x:v>Audio</x:v>
      </x:c>
      <x:c r="P2107" s="92" t="n">
        <x:f>IFERROR(VLOOKUP(L2107,'Reference Data'!$A$5:$F$40,5,FALSE),0)</x:f>
        <x:v>89</x:v>
      </x:c>
      <x:c r="Q2107" s="92" t="n">
        <x:f>IFERROR(VLOOKUP(L2107,'Reference Data'!$A$5:$F$40,6,FALSE),0)</x:f>
        <x:v>44</x:v>
      </x:c>
      <x:c r="R2107" s="84" t="n">
        <x:f>'Raw Sales'!J2107</x:f>
        <x:v>1</x:v>
      </x:c>
      <x:c r="S2107" s="87" t="n">
        <x:f>'Raw Sales'!K2107</x:f>
        <x:v>0</x:v>
      </x:c>
      <x:c r="T2107" s="93" t="n">
        <x:f>P2107*R2107</x:f>
        <x:v>89</x:v>
      </x:c>
      <x:c r="U2107" s="93" t="n">
        <x:f>T2107*S2107</x:f>
        <x:v>0</x:v>
      </x:c>
      <x:c r="V2107" s="93" t="str">
        <x:f>PROPER(TRIM('Raw Sales'!L2107))</x:f>
        <x:v>Completed</x:v>
      </x:c>
      <x:c r="W2107" s="93" t="n">
        <x:f>IF(V2107="Returned",0,T2107-U2107)</x:f>
        <x:v>89</x:v>
      </x:c>
      <x:c r="X2107" s="93" t="n">
        <x:f>IF(V2107="Returned",Q2107*R2107*10%,Q2107*R2107)</x:f>
        <x:v>44</x:v>
      </x:c>
      <x:c r="Y2107" s="93" t="n">
        <x:f>W2107-X2107</x:f>
        <x:v>45</x:v>
      </x:c>
      <x:c r="Z2107" s="94" t="n">
        <x:f>IFERROR(Y2107/W2107,0)</x:f>
        <x:v>0.5056179775280899</x:v>
      </x:c>
      <x:c r="AA2107" s="84" t="str">
        <x:f>PROPER(TRIM('Raw Sales'!M2107))</x:f>
        <x:v>Debit Card</x:v>
      </x:c>
      <x:c r="AB2107" s="84" t="str">
        <x:f>PROPER(TRIM('Raw Sales'!N2107))</x:f>
        <x:v>Leo Martinez</x:v>
      </x:c>
      <x:c r="AC2107" s="85" t="n">
        <x:f>'Raw Sales'!O2107</x:f>
        <x:v>45969</x:v>
      </x:c>
      <x:c r="AD2107" s="84" t="n">
        <x:f>AC2107-B2107</x:f>
        <x:v>5</x:v>
      </x:c>
      <x:c r="AE2107" s="84" t="str">
        <x:f>IF(COUNTIF($A$5:A2107,A2107)&gt;1,"Duplicate","Keep")</x:f>
        <x:v>Keep</x:v>
      </x:c>
      <x:c r="AF2107" s="84" t="str">
        <x:f>IF(OR(R2107&lt;=0,AC2107&lt;B2107,H2107="Unknown",M2107="Unknown Product"),"Review","Valid")</x:f>
        <x:v>Valid</x:v>
      </x:c>
      <x:c r="AG2107" s="84" t="n">
        <x:f>IF(AND(AE2107="Keep",AF2107="Valid"),1,0)</x:f>
        <x:v>1</x:v>
      </x:c>
      <x:c r="AH2107" s="84" t="n">
        <x:f>IF(AND(AG2107=1,OR('Dashboard'!$B$4="All",I2107='Dashboard'!$B$4),OR('Dashboard'!$E$4="All",N2107='Dashboard'!$E$4),OR('Dashboard'!$H$4="All",K2107='Dashboard'!$H$4),OR('Dashboard'!$K$4="All",C2107='Dashboard'!$K$4)),1,0)</x:f>
        <x:v>1</x:v>
      </x:c>
      <x:c r="AI2107" s="84" t="n">
        <x:f>IF(AND(AG2107=1,OR('Dashboard'!$B$4="All",I2107='Dashboard'!$B$4),OR('Dashboard'!$E$4="All",N2107='Dashboard'!$E$4),OR('Dashboard'!$H$4="All",K2107='Dashboard'!$H$4)),1,0)</x:f>
        <x:v>1</x:v>
      </x:c>
    </x:row>
    <x:row r="2108">
      <x:c r="A2108" s="84" t="str">
        <x:f>'Raw Sales'!A2108</x:f>
        <x:v>ORD-2025-01670</x:v>
      </x:c>
      <x:c r="B2108" s="85" t="n">
        <x:f>'Raw Sales'!B2108</x:f>
        <x:v>45964</x:v>
      </x:c>
      <x:c r="C2108" s="84" t="n">
        <x:f>YEAR(B2108)</x:f>
        <x:v>2025</x:v>
      </x:c>
      <x:c r="D2108" s="91" t="n">
        <x:f>DATE(YEAR(B2108),MONTH(B2108),1)</x:f>
        <x:v>45962</x:v>
      </x:c>
      <x:c r="E2108" s="84" t="str">
        <x:f>TEXT(B2108,"mmm")</x:f>
        <x:v>Nov</x:v>
      </x:c>
      <x:c r="F2108" s="84" t="str">
        <x:f>'Raw Sales'!C2108</x:f>
        <x:v>CUST-0047</x:v>
      </x:c>
      <x:c r="G2108" s="84" t="str">
        <x:f>PROPER(TRIM('Raw Sales'!D2108))</x:f>
        <x:v>Isaac Adams</x:v>
      </x:c>
      <x:c r="H2108" s="84" t="str">
        <x:f>IF(TRIM('Raw Sales'!E2108)="","Unknown",PROPER(TRIM('Raw Sales'!E2108)))</x:f>
        <x:v>Consumer</x:v>
      </x:c>
      <x:c r="I2108" s="84" t="str">
        <x:f>PROPER(TRIM('Raw Sales'!F2108))</x:f>
        <x:v>Southeast</x:v>
      </x:c>
      <x:c r="J2108" s="84" t="str">
        <x:f>PROPER(TRIM('Raw Sales'!G2108))</x:f>
        <x:v>Nashville</x:v>
      </x:c>
      <x:c r="K2108" s="84" t="str">
        <x:f>PROPER(TRIM('Raw Sales'!H2108))</x:f>
        <x:v>Marketplace</x:v>
      </x:c>
      <x:c r="L2108" s="84" t="str">
        <x:f>'Raw Sales'!I2108</x:f>
        <x:v>ELEC-002</x:v>
      </x:c>
      <x:c r="M2108" s="84" t="str">
        <x:f>IFERROR(VLOOKUP(L2108,'Reference Data'!$A$5:$F$40,2,FALSE),"Unknown Product")</x:f>
        <x:v>Smartwatch</x:v>
      </x:c>
      <x:c r="N2108" s="84" t="str">
        <x:f>IFERROR(VLOOKUP(L2108,'Reference Data'!$A$5:$F$40,3,FALSE),"Unknown")</x:f>
        <x:v>Electronics</x:v>
      </x:c>
      <x:c r="O2108" s="84" t="str">
        <x:f>IFERROR(VLOOKUP(L2108,'Reference Data'!$A$5:$F$40,4,FALSE),"Unknown")</x:f>
        <x:v>Wearables</x:v>
      </x:c>
      <x:c r="P2108" s="92" t="n">
        <x:f>IFERROR(VLOOKUP(L2108,'Reference Data'!$A$5:$F$40,5,FALSE),0)</x:f>
        <x:v>159</x:v>
      </x:c>
      <x:c r="Q2108" s="92" t="n">
        <x:f>IFERROR(VLOOKUP(L2108,'Reference Data'!$A$5:$F$40,6,FALSE),0)</x:f>
        <x:v>92</x:v>
      </x:c>
      <x:c r="R2108" s="84" t="n">
        <x:f>'Raw Sales'!J2108</x:f>
        <x:v>1</x:v>
      </x:c>
      <x:c r="S2108" s="87" t="n">
        <x:f>'Raw Sales'!K2108</x:f>
        <x:v>0.15</x:v>
      </x:c>
      <x:c r="T2108" s="93" t="n">
        <x:f>P2108*R2108</x:f>
        <x:v>159</x:v>
      </x:c>
      <x:c r="U2108" s="93" t="n">
        <x:f>T2108*S2108</x:f>
        <x:v>23.849999999999998</x:v>
      </x:c>
      <x:c r="V2108" s="93" t="str">
        <x:f>PROPER(TRIM('Raw Sales'!L2108))</x:f>
        <x:v>Completed</x:v>
      </x:c>
      <x:c r="W2108" s="93" t="n">
        <x:f>IF(V2108="Returned",0,T2108-U2108)</x:f>
        <x:v>135.15</x:v>
      </x:c>
      <x:c r="X2108" s="93" t="n">
        <x:f>IF(V2108="Returned",Q2108*R2108*10%,Q2108*R2108)</x:f>
        <x:v>92</x:v>
      </x:c>
      <x:c r="Y2108" s="93" t="n">
        <x:f>W2108-X2108</x:f>
        <x:v>43.150000000000006</x:v>
      </x:c>
      <x:c r="Z2108" s="94" t="n">
        <x:f>IFERROR(Y2108/W2108,0)</x:f>
        <x:v>0.31927487976322605</x:v>
      </x:c>
      <x:c r="AA2108" s="84" t="str">
        <x:f>PROPER(TRIM('Raw Sales'!M2108))</x:f>
        <x:v>Mobile Wallet</x:v>
      </x:c>
      <x:c r="AB2108" s="84" t="str">
        <x:f>PROPER(TRIM('Raw Sales'!N2108))</x:f>
        <x:v>Ava Mitchell</x:v>
      </x:c>
      <x:c r="AC2108" s="85" t="n">
        <x:f>'Raw Sales'!O2108</x:f>
        <x:v>45967</x:v>
      </x:c>
      <x:c r="AD2108" s="84" t="n">
        <x:f>AC2108-B2108</x:f>
        <x:v>3</x:v>
      </x:c>
      <x:c r="AE2108" s="84" t="str">
        <x:f>IF(COUNTIF($A$5:A2108,A2108)&gt;1,"Duplicate","Keep")</x:f>
        <x:v>Keep</x:v>
      </x:c>
      <x:c r="AF2108" s="84" t="str">
        <x:f>IF(OR(R2108&lt;=0,AC2108&lt;B2108,H2108="Unknown",M2108="Unknown Product"),"Review","Valid")</x:f>
        <x:v>Valid</x:v>
      </x:c>
      <x:c r="AG2108" s="84" t="n">
        <x:f>IF(AND(AE2108="Keep",AF2108="Valid"),1,0)</x:f>
        <x:v>1</x:v>
      </x:c>
      <x:c r="AH2108" s="84" t="n">
        <x:f>IF(AND(AG2108=1,OR('Dashboard'!$B$4="All",I2108='Dashboard'!$B$4),OR('Dashboard'!$E$4="All",N2108='Dashboard'!$E$4),OR('Dashboard'!$H$4="All",K2108='Dashboard'!$H$4),OR('Dashboard'!$K$4="All",C2108='Dashboard'!$K$4)),1,0)</x:f>
        <x:v>1</x:v>
      </x:c>
      <x:c r="AI2108" s="84" t="n">
        <x:f>IF(AND(AG2108=1,OR('Dashboard'!$B$4="All",I2108='Dashboard'!$B$4),OR('Dashboard'!$E$4="All",N2108='Dashboard'!$E$4),OR('Dashboard'!$H$4="All",K2108='Dashboard'!$H$4)),1,0)</x:f>
        <x:v>1</x:v>
      </x:c>
    </x:row>
    <x:row r="2109">
      <x:c r="A2109" s="84" t="str">
        <x:f>'Raw Sales'!A2109</x:f>
        <x:v>ORD-2025-02351</x:v>
      </x:c>
      <x:c r="B2109" s="85" t="n">
        <x:f>'Raw Sales'!B2109</x:f>
        <x:v>45964</x:v>
      </x:c>
      <x:c r="C2109" s="84" t="n">
        <x:f>YEAR(B2109)</x:f>
        <x:v>2025</x:v>
      </x:c>
      <x:c r="D2109" s="91" t="n">
        <x:f>DATE(YEAR(B2109),MONTH(B2109),1)</x:f>
        <x:v>45962</x:v>
      </x:c>
      <x:c r="E2109" s="84" t="str">
        <x:f>TEXT(B2109,"mmm")</x:f>
        <x:v>Nov</x:v>
      </x:c>
      <x:c r="F2109" s="84" t="str">
        <x:f>'Raw Sales'!C2109</x:f>
        <x:v>CUST-0253</x:v>
      </x:c>
      <x:c r="G2109" s="84" t="str">
        <x:f>PROPER(TRIM('Raw Sales'!D2109))</x:f>
        <x:v>Caleb Quinn</x:v>
      </x:c>
      <x:c r="H2109" s="84" t="str">
        <x:f>IF(TRIM('Raw Sales'!E2109)="","Unknown",PROPER(TRIM('Raw Sales'!E2109)))</x:f>
        <x:v>Corporate</x:v>
      </x:c>
      <x:c r="I2109" s="84" t="str">
        <x:f>PROPER(TRIM('Raw Sales'!F2109))</x:f>
        <x:v>Midwest</x:v>
      </x:c>
      <x:c r="J2109" s="84" t="str">
        <x:f>PROPER(TRIM('Raw Sales'!G2109))</x:f>
        <x:v>Chicago</x:v>
      </x:c>
      <x:c r="K2109" s="84" t="str">
        <x:f>PROPER(TRIM('Raw Sales'!H2109))</x:f>
        <x:v>Retail Store</x:v>
      </x:c>
      <x:c r="L2109" s="84" t="str">
        <x:f>'Raw Sales'!I2109</x:f>
        <x:v>ACCS-005</x:v>
      </x:c>
      <x:c r="M2109" s="84" t="str">
        <x:f>IFERROR(VLOOKUP(L2109,'Reference Data'!$A$5:$F$40,2,FALSE),"Unknown Product")</x:f>
        <x:v>Protective Phone Case</x:v>
      </x:c>
      <x:c r="N2109" s="84" t="str">
        <x:f>IFERROR(VLOOKUP(L2109,'Reference Data'!$A$5:$F$40,3,FALSE),"Unknown")</x:f>
        <x:v>Accessories</x:v>
      </x:c>
      <x:c r="O2109" s="84" t="str">
        <x:f>IFERROR(VLOOKUP(L2109,'Reference Data'!$A$5:$F$40,4,FALSE),"Unknown")</x:f>
        <x:v>Mobile Accessories</x:v>
      </x:c>
      <x:c r="P2109" s="92" t="n">
        <x:f>IFERROR(VLOOKUP(L2109,'Reference Data'!$A$5:$F$40,5,FALSE),0)</x:f>
        <x:v>24</x:v>
      </x:c>
      <x:c r="Q2109" s="92" t="n">
        <x:f>IFERROR(VLOOKUP(L2109,'Reference Data'!$A$5:$F$40,6,FALSE),0)</x:f>
        <x:v>5</x:v>
      </x:c>
      <x:c r="R2109" s="84" t="n">
        <x:f>'Raw Sales'!J2109</x:f>
        <x:v>5</x:v>
      </x:c>
      <x:c r="S2109" s="87" t="n">
        <x:f>'Raw Sales'!K2109</x:f>
        <x:v>0</x:v>
      </x:c>
      <x:c r="T2109" s="93" t="n">
        <x:f>P2109*R2109</x:f>
        <x:v>120</x:v>
      </x:c>
      <x:c r="U2109" s="93" t="n">
        <x:f>T2109*S2109</x:f>
        <x:v>0</x:v>
      </x:c>
      <x:c r="V2109" s="93" t="str">
        <x:f>PROPER(TRIM('Raw Sales'!L2109))</x:f>
        <x:v>Completed</x:v>
      </x:c>
      <x:c r="W2109" s="93" t="n">
        <x:f>IF(V2109="Returned",0,T2109-U2109)</x:f>
        <x:v>120</x:v>
      </x:c>
      <x:c r="X2109" s="93" t="n">
        <x:f>IF(V2109="Returned",Q2109*R2109*10%,Q2109*R2109)</x:f>
        <x:v>25</x:v>
      </x:c>
      <x:c r="Y2109" s="93" t="n">
        <x:f>W2109-X2109</x:f>
        <x:v>95</x:v>
      </x:c>
      <x:c r="Z2109" s="94" t="n">
        <x:f>IFERROR(Y2109/W2109,0)</x:f>
        <x:v>0.7916666666666666</x:v>
      </x:c>
      <x:c r="AA2109" s="84" t="str">
        <x:f>PROPER(TRIM('Raw Sales'!M2109))</x:f>
        <x:v>Credit Card</x:v>
      </x:c>
      <x:c r="AB2109" s="84" t="str">
        <x:f>PROPER(TRIM('Raw Sales'!N2109))</x:f>
        <x:v>Emma Hayes</x:v>
      </x:c>
      <x:c r="AC2109" s="85" t="n">
        <x:f>'Raw Sales'!O2109</x:f>
        <x:v>45964</x:v>
      </x:c>
      <x:c r="AD2109" s="84" t="n">
        <x:f>AC2109-B2109</x:f>
        <x:v>0</x:v>
      </x:c>
      <x:c r="AE2109" s="84" t="str">
        <x:f>IF(COUNTIF($A$5:A2109,A2109)&gt;1,"Duplicate","Keep")</x:f>
        <x:v>Keep</x:v>
      </x:c>
      <x:c r="AF2109" s="84" t="str">
        <x:f>IF(OR(R2109&lt;=0,AC2109&lt;B2109,H2109="Unknown",M2109="Unknown Product"),"Review","Valid")</x:f>
        <x:v>Valid</x:v>
      </x:c>
      <x:c r="AG2109" s="84" t="n">
        <x:f>IF(AND(AE2109="Keep",AF2109="Valid"),1,0)</x:f>
        <x:v>1</x:v>
      </x:c>
      <x:c r="AH2109" s="84" t="n">
        <x:f>IF(AND(AG2109=1,OR('Dashboard'!$B$4="All",I2109='Dashboard'!$B$4),OR('Dashboard'!$E$4="All",N2109='Dashboard'!$E$4),OR('Dashboard'!$H$4="All",K2109='Dashboard'!$H$4),OR('Dashboard'!$K$4="All",C2109='Dashboard'!$K$4)),1,0)</x:f>
        <x:v>1</x:v>
      </x:c>
      <x:c r="AI2109" s="84" t="n">
        <x:f>IF(AND(AG2109=1,OR('Dashboard'!$B$4="All",I2109='Dashboard'!$B$4),OR('Dashboard'!$E$4="All",N2109='Dashboard'!$E$4),OR('Dashboard'!$H$4="All",K2109='Dashboard'!$H$4)),1,0)</x:f>
        <x:v>1</x:v>
      </x:c>
    </x:row>
    <x:row r="2110">
      <x:c r="A2110" s="84" t="str">
        <x:f>'Raw Sales'!A2110</x:f>
        <x:v>ORD-2025-00200</x:v>
      </x:c>
      <x:c r="B2110" s="85" t="n">
        <x:f>'Raw Sales'!B2110</x:f>
        <x:v>45965</x:v>
      </x:c>
      <x:c r="C2110" s="84" t="n">
        <x:f>YEAR(B2110)</x:f>
        <x:v>2025</x:v>
      </x:c>
      <x:c r="D2110" s="91" t="n">
        <x:f>DATE(YEAR(B2110),MONTH(B2110),1)</x:f>
        <x:v>45962</x:v>
      </x:c>
      <x:c r="E2110" s="84" t="str">
        <x:f>TEXT(B2110,"mmm")</x:f>
        <x:v>Nov</x:v>
      </x:c>
      <x:c r="F2110" s="84" t="str">
        <x:f>'Raw Sales'!C2110</x:f>
        <x:v>CUST-0357</x:v>
      </x:c>
      <x:c r="G2110" s="84" t="str">
        <x:f>PROPER(TRIM('Raw Sales'!D2110))</x:f>
        <x:v>Priya Baker</x:v>
      </x:c>
      <x:c r="H2110" s="84" t="str">
        <x:f>IF(TRIM('Raw Sales'!E2110)="","Unknown",PROPER(TRIM('Raw Sales'!E2110)))</x:f>
        <x:v>Consumer</x:v>
      </x:c>
      <x:c r="I2110" s="84" t="str">
        <x:f>PROPER(TRIM('Raw Sales'!F2110))</x:f>
        <x:v>Southeast</x:v>
      </x:c>
      <x:c r="J2110" s="84" t="str">
        <x:f>PROPER(TRIM('Raw Sales'!G2110))</x:f>
        <x:v>Atlanta</x:v>
      </x:c>
      <x:c r="K2110" s="84" t="str">
        <x:f>PROPER(TRIM('Raw Sales'!H2110))</x:f>
        <x:v>Online</x:v>
      </x:c>
      <x:c r="L2110" s="84" t="str">
        <x:f>'Raw Sales'!I2110</x:f>
        <x:v>OFFC-002</x:v>
      </x:c>
      <x:c r="M2110" s="84" t="str">
        <x:f>IFERROR(VLOOKUP(L2110,'Reference Data'!$A$5:$F$40,2,FALSE),"Unknown Product")</x:f>
        <x:v>Standing Desk</x:v>
      </x:c>
      <x:c r="N2110" s="84" t="str">
        <x:f>IFERROR(VLOOKUP(L2110,'Reference Data'!$A$5:$F$40,3,FALSE),"Unknown")</x:f>
        <x:v>Office</x:v>
      </x:c>
      <x:c r="O2110" s="84" t="str">
        <x:f>IFERROR(VLOOKUP(L2110,'Reference Data'!$A$5:$F$40,4,FALSE),"Unknown")</x:f>
        <x:v>Furniture</x:v>
      </x:c>
      <x:c r="P2110" s="92" t="n">
        <x:f>IFERROR(VLOOKUP(L2110,'Reference Data'!$A$5:$F$40,5,FALSE),0)</x:f>
        <x:v>399</x:v>
      </x:c>
      <x:c r="Q2110" s="92" t="n">
        <x:f>IFERROR(VLOOKUP(L2110,'Reference Data'!$A$5:$F$40,6,FALSE),0)</x:f>
        <x:v>235</x:v>
      </x:c>
      <x:c r="R2110" s="84" t="n">
        <x:f>'Raw Sales'!J2110</x:f>
        <x:v>1</x:v>
      </x:c>
      <x:c r="S2110" s="87" t="n">
        <x:f>'Raw Sales'!K2110</x:f>
        <x:v>0.1</x:v>
      </x:c>
      <x:c r="T2110" s="93" t="n">
        <x:f>P2110*R2110</x:f>
        <x:v>399</x:v>
      </x:c>
      <x:c r="U2110" s="93" t="n">
        <x:f>T2110*S2110</x:f>
        <x:v>39.900000000000006</x:v>
      </x:c>
      <x:c r="V2110" s="93" t="str">
        <x:f>PROPER(TRIM('Raw Sales'!L2110))</x:f>
        <x:v>Completed</x:v>
      </x:c>
      <x:c r="W2110" s="93" t="n">
        <x:f>IF(V2110="Returned",0,T2110-U2110)</x:f>
        <x:v>359.1</x:v>
      </x:c>
      <x:c r="X2110" s="93" t="n">
        <x:f>IF(V2110="Returned",Q2110*R2110*10%,Q2110*R2110)</x:f>
        <x:v>235</x:v>
      </x:c>
      <x:c r="Y2110" s="93" t="n">
        <x:f>W2110-X2110</x:f>
        <x:v>124.10000000000002</x:v>
      </x:c>
      <x:c r="Z2110" s="94" t="n">
        <x:f>IFERROR(Y2110/W2110,0)</x:f>
        <x:v>0.3455861876914509</x:v>
      </x:c>
      <x:c r="AA2110" s="84" t="str">
        <x:f>PROPER(TRIM('Raw Sales'!M2110))</x:f>
        <x:v>Mobile Wallet</x:v>
      </x:c>
      <x:c r="AB2110" s="84" t="str">
        <x:f>PROPER(TRIM('Raw Sales'!N2110))</x:f>
        <x:v>Ava Mitchell</x:v>
      </x:c>
      <x:c r="AC2110" s="85" t="n">
        <x:f>'Raw Sales'!O2110</x:f>
        <x:v>45968</x:v>
      </x:c>
      <x:c r="AD2110" s="84" t="n">
        <x:f>AC2110-B2110</x:f>
        <x:v>3</x:v>
      </x:c>
      <x:c r="AE2110" s="84" t="str">
        <x:f>IF(COUNTIF($A$5:A2110,A2110)&gt;1,"Duplicate","Keep")</x:f>
        <x:v>Keep</x:v>
      </x:c>
      <x:c r="AF2110" s="84" t="str">
        <x:f>IF(OR(R2110&lt;=0,AC2110&lt;B2110,H2110="Unknown",M2110="Unknown Product"),"Review","Valid")</x:f>
        <x:v>Valid</x:v>
      </x:c>
      <x:c r="AG2110" s="84" t="n">
        <x:f>IF(AND(AE2110="Keep",AF2110="Valid"),1,0)</x:f>
        <x:v>1</x:v>
      </x:c>
      <x:c r="AH2110" s="84" t="n">
        <x:f>IF(AND(AG2110=1,OR('Dashboard'!$B$4="All",I2110='Dashboard'!$B$4),OR('Dashboard'!$E$4="All",N2110='Dashboard'!$E$4),OR('Dashboard'!$H$4="All",K2110='Dashboard'!$H$4),OR('Dashboard'!$K$4="All",C2110='Dashboard'!$K$4)),1,0)</x:f>
        <x:v>1</x:v>
      </x:c>
      <x:c r="AI2110" s="84" t="n">
        <x:f>IF(AND(AG2110=1,OR('Dashboard'!$B$4="All",I2110='Dashboard'!$B$4),OR('Dashboard'!$E$4="All",N2110='Dashboard'!$E$4),OR('Dashboard'!$H$4="All",K2110='Dashboard'!$H$4)),1,0)</x:f>
        <x:v>1</x:v>
      </x:c>
    </x:row>
    <x:row r="2111">
      <x:c r="A2111" s="84" t="str">
        <x:f>'Raw Sales'!A2111</x:f>
        <x:v>ORD-2025-01502</x:v>
      </x:c>
      <x:c r="B2111" s="85" t="n">
        <x:f>'Raw Sales'!B2111</x:f>
        <x:v>45965</x:v>
      </x:c>
      <x:c r="C2111" s="84" t="n">
        <x:f>YEAR(B2111)</x:f>
        <x:v>2025</x:v>
      </x:c>
      <x:c r="D2111" s="91" t="n">
        <x:f>DATE(YEAR(B2111),MONTH(B2111),1)</x:f>
        <x:v>45962</x:v>
      </x:c>
      <x:c r="E2111" s="84" t="str">
        <x:f>TEXT(B2111,"mmm")</x:f>
        <x:v>Nov</x:v>
      </x:c>
      <x:c r="F2111" s="84" t="str">
        <x:f>'Raw Sales'!C2111</x:f>
        <x:v>CUST-0241</x:v>
      </x:c>
      <x:c r="G2111" s="84" t="str">
        <x:f>PROPER(TRIM('Raw Sales'!D2111))</x:f>
        <x:v>Maya Young</x:v>
      </x:c>
      <x:c r="H2111" s="84" t="str">
        <x:f>IF(TRIM('Raw Sales'!E2111)="","Unknown",PROPER(TRIM('Raw Sales'!E2111)))</x:f>
        <x:v>Small Business</x:v>
      </x:c>
      <x:c r="I2111" s="84" t="str">
        <x:f>PROPER(TRIM('Raw Sales'!F2111))</x:f>
        <x:v>Southeast</x:v>
      </x:c>
      <x:c r="J2111" s="84" t="str">
        <x:f>PROPER(TRIM('Raw Sales'!G2111))</x:f>
        <x:v>Atlanta</x:v>
      </x:c>
      <x:c r="K2111" s="84" t="str">
        <x:f>PROPER(TRIM('Raw Sales'!H2111))</x:f>
        <x:v>Retail Store</x:v>
      </x:c>
      <x:c r="L2111" s="84" t="str">
        <x:f>'Raw Sales'!I2111</x:f>
        <x:v>OFFC-004</x:v>
      </x:c>
      <x:c r="M2111" s="84" t="str">
        <x:f>IFERROR(VLOOKUP(L2111,'Reference Data'!$A$5:$F$40,2,FALSE),"Unknown Product")</x:f>
        <x:v>Premium Notebook Pack</x:v>
      </x:c>
      <x:c r="N2111" s="84" t="str">
        <x:f>IFERROR(VLOOKUP(L2111,'Reference Data'!$A$5:$F$40,3,FALSE),"Unknown")</x:f>
        <x:v>Office</x:v>
      </x:c>
      <x:c r="O2111" s="84" t="str">
        <x:f>IFERROR(VLOOKUP(L2111,'Reference Data'!$A$5:$F$40,4,FALSE),"Unknown")</x:f>
        <x:v>Stationery</x:v>
      </x:c>
      <x:c r="P2111" s="92" t="n">
        <x:f>IFERROR(VLOOKUP(L2111,'Reference Data'!$A$5:$F$40,5,FALSE),0)</x:f>
        <x:v>18</x:v>
      </x:c>
      <x:c r="Q2111" s="92" t="n">
        <x:f>IFERROR(VLOOKUP(L2111,'Reference Data'!$A$5:$F$40,6,FALSE),0)</x:f>
        <x:v>6.5</x:v>
      </x:c>
      <x:c r="R2111" s="84" t="n">
        <x:f>'Raw Sales'!J2111</x:f>
        <x:v>1</x:v>
      </x:c>
      <x:c r="S2111" s="87" t="n">
        <x:f>'Raw Sales'!K2111</x:f>
        <x:v>0</x:v>
      </x:c>
      <x:c r="T2111" s="93" t="n">
        <x:f>P2111*R2111</x:f>
        <x:v>18</x:v>
      </x:c>
      <x:c r="U2111" s="93" t="n">
        <x:f>T2111*S2111</x:f>
        <x:v>0</x:v>
      </x:c>
      <x:c r="V2111" s="93" t="str">
        <x:f>PROPER(TRIM('Raw Sales'!L2111))</x:f>
        <x:v>Completed</x:v>
      </x:c>
      <x:c r="W2111" s="93" t="n">
        <x:f>IF(V2111="Returned",0,T2111-U2111)</x:f>
        <x:v>18</x:v>
      </x:c>
      <x:c r="X2111" s="93" t="n">
        <x:f>IF(V2111="Returned",Q2111*R2111*10%,Q2111*R2111)</x:f>
        <x:v>6.5</x:v>
      </x:c>
      <x:c r="Y2111" s="93" t="n">
        <x:f>W2111-X2111</x:f>
        <x:v>11.5</x:v>
      </x:c>
      <x:c r="Z2111" s="94" t="n">
        <x:f>IFERROR(Y2111/W2111,0)</x:f>
        <x:v>0.6388888888888888</x:v>
      </x:c>
      <x:c r="AA2111" s="84" t="str">
        <x:f>PROPER(TRIM('Raw Sales'!M2111))</x:f>
        <x:v>Mobile Wallet</x:v>
      </x:c>
      <x:c r="AB2111" s="84" t="str">
        <x:f>PROPER(TRIM('Raw Sales'!N2111))</x:f>
        <x:v>Liam Parker</x:v>
      </x:c>
      <x:c r="AC2111" s="85" t="n">
        <x:f>'Raw Sales'!O2111</x:f>
        <x:v>45965</x:v>
      </x:c>
      <x:c r="AD2111" s="84" t="n">
        <x:f>AC2111-B2111</x:f>
        <x:v>0</x:v>
      </x:c>
      <x:c r="AE2111" s="84" t="str">
        <x:f>IF(COUNTIF($A$5:A2111,A2111)&gt;1,"Duplicate","Keep")</x:f>
        <x:v>Keep</x:v>
      </x:c>
      <x:c r="AF2111" s="84" t="str">
        <x:f>IF(OR(R2111&lt;=0,AC2111&lt;B2111,H2111="Unknown",M2111="Unknown Product"),"Review","Valid")</x:f>
        <x:v>Valid</x:v>
      </x:c>
      <x:c r="AG2111" s="84" t="n">
        <x:f>IF(AND(AE2111="Keep",AF2111="Valid"),1,0)</x:f>
        <x:v>1</x:v>
      </x:c>
      <x:c r="AH2111" s="84" t="n">
        <x:f>IF(AND(AG2111=1,OR('Dashboard'!$B$4="All",I2111='Dashboard'!$B$4),OR('Dashboard'!$E$4="All",N2111='Dashboard'!$E$4),OR('Dashboard'!$H$4="All",K2111='Dashboard'!$H$4),OR('Dashboard'!$K$4="All",C2111='Dashboard'!$K$4)),1,0)</x:f>
        <x:v>1</x:v>
      </x:c>
      <x:c r="AI2111" s="84" t="n">
        <x:f>IF(AND(AG2111=1,OR('Dashboard'!$B$4="All",I2111='Dashboard'!$B$4),OR('Dashboard'!$E$4="All",N2111='Dashboard'!$E$4),OR('Dashboard'!$H$4="All",K2111='Dashboard'!$H$4)),1,0)</x:f>
        <x:v>1</x:v>
      </x:c>
    </x:row>
    <x:row r="2112">
      <x:c r="A2112" s="84" t="str">
        <x:f>'Raw Sales'!A2112</x:f>
        <x:v>ORD-2025-02004</x:v>
      </x:c>
      <x:c r="B2112" s="85" t="n">
        <x:f>'Raw Sales'!B2112</x:f>
        <x:v>45965</x:v>
      </x:c>
      <x:c r="C2112" s="84" t="n">
        <x:f>YEAR(B2112)</x:f>
        <x:v>2025</x:v>
      </x:c>
      <x:c r="D2112" s="91" t="n">
        <x:f>DATE(YEAR(B2112),MONTH(B2112),1)</x:f>
        <x:v>45962</x:v>
      </x:c>
      <x:c r="E2112" s="84" t="str">
        <x:f>TEXT(B2112,"mmm")</x:f>
        <x:v>Nov</x:v>
      </x:c>
      <x:c r="F2112" s="84" t="str">
        <x:f>'Raw Sales'!C2112</x:f>
        <x:v>CUST-0025</x:v>
      </x:c>
      <x:c r="G2112" s="84" t="str">
        <x:f>PROPER(TRIM('Raw Sales'!D2112))</x:f>
        <x:v>William Young</x:v>
      </x:c>
      <x:c r="H2112" s="84" t="str">
        <x:f>IF(TRIM('Raw Sales'!E2112)="","Unknown",PROPER(TRIM('Raw Sales'!E2112)))</x:f>
        <x:v>Consumer</x:v>
      </x:c>
      <x:c r="I2112" s="84" t="str">
        <x:f>PROPER(TRIM('Raw Sales'!F2112))</x:f>
        <x:v>Southeast</x:v>
      </x:c>
      <x:c r="J2112" s="84" t="str">
        <x:f>PROPER(TRIM('Raw Sales'!G2112))</x:f>
        <x:v>Atlanta</x:v>
      </x:c>
      <x:c r="K2112" s="84" t="str">
        <x:f>PROPER(TRIM('Raw Sales'!H2112))</x:f>
        <x:v>Retail Store</x:v>
      </x:c>
      <x:c r="L2112" s="84" t="str">
        <x:f>'Raw Sales'!I2112</x:f>
        <x:v>ELEC-002</x:v>
      </x:c>
      <x:c r="M2112" s="84" t="str">
        <x:f>IFERROR(VLOOKUP(L2112,'Reference Data'!$A$5:$F$40,2,FALSE),"Unknown Product")</x:f>
        <x:v>Smartwatch</x:v>
      </x:c>
      <x:c r="N2112" s="84" t="str">
        <x:f>IFERROR(VLOOKUP(L2112,'Reference Data'!$A$5:$F$40,3,FALSE),"Unknown")</x:f>
        <x:v>Electronics</x:v>
      </x:c>
      <x:c r="O2112" s="84" t="str">
        <x:f>IFERROR(VLOOKUP(L2112,'Reference Data'!$A$5:$F$40,4,FALSE),"Unknown")</x:f>
        <x:v>Wearables</x:v>
      </x:c>
      <x:c r="P2112" s="92" t="n">
        <x:f>IFERROR(VLOOKUP(L2112,'Reference Data'!$A$5:$F$40,5,FALSE),0)</x:f>
        <x:v>159</x:v>
      </x:c>
      <x:c r="Q2112" s="92" t="n">
        <x:f>IFERROR(VLOOKUP(L2112,'Reference Data'!$A$5:$F$40,6,FALSE),0)</x:f>
        <x:v>92</x:v>
      </x:c>
      <x:c r="R2112" s="84" t="n">
        <x:f>'Raw Sales'!J2112</x:f>
        <x:v>1</x:v>
      </x:c>
      <x:c r="S2112" s="87" t="n">
        <x:f>'Raw Sales'!K2112</x:f>
        <x:v>0.15</x:v>
      </x:c>
      <x:c r="T2112" s="93" t="n">
        <x:f>P2112*R2112</x:f>
        <x:v>159</x:v>
      </x:c>
      <x:c r="U2112" s="93" t="n">
        <x:f>T2112*S2112</x:f>
        <x:v>23.849999999999998</x:v>
      </x:c>
      <x:c r="V2112" s="93" t="str">
        <x:f>PROPER(TRIM('Raw Sales'!L2112))</x:f>
        <x:v>Completed</x:v>
      </x:c>
      <x:c r="W2112" s="93" t="n">
        <x:f>IF(V2112="Returned",0,T2112-U2112)</x:f>
        <x:v>135.15</x:v>
      </x:c>
      <x:c r="X2112" s="93" t="n">
        <x:f>IF(V2112="Returned",Q2112*R2112*10%,Q2112*R2112)</x:f>
        <x:v>92</x:v>
      </x:c>
      <x:c r="Y2112" s="93" t="n">
        <x:f>W2112-X2112</x:f>
        <x:v>43.150000000000006</x:v>
      </x:c>
      <x:c r="Z2112" s="94" t="n">
        <x:f>IFERROR(Y2112/W2112,0)</x:f>
        <x:v>0.31927487976322605</x:v>
      </x:c>
      <x:c r="AA2112" s="84" t="str">
        <x:f>PROPER(TRIM('Raw Sales'!M2112))</x:f>
        <x:v>Credit Card</x:v>
      </x:c>
      <x:c r="AB2112" s="84" t="str">
        <x:f>PROPER(TRIM('Raw Sales'!N2112))</x:f>
        <x:v>Liam Parker</x:v>
      </x:c>
      <x:c r="AC2112" s="85" t="n">
        <x:f>'Raw Sales'!O2112</x:f>
        <x:v>45965</x:v>
      </x:c>
      <x:c r="AD2112" s="84" t="n">
        <x:f>AC2112-B2112</x:f>
        <x:v>0</x:v>
      </x:c>
      <x:c r="AE2112" s="84" t="str">
        <x:f>IF(COUNTIF($A$5:A2112,A2112)&gt;1,"Duplicate","Keep")</x:f>
        <x:v>Keep</x:v>
      </x:c>
      <x:c r="AF2112" s="84" t="str">
        <x:f>IF(OR(R2112&lt;=0,AC2112&lt;B2112,H2112="Unknown",M2112="Unknown Product"),"Review","Valid")</x:f>
        <x:v>Valid</x:v>
      </x:c>
      <x:c r="AG2112" s="84" t="n">
        <x:f>IF(AND(AE2112="Keep",AF2112="Valid"),1,0)</x:f>
        <x:v>1</x:v>
      </x:c>
      <x:c r="AH2112" s="84" t="n">
        <x:f>IF(AND(AG2112=1,OR('Dashboard'!$B$4="All",I2112='Dashboard'!$B$4),OR('Dashboard'!$E$4="All",N2112='Dashboard'!$E$4),OR('Dashboard'!$H$4="All",K2112='Dashboard'!$H$4),OR('Dashboard'!$K$4="All",C2112='Dashboard'!$K$4)),1,0)</x:f>
        <x:v>1</x:v>
      </x:c>
      <x:c r="AI2112" s="84" t="n">
        <x:f>IF(AND(AG2112=1,OR('Dashboard'!$B$4="All",I2112='Dashboard'!$B$4),OR('Dashboard'!$E$4="All",N2112='Dashboard'!$E$4),OR('Dashboard'!$H$4="All",K2112='Dashboard'!$H$4)),1,0)</x:f>
        <x:v>1</x:v>
      </x:c>
    </x:row>
    <x:row r="2113">
      <x:c r="A2113" s="84" t="str">
        <x:f>'Raw Sales'!A2113</x:f>
        <x:v>ORD-2025-02212</x:v>
      </x:c>
      <x:c r="B2113" s="85" t="n">
        <x:f>'Raw Sales'!B2113</x:f>
        <x:v>45965</x:v>
      </x:c>
      <x:c r="C2113" s="84" t="n">
        <x:f>YEAR(B2113)</x:f>
        <x:v>2025</x:v>
      </x:c>
      <x:c r="D2113" s="91" t="n">
        <x:f>DATE(YEAR(B2113),MONTH(B2113),1)</x:f>
        <x:v>45962</x:v>
      </x:c>
      <x:c r="E2113" s="84" t="str">
        <x:f>TEXT(B2113,"mmm")</x:f>
        <x:v>Nov</x:v>
      </x:c>
      <x:c r="F2113" s="84" t="str">
        <x:f>'Raw Sales'!C2113</x:f>
        <x:v>CUST-0344</x:v>
      </x:c>
      <x:c r="G2113" s="84" t="str">
        <x:f>PROPER(TRIM('Raw Sales'!D2113))</x:f>
        <x:v>Elena Quinn</x:v>
      </x:c>
      <x:c r="H2113" s="84" t="str">
        <x:f>IF(TRIM('Raw Sales'!E2113)="","Unknown",PROPER(TRIM('Raw Sales'!E2113)))</x:f>
        <x:v>Small Business</x:v>
      </x:c>
      <x:c r="I2113" s="84" t="str">
        <x:f>PROPER(TRIM('Raw Sales'!F2113))</x:f>
        <x:v>Northeast</x:v>
      </x:c>
      <x:c r="J2113" s="84" t="str">
        <x:f>PROPER(TRIM('Raw Sales'!G2113))</x:f>
        <x:v>Newark</x:v>
      </x:c>
      <x:c r="K2113" s="84" t="str">
        <x:f>PROPER(TRIM('Raw Sales'!H2113))</x:f>
        <x:v>Online</x:v>
      </x:c>
      <x:c r="L2113" s="84" t="str">
        <x:f>'Raw Sales'!I2113</x:f>
        <x:v>ELEC-003</x:v>
      </x:c>
      <x:c r="M2113" s="84" t="str">
        <x:f>IFERROR(VLOOKUP(L2113,'Reference Data'!$A$5:$F$40,2,FALSE),"Unknown Product")</x:f>
        <x:v>Bluetooth Speaker</x:v>
      </x:c>
      <x:c r="N2113" s="84" t="str">
        <x:f>IFERROR(VLOOKUP(L2113,'Reference Data'!$A$5:$F$40,3,FALSE),"Unknown")</x:f>
        <x:v>Electronics</x:v>
      </x:c>
      <x:c r="O2113" s="84" t="str">
        <x:f>IFERROR(VLOOKUP(L2113,'Reference Data'!$A$5:$F$40,4,FALSE),"Unknown")</x:f>
        <x:v>Audio</x:v>
      </x:c>
      <x:c r="P2113" s="92" t="n">
        <x:f>IFERROR(VLOOKUP(L2113,'Reference Data'!$A$5:$F$40,5,FALSE),0)</x:f>
        <x:v>89</x:v>
      </x:c>
      <x:c r="Q2113" s="92" t="n">
        <x:f>IFERROR(VLOOKUP(L2113,'Reference Data'!$A$5:$F$40,6,FALSE),0)</x:f>
        <x:v>44</x:v>
      </x:c>
      <x:c r="R2113" s="84" t="n">
        <x:f>'Raw Sales'!J2113</x:f>
        <x:v>2</x:v>
      </x:c>
      <x:c r="S2113" s="87" t="n">
        <x:f>'Raw Sales'!K2113</x:f>
        <x:v>0</x:v>
      </x:c>
      <x:c r="T2113" s="93" t="n">
        <x:f>P2113*R2113</x:f>
        <x:v>178</x:v>
      </x:c>
      <x:c r="U2113" s="93" t="n">
        <x:f>T2113*S2113</x:f>
        <x:v>0</x:v>
      </x:c>
      <x:c r="V2113" s="93" t="str">
        <x:f>PROPER(TRIM('Raw Sales'!L2113))</x:f>
        <x:v>Completed</x:v>
      </x:c>
      <x:c r="W2113" s="93" t="n">
        <x:f>IF(V2113="Returned",0,T2113-U2113)</x:f>
        <x:v>178</x:v>
      </x:c>
      <x:c r="X2113" s="93" t="n">
        <x:f>IF(V2113="Returned",Q2113*R2113*10%,Q2113*R2113)</x:f>
        <x:v>88</x:v>
      </x:c>
      <x:c r="Y2113" s="93" t="n">
        <x:f>W2113-X2113</x:f>
        <x:v>90</x:v>
      </x:c>
      <x:c r="Z2113" s="94" t="n">
        <x:f>IFERROR(Y2113/W2113,0)</x:f>
        <x:v>0.5056179775280899</x:v>
      </x:c>
      <x:c r="AA2113" s="84" t="str">
        <x:f>PROPER(TRIM('Raw Sales'!M2113))</x:f>
        <x:v>Debit Card</x:v>
      </x:c>
      <x:c r="AB2113" s="84" t="str">
        <x:f>PROPER(TRIM('Raw Sales'!N2113))</x:f>
        <x:v>Sofia Bennett</x:v>
      </x:c>
      <x:c r="AC2113" s="85" t="n">
        <x:f>'Raw Sales'!O2113</x:f>
        <x:v>45969</x:v>
      </x:c>
      <x:c r="AD2113" s="84" t="n">
        <x:f>AC2113-B2113</x:f>
        <x:v>4</x:v>
      </x:c>
      <x:c r="AE2113" s="84" t="str">
        <x:f>IF(COUNTIF($A$5:A2113,A2113)&gt;1,"Duplicate","Keep")</x:f>
        <x:v>Keep</x:v>
      </x:c>
      <x:c r="AF2113" s="84" t="str">
        <x:f>IF(OR(R2113&lt;=0,AC2113&lt;B2113,H2113="Unknown",M2113="Unknown Product"),"Review","Valid")</x:f>
        <x:v>Valid</x:v>
      </x:c>
      <x:c r="AG2113" s="84" t="n">
        <x:f>IF(AND(AE2113="Keep",AF2113="Valid"),1,0)</x:f>
        <x:v>1</x:v>
      </x:c>
      <x:c r="AH2113" s="84" t="n">
        <x:f>IF(AND(AG2113=1,OR('Dashboard'!$B$4="All",I2113='Dashboard'!$B$4),OR('Dashboard'!$E$4="All",N2113='Dashboard'!$E$4),OR('Dashboard'!$H$4="All",K2113='Dashboard'!$H$4),OR('Dashboard'!$K$4="All",C2113='Dashboard'!$K$4)),1,0)</x:f>
        <x:v>1</x:v>
      </x:c>
      <x:c r="AI2113" s="84" t="n">
        <x:f>IF(AND(AG2113=1,OR('Dashboard'!$B$4="All",I2113='Dashboard'!$B$4),OR('Dashboard'!$E$4="All",N2113='Dashboard'!$E$4),OR('Dashboard'!$H$4="All",K2113='Dashboard'!$H$4)),1,0)</x:f>
        <x:v>1</x:v>
      </x:c>
    </x:row>
    <x:row r="2114">
      <x:c r="A2114" s="84" t="str">
        <x:f>'Raw Sales'!A2114</x:f>
        <x:v>ORD-2025-00476</x:v>
      </x:c>
      <x:c r="B2114" s="85" t="n">
        <x:f>'Raw Sales'!B2114</x:f>
        <x:v>45966</x:v>
      </x:c>
      <x:c r="C2114" s="84" t="n">
        <x:f>YEAR(B2114)</x:f>
        <x:v>2025</x:v>
      </x:c>
      <x:c r="D2114" s="91" t="n">
        <x:f>DATE(YEAR(B2114),MONTH(B2114),1)</x:f>
        <x:v>45962</x:v>
      </x:c>
      <x:c r="E2114" s="84" t="str">
        <x:f>TEXT(B2114,"mmm")</x:f>
        <x:v>Nov</x:v>
      </x:c>
      <x:c r="F2114" s="84" t="str">
        <x:f>'Raw Sales'!C2114</x:f>
        <x:v>CUST-0618</x:v>
      </x:c>
      <x:c r="G2114" s="84" t="str">
        <x:f>PROPER(TRIM('Raw Sales'!D2114))</x:f>
        <x:v>Layla Nelson</x:v>
      </x:c>
      <x:c r="H2114" s="84" t="str">
        <x:f>IF(TRIM('Raw Sales'!E2114)="","Unknown",PROPER(TRIM('Raw Sales'!E2114)))</x:f>
        <x:v>Consumer</x:v>
      </x:c>
      <x:c r="I2114" s="84" t="str">
        <x:f>PROPER(TRIM('Raw Sales'!F2114))</x:f>
        <x:v>Northeast</x:v>
      </x:c>
      <x:c r="J2114" s="84" t="str">
        <x:f>PROPER(TRIM('Raw Sales'!G2114))</x:f>
        <x:v>Philadelphia</x:v>
      </x:c>
      <x:c r="K2114" s="84" t="str">
        <x:f>PROPER(TRIM('Raw Sales'!H2114))</x:f>
        <x:v>Online</x:v>
      </x:c>
      <x:c r="L2114" s="84" t="str">
        <x:f>'Raw Sales'!I2114</x:f>
        <x:v>ELEC-004</x:v>
      </x:c>
      <x:c r="M2114" s="84" t="str">
        <x:f>IFERROR(VLOOKUP(L2114,'Reference Data'!$A$5:$F$40,2,FALSE),"Unknown Product")</x:f>
        <x:v>Power Bank</x:v>
      </x:c>
      <x:c r="N2114" s="84" t="str">
        <x:f>IFERROR(VLOOKUP(L2114,'Reference Data'!$A$5:$F$40,3,FALSE),"Unknown")</x:f>
        <x:v>Electronics</x:v>
      </x:c>
      <x:c r="O2114" s="84" t="str">
        <x:f>IFERROR(VLOOKUP(L2114,'Reference Data'!$A$5:$F$40,4,FALSE),"Unknown")</x:f>
        <x:v>Mobile Accessories</x:v>
      </x:c>
      <x:c r="P2114" s="92" t="n">
        <x:f>IFERROR(VLOOKUP(L2114,'Reference Data'!$A$5:$F$40,5,FALSE),0)</x:f>
        <x:v>39</x:v>
      </x:c>
      <x:c r="Q2114" s="92" t="n">
        <x:f>IFERROR(VLOOKUP(L2114,'Reference Data'!$A$5:$F$40,6,FALSE),0)</x:f>
        <x:v>18</x:v>
      </x:c>
      <x:c r="R2114" s="84" t="n">
        <x:f>'Raw Sales'!J2114</x:f>
        <x:v>2</x:v>
      </x:c>
      <x:c r="S2114" s="87" t="n">
        <x:f>'Raw Sales'!K2114</x:f>
        <x:v>0.2</x:v>
      </x:c>
      <x:c r="T2114" s="93" t="n">
        <x:f>P2114*R2114</x:f>
        <x:v>78</x:v>
      </x:c>
      <x:c r="U2114" s="93" t="n">
        <x:f>T2114*S2114</x:f>
        <x:v>15.600000000000001</x:v>
      </x:c>
      <x:c r="V2114" s="93" t="str">
        <x:f>PROPER(TRIM('Raw Sales'!L2114))</x:f>
        <x:v>Completed</x:v>
      </x:c>
      <x:c r="W2114" s="93" t="n">
        <x:f>IF(V2114="Returned",0,T2114-U2114)</x:f>
        <x:v>62.4</x:v>
      </x:c>
      <x:c r="X2114" s="93" t="n">
        <x:f>IF(V2114="Returned",Q2114*R2114*10%,Q2114*R2114)</x:f>
        <x:v>36</x:v>
      </x:c>
      <x:c r="Y2114" s="93" t="n">
        <x:f>W2114-X2114</x:f>
        <x:v>26.4</x:v>
      </x:c>
      <x:c r="Z2114" s="94" t="n">
        <x:f>IFERROR(Y2114/W2114,0)</x:f>
        <x:v>0.4230769230769231</x:v>
      </x:c>
      <x:c r="AA2114" s="84" t="str">
        <x:f>PROPER(TRIM('Raw Sales'!M2114))</x:f>
        <x:v>Debit Card</x:v>
      </x:c>
      <x:c r="AB2114" s="84" t="str">
        <x:f>PROPER(TRIM('Raw Sales'!N2114))</x:f>
        <x:v>Maya Brooks</x:v>
      </x:c>
      <x:c r="AC2114" s="85" t="n">
        <x:f>'Raw Sales'!O2114</x:f>
        <x:v>45969</x:v>
      </x:c>
      <x:c r="AD2114" s="84" t="n">
        <x:f>AC2114-B2114</x:f>
        <x:v>3</x:v>
      </x:c>
      <x:c r="AE2114" s="84" t="str">
        <x:f>IF(COUNTIF($A$5:A2114,A2114)&gt;1,"Duplicate","Keep")</x:f>
        <x:v>Keep</x:v>
      </x:c>
      <x:c r="AF2114" s="84" t="str">
        <x:f>IF(OR(R2114&lt;=0,AC2114&lt;B2114,H2114="Unknown",M2114="Unknown Product"),"Review","Valid")</x:f>
        <x:v>Valid</x:v>
      </x:c>
      <x:c r="AG2114" s="84" t="n">
        <x:f>IF(AND(AE2114="Keep",AF2114="Valid"),1,0)</x:f>
        <x:v>1</x:v>
      </x:c>
      <x:c r="AH2114" s="84" t="n">
        <x:f>IF(AND(AG2114=1,OR('Dashboard'!$B$4="All",I2114='Dashboard'!$B$4),OR('Dashboard'!$E$4="All",N2114='Dashboard'!$E$4),OR('Dashboard'!$H$4="All",K2114='Dashboard'!$H$4),OR('Dashboard'!$K$4="All",C2114='Dashboard'!$K$4)),1,0)</x:f>
        <x:v>1</x:v>
      </x:c>
      <x:c r="AI2114" s="84" t="n">
        <x:f>IF(AND(AG2114=1,OR('Dashboard'!$B$4="All",I2114='Dashboard'!$B$4),OR('Dashboard'!$E$4="All",N2114='Dashboard'!$E$4),OR('Dashboard'!$H$4="All",K2114='Dashboard'!$H$4)),1,0)</x:f>
        <x:v>1</x:v>
      </x:c>
    </x:row>
    <x:row r="2115">
      <x:c r="A2115" s="84" t="str">
        <x:f>'Raw Sales'!A2115</x:f>
        <x:v>ORD-2025-00483</x:v>
      </x:c>
      <x:c r="B2115" s="85" t="n">
        <x:f>'Raw Sales'!B2115</x:f>
        <x:v>45966</x:v>
      </x:c>
      <x:c r="C2115" s="84" t="n">
        <x:f>YEAR(B2115)</x:f>
        <x:v>2025</x:v>
      </x:c>
      <x:c r="D2115" s="91" t="n">
        <x:f>DATE(YEAR(B2115),MONTH(B2115),1)</x:f>
        <x:v>45962</x:v>
      </x:c>
      <x:c r="E2115" s="84" t="str">
        <x:f>TEXT(B2115,"mmm")</x:f>
        <x:v>Nov</x:v>
      </x:c>
      <x:c r="F2115" s="84" t="str">
        <x:f>'Raw Sales'!C2115</x:f>
        <x:v>CUST-0310</x:v>
      </x:c>
      <x:c r="G2115" s="84" t="str">
        <x:f>PROPER(TRIM('Raw Sales'!D2115))</x:f>
        <x:v>Marcus Patel</x:v>
      </x:c>
      <x:c r="H2115" s="84" t="str">
        <x:f>IF(TRIM('Raw Sales'!E2115)="","Unknown",PROPER(TRIM('Raw Sales'!E2115)))</x:f>
        <x:v>Consumer</x:v>
      </x:c>
      <x:c r="I2115" s="84" t="str">
        <x:f>PROPER(TRIM('Raw Sales'!F2115))</x:f>
        <x:v>Midwest</x:v>
      </x:c>
      <x:c r="J2115" s="84" t="str">
        <x:f>PROPER(TRIM('Raw Sales'!G2115))</x:f>
        <x:v>Columbus</x:v>
      </x:c>
      <x:c r="K2115" s="84" t="str">
        <x:f>PROPER(TRIM('Raw Sales'!H2115))</x:f>
        <x:v>Online</x:v>
      </x:c>
      <x:c r="L2115" s="84" t="str">
        <x:f>'Raw Sales'!I2115</x:f>
        <x:v>ACCS-003</x:v>
      </x:c>
      <x:c r="M2115" s="84" t="str">
        <x:f>IFERROR(VLOOKUP(L2115,'Reference Data'!$A$5:$F$40,2,FALSE),"Unknown Product")</x:f>
        <x:v>Polarized Sunglasses</x:v>
      </x:c>
      <x:c r="N2115" s="84" t="str">
        <x:f>IFERROR(VLOOKUP(L2115,'Reference Data'!$A$5:$F$40,3,FALSE),"Unknown")</x:f>
        <x:v>Accessories</x:v>
      </x:c>
      <x:c r="O2115" s="84" t="str">
        <x:f>IFERROR(VLOOKUP(L2115,'Reference Data'!$A$5:$F$40,4,FALSE),"Unknown")</x:f>
        <x:v>Eyewear</x:v>
      </x:c>
      <x:c r="P2115" s="92" t="n">
        <x:f>IFERROR(VLOOKUP(L2115,'Reference Data'!$A$5:$F$40,5,FALSE),0)</x:f>
        <x:v>59</x:v>
      </x:c>
      <x:c r="Q2115" s="92" t="n">
        <x:f>IFERROR(VLOOKUP(L2115,'Reference Data'!$A$5:$F$40,6,FALSE),0)</x:f>
        <x:v>17</x:v>
      </x:c>
      <x:c r="R2115" s="84" t="n">
        <x:f>'Raw Sales'!J2115</x:f>
        <x:v>1</x:v>
      </x:c>
      <x:c r="S2115" s="87" t="n">
        <x:f>'Raw Sales'!K2115</x:f>
        <x:v>0.1</x:v>
      </x:c>
      <x:c r="T2115" s="93" t="n">
        <x:f>P2115*R2115</x:f>
        <x:v>59</x:v>
      </x:c>
      <x:c r="U2115" s="93" t="n">
        <x:f>T2115*S2115</x:f>
        <x:v>5.9</x:v>
      </x:c>
      <x:c r="V2115" s="93" t="str">
        <x:f>PROPER(TRIM('Raw Sales'!L2115))</x:f>
        <x:v>Completed</x:v>
      </x:c>
      <x:c r="W2115" s="93" t="n">
        <x:f>IF(V2115="Returned",0,T2115-U2115)</x:f>
        <x:v>53.1</x:v>
      </x:c>
      <x:c r="X2115" s="93" t="n">
        <x:f>IF(V2115="Returned",Q2115*R2115*10%,Q2115*R2115)</x:f>
        <x:v>17</x:v>
      </x:c>
      <x:c r="Y2115" s="93" t="n">
        <x:f>W2115-X2115</x:f>
        <x:v>36.1</x:v>
      </x:c>
      <x:c r="Z2115" s="94" t="n">
        <x:f>IFERROR(Y2115/W2115,0)</x:f>
        <x:v>0.67984934086629</x:v>
      </x:c>
      <x:c r="AA2115" s="84" t="str">
        <x:f>PROPER(TRIM('Raw Sales'!M2115))</x:f>
        <x:v>Mobile Wallet</x:v>
      </x:c>
      <x:c r="AB2115" s="84" t="str">
        <x:f>PROPER(TRIM('Raw Sales'!N2115))</x:f>
        <x:v>Lucas Grant</x:v>
      </x:c>
      <x:c r="AC2115" s="85" t="n">
        <x:f>'Raw Sales'!O2115</x:f>
        <x:v>45969</x:v>
      </x:c>
      <x:c r="AD2115" s="84" t="n">
        <x:f>AC2115-B2115</x:f>
        <x:v>3</x:v>
      </x:c>
      <x:c r="AE2115" s="84" t="str">
        <x:f>IF(COUNTIF($A$5:A2115,A2115)&gt;1,"Duplicate","Keep")</x:f>
        <x:v>Keep</x:v>
      </x:c>
      <x:c r="AF2115" s="84" t="str">
        <x:f>IF(OR(R2115&lt;=0,AC2115&lt;B2115,H2115="Unknown",M2115="Unknown Product"),"Review","Valid")</x:f>
        <x:v>Valid</x:v>
      </x:c>
      <x:c r="AG2115" s="84" t="n">
        <x:f>IF(AND(AE2115="Keep",AF2115="Valid"),1,0)</x:f>
        <x:v>1</x:v>
      </x:c>
      <x:c r="AH2115" s="84" t="n">
        <x:f>IF(AND(AG2115=1,OR('Dashboard'!$B$4="All",I2115='Dashboard'!$B$4),OR('Dashboard'!$E$4="All",N2115='Dashboard'!$E$4),OR('Dashboard'!$H$4="All",K2115='Dashboard'!$H$4),OR('Dashboard'!$K$4="All",C2115='Dashboard'!$K$4)),1,0)</x:f>
        <x:v>1</x:v>
      </x:c>
      <x:c r="AI2115" s="84" t="n">
        <x:f>IF(AND(AG2115=1,OR('Dashboard'!$B$4="All",I2115='Dashboard'!$B$4),OR('Dashboard'!$E$4="All",N2115='Dashboard'!$E$4),OR('Dashboard'!$H$4="All",K2115='Dashboard'!$H$4)),1,0)</x:f>
        <x:v>1</x:v>
      </x:c>
    </x:row>
    <x:row r="2116">
      <x:c r="A2116" s="84" t="str">
        <x:f>'Raw Sales'!A2116</x:f>
        <x:v>ORD-2025-00843</x:v>
      </x:c>
      <x:c r="B2116" s="85" t="n">
        <x:f>'Raw Sales'!B2116</x:f>
        <x:v>45966</x:v>
      </x:c>
      <x:c r="C2116" s="84" t="n">
        <x:f>YEAR(B2116)</x:f>
        <x:v>2025</x:v>
      </x:c>
      <x:c r="D2116" s="91" t="n">
        <x:f>DATE(YEAR(B2116),MONTH(B2116),1)</x:f>
        <x:v>45962</x:v>
      </x:c>
      <x:c r="E2116" s="84" t="str">
        <x:f>TEXT(B2116,"mmm")</x:f>
        <x:v>Nov</x:v>
      </x:c>
      <x:c r="F2116" s="84" t="str">
        <x:f>'Raw Sales'!C2116</x:f>
        <x:v>CUST-0397</x:v>
      </x:c>
      <x:c r="G2116" s="84" t="str">
        <x:f>PROPER(TRIM('Raw Sales'!D2116))</x:f>
        <x:v>Amelia Baker</x:v>
      </x:c>
      <x:c r="H2116" s="84" t="str">
        <x:f>IF(TRIM('Raw Sales'!E2116)="","Unknown",PROPER(TRIM('Raw Sales'!E2116)))</x:f>
        <x:v>Corporate</x:v>
      </x:c>
      <x:c r="I2116" s="84" t="str">
        <x:f>PROPER(TRIM('Raw Sales'!F2116))</x:f>
        <x:v>Northeast</x:v>
      </x:c>
      <x:c r="J2116" s="84" t="str">
        <x:f>PROPER(TRIM('Raw Sales'!G2116))</x:f>
        <x:v>Newark</x:v>
      </x:c>
      <x:c r="K2116" s="84" t="str">
        <x:f>PROPER(TRIM('Raw Sales'!H2116))</x:f>
        <x:v>Online</x:v>
      </x:c>
      <x:c r="L2116" s="84" t="str">
        <x:f>'Raw Sales'!I2116</x:f>
        <x:v>ELEC-006</x:v>
      </x:c>
      <x:c r="M2116" s="84" t="str">
        <x:f>IFERROR(VLOOKUP(L2116,'Reference Data'!$A$5:$F$40,2,FALSE),"Unknown Product")</x:f>
        <x:v>Portable SSD</x:v>
      </x:c>
      <x:c r="N2116" s="84" t="str">
        <x:f>IFERROR(VLOOKUP(L2116,'Reference Data'!$A$5:$F$40,3,FALSE),"Unknown")</x:f>
        <x:v>Electronics</x:v>
      </x:c>
      <x:c r="O2116" s="84" t="str">
        <x:f>IFERROR(VLOOKUP(L2116,'Reference Data'!$A$5:$F$40,4,FALSE),"Unknown")</x:f>
        <x:v>Storage</x:v>
      </x:c>
      <x:c r="P2116" s="92" t="n">
        <x:f>IFERROR(VLOOKUP(L2116,'Reference Data'!$A$5:$F$40,5,FALSE),0)</x:f>
        <x:v>129</x:v>
      </x:c>
      <x:c r="Q2116" s="92" t="n">
        <x:f>IFERROR(VLOOKUP(L2116,'Reference Data'!$A$5:$F$40,6,FALSE),0)</x:f>
        <x:v>75</x:v>
      </x:c>
      <x:c r="R2116" s="84" t="n">
        <x:f>'Raw Sales'!J2116</x:f>
        <x:v>4</x:v>
      </x:c>
      <x:c r="S2116" s="87" t="n">
        <x:f>'Raw Sales'!K2116</x:f>
        <x:v>0.1</x:v>
      </x:c>
      <x:c r="T2116" s="93" t="n">
        <x:f>P2116*R2116</x:f>
        <x:v>516</x:v>
      </x:c>
      <x:c r="U2116" s="93" t="n">
        <x:f>T2116*S2116</x:f>
        <x:v>51.6</x:v>
      </x:c>
      <x:c r="V2116" s="93" t="str">
        <x:f>PROPER(TRIM('Raw Sales'!L2116))</x:f>
        <x:v>Returned</x:v>
      </x:c>
      <x:c r="W2116" s="93" t="n">
        <x:f>IF(V2116="Returned",0,T2116-U2116)</x:f>
        <x:v>0</x:v>
      </x:c>
      <x:c r="X2116" s="93" t="n">
        <x:f>IF(V2116="Returned",Q2116*R2116*10%,Q2116*R2116)</x:f>
        <x:v>30</x:v>
      </x:c>
      <x:c r="Y2116" s="93" t="n">
        <x:f>W2116-X2116</x:f>
        <x:v>-30</x:v>
      </x:c>
      <x:c r="Z2116" s="94" t="n">
        <x:f>IFERROR(Y2116/W2116,0)</x:f>
        <x:v>0</x:v>
      </x:c>
      <x:c r="AA2116" s="84" t="str">
        <x:f>PROPER(TRIM('Raw Sales'!M2116))</x:f>
        <x:v>Mobile Wallet</x:v>
      </x:c>
      <x:c r="AB2116" s="84" t="str">
        <x:f>PROPER(TRIM('Raw Sales'!N2116))</x:f>
        <x:v>Sofia Bennett</x:v>
      </x:c>
      <x:c r="AC2116" s="85" t="n">
        <x:f>'Raw Sales'!O2116</x:f>
        <x:v>45971</x:v>
      </x:c>
      <x:c r="AD2116" s="84" t="n">
        <x:f>AC2116-B2116</x:f>
        <x:v>5</x:v>
      </x:c>
      <x:c r="AE2116" s="84" t="str">
        <x:f>IF(COUNTIF($A$5:A2116,A2116)&gt;1,"Duplicate","Keep")</x:f>
        <x:v>Keep</x:v>
      </x:c>
      <x:c r="AF2116" s="84" t="str">
        <x:f>IF(OR(R2116&lt;=0,AC2116&lt;B2116,H2116="Unknown",M2116="Unknown Product"),"Review","Valid")</x:f>
        <x:v>Valid</x:v>
      </x:c>
      <x:c r="AG2116" s="84" t="n">
        <x:f>IF(AND(AE2116="Keep",AF2116="Valid"),1,0)</x:f>
        <x:v>1</x:v>
      </x:c>
      <x:c r="AH2116" s="84" t="n">
        <x:f>IF(AND(AG2116=1,OR('Dashboard'!$B$4="All",I2116='Dashboard'!$B$4),OR('Dashboard'!$E$4="All",N2116='Dashboard'!$E$4),OR('Dashboard'!$H$4="All",K2116='Dashboard'!$H$4),OR('Dashboard'!$K$4="All",C2116='Dashboard'!$K$4)),1,0)</x:f>
        <x:v>1</x:v>
      </x:c>
      <x:c r="AI2116" s="84" t="n">
        <x:f>IF(AND(AG2116=1,OR('Dashboard'!$B$4="All",I2116='Dashboard'!$B$4),OR('Dashboard'!$E$4="All",N2116='Dashboard'!$E$4),OR('Dashboard'!$H$4="All",K2116='Dashboard'!$H$4)),1,0)</x:f>
        <x:v>1</x:v>
      </x:c>
    </x:row>
    <x:row r="2117">
      <x:c r="A2117" s="84" t="str">
        <x:f>'Raw Sales'!A2117</x:f>
        <x:v>ORD-2025-00943</x:v>
      </x:c>
      <x:c r="B2117" s="85" t="n">
        <x:f>'Raw Sales'!B2117</x:f>
        <x:v>45966</x:v>
      </x:c>
      <x:c r="C2117" s="84" t="n">
        <x:f>YEAR(B2117)</x:f>
        <x:v>2025</x:v>
      </x:c>
      <x:c r="D2117" s="91" t="n">
        <x:f>DATE(YEAR(B2117),MONTH(B2117),1)</x:f>
        <x:v>45962</x:v>
      </x:c>
      <x:c r="E2117" s="84" t="str">
        <x:f>TEXT(B2117,"mmm")</x:f>
        <x:v>Nov</x:v>
      </x:c>
      <x:c r="F2117" s="84" t="str">
        <x:f>'Raw Sales'!C2117</x:f>
        <x:v>CUST-0153</x:v>
      </x:c>
      <x:c r="G2117" s="84" t="str">
        <x:f>PROPER(TRIM('Raw Sales'!D2117))</x:f>
        <x:v>Marcus Evans</x:v>
      </x:c>
      <x:c r="H2117" s="84" t="str">
        <x:f>IF(TRIM('Raw Sales'!E2117)="","Unknown",PROPER(TRIM('Raw Sales'!E2117)))</x:f>
        <x:v>Corporate</x:v>
      </x:c>
      <x:c r="I2117" s="84" t="str">
        <x:f>PROPER(TRIM('Raw Sales'!F2117))</x:f>
        <x:v>Northeast</x:v>
      </x:c>
      <x:c r="J2117" s="84" t="str">
        <x:f>PROPER(TRIM('Raw Sales'!G2117))</x:f>
        <x:v>Philadelphia</x:v>
      </x:c>
      <x:c r="K2117" s="84" t="str">
        <x:f>PROPER(TRIM('Raw Sales'!H2117))</x:f>
        <x:v>Retail Store</x:v>
      </x:c>
      <x:c r="L2117" s="84" t="str">
        <x:f>'Raw Sales'!I2117</x:f>
        <x:v>HOME-005</x:v>
      </x:c>
      <x:c r="M2117" s="84" t="str">
        <x:f>IFERROR(VLOOKUP(L2117,'Reference Data'!$A$5:$F$40,2,FALSE),"Unknown Product")</x:f>
        <x:v>Cordless Vacuum</x:v>
      </x:c>
      <x:c r="N2117" s="84" t="str">
        <x:f>IFERROR(VLOOKUP(L2117,'Reference Data'!$A$5:$F$40,3,FALSE),"Unknown")</x:f>
        <x:v>Home &amp; Kitchen</x:v>
      </x:c>
      <x:c r="O2117" s="84" t="str">
        <x:f>IFERROR(VLOOKUP(L2117,'Reference Data'!$A$5:$F$40,4,FALSE),"Unknown")</x:f>
        <x:v>Cleaning</x:v>
      </x:c>
      <x:c r="P2117" s="92" t="n">
        <x:f>IFERROR(VLOOKUP(L2117,'Reference Data'!$A$5:$F$40,5,FALSE),0)</x:f>
        <x:v>179</x:v>
      </x:c>
      <x:c r="Q2117" s="92" t="n">
        <x:f>IFERROR(VLOOKUP(L2117,'Reference Data'!$A$5:$F$40,6,FALSE),0)</x:f>
        <x:v>102</x:v>
      </x:c>
      <x:c r="R2117" s="84" t="n">
        <x:f>'Raw Sales'!J2117</x:f>
        <x:v>4</x:v>
      </x:c>
      <x:c r="S2117" s="87" t="n">
        <x:f>'Raw Sales'!K2117</x:f>
        <x:v>0.15</x:v>
      </x:c>
      <x:c r="T2117" s="93" t="n">
        <x:f>P2117*R2117</x:f>
        <x:v>716</x:v>
      </x:c>
      <x:c r="U2117" s="93" t="n">
        <x:f>T2117*S2117</x:f>
        <x:v>107.39999999999999</x:v>
      </x:c>
      <x:c r="V2117" s="93" t="str">
        <x:f>PROPER(TRIM('Raw Sales'!L2117))</x:f>
        <x:v>Completed</x:v>
      </x:c>
      <x:c r="W2117" s="93" t="n">
        <x:f>IF(V2117="Returned",0,T2117-U2117)</x:f>
        <x:v>608.6</x:v>
      </x:c>
      <x:c r="X2117" s="93" t="n">
        <x:f>IF(V2117="Returned",Q2117*R2117*10%,Q2117*R2117)</x:f>
        <x:v>408</x:v>
      </x:c>
      <x:c r="Y2117" s="93" t="n">
        <x:f>W2117-X2117</x:f>
        <x:v>200.60000000000002</x:v>
      </x:c>
      <x:c r="Z2117" s="94" t="n">
        <x:f>IFERROR(Y2117/W2117,0)</x:f>
        <x:v>0.3296089385474861</x:v>
      </x:c>
      <x:c r="AA2117" s="84" t="str">
        <x:f>PROPER(TRIM('Raw Sales'!M2117))</x:f>
        <x:v>Credit Card</x:v>
      </x:c>
      <x:c r="AB2117" s="84" t="str">
        <x:f>PROPER(TRIM('Raw Sales'!N2117))</x:f>
        <x:v>Ethan Cole</x:v>
      </x:c>
      <x:c r="AC2117" s="85" t="n">
        <x:f>'Raw Sales'!O2117</x:f>
        <x:v>45966</x:v>
      </x:c>
      <x:c r="AD2117" s="84" t="n">
        <x:f>AC2117-B2117</x:f>
        <x:v>0</x:v>
      </x:c>
      <x:c r="AE2117" s="84" t="str">
        <x:f>IF(COUNTIF($A$5:A2117,A2117)&gt;1,"Duplicate","Keep")</x:f>
        <x:v>Keep</x:v>
      </x:c>
      <x:c r="AF2117" s="84" t="str">
        <x:f>IF(OR(R2117&lt;=0,AC2117&lt;B2117,H2117="Unknown",M2117="Unknown Product"),"Review","Valid")</x:f>
        <x:v>Valid</x:v>
      </x:c>
      <x:c r="AG2117" s="84" t="n">
        <x:f>IF(AND(AE2117="Keep",AF2117="Valid"),1,0)</x:f>
        <x:v>1</x:v>
      </x:c>
      <x:c r="AH2117" s="84" t="n">
        <x:f>IF(AND(AG2117=1,OR('Dashboard'!$B$4="All",I2117='Dashboard'!$B$4),OR('Dashboard'!$E$4="All",N2117='Dashboard'!$E$4),OR('Dashboard'!$H$4="All",K2117='Dashboard'!$H$4),OR('Dashboard'!$K$4="All",C2117='Dashboard'!$K$4)),1,0)</x:f>
        <x:v>1</x:v>
      </x:c>
      <x:c r="AI2117" s="84" t="n">
        <x:f>IF(AND(AG2117=1,OR('Dashboard'!$B$4="All",I2117='Dashboard'!$B$4),OR('Dashboard'!$E$4="All",N2117='Dashboard'!$E$4),OR('Dashboard'!$H$4="All",K2117='Dashboard'!$H$4)),1,0)</x:f>
        <x:v>1</x:v>
      </x:c>
    </x:row>
    <x:row r="2118">
      <x:c r="A2118" s="84" t="str">
        <x:f>'Raw Sales'!A2118</x:f>
        <x:v>ORD-2025-02250</x:v>
      </x:c>
      <x:c r="B2118" s="85" t="n">
        <x:f>'Raw Sales'!B2118</x:f>
        <x:v>45966</x:v>
      </x:c>
      <x:c r="C2118" s="84" t="n">
        <x:f>YEAR(B2118)</x:f>
        <x:v>2025</x:v>
      </x:c>
      <x:c r="D2118" s="91" t="n">
        <x:f>DATE(YEAR(B2118),MONTH(B2118),1)</x:f>
        <x:v>45962</x:v>
      </x:c>
      <x:c r="E2118" s="84" t="str">
        <x:f>TEXT(B2118,"mmm")</x:f>
        <x:v>Nov</x:v>
      </x:c>
      <x:c r="F2118" s="84" t="str">
        <x:f>'Raw Sales'!C2118</x:f>
        <x:v>CUST-0016</x:v>
      </x:c>
      <x:c r="G2118" s="84" t="str">
        <x:f>PROPER(TRIM('Raw Sales'!D2118))</x:f>
        <x:v>Jonah Young</x:v>
      </x:c>
      <x:c r="H2118" s="84" t="str">
        <x:f>IF(TRIM('Raw Sales'!E2118)="","Unknown",PROPER(TRIM('Raw Sales'!E2118)))</x:f>
        <x:v>Consumer</x:v>
      </x:c>
      <x:c r="I2118" s="84" t="str">
        <x:f>PROPER(TRIM('Raw Sales'!F2118))</x:f>
        <x:v>Northeast</x:v>
      </x:c>
      <x:c r="J2118" s="84" t="str">
        <x:f>PROPER(TRIM('Raw Sales'!G2118))</x:f>
        <x:v>New York</x:v>
      </x:c>
      <x:c r="K2118" s="84" t="str">
        <x:f>PROPER(TRIM('Raw Sales'!H2118))</x:f>
        <x:v>Online</x:v>
      </x:c>
      <x:c r="L2118" s="84" t="str">
        <x:f>'Raw Sales'!I2118</x:f>
        <x:v>FITN-001</x:v>
      </x:c>
      <x:c r="M2118" s="84" t="str">
        <x:f>IFERROR(VLOOKUP(L2118,'Reference Data'!$A$5:$F$40,2,FALSE),"Unknown Product")</x:f>
        <x:v>Yoga Mat</x:v>
      </x:c>
      <x:c r="N2118" s="84" t="str">
        <x:f>IFERROR(VLOOKUP(L2118,'Reference Data'!$A$5:$F$40,3,FALSE),"Unknown")</x:f>
        <x:v>Fitness</x:v>
      </x:c>
      <x:c r="O2118" s="84" t="str">
        <x:f>IFERROR(VLOOKUP(L2118,'Reference Data'!$A$5:$F$40,4,FALSE),"Unknown")</x:f>
        <x:v>Yoga</x:v>
      </x:c>
      <x:c r="P2118" s="92" t="n">
        <x:f>IFERROR(VLOOKUP(L2118,'Reference Data'!$A$5:$F$40,5,FALSE),0)</x:f>
        <x:v>35</x:v>
      </x:c>
      <x:c r="Q2118" s="92" t="n">
        <x:f>IFERROR(VLOOKUP(L2118,'Reference Data'!$A$5:$F$40,6,FALSE),0)</x:f>
        <x:v>13</x:v>
      </x:c>
      <x:c r="R2118" s="84" t="n">
        <x:f>'Raw Sales'!J2118</x:f>
        <x:v>2</x:v>
      </x:c>
      <x:c r="S2118" s="87" t="n">
        <x:f>'Raw Sales'!K2118</x:f>
        <x:v>0.15</x:v>
      </x:c>
      <x:c r="T2118" s="93" t="n">
        <x:f>P2118*R2118</x:f>
        <x:v>70</x:v>
      </x:c>
      <x:c r="U2118" s="93" t="n">
        <x:f>T2118*S2118</x:f>
        <x:v>10.5</x:v>
      </x:c>
      <x:c r="V2118" s="93" t="str">
        <x:f>PROPER(TRIM('Raw Sales'!L2118))</x:f>
        <x:v>Completed</x:v>
      </x:c>
      <x:c r="W2118" s="93" t="n">
        <x:f>IF(V2118="Returned",0,T2118-U2118)</x:f>
        <x:v>59.5</x:v>
      </x:c>
      <x:c r="X2118" s="93" t="n">
        <x:f>IF(V2118="Returned",Q2118*R2118*10%,Q2118*R2118)</x:f>
        <x:v>26</x:v>
      </x:c>
      <x:c r="Y2118" s="93" t="n">
        <x:f>W2118-X2118</x:f>
        <x:v>33.5</x:v>
      </x:c>
      <x:c r="Z2118" s="94" t="n">
        <x:f>IFERROR(Y2118/W2118,0)</x:f>
        <x:v>0.5630252100840336</x:v>
      </x:c>
      <x:c r="AA2118" s="84" t="str">
        <x:f>PROPER(TRIM('Raw Sales'!M2118))</x:f>
        <x:v>Credit Card</x:v>
      </x:c>
      <x:c r="AB2118" s="84" t="str">
        <x:f>PROPER(TRIM('Raw Sales'!N2118))</x:f>
        <x:v>Ethan Cole</x:v>
      </x:c>
      <x:c r="AC2118" s="85" t="n">
        <x:f>'Raw Sales'!O2118</x:f>
        <x:v>45971</x:v>
      </x:c>
      <x:c r="AD2118" s="84" t="n">
        <x:f>AC2118-B2118</x:f>
        <x:v>5</x:v>
      </x:c>
      <x:c r="AE2118" s="84" t="str">
        <x:f>IF(COUNTIF($A$5:A2118,A2118)&gt;1,"Duplicate","Keep")</x:f>
        <x:v>Keep</x:v>
      </x:c>
      <x:c r="AF2118" s="84" t="str">
        <x:f>IF(OR(R2118&lt;=0,AC2118&lt;B2118,H2118="Unknown",M2118="Unknown Product"),"Review","Valid")</x:f>
        <x:v>Valid</x:v>
      </x:c>
      <x:c r="AG2118" s="84" t="n">
        <x:f>IF(AND(AE2118="Keep",AF2118="Valid"),1,0)</x:f>
        <x:v>1</x:v>
      </x:c>
      <x:c r="AH2118" s="84" t="n">
        <x:f>IF(AND(AG2118=1,OR('Dashboard'!$B$4="All",I2118='Dashboard'!$B$4),OR('Dashboard'!$E$4="All",N2118='Dashboard'!$E$4),OR('Dashboard'!$H$4="All",K2118='Dashboard'!$H$4),OR('Dashboard'!$K$4="All",C2118='Dashboard'!$K$4)),1,0)</x:f>
        <x:v>1</x:v>
      </x:c>
      <x:c r="AI2118" s="84" t="n">
        <x:f>IF(AND(AG2118=1,OR('Dashboard'!$B$4="All",I2118='Dashboard'!$B$4),OR('Dashboard'!$E$4="All",N2118='Dashboard'!$E$4),OR('Dashboard'!$H$4="All",K2118='Dashboard'!$H$4)),1,0)</x:f>
        <x:v>1</x:v>
      </x:c>
    </x:row>
    <x:row r="2119">
      <x:c r="A2119" s="84" t="str">
        <x:f>'Raw Sales'!A2119</x:f>
        <x:v>ORD-2025-00591</x:v>
      </x:c>
      <x:c r="B2119" s="85" t="n">
        <x:f>'Raw Sales'!B2119</x:f>
        <x:v>45967</x:v>
      </x:c>
      <x:c r="C2119" s="84" t="n">
        <x:f>YEAR(B2119)</x:f>
        <x:v>2025</x:v>
      </x:c>
      <x:c r="D2119" s="91" t="n">
        <x:f>DATE(YEAR(B2119),MONTH(B2119),1)</x:f>
        <x:v>45962</x:v>
      </x:c>
      <x:c r="E2119" s="84" t="str">
        <x:f>TEXT(B2119,"mmm")</x:f>
        <x:v>Nov</x:v>
      </x:c>
      <x:c r="F2119" s="84" t="str">
        <x:f>'Raw Sales'!C2119</x:f>
        <x:v>CUST-0343</x:v>
      </x:c>
      <x:c r="G2119" s="84" t="str">
        <x:f>PROPER(TRIM('Raw Sales'!D2119))</x:f>
        <x:v>Elias Hall</x:v>
      </x:c>
      <x:c r="H2119" s="84" t="str">
        <x:f>IF(TRIM('Raw Sales'!E2119)="","Unknown",PROPER(TRIM('Raw Sales'!E2119)))</x:f>
        <x:v>Consumer</x:v>
      </x:c>
      <x:c r="I2119" s="84" t="str">
        <x:f>PROPER(TRIM('Raw Sales'!F2119))</x:f>
        <x:v>Northeast</x:v>
      </x:c>
      <x:c r="J2119" s="84" t="str">
        <x:f>PROPER(TRIM('Raw Sales'!G2119))</x:f>
        <x:v>Philadelphia</x:v>
      </x:c>
      <x:c r="K2119" s="84" t="str">
        <x:f>PROPER(TRIM('Raw Sales'!H2119))</x:f>
        <x:v>Retail Store</x:v>
      </x:c>
      <x:c r="L2119" s="84" t="str">
        <x:f>'Raw Sales'!I2119</x:f>
        <x:v>FITN-004</x:v>
      </x:c>
      <x:c r="M2119" s="84" t="str">
        <x:f>IFERROR(VLOOKUP(L2119,'Reference Data'!$A$5:$F$40,2,FALSE),"Unknown Product")</x:f>
        <x:v>Fitness Tracker</x:v>
      </x:c>
      <x:c r="N2119" s="84" t="str">
        <x:f>IFERROR(VLOOKUP(L2119,'Reference Data'!$A$5:$F$40,3,FALSE),"Unknown")</x:f>
        <x:v>Fitness</x:v>
      </x:c>
      <x:c r="O2119" s="84" t="str">
        <x:f>IFERROR(VLOOKUP(L2119,'Reference Data'!$A$5:$F$40,4,FALSE),"Unknown")</x:f>
        <x:v>Wearables</x:v>
      </x:c>
      <x:c r="P2119" s="92" t="n">
        <x:f>IFERROR(VLOOKUP(L2119,'Reference Data'!$A$5:$F$40,5,FALSE),0)</x:f>
        <x:v>89</x:v>
      </x:c>
      <x:c r="Q2119" s="92" t="n">
        <x:f>IFERROR(VLOOKUP(L2119,'Reference Data'!$A$5:$F$40,6,FALSE),0)</x:f>
        <x:v>44</x:v>
      </x:c>
      <x:c r="R2119" s="84" t="n">
        <x:f>'Raw Sales'!J2119</x:f>
        <x:v>1</x:v>
      </x:c>
      <x:c r="S2119" s="87" t="n">
        <x:f>'Raw Sales'!K2119</x:f>
        <x:v>0.05</x:v>
      </x:c>
      <x:c r="T2119" s="93" t="n">
        <x:f>P2119*R2119</x:f>
        <x:v>89</x:v>
      </x:c>
      <x:c r="U2119" s="93" t="n">
        <x:f>T2119*S2119</x:f>
        <x:v>4.45</x:v>
      </x:c>
      <x:c r="V2119" s="93" t="str">
        <x:f>PROPER(TRIM('Raw Sales'!L2119))</x:f>
        <x:v>Completed</x:v>
      </x:c>
      <x:c r="W2119" s="93" t="n">
        <x:f>IF(V2119="Returned",0,T2119-U2119)</x:f>
        <x:v>84.55</x:v>
      </x:c>
      <x:c r="X2119" s="93" t="n">
        <x:f>IF(V2119="Returned",Q2119*R2119*10%,Q2119*R2119)</x:f>
        <x:v>44</x:v>
      </x:c>
      <x:c r="Y2119" s="93" t="n">
        <x:f>W2119-X2119</x:f>
        <x:v>40.55</x:v>
      </x:c>
      <x:c r="Z2119" s="94" t="n">
        <x:f>IFERROR(Y2119/W2119,0)</x:f>
        <x:v>0.47959787108219987</x:v>
      </x:c>
      <x:c r="AA2119" s="84" t="str">
        <x:f>PROPER(TRIM('Raw Sales'!M2119))</x:f>
        <x:v>Credit Card</x:v>
      </x:c>
      <x:c r="AB2119" s="84" t="str">
        <x:f>PROPER(TRIM('Raw Sales'!N2119))</x:f>
        <x:v>Ethan Cole</x:v>
      </x:c>
      <x:c r="AC2119" s="85" t="n">
        <x:f>'Raw Sales'!O2119</x:f>
        <x:v>45967</x:v>
      </x:c>
      <x:c r="AD2119" s="84" t="n">
        <x:f>AC2119-B2119</x:f>
        <x:v>0</x:v>
      </x:c>
      <x:c r="AE2119" s="84" t="str">
        <x:f>IF(COUNTIF($A$5:A2119,A2119)&gt;1,"Duplicate","Keep")</x:f>
        <x:v>Keep</x:v>
      </x:c>
      <x:c r="AF2119" s="84" t="str">
        <x:f>IF(OR(R2119&lt;=0,AC2119&lt;B2119,H2119="Unknown",M2119="Unknown Product"),"Review","Valid")</x:f>
        <x:v>Valid</x:v>
      </x:c>
      <x:c r="AG2119" s="84" t="n">
        <x:f>IF(AND(AE2119="Keep",AF2119="Valid"),1,0)</x:f>
        <x:v>1</x:v>
      </x:c>
      <x:c r="AH2119" s="84" t="n">
        <x:f>IF(AND(AG2119=1,OR('Dashboard'!$B$4="All",I2119='Dashboard'!$B$4),OR('Dashboard'!$E$4="All",N2119='Dashboard'!$E$4),OR('Dashboard'!$H$4="All",K2119='Dashboard'!$H$4),OR('Dashboard'!$K$4="All",C2119='Dashboard'!$K$4)),1,0)</x:f>
        <x:v>1</x:v>
      </x:c>
      <x:c r="AI2119" s="84" t="n">
        <x:f>IF(AND(AG2119=1,OR('Dashboard'!$B$4="All",I2119='Dashboard'!$B$4),OR('Dashboard'!$E$4="All",N2119='Dashboard'!$E$4),OR('Dashboard'!$H$4="All",K2119='Dashboard'!$H$4)),1,0)</x:f>
        <x:v>1</x:v>
      </x:c>
    </x:row>
    <x:row r="2120">
      <x:c r="A2120" s="84" t="str">
        <x:f>'Raw Sales'!A2120</x:f>
        <x:v>ORD-2025-01037</x:v>
      </x:c>
      <x:c r="B2120" s="85" t="n">
        <x:f>'Raw Sales'!B2120</x:f>
        <x:v>45967</x:v>
      </x:c>
      <x:c r="C2120" s="84" t="n">
        <x:f>YEAR(B2120)</x:f>
        <x:v>2025</x:v>
      </x:c>
      <x:c r="D2120" s="91" t="n">
        <x:f>DATE(YEAR(B2120),MONTH(B2120),1)</x:f>
        <x:v>45962</x:v>
      </x:c>
      <x:c r="E2120" s="84" t="str">
        <x:f>TEXT(B2120,"mmm")</x:f>
        <x:v>Nov</x:v>
      </x:c>
      <x:c r="F2120" s="84" t="str">
        <x:f>'Raw Sales'!C2120</x:f>
        <x:v>CUST-0359</x:v>
      </x:c>
      <x:c r="G2120" s="84" t="str">
        <x:f>PROPER(TRIM('Raw Sales'!D2120))</x:f>
        <x:v>Daniel Hall</x:v>
      </x:c>
      <x:c r="H2120" s="84" t="str">
        <x:f>IF(TRIM('Raw Sales'!E2120)="","Unknown",PROPER(TRIM('Raw Sales'!E2120)))</x:f>
        <x:v>Unknown</x:v>
      </x:c>
      <x:c r="I2120" s="84" t="str">
        <x:f>PROPER(TRIM('Raw Sales'!F2120))</x:f>
        <x:v>West</x:v>
      </x:c>
      <x:c r="J2120" s="84" t="str">
        <x:f>PROPER(TRIM('Raw Sales'!G2120))</x:f>
        <x:v>Seattle</x:v>
      </x:c>
      <x:c r="K2120" s="84" t="str">
        <x:f>PROPER(TRIM('Raw Sales'!H2120))</x:f>
        <x:v>Online</x:v>
      </x:c>
      <x:c r="L2120" s="84" t="str">
        <x:f>'Raw Sales'!I2120</x:f>
        <x:v>FITN-005</x:v>
      </x:c>
      <x:c r="M2120" s="84" t="str">
        <x:f>IFERROR(VLOOKUP(L2120,'Reference Data'!$A$5:$F$40,2,FALSE),"Unknown Product")</x:f>
        <x:v>Sports Water Bottle</x:v>
      </x:c>
      <x:c r="N2120" s="84" t="str">
        <x:f>IFERROR(VLOOKUP(L2120,'Reference Data'!$A$5:$F$40,3,FALSE),"Unknown")</x:f>
        <x:v>Fitness</x:v>
      </x:c>
      <x:c r="O2120" s="84" t="str">
        <x:f>IFERROR(VLOOKUP(L2120,'Reference Data'!$A$5:$F$40,4,FALSE),"Unknown")</x:f>
        <x:v>Accessories</x:v>
      </x:c>
      <x:c r="P2120" s="92" t="n">
        <x:f>IFERROR(VLOOKUP(L2120,'Reference Data'!$A$5:$F$40,5,FALSE),0)</x:f>
        <x:v>22</x:v>
      </x:c>
      <x:c r="Q2120" s="92" t="n">
        <x:f>IFERROR(VLOOKUP(L2120,'Reference Data'!$A$5:$F$40,6,FALSE),0)</x:f>
        <x:v>7</x:v>
      </x:c>
      <x:c r="R2120" s="84" t="n">
        <x:f>'Raw Sales'!J2120</x:f>
        <x:v>1</x:v>
      </x:c>
      <x:c r="S2120" s="87" t="n">
        <x:f>'Raw Sales'!K2120</x:f>
        <x:v>0.15</x:v>
      </x:c>
      <x:c r="T2120" s="93" t="n">
        <x:f>P2120*R2120</x:f>
        <x:v>22</x:v>
      </x:c>
      <x:c r="U2120" s="93" t="n">
        <x:f>T2120*S2120</x:f>
        <x:v>3.3</x:v>
      </x:c>
      <x:c r="V2120" s="93" t="str">
        <x:f>PROPER(TRIM('Raw Sales'!L2120))</x:f>
        <x:v>Completed</x:v>
      </x:c>
      <x:c r="W2120" s="93" t="n">
        <x:f>IF(V2120="Returned",0,T2120-U2120)</x:f>
        <x:v>18.7</x:v>
      </x:c>
      <x:c r="X2120" s="93" t="n">
        <x:f>IF(V2120="Returned",Q2120*R2120*10%,Q2120*R2120)</x:f>
        <x:v>7</x:v>
      </x:c>
      <x:c r="Y2120" s="93" t="n">
        <x:f>W2120-X2120</x:f>
        <x:v>11.7</x:v>
      </x:c>
      <x:c r="Z2120" s="94" t="n">
        <x:f>IFERROR(Y2120/W2120,0)</x:f>
        <x:v>0.6256684491978609</x:v>
      </x:c>
      <x:c r="AA2120" s="84" t="str">
        <x:f>PROPER(TRIM('Raw Sales'!M2120))</x:f>
        <x:v>Credit Card</x:v>
      </x:c>
      <x:c r="AB2120" s="84" t="str">
        <x:f>PROPER(TRIM('Raw Sales'!N2120))</x:f>
        <x:v>Mia Chen</x:v>
      </x:c>
      <x:c r="AC2120" s="85" t="n">
        <x:f>'Raw Sales'!O2120</x:f>
        <x:v>45970</x:v>
      </x:c>
      <x:c r="AD2120" s="84" t="n">
        <x:f>AC2120-B2120</x:f>
        <x:v>3</x:v>
      </x:c>
      <x:c r="AE2120" s="84" t="str">
        <x:f>IF(COUNTIF($A$5:A2120,A2120)&gt;1,"Duplicate","Keep")</x:f>
        <x:v>Keep</x:v>
      </x:c>
      <x:c r="AF2120" s="84" t="str">
        <x:f>IF(OR(R2120&lt;=0,AC2120&lt;B2120,H2120="Unknown",M2120="Unknown Product"),"Review","Valid")</x:f>
        <x:v>Review</x:v>
      </x:c>
      <x:c r="AG2120" s="84" t="n">
        <x:f>IF(AND(AE2120="Keep",AF2120="Valid"),1,0)</x:f>
        <x:v>0</x:v>
      </x:c>
      <x:c r="AH2120" s="84" t="n">
        <x:f>IF(AND(AG2120=1,OR('Dashboard'!$B$4="All",I2120='Dashboard'!$B$4),OR('Dashboard'!$E$4="All",N2120='Dashboard'!$E$4),OR('Dashboard'!$H$4="All",K2120='Dashboard'!$H$4),OR('Dashboard'!$K$4="All",C2120='Dashboard'!$K$4)),1,0)</x:f>
        <x:v>0</x:v>
      </x:c>
      <x:c r="AI2120" s="84" t="n">
        <x:f>IF(AND(AG2120=1,OR('Dashboard'!$B$4="All",I2120='Dashboard'!$B$4),OR('Dashboard'!$E$4="All",N2120='Dashboard'!$E$4),OR('Dashboard'!$H$4="All",K2120='Dashboard'!$H$4)),1,0)</x:f>
        <x:v>0</x:v>
      </x:c>
    </x:row>
    <x:row r="2121">
      <x:c r="A2121" s="84" t="str">
        <x:f>'Raw Sales'!A2121</x:f>
        <x:v>ORD-2025-01239</x:v>
      </x:c>
      <x:c r="B2121" s="85" t="n">
        <x:f>'Raw Sales'!B2121</x:f>
        <x:v>45967</x:v>
      </x:c>
      <x:c r="C2121" s="84" t="n">
        <x:f>YEAR(B2121)</x:f>
        <x:v>2025</x:v>
      </x:c>
      <x:c r="D2121" s="91" t="n">
        <x:f>DATE(YEAR(B2121),MONTH(B2121),1)</x:f>
        <x:v>45962</x:v>
      </x:c>
      <x:c r="E2121" s="84" t="str">
        <x:f>TEXT(B2121,"mmm")</x:f>
        <x:v>Nov</x:v>
      </x:c>
      <x:c r="F2121" s="84" t="str">
        <x:f>'Raw Sales'!C2121</x:f>
        <x:v>CUST-0400</x:v>
      </x:c>
      <x:c r="G2121" s="84" t="str">
        <x:f>PROPER(TRIM('Raw Sales'!D2121))</x:f>
        <x:v>Amelia Nelson</x:v>
      </x:c>
      <x:c r="H2121" s="84" t="str">
        <x:f>IF(TRIM('Raw Sales'!E2121)="","Unknown",PROPER(TRIM('Raw Sales'!E2121)))</x:f>
        <x:v>Consumer</x:v>
      </x:c>
      <x:c r="I2121" s="84" t="str">
        <x:f>PROPER(TRIM('Raw Sales'!F2121))</x:f>
        <x:v>Southeast</x:v>
      </x:c>
      <x:c r="J2121" s="84" t="str">
        <x:f>PROPER(TRIM('Raw Sales'!G2121))</x:f>
        <x:v>Nashville</x:v>
      </x:c>
      <x:c r="K2121" s="84" t="str">
        <x:f>PROPER(TRIM('Raw Sales'!H2121))</x:f>
        <x:v>Marketplace</x:v>
      </x:c>
      <x:c r="L2121" s="84" t="str">
        <x:f>'Raw Sales'!I2121</x:f>
        <x:v>OFFC-001</x:v>
      </x:c>
      <x:c r="M2121" s="84" t="str">
        <x:f>IFERROR(VLOOKUP(L2121,'Reference Data'!$A$5:$F$40,2,FALSE),"Unknown Product")</x:f>
        <x:v>Ergonomic Chair</x:v>
      </x:c>
      <x:c r="N2121" s="84" t="str">
        <x:f>IFERROR(VLOOKUP(L2121,'Reference Data'!$A$5:$F$40,3,FALSE),"Unknown")</x:f>
        <x:v>Office</x:v>
      </x:c>
      <x:c r="O2121" s="84" t="str">
        <x:f>IFERROR(VLOOKUP(L2121,'Reference Data'!$A$5:$F$40,4,FALSE),"Unknown")</x:f>
        <x:v>Furniture</x:v>
      </x:c>
      <x:c r="P2121" s="92" t="n">
        <x:f>IFERROR(VLOOKUP(L2121,'Reference Data'!$A$5:$F$40,5,FALSE),0)</x:f>
        <x:v>249</x:v>
      </x:c>
      <x:c r="Q2121" s="92" t="n">
        <x:f>IFERROR(VLOOKUP(L2121,'Reference Data'!$A$5:$F$40,6,FALSE),0)</x:f>
        <x:v>145</x:v>
      </x:c>
      <x:c r="R2121" s="84" t="n">
        <x:f>'Raw Sales'!J2121</x:f>
        <x:v>2</x:v>
      </x:c>
      <x:c r="S2121" s="87" t="n">
        <x:f>'Raw Sales'!K2121</x:f>
        <x:v>0.05</x:v>
      </x:c>
      <x:c r="T2121" s="93" t="n">
        <x:f>P2121*R2121</x:f>
        <x:v>498</x:v>
      </x:c>
      <x:c r="U2121" s="93" t="n">
        <x:f>T2121*S2121</x:f>
        <x:v>24.900000000000002</x:v>
      </x:c>
      <x:c r="V2121" s="93" t="str">
        <x:f>PROPER(TRIM('Raw Sales'!L2121))</x:f>
        <x:v>Completed</x:v>
      </x:c>
      <x:c r="W2121" s="93" t="n">
        <x:f>IF(V2121="Returned",0,T2121-U2121)</x:f>
        <x:v>473.1</x:v>
      </x:c>
      <x:c r="X2121" s="93" t="n">
        <x:f>IF(V2121="Returned",Q2121*R2121*10%,Q2121*R2121)</x:f>
        <x:v>290</x:v>
      </x:c>
      <x:c r="Y2121" s="93" t="n">
        <x:f>W2121-X2121</x:f>
        <x:v>183.10000000000002</x:v>
      </x:c>
      <x:c r="Z2121" s="94" t="n">
        <x:f>IFERROR(Y2121/W2121,0)</x:f>
        <x:v>0.3870217712957092</x:v>
      </x:c>
      <x:c r="AA2121" s="84" t="str">
        <x:f>PROPER(TRIM('Raw Sales'!M2121))</x:f>
        <x:v>Credit Card</x:v>
      </x:c>
      <x:c r="AB2121" s="84" t="str">
        <x:f>PROPER(TRIM('Raw Sales'!N2121))</x:f>
        <x:v>Ava Mitchell</x:v>
      </x:c>
      <x:c r="AC2121" s="85" t="n">
        <x:f>'Raw Sales'!O2121</x:f>
        <x:v>45974</x:v>
      </x:c>
      <x:c r="AD2121" s="84" t="n">
        <x:f>AC2121-B2121</x:f>
        <x:v>7</x:v>
      </x:c>
      <x:c r="AE2121" s="84" t="str">
        <x:f>IF(COUNTIF($A$5:A2121,A2121)&gt;1,"Duplicate","Keep")</x:f>
        <x:v>Keep</x:v>
      </x:c>
      <x:c r="AF2121" s="84" t="str">
        <x:f>IF(OR(R2121&lt;=0,AC2121&lt;B2121,H2121="Unknown",M2121="Unknown Product"),"Review","Valid")</x:f>
        <x:v>Valid</x:v>
      </x:c>
      <x:c r="AG2121" s="84" t="n">
        <x:f>IF(AND(AE2121="Keep",AF2121="Valid"),1,0)</x:f>
        <x:v>1</x:v>
      </x:c>
      <x:c r="AH2121" s="84" t="n">
        <x:f>IF(AND(AG2121=1,OR('Dashboard'!$B$4="All",I2121='Dashboard'!$B$4),OR('Dashboard'!$E$4="All",N2121='Dashboard'!$E$4),OR('Dashboard'!$H$4="All",K2121='Dashboard'!$H$4),OR('Dashboard'!$K$4="All",C2121='Dashboard'!$K$4)),1,0)</x:f>
        <x:v>1</x:v>
      </x:c>
      <x:c r="AI2121" s="84" t="n">
        <x:f>IF(AND(AG2121=1,OR('Dashboard'!$B$4="All",I2121='Dashboard'!$B$4),OR('Dashboard'!$E$4="All",N2121='Dashboard'!$E$4),OR('Dashboard'!$H$4="All",K2121='Dashboard'!$H$4)),1,0)</x:f>
        <x:v>1</x:v>
      </x:c>
    </x:row>
    <x:row r="2122">
      <x:c r="A2122" s="84" t="str">
        <x:f>'Raw Sales'!A2122</x:f>
        <x:v>ORD-2025-01301</x:v>
      </x:c>
      <x:c r="B2122" s="85" t="n">
        <x:f>'Raw Sales'!B2122</x:f>
        <x:v>45967</x:v>
      </x:c>
      <x:c r="C2122" s="84" t="n">
        <x:f>YEAR(B2122)</x:f>
        <x:v>2025</x:v>
      </x:c>
      <x:c r="D2122" s="91" t="n">
        <x:f>DATE(YEAR(B2122),MONTH(B2122),1)</x:f>
        <x:v>45962</x:v>
      </x:c>
      <x:c r="E2122" s="84" t="str">
        <x:f>TEXT(B2122,"mmm")</x:f>
        <x:v>Nov</x:v>
      </x:c>
      <x:c r="F2122" s="84" t="str">
        <x:f>'Raw Sales'!C2122</x:f>
        <x:v>CUST-0150</x:v>
      </x:c>
      <x:c r="G2122" s="84" t="str">
        <x:f>PROPER(TRIM('Raw Sales'!D2122))</x:f>
        <x:v>Aiden Carter</x:v>
      </x:c>
      <x:c r="H2122" s="84" t="str">
        <x:f>IF(TRIM('Raw Sales'!E2122)="","Unknown",PROPER(TRIM('Raw Sales'!E2122)))</x:f>
        <x:v>Consumer</x:v>
      </x:c>
      <x:c r="I2122" s="84" t="str">
        <x:f>PROPER(TRIM('Raw Sales'!F2122))</x:f>
        <x:v>Southeast</x:v>
      </x:c>
      <x:c r="J2122" s="84" t="str">
        <x:f>PROPER(TRIM('Raw Sales'!G2122))</x:f>
        <x:v>Atlanta</x:v>
      </x:c>
      <x:c r="K2122" s="84" t="str">
        <x:f>PROPER(TRIM('Raw Sales'!H2122))</x:f>
        <x:v>Online</x:v>
      </x:c>
      <x:c r="L2122" s="84" t="str">
        <x:f>'Raw Sales'!I2122</x:f>
        <x:v>ACCS-003</x:v>
      </x:c>
      <x:c r="M2122" s="84" t="str">
        <x:f>IFERROR(VLOOKUP(L2122,'Reference Data'!$A$5:$F$40,2,FALSE),"Unknown Product")</x:f>
        <x:v>Polarized Sunglasses</x:v>
      </x:c>
      <x:c r="N2122" s="84" t="str">
        <x:f>IFERROR(VLOOKUP(L2122,'Reference Data'!$A$5:$F$40,3,FALSE),"Unknown")</x:f>
        <x:v>Accessories</x:v>
      </x:c>
      <x:c r="O2122" s="84" t="str">
        <x:f>IFERROR(VLOOKUP(L2122,'Reference Data'!$A$5:$F$40,4,FALSE),"Unknown")</x:f>
        <x:v>Eyewear</x:v>
      </x:c>
      <x:c r="P2122" s="92" t="n">
        <x:f>IFERROR(VLOOKUP(L2122,'Reference Data'!$A$5:$F$40,5,FALSE),0)</x:f>
        <x:v>59</x:v>
      </x:c>
      <x:c r="Q2122" s="92" t="n">
        <x:f>IFERROR(VLOOKUP(L2122,'Reference Data'!$A$5:$F$40,6,FALSE),0)</x:f>
        <x:v>17</x:v>
      </x:c>
      <x:c r="R2122" s="84" t="n">
        <x:f>'Raw Sales'!J2122</x:f>
        <x:v>2</x:v>
      </x:c>
      <x:c r="S2122" s="87" t="n">
        <x:f>'Raw Sales'!K2122</x:f>
        <x:v>0.05</x:v>
      </x:c>
      <x:c r="T2122" s="93" t="n">
        <x:f>P2122*R2122</x:f>
        <x:v>118</x:v>
      </x:c>
      <x:c r="U2122" s="93" t="n">
        <x:f>T2122*S2122</x:f>
        <x:v>5.9</x:v>
      </x:c>
      <x:c r="V2122" s="93" t="str">
        <x:f>PROPER(TRIM('Raw Sales'!L2122))</x:f>
        <x:v>Completed</x:v>
      </x:c>
      <x:c r="W2122" s="93" t="n">
        <x:f>IF(V2122="Returned",0,T2122-U2122)</x:f>
        <x:v>112.1</x:v>
      </x:c>
      <x:c r="X2122" s="93" t="n">
        <x:f>IF(V2122="Returned",Q2122*R2122*10%,Q2122*R2122)</x:f>
        <x:v>34</x:v>
      </x:c>
      <x:c r="Y2122" s="93" t="n">
        <x:f>W2122-X2122</x:f>
        <x:v>78.1</x:v>
      </x:c>
      <x:c r="Z2122" s="94" t="n">
        <x:f>IFERROR(Y2122/W2122,0)</x:f>
        <x:v>0.6966993755575379</x:v>
      </x:c>
      <x:c r="AA2122" s="84" t="str">
        <x:f>PROPER(TRIM('Raw Sales'!M2122))</x:f>
        <x:v>Credit Card</x:v>
      </x:c>
      <x:c r="AB2122" s="84" t="str">
        <x:f>PROPER(TRIM('Raw Sales'!N2122))</x:f>
        <x:v>Ava Mitchell</x:v>
      </x:c>
      <x:c r="AC2122" s="85" t="n">
        <x:f>'Raw Sales'!O2122</x:f>
        <x:v>45970</x:v>
      </x:c>
      <x:c r="AD2122" s="84" t="n">
        <x:f>AC2122-B2122</x:f>
        <x:v>3</x:v>
      </x:c>
      <x:c r="AE2122" s="84" t="str">
        <x:f>IF(COUNTIF($A$5:A2122,A2122)&gt;1,"Duplicate","Keep")</x:f>
        <x:v>Keep</x:v>
      </x:c>
      <x:c r="AF2122" s="84" t="str">
        <x:f>IF(OR(R2122&lt;=0,AC2122&lt;B2122,H2122="Unknown",M2122="Unknown Product"),"Review","Valid")</x:f>
        <x:v>Valid</x:v>
      </x:c>
      <x:c r="AG2122" s="84" t="n">
        <x:f>IF(AND(AE2122="Keep",AF2122="Valid"),1,0)</x:f>
        <x:v>1</x:v>
      </x:c>
      <x:c r="AH2122" s="84" t="n">
        <x:f>IF(AND(AG2122=1,OR('Dashboard'!$B$4="All",I2122='Dashboard'!$B$4),OR('Dashboard'!$E$4="All",N2122='Dashboard'!$E$4),OR('Dashboard'!$H$4="All",K2122='Dashboard'!$H$4),OR('Dashboard'!$K$4="All",C2122='Dashboard'!$K$4)),1,0)</x:f>
        <x:v>1</x:v>
      </x:c>
      <x:c r="AI2122" s="84" t="n">
        <x:f>IF(AND(AG2122=1,OR('Dashboard'!$B$4="All",I2122='Dashboard'!$B$4),OR('Dashboard'!$E$4="All",N2122='Dashboard'!$E$4),OR('Dashboard'!$H$4="All",K2122='Dashboard'!$H$4)),1,0)</x:f>
        <x:v>1</x:v>
      </x:c>
    </x:row>
    <x:row r="2123">
      <x:c r="A2123" s="84" t="str">
        <x:f>'Raw Sales'!A2123</x:f>
        <x:v>ORD-2025-01561</x:v>
      </x:c>
      <x:c r="B2123" s="85" t="n">
        <x:f>'Raw Sales'!B2123</x:f>
        <x:v>45967</x:v>
      </x:c>
      <x:c r="C2123" s="84" t="n">
        <x:f>YEAR(B2123)</x:f>
        <x:v>2025</x:v>
      </x:c>
      <x:c r="D2123" s="91" t="n">
        <x:f>DATE(YEAR(B2123),MONTH(B2123),1)</x:f>
        <x:v>45962</x:v>
      </x:c>
      <x:c r="E2123" s="84" t="str">
        <x:f>TEXT(B2123,"mmm")</x:f>
        <x:v>Nov</x:v>
      </x:c>
      <x:c r="F2123" s="84" t="str">
        <x:f>'Raw Sales'!C2123</x:f>
        <x:v>CUST-0436</x:v>
      </x:c>
      <x:c r="G2123" s="84" t="str">
        <x:f>PROPER(TRIM('Raw Sales'!D2123))</x:f>
        <x:v>Nathan Hall</x:v>
      </x:c>
      <x:c r="H2123" s="84" t="str">
        <x:f>IF(TRIM('Raw Sales'!E2123)="","Unknown",PROPER(TRIM('Raw Sales'!E2123)))</x:f>
        <x:v>Consumer</x:v>
      </x:c>
      <x:c r="I2123" s="84" t="str">
        <x:f>PROPER(TRIM('Raw Sales'!F2123))</x:f>
        <x:v>West</x:v>
      </x:c>
      <x:c r="J2123" s="84" t="str">
        <x:f>PROPER(TRIM('Raw Sales'!G2123))</x:f>
        <x:v>Phoenix</x:v>
      </x:c>
      <x:c r="K2123" s="84" t="str">
        <x:f>PROPER(TRIM('Raw Sales'!H2123))</x:f>
        <x:v>Online</x:v>
      </x:c>
      <x:c r="L2123" s="84" t="str">
        <x:f>'Raw Sales'!I2123</x:f>
        <x:v>CARE-002</x:v>
      </x:c>
      <x:c r="M2123" s="84" t="str">
        <x:f>IFERROR(VLOOKUP(L2123,'Reference Data'!$A$5:$F$40,2,FALSE),"Unknown Product")</x:f>
        <x:v>Rechargeable Trimmer</x:v>
      </x:c>
      <x:c r="N2123" s="84" t="str">
        <x:f>IFERROR(VLOOKUP(L2123,'Reference Data'!$A$5:$F$40,3,FALSE),"Unknown")</x:f>
        <x:v>Personal Care</x:v>
      </x:c>
      <x:c r="O2123" s="84" t="str">
        <x:f>IFERROR(VLOOKUP(L2123,'Reference Data'!$A$5:$F$40,4,FALSE),"Unknown")</x:f>
        <x:v>Grooming</x:v>
      </x:c>
      <x:c r="P2123" s="92" t="n">
        <x:f>IFERROR(VLOOKUP(L2123,'Reference Data'!$A$5:$F$40,5,FALSE),0)</x:f>
        <x:v>45</x:v>
      </x:c>
      <x:c r="Q2123" s="92" t="n">
        <x:f>IFERROR(VLOOKUP(L2123,'Reference Data'!$A$5:$F$40,6,FALSE),0)</x:f>
        <x:v>19</x:v>
      </x:c>
      <x:c r="R2123" s="84" t="n">
        <x:f>'Raw Sales'!J2123</x:f>
        <x:v>1</x:v>
      </x:c>
      <x:c r="S2123" s="87" t="n">
        <x:f>'Raw Sales'!K2123</x:f>
        <x:v>0</x:v>
      </x:c>
      <x:c r="T2123" s="93" t="n">
        <x:f>P2123*R2123</x:f>
        <x:v>45</x:v>
      </x:c>
      <x:c r="U2123" s="93" t="n">
        <x:f>T2123*S2123</x:f>
        <x:v>0</x:v>
      </x:c>
      <x:c r="V2123" s="93" t="str">
        <x:f>PROPER(TRIM('Raw Sales'!L2123))</x:f>
        <x:v>Returned</x:v>
      </x:c>
      <x:c r="W2123" s="93" t="n">
        <x:f>IF(V2123="Returned",0,T2123-U2123)</x:f>
        <x:v>0</x:v>
      </x:c>
      <x:c r="X2123" s="93" t="n">
        <x:f>IF(V2123="Returned",Q2123*R2123*10%,Q2123*R2123)</x:f>
        <x:v>1.9000000000000001</x:v>
      </x:c>
      <x:c r="Y2123" s="93" t="n">
        <x:f>W2123-X2123</x:f>
        <x:v>-1.9000000000000001</x:v>
      </x:c>
      <x:c r="Z2123" s="94" t="n">
        <x:f>IFERROR(Y2123/W2123,0)</x:f>
        <x:v>0</x:v>
      </x:c>
      <x:c r="AA2123" s="84" t="str">
        <x:f>PROPER(TRIM('Raw Sales'!M2123))</x:f>
        <x:v>Debit Card</x:v>
      </x:c>
      <x:c r="AB2123" s="84" t="str">
        <x:f>PROPER(TRIM('Raw Sales'!N2123))</x:f>
        <x:v>Leo Martinez</x:v>
      </x:c>
      <x:c r="AC2123" s="85" t="n">
        <x:f>'Raw Sales'!O2123</x:f>
        <x:v>45971</x:v>
      </x:c>
      <x:c r="AD2123" s="84" t="n">
        <x:f>AC2123-B2123</x:f>
        <x:v>4</x:v>
      </x:c>
      <x:c r="AE2123" s="84" t="str">
        <x:f>IF(COUNTIF($A$5:A2123,A2123)&gt;1,"Duplicate","Keep")</x:f>
        <x:v>Keep</x:v>
      </x:c>
      <x:c r="AF2123" s="84" t="str">
        <x:f>IF(OR(R2123&lt;=0,AC2123&lt;B2123,H2123="Unknown",M2123="Unknown Product"),"Review","Valid")</x:f>
        <x:v>Valid</x:v>
      </x:c>
      <x:c r="AG2123" s="84" t="n">
        <x:f>IF(AND(AE2123="Keep",AF2123="Valid"),1,0)</x:f>
        <x:v>1</x:v>
      </x:c>
      <x:c r="AH2123" s="84" t="n">
        <x:f>IF(AND(AG2123=1,OR('Dashboard'!$B$4="All",I2123='Dashboard'!$B$4),OR('Dashboard'!$E$4="All",N2123='Dashboard'!$E$4),OR('Dashboard'!$H$4="All",K2123='Dashboard'!$H$4),OR('Dashboard'!$K$4="All",C2123='Dashboard'!$K$4)),1,0)</x:f>
        <x:v>1</x:v>
      </x:c>
      <x:c r="AI2123" s="84" t="n">
        <x:f>IF(AND(AG2123=1,OR('Dashboard'!$B$4="All",I2123='Dashboard'!$B$4),OR('Dashboard'!$E$4="All",N2123='Dashboard'!$E$4),OR('Dashboard'!$H$4="All",K2123='Dashboard'!$H$4)),1,0)</x:f>
        <x:v>1</x:v>
      </x:c>
    </x:row>
    <x:row r="2124">
      <x:c r="A2124" s="84" t="str">
        <x:f>'Raw Sales'!A2124</x:f>
        <x:v>ORD-2025-02150</x:v>
      </x:c>
      <x:c r="B2124" s="85" t="n">
        <x:f>'Raw Sales'!B2124</x:f>
        <x:v>45967</x:v>
      </x:c>
      <x:c r="C2124" s="84" t="n">
        <x:f>YEAR(B2124)</x:f>
        <x:v>2025</x:v>
      </x:c>
      <x:c r="D2124" s="91" t="n">
        <x:f>DATE(YEAR(B2124),MONTH(B2124),1)</x:f>
        <x:v>45962</x:v>
      </x:c>
      <x:c r="E2124" s="84" t="str">
        <x:f>TEXT(B2124,"mmm")</x:f>
        <x:v>Nov</x:v>
      </x:c>
      <x:c r="F2124" s="84" t="str">
        <x:f>'Raw Sales'!C2124</x:f>
        <x:v>CUST-0588</x:v>
      </x:c>
      <x:c r="G2124" s="84" t="str">
        <x:f>PROPER(TRIM('Raw Sales'!D2124))</x:f>
        <x:v>Nathan Johnson</x:v>
      </x:c>
      <x:c r="H2124" s="84" t="str">
        <x:f>IF(TRIM('Raw Sales'!E2124)="","Unknown",PROPER(TRIM('Raw Sales'!E2124)))</x:f>
        <x:v>Consumer</x:v>
      </x:c>
      <x:c r="I2124" s="84" t="str">
        <x:f>PROPER(TRIM('Raw Sales'!F2124))</x:f>
        <x:v>Midwest</x:v>
      </x:c>
      <x:c r="J2124" s="84" t="str">
        <x:f>PROPER(TRIM('Raw Sales'!G2124))</x:f>
        <x:v>Detroit</x:v>
      </x:c>
      <x:c r="K2124" s="84" t="str">
        <x:f>PROPER(TRIM('Raw Sales'!H2124))</x:f>
        <x:v>Marketplace</x:v>
      </x:c>
      <x:c r="L2124" s="84" t="str">
        <x:f>'Raw Sales'!I2124</x:f>
        <x:v>ELEC-004</x:v>
      </x:c>
      <x:c r="M2124" s="84" t="str">
        <x:f>IFERROR(VLOOKUP(L2124,'Reference Data'!$A$5:$F$40,2,FALSE),"Unknown Product")</x:f>
        <x:v>Power Bank</x:v>
      </x:c>
      <x:c r="N2124" s="84" t="str">
        <x:f>IFERROR(VLOOKUP(L2124,'Reference Data'!$A$5:$F$40,3,FALSE),"Unknown")</x:f>
        <x:v>Electronics</x:v>
      </x:c>
      <x:c r="O2124" s="84" t="str">
        <x:f>IFERROR(VLOOKUP(L2124,'Reference Data'!$A$5:$F$40,4,FALSE),"Unknown")</x:f>
        <x:v>Mobile Accessories</x:v>
      </x:c>
      <x:c r="P2124" s="92" t="n">
        <x:f>IFERROR(VLOOKUP(L2124,'Reference Data'!$A$5:$F$40,5,FALSE),0)</x:f>
        <x:v>39</x:v>
      </x:c>
      <x:c r="Q2124" s="92" t="n">
        <x:f>IFERROR(VLOOKUP(L2124,'Reference Data'!$A$5:$F$40,6,FALSE),0)</x:f>
        <x:v>18</x:v>
      </x:c>
      <x:c r="R2124" s="84" t="n">
        <x:f>'Raw Sales'!J2124</x:f>
        <x:v>1</x:v>
      </x:c>
      <x:c r="S2124" s="87" t="n">
        <x:f>'Raw Sales'!K2124</x:f>
        <x:v>0.15</x:v>
      </x:c>
      <x:c r="T2124" s="93" t="n">
        <x:f>P2124*R2124</x:f>
        <x:v>39</x:v>
      </x:c>
      <x:c r="U2124" s="93" t="n">
        <x:f>T2124*S2124</x:f>
        <x:v>5.85</x:v>
      </x:c>
      <x:c r="V2124" s="93" t="str">
        <x:f>PROPER(TRIM('Raw Sales'!L2124))</x:f>
        <x:v>Completed</x:v>
      </x:c>
      <x:c r="W2124" s="93" t="n">
        <x:f>IF(V2124="Returned",0,T2124-U2124)</x:f>
        <x:v>33.15</x:v>
      </x:c>
      <x:c r="X2124" s="93" t="n">
        <x:f>IF(V2124="Returned",Q2124*R2124*10%,Q2124*R2124)</x:f>
        <x:v>18</x:v>
      </x:c>
      <x:c r="Y2124" s="93" t="n">
        <x:f>W2124-X2124</x:f>
        <x:v>15.149999999999999</x:v>
      </x:c>
      <x:c r="Z2124" s="94" t="n">
        <x:f>IFERROR(Y2124/W2124,0)</x:f>
        <x:v>0.45701357466063347</x:v>
      </x:c>
      <x:c r="AA2124" s="84" t="str">
        <x:f>PROPER(TRIM('Raw Sales'!M2124))</x:f>
        <x:v>Paypal</x:v>
      </x:c>
      <x:c r="AB2124" s="84" t="str">
        <x:f>PROPER(TRIM('Raw Sales'!N2124))</x:f>
        <x:v>Lucas Grant</x:v>
      </x:c>
      <x:c r="AC2124" s="85" t="n">
        <x:f>'Raw Sales'!O2124</x:f>
        <x:v>45970</x:v>
      </x:c>
      <x:c r="AD2124" s="84" t="n">
        <x:f>AC2124-B2124</x:f>
        <x:v>3</x:v>
      </x:c>
      <x:c r="AE2124" s="84" t="str">
        <x:f>IF(COUNTIF($A$5:A2124,A2124)&gt;1,"Duplicate","Keep")</x:f>
        <x:v>Keep</x:v>
      </x:c>
      <x:c r="AF2124" s="84" t="str">
        <x:f>IF(OR(R2124&lt;=0,AC2124&lt;B2124,H2124="Unknown",M2124="Unknown Product"),"Review","Valid")</x:f>
        <x:v>Valid</x:v>
      </x:c>
      <x:c r="AG2124" s="84" t="n">
        <x:f>IF(AND(AE2124="Keep",AF2124="Valid"),1,0)</x:f>
        <x:v>1</x:v>
      </x:c>
      <x:c r="AH2124" s="84" t="n">
        <x:f>IF(AND(AG2124=1,OR('Dashboard'!$B$4="All",I2124='Dashboard'!$B$4),OR('Dashboard'!$E$4="All",N2124='Dashboard'!$E$4),OR('Dashboard'!$H$4="All",K2124='Dashboard'!$H$4),OR('Dashboard'!$K$4="All",C2124='Dashboard'!$K$4)),1,0)</x:f>
        <x:v>1</x:v>
      </x:c>
      <x:c r="AI2124" s="84" t="n">
        <x:f>IF(AND(AG2124=1,OR('Dashboard'!$B$4="All",I2124='Dashboard'!$B$4),OR('Dashboard'!$E$4="All",N2124='Dashboard'!$E$4),OR('Dashboard'!$H$4="All",K2124='Dashboard'!$H$4)),1,0)</x:f>
        <x:v>1</x:v>
      </x:c>
    </x:row>
    <x:row r="2125">
      <x:c r="A2125" s="84" t="str">
        <x:f>'Raw Sales'!A2125</x:f>
        <x:v>ORD-2025-02229</x:v>
      </x:c>
      <x:c r="B2125" s="85" t="n">
        <x:f>'Raw Sales'!B2125</x:f>
        <x:v>45967</x:v>
      </x:c>
      <x:c r="C2125" s="84" t="n">
        <x:f>YEAR(B2125)</x:f>
        <x:v>2025</x:v>
      </x:c>
      <x:c r="D2125" s="91" t="n">
        <x:f>DATE(YEAR(B2125),MONTH(B2125),1)</x:f>
        <x:v>45962</x:v>
      </x:c>
      <x:c r="E2125" s="84" t="str">
        <x:f>TEXT(B2125,"mmm")</x:f>
        <x:v>Nov</x:v>
      </x:c>
      <x:c r="F2125" s="84" t="str">
        <x:f>'Raw Sales'!C2125</x:f>
        <x:v>CUST-0631</x:v>
      </x:c>
      <x:c r="G2125" s="84" t="str">
        <x:f>PROPER(TRIM('Raw Sales'!D2125))</x:f>
        <x:v>Amelia Adams</x:v>
      </x:c>
      <x:c r="H2125" s="84" t="str">
        <x:f>IF(TRIM('Raw Sales'!E2125)="","Unknown",PROPER(TRIM('Raw Sales'!E2125)))</x:f>
        <x:v>Consumer</x:v>
      </x:c>
      <x:c r="I2125" s="84" t="str">
        <x:f>PROPER(TRIM('Raw Sales'!F2125))</x:f>
        <x:v>Midwest</x:v>
      </x:c>
      <x:c r="J2125" s="84" t="str">
        <x:f>PROPER(TRIM('Raw Sales'!G2125))</x:f>
        <x:v>Minneapolis</x:v>
      </x:c>
      <x:c r="K2125" s="84" t="str">
        <x:f>PROPER(TRIM('Raw Sales'!H2125))</x:f>
        <x:v>Online</x:v>
      </x:c>
      <x:c r="L2125" s="84" t="str">
        <x:f>'Raw Sales'!I2125</x:f>
        <x:v>OFFC-004</x:v>
      </x:c>
      <x:c r="M2125" s="84" t="str">
        <x:f>IFERROR(VLOOKUP(L2125,'Reference Data'!$A$5:$F$40,2,FALSE),"Unknown Product")</x:f>
        <x:v>Premium Notebook Pack</x:v>
      </x:c>
      <x:c r="N2125" s="84" t="str">
        <x:f>IFERROR(VLOOKUP(L2125,'Reference Data'!$A$5:$F$40,3,FALSE),"Unknown")</x:f>
        <x:v>Office</x:v>
      </x:c>
      <x:c r="O2125" s="84" t="str">
        <x:f>IFERROR(VLOOKUP(L2125,'Reference Data'!$A$5:$F$40,4,FALSE),"Unknown")</x:f>
        <x:v>Stationery</x:v>
      </x:c>
      <x:c r="P2125" s="92" t="n">
        <x:f>IFERROR(VLOOKUP(L2125,'Reference Data'!$A$5:$F$40,5,FALSE),0)</x:f>
        <x:v>18</x:v>
      </x:c>
      <x:c r="Q2125" s="92" t="n">
        <x:f>IFERROR(VLOOKUP(L2125,'Reference Data'!$A$5:$F$40,6,FALSE),0)</x:f>
        <x:v>6.5</x:v>
      </x:c>
      <x:c r="R2125" s="84" t="n">
        <x:f>'Raw Sales'!J2125</x:f>
        <x:v>1</x:v>
      </x:c>
      <x:c r="S2125" s="87" t="n">
        <x:f>'Raw Sales'!K2125</x:f>
        <x:v>0</x:v>
      </x:c>
      <x:c r="T2125" s="93" t="n">
        <x:f>P2125*R2125</x:f>
        <x:v>18</x:v>
      </x:c>
      <x:c r="U2125" s="93" t="n">
        <x:f>T2125*S2125</x:f>
        <x:v>0</x:v>
      </x:c>
      <x:c r="V2125" s="93" t="str">
        <x:f>PROPER(TRIM('Raw Sales'!L2125))</x:f>
        <x:v>Completed</x:v>
      </x:c>
      <x:c r="W2125" s="93" t="n">
        <x:f>IF(V2125="Returned",0,T2125-U2125)</x:f>
        <x:v>18</x:v>
      </x:c>
      <x:c r="X2125" s="93" t="n">
        <x:f>IF(V2125="Returned",Q2125*R2125*10%,Q2125*R2125)</x:f>
        <x:v>6.5</x:v>
      </x:c>
      <x:c r="Y2125" s="93" t="n">
        <x:f>W2125-X2125</x:f>
        <x:v>11.5</x:v>
      </x:c>
      <x:c r="Z2125" s="94" t="n">
        <x:f>IFERROR(Y2125/W2125,0)</x:f>
        <x:v>0.6388888888888888</x:v>
      </x:c>
      <x:c r="AA2125" s="84" t="str">
        <x:f>PROPER(TRIM('Raw Sales'!M2125))</x:f>
        <x:v>Credit Card</x:v>
      </x:c>
      <x:c r="AB2125" s="84" t="str">
        <x:f>PROPER(TRIM('Raw Sales'!N2125))</x:f>
        <x:v>Emma Hayes</x:v>
      </x:c>
      <x:c r="AC2125" s="85" t="n">
        <x:f>'Raw Sales'!O2125</x:f>
        <x:v>45971</x:v>
      </x:c>
      <x:c r="AD2125" s="84" t="n">
        <x:f>AC2125-B2125</x:f>
        <x:v>4</x:v>
      </x:c>
      <x:c r="AE2125" s="84" t="str">
        <x:f>IF(COUNTIF($A$5:A2125,A2125)&gt;1,"Duplicate","Keep")</x:f>
        <x:v>Keep</x:v>
      </x:c>
      <x:c r="AF2125" s="84" t="str">
        <x:f>IF(OR(R2125&lt;=0,AC2125&lt;B2125,H2125="Unknown",M2125="Unknown Product"),"Review","Valid")</x:f>
        <x:v>Valid</x:v>
      </x:c>
      <x:c r="AG2125" s="84" t="n">
        <x:f>IF(AND(AE2125="Keep",AF2125="Valid"),1,0)</x:f>
        <x:v>1</x:v>
      </x:c>
      <x:c r="AH2125" s="84" t="n">
        <x:f>IF(AND(AG2125=1,OR('Dashboard'!$B$4="All",I2125='Dashboard'!$B$4),OR('Dashboard'!$E$4="All",N2125='Dashboard'!$E$4),OR('Dashboard'!$H$4="All",K2125='Dashboard'!$H$4),OR('Dashboard'!$K$4="All",C2125='Dashboard'!$K$4)),1,0)</x:f>
        <x:v>1</x:v>
      </x:c>
      <x:c r="AI2125" s="84" t="n">
        <x:f>IF(AND(AG2125=1,OR('Dashboard'!$B$4="All",I2125='Dashboard'!$B$4),OR('Dashboard'!$E$4="All",N2125='Dashboard'!$E$4),OR('Dashboard'!$H$4="All",K2125='Dashboard'!$H$4)),1,0)</x:f>
        <x:v>1</x:v>
      </x:c>
    </x:row>
    <x:row r="2126">
      <x:c r="A2126" s="84" t="str">
        <x:f>'Raw Sales'!A2126</x:f>
        <x:v>ORD-2025-02310</x:v>
      </x:c>
      <x:c r="B2126" s="85" t="n">
        <x:f>'Raw Sales'!B2126</x:f>
        <x:v>45967</x:v>
      </x:c>
      <x:c r="C2126" s="84" t="n">
        <x:f>YEAR(B2126)</x:f>
        <x:v>2025</x:v>
      </x:c>
      <x:c r="D2126" s="91" t="n">
        <x:f>DATE(YEAR(B2126),MONTH(B2126),1)</x:f>
        <x:v>45962</x:v>
      </x:c>
      <x:c r="E2126" s="84" t="str">
        <x:f>TEXT(B2126,"mmm")</x:f>
        <x:v>Nov</x:v>
      </x:c>
      <x:c r="F2126" s="84" t="str">
        <x:f>'Raw Sales'!C2126</x:f>
        <x:v>CUST-0495</x:v>
      </x:c>
      <x:c r="G2126" s="84" t="str">
        <x:f>PROPER(TRIM('Raw Sales'!D2126))</x:f>
        <x:v>Victoria Walker</x:v>
      </x:c>
      <x:c r="H2126" s="84" t="str">
        <x:f>IF(TRIM('Raw Sales'!E2126)="","Unknown",PROPER(TRIM('Raw Sales'!E2126)))</x:f>
        <x:v>Consumer</x:v>
      </x:c>
      <x:c r="I2126" s="84" t="str">
        <x:f>PROPER(TRIM('Raw Sales'!F2126))</x:f>
        <x:v>West</x:v>
      </x:c>
      <x:c r="J2126" s="84" t="str">
        <x:f>PROPER(TRIM('Raw Sales'!G2126))</x:f>
        <x:v>Denver</x:v>
      </x:c>
      <x:c r="K2126" s="84" t="str">
        <x:f>PROPER(TRIM('Raw Sales'!H2126))</x:f>
        <x:v>Retail Store</x:v>
      </x:c>
      <x:c r="L2126" s="84" t="str">
        <x:f>'Raw Sales'!I2126</x:f>
        <x:v>FITN-006</x:v>
      </x:c>
      <x:c r="M2126" s="84" t="str">
        <x:f>IFERROR(VLOOKUP(L2126,'Reference Data'!$A$5:$F$40,2,FALSE),"Unknown Product")</x:f>
        <x:v>Foam Roller</x:v>
      </x:c>
      <x:c r="N2126" s="84" t="str">
        <x:f>IFERROR(VLOOKUP(L2126,'Reference Data'!$A$5:$F$40,3,FALSE),"Unknown")</x:f>
        <x:v>Fitness</x:v>
      </x:c>
      <x:c r="O2126" s="84" t="str">
        <x:f>IFERROR(VLOOKUP(L2126,'Reference Data'!$A$5:$F$40,4,FALSE),"Unknown")</x:f>
        <x:v>Recovery</x:v>
      </x:c>
      <x:c r="P2126" s="92" t="n">
        <x:f>IFERROR(VLOOKUP(L2126,'Reference Data'!$A$5:$F$40,5,FALSE),0)</x:f>
        <x:v>31</x:v>
      </x:c>
      <x:c r="Q2126" s="92" t="n">
        <x:f>IFERROR(VLOOKUP(L2126,'Reference Data'!$A$5:$F$40,6,FALSE),0)</x:f>
        <x:v>12</x:v>
      </x:c>
      <x:c r="R2126" s="84" t="n">
        <x:f>'Raw Sales'!J2126</x:f>
        <x:v>4</x:v>
      </x:c>
      <x:c r="S2126" s="87" t="n">
        <x:f>'Raw Sales'!K2126</x:f>
        <x:v>0</x:v>
      </x:c>
      <x:c r="T2126" s="93" t="n">
        <x:f>P2126*R2126</x:f>
        <x:v>124</x:v>
      </x:c>
      <x:c r="U2126" s="93" t="n">
        <x:f>T2126*S2126</x:f>
        <x:v>0</x:v>
      </x:c>
      <x:c r="V2126" s="93" t="str">
        <x:f>PROPER(TRIM('Raw Sales'!L2126))</x:f>
        <x:v>Completed</x:v>
      </x:c>
      <x:c r="W2126" s="93" t="n">
        <x:f>IF(V2126="Returned",0,T2126-U2126)</x:f>
        <x:v>124</x:v>
      </x:c>
      <x:c r="X2126" s="93" t="n">
        <x:f>IF(V2126="Returned",Q2126*R2126*10%,Q2126*R2126)</x:f>
        <x:v>48</x:v>
      </x:c>
      <x:c r="Y2126" s="93" t="n">
        <x:f>W2126-X2126</x:f>
        <x:v>76</x:v>
      </x:c>
      <x:c r="Z2126" s="94" t="n">
        <x:f>IFERROR(Y2126/W2126,0)</x:f>
        <x:v>0.6129032258064516</x:v>
      </x:c>
      <x:c r="AA2126" s="84" t="str">
        <x:f>PROPER(TRIM('Raw Sales'!M2126))</x:f>
        <x:v>Cash</x:v>
      </x:c>
      <x:c r="AB2126" s="84" t="str">
        <x:f>PROPER(TRIM('Raw Sales'!N2126))</x:f>
        <x:v>Nora Kim</x:v>
      </x:c>
      <x:c r="AC2126" s="85" t="n">
        <x:f>'Raw Sales'!O2126</x:f>
        <x:v>45967</x:v>
      </x:c>
      <x:c r="AD2126" s="84" t="n">
        <x:f>AC2126-B2126</x:f>
        <x:v>0</x:v>
      </x:c>
      <x:c r="AE2126" s="84" t="str">
        <x:f>IF(COUNTIF($A$5:A2126,A2126)&gt;1,"Duplicate","Keep")</x:f>
        <x:v>Keep</x:v>
      </x:c>
      <x:c r="AF2126" s="84" t="str">
        <x:f>IF(OR(R2126&lt;=0,AC2126&lt;B2126,H2126="Unknown",M2126="Unknown Product"),"Review","Valid")</x:f>
        <x:v>Valid</x:v>
      </x:c>
      <x:c r="AG2126" s="84" t="n">
        <x:f>IF(AND(AE2126="Keep",AF2126="Valid"),1,0)</x:f>
        <x:v>1</x:v>
      </x:c>
      <x:c r="AH2126" s="84" t="n">
        <x:f>IF(AND(AG2126=1,OR('Dashboard'!$B$4="All",I2126='Dashboard'!$B$4),OR('Dashboard'!$E$4="All",N2126='Dashboard'!$E$4),OR('Dashboard'!$H$4="All",K2126='Dashboard'!$H$4),OR('Dashboard'!$K$4="All",C2126='Dashboard'!$K$4)),1,0)</x:f>
        <x:v>1</x:v>
      </x:c>
      <x:c r="AI2126" s="84" t="n">
        <x:f>IF(AND(AG2126=1,OR('Dashboard'!$B$4="All",I2126='Dashboard'!$B$4),OR('Dashboard'!$E$4="All",N2126='Dashboard'!$E$4),OR('Dashboard'!$H$4="All",K2126='Dashboard'!$H$4)),1,0)</x:f>
        <x:v>1</x:v>
      </x:c>
    </x:row>
    <x:row r="2127">
      <x:c r="A2127" s="84" t="str">
        <x:f>'Raw Sales'!A2127</x:f>
        <x:v>ORD-2025-00234</x:v>
      </x:c>
      <x:c r="B2127" s="85" t="n">
        <x:f>'Raw Sales'!B2127</x:f>
        <x:v>45968</x:v>
      </x:c>
      <x:c r="C2127" s="84" t="n">
        <x:f>YEAR(B2127)</x:f>
        <x:v>2025</x:v>
      </x:c>
      <x:c r="D2127" s="91" t="n">
        <x:f>DATE(YEAR(B2127),MONTH(B2127),1)</x:f>
        <x:v>45962</x:v>
      </x:c>
      <x:c r="E2127" s="84" t="str">
        <x:f>TEXT(B2127,"mmm")</x:f>
        <x:v>Nov</x:v>
      </x:c>
      <x:c r="F2127" s="84" t="str">
        <x:f>'Raw Sales'!C2127</x:f>
        <x:v>CUST-0417</x:v>
      </x:c>
      <x:c r="G2127" s="84" t="str">
        <x:f>PROPER(TRIM('Raw Sales'!D2127))</x:f>
        <x:v>Amelia Evans</x:v>
      </x:c>
      <x:c r="H2127" s="84" t="str">
        <x:f>IF(TRIM('Raw Sales'!E2127)="","Unknown",PROPER(TRIM('Raw Sales'!E2127)))</x:f>
        <x:v>Consumer</x:v>
      </x:c>
      <x:c r="I2127" s="84" t="str">
        <x:f>PROPER(TRIM('Raw Sales'!F2127))</x:f>
        <x:v>Northeast</x:v>
      </x:c>
      <x:c r="J2127" s="84" t="str">
        <x:f>PROPER(TRIM('Raw Sales'!G2127))</x:f>
        <x:v>Boston</x:v>
      </x:c>
      <x:c r="K2127" s="84" t="str">
        <x:f>PROPER(TRIM('Raw Sales'!H2127))</x:f>
        <x:v>Online</x:v>
      </x:c>
      <x:c r="L2127" s="84" t="str">
        <x:f>'Raw Sales'!I2127</x:f>
        <x:v>HOME-001</x:v>
      </x:c>
      <x:c r="M2127" s="84" t="str">
        <x:f>IFERROR(VLOOKUP(L2127,'Reference Data'!$A$5:$F$40,2,FALSE),"Unknown Product")</x:f>
        <x:v>Air Fryer</x:v>
      </x:c>
      <x:c r="N2127" s="84" t="str">
        <x:f>IFERROR(VLOOKUP(L2127,'Reference Data'!$A$5:$F$40,3,FALSE),"Unknown")</x:f>
        <x:v>Home &amp; Kitchen</x:v>
      </x:c>
      <x:c r="O2127" s="84" t="str">
        <x:f>IFERROR(VLOOKUP(L2127,'Reference Data'!$A$5:$F$40,4,FALSE),"Unknown")</x:f>
        <x:v>Small Appliances</x:v>
      </x:c>
      <x:c r="P2127" s="92" t="n">
        <x:f>IFERROR(VLOOKUP(L2127,'Reference Data'!$A$5:$F$40,5,FALSE),0)</x:f>
        <x:v>119</x:v>
      </x:c>
      <x:c r="Q2127" s="92" t="n">
        <x:f>IFERROR(VLOOKUP(L2127,'Reference Data'!$A$5:$F$40,6,FALSE),0)</x:f>
        <x:v>68</x:v>
      </x:c>
      <x:c r="R2127" s="84" t="n">
        <x:f>'Raw Sales'!J2127</x:f>
        <x:v>1</x:v>
      </x:c>
      <x:c r="S2127" s="87" t="n">
        <x:f>'Raw Sales'!K2127</x:f>
        <x:v>0</x:v>
      </x:c>
      <x:c r="T2127" s="93" t="n">
        <x:f>P2127*R2127</x:f>
        <x:v>119</x:v>
      </x:c>
      <x:c r="U2127" s="93" t="n">
        <x:f>T2127*S2127</x:f>
        <x:v>0</x:v>
      </x:c>
      <x:c r="V2127" s="93" t="str">
        <x:f>PROPER(TRIM('Raw Sales'!L2127))</x:f>
        <x:v>Completed</x:v>
      </x:c>
      <x:c r="W2127" s="93" t="n">
        <x:f>IF(V2127="Returned",0,T2127-U2127)</x:f>
        <x:v>119</x:v>
      </x:c>
      <x:c r="X2127" s="93" t="n">
        <x:f>IF(V2127="Returned",Q2127*R2127*10%,Q2127*R2127)</x:f>
        <x:v>68</x:v>
      </x:c>
      <x:c r="Y2127" s="93" t="n">
        <x:f>W2127-X2127</x:f>
        <x:v>51</x:v>
      </x:c>
      <x:c r="Z2127" s="94" t="n">
        <x:f>IFERROR(Y2127/W2127,0)</x:f>
        <x:v>0.42857142857142855</x:v>
      </x:c>
      <x:c r="AA2127" s="84" t="str">
        <x:f>PROPER(TRIM('Raw Sales'!M2127))</x:f>
        <x:v>Debit Card</x:v>
      </x:c>
      <x:c r="AB2127" s="84" t="str">
        <x:f>PROPER(TRIM('Raw Sales'!N2127))</x:f>
        <x:v>Ethan Cole</x:v>
      </x:c>
      <x:c r="AC2127" s="85" t="n">
        <x:f>'Raw Sales'!O2127</x:f>
        <x:v>45972</x:v>
      </x:c>
      <x:c r="AD2127" s="84" t="n">
        <x:f>AC2127-B2127</x:f>
        <x:v>4</x:v>
      </x:c>
      <x:c r="AE2127" s="84" t="str">
        <x:f>IF(COUNTIF($A$5:A2127,A2127)&gt;1,"Duplicate","Keep")</x:f>
        <x:v>Keep</x:v>
      </x:c>
      <x:c r="AF2127" s="84" t="str">
        <x:f>IF(OR(R2127&lt;=0,AC2127&lt;B2127,H2127="Unknown",M2127="Unknown Product"),"Review","Valid")</x:f>
        <x:v>Valid</x:v>
      </x:c>
      <x:c r="AG2127" s="84" t="n">
        <x:f>IF(AND(AE2127="Keep",AF2127="Valid"),1,0)</x:f>
        <x:v>1</x:v>
      </x:c>
      <x:c r="AH2127" s="84" t="n">
        <x:f>IF(AND(AG2127=1,OR('Dashboard'!$B$4="All",I2127='Dashboard'!$B$4),OR('Dashboard'!$E$4="All",N2127='Dashboard'!$E$4),OR('Dashboard'!$H$4="All",K2127='Dashboard'!$H$4),OR('Dashboard'!$K$4="All",C2127='Dashboard'!$K$4)),1,0)</x:f>
        <x:v>1</x:v>
      </x:c>
      <x:c r="AI2127" s="84" t="n">
        <x:f>IF(AND(AG2127=1,OR('Dashboard'!$B$4="All",I2127='Dashboard'!$B$4),OR('Dashboard'!$E$4="All",N2127='Dashboard'!$E$4),OR('Dashboard'!$H$4="All",K2127='Dashboard'!$H$4)),1,0)</x:f>
        <x:v>1</x:v>
      </x:c>
    </x:row>
    <x:row r="2128">
      <x:c r="A2128" s="84" t="str">
        <x:f>'Raw Sales'!A2128</x:f>
        <x:v>ORD-2025-00404</x:v>
      </x:c>
      <x:c r="B2128" s="85" t="n">
        <x:f>'Raw Sales'!B2128</x:f>
        <x:v>45968</x:v>
      </x:c>
      <x:c r="C2128" s="84" t="n">
        <x:f>YEAR(B2128)</x:f>
        <x:v>2025</x:v>
      </x:c>
      <x:c r="D2128" s="91" t="n">
        <x:f>DATE(YEAR(B2128),MONTH(B2128),1)</x:f>
        <x:v>45962</x:v>
      </x:c>
      <x:c r="E2128" s="84" t="str">
        <x:f>TEXT(B2128,"mmm")</x:f>
        <x:v>Nov</x:v>
      </x:c>
      <x:c r="F2128" s="84" t="str">
        <x:f>'Raw Sales'!C2128</x:f>
        <x:v>CUST-0377</x:v>
      </x:c>
      <x:c r="G2128" s="84" t="str">
        <x:f>PROPER(TRIM('Raw Sales'!D2128))</x:f>
        <x:v>Owen Adams</x:v>
      </x:c>
      <x:c r="H2128" s="84" t="str">
        <x:f>IF(TRIM('Raw Sales'!E2128)="","Unknown",PROPER(TRIM('Raw Sales'!E2128)))</x:f>
        <x:v>Consumer</x:v>
      </x:c>
      <x:c r="I2128" s="84" t="str">
        <x:f>PROPER(TRIM('Raw Sales'!F2128))</x:f>
        <x:v>Northeast</x:v>
      </x:c>
      <x:c r="J2128" s="84" t="str">
        <x:f>PROPER(TRIM('Raw Sales'!G2128))</x:f>
        <x:v>Boston</x:v>
      </x:c>
      <x:c r="K2128" s="84" t="str">
        <x:f>PROPER(TRIM('Raw Sales'!H2128))</x:f>
        <x:v>Retail Store</x:v>
      </x:c>
      <x:c r="L2128" s="84" t="str">
        <x:f>'Raw Sales'!I2128</x:f>
        <x:v>FITN-003</x:v>
      </x:c>
      <x:c r="M2128" s="84" t="str">
        <x:f>IFERROR(VLOOKUP(L2128,'Reference Data'!$A$5:$F$40,2,FALSE),"Unknown Product")</x:f>
        <x:v>Resistance Band Set</x:v>
      </x:c>
      <x:c r="N2128" s="84" t="str">
        <x:f>IFERROR(VLOOKUP(L2128,'Reference Data'!$A$5:$F$40,3,FALSE),"Unknown")</x:f>
        <x:v>Fitness</x:v>
      </x:c>
      <x:c r="O2128" s="84" t="str">
        <x:f>IFERROR(VLOOKUP(L2128,'Reference Data'!$A$5:$F$40,4,FALSE),"Unknown")</x:f>
        <x:v>Strength</x:v>
      </x:c>
      <x:c r="P2128" s="92" t="n">
        <x:f>IFERROR(VLOOKUP(L2128,'Reference Data'!$A$5:$F$40,5,FALSE),0)</x:f>
        <x:v>24</x:v>
      </x:c>
      <x:c r="Q2128" s="92" t="n">
        <x:f>IFERROR(VLOOKUP(L2128,'Reference Data'!$A$5:$F$40,6,FALSE),0)</x:f>
        <x:v>8</x:v>
      </x:c>
      <x:c r="R2128" s="84" t="n">
        <x:f>'Raw Sales'!J2128</x:f>
        <x:v>2</x:v>
      </x:c>
      <x:c r="S2128" s="87" t="n">
        <x:f>'Raw Sales'!K2128</x:f>
        <x:v>0.1</x:v>
      </x:c>
      <x:c r="T2128" s="93" t="n">
        <x:f>P2128*R2128</x:f>
        <x:v>48</x:v>
      </x:c>
      <x:c r="U2128" s="93" t="n">
        <x:f>T2128*S2128</x:f>
        <x:v>4.800000000000001</x:v>
      </x:c>
      <x:c r="V2128" s="93" t="str">
        <x:f>PROPER(TRIM('Raw Sales'!L2128))</x:f>
        <x:v>Completed</x:v>
      </x:c>
      <x:c r="W2128" s="93" t="n">
        <x:f>IF(V2128="Returned",0,T2128-U2128)</x:f>
        <x:v>43.2</x:v>
      </x:c>
      <x:c r="X2128" s="93" t="n">
        <x:f>IF(V2128="Returned",Q2128*R2128*10%,Q2128*R2128)</x:f>
        <x:v>16</x:v>
      </x:c>
      <x:c r="Y2128" s="93" t="n">
        <x:f>W2128-X2128</x:f>
        <x:v>27.200000000000003</x:v>
      </x:c>
      <x:c r="Z2128" s="94" t="n">
        <x:f>IFERROR(Y2128/W2128,0)</x:f>
        <x:v>0.6296296296296297</x:v>
      </x:c>
      <x:c r="AA2128" s="84" t="str">
        <x:f>PROPER(TRIM('Raw Sales'!M2128))</x:f>
        <x:v>Cash</x:v>
      </x:c>
      <x:c r="AB2128" s="84" t="str">
        <x:f>PROPER(TRIM('Raw Sales'!N2128))</x:f>
        <x:v>Ethan Cole</x:v>
      </x:c>
      <x:c r="AC2128" s="85" t="n">
        <x:f>'Raw Sales'!O2128</x:f>
        <x:v>45969</x:v>
      </x:c>
      <x:c r="AD2128" s="84" t="n">
        <x:f>AC2128-B2128</x:f>
        <x:v>1</x:v>
      </x:c>
      <x:c r="AE2128" s="84" t="str">
        <x:f>IF(COUNTIF($A$5:A2128,A2128)&gt;1,"Duplicate","Keep")</x:f>
        <x:v>Keep</x:v>
      </x:c>
      <x:c r="AF2128" s="84" t="str">
        <x:f>IF(OR(R2128&lt;=0,AC2128&lt;B2128,H2128="Unknown",M2128="Unknown Product"),"Review","Valid")</x:f>
        <x:v>Valid</x:v>
      </x:c>
      <x:c r="AG2128" s="84" t="n">
        <x:f>IF(AND(AE2128="Keep",AF2128="Valid"),1,0)</x:f>
        <x:v>1</x:v>
      </x:c>
      <x:c r="AH2128" s="84" t="n">
        <x:f>IF(AND(AG2128=1,OR('Dashboard'!$B$4="All",I2128='Dashboard'!$B$4),OR('Dashboard'!$E$4="All",N2128='Dashboard'!$E$4),OR('Dashboard'!$H$4="All",K2128='Dashboard'!$H$4),OR('Dashboard'!$K$4="All",C2128='Dashboard'!$K$4)),1,0)</x:f>
        <x:v>1</x:v>
      </x:c>
      <x:c r="AI2128" s="84" t="n">
        <x:f>IF(AND(AG2128=1,OR('Dashboard'!$B$4="All",I2128='Dashboard'!$B$4),OR('Dashboard'!$E$4="All",N2128='Dashboard'!$E$4),OR('Dashboard'!$H$4="All",K2128='Dashboard'!$H$4)),1,0)</x:f>
        <x:v>1</x:v>
      </x:c>
    </x:row>
    <x:row r="2129">
      <x:c r="A2129" s="84" t="str">
        <x:f>'Raw Sales'!A2129</x:f>
        <x:v>ORD-2025-01311</x:v>
      </x:c>
      <x:c r="B2129" s="85" t="n">
        <x:f>'Raw Sales'!B2129</x:f>
        <x:v>45968</x:v>
      </x:c>
      <x:c r="C2129" s="84" t="n">
        <x:f>YEAR(B2129)</x:f>
        <x:v>2025</x:v>
      </x:c>
      <x:c r="D2129" s="91" t="n">
        <x:f>DATE(YEAR(B2129),MONTH(B2129),1)</x:f>
        <x:v>45962</x:v>
      </x:c>
      <x:c r="E2129" s="84" t="str">
        <x:f>TEXT(B2129,"mmm")</x:f>
        <x:v>Nov</x:v>
      </x:c>
      <x:c r="F2129" s="84" t="str">
        <x:f>'Raw Sales'!C2129</x:f>
        <x:v>CUST-0564</x:v>
      </x:c>
      <x:c r="G2129" s="84" t="str">
        <x:f>PROPER(TRIM('Raw Sales'!D2129))</x:f>
        <x:v>Amelia Khan</x:v>
      </x:c>
      <x:c r="H2129" s="84" t="str">
        <x:f>IF(TRIM('Raw Sales'!E2129)="","Unknown",PROPER(TRIM('Raw Sales'!E2129)))</x:f>
        <x:v>Corporate</x:v>
      </x:c>
      <x:c r="I2129" s="84" t="str">
        <x:f>PROPER(TRIM('Raw Sales'!F2129))</x:f>
        <x:v>Southeast</x:v>
      </x:c>
      <x:c r="J2129" s="84" t="str">
        <x:f>PROPER(TRIM('Raw Sales'!G2129))</x:f>
        <x:v>Miami</x:v>
      </x:c>
      <x:c r="K2129" s="84" t="str">
        <x:f>PROPER(TRIM('Raw Sales'!H2129))</x:f>
        <x:v>Online</x:v>
      </x:c>
      <x:c r="L2129" s="84" t="str">
        <x:f>'Raw Sales'!I2129</x:f>
        <x:v>OFFC-003</x:v>
      </x:c>
      <x:c r="M2129" s="84" t="str">
        <x:f>IFERROR(VLOOKUP(L2129,'Reference Data'!$A$5:$F$40,2,FALSE),"Unknown Product")</x:f>
        <x:v>LED Desk Lamp</x:v>
      </x:c>
      <x:c r="N2129" s="84" t="str">
        <x:f>IFERROR(VLOOKUP(L2129,'Reference Data'!$A$5:$F$40,3,FALSE),"Unknown")</x:f>
        <x:v>Office</x:v>
      </x:c>
      <x:c r="O2129" s="84" t="str">
        <x:f>IFERROR(VLOOKUP(L2129,'Reference Data'!$A$5:$F$40,4,FALSE),"Unknown")</x:f>
        <x:v>Desk Accessories</x:v>
      </x:c>
      <x:c r="P2129" s="92" t="n">
        <x:f>IFERROR(VLOOKUP(L2129,'Reference Data'!$A$5:$F$40,5,FALSE),0)</x:f>
        <x:v>45</x:v>
      </x:c>
      <x:c r="Q2129" s="92" t="n">
        <x:f>IFERROR(VLOOKUP(L2129,'Reference Data'!$A$5:$F$40,6,FALSE),0)</x:f>
        <x:v>20</x:v>
      </x:c>
      <x:c r="R2129" s="84" t="n">
        <x:f>'Raw Sales'!J2129</x:f>
        <x:v>3</x:v>
      </x:c>
      <x:c r="S2129" s="87" t="n">
        <x:f>'Raw Sales'!K2129</x:f>
        <x:v>0.2</x:v>
      </x:c>
      <x:c r="T2129" s="93" t="n">
        <x:f>P2129*R2129</x:f>
        <x:v>135</x:v>
      </x:c>
      <x:c r="U2129" s="93" t="n">
        <x:f>T2129*S2129</x:f>
        <x:v>27</x:v>
      </x:c>
      <x:c r="V2129" s="93" t="str">
        <x:f>PROPER(TRIM('Raw Sales'!L2129))</x:f>
        <x:v>Completed</x:v>
      </x:c>
      <x:c r="W2129" s="93" t="n">
        <x:f>IF(V2129="Returned",0,T2129-U2129)</x:f>
        <x:v>108</x:v>
      </x:c>
      <x:c r="X2129" s="93" t="n">
        <x:f>IF(V2129="Returned",Q2129*R2129*10%,Q2129*R2129)</x:f>
        <x:v>60</x:v>
      </x:c>
      <x:c r="Y2129" s="93" t="n">
        <x:f>W2129-X2129</x:f>
        <x:v>48</x:v>
      </x:c>
      <x:c r="Z2129" s="94" t="n">
        <x:f>IFERROR(Y2129/W2129,0)</x:f>
        <x:v>0.4444444444444444</x:v>
      </x:c>
      <x:c r="AA2129" s="84" t="str">
        <x:f>PROPER(TRIM('Raw Sales'!M2129))</x:f>
        <x:v>Paypal</x:v>
      </x:c>
      <x:c r="AB2129" s="84" t="str">
        <x:f>PROPER(TRIM('Raw Sales'!N2129))</x:f>
        <x:v>Noah Reed</x:v>
      </x:c>
      <x:c r="AC2129" s="85" t="n">
        <x:f>'Raw Sales'!O2129</x:f>
        <x:v>45971</x:v>
      </x:c>
      <x:c r="AD2129" s="84" t="n">
        <x:f>AC2129-B2129</x:f>
        <x:v>3</x:v>
      </x:c>
      <x:c r="AE2129" s="84" t="str">
        <x:f>IF(COUNTIF($A$5:A2129,A2129)&gt;1,"Duplicate","Keep")</x:f>
        <x:v>Keep</x:v>
      </x:c>
      <x:c r="AF2129" s="84" t="str">
        <x:f>IF(OR(R2129&lt;=0,AC2129&lt;B2129,H2129="Unknown",M2129="Unknown Product"),"Review","Valid")</x:f>
        <x:v>Valid</x:v>
      </x:c>
      <x:c r="AG2129" s="84" t="n">
        <x:f>IF(AND(AE2129="Keep",AF2129="Valid"),1,0)</x:f>
        <x:v>1</x:v>
      </x:c>
      <x:c r="AH2129" s="84" t="n">
        <x:f>IF(AND(AG2129=1,OR('Dashboard'!$B$4="All",I2129='Dashboard'!$B$4),OR('Dashboard'!$E$4="All",N2129='Dashboard'!$E$4),OR('Dashboard'!$H$4="All",K2129='Dashboard'!$H$4),OR('Dashboard'!$K$4="All",C2129='Dashboard'!$K$4)),1,0)</x:f>
        <x:v>1</x:v>
      </x:c>
      <x:c r="AI2129" s="84" t="n">
        <x:f>IF(AND(AG2129=1,OR('Dashboard'!$B$4="All",I2129='Dashboard'!$B$4),OR('Dashboard'!$E$4="All",N2129='Dashboard'!$E$4),OR('Dashboard'!$H$4="All",K2129='Dashboard'!$H$4)),1,0)</x:f>
        <x:v>1</x:v>
      </x:c>
    </x:row>
    <x:row r="2130">
      <x:c r="A2130" s="84" t="str">
        <x:f>'Raw Sales'!A2130</x:f>
        <x:v>ORD-2025-01970</x:v>
      </x:c>
      <x:c r="B2130" s="85" t="n">
        <x:f>'Raw Sales'!B2130</x:f>
        <x:v>45968</x:v>
      </x:c>
      <x:c r="C2130" s="84" t="n">
        <x:f>YEAR(B2130)</x:f>
        <x:v>2025</x:v>
      </x:c>
      <x:c r="D2130" s="91" t="n">
        <x:f>DATE(YEAR(B2130),MONTH(B2130),1)</x:f>
        <x:v>45962</x:v>
      </x:c>
      <x:c r="E2130" s="84" t="str">
        <x:f>TEXT(B2130,"mmm")</x:f>
        <x:v>Nov</x:v>
      </x:c>
      <x:c r="F2130" s="84" t="str">
        <x:f>'Raw Sales'!C2130</x:f>
        <x:v>CUST-0225</x:v>
      </x:c>
      <x:c r="G2130" s="84" t="str">
        <x:f>PROPER(TRIM('Raw Sales'!D2130))</x:f>
        <x:v>Sara Ortiz</x:v>
      </x:c>
      <x:c r="H2130" s="84" t="str">
        <x:f>IF(TRIM('Raw Sales'!E2130)="","Unknown",PROPER(TRIM('Raw Sales'!E2130)))</x:f>
        <x:v>Small Business</x:v>
      </x:c>
      <x:c r="I2130" s="84" t="str">
        <x:f>PROPER(TRIM('Raw Sales'!F2130))</x:f>
        <x:v>Southeast</x:v>
      </x:c>
      <x:c r="J2130" s="84" t="str">
        <x:f>PROPER(TRIM('Raw Sales'!G2130))</x:f>
        <x:v>Atlanta</x:v>
      </x:c>
      <x:c r="K2130" s="84" t="str">
        <x:f>PROPER(TRIM('Raw Sales'!H2130))</x:f>
        <x:v>Online</x:v>
      </x:c>
      <x:c r="L2130" s="84" t="str">
        <x:f>'Raw Sales'!I2130</x:f>
        <x:v>ELEC-005</x:v>
      </x:c>
      <x:c r="M2130" s="84" t="str">
        <x:f>IFERROR(VLOOKUP(L2130,'Reference Data'!$A$5:$F$40,2,FALSE),"Unknown Product")</x:f>
        <x:v>HD Webcam</x:v>
      </x:c>
      <x:c r="N2130" s="84" t="str">
        <x:f>IFERROR(VLOOKUP(L2130,'Reference Data'!$A$5:$F$40,3,FALSE),"Unknown")</x:f>
        <x:v>Electronics</x:v>
      </x:c>
      <x:c r="O2130" s="84" t="str">
        <x:f>IFERROR(VLOOKUP(L2130,'Reference Data'!$A$5:$F$40,4,FALSE),"Unknown")</x:f>
        <x:v>Computer Accessories</x:v>
      </x:c>
      <x:c r="P2130" s="92" t="n">
        <x:f>IFERROR(VLOOKUP(L2130,'Reference Data'!$A$5:$F$40,5,FALSE),0)</x:f>
        <x:v>79</x:v>
      </x:c>
      <x:c r="Q2130" s="92" t="n">
        <x:f>IFERROR(VLOOKUP(L2130,'Reference Data'!$A$5:$F$40,6,FALSE),0)</x:f>
        <x:v>37</x:v>
      </x:c>
      <x:c r="R2130" s="84" t="n">
        <x:f>'Raw Sales'!J2130</x:f>
        <x:v>2</x:v>
      </x:c>
      <x:c r="S2130" s="87" t="n">
        <x:f>'Raw Sales'!K2130</x:f>
        <x:v>0.2</x:v>
      </x:c>
      <x:c r="T2130" s="93" t="n">
        <x:f>P2130*R2130</x:f>
        <x:v>158</x:v>
      </x:c>
      <x:c r="U2130" s="93" t="n">
        <x:f>T2130*S2130</x:f>
        <x:v>31.6</x:v>
      </x:c>
      <x:c r="V2130" s="93" t="str">
        <x:f>PROPER(TRIM('Raw Sales'!L2130))</x:f>
        <x:v>Completed</x:v>
      </x:c>
      <x:c r="W2130" s="93" t="n">
        <x:f>IF(V2130="Returned",0,T2130-U2130)</x:f>
        <x:v>126.4</x:v>
      </x:c>
      <x:c r="X2130" s="93" t="n">
        <x:f>IF(V2130="Returned",Q2130*R2130*10%,Q2130*R2130)</x:f>
        <x:v>74</x:v>
      </x:c>
      <x:c r="Y2130" s="93" t="n">
        <x:f>W2130-X2130</x:f>
        <x:v>52.400000000000006</x:v>
      </x:c>
      <x:c r="Z2130" s="94" t="n">
        <x:f>IFERROR(Y2130/W2130,0)</x:f>
        <x:v>0.4145569620253165</x:v>
      </x:c>
      <x:c r="AA2130" s="84" t="str">
        <x:f>PROPER(TRIM('Raw Sales'!M2130))</x:f>
        <x:v>Credit Card</x:v>
      </x:c>
      <x:c r="AB2130" s="84" t="str">
        <x:f>PROPER(TRIM('Raw Sales'!N2130))</x:f>
        <x:v>Ava Mitchell</x:v>
      </x:c>
      <x:c r="AC2130" s="85" t="n">
        <x:f>'Raw Sales'!O2130</x:f>
        <x:v>45972</x:v>
      </x:c>
      <x:c r="AD2130" s="84" t="n">
        <x:f>AC2130-B2130</x:f>
        <x:v>4</x:v>
      </x:c>
      <x:c r="AE2130" s="84" t="str">
        <x:f>IF(COUNTIF($A$5:A2130,A2130)&gt;1,"Duplicate","Keep")</x:f>
        <x:v>Keep</x:v>
      </x:c>
      <x:c r="AF2130" s="84" t="str">
        <x:f>IF(OR(R2130&lt;=0,AC2130&lt;B2130,H2130="Unknown",M2130="Unknown Product"),"Review","Valid")</x:f>
        <x:v>Valid</x:v>
      </x:c>
      <x:c r="AG2130" s="84" t="n">
        <x:f>IF(AND(AE2130="Keep",AF2130="Valid"),1,0)</x:f>
        <x:v>1</x:v>
      </x:c>
      <x:c r="AH2130" s="84" t="n">
        <x:f>IF(AND(AG2130=1,OR('Dashboard'!$B$4="All",I2130='Dashboard'!$B$4),OR('Dashboard'!$E$4="All",N2130='Dashboard'!$E$4),OR('Dashboard'!$H$4="All",K2130='Dashboard'!$H$4),OR('Dashboard'!$K$4="All",C2130='Dashboard'!$K$4)),1,0)</x:f>
        <x:v>1</x:v>
      </x:c>
      <x:c r="AI2130" s="84" t="n">
        <x:f>IF(AND(AG2130=1,OR('Dashboard'!$B$4="All",I2130='Dashboard'!$B$4),OR('Dashboard'!$E$4="All",N2130='Dashboard'!$E$4),OR('Dashboard'!$H$4="All",K2130='Dashboard'!$H$4)),1,0)</x:f>
        <x:v>1</x:v>
      </x:c>
    </x:row>
    <x:row r="2131">
      <x:c r="A2131" s="84" t="str">
        <x:f>'Raw Sales'!A2131</x:f>
        <x:v>ORD-2025-02026</x:v>
      </x:c>
      <x:c r="B2131" s="85" t="n">
        <x:f>'Raw Sales'!B2131</x:f>
        <x:v>45968</x:v>
      </x:c>
      <x:c r="C2131" s="84" t="n">
        <x:f>YEAR(B2131)</x:f>
        <x:v>2025</x:v>
      </x:c>
      <x:c r="D2131" s="91" t="n">
        <x:f>DATE(YEAR(B2131),MONTH(B2131),1)</x:f>
        <x:v>45962</x:v>
      </x:c>
      <x:c r="E2131" s="84" t="str">
        <x:f>TEXT(B2131,"mmm")</x:f>
        <x:v>Nov</x:v>
      </x:c>
      <x:c r="F2131" s="84" t="str">
        <x:f>'Raw Sales'!C2131</x:f>
        <x:v>CUST-0048</x:v>
      </x:c>
      <x:c r="G2131" s="84" t="str">
        <x:f>PROPER(TRIM('Raw Sales'!D2131))</x:f>
        <x:v>Nathan Walker</x:v>
      </x:c>
      <x:c r="H2131" s="84" t="str">
        <x:f>IF(TRIM('Raw Sales'!E2131)="","Unknown",PROPER(TRIM('Raw Sales'!E2131)))</x:f>
        <x:v>Consumer</x:v>
      </x:c>
      <x:c r="I2131" s="84" t="str">
        <x:f>PROPER(TRIM('Raw Sales'!F2131))</x:f>
        <x:v>West</x:v>
      </x:c>
      <x:c r="J2131" s="84" t="str">
        <x:f>PROPER(TRIM('Raw Sales'!G2131))</x:f>
        <x:v>Denver</x:v>
      </x:c>
      <x:c r="K2131" s="84" t="str">
        <x:f>PROPER(TRIM('Raw Sales'!H2131))</x:f>
        <x:v>Retail Store</x:v>
      </x:c>
      <x:c r="L2131" s="84" t="str">
        <x:f>'Raw Sales'!I2131</x:f>
        <x:v>CARE-005</x:v>
      </x:c>
      <x:c r="M2131" s="84" t="str">
        <x:f>IFERROR(VLOOKUP(L2131,'Reference Data'!$A$5:$F$40,2,FALSE),"Unknown Product")</x:f>
        <x:v>Skin Care Starter Kit</x:v>
      </x:c>
      <x:c r="N2131" s="84" t="str">
        <x:f>IFERROR(VLOOKUP(L2131,'Reference Data'!$A$5:$F$40,3,FALSE),"Unknown")</x:f>
        <x:v>Personal Care</x:v>
      </x:c>
      <x:c r="O2131" s="84" t="str">
        <x:f>IFERROR(VLOOKUP(L2131,'Reference Data'!$A$5:$F$40,4,FALSE),"Unknown")</x:f>
        <x:v>Skin Care</x:v>
      </x:c>
      <x:c r="P2131" s="92" t="n">
        <x:f>IFERROR(VLOOKUP(L2131,'Reference Data'!$A$5:$F$40,5,FALSE),0)</x:f>
        <x:v>58</x:v>
      </x:c>
      <x:c r="Q2131" s="92" t="n">
        <x:f>IFERROR(VLOOKUP(L2131,'Reference Data'!$A$5:$F$40,6,FALSE),0)</x:f>
        <x:v>24</x:v>
      </x:c>
      <x:c r="R2131" s="84" t="n">
        <x:f>'Raw Sales'!J2131</x:f>
        <x:v>1</x:v>
      </x:c>
      <x:c r="S2131" s="87" t="n">
        <x:f>'Raw Sales'!K2131</x:f>
        <x:v>0.1</x:v>
      </x:c>
      <x:c r="T2131" s="93" t="n">
        <x:f>P2131*R2131</x:f>
        <x:v>58</x:v>
      </x:c>
      <x:c r="U2131" s="93" t="n">
        <x:f>T2131*S2131</x:f>
        <x:v>5.800000000000001</x:v>
      </x:c>
      <x:c r="V2131" s="93" t="str">
        <x:f>PROPER(TRIM('Raw Sales'!L2131))</x:f>
        <x:v>Completed</x:v>
      </x:c>
      <x:c r="W2131" s="93" t="n">
        <x:f>IF(V2131="Returned",0,T2131-U2131)</x:f>
        <x:v>52.2</x:v>
      </x:c>
      <x:c r="X2131" s="93" t="n">
        <x:f>IF(V2131="Returned",Q2131*R2131*10%,Q2131*R2131)</x:f>
        <x:v>24</x:v>
      </x:c>
      <x:c r="Y2131" s="93" t="n">
        <x:f>W2131-X2131</x:f>
        <x:v>28.200000000000003</x:v>
      </x:c>
      <x:c r="Z2131" s="94" t="n">
        <x:f>IFERROR(Y2131/W2131,0)</x:f>
        <x:v>0.5402298850574713</x:v>
      </x:c>
      <x:c r="AA2131" s="84" t="str">
        <x:f>PROPER(TRIM('Raw Sales'!M2131))</x:f>
        <x:v>Debit Card</x:v>
      </x:c>
      <x:c r="AB2131" s="84" t="str">
        <x:f>PROPER(TRIM('Raw Sales'!N2131))</x:f>
        <x:v>Mia Chen</x:v>
      </x:c>
      <x:c r="AC2131" s="85" t="n">
        <x:f>'Raw Sales'!O2131</x:f>
        <x:v>45968</x:v>
      </x:c>
      <x:c r="AD2131" s="84" t="n">
        <x:f>AC2131-B2131</x:f>
        <x:v>0</x:v>
      </x:c>
      <x:c r="AE2131" s="84" t="str">
        <x:f>IF(COUNTIF($A$5:A2131,A2131)&gt;1,"Duplicate","Keep")</x:f>
        <x:v>Keep</x:v>
      </x:c>
      <x:c r="AF2131" s="84" t="str">
        <x:f>IF(OR(R2131&lt;=0,AC2131&lt;B2131,H2131="Unknown",M2131="Unknown Product"),"Review","Valid")</x:f>
        <x:v>Valid</x:v>
      </x:c>
      <x:c r="AG2131" s="84" t="n">
        <x:f>IF(AND(AE2131="Keep",AF2131="Valid"),1,0)</x:f>
        <x:v>1</x:v>
      </x:c>
      <x:c r="AH2131" s="84" t="n">
        <x:f>IF(AND(AG2131=1,OR('Dashboard'!$B$4="All",I2131='Dashboard'!$B$4),OR('Dashboard'!$E$4="All",N2131='Dashboard'!$E$4),OR('Dashboard'!$H$4="All",K2131='Dashboard'!$H$4),OR('Dashboard'!$K$4="All",C2131='Dashboard'!$K$4)),1,0)</x:f>
        <x:v>1</x:v>
      </x:c>
      <x:c r="AI2131" s="84" t="n">
        <x:f>IF(AND(AG2131=1,OR('Dashboard'!$B$4="All",I2131='Dashboard'!$B$4),OR('Dashboard'!$E$4="All",N2131='Dashboard'!$E$4),OR('Dashboard'!$H$4="All",K2131='Dashboard'!$H$4)),1,0)</x:f>
        <x:v>1</x:v>
      </x:c>
    </x:row>
    <x:row r="2132">
      <x:c r="A2132" s="84" t="str">
        <x:f>'Raw Sales'!A2132</x:f>
        <x:v>ORD-2025-02070</x:v>
      </x:c>
      <x:c r="B2132" s="85" t="n">
        <x:f>'Raw Sales'!B2132</x:f>
        <x:v>45968</x:v>
      </x:c>
      <x:c r="C2132" s="84" t="n">
        <x:f>YEAR(B2132)</x:f>
        <x:v>2025</x:v>
      </x:c>
      <x:c r="D2132" s="91" t="n">
        <x:f>DATE(YEAR(B2132),MONTH(B2132),1)</x:f>
        <x:v>45962</x:v>
      </x:c>
      <x:c r="E2132" s="84" t="str">
        <x:f>TEXT(B2132,"mmm")</x:f>
        <x:v>Nov</x:v>
      </x:c>
      <x:c r="F2132" s="84" t="str">
        <x:f>'Raw Sales'!C2132</x:f>
        <x:v>CUST-0016</x:v>
      </x:c>
      <x:c r="G2132" s="84" t="str">
        <x:f>PROPER(TRIM('Raw Sales'!D2132))</x:f>
        <x:v>Jonah Young</x:v>
      </x:c>
      <x:c r="H2132" s="84" t="str">
        <x:f>IF(TRIM('Raw Sales'!E2132)="","Unknown",PROPER(TRIM('Raw Sales'!E2132)))</x:f>
        <x:v>Consumer</x:v>
      </x:c>
      <x:c r="I2132" s="84" t="str">
        <x:f>PROPER(TRIM('Raw Sales'!F2132))</x:f>
        <x:v>Northeast</x:v>
      </x:c>
      <x:c r="J2132" s="84" t="str">
        <x:f>PROPER(TRIM('Raw Sales'!G2132))</x:f>
        <x:v>New York</x:v>
      </x:c>
      <x:c r="K2132" s="84" t="str">
        <x:f>PROPER(TRIM('Raw Sales'!H2132))</x:f>
        <x:v>Online</x:v>
      </x:c>
      <x:c r="L2132" s="84" t="str">
        <x:f>'Raw Sales'!I2132</x:f>
        <x:v>ELEC-005</x:v>
      </x:c>
      <x:c r="M2132" s="84" t="str">
        <x:f>IFERROR(VLOOKUP(L2132,'Reference Data'!$A$5:$F$40,2,FALSE),"Unknown Product")</x:f>
        <x:v>HD Webcam</x:v>
      </x:c>
      <x:c r="N2132" s="84" t="str">
        <x:f>IFERROR(VLOOKUP(L2132,'Reference Data'!$A$5:$F$40,3,FALSE),"Unknown")</x:f>
        <x:v>Electronics</x:v>
      </x:c>
      <x:c r="O2132" s="84" t="str">
        <x:f>IFERROR(VLOOKUP(L2132,'Reference Data'!$A$5:$F$40,4,FALSE),"Unknown")</x:f>
        <x:v>Computer Accessories</x:v>
      </x:c>
      <x:c r="P2132" s="92" t="n">
        <x:f>IFERROR(VLOOKUP(L2132,'Reference Data'!$A$5:$F$40,5,FALSE),0)</x:f>
        <x:v>79</x:v>
      </x:c>
      <x:c r="Q2132" s="92" t="n">
        <x:f>IFERROR(VLOOKUP(L2132,'Reference Data'!$A$5:$F$40,6,FALSE),0)</x:f>
        <x:v>37</x:v>
      </x:c>
      <x:c r="R2132" s="84" t="n">
        <x:f>'Raw Sales'!J2132</x:f>
        <x:v>2</x:v>
      </x:c>
      <x:c r="S2132" s="87" t="n">
        <x:f>'Raw Sales'!K2132</x:f>
        <x:v>0.1</x:v>
      </x:c>
      <x:c r="T2132" s="93" t="n">
        <x:f>P2132*R2132</x:f>
        <x:v>158</x:v>
      </x:c>
      <x:c r="U2132" s="93" t="n">
        <x:f>T2132*S2132</x:f>
        <x:v>15.8</x:v>
      </x:c>
      <x:c r="V2132" s="93" t="str">
        <x:f>PROPER(TRIM('Raw Sales'!L2132))</x:f>
        <x:v>Completed</x:v>
      </x:c>
      <x:c r="W2132" s="93" t="n">
        <x:f>IF(V2132="Returned",0,T2132-U2132)</x:f>
        <x:v>142.2</x:v>
      </x:c>
      <x:c r="X2132" s="93" t="n">
        <x:f>IF(V2132="Returned",Q2132*R2132*10%,Q2132*R2132)</x:f>
        <x:v>74</x:v>
      </x:c>
      <x:c r="Y2132" s="93" t="n">
        <x:f>W2132-X2132</x:f>
        <x:v>68.19999999999999</x:v>
      </x:c>
      <x:c r="Z2132" s="94" t="n">
        <x:f>IFERROR(Y2132/W2132,0)</x:f>
        <x:v>0.4796061884669479</x:v>
      </x:c>
      <x:c r="AA2132" s="84" t="str">
        <x:f>PROPER(TRIM('Raw Sales'!M2132))</x:f>
        <x:v>Debit Card</x:v>
      </x:c>
      <x:c r="AB2132" s="84" t="str">
        <x:f>PROPER(TRIM('Raw Sales'!N2132))</x:f>
        <x:v>Ethan Cole</x:v>
      </x:c>
      <x:c r="AC2132" s="85" t="n">
        <x:f>'Raw Sales'!O2132</x:f>
        <x:v>45970</x:v>
      </x:c>
      <x:c r="AD2132" s="84" t="n">
        <x:f>AC2132-B2132</x:f>
        <x:v>2</x:v>
      </x:c>
      <x:c r="AE2132" s="84" t="str">
        <x:f>IF(COUNTIF($A$5:A2132,A2132)&gt;1,"Duplicate","Keep")</x:f>
        <x:v>Keep</x:v>
      </x:c>
      <x:c r="AF2132" s="84" t="str">
        <x:f>IF(OR(R2132&lt;=0,AC2132&lt;B2132,H2132="Unknown",M2132="Unknown Product"),"Review","Valid")</x:f>
        <x:v>Valid</x:v>
      </x:c>
      <x:c r="AG2132" s="84" t="n">
        <x:f>IF(AND(AE2132="Keep",AF2132="Valid"),1,0)</x:f>
        <x:v>1</x:v>
      </x:c>
      <x:c r="AH2132" s="84" t="n">
        <x:f>IF(AND(AG2132=1,OR('Dashboard'!$B$4="All",I2132='Dashboard'!$B$4),OR('Dashboard'!$E$4="All",N2132='Dashboard'!$E$4),OR('Dashboard'!$H$4="All",K2132='Dashboard'!$H$4),OR('Dashboard'!$K$4="All",C2132='Dashboard'!$K$4)),1,0)</x:f>
        <x:v>1</x:v>
      </x:c>
      <x:c r="AI2132" s="84" t="n">
        <x:f>IF(AND(AG2132=1,OR('Dashboard'!$B$4="All",I2132='Dashboard'!$B$4),OR('Dashboard'!$E$4="All",N2132='Dashboard'!$E$4),OR('Dashboard'!$H$4="All",K2132='Dashboard'!$H$4)),1,0)</x:f>
        <x:v>1</x:v>
      </x:c>
    </x:row>
    <x:row r="2133">
      <x:c r="A2133" s="84" t="str">
        <x:f>'Raw Sales'!A2133</x:f>
        <x:v>ORD-2025-00090</x:v>
      </x:c>
      <x:c r="B2133" s="85" t="n">
        <x:f>'Raw Sales'!B2133</x:f>
        <x:v>45969</x:v>
      </x:c>
      <x:c r="C2133" s="84" t="n">
        <x:f>YEAR(B2133)</x:f>
        <x:v>2025</x:v>
      </x:c>
      <x:c r="D2133" s="91" t="n">
        <x:f>DATE(YEAR(B2133),MONTH(B2133),1)</x:f>
        <x:v>45962</x:v>
      </x:c>
      <x:c r="E2133" s="84" t="str">
        <x:f>TEXT(B2133,"mmm")</x:f>
        <x:v>Nov</x:v>
      </x:c>
      <x:c r="F2133" s="84" t="str">
        <x:f>'Raw Sales'!C2133</x:f>
        <x:v>CUST-0398</x:v>
      </x:c>
      <x:c r="G2133" s="84" t="str">
        <x:f>PROPER(TRIM('Raw Sales'!D2133))</x:f>
        <x:v>Daniel Baker</x:v>
      </x:c>
      <x:c r="H2133" s="84" t="str">
        <x:f>IF(TRIM('Raw Sales'!E2133)="","Unknown",PROPER(TRIM('Raw Sales'!E2133)))</x:f>
        <x:v>Consumer</x:v>
      </x:c>
      <x:c r="I2133" s="84" t="str">
        <x:f>PROPER(TRIM('Raw Sales'!F2133))</x:f>
        <x:v>Northeast</x:v>
      </x:c>
      <x:c r="J2133" s="84" t="str">
        <x:f>PROPER(TRIM('Raw Sales'!G2133))</x:f>
        <x:v>New York</x:v>
      </x:c>
      <x:c r="K2133" s="84" t="str">
        <x:f>PROPER(TRIM('Raw Sales'!H2133))</x:f>
        <x:v>Retail Store</x:v>
      </x:c>
      <x:c r="L2133" s="84" t="str">
        <x:f>'Raw Sales'!I2133</x:f>
        <x:v>ELEC-005</x:v>
      </x:c>
      <x:c r="M2133" s="84" t="str">
        <x:f>IFERROR(VLOOKUP(L2133,'Reference Data'!$A$5:$F$40,2,FALSE),"Unknown Product")</x:f>
        <x:v>HD Webcam</x:v>
      </x:c>
      <x:c r="N2133" s="84" t="str">
        <x:f>IFERROR(VLOOKUP(L2133,'Reference Data'!$A$5:$F$40,3,FALSE),"Unknown")</x:f>
        <x:v>Electronics</x:v>
      </x:c>
      <x:c r="O2133" s="84" t="str">
        <x:f>IFERROR(VLOOKUP(L2133,'Reference Data'!$A$5:$F$40,4,FALSE),"Unknown")</x:f>
        <x:v>Computer Accessories</x:v>
      </x:c>
      <x:c r="P2133" s="92" t="n">
        <x:f>IFERROR(VLOOKUP(L2133,'Reference Data'!$A$5:$F$40,5,FALSE),0)</x:f>
        <x:v>79</x:v>
      </x:c>
      <x:c r="Q2133" s="92" t="n">
        <x:f>IFERROR(VLOOKUP(L2133,'Reference Data'!$A$5:$F$40,6,FALSE),0)</x:f>
        <x:v>37</x:v>
      </x:c>
      <x:c r="R2133" s="84" t="n">
        <x:f>'Raw Sales'!J2133</x:f>
        <x:v>1</x:v>
      </x:c>
      <x:c r="S2133" s="87" t="n">
        <x:f>'Raw Sales'!K2133</x:f>
        <x:v>0.05</x:v>
      </x:c>
      <x:c r="T2133" s="93" t="n">
        <x:f>P2133*R2133</x:f>
        <x:v>79</x:v>
      </x:c>
      <x:c r="U2133" s="93" t="n">
        <x:f>T2133*S2133</x:f>
        <x:v>3.95</x:v>
      </x:c>
      <x:c r="V2133" s="93" t="str">
        <x:f>PROPER(TRIM('Raw Sales'!L2133))</x:f>
        <x:v>Completed</x:v>
      </x:c>
      <x:c r="W2133" s="93" t="n">
        <x:f>IF(V2133="Returned",0,T2133-U2133)</x:f>
        <x:v>75.05</x:v>
      </x:c>
      <x:c r="X2133" s="93" t="n">
        <x:f>IF(V2133="Returned",Q2133*R2133*10%,Q2133*R2133)</x:f>
        <x:v>37</x:v>
      </x:c>
      <x:c r="Y2133" s="93" t="n">
        <x:f>W2133-X2133</x:f>
        <x:v>38.05</x:v>
      </x:c>
      <x:c r="Z2133" s="94" t="n">
        <x:f>IFERROR(Y2133/W2133,0)</x:f>
        <x:v>0.5069953364423717</x:v>
      </x:c>
      <x:c r="AA2133" s="84" t="str">
        <x:f>PROPER(TRIM('Raw Sales'!M2133))</x:f>
        <x:v>Credit Card</x:v>
      </x:c>
      <x:c r="AB2133" s="84" t="str">
        <x:f>PROPER(TRIM('Raw Sales'!N2133))</x:f>
        <x:v>Maya Brooks</x:v>
      </x:c>
      <x:c r="AC2133" s="85" t="n">
        <x:f>'Raw Sales'!O2133</x:f>
        <x:v>45969</x:v>
      </x:c>
      <x:c r="AD2133" s="84" t="n">
        <x:f>AC2133-B2133</x:f>
        <x:v>0</x:v>
      </x:c>
      <x:c r="AE2133" s="84" t="str">
        <x:f>IF(COUNTIF($A$5:A2133,A2133)&gt;1,"Duplicate","Keep")</x:f>
        <x:v>Keep</x:v>
      </x:c>
      <x:c r="AF2133" s="84" t="str">
        <x:f>IF(OR(R2133&lt;=0,AC2133&lt;B2133,H2133="Unknown",M2133="Unknown Product"),"Review","Valid")</x:f>
        <x:v>Valid</x:v>
      </x:c>
      <x:c r="AG2133" s="84" t="n">
        <x:f>IF(AND(AE2133="Keep",AF2133="Valid"),1,0)</x:f>
        <x:v>1</x:v>
      </x:c>
      <x:c r="AH2133" s="84" t="n">
        <x:f>IF(AND(AG2133=1,OR('Dashboard'!$B$4="All",I2133='Dashboard'!$B$4),OR('Dashboard'!$E$4="All",N2133='Dashboard'!$E$4),OR('Dashboard'!$H$4="All",K2133='Dashboard'!$H$4),OR('Dashboard'!$K$4="All",C2133='Dashboard'!$K$4)),1,0)</x:f>
        <x:v>1</x:v>
      </x:c>
      <x:c r="AI2133" s="84" t="n">
        <x:f>IF(AND(AG2133=1,OR('Dashboard'!$B$4="All",I2133='Dashboard'!$B$4),OR('Dashboard'!$E$4="All",N2133='Dashboard'!$E$4),OR('Dashboard'!$H$4="All",K2133='Dashboard'!$H$4)),1,0)</x:f>
        <x:v>1</x:v>
      </x:c>
    </x:row>
    <x:row r="2134">
      <x:c r="A2134" s="84" t="str">
        <x:f>'Raw Sales'!A2134</x:f>
        <x:v>ORD-2025-00443</x:v>
      </x:c>
      <x:c r="B2134" s="85" t="n">
        <x:f>'Raw Sales'!B2134</x:f>
        <x:v>45969</x:v>
      </x:c>
      <x:c r="C2134" s="84" t="n">
        <x:f>YEAR(B2134)</x:f>
        <x:v>2025</x:v>
      </x:c>
      <x:c r="D2134" s="91" t="n">
        <x:f>DATE(YEAR(B2134),MONTH(B2134),1)</x:f>
        <x:v>45962</x:v>
      </x:c>
      <x:c r="E2134" s="84" t="str">
        <x:f>TEXT(B2134,"mmm")</x:f>
        <x:v>Nov</x:v>
      </x:c>
      <x:c r="F2134" s="84" t="str">
        <x:f>'Raw Sales'!C2134</x:f>
        <x:v>CUST-0415</x:v>
      </x:c>
      <x:c r="G2134" s="84" t="str">
        <x:f>PROPER(TRIM('Raw Sales'!D2134))</x:f>
        <x:v>Zara Foster</x:v>
      </x:c>
      <x:c r="H2134" s="84" t="str">
        <x:f>IF(TRIM('Raw Sales'!E2134)="","Unknown",PROPER(TRIM('Raw Sales'!E2134)))</x:f>
        <x:v>Corporate</x:v>
      </x:c>
      <x:c r="I2134" s="84" t="str">
        <x:f>PROPER(TRIM('Raw Sales'!F2134))</x:f>
        <x:v>Southeast</x:v>
      </x:c>
      <x:c r="J2134" s="84" t="str">
        <x:f>PROPER(TRIM('Raw Sales'!G2134))</x:f>
        <x:v>Charlotte</x:v>
      </x:c>
      <x:c r="K2134" s="84" t="str">
        <x:f>PROPER(TRIM('Raw Sales'!H2134))</x:f>
        <x:v>Marketplace</x:v>
      </x:c>
      <x:c r="L2134" s="84" t="str">
        <x:f>'Raw Sales'!I2134</x:f>
        <x:v>ELEC-006</x:v>
      </x:c>
      <x:c r="M2134" s="84" t="str">
        <x:f>IFERROR(VLOOKUP(L2134,'Reference Data'!$A$5:$F$40,2,FALSE),"Unknown Product")</x:f>
        <x:v>Portable SSD</x:v>
      </x:c>
      <x:c r="N2134" s="84" t="str">
        <x:f>IFERROR(VLOOKUP(L2134,'Reference Data'!$A$5:$F$40,3,FALSE),"Unknown")</x:f>
        <x:v>Electronics</x:v>
      </x:c>
      <x:c r="O2134" s="84" t="str">
        <x:f>IFERROR(VLOOKUP(L2134,'Reference Data'!$A$5:$F$40,4,FALSE),"Unknown")</x:f>
        <x:v>Storage</x:v>
      </x:c>
      <x:c r="P2134" s="92" t="n">
        <x:f>IFERROR(VLOOKUP(L2134,'Reference Data'!$A$5:$F$40,5,FALSE),0)</x:f>
        <x:v>129</x:v>
      </x:c>
      <x:c r="Q2134" s="92" t="n">
        <x:f>IFERROR(VLOOKUP(L2134,'Reference Data'!$A$5:$F$40,6,FALSE),0)</x:f>
        <x:v>75</x:v>
      </x:c>
      <x:c r="R2134" s="84" t="n">
        <x:f>'Raw Sales'!J2134</x:f>
        <x:v>2</x:v>
      </x:c>
      <x:c r="S2134" s="87" t="n">
        <x:f>'Raw Sales'!K2134</x:f>
        <x:v>0.05</x:v>
      </x:c>
      <x:c r="T2134" s="93" t="n">
        <x:f>P2134*R2134</x:f>
        <x:v>258</x:v>
      </x:c>
      <x:c r="U2134" s="93" t="n">
        <x:f>T2134*S2134</x:f>
        <x:v>12.9</x:v>
      </x:c>
      <x:c r="V2134" s="93" t="str">
        <x:f>PROPER(TRIM('Raw Sales'!L2134))</x:f>
        <x:v>Completed</x:v>
      </x:c>
      <x:c r="W2134" s="93" t="n">
        <x:f>IF(V2134="Returned",0,T2134-U2134)</x:f>
        <x:v>245.1</x:v>
      </x:c>
      <x:c r="X2134" s="93" t="n">
        <x:f>IF(V2134="Returned",Q2134*R2134*10%,Q2134*R2134)</x:f>
        <x:v>150</x:v>
      </x:c>
      <x:c r="Y2134" s="93" t="n">
        <x:f>W2134-X2134</x:f>
        <x:v>95.1</x:v>
      </x:c>
      <x:c r="Z2134" s="94" t="n">
        <x:f>IFERROR(Y2134/W2134,0)</x:f>
        <x:v>0.3880048959608323</x:v>
      </x:c>
      <x:c r="AA2134" s="84" t="str">
        <x:f>PROPER(TRIM('Raw Sales'!M2134))</x:f>
        <x:v>Mobile Wallet</x:v>
      </x:c>
      <x:c r="AB2134" s="84" t="str">
        <x:f>PROPER(TRIM('Raw Sales'!N2134))</x:f>
        <x:v>Noah Reed</x:v>
      </x:c>
      <x:c r="AC2134" s="85" t="n">
        <x:f>'Raw Sales'!O2134</x:f>
        <x:v>45975</x:v>
      </x:c>
      <x:c r="AD2134" s="84" t="n">
        <x:f>AC2134-B2134</x:f>
        <x:v>6</x:v>
      </x:c>
      <x:c r="AE2134" s="84" t="str">
        <x:f>IF(COUNTIF($A$5:A2134,A2134)&gt;1,"Duplicate","Keep")</x:f>
        <x:v>Keep</x:v>
      </x:c>
      <x:c r="AF2134" s="84" t="str">
        <x:f>IF(OR(R2134&lt;=0,AC2134&lt;B2134,H2134="Unknown",M2134="Unknown Product"),"Review","Valid")</x:f>
        <x:v>Valid</x:v>
      </x:c>
      <x:c r="AG2134" s="84" t="n">
        <x:f>IF(AND(AE2134="Keep",AF2134="Valid"),1,0)</x:f>
        <x:v>1</x:v>
      </x:c>
      <x:c r="AH2134" s="84" t="n">
        <x:f>IF(AND(AG2134=1,OR('Dashboard'!$B$4="All",I2134='Dashboard'!$B$4),OR('Dashboard'!$E$4="All",N2134='Dashboard'!$E$4),OR('Dashboard'!$H$4="All",K2134='Dashboard'!$H$4),OR('Dashboard'!$K$4="All",C2134='Dashboard'!$K$4)),1,0)</x:f>
        <x:v>1</x:v>
      </x:c>
      <x:c r="AI2134" s="84" t="n">
        <x:f>IF(AND(AG2134=1,OR('Dashboard'!$B$4="All",I2134='Dashboard'!$B$4),OR('Dashboard'!$E$4="All",N2134='Dashboard'!$E$4),OR('Dashboard'!$H$4="All",K2134='Dashboard'!$H$4)),1,0)</x:f>
        <x:v>1</x:v>
      </x:c>
    </x:row>
    <x:row r="2135">
      <x:c r="A2135" s="84" t="str">
        <x:f>'Raw Sales'!A2135</x:f>
        <x:v>ORD-2025-00596</x:v>
      </x:c>
      <x:c r="B2135" s="85" t="n">
        <x:f>'Raw Sales'!B2135</x:f>
        <x:v>45969</x:v>
      </x:c>
      <x:c r="C2135" s="84" t="n">
        <x:f>YEAR(B2135)</x:f>
        <x:v>2025</x:v>
      </x:c>
      <x:c r="D2135" s="91" t="n">
        <x:f>DATE(YEAR(B2135),MONTH(B2135),1)</x:f>
        <x:v>45962</x:v>
      </x:c>
      <x:c r="E2135" s="84" t="str">
        <x:f>TEXT(B2135,"mmm")</x:f>
        <x:v>Nov</x:v>
      </x:c>
      <x:c r="F2135" s="84" t="str">
        <x:f>'Raw Sales'!C2135</x:f>
        <x:v>CUST-0010</x:v>
      </x:c>
      <x:c r="G2135" s="84" t="str">
        <x:f>PROPER(TRIM('Raw Sales'!D2135))</x:f>
        <x:v>Nathan Taylor</x:v>
      </x:c>
      <x:c r="H2135" s="84" t="str">
        <x:f>IF(TRIM('Raw Sales'!E2135)="","Unknown",PROPER(TRIM('Raw Sales'!E2135)))</x:f>
        <x:v>Consumer</x:v>
      </x:c>
      <x:c r="I2135" s="84" t="str">
        <x:f>PROPER(TRIM('Raw Sales'!F2135))</x:f>
        <x:v>Midwest</x:v>
      </x:c>
      <x:c r="J2135" s="84" t="str">
        <x:f>PROPER(TRIM('Raw Sales'!G2135))</x:f>
        <x:v>Minneapolis</x:v>
      </x:c>
      <x:c r="K2135" s="84" t="str">
        <x:f>PROPER(TRIM('Raw Sales'!H2135))</x:f>
        <x:v>Retail Store</x:v>
      </x:c>
      <x:c r="L2135" s="84" t="str">
        <x:f>'Raw Sales'!I2135</x:f>
        <x:v>FITN-002</x:v>
      </x:c>
      <x:c r="M2135" s="84" t="str">
        <x:f>IFERROR(VLOOKUP(L2135,'Reference Data'!$A$5:$F$40,2,FALSE),"Unknown Product")</x:f>
        <x:v>Adjustable Dumbbell Set</x:v>
      </x:c>
      <x:c r="N2135" s="84" t="str">
        <x:f>IFERROR(VLOOKUP(L2135,'Reference Data'!$A$5:$F$40,3,FALSE),"Unknown")</x:f>
        <x:v>Fitness</x:v>
      </x:c>
      <x:c r="O2135" s="84" t="str">
        <x:f>IFERROR(VLOOKUP(L2135,'Reference Data'!$A$5:$F$40,4,FALSE),"Unknown")</x:f>
        <x:v>Strength</x:v>
      </x:c>
      <x:c r="P2135" s="92" t="n">
        <x:f>IFERROR(VLOOKUP(L2135,'Reference Data'!$A$5:$F$40,5,FALSE),0)</x:f>
        <x:v>99</x:v>
      </x:c>
      <x:c r="Q2135" s="92" t="n">
        <x:f>IFERROR(VLOOKUP(L2135,'Reference Data'!$A$5:$F$40,6,FALSE),0)</x:f>
        <x:v>57</x:v>
      </x:c>
      <x:c r="R2135" s="84" t="n">
        <x:f>'Raw Sales'!J2135</x:f>
        <x:v>1</x:v>
      </x:c>
      <x:c r="S2135" s="87" t="n">
        <x:f>'Raw Sales'!K2135</x:f>
        <x:v>0.2</x:v>
      </x:c>
      <x:c r="T2135" s="93" t="n">
        <x:f>P2135*R2135</x:f>
        <x:v>99</x:v>
      </x:c>
      <x:c r="U2135" s="93" t="n">
        <x:f>T2135*S2135</x:f>
        <x:v>19.8</x:v>
      </x:c>
      <x:c r="V2135" s="93" t="str">
        <x:f>PROPER(TRIM('Raw Sales'!L2135))</x:f>
        <x:v>Returned</x:v>
      </x:c>
      <x:c r="W2135" s="93" t="n">
        <x:f>IF(V2135="Returned",0,T2135-U2135)</x:f>
        <x:v>0</x:v>
      </x:c>
      <x:c r="X2135" s="93" t="n">
        <x:f>IF(V2135="Returned",Q2135*R2135*10%,Q2135*R2135)</x:f>
        <x:v>5.7</x:v>
      </x:c>
      <x:c r="Y2135" s="93" t="n">
        <x:f>W2135-X2135</x:f>
        <x:v>-5.7</x:v>
      </x:c>
      <x:c r="Z2135" s="94" t="n">
        <x:f>IFERROR(Y2135/W2135,0)</x:f>
        <x:v>0</x:v>
      </x:c>
      <x:c r="AA2135" s="84" t="str">
        <x:f>PROPER(TRIM('Raw Sales'!M2135))</x:f>
        <x:v>Cash</x:v>
      </x:c>
      <x:c r="AB2135" s="84" t="str">
        <x:f>PROPER(TRIM('Raw Sales'!N2135))</x:f>
        <x:v>Emma Hayes</x:v>
      </x:c>
      <x:c r="AC2135" s="85" t="n">
        <x:f>'Raw Sales'!O2135</x:f>
        <x:v>45969</x:v>
      </x:c>
      <x:c r="AD2135" s="84" t="n">
        <x:f>AC2135-B2135</x:f>
        <x:v>0</x:v>
      </x:c>
      <x:c r="AE2135" s="84" t="str">
        <x:f>IF(COUNTIF($A$5:A2135,A2135)&gt;1,"Duplicate","Keep")</x:f>
        <x:v>Keep</x:v>
      </x:c>
      <x:c r="AF2135" s="84" t="str">
        <x:f>IF(OR(R2135&lt;=0,AC2135&lt;B2135,H2135="Unknown",M2135="Unknown Product"),"Review","Valid")</x:f>
        <x:v>Valid</x:v>
      </x:c>
      <x:c r="AG2135" s="84" t="n">
        <x:f>IF(AND(AE2135="Keep",AF2135="Valid"),1,0)</x:f>
        <x:v>1</x:v>
      </x:c>
      <x:c r="AH2135" s="84" t="n">
        <x:f>IF(AND(AG2135=1,OR('Dashboard'!$B$4="All",I2135='Dashboard'!$B$4),OR('Dashboard'!$E$4="All",N2135='Dashboard'!$E$4),OR('Dashboard'!$H$4="All",K2135='Dashboard'!$H$4),OR('Dashboard'!$K$4="All",C2135='Dashboard'!$K$4)),1,0)</x:f>
        <x:v>1</x:v>
      </x:c>
      <x:c r="AI2135" s="84" t="n">
        <x:f>IF(AND(AG2135=1,OR('Dashboard'!$B$4="All",I2135='Dashboard'!$B$4),OR('Dashboard'!$E$4="All",N2135='Dashboard'!$E$4),OR('Dashboard'!$H$4="All",K2135='Dashboard'!$H$4)),1,0)</x:f>
        <x:v>1</x:v>
      </x:c>
    </x:row>
    <x:row r="2136">
      <x:c r="A2136" s="84" t="str">
        <x:f>'Raw Sales'!A2136</x:f>
        <x:v>ORD-2025-00729</x:v>
      </x:c>
      <x:c r="B2136" s="85" t="n">
        <x:f>'Raw Sales'!B2136</x:f>
        <x:v>45969</x:v>
      </x:c>
      <x:c r="C2136" s="84" t="n">
        <x:f>YEAR(B2136)</x:f>
        <x:v>2025</x:v>
      </x:c>
      <x:c r="D2136" s="91" t="n">
        <x:f>DATE(YEAR(B2136),MONTH(B2136),1)</x:f>
        <x:v>45962</x:v>
      </x:c>
      <x:c r="E2136" s="84" t="str">
        <x:f>TEXT(B2136,"mmm")</x:f>
        <x:v>Nov</x:v>
      </x:c>
      <x:c r="F2136" s="84" t="str">
        <x:f>'Raw Sales'!C2136</x:f>
        <x:v>CUST-0551</x:v>
      </x:c>
      <x:c r="G2136" s="84" t="str">
        <x:f>PROPER(TRIM('Raw Sales'!D2136))</x:f>
        <x:v>Isaac Johnson</x:v>
      </x:c>
      <x:c r="H2136" s="84" t="str">
        <x:f>IF(TRIM('Raw Sales'!E2136)="","Unknown",PROPER(TRIM('Raw Sales'!E2136)))</x:f>
        <x:v>Consumer</x:v>
      </x:c>
      <x:c r="I2136" s="84" t="str">
        <x:f>PROPER(TRIM('Raw Sales'!F2136))</x:f>
        <x:v>Southeast</x:v>
      </x:c>
      <x:c r="J2136" s="84" t="str">
        <x:f>PROPER(TRIM('Raw Sales'!G2136))</x:f>
        <x:v>Atlanta</x:v>
      </x:c>
      <x:c r="K2136" s="84" t="str">
        <x:f>PROPER(TRIM('Raw Sales'!H2136))</x:f>
        <x:v>Retail Store</x:v>
      </x:c>
      <x:c r="L2136" s="84" t="str">
        <x:f>'Raw Sales'!I2136</x:f>
        <x:v>CARE-003</x:v>
      </x:c>
      <x:c r="M2136" s="84" t="str">
        <x:f>IFERROR(VLOOKUP(L2136,'Reference Data'!$A$5:$F$40,2,FALSE),"Unknown Product")</x:f>
        <x:v>Facial Cleanser</x:v>
      </x:c>
      <x:c r="N2136" s="84" t="str">
        <x:f>IFERROR(VLOOKUP(L2136,'Reference Data'!$A$5:$F$40,3,FALSE),"Unknown")</x:f>
        <x:v>Personal Care</x:v>
      </x:c>
      <x:c r="O2136" s="84" t="str">
        <x:f>IFERROR(VLOOKUP(L2136,'Reference Data'!$A$5:$F$40,4,FALSE),"Unknown")</x:f>
        <x:v>Skin Care</x:v>
      </x:c>
      <x:c r="P2136" s="92" t="n">
        <x:f>IFERROR(VLOOKUP(L2136,'Reference Data'!$A$5:$F$40,5,FALSE),0)</x:f>
        <x:v>18</x:v>
      </x:c>
      <x:c r="Q2136" s="92" t="n">
        <x:f>IFERROR(VLOOKUP(L2136,'Reference Data'!$A$5:$F$40,6,FALSE),0)</x:f>
        <x:v>6</x:v>
      </x:c>
      <x:c r="R2136" s="84" t="n">
        <x:f>'Raw Sales'!J2136</x:f>
        <x:v>1</x:v>
      </x:c>
      <x:c r="S2136" s="87" t="n">
        <x:f>'Raw Sales'!K2136</x:f>
        <x:v>0.05</x:v>
      </x:c>
      <x:c r="T2136" s="93" t="n">
        <x:f>P2136*R2136</x:f>
        <x:v>18</x:v>
      </x:c>
      <x:c r="U2136" s="93" t="n">
        <x:f>T2136*S2136</x:f>
        <x:v>0.9</x:v>
      </x:c>
      <x:c r="V2136" s="93" t="str">
        <x:f>PROPER(TRIM('Raw Sales'!L2136))</x:f>
        <x:v>Completed</x:v>
      </x:c>
      <x:c r="W2136" s="93" t="n">
        <x:f>IF(V2136="Returned",0,T2136-U2136)</x:f>
        <x:v>17.1</x:v>
      </x:c>
      <x:c r="X2136" s="93" t="n">
        <x:f>IF(V2136="Returned",Q2136*R2136*10%,Q2136*R2136)</x:f>
        <x:v>6</x:v>
      </x:c>
      <x:c r="Y2136" s="93" t="n">
        <x:f>W2136-X2136</x:f>
        <x:v>11.100000000000001</x:v>
      </x:c>
      <x:c r="Z2136" s="94" t="n">
        <x:f>IFERROR(Y2136/W2136,0)</x:f>
        <x:v>0.6491228070175439</x:v>
      </x:c>
      <x:c r="AA2136" s="84" t="str">
        <x:f>PROPER(TRIM('Raw Sales'!M2136))</x:f>
        <x:v>Credit Card</x:v>
      </x:c>
      <x:c r="AB2136" s="84" t="str">
        <x:f>PROPER(TRIM('Raw Sales'!N2136))</x:f>
        <x:v>Liam Parker</x:v>
      </x:c>
      <x:c r="AC2136" s="85" t="n">
        <x:f>'Raw Sales'!O2136</x:f>
        <x:v>45969</x:v>
      </x:c>
      <x:c r="AD2136" s="84" t="n">
        <x:f>AC2136-B2136</x:f>
        <x:v>0</x:v>
      </x:c>
      <x:c r="AE2136" s="84" t="str">
        <x:f>IF(COUNTIF($A$5:A2136,A2136)&gt;1,"Duplicate","Keep")</x:f>
        <x:v>Keep</x:v>
      </x:c>
      <x:c r="AF2136" s="84" t="str">
        <x:f>IF(OR(R2136&lt;=0,AC2136&lt;B2136,H2136="Unknown",M2136="Unknown Product"),"Review","Valid")</x:f>
        <x:v>Valid</x:v>
      </x:c>
      <x:c r="AG2136" s="84" t="n">
        <x:f>IF(AND(AE2136="Keep",AF2136="Valid"),1,0)</x:f>
        <x:v>1</x:v>
      </x:c>
      <x:c r="AH2136" s="84" t="n">
        <x:f>IF(AND(AG2136=1,OR('Dashboard'!$B$4="All",I2136='Dashboard'!$B$4),OR('Dashboard'!$E$4="All",N2136='Dashboard'!$E$4),OR('Dashboard'!$H$4="All",K2136='Dashboard'!$H$4),OR('Dashboard'!$K$4="All",C2136='Dashboard'!$K$4)),1,0)</x:f>
        <x:v>1</x:v>
      </x:c>
      <x:c r="AI2136" s="84" t="n">
        <x:f>IF(AND(AG2136=1,OR('Dashboard'!$B$4="All",I2136='Dashboard'!$B$4),OR('Dashboard'!$E$4="All",N2136='Dashboard'!$E$4),OR('Dashboard'!$H$4="All",K2136='Dashboard'!$H$4)),1,0)</x:f>
        <x:v>1</x:v>
      </x:c>
    </x:row>
    <x:row r="2137">
      <x:c r="A2137" s="84" t="str">
        <x:f>'Raw Sales'!A2137</x:f>
        <x:v>ORD-2025-00792</x:v>
      </x:c>
      <x:c r="B2137" s="85" t="n">
        <x:f>'Raw Sales'!B2137</x:f>
        <x:v>45969</x:v>
      </x:c>
      <x:c r="C2137" s="84" t="n">
        <x:f>YEAR(B2137)</x:f>
        <x:v>2025</x:v>
      </x:c>
      <x:c r="D2137" s="91" t="n">
        <x:f>DATE(YEAR(B2137),MONTH(B2137),1)</x:f>
        <x:v>45962</x:v>
      </x:c>
      <x:c r="E2137" s="84" t="str">
        <x:f>TEXT(B2137,"mmm")</x:f>
        <x:v>Nov</x:v>
      </x:c>
      <x:c r="F2137" s="84" t="str">
        <x:f>'Raw Sales'!C2137</x:f>
        <x:v>CUST-0356</x:v>
      </x:c>
      <x:c r="G2137" s="84" t="str">
        <x:f>PROPER(TRIM('Raw Sales'!D2137))</x:f>
        <x:v>Grace Davis</x:v>
      </x:c>
      <x:c r="H2137" s="84" t="str">
        <x:f>IF(TRIM('Raw Sales'!E2137)="","Unknown",PROPER(TRIM('Raw Sales'!E2137)))</x:f>
        <x:v>Consumer</x:v>
      </x:c>
      <x:c r="I2137" s="84" t="str">
        <x:f>PROPER(TRIM('Raw Sales'!F2137))</x:f>
        <x:v>Northeast</x:v>
      </x:c>
      <x:c r="J2137" s="84" t="str">
        <x:f>PROPER(TRIM('Raw Sales'!G2137))</x:f>
        <x:v>Philadelphia</x:v>
      </x:c>
      <x:c r="K2137" s="84" t="str">
        <x:f>PROPER(TRIM('Raw Sales'!H2137))</x:f>
        <x:v>Online</x:v>
      </x:c>
      <x:c r="L2137" s="84" t="str">
        <x:f>'Raw Sales'!I2137</x:f>
        <x:v>ELEC-006</x:v>
      </x:c>
      <x:c r="M2137" s="84" t="str">
        <x:f>IFERROR(VLOOKUP(L2137,'Reference Data'!$A$5:$F$40,2,FALSE),"Unknown Product")</x:f>
        <x:v>Portable SSD</x:v>
      </x:c>
      <x:c r="N2137" s="84" t="str">
        <x:f>IFERROR(VLOOKUP(L2137,'Reference Data'!$A$5:$F$40,3,FALSE),"Unknown")</x:f>
        <x:v>Electronics</x:v>
      </x:c>
      <x:c r="O2137" s="84" t="str">
        <x:f>IFERROR(VLOOKUP(L2137,'Reference Data'!$A$5:$F$40,4,FALSE),"Unknown")</x:f>
        <x:v>Storage</x:v>
      </x:c>
      <x:c r="P2137" s="92" t="n">
        <x:f>IFERROR(VLOOKUP(L2137,'Reference Data'!$A$5:$F$40,5,FALSE),0)</x:f>
        <x:v>129</x:v>
      </x:c>
      <x:c r="Q2137" s="92" t="n">
        <x:f>IFERROR(VLOOKUP(L2137,'Reference Data'!$A$5:$F$40,6,FALSE),0)</x:f>
        <x:v>75</x:v>
      </x:c>
      <x:c r="R2137" s="84" t="n">
        <x:f>'Raw Sales'!J2137</x:f>
        <x:v>2</x:v>
      </x:c>
      <x:c r="S2137" s="87" t="n">
        <x:f>'Raw Sales'!K2137</x:f>
        <x:v>0.05</x:v>
      </x:c>
      <x:c r="T2137" s="93" t="n">
        <x:f>P2137*R2137</x:f>
        <x:v>258</x:v>
      </x:c>
      <x:c r="U2137" s="93" t="n">
        <x:f>T2137*S2137</x:f>
        <x:v>12.9</x:v>
      </x:c>
      <x:c r="V2137" s="93" t="str">
        <x:f>PROPER(TRIM('Raw Sales'!L2137))</x:f>
        <x:v>Completed</x:v>
      </x:c>
      <x:c r="W2137" s="93" t="n">
        <x:f>IF(V2137="Returned",0,T2137-U2137)</x:f>
        <x:v>245.1</x:v>
      </x:c>
      <x:c r="X2137" s="93" t="n">
        <x:f>IF(V2137="Returned",Q2137*R2137*10%,Q2137*R2137)</x:f>
        <x:v>150</x:v>
      </x:c>
      <x:c r="Y2137" s="93" t="n">
        <x:f>W2137-X2137</x:f>
        <x:v>95.1</x:v>
      </x:c>
      <x:c r="Z2137" s="94" t="n">
        <x:f>IFERROR(Y2137/W2137,0)</x:f>
        <x:v>0.3880048959608323</x:v>
      </x:c>
      <x:c r="AA2137" s="84" t="str">
        <x:f>PROPER(TRIM('Raw Sales'!M2137))</x:f>
        <x:v>Credit Card</x:v>
      </x:c>
      <x:c r="AB2137" s="84" t="str">
        <x:f>PROPER(TRIM('Raw Sales'!N2137))</x:f>
        <x:v>Maya Brooks</x:v>
      </x:c>
      <x:c r="AC2137" s="85" t="n">
        <x:f>'Raw Sales'!O2137</x:f>
        <x:v>45973</x:v>
      </x:c>
      <x:c r="AD2137" s="84" t="n">
        <x:f>AC2137-B2137</x:f>
        <x:v>4</x:v>
      </x:c>
      <x:c r="AE2137" s="84" t="str">
        <x:f>IF(COUNTIF($A$5:A2137,A2137)&gt;1,"Duplicate","Keep")</x:f>
        <x:v>Keep</x:v>
      </x:c>
      <x:c r="AF2137" s="84" t="str">
        <x:f>IF(OR(R2137&lt;=0,AC2137&lt;B2137,H2137="Unknown",M2137="Unknown Product"),"Review","Valid")</x:f>
        <x:v>Valid</x:v>
      </x:c>
      <x:c r="AG2137" s="84" t="n">
        <x:f>IF(AND(AE2137="Keep",AF2137="Valid"),1,0)</x:f>
        <x:v>1</x:v>
      </x:c>
      <x:c r="AH2137" s="84" t="n">
        <x:f>IF(AND(AG2137=1,OR('Dashboard'!$B$4="All",I2137='Dashboard'!$B$4),OR('Dashboard'!$E$4="All",N2137='Dashboard'!$E$4),OR('Dashboard'!$H$4="All",K2137='Dashboard'!$H$4),OR('Dashboard'!$K$4="All",C2137='Dashboard'!$K$4)),1,0)</x:f>
        <x:v>1</x:v>
      </x:c>
      <x:c r="AI2137" s="84" t="n">
        <x:f>IF(AND(AG2137=1,OR('Dashboard'!$B$4="All",I2137='Dashboard'!$B$4),OR('Dashboard'!$E$4="All",N2137='Dashboard'!$E$4),OR('Dashboard'!$H$4="All",K2137='Dashboard'!$H$4)),1,0)</x:f>
        <x:v>1</x:v>
      </x:c>
    </x:row>
    <x:row r="2138">
      <x:c r="A2138" s="84" t="str">
        <x:f>'Raw Sales'!A2138</x:f>
        <x:v>ORD-2025-01091</x:v>
      </x:c>
      <x:c r="B2138" s="85" t="n">
        <x:f>'Raw Sales'!B2138</x:f>
        <x:v>45969</x:v>
      </x:c>
      <x:c r="C2138" s="84" t="n">
        <x:f>YEAR(B2138)</x:f>
        <x:v>2025</x:v>
      </x:c>
      <x:c r="D2138" s="91" t="n">
        <x:f>DATE(YEAR(B2138),MONTH(B2138),1)</x:f>
        <x:v>45962</x:v>
      </x:c>
      <x:c r="E2138" s="84" t="str">
        <x:f>TEXT(B2138,"mmm")</x:f>
        <x:v>Nov</x:v>
      </x:c>
      <x:c r="F2138" s="84" t="str">
        <x:f>'Raw Sales'!C2138</x:f>
        <x:v>CUST-0190</x:v>
      </x:c>
      <x:c r="G2138" s="84" t="str">
        <x:f>PROPER(TRIM('Raw Sales'!D2138))</x:f>
        <x:v>Samuel Evans</x:v>
      </x:c>
      <x:c r="H2138" s="84" t="str">
        <x:f>IF(TRIM('Raw Sales'!E2138)="","Unknown",PROPER(TRIM('Raw Sales'!E2138)))</x:f>
        <x:v>Consumer</x:v>
      </x:c>
      <x:c r="I2138" s="84" t="str">
        <x:f>PROPER(TRIM('Raw Sales'!F2138))</x:f>
        <x:v>Midwest</x:v>
      </x:c>
      <x:c r="J2138" s="84" t="str">
        <x:f>PROPER(TRIM('Raw Sales'!G2138))</x:f>
        <x:v>Detroit</x:v>
      </x:c>
      <x:c r="K2138" s="84" t="str">
        <x:f>PROPER(TRIM('Raw Sales'!H2138))</x:f>
        <x:v>Marketplace</x:v>
      </x:c>
      <x:c r="L2138" s="84" t="str">
        <x:f>'Raw Sales'!I2138</x:f>
        <x:v>ACCS-003</x:v>
      </x:c>
      <x:c r="M2138" s="84" t="str">
        <x:f>IFERROR(VLOOKUP(L2138,'Reference Data'!$A$5:$F$40,2,FALSE),"Unknown Product")</x:f>
        <x:v>Polarized Sunglasses</x:v>
      </x:c>
      <x:c r="N2138" s="84" t="str">
        <x:f>IFERROR(VLOOKUP(L2138,'Reference Data'!$A$5:$F$40,3,FALSE),"Unknown")</x:f>
        <x:v>Accessories</x:v>
      </x:c>
      <x:c r="O2138" s="84" t="str">
        <x:f>IFERROR(VLOOKUP(L2138,'Reference Data'!$A$5:$F$40,4,FALSE),"Unknown")</x:f>
        <x:v>Eyewear</x:v>
      </x:c>
      <x:c r="P2138" s="92" t="n">
        <x:f>IFERROR(VLOOKUP(L2138,'Reference Data'!$A$5:$F$40,5,FALSE),0)</x:f>
        <x:v>59</x:v>
      </x:c>
      <x:c r="Q2138" s="92" t="n">
        <x:f>IFERROR(VLOOKUP(L2138,'Reference Data'!$A$5:$F$40,6,FALSE),0)</x:f>
        <x:v>17</x:v>
      </x:c>
      <x:c r="R2138" s="84" t="n">
        <x:f>'Raw Sales'!J2138</x:f>
        <x:v>2</x:v>
      </x:c>
      <x:c r="S2138" s="87" t="n">
        <x:f>'Raw Sales'!K2138</x:f>
        <x:v>0.1</x:v>
      </x:c>
      <x:c r="T2138" s="93" t="n">
        <x:f>P2138*R2138</x:f>
        <x:v>118</x:v>
      </x:c>
      <x:c r="U2138" s="93" t="n">
        <x:f>T2138*S2138</x:f>
        <x:v>11.8</x:v>
      </x:c>
      <x:c r="V2138" s="93" t="str">
        <x:f>PROPER(TRIM('Raw Sales'!L2138))</x:f>
        <x:v>Completed</x:v>
      </x:c>
      <x:c r="W2138" s="93" t="n">
        <x:f>IF(V2138="Returned",0,T2138-U2138)</x:f>
        <x:v>106.2</x:v>
      </x:c>
      <x:c r="X2138" s="93" t="n">
        <x:f>IF(V2138="Returned",Q2138*R2138*10%,Q2138*R2138)</x:f>
        <x:v>34</x:v>
      </x:c>
      <x:c r="Y2138" s="93" t="n">
        <x:f>W2138-X2138</x:f>
        <x:v>72.2</x:v>
      </x:c>
      <x:c r="Z2138" s="94" t="n">
        <x:f>IFERROR(Y2138/W2138,0)</x:f>
        <x:v>0.67984934086629</x:v>
      </x:c>
      <x:c r="AA2138" s="84" t="str">
        <x:f>PROPER(TRIM('Raw Sales'!M2138))</x:f>
        <x:v>Credit Card</x:v>
      </x:c>
      <x:c r="AB2138" s="84" t="str">
        <x:f>PROPER(TRIM('Raw Sales'!N2138))</x:f>
        <x:v>Lucas Grant</x:v>
      </x:c>
      <x:c r="AC2138" s="85" t="n">
        <x:f>'Raw Sales'!O2138</x:f>
        <x:v>45976</x:v>
      </x:c>
      <x:c r="AD2138" s="84" t="n">
        <x:f>AC2138-B2138</x:f>
        <x:v>7</x:v>
      </x:c>
      <x:c r="AE2138" s="84" t="str">
        <x:f>IF(COUNTIF($A$5:A2138,A2138)&gt;1,"Duplicate","Keep")</x:f>
        <x:v>Keep</x:v>
      </x:c>
      <x:c r="AF2138" s="84" t="str">
        <x:f>IF(OR(R2138&lt;=0,AC2138&lt;B2138,H2138="Unknown",M2138="Unknown Product"),"Review","Valid")</x:f>
        <x:v>Valid</x:v>
      </x:c>
      <x:c r="AG2138" s="84" t="n">
        <x:f>IF(AND(AE2138="Keep",AF2138="Valid"),1,0)</x:f>
        <x:v>1</x:v>
      </x:c>
      <x:c r="AH2138" s="84" t="n">
        <x:f>IF(AND(AG2138=1,OR('Dashboard'!$B$4="All",I2138='Dashboard'!$B$4),OR('Dashboard'!$E$4="All",N2138='Dashboard'!$E$4),OR('Dashboard'!$H$4="All",K2138='Dashboard'!$H$4),OR('Dashboard'!$K$4="All",C2138='Dashboard'!$K$4)),1,0)</x:f>
        <x:v>1</x:v>
      </x:c>
      <x:c r="AI2138" s="84" t="n">
        <x:f>IF(AND(AG2138=1,OR('Dashboard'!$B$4="All",I2138='Dashboard'!$B$4),OR('Dashboard'!$E$4="All",N2138='Dashboard'!$E$4),OR('Dashboard'!$H$4="All",K2138='Dashboard'!$H$4)),1,0)</x:f>
        <x:v>1</x:v>
      </x:c>
    </x:row>
    <x:row r="2139">
      <x:c r="A2139" s="84" t="str">
        <x:f>'Raw Sales'!A2139</x:f>
        <x:v>ORD-2025-01794</x:v>
      </x:c>
      <x:c r="B2139" s="85" t="n">
        <x:f>'Raw Sales'!B2139</x:f>
        <x:v>45969</x:v>
      </x:c>
      <x:c r="C2139" s="84" t="n">
        <x:f>YEAR(B2139)</x:f>
        <x:v>2025</x:v>
      </x:c>
      <x:c r="D2139" s="91" t="n">
        <x:f>DATE(YEAR(B2139),MONTH(B2139),1)</x:f>
        <x:v>45962</x:v>
      </x:c>
      <x:c r="E2139" s="84" t="str">
        <x:f>TEXT(B2139,"mmm")</x:f>
        <x:v>Nov</x:v>
      </x:c>
      <x:c r="F2139" s="84" t="str">
        <x:f>'Raw Sales'!C2139</x:f>
        <x:v>CUST-0061</x:v>
      </x:c>
      <x:c r="G2139" s="84" t="str">
        <x:f>PROPER(TRIM('Raw Sales'!D2139))</x:f>
        <x:v>Aiden Adams</x:v>
      </x:c>
      <x:c r="H2139" s="84" t="str">
        <x:f>IF(TRIM('Raw Sales'!E2139)="","Unknown",PROPER(TRIM('Raw Sales'!E2139)))</x:f>
        <x:v>Consumer</x:v>
      </x:c>
      <x:c r="I2139" s="84" t="str">
        <x:f>PROPER(TRIM('Raw Sales'!F2139))</x:f>
        <x:v>West</x:v>
      </x:c>
      <x:c r="J2139" s="84" t="str">
        <x:f>PROPER(TRIM('Raw Sales'!G2139))</x:f>
        <x:v>Denver</x:v>
      </x:c>
      <x:c r="K2139" s="84" t="str">
        <x:f>PROPER(TRIM('Raw Sales'!H2139))</x:f>
        <x:v>Online</x:v>
      </x:c>
      <x:c r="L2139" s="84" t="str">
        <x:f>'Raw Sales'!I2139</x:f>
        <x:v>ACCS-002</x:v>
      </x:c>
      <x:c r="M2139" s="84" t="str">
        <x:f>IFERROR(VLOOKUP(L2139,'Reference Data'!$A$5:$F$40,2,FALSE),"Unknown Product")</x:f>
        <x:v>Travel Backpack</x:v>
      </x:c>
      <x:c r="N2139" s="84" t="str">
        <x:f>IFERROR(VLOOKUP(L2139,'Reference Data'!$A$5:$F$40,3,FALSE),"Unknown")</x:f>
        <x:v>Accessories</x:v>
      </x:c>
      <x:c r="O2139" s="84" t="str">
        <x:f>IFERROR(VLOOKUP(L2139,'Reference Data'!$A$5:$F$40,4,FALSE),"Unknown")</x:f>
        <x:v>Bags</x:v>
      </x:c>
      <x:c r="P2139" s="92" t="n">
        <x:f>IFERROR(VLOOKUP(L2139,'Reference Data'!$A$5:$F$40,5,FALSE),0)</x:f>
        <x:v>89</x:v>
      </x:c>
      <x:c r="Q2139" s="92" t="n">
        <x:f>IFERROR(VLOOKUP(L2139,'Reference Data'!$A$5:$F$40,6,FALSE),0)</x:f>
        <x:v>36</x:v>
      </x:c>
      <x:c r="R2139" s="84" t="n">
        <x:f>'Raw Sales'!J2139</x:f>
        <x:v>1</x:v>
      </x:c>
      <x:c r="S2139" s="87" t="n">
        <x:f>'Raw Sales'!K2139</x:f>
        <x:v>0.2</x:v>
      </x:c>
      <x:c r="T2139" s="93" t="n">
        <x:f>P2139*R2139</x:f>
        <x:v>89</x:v>
      </x:c>
      <x:c r="U2139" s="93" t="n">
        <x:f>T2139*S2139</x:f>
        <x:v>17.8</x:v>
      </x:c>
      <x:c r="V2139" s="93" t="str">
        <x:f>PROPER(TRIM('Raw Sales'!L2139))</x:f>
        <x:v>Completed</x:v>
      </x:c>
      <x:c r="W2139" s="93" t="n">
        <x:f>IF(V2139="Returned",0,T2139-U2139)</x:f>
        <x:v>71.2</x:v>
      </x:c>
      <x:c r="X2139" s="93" t="n">
        <x:f>IF(V2139="Returned",Q2139*R2139*10%,Q2139*R2139)</x:f>
        <x:v>36</x:v>
      </x:c>
      <x:c r="Y2139" s="93" t="n">
        <x:f>W2139-X2139</x:f>
        <x:v>35.2</x:v>
      </x:c>
      <x:c r="Z2139" s="94" t="n">
        <x:f>IFERROR(Y2139/W2139,0)</x:f>
        <x:v>0.49438202247191015</x:v>
      </x:c>
      <x:c r="AA2139" s="84" t="str">
        <x:f>PROPER(TRIM('Raw Sales'!M2139))</x:f>
        <x:v>Debit Card</x:v>
      </x:c>
      <x:c r="AB2139" s="84" t="str">
        <x:f>PROPER(TRIM('Raw Sales'!N2139))</x:f>
        <x:v>Nora Kim</x:v>
      </x:c>
      <x:c r="AC2139" s="85" t="n">
        <x:f>'Raw Sales'!O2139</x:f>
        <x:v>45974</x:v>
      </x:c>
      <x:c r="AD2139" s="84" t="n">
        <x:f>AC2139-B2139</x:f>
        <x:v>5</x:v>
      </x:c>
      <x:c r="AE2139" s="84" t="str">
        <x:f>IF(COUNTIF($A$5:A2139,A2139)&gt;1,"Duplicate","Keep")</x:f>
        <x:v>Keep</x:v>
      </x:c>
      <x:c r="AF2139" s="84" t="str">
        <x:f>IF(OR(R2139&lt;=0,AC2139&lt;B2139,H2139="Unknown",M2139="Unknown Product"),"Review","Valid")</x:f>
        <x:v>Valid</x:v>
      </x:c>
      <x:c r="AG2139" s="84" t="n">
        <x:f>IF(AND(AE2139="Keep",AF2139="Valid"),1,0)</x:f>
        <x:v>1</x:v>
      </x:c>
      <x:c r="AH2139" s="84" t="n">
        <x:f>IF(AND(AG2139=1,OR('Dashboard'!$B$4="All",I2139='Dashboard'!$B$4),OR('Dashboard'!$E$4="All",N2139='Dashboard'!$E$4),OR('Dashboard'!$H$4="All",K2139='Dashboard'!$H$4),OR('Dashboard'!$K$4="All",C2139='Dashboard'!$K$4)),1,0)</x:f>
        <x:v>1</x:v>
      </x:c>
      <x:c r="AI2139" s="84" t="n">
        <x:f>IF(AND(AG2139=1,OR('Dashboard'!$B$4="All",I2139='Dashboard'!$B$4),OR('Dashboard'!$E$4="All",N2139='Dashboard'!$E$4),OR('Dashboard'!$H$4="All",K2139='Dashboard'!$H$4)),1,0)</x:f>
        <x:v>1</x:v>
      </x:c>
    </x:row>
    <x:row r="2140">
      <x:c r="A2140" s="84" t="str">
        <x:f>'Raw Sales'!A2140</x:f>
        <x:v>ORD-2025-02198</x:v>
      </x:c>
      <x:c r="B2140" s="85" t="n">
        <x:f>'Raw Sales'!B2140</x:f>
        <x:v>45969</x:v>
      </x:c>
      <x:c r="C2140" s="84" t="n">
        <x:f>YEAR(B2140)</x:f>
        <x:v>2025</x:v>
      </x:c>
      <x:c r="D2140" s="91" t="n">
        <x:f>DATE(YEAR(B2140),MONTH(B2140),1)</x:f>
        <x:v>45962</x:v>
      </x:c>
      <x:c r="E2140" s="84" t="str">
        <x:f>TEXT(B2140,"mmm")</x:f>
        <x:v>Nov</x:v>
      </x:c>
      <x:c r="F2140" s="84" t="str">
        <x:f>'Raw Sales'!C2140</x:f>
        <x:v>CUST-0027</x:v>
      </x:c>
      <x:c r="G2140" s="84" t="str">
        <x:f>PROPER(TRIM('Raw Sales'!D2140))</x:f>
        <x:v>Samuel Hall</x:v>
      </x:c>
      <x:c r="H2140" s="84" t="str">
        <x:f>IF(TRIM('Raw Sales'!E2140)="","Unknown",PROPER(TRIM('Raw Sales'!E2140)))</x:f>
        <x:v>Consumer</x:v>
      </x:c>
      <x:c r="I2140" s="84" t="str">
        <x:f>PROPER(TRIM('Raw Sales'!F2140))</x:f>
        <x:v>Northeast</x:v>
      </x:c>
      <x:c r="J2140" s="84" t="str">
        <x:f>PROPER(TRIM('Raw Sales'!G2140))</x:f>
        <x:v>Philadelphia</x:v>
      </x:c>
      <x:c r="K2140" s="84" t="str">
        <x:f>PROPER(TRIM('Raw Sales'!H2140))</x:f>
        <x:v>Marketplace</x:v>
      </x:c>
      <x:c r="L2140" s="84" t="str">
        <x:f>'Raw Sales'!I2140</x:f>
        <x:v>HOME-003</x:v>
      </x:c>
      <x:c r="M2140" s="84" t="str">
        <x:f>IFERROR(VLOOKUP(L2140,'Reference Data'!$A$5:$F$40,2,FALSE),"Unknown Product")</x:f>
        <x:v>Countertop Blender</x:v>
      </x:c>
      <x:c r="N2140" s="84" t="str">
        <x:f>IFERROR(VLOOKUP(L2140,'Reference Data'!$A$5:$F$40,3,FALSE),"Unknown")</x:f>
        <x:v>Home &amp; Kitchen</x:v>
      </x:c>
      <x:c r="O2140" s="84" t="str">
        <x:f>IFERROR(VLOOKUP(L2140,'Reference Data'!$A$5:$F$40,4,FALSE),"Unknown")</x:f>
        <x:v>Small Appliances</x:v>
      </x:c>
      <x:c r="P2140" s="92" t="n">
        <x:f>IFERROR(VLOOKUP(L2140,'Reference Data'!$A$5:$F$40,5,FALSE),0)</x:f>
        <x:v>89</x:v>
      </x:c>
      <x:c r="Q2140" s="92" t="n">
        <x:f>IFERROR(VLOOKUP(L2140,'Reference Data'!$A$5:$F$40,6,FALSE),0)</x:f>
        <x:v>46</x:v>
      </x:c>
      <x:c r="R2140" s="84" t="n">
        <x:f>'Raw Sales'!J2140</x:f>
        <x:v>1</x:v>
      </x:c>
      <x:c r="S2140" s="87" t="n">
        <x:f>'Raw Sales'!K2140</x:f>
        <x:v>0.1</x:v>
      </x:c>
      <x:c r="T2140" s="93" t="n">
        <x:f>P2140*R2140</x:f>
        <x:v>89</x:v>
      </x:c>
      <x:c r="U2140" s="93" t="n">
        <x:f>T2140*S2140</x:f>
        <x:v>8.9</x:v>
      </x:c>
      <x:c r="V2140" s="93" t="str">
        <x:f>PROPER(TRIM('Raw Sales'!L2140))</x:f>
        <x:v>Completed</x:v>
      </x:c>
      <x:c r="W2140" s="93" t="n">
        <x:f>IF(V2140="Returned",0,T2140-U2140)</x:f>
        <x:v>80.1</x:v>
      </x:c>
      <x:c r="X2140" s="93" t="n">
        <x:f>IF(V2140="Returned",Q2140*R2140*10%,Q2140*R2140)</x:f>
        <x:v>46</x:v>
      </x:c>
      <x:c r="Y2140" s="93" t="n">
        <x:f>W2140-X2140</x:f>
        <x:v>34.099999999999994</x:v>
      </x:c>
      <x:c r="Z2140" s="94" t="n">
        <x:f>IFERROR(Y2140/W2140,0)</x:f>
        <x:v>0.4257178526841448</x:v>
      </x:c>
      <x:c r="AA2140" s="84" t="str">
        <x:f>PROPER(TRIM('Raw Sales'!M2140))</x:f>
        <x:v>Paypal</x:v>
      </x:c>
      <x:c r="AB2140" s="84" t="str">
        <x:f>PROPER(TRIM('Raw Sales'!N2140))</x:f>
        <x:v>Sofia Bennett</x:v>
      </x:c>
      <x:c r="AC2140" s="85" t="n">
        <x:f>'Raw Sales'!O2140</x:f>
        <x:v>45976</x:v>
      </x:c>
      <x:c r="AD2140" s="84" t="n">
        <x:f>AC2140-B2140</x:f>
        <x:v>7</x:v>
      </x:c>
      <x:c r="AE2140" s="84" t="str">
        <x:f>IF(COUNTIF($A$5:A2140,A2140)&gt;1,"Duplicate","Keep")</x:f>
        <x:v>Keep</x:v>
      </x:c>
      <x:c r="AF2140" s="84" t="str">
        <x:f>IF(OR(R2140&lt;=0,AC2140&lt;B2140,H2140="Unknown",M2140="Unknown Product"),"Review","Valid")</x:f>
        <x:v>Valid</x:v>
      </x:c>
      <x:c r="AG2140" s="84" t="n">
        <x:f>IF(AND(AE2140="Keep",AF2140="Valid"),1,0)</x:f>
        <x:v>1</x:v>
      </x:c>
      <x:c r="AH2140" s="84" t="n">
        <x:f>IF(AND(AG2140=1,OR('Dashboard'!$B$4="All",I2140='Dashboard'!$B$4),OR('Dashboard'!$E$4="All",N2140='Dashboard'!$E$4),OR('Dashboard'!$H$4="All",K2140='Dashboard'!$H$4),OR('Dashboard'!$K$4="All",C2140='Dashboard'!$K$4)),1,0)</x:f>
        <x:v>1</x:v>
      </x:c>
      <x:c r="AI2140" s="84" t="n">
        <x:f>IF(AND(AG2140=1,OR('Dashboard'!$B$4="All",I2140='Dashboard'!$B$4),OR('Dashboard'!$E$4="All",N2140='Dashboard'!$E$4),OR('Dashboard'!$H$4="All",K2140='Dashboard'!$H$4)),1,0)</x:f>
        <x:v>1</x:v>
      </x:c>
    </x:row>
    <x:row r="2141">
      <x:c r="A2141" s="84" t="str">
        <x:f>'Raw Sales'!A2141</x:f>
        <x:v>ORD-2025-00790</x:v>
      </x:c>
      <x:c r="B2141" s="85" t="n">
        <x:f>'Raw Sales'!B2141</x:f>
        <x:v>45970</x:v>
      </x:c>
      <x:c r="C2141" s="84" t="n">
        <x:f>YEAR(B2141)</x:f>
        <x:v>2025</x:v>
      </x:c>
      <x:c r="D2141" s="91" t="n">
        <x:f>DATE(YEAR(B2141),MONTH(B2141),1)</x:f>
        <x:v>45962</x:v>
      </x:c>
      <x:c r="E2141" s="84" t="str">
        <x:f>TEXT(B2141,"mmm")</x:f>
        <x:v>Nov</x:v>
      </x:c>
      <x:c r="F2141" s="84" t="str">
        <x:f>'Raw Sales'!C2141</x:f>
        <x:v>CUST-0038</x:v>
      </x:c>
      <x:c r="G2141" s="84" t="str">
        <x:f>PROPER(TRIM('Raw Sales'!D2141))</x:f>
        <x:v>William Ortiz</x:v>
      </x:c>
      <x:c r="H2141" s="84" t="str">
        <x:f>IF(TRIM('Raw Sales'!E2141)="","Unknown",PROPER(TRIM('Raw Sales'!E2141)))</x:f>
        <x:v>Consumer</x:v>
      </x:c>
      <x:c r="I2141" s="84" t="str">
        <x:f>PROPER(TRIM('Raw Sales'!F2141))</x:f>
        <x:v>West</x:v>
      </x:c>
      <x:c r="J2141" s="84" t="str">
        <x:f>PROPER(TRIM('Raw Sales'!G2141))</x:f>
        <x:v>Phoenix</x:v>
      </x:c>
      <x:c r="K2141" s="84" t="str">
        <x:f>PROPER(TRIM('Raw Sales'!H2141))</x:f>
        <x:v>Retail Store</x:v>
      </x:c>
      <x:c r="L2141" s="84" t="str">
        <x:f>'Raw Sales'!I2141</x:f>
        <x:v>ELEC-001</x:v>
      </x:c>
      <x:c r="M2141" s="84" t="str">
        <x:f>IFERROR(VLOOKUP(L2141,'Reference Data'!$A$5:$F$40,2,FALSE),"Unknown Product")</x:f>
        <x:v>Wireless Earbuds</x:v>
      </x:c>
      <x:c r="N2141" s="84" t="str">
        <x:f>IFERROR(VLOOKUP(L2141,'Reference Data'!$A$5:$F$40,3,FALSE),"Unknown")</x:f>
        <x:v>Electronics</x:v>
      </x:c>
      <x:c r="O2141" s="84" t="str">
        <x:f>IFERROR(VLOOKUP(L2141,'Reference Data'!$A$5:$F$40,4,FALSE),"Unknown")</x:f>
        <x:v>Audio</x:v>
      </x:c>
      <x:c r="P2141" s="92" t="n">
        <x:f>IFERROR(VLOOKUP(L2141,'Reference Data'!$A$5:$F$40,5,FALSE),0)</x:f>
        <x:v>69</x:v>
      </x:c>
      <x:c r="Q2141" s="92" t="n">
        <x:f>IFERROR(VLOOKUP(L2141,'Reference Data'!$A$5:$F$40,6,FALSE),0)</x:f>
        <x:v>36</x:v>
      </x:c>
      <x:c r="R2141" s="84" t="n">
        <x:f>'Raw Sales'!J2141</x:f>
        <x:v>1</x:v>
      </x:c>
      <x:c r="S2141" s="87" t="n">
        <x:f>'Raw Sales'!K2141</x:f>
        <x:v>0.1</x:v>
      </x:c>
      <x:c r="T2141" s="93" t="n">
        <x:f>P2141*R2141</x:f>
        <x:v>69</x:v>
      </x:c>
      <x:c r="U2141" s="93" t="n">
        <x:f>T2141*S2141</x:f>
        <x:v>6.9</x:v>
      </x:c>
      <x:c r="V2141" s="93" t="str">
        <x:f>PROPER(TRIM('Raw Sales'!L2141))</x:f>
        <x:v>Returned</x:v>
      </x:c>
      <x:c r="W2141" s="93" t="n">
        <x:f>IF(V2141="Returned",0,T2141-U2141)</x:f>
        <x:v>0</x:v>
      </x:c>
      <x:c r="X2141" s="93" t="n">
        <x:f>IF(V2141="Returned",Q2141*R2141*10%,Q2141*R2141)</x:f>
        <x:v>3.6</x:v>
      </x:c>
      <x:c r="Y2141" s="93" t="n">
        <x:f>W2141-X2141</x:f>
        <x:v>-3.6</x:v>
      </x:c>
      <x:c r="Z2141" s="94" t="n">
        <x:f>IFERROR(Y2141/W2141,0)</x:f>
        <x:v>0</x:v>
      </x:c>
      <x:c r="AA2141" s="84" t="str">
        <x:f>PROPER(TRIM('Raw Sales'!M2141))</x:f>
        <x:v>Credit Card</x:v>
      </x:c>
      <x:c r="AB2141" s="84" t="str">
        <x:f>PROPER(TRIM('Raw Sales'!N2141))</x:f>
        <x:v>Leo Martinez</x:v>
      </x:c>
      <x:c r="AC2141" s="85" t="n">
        <x:f>'Raw Sales'!O2141</x:f>
        <x:v>45971</x:v>
      </x:c>
      <x:c r="AD2141" s="84" t="n">
        <x:f>AC2141-B2141</x:f>
        <x:v>1</x:v>
      </x:c>
      <x:c r="AE2141" s="84" t="str">
        <x:f>IF(COUNTIF($A$5:A2141,A2141)&gt;1,"Duplicate","Keep")</x:f>
        <x:v>Keep</x:v>
      </x:c>
      <x:c r="AF2141" s="84" t="str">
        <x:f>IF(OR(R2141&lt;=0,AC2141&lt;B2141,H2141="Unknown",M2141="Unknown Product"),"Review","Valid")</x:f>
        <x:v>Valid</x:v>
      </x:c>
      <x:c r="AG2141" s="84" t="n">
        <x:f>IF(AND(AE2141="Keep",AF2141="Valid"),1,0)</x:f>
        <x:v>1</x:v>
      </x:c>
      <x:c r="AH2141" s="84" t="n">
        <x:f>IF(AND(AG2141=1,OR('Dashboard'!$B$4="All",I2141='Dashboard'!$B$4),OR('Dashboard'!$E$4="All",N2141='Dashboard'!$E$4),OR('Dashboard'!$H$4="All",K2141='Dashboard'!$H$4),OR('Dashboard'!$K$4="All",C2141='Dashboard'!$K$4)),1,0)</x:f>
        <x:v>1</x:v>
      </x:c>
      <x:c r="AI2141" s="84" t="n">
        <x:f>IF(AND(AG2141=1,OR('Dashboard'!$B$4="All",I2141='Dashboard'!$B$4),OR('Dashboard'!$E$4="All",N2141='Dashboard'!$E$4),OR('Dashboard'!$H$4="All",K2141='Dashboard'!$H$4)),1,0)</x:f>
        <x:v>1</x:v>
      </x:c>
    </x:row>
    <x:row r="2142">
      <x:c r="A2142" s="84" t="str">
        <x:f>'Raw Sales'!A2142</x:f>
        <x:v>ORD-2025-01038</x:v>
      </x:c>
      <x:c r="B2142" s="85" t="n">
        <x:f>'Raw Sales'!B2142</x:f>
        <x:v>45970</x:v>
      </x:c>
      <x:c r="C2142" s="84" t="n">
        <x:f>YEAR(B2142)</x:f>
        <x:v>2025</x:v>
      </x:c>
      <x:c r="D2142" s="91" t="n">
        <x:f>DATE(YEAR(B2142),MONTH(B2142),1)</x:f>
        <x:v>45962</x:v>
      </x:c>
      <x:c r="E2142" s="84" t="str">
        <x:f>TEXT(B2142,"mmm")</x:f>
        <x:v>Nov</x:v>
      </x:c>
      <x:c r="F2142" s="84" t="str">
        <x:f>'Raw Sales'!C2142</x:f>
        <x:v>CUST-0041</x:v>
      </x:c>
      <x:c r="G2142" s="84" t="str">
        <x:f>PROPER(TRIM('Raw Sales'!D2142))</x:f>
        <x:v>Isaac Evans</x:v>
      </x:c>
      <x:c r="H2142" s="84" t="str">
        <x:f>IF(TRIM('Raw Sales'!E2142)="","Unknown",PROPER(TRIM('Raw Sales'!E2142)))</x:f>
        <x:v>Consumer</x:v>
      </x:c>
      <x:c r="I2142" s="84" t="str">
        <x:f>PROPER(TRIM('Raw Sales'!F2142))</x:f>
        <x:v>Midwest</x:v>
      </x:c>
      <x:c r="J2142" s="84" t="str">
        <x:f>PROPER(TRIM('Raw Sales'!G2142))</x:f>
        <x:v>Detroit</x:v>
      </x:c>
      <x:c r="K2142" s="84" t="str">
        <x:f>PROPER(TRIM('Raw Sales'!H2142))</x:f>
        <x:v>Retail Store</x:v>
      </x:c>
      <x:c r="L2142" s="84" t="str">
        <x:f>'Raw Sales'!I2142</x:f>
        <x:v>HOME-001</x:v>
      </x:c>
      <x:c r="M2142" s="84" t="str">
        <x:f>IFERROR(VLOOKUP(L2142,'Reference Data'!$A$5:$F$40,2,FALSE),"Unknown Product")</x:f>
        <x:v>Air Fryer</x:v>
      </x:c>
      <x:c r="N2142" s="84" t="str">
        <x:f>IFERROR(VLOOKUP(L2142,'Reference Data'!$A$5:$F$40,3,FALSE),"Unknown")</x:f>
        <x:v>Home &amp; Kitchen</x:v>
      </x:c>
      <x:c r="O2142" s="84" t="str">
        <x:f>IFERROR(VLOOKUP(L2142,'Reference Data'!$A$5:$F$40,4,FALSE),"Unknown")</x:f>
        <x:v>Small Appliances</x:v>
      </x:c>
      <x:c r="P2142" s="92" t="n">
        <x:f>IFERROR(VLOOKUP(L2142,'Reference Data'!$A$5:$F$40,5,FALSE),0)</x:f>
        <x:v>119</x:v>
      </x:c>
      <x:c r="Q2142" s="92" t="n">
        <x:f>IFERROR(VLOOKUP(L2142,'Reference Data'!$A$5:$F$40,6,FALSE),0)</x:f>
        <x:v>68</x:v>
      </x:c>
      <x:c r="R2142" s="84" t="n">
        <x:f>'Raw Sales'!J2142</x:f>
        <x:v>2</x:v>
      </x:c>
      <x:c r="S2142" s="87" t="n">
        <x:f>'Raw Sales'!K2142</x:f>
        <x:v>0</x:v>
      </x:c>
      <x:c r="T2142" s="93" t="n">
        <x:f>P2142*R2142</x:f>
        <x:v>238</x:v>
      </x:c>
      <x:c r="U2142" s="93" t="n">
        <x:f>T2142*S2142</x:f>
        <x:v>0</x:v>
      </x:c>
      <x:c r="V2142" s="93" t="str">
        <x:f>PROPER(TRIM('Raw Sales'!L2142))</x:f>
        <x:v>Completed</x:v>
      </x:c>
      <x:c r="W2142" s="93" t="n">
        <x:f>IF(V2142="Returned",0,T2142-U2142)</x:f>
        <x:v>238</x:v>
      </x:c>
      <x:c r="X2142" s="93" t="n">
        <x:f>IF(V2142="Returned",Q2142*R2142*10%,Q2142*R2142)</x:f>
        <x:v>136</x:v>
      </x:c>
      <x:c r="Y2142" s="93" t="n">
        <x:f>W2142-X2142</x:f>
        <x:v>102</x:v>
      </x:c>
      <x:c r="Z2142" s="94" t="n">
        <x:f>IFERROR(Y2142/W2142,0)</x:f>
        <x:v>0.42857142857142855</x:v>
      </x:c>
      <x:c r="AA2142" s="84" t="str">
        <x:f>PROPER(TRIM('Raw Sales'!M2142))</x:f>
        <x:v>Credit Card</x:v>
      </x:c>
      <x:c r="AB2142" s="84" t="str">
        <x:f>PROPER(TRIM('Raw Sales'!N2142))</x:f>
        <x:v>Emma Hayes</x:v>
      </x:c>
      <x:c r="AC2142" s="85" t="n">
        <x:f>'Raw Sales'!O2142</x:f>
        <x:v>45971</x:v>
      </x:c>
      <x:c r="AD2142" s="84" t="n">
        <x:f>AC2142-B2142</x:f>
        <x:v>1</x:v>
      </x:c>
      <x:c r="AE2142" s="84" t="str">
        <x:f>IF(COUNTIF($A$5:A2142,A2142)&gt;1,"Duplicate","Keep")</x:f>
        <x:v>Keep</x:v>
      </x:c>
      <x:c r="AF2142" s="84" t="str">
        <x:f>IF(OR(R2142&lt;=0,AC2142&lt;B2142,H2142="Unknown",M2142="Unknown Product"),"Review","Valid")</x:f>
        <x:v>Valid</x:v>
      </x:c>
      <x:c r="AG2142" s="84" t="n">
        <x:f>IF(AND(AE2142="Keep",AF2142="Valid"),1,0)</x:f>
        <x:v>1</x:v>
      </x:c>
      <x:c r="AH2142" s="84" t="n">
        <x:f>IF(AND(AG2142=1,OR('Dashboard'!$B$4="All",I2142='Dashboard'!$B$4),OR('Dashboard'!$E$4="All",N2142='Dashboard'!$E$4),OR('Dashboard'!$H$4="All",K2142='Dashboard'!$H$4),OR('Dashboard'!$K$4="All",C2142='Dashboard'!$K$4)),1,0)</x:f>
        <x:v>1</x:v>
      </x:c>
      <x:c r="AI2142" s="84" t="n">
        <x:f>IF(AND(AG2142=1,OR('Dashboard'!$B$4="All",I2142='Dashboard'!$B$4),OR('Dashboard'!$E$4="All",N2142='Dashboard'!$E$4),OR('Dashboard'!$H$4="All",K2142='Dashboard'!$H$4)),1,0)</x:f>
        <x:v>1</x:v>
      </x:c>
    </x:row>
    <x:row r="2143">
      <x:c r="A2143" s="84" t="str">
        <x:f>'Raw Sales'!A2143</x:f>
        <x:v>ORD-2025-01247</x:v>
      </x:c>
      <x:c r="B2143" s="85" t="n">
        <x:f>'Raw Sales'!B2143</x:f>
        <x:v>45970</x:v>
      </x:c>
      <x:c r="C2143" s="84" t="n">
        <x:f>YEAR(B2143)</x:f>
        <x:v>2025</x:v>
      </x:c>
      <x:c r="D2143" s="91" t="n">
        <x:f>DATE(YEAR(B2143),MONTH(B2143),1)</x:f>
        <x:v>45962</x:v>
      </x:c>
      <x:c r="E2143" s="84" t="str">
        <x:f>TEXT(B2143,"mmm")</x:f>
        <x:v>Nov</x:v>
      </x:c>
      <x:c r="F2143" s="84" t="str">
        <x:f>'Raw Sales'!C2143</x:f>
        <x:v>CUST-0586</x:v>
      </x:c>
      <x:c r="G2143" s="84" t="str">
        <x:f>PROPER(TRIM('Raw Sales'!D2143))</x:f>
        <x:v>Isaac Adams</x:v>
      </x:c>
      <x:c r="H2143" s="84" t="str">
        <x:f>IF(TRIM('Raw Sales'!E2143)="","Unknown",PROPER(TRIM('Raw Sales'!E2143)))</x:f>
        <x:v>Small Business</x:v>
      </x:c>
      <x:c r="I2143" s="84" t="str">
        <x:f>PROPER(TRIM('Raw Sales'!F2143))</x:f>
        <x:v>Midwest</x:v>
      </x:c>
      <x:c r="J2143" s="84" t="str">
        <x:f>PROPER(TRIM('Raw Sales'!G2143))</x:f>
        <x:v>Detroit</x:v>
      </x:c>
      <x:c r="K2143" s="84" t="str">
        <x:f>PROPER(TRIM('Raw Sales'!H2143))</x:f>
        <x:v>Online</x:v>
      </x:c>
      <x:c r="L2143" s="84" t="str">
        <x:f>'Raw Sales'!I2143</x:f>
        <x:v>ELEC-004</x:v>
      </x:c>
      <x:c r="M2143" s="84" t="str">
        <x:f>IFERROR(VLOOKUP(L2143,'Reference Data'!$A$5:$F$40,2,FALSE),"Unknown Product")</x:f>
        <x:v>Power Bank</x:v>
      </x:c>
      <x:c r="N2143" s="84" t="str">
        <x:f>IFERROR(VLOOKUP(L2143,'Reference Data'!$A$5:$F$40,3,FALSE),"Unknown")</x:f>
        <x:v>Electronics</x:v>
      </x:c>
      <x:c r="O2143" s="84" t="str">
        <x:f>IFERROR(VLOOKUP(L2143,'Reference Data'!$A$5:$F$40,4,FALSE),"Unknown")</x:f>
        <x:v>Mobile Accessories</x:v>
      </x:c>
      <x:c r="P2143" s="92" t="n">
        <x:f>IFERROR(VLOOKUP(L2143,'Reference Data'!$A$5:$F$40,5,FALSE),0)</x:f>
        <x:v>39</x:v>
      </x:c>
      <x:c r="Q2143" s="92" t="n">
        <x:f>IFERROR(VLOOKUP(L2143,'Reference Data'!$A$5:$F$40,6,FALSE),0)</x:f>
        <x:v>18</x:v>
      </x:c>
      <x:c r="R2143" s="84" t="n">
        <x:f>'Raw Sales'!J2143</x:f>
        <x:v>1</x:v>
      </x:c>
      <x:c r="S2143" s="87" t="n">
        <x:f>'Raw Sales'!K2143</x:f>
        <x:v>0.2</x:v>
      </x:c>
      <x:c r="T2143" s="93" t="n">
        <x:f>P2143*R2143</x:f>
        <x:v>39</x:v>
      </x:c>
      <x:c r="U2143" s="93" t="n">
        <x:f>T2143*S2143</x:f>
        <x:v>7.800000000000001</x:v>
      </x:c>
      <x:c r="V2143" s="93" t="str">
        <x:f>PROPER(TRIM('Raw Sales'!L2143))</x:f>
        <x:v>Completed</x:v>
      </x:c>
      <x:c r="W2143" s="93" t="n">
        <x:f>IF(V2143="Returned",0,T2143-U2143)</x:f>
        <x:v>31.2</x:v>
      </x:c>
      <x:c r="X2143" s="93" t="n">
        <x:f>IF(V2143="Returned",Q2143*R2143*10%,Q2143*R2143)</x:f>
        <x:v>18</x:v>
      </x:c>
      <x:c r="Y2143" s="93" t="n">
        <x:f>W2143-X2143</x:f>
        <x:v>13.2</x:v>
      </x:c>
      <x:c r="Z2143" s="94" t="n">
        <x:f>IFERROR(Y2143/W2143,0)</x:f>
        <x:v>0.4230769230769231</x:v>
      </x:c>
      <x:c r="AA2143" s="84" t="str">
        <x:f>PROPER(TRIM('Raw Sales'!M2143))</x:f>
        <x:v>Credit Card</x:v>
      </x:c>
      <x:c r="AB2143" s="84" t="str">
        <x:f>PROPER(TRIM('Raw Sales'!N2143))</x:f>
        <x:v>Lucas Grant</x:v>
      </x:c>
      <x:c r="AC2143" s="85" t="n">
        <x:f>'Raw Sales'!O2143</x:f>
        <x:v>45972</x:v>
      </x:c>
      <x:c r="AD2143" s="84" t="n">
        <x:f>AC2143-B2143</x:f>
        <x:v>2</x:v>
      </x:c>
      <x:c r="AE2143" s="84" t="str">
        <x:f>IF(COUNTIF($A$5:A2143,A2143)&gt;1,"Duplicate","Keep")</x:f>
        <x:v>Keep</x:v>
      </x:c>
      <x:c r="AF2143" s="84" t="str">
        <x:f>IF(OR(R2143&lt;=0,AC2143&lt;B2143,H2143="Unknown",M2143="Unknown Product"),"Review","Valid")</x:f>
        <x:v>Valid</x:v>
      </x:c>
      <x:c r="AG2143" s="84" t="n">
        <x:f>IF(AND(AE2143="Keep",AF2143="Valid"),1,0)</x:f>
        <x:v>1</x:v>
      </x:c>
      <x:c r="AH2143" s="84" t="n">
        <x:f>IF(AND(AG2143=1,OR('Dashboard'!$B$4="All",I2143='Dashboard'!$B$4),OR('Dashboard'!$E$4="All",N2143='Dashboard'!$E$4),OR('Dashboard'!$H$4="All",K2143='Dashboard'!$H$4),OR('Dashboard'!$K$4="All",C2143='Dashboard'!$K$4)),1,0)</x:f>
        <x:v>1</x:v>
      </x:c>
      <x:c r="AI2143" s="84" t="n">
        <x:f>IF(AND(AG2143=1,OR('Dashboard'!$B$4="All",I2143='Dashboard'!$B$4),OR('Dashboard'!$E$4="All",N2143='Dashboard'!$E$4),OR('Dashboard'!$H$4="All",K2143='Dashboard'!$H$4)),1,0)</x:f>
        <x:v>1</x:v>
      </x:c>
    </x:row>
    <x:row r="2144">
      <x:c r="A2144" s="84" t="str">
        <x:f>'Raw Sales'!A2144</x:f>
        <x:v>ORD-2025-01519</x:v>
      </x:c>
      <x:c r="B2144" s="85" t="n">
        <x:f>'Raw Sales'!B2144</x:f>
        <x:v>45970</x:v>
      </x:c>
      <x:c r="C2144" s="84" t="n">
        <x:f>YEAR(B2144)</x:f>
        <x:v>2025</x:v>
      </x:c>
      <x:c r="D2144" s="91" t="n">
        <x:f>DATE(YEAR(B2144),MONTH(B2144),1)</x:f>
        <x:v>45962</x:v>
      </x:c>
      <x:c r="E2144" s="84" t="str">
        <x:f>TEXT(B2144,"mmm")</x:f>
        <x:v>Nov</x:v>
      </x:c>
      <x:c r="F2144" s="84" t="str">
        <x:f>'Raw Sales'!C2144</x:f>
        <x:v>CUST-0461</x:v>
      </x:c>
      <x:c r="G2144" s="84" t="str">
        <x:f>PROPER(TRIM('Raw Sales'!D2144))</x:f>
        <x:v>Nina Irwin</x:v>
      </x:c>
      <x:c r="H2144" s="84" t="str">
        <x:f>IF(TRIM('Raw Sales'!E2144)="","Unknown",PROPER(TRIM('Raw Sales'!E2144)))</x:f>
        <x:v>Corporate</x:v>
      </x:c>
      <x:c r="I2144" s="84" t="str">
        <x:f>PROPER(TRIM('Raw Sales'!F2144))</x:f>
        <x:v>Southeast</x:v>
      </x:c>
      <x:c r="J2144" s="84" t="str">
        <x:f>PROPER(TRIM('Raw Sales'!G2144))</x:f>
        <x:v>Miami</x:v>
      </x:c>
      <x:c r="K2144" s="84" t="str">
        <x:f>PROPER(TRIM('Raw Sales'!H2144))</x:f>
        <x:v>Online</x:v>
      </x:c>
      <x:c r="L2144" s="84" t="str">
        <x:f>'Raw Sales'!I2144</x:f>
        <x:v>ELEC-002</x:v>
      </x:c>
      <x:c r="M2144" s="84" t="str">
        <x:f>IFERROR(VLOOKUP(L2144,'Reference Data'!$A$5:$F$40,2,FALSE),"Unknown Product")</x:f>
        <x:v>Smartwatch</x:v>
      </x:c>
      <x:c r="N2144" s="84" t="str">
        <x:f>IFERROR(VLOOKUP(L2144,'Reference Data'!$A$5:$F$40,3,FALSE),"Unknown")</x:f>
        <x:v>Electronics</x:v>
      </x:c>
      <x:c r="O2144" s="84" t="str">
        <x:f>IFERROR(VLOOKUP(L2144,'Reference Data'!$A$5:$F$40,4,FALSE),"Unknown")</x:f>
        <x:v>Wearables</x:v>
      </x:c>
      <x:c r="P2144" s="92" t="n">
        <x:f>IFERROR(VLOOKUP(L2144,'Reference Data'!$A$5:$F$40,5,FALSE),0)</x:f>
        <x:v>159</x:v>
      </x:c>
      <x:c r="Q2144" s="92" t="n">
        <x:f>IFERROR(VLOOKUP(L2144,'Reference Data'!$A$5:$F$40,6,FALSE),0)</x:f>
        <x:v>92</x:v>
      </x:c>
      <x:c r="R2144" s="84" t="n">
        <x:f>'Raw Sales'!J2144</x:f>
        <x:v>6</x:v>
      </x:c>
      <x:c r="S2144" s="87" t="n">
        <x:f>'Raw Sales'!K2144</x:f>
        <x:v>0.1</x:v>
      </x:c>
      <x:c r="T2144" s="93" t="n">
        <x:f>P2144*R2144</x:f>
        <x:v>954</x:v>
      </x:c>
      <x:c r="U2144" s="93" t="n">
        <x:f>T2144*S2144</x:f>
        <x:v>95.4</x:v>
      </x:c>
      <x:c r="V2144" s="93" t="str">
        <x:f>PROPER(TRIM('Raw Sales'!L2144))</x:f>
        <x:v>Completed</x:v>
      </x:c>
      <x:c r="W2144" s="93" t="n">
        <x:f>IF(V2144="Returned",0,T2144-U2144)</x:f>
        <x:v>858.6</x:v>
      </x:c>
      <x:c r="X2144" s="93" t="n">
        <x:f>IF(V2144="Returned",Q2144*R2144*10%,Q2144*R2144)</x:f>
        <x:v>552</x:v>
      </x:c>
      <x:c r="Y2144" s="93" t="n">
        <x:f>W2144-X2144</x:f>
        <x:v>306.6</x:v>
      </x:c>
      <x:c r="Z2144" s="94" t="n">
        <x:f>IFERROR(Y2144/W2144,0)</x:f>
        <x:v>0.3570929419986024</x:v>
      </x:c>
      <x:c r="AA2144" s="84" t="str">
        <x:f>PROPER(TRIM('Raw Sales'!M2144))</x:f>
        <x:v>Credit Card</x:v>
      </x:c>
      <x:c r="AB2144" s="84" t="str">
        <x:f>PROPER(TRIM('Raw Sales'!N2144))</x:f>
        <x:v>Noah Reed</x:v>
      </x:c>
      <x:c r="AC2144" s="85" t="n">
        <x:f>'Raw Sales'!O2144</x:f>
        <x:v>45972</x:v>
      </x:c>
      <x:c r="AD2144" s="84" t="n">
        <x:f>AC2144-B2144</x:f>
        <x:v>2</x:v>
      </x:c>
      <x:c r="AE2144" s="84" t="str">
        <x:f>IF(COUNTIF($A$5:A2144,A2144)&gt;1,"Duplicate","Keep")</x:f>
        <x:v>Keep</x:v>
      </x:c>
      <x:c r="AF2144" s="84" t="str">
        <x:f>IF(OR(R2144&lt;=0,AC2144&lt;B2144,H2144="Unknown",M2144="Unknown Product"),"Review","Valid")</x:f>
        <x:v>Valid</x:v>
      </x:c>
      <x:c r="AG2144" s="84" t="n">
        <x:f>IF(AND(AE2144="Keep",AF2144="Valid"),1,0)</x:f>
        <x:v>1</x:v>
      </x:c>
      <x:c r="AH2144" s="84" t="n">
        <x:f>IF(AND(AG2144=1,OR('Dashboard'!$B$4="All",I2144='Dashboard'!$B$4),OR('Dashboard'!$E$4="All",N2144='Dashboard'!$E$4),OR('Dashboard'!$H$4="All",K2144='Dashboard'!$H$4),OR('Dashboard'!$K$4="All",C2144='Dashboard'!$K$4)),1,0)</x:f>
        <x:v>1</x:v>
      </x:c>
      <x:c r="AI2144" s="84" t="n">
        <x:f>IF(AND(AG2144=1,OR('Dashboard'!$B$4="All",I2144='Dashboard'!$B$4),OR('Dashboard'!$E$4="All",N2144='Dashboard'!$E$4),OR('Dashboard'!$H$4="All",K2144='Dashboard'!$H$4)),1,0)</x:f>
        <x:v>1</x:v>
      </x:c>
    </x:row>
    <x:row r="2145">
      <x:c r="A2145" s="84" t="str">
        <x:f>'Raw Sales'!A2145</x:f>
        <x:v>ORD-2025-02080</x:v>
      </x:c>
      <x:c r="B2145" s="85" t="n">
        <x:f>'Raw Sales'!B2145</x:f>
        <x:v>45970</x:v>
      </x:c>
      <x:c r="C2145" s="84" t="n">
        <x:f>YEAR(B2145)</x:f>
        <x:v>2025</x:v>
      </x:c>
      <x:c r="D2145" s="91" t="n">
        <x:f>DATE(YEAR(B2145),MONTH(B2145),1)</x:f>
        <x:v>45962</x:v>
      </x:c>
      <x:c r="E2145" s="84" t="str">
        <x:f>TEXT(B2145,"mmm")</x:f>
        <x:v>Nov</x:v>
      </x:c>
      <x:c r="F2145" s="84" t="str">
        <x:f>'Raw Sales'!C2145</x:f>
        <x:v>CUST-0264</x:v>
      </x:c>
      <x:c r="G2145" s="84" t="str">
        <x:f>PROPER(TRIM('Raw Sales'!D2145))</x:f>
        <x:v>Samuel Foster</x:v>
      </x:c>
      <x:c r="H2145" s="84" t="str">
        <x:f>IF(TRIM('Raw Sales'!E2145)="","Unknown",PROPER(TRIM('Raw Sales'!E2145)))</x:f>
        <x:v>Small Business</x:v>
      </x:c>
      <x:c r="I2145" s="84" t="str">
        <x:f>PROPER(TRIM('Raw Sales'!F2145))</x:f>
        <x:v>West</x:v>
      </x:c>
      <x:c r="J2145" s="84" t="str">
        <x:f>PROPER(TRIM('Raw Sales'!G2145))</x:f>
        <x:v>Phoenix</x:v>
      </x:c>
      <x:c r="K2145" s="84" t="str">
        <x:f>PROPER(TRIM('Raw Sales'!H2145))</x:f>
        <x:v>Retail Store</x:v>
      </x:c>
      <x:c r="L2145" s="84" t="str">
        <x:f>'Raw Sales'!I2145</x:f>
        <x:v>ELEC-001</x:v>
      </x:c>
      <x:c r="M2145" s="84" t="str">
        <x:f>IFERROR(VLOOKUP(L2145,'Reference Data'!$A$5:$F$40,2,FALSE),"Unknown Product")</x:f>
        <x:v>Wireless Earbuds</x:v>
      </x:c>
      <x:c r="N2145" s="84" t="str">
        <x:f>IFERROR(VLOOKUP(L2145,'Reference Data'!$A$5:$F$40,3,FALSE),"Unknown")</x:f>
        <x:v>Electronics</x:v>
      </x:c>
      <x:c r="O2145" s="84" t="str">
        <x:f>IFERROR(VLOOKUP(L2145,'Reference Data'!$A$5:$F$40,4,FALSE),"Unknown")</x:f>
        <x:v>Audio</x:v>
      </x:c>
      <x:c r="P2145" s="92" t="n">
        <x:f>IFERROR(VLOOKUP(L2145,'Reference Data'!$A$5:$F$40,5,FALSE),0)</x:f>
        <x:v>69</x:v>
      </x:c>
      <x:c r="Q2145" s="92" t="n">
        <x:f>IFERROR(VLOOKUP(L2145,'Reference Data'!$A$5:$F$40,6,FALSE),0)</x:f>
        <x:v>36</x:v>
      </x:c>
      <x:c r="R2145" s="84" t="n">
        <x:f>'Raw Sales'!J2145</x:f>
        <x:v>1</x:v>
      </x:c>
      <x:c r="S2145" s="87" t="n">
        <x:f>'Raw Sales'!K2145</x:f>
        <x:v>0.05</x:v>
      </x:c>
      <x:c r="T2145" s="93" t="n">
        <x:f>P2145*R2145</x:f>
        <x:v>69</x:v>
      </x:c>
      <x:c r="U2145" s="93" t="n">
        <x:f>T2145*S2145</x:f>
        <x:v>3.45</x:v>
      </x:c>
      <x:c r="V2145" s="93" t="str">
        <x:f>PROPER(TRIM('Raw Sales'!L2145))</x:f>
        <x:v>Completed</x:v>
      </x:c>
      <x:c r="W2145" s="93" t="n">
        <x:f>IF(V2145="Returned",0,T2145-U2145)</x:f>
        <x:v>65.55</x:v>
      </x:c>
      <x:c r="X2145" s="93" t="n">
        <x:f>IF(V2145="Returned",Q2145*R2145*10%,Q2145*R2145)</x:f>
        <x:v>36</x:v>
      </x:c>
      <x:c r="Y2145" s="93" t="n">
        <x:f>W2145-X2145</x:f>
        <x:v>29.549999999999997</x:v>
      </x:c>
      <x:c r="Z2145" s="94" t="n">
        <x:f>IFERROR(Y2145/W2145,0)</x:f>
        <x:v>0.45080091533180777</x:v>
      </x:c>
      <x:c r="AA2145" s="84" t="str">
        <x:f>PROPER(TRIM('Raw Sales'!M2145))</x:f>
        <x:v>Cash</x:v>
      </x:c>
      <x:c r="AB2145" s="84" t="str">
        <x:f>PROPER(TRIM('Raw Sales'!N2145))</x:f>
        <x:v>Mia Chen</x:v>
      </x:c>
      <x:c r="AC2145" s="85" t="n">
        <x:f>'Raw Sales'!O2145</x:f>
        <x:v>45971</x:v>
      </x:c>
      <x:c r="AD2145" s="84" t="n">
        <x:f>AC2145-B2145</x:f>
        <x:v>1</x:v>
      </x:c>
      <x:c r="AE2145" s="84" t="str">
        <x:f>IF(COUNTIF($A$5:A2145,A2145)&gt;1,"Duplicate","Keep")</x:f>
        <x:v>Keep</x:v>
      </x:c>
      <x:c r="AF2145" s="84" t="str">
        <x:f>IF(OR(R2145&lt;=0,AC2145&lt;B2145,H2145="Unknown",M2145="Unknown Product"),"Review","Valid")</x:f>
        <x:v>Valid</x:v>
      </x:c>
      <x:c r="AG2145" s="84" t="n">
        <x:f>IF(AND(AE2145="Keep",AF2145="Valid"),1,0)</x:f>
        <x:v>1</x:v>
      </x:c>
      <x:c r="AH2145" s="84" t="n">
        <x:f>IF(AND(AG2145=1,OR('Dashboard'!$B$4="All",I2145='Dashboard'!$B$4),OR('Dashboard'!$E$4="All",N2145='Dashboard'!$E$4),OR('Dashboard'!$H$4="All",K2145='Dashboard'!$H$4),OR('Dashboard'!$K$4="All",C2145='Dashboard'!$K$4)),1,0)</x:f>
        <x:v>1</x:v>
      </x:c>
      <x:c r="AI2145" s="84" t="n">
        <x:f>IF(AND(AG2145=1,OR('Dashboard'!$B$4="All",I2145='Dashboard'!$B$4),OR('Dashboard'!$E$4="All",N2145='Dashboard'!$E$4),OR('Dashboard'!$H$4="All",K2145='Dashboard'!$H$4)),1,0)</x:f>
        <x:v>1</x:v>
      </x:c>
    </x:row>
    <x:row r="2146">
      <x:c r="A2146" s="84" t="str">
        <x:f>'Raw Sales'!A2146</x:f>
        <x:v>ORD-2025-00628</x:v>
      </x:c>
      <x:c r="B2146" s="85" t="n">
        <x:f>'Raw Sales'!B2146</x:f>
        <x:v>45971</x:v>
      </x:c>
      <x:c r="C2146" s="84" t="n">
        <x:f>YEAR(B2146)</x:f>
        <x:v>2025</x:v>
      </x:c>
      <x:c r="D2146" s="91" t="n">
        <x:f>DATE(YEAR(B2146),MONTH(B2146),1)</x:f>
        <x:v>45962</x:v>
      </x:c>
      <x:c r="E2146" s="84" t="str">
        <x:f>TEXT(B2146,"mmm")</x:f>
        <x:v>Nov</x:v>
      </x:c>
      <x:c r="F2146" s="84" t="str">
        <x:f>'Raw Sales'!C2146</x:f>
        <x:v>CUST-0365</x:v>
      </x:c>
      <x:c r="G2146" s="84" t="str">
        <x:f>PROPER(TRIM('Raw Sales'!D2146))</x:f>
        <x:v>Grace Johnson</x:v>
      </x:c>
      <x:c r="H2146" s="84" t="str">
        <x:f>IF(TRIM('Raw Sales'!E2146)="","Unknown",PROPER(TRIM('Raw Sales'!E2146)))</x:f>
        <x:v>Consumer</x:v>
      </x:c>
      <x:c r="I2146" s="84" t="str">
        <x:f>PROPER(TRIM('Raw Sales'!F2146))</x:f>
        <x:v>West</x:v>
      </x:c>
      <x:c r="J2146" s="84" t="str">
        <x:f>PROPER(TRIM('Raw Sales'!G2146))</x:f>
        <x:v>Los Angeles</x:v>
      </x:c>
      <x:c r="K2146" s="84" t="str">
        <x:f>PROPER(TRIM('Raw Sales'!H2146))</x:f>
        <x:v>Online</x:v>
      </x:c>
      <x:c r="L2146" s="84" t="str">
        <x:f>'Raw Sales'!I2146</x:f>
        <x:v>ELEC-006</x:v>
      </x:c>
      <x:c r="M2146" s="84" t="str">
        <x:f>IFERROR(VLOOKUP(L2146,'Reference Data'!$A$5:$F$40,2,FALSE),"Unknown Product")</x:f>
        <x:v>Portable SSD</x:v>
      </x:c>
      <x:c r="N2146" s="84" t="str">
        <x:f>IFERROR(VLOOKUP(L2146,'Reference Data'!$A$5:$F$40,3,FALSE),"Unknown")</x:f>
        <x:v>Electronics</x:v>
      </x:c>
      <x:c r="O2146" s="84" t="str">
        <x:f>IFERROR(VLOOKUP(L2146,'Reference Data'!$A$5:$F$40,4,FALSE),"Unknown")</x:f>
        <x:v>Storage</x:v>
      </x:c>
      <x:c r="P2146" s="92" t="n">
        <x:f>IFERROR(VLOOKUP(L2146,'Reference Data'!$A$5:$F$40,5,FALSE),0)</x:f>
        <x:v>129</x:v>
      </x:c>
      <x:c r="Q2146" s="92" t="n">
        <x:f>IFERROR(VLOOKUP(L2146,'Reference Data'!$A$5:$F$40,6,FALSE),0)</x:f>
        <x:v>75</x:v>
      </x:c>
      <x:c r="R2146" s="84" t="n">
        <x:f>'Raw Sales'!J2146</x:f>
        <x:v>1</x:v>
      </x:c>
      <x:c r="S2146" s="87" t="n">
        <x:f>'Raw Sales'!K2146</x:f>
        <x:v>0.1</x:v>
      </x:c>
      <x:c r="T2146" s="93" t="n">
        <x:f>P2146*R2146</x:f>
        <x:v>129</x:v>
      </x:c>
      <x:c r="U2146" s="93" t="n">
        <x:f>T2146*S2146</x:f>
        <x:v>12.9</x:v>
      </x:c>
      <x:c r="V2146" s="93" t="str">
        <x:f>PROPER(TRIM('Raw Sales'!L2146))</x:f>
        <x:v>Returned</x:v>
      </x:c>
      <x:c r="W2146" s="93" t="n">
        <x:f>IF(V2146="Returned",0,T2146-U2146)</x:f>
        <x:v>0</x:v>
      </x:c>
      <x:c r="X2146" s="93" t="n">
        <x:f>IF(V2146="Returned",Q2146*R2146*10%,Q2146*R2146)</x:f>
        <x:v>7.5</x:v>
      </x:c>
      <x:c r="Y2146" s="93" t="n">
        <x:f>W2146-X2146</x:f>
        <x:v>-7.5</x:v>
      </x:c>
      <x:c r="Z2146" s="94" t="n">
        <x:f>IFERROR(Y2146/W2146,0)</x:f>
        <x:v>0</x:v>
      </x:c>
      <x:c r="AA2146" s="84" t="str">
        <x:f>PROPER(TRIM('Raw Sales'!M2146))</x:f>
        <x:v>Debit Card</x:v>
      </x:c>
      <x:c r="AB2146" s="84" t="str">
        <x:f>PROPER(TRIM('Raw Sales'!N2146))</x:f>
        <x:v>Mia Chen</x:v>
      </x:c>
      <x:c r="AC2146" s="85" t="n">
        <x:f>'Raw Sales'!O2146</x:f>
        <x:v>45977</x:v>
      </x:c>
      <x:c r="AD2146" s="84" t="n">
        <x:f>AC2146-B2146</x:f>
        <x:v>6</x:v>
      </x:c>
      <x:c r="AE2146" s="84" t="str">
        <x:f>IF(COUNTIF($A$5:A2146,A2146)&gt;1,"Duplicate","Keep")</x:f>
        <x:v>Keep</x:v>
      </x:c>
      <x:c r="AF2146" s="84" t="str">
        <x:f>IF(OR(R2146&lt;=0,AC2146&lt;B2146,H2146="Unknown",M2146="Unknown Product"),"Review","Valid")</x:f>
        <x:v>Valid</x:v>
      </x:c>
      <x:c r="AG2146" s="84" t="n">
        <x:f>IF(AND(AE2146="Keep",AF2146="Valid"),1,0)</x:f>
        <x:v>1</x:v>
      </x:c>
      <x:c r="AH2146" s="84" t="n">
        <x:f>IF(AND(AG2146=1,OR('Dashboard'!$B$4="All",I2146='Dashboard'!$B$4),OR('Dashboard'!$E$4="All",N2146='Dashboard'!$E$4),OR('Dashboard'!$H$4="All",K2146='Dashboard'!$H$4),OR('Dashboard'!$K$4="All",C2146='Dashboard'!$K$4)),1,0)</x:f>
        <x:v>1</x:v>
      </x:c>
      <x:c r="AI2146" s="84" t="n">
        <x:f>IF(AND(AG2146=1,OR('Dashboard'!$B$4="All",I2146='Dashboard'!$B$4),OR('Dashboard'!$E$4="All",N2146='Dashboard'!$E$4),OR('Dashboard'!$H$4="All",K2146='Dashboard'!$H$4)),1,0)</x:f>
        <x:v>1</x:v>
      </x:c>
    </x:row>
    <x:row r="2147">
      <x:c r="A2147" s="84" t="str">
        <x:f>'Raw Sales'!A2147</x:f>
        <x:v>ORD-2025-01331</x:v>
      </x:c>
      <x:c r="B2147" s="85" t="n">
        <x:f>'Raw Sales'!B2147</x:f>
        <x:v>45971</x:v>
      </x:c>
      <x:c r="C2147" s="84" t="n">
        <x:f>YEAR(B2147)</x:f>
        <x:v>2025</x:v>
      </x:c>
      <x:c r="D2147" s="91" t="n">
        <x:f>DATE(YEAR(B2147),MONTH(B2147),1)</x:f>
        <x:v>45962</x:v>
      </x:c>
      <x:c r="E2147" s="84" t="str">
        <x:f>TEXT(B2147,"mmm")</x:f>
        <x:v>Nov</x:v>
      </x:c>
      <x:c r="F2147" s="84" t="str">
        <x:f>'Raw Sales'!C2147</x:f>
        <x:v>CUST-0547</x:v>
      </x:c>
      <x:c r="G2147" s="84" t="str">
        <x:f>PROPER(TRIM('Raw Sales'!D2147))</x:f>
        <x:v>Jonah Davis</x:v>
      </x:c>
      <x:c r="H2147" s="84" t="str">
        <x:f>IF(TRIM('Raw Sales'!E2147)="","Unknown",PROPER(TRIM('Raw Sales'!E2147)))</x:f>
        <x:v>Corporate</x:v>
      </x:c>
      <x:c r="I2147" s="84" t="str">
        <x:f>PROPER(TRIM('Raw Sales'!F2147))</x:f>
        <x:v>Midwest</x:v>
      </x:c>
      <x:c r="J2147" s="84" t="str">
        <x:f>PROPER(TRIM('Raw Sales'!G2147))</x:f>
        <x:v>Chicago</x:v>
      </x:c>
      <x:c r="K2147" s="84" t="str">
        <x:f>PROPER(TRIM('Raw Sales'!H2147))</x:f>
        <x:v>Retail Store</x:v>
      </x:c>
      <x:c r="L2147" s="84" t="str">
        <x:f>'Raw Sales'!I2147</x:f>
        <x:v>OFFC-004</x:v>
      </x:c>
      <x:c r="M2147" s="84" t="str">
        <x:f>IFERROR(VLOOKUP(L2147,'Reference Data'!$A$5:$F$40,2,FALSE),"Unknown Product")</x:f>
        <x:v>Premium Notebook Pack</x:v>
      </x:c>
      <x:c r="N2147" s="84" t="str">
        <x:f>IFERROR(VLOOKUP(L2147,'Reference Data'!$A$5:$F$40,3,FALSE),"Unknown")</x:f>
        <x:v>Office</x:v>
      </x:c>
      <x:c r="O2147" s="84" t="str">
        <x:f>IFERROR(VLOOKUP(L2147,'Reference Data'!$A$5:$F$40,4,FALSE),"Unknown")</x:f>
        <x:v>Stationery</x:v>
      </x:c>
      <x:c r="P2147" s="92" t="n">
        <x:f>IFERROR(VLOOKUP(L2147,'Reference Data'!$A$5:$F$40,5,FALSE),0)</x:f>
        <x:v>18</x:v>
      </x:c>
      <x:c r="Q2147" s="92" t="n">
        <x:f>IFERROR(VLOOKUP(L2147,'Reference Data'!$A$5:$F$40,6,FALSE),0)</x:f>
        <x:v>6.5</x:v>
      </x:c>
      <x:c r="R2147" s="84" t="n">
        <x:f>'Raw Sales'!J2147</x:f>
        <x:v>2</x:v>
      </x:c>
      <x:c r="S2147" s="87" t="n">
        <x:f>'Raw Sales'!K2147</x:f>
        <x:v>0.1</x:v>
      </x:c>
      <x:c r="T2147" s="93" t="n">
        <x:f>P2147*R2147</x:f>
        <x:v>36</x:v>
      </x:c>
      <x:c r="U2147" s="93" t="n">
        <x:f>T2147*S2147</x:f>
        <x:v>3.6</x:v>
      </x:c>
      <x:c r="V2147" s="93" t="str">
        <x:f>PROPER(TRIM('Raw Sales'!L2147))</x:f>
        <x:v>Completed</x:v>
      </x:c>
      <x:c r="W2147" s="93" t="n">
        <x:f>IF(V2147="Returned",0,T2147-U2147)</x:f>
        <x:v>32.4</x:v>
      </x:c>
      <x:c r="X2147" s="93" t="n">
        <x:f>IF(V2147="Returned",Q2147*R2147*10%,Q2147*R2147)</x:f>
        <x:v>13</x:v>
      </x:c>
      <x:c r="Y2147" s="93" t="n">
        <x:f>W2147-X2147</x:f>
        <x:v>19.4</x:v>
      </x:c>
      <x:c r="Z2147" s="94" t="n">
        <x:f>IFERROR(Y2147/W2147,0)</x:f>
        <x:v>0.5987654320987654</x:v>
      </x:c>
      <x:c r="AA2147" s="84" t="str">
        <x:f>PROPER(TRIM('Raw Sales'!M2147))</x:f>
        <x:v>Credit Card</x:v>
      </x:c>
      <x:c r="AB2147" s="84" t="str">
        <x:f>PROPER(TRIM('Raw Sales'!N2147))</x:f>
        <x:v>Lucas Grant</x:v>
      </x:c>
      <x:c r="AC2147" s="85" t="n">
        <x:f>'Raw Sales'!O2147</x:f>
        <x:v>45972</x:v>
      </x:c>
      <x:c r="AD2147" s="84" t="n">
        <x:f>AC2147-B2147</x:f>
        <x:v>1</x:v>
      </x:c>
      <x:c r="AE2147" s="84" t="str">
        <x:f>IF(COUNTIF($A$5:A2147,A2147)&gt;1,"Duplicate","Keep")</x:f>
        <x:v>Keep</x:v>
      </x:c>
      <x:c r="AF2147" s="84" t="str">
        <x:f>IF(OR(R2147&lt;=0,AC2147&lt;B2147,H2147="Unknown",M2147="Unknown Product"),"Review","Valid")</x:f>
        <x:v>Valid</x:v>
      </x:c>
      <x:c r="AG2147" s="84" t="n">
        <x:f>IF(AND(AE2147="Keep",AF2147="Valid"),1,0)</x:f>
        <x:v>1</x:v>
      </x:c>
      <x:c r="AH2147" s="84" t="n">
        <x:f>IF(AND(AG2147=1,OR('Dashboard'!$B$4="All",I2147='Dashboard'!$B$4),OR('Dashboard'!$E$4="All",N2147='Dashboard'!$E$4),OR('Dashboard'!$H$4="All",K2147='Dashboard'!$H$4),OR('Dashboard'!$K$4="All",C2147='Dashboard'!$K$4)),1,0)</x:f>
        <x:v>1</x:v>
      </x:c>
      <x:c r="AI2147" s="84" t="n">
        <x:f>IF(AND(AG2147=1,OR('Dashboard'!$B$4="All",I2147='Dashboard'!$B$4),OR('Dashboard'!$E$4="All",N2147='Dashboard'!$E$4),OR('Dashboard'!$H$4="All",K2147='Dashboard'!$H$4)),1,0)</x:f>
        <x:v>1</x:v>
      </x:c>
    </x:row>
    <x:row r="2148">
      <x:c r="A2148" s="84" t="str">
        <x:f>'Raw Sales'!A2148</x:f>
        <x:v>ORD-2025-01805</x:v>
      </x:c>
      <x:c r="B2148" s="85" t="n">
        <x:f>'Raw Sales'!B2148</x:f>
        <x:v>45971</x:v>
      </x:c>
      <x:c r="C2148" s="84" t="n">
        <x:f>YEAR(B2148)</x:f>
        <x:v>2025</x:v>
      </x:c>
      <x:c r="D2148" s="91" t="n">
        <x:f>DATE(YEAR(B2148),MONTH(B2148),1)</x:f>
        <x:v>45962</x:v>
      </x:c>
      <x:c r="E2148" s="84" t="str">
        <x:f>TEXT(B2148,"mmm")</x:f>
        <x:v>Nov</x:v>
      </x:c>
      <x:c r="F2148" s="84" t="str">
        <x:f>'Raw Sales'!C2148</x:f>
        <x:v>CUST-0245</x:v>
      </x:c>
      <x:c r="G2148" s="84" t="str">
        <x:f>PROPER(TRIM('Raw Sales'!D2148))</x:f>
        <x:v>Victoria Carter</x:v>
      </x:c>
      <x:c r="H2148" s="84" t="str">
        <x:f>IF(TRIM('Raw Sales'!E2148)="","Unknown",PROPER(TRIM('Raw Sales'!E2148)))</x:f>
        <x:v>Consumer</x:v>
      </x:c>
      <x:c r="I2148" s="84" t="str">
        <x:f>PROPER(TRIM('Raw Sales'!F2148))</x:f>
        <x:v>West</x:v>
      </x:c>
      <x:c r="J2148" s="84" t="str">
        <x:f>PROPER(TRIM('Raw Sales'!G2148))</x:f>
        <x:v>Los Angeles</x:v>
      </x:c>
      <x:c r="K2148" s="84" t="str">
        <x:f>PROPER(TRIM('Raw Sales'!H2148))</x:f>
        <x:v>Retail Store</x:v>
      </x:c>
      <x:c r="L2148" s="84" t="str">
        <x:f>'Raw Sales'!I2148</x:f>
        <x:v>OFFC-004</x:v>
      </x:c>
      <x:c r="M2148" s="84" t="str">
        <x:f>IFERROR(VLOOKUP(L2148,'Reference Data'!$A$5:$F$40,2,FALSE),"Unknown Product")</x:f>
        <x:v>Premium Notebook Pack</x:v>
      </x:c>
      <x:c r="N2148" s="84" t="str">
        <x:f>IFERROR(VLOOKUP(L2148,'Reference Data'!$A$5:$F$40,3,FALSE),"Unknown")</x:f>
        <x:v>Office</x:v>
      </x:c>
      <x:c r="O2148" s="84" t="str">
        <x:f>IFERROR(VLOOKUP(L2148,'Reference Data'!$A$5:$F$40,4,FALSE),"Unknown")</x:f>
        <x:v>Stationery</x:v>
      </x:c>
      <x:c r="P2148" s="92" t="n">
        <x:f>IFERROR(VLOOKUP(L2148,'Reference Data'!$A$5:$F$40,5,FALSE),0)</x:f>
        <x:v>18</x:v>
      </x:c>
      <x:c r="Q2148" s="92" t="n">
        <x:f>IFERROR(VLOOKUP(L2148,'Reference Data'!$A$5:$F$40,6,FALSE),0)</x:f>
        <x:v>6.5</x:v>
      </x:c>
      <x:c r="R2148" s="84" t="n">
        <x:f>'Raw Sales'!J2148</x:f>
        <x:v>4</x:v>
      </x:c>
      <x:c r="S2148" s="87" t="n">
        <x:f>'Raw Sales'!K2148</x:f>
        <x:v>0</x:v>
      </x:c>
      <x:c r="T2148" s="93" t="n">
        <x:f>P2148*R2148</x:f>
        <x:v>72</x:v>
      </x:c>
      <x:c r="U2148" s="93" t="n">
        <x:f>T2148*S2148</x:f>
        <x:v>0</x:v>
      </x:c>
      <x:c r="V2148" s="93" t="str">
        <x:f>PROPER(TRIM('Raw Sales'!L2148))</x:f>
        <x:v>Completed</x:v>
      </x:c>
      <x:c r="W2148" s="93" t="n">
        <x:f>IF(V2148="Returned",0,T2148-U2148)</x:f>
        <x:v>72</x:v>
      </x:c>
      <x:c r="X2148" s="93" t="n">
        <x:f>IF(V2148="Returned",Q2148*R2148*10%,Q2148*R2148)</x:f>
        <x:v>26</x:v>
      </x:c>
      <x:c r="Y2148" s="93" t="n">
        <x:f>W2148-X2148</x:f>
        <x:v>46</x:v>
      </x:c>
      <x:c r="Z2148" s="94" t="n">
        <x:f>IFERROR(Y2148/W2148,0)</x:f>
        <x:v>0.6388888888888888</x:v>
      </x:c>
      <x:c r="AA2148" s="84" t="str">
        <x:f>PROPER(TRIM('Raw Sales'!M2148))</x:f>
        <x:v>Debit Card</x:v>
      </x:c>
      <x:c r="AB2148" s="84" t="str">
        <x:f>PROPER(TRIM('Raw Sales'!N2148))</x:f>
        <x:v>Leo Martinez</x:v>
      </x:c>
      <x:c r="AC2148" s="85" t="n">
        <x:f>'Raw Sales'!O2148</x:f>
        <x:v>45971</x:v>
      </x:c>
      <x:c r="AD2148" s="84" t="n">
        <x:f>AC2148-B2148</x:f>
        <x:v>0</x:v>
      </x:c>
      <x:c r="AE2148" s="84" t="str">
        <x:f>IF(COUNTIF($A$5:A2148,A2148)&gt;1,"Duplicate","Keep")</x:f>
        <x:v>Keep</x:v>
      </x:c>
      <x:c r="AF2148" s="84" t="str">
        <x:f>IF(OR(R2148&lt;=0,AC2148&lt;B2148,H2148="Unknown",M2148="Unknown Product"),"Review","Valid")</x:f>
        <x:v>Valid</x:v>
      </x:c>
      <x:c r="AG2148" s="84" t="n">
        <x:f>IF(AND(AE2148="Keep",AF2148="Valid"),1,0)</x:f>
        <x:v>1</x:v>
      </x:c>
      <x:c r="AH2148" s="84" t="n">
        <x:f>IF(AND(AG2148=1,OR('Dashboard'!$B$4="All",I2148='Dashboard'!$B$4),OR('Dashboard'!$E$4="All",N2148='Dashboard'!$E$4),OR('Dashboard'!$H$4="All",K2148='Dashboard'!$H$4),OR('Dashboard'!$K$4="All",C2148='Dashboard'!$K$4)),1,0)</x:f>
        <x:v>1</x:v>
      </x:c>
      <x:c r="AI2148" s="84" t="n">
        <x:f>IF(AND(AG2148=1,OR('Dashboard'!$B$4="All",I2148='Dashboard'!$B$4),OR('Dashboard'!$E$4="All",N2148='Dashboard'!$E$4),OR('Dashboard'!$H$4="All",K2148='Dashboard'!$H$4)),1,0)</x:f>
        <x:v>1</x:v>
      </x:c>
    </x:row>
    <x:row r="2149">
      <x:c r="A2149" s="84" t="str">
        <x:f>'Raw Sales'!A2149</x:f>
        <x:v>ORD-2025-00908</x:v>
      </x:c>
      <x:c r="B2149" s="85" t="n">
        <x:f>'Raw Sales'!B2149</x:f>
        <x:v>45972</x:v>
      </x:c>
      <x:c r="C2149" s="84" t="n">
        <x:f>YEAR(B2149)</x:f>
        <x:v>2025</x:v>
      </x:c>
      <x:c r="D2149" s="91" t="n">
        <x:f>DATE(YEAR(B2149),MONTH(B2149),1)</x:f>
        <x:v>45962</x:v>
      </x:c>
      <x:c r="E2149" s="84" t="str">
        <x:f>TEXT(B2149,"mmm")</x:f>
        <x:v>Nov</x:v>
      </x:c>
      <x:c r="F2149" s="84" t="str">
        <x:f>'Raw Sales'!C2149</x:f>
        <x:v>CUST-0469</x:v>
      </x:c>
      <x:c r="G2149" s="84" t="str">
        <x:f>PROPER(TRIM('Raw Sales'!D2149))</x:f>
        <x:v>Layla Evans</x:v>
      </x:c>
      <x:c r="H2149" s="84" t="str">
        <x:f>IF(TRIM('Raw Sales'!E2149)="","Unknown",PROPER(TRIM('Raw Sales'!E2149)))</x:f>
        <x:v>Corporate</x:v>
      </x:c>
      <x:c r="I2149" s="84" t="str">
        <x:f>PROPER(TRIM('Raw Sales'!F2149))</x:f>
        <x:v>Midwest</x:v>
      </x:c>
      <x:c r="J2149" s="84" t="str">
        <x:f>PROPER(TRIM('Raw Sales'!G2149))</x:f>
        <x:v>Minneapolis</x:v>
      </x:c>
      <x:c r="K2149" s="84" t="str">
        <x:f>PROPER(TRIM('Raw Sales'!H2149))</x:f>
        <x:v>Online</x:v>
      </x:c>
      <x:c r="L2149" s="84" t="str">
        <x:f>'Raw Sales'!I2149</x:f>
        <x:v>ELEC-005</x:v>
      </x:c>
      <x:c r="M2149" s="84" t="str">
        <x:f>IFERROR(VLOOKUP(L2149,'Reference Data'!$A$5:$F$40,2,FALSE),"Unknown Product")</x:f>
        <x:v>HD Webcam</x:v>
      </x:c>
      <x:c r="N2149" s="84" t="str">
        <x:f>IFERROR(VLOOKUP(L2149,'Reference Data'!$A$5:$F$40,3,FALSE),"Unknown")</x:f>
        <x:v>Electronics</x:v>
      </x:c>
      <x:c r="O2149" s="84" t="str">
        <x:f>IFERROR(VLOOKUP(L2149,'Reference Data'!$A$5:$F$40,4,FALSE),"Unknown")</x:f>
        <x:v>Computer Accessories</x:v>
      </x:c>
      <x:c r="P2149" s="92" t="n">
        <x:f>IFERROR(VLOOKUP(L2149,'Reference Data'!$A$5:$F$40,5,FALSE),0)</x:f>
        <x:v>79</x:v>
      </x:c>
      <x:c r="Q2149" s="92" t="n">
        <x:f>IFERROR(VLOOKUP(L2149,'Reference Data'!$A$5:$F$40,6,FALSE),0)</x:f>
        <x:v>37</x:v>
      </x:c>
      <x:c r="R2149" s="84" t="n">
        <x:f>'Raw Sales'!J2149</x:f>
        <x:v>4</x:v>
      </x:c>
      <x:c r="S2149" s="87" t="n">
        <x:f>'Raw Sales'!K2149</x:f>
        <x:v>0.05</x:v>
      </x:c>
      <x:c r="T2149" s="93" t="n">
        <x:f>P2149*R2149</x:f>
        <x:v>316</x:v>
      </x:c>
      <x:c r="U2149" s="93" t="n">
        <x:f>T2149*S2149</x:f>
        <x:v>15.8</x:v>
      </x:c>
      <x:c r="V2149" s="93" t="str">
        <x:f>PROPER(TRIM('Raw Sales'!L2149))</x:f>
        <x:v>Completed</x:v>
      </x:c>
      <x:c r="W2149" s="93" t="n">
        <x:f>IF(V2149="Returned",0,T2149-U2149)</x:f>
        <x:v>300.2</x:v>
      </x:c>
      <x:c r="X2149" s="93" t="n">
        <x:f>IF(V2149="Returned",Q2149*R2149*10%,Q2149*R2149)</x:f>
        <x:v>148</x:v>
      </x:c>
      <x:c r="Y2149" s="93" t="n">
        <x:f>W2149-X2149</x:f>
        <x:v>152.2</x:v>
      </x:c>
      <x:c r="Z2149" s="94" t="n">
        <x:f>IFERROR(Y2149/W2149,0)</x:f>
        <x:v>0.5069953364423717</x:v>
      </x:c>
      <x:c r="AA2149" s="84" t="str">
        <x:f>PROPER(TRIM('Raw Sales'!M2149))</x:f>
        <x:v>Credit Card</x:v>
      </x:c>
      <x:c r="AB2149" s="84" t="str">
        <x:f>PROPER(TRIM('Raw Sales'!N2149))</x:f>
        <x:v>Lucas Grant</x:v>
      </x:c>
      <x:c r="AC2149" s="85" t="n">
        <x:f>'Raw Sales'!O2149</x:f>
        <x:v>45976</x:v>
      </x:c>
      <x:c r="AD2149" s="84" t="n">
        <x:f>AC2149-B2149</x:f>
        <x:v>4</x:v>
      </x:c>
      <x:c r="AE2149" s="84" t="str">
        <x:f>IF(COUNTIF($A$5:A2149,A2149)&gt;1,"Duplicate","Keep")</x:f>
        <x:v>Keep</x:v>
      </x:c>
      <x:c r="AF2149" s="84" t="str">
        <x:f>IF(OR(R2149&lt;=0,AC2149&lt;B2149,H2149="Unknown",M2149="Unknown Product"),"Review","Valid")</x:f>
        <x:v>Valid</x:v>
      </x:c>
      <x:c r="AG2149" s="84" t="n">
        <x:f>IF(AND(AE2149="Keep",AF2149="Valid"),1,0)</x:f>
        <x:v>1</x:v>
      </x:c>
      <x:c r="AH2149" s="84" t="n">
        <x:f>IF(AND(AG2149=1,OR('Dashboard'!$B$4="All",I2149='Dashboard'!$B$4),OR('Dashboard'!$E$4="All",N2149='Dashboard'!$E$4),OR('Dashboard'!$H$4="All",K2149='Dashboard'!$H$4),OR('Dashboard'!$K$4="All",C2149='Dashboard'!$K$4)),1,0)</x:f>
        <x:v>1</x:v>
      </x:c>
      <x:c r="AI2149" s="84" t="n">
        <x:f>IF(AND(AG2149=1,OR('Dashboard'!$B$4="All",I2149='Dashboard'!$B$4),OR('Dashboard'!$E$4="All",N2149='Dashboard'!$E$4),OR('Dashboard'!$H$4="All",K2149='Dashboard'!$H$4)),1,0)</x:f>
        <x:v>1</x:v>
      </x:c>
    </x:row>
    <x:row r="2150">
      <x:c r="A2150" s="84" t="str">
        <x:f>'Raw Sales'!A2150</x:f>
        <x:v>ORD-2025-01007</x:v>
      </x:c>
      <x:c r="B2150" s="85" t="n">
        <x:f>'Raw Sales'!B2150</x:f>
        <x:v>45972</x:v>
      </x:c>
      <x:c r="C2150" s="84" t="n">
        <x:f>YEAR(B2150)</x:f>
        <x:v>2025</x:v>
      </x:c>
      <x:c r="D2150" s="91" t="n">
        <x:f>DATE(YEAR(B2150),MONTH(B2150),1)</x:f>
        <x:v>45962</x:v>
      </x:c>
      <x:c r="E2150" s="84" t="str">
        <x:f>TEXT(B2150,"mmm")</x:f>
        <x:v>Nov</x:v>
      </x:c>
      <x:c r="F2150" s="84" t="str">
        <x:f>'Raw Sales'!C2150</x:f>
        <x:v>CUST-0304</x:v>
      </x:c>
      <x:c r="G2150" s="84" t="str">
        <x:f>PROPER(TRIM('Raw Sales'!D2150))</x:f>
        <x:v>Isaac Carter</x:v>
      </x:c>
      <x:c r="H2150" s="84" t="str">
        <x:f>IF(TRIM('Raw Sales'!E2150)="","Unknown",PROPER(TRIM('Raw Sales'!E2150)))</x:f>
        <x:v>Corporate</x:v>
      </x:c>
      <x:c r="I2150" s="84" t="str">
        <x:f>PROPER(TRIM('Raw Sales'!F2150))</x:f>
        <x:v>Northeast</x:v>
      </x:c>
      <x:c r="J2150" s="84" t="str">
        <x:f>PROPER(TRIM('Raw Sales'!G2150))</x:f>
        <x:v>New York</x:v>
      </x:c>
      <x:c r="K2150" s="84" t="str">
        <x:f>PROPER(TRIM('Raw Sales'!H2150))</x:f>
        <x:v>Online</x:v>
      </x:c>
      <x:c r="L2150" s="84" t="str">
        <x:f>'Raw Sales'!I2150</x:f>
        <x:v>HOME-006</x:v>
      </x:c>
      <x:c r="M2150" s="84" t="str">
        <x:f>IFERROR(VLOOKUP(L2150,'Reference Data'!$A$5:$F$40,2,FALSE),"Unknown Product")</x:f>
        <x:v>Food Storage Set</x:v>
      </x:c>
      <x:c r="N2150" s="84" t="str">
        <x:f>IFERROR(VLOOKUP(L2150,'Reference Data'!$A$5:$F$40,3,FALSE),"Unknown")</x:f>
        <x:v>Home &amp; Kitchen</x:v>
      </x:c>
      <x:c r="O2150" s="84" t="str">
        <x:f>IFERROR(VLOOKUP(L2150,'Reference Data'!$A$5:$F$40,4,FALSE),"Unknown")</x:f>
        <x:v>Kitchenware</x:v>
      </x:c>
      <x:c r="P2150" s="92" t="n">
        <x:f>IFERROR(VLOOKUP(L2150,'Reference Data'!$A$5:$F$40,5,FALSE),0)</x:f>
        <x:v>34</x:v>
      </x:c>
      <x:c r="Q2150" s="92" t="n">
        <x:f>IFERROR(VLOOKUP(L2150,'Reference Data'!$A$5:$F$40,6,FALSE),0)</x:f>
        <x:v>15</x:v>
      </x:c>
      <x:c r="R2150" s="84" t="n">
        <x:f>'Raw Sales'!J2150</x:f>
        <x:v>3</x:v>
      </x:c>
      <x:c r="S2150" s="87" t="n">
        <x:f>'Raw Sales'!K2150</x:f>
        <x:v>0</x:v>
      </x:c>
      <x:c r="T2150" s="93" t="n">
        <x:f>P2150*R2150</x:f>
        <x:v>102</x:v>
      </x:c>
      <x:c r="U2150" s="93" t="n">
        <x:f>T2150*S2150</x:f>
        <x:v>0</x:v>
      </x:c>
      <x:c r="V2150" s="93" t="str">
        <x:f>PROPER(TRIM('Raw Sales'!L2150))</x:f>
        <x:v>Completed</x:v>
      </x:c>
      <x:c r="W2150" s="93" t="n">
        <x:f>IF(V2150="Returned",0,T2150-U2150)</x:f>
        <x:v>102</x:v>
      </x:c>
      <x:c r="X2150" s="93" t="n">
        <x:f>IF(V2150="Returned",Q2150*R2150*10%,Q2150*R2150)</x:f>
        <x:v>45</x:v>
      </x:c>
      <x:c r="Y2150" s="93" t="n">
        <x:f>W2150-X2150</x:f>
        <x:v>57</x:v>
      </x:c>
      <x:c r="Z2150" s="94" t="n">
        <x:f>IFERROR(Y2150/W2150,0)</x:f>
        <x:v>0.5588235294117647</x:v>
      </x:c>
      <x:c r="AA2150" s="84" t="str">
        <x:f>PROPER(TRIM('Raw Sales'!M2150))</x:f>
        <x:v>Credit Card</x:v>
      </x:c>
      <x:c r="AB2150" s="84" t="str">
        <x:f>PROPER(TRIM('Raw Sales'!N2150))</x:f>
        <x:v>Sofia Bennett</x:v>
      </x:c>
      <x:c r="AC2150" s="85" t="n">
        <x:f>'Raw Sales'!O2150</x:f>
        <x:v>45974</x:v>
      </x:c>
      <x:c r="AD2150" s="84" t="n">
        <x:f>AC2150-B2150</x:f>
        <x:v>2</x:v>
      </x:c>
      <x:c r="AE2150" s="84" t="str">
        <x:f>IF(COUNTIF($A$5:A2150,A2150)&gt;1,"Duplicate","Keep")</x:f>
        <x:v>Keep</x:v>
      </x:c>
      <x:c r="AF2150" s="84" t="str">
        <x:f>IF(OR(R2150&lt;=0,AC2150&lt;B2150,H2150="Unknown",M2150="Unknown Product"),"Review","Valid")</x:f>
        <x:v>Valid</x:v>
      </x:c>
      <x:c r="AG2150" s="84" t="n">
        <x:f>IF(AND(AE2150="Keep",AF2150="Valid"),1,0)</x:f>
        <x:v>1</x:v>
      </x:c>
      <x:c r="AH2150" s="84" t="n">
        <x:f>IF(AND(AG2150=1,OR('Dashboard'!$B$4="All",I2150='Dashboard'!$B$4),OR('Dashboard'!$E$4="All",N2150='Dashboard'!$E$4),OR('Dashboard'!$H$4="All",K2150='Dashboard'!$H$4),OR('Dashboard'!$K$4="All",C2150='Dashboard'!$K$4)),1,0)</x:f>
        <x:v>1</x:v>
      </x:c>
      <x:c r="AI2150" s="84" t="n">
        <x:f>IF(AND(AG2150=1,OR('Dashboard'!$B$4="All",I2150='Dashboard'!$B$4),OR('Dashboard'!$E$4="All",N2150='Dashboard'!$E$4),OR('Dashboard'!$H$4="All",K2150='Dashboard'!$H$4)),1,0)</x:f>
        <x:v>1</x:v>
      </x:c>
    </x:row>
    <x:row r="2151">
      <x:c r="A2151" s="84" t="str">
        <x:f>'Raw Sales'!A2151</x:f>
        <x:v>ORD-2025-01634</x:v>
      </x:c>
      <x:c r="B2151" s="85" t="n">
        <x:f>'Raw Sales'!B2151</x:f>
        <x:v>45972</x:v>
      </x:c>
      <x:c r="C2151" s="84" t="n">
        <x:f>YEAR(B2151)</x:f>
        <x:v>2025</x:v>
      </x:c>
      <x:c r="D2151" s="91" t="n">
        <x:f>DATE(YEAR(B2151),MONTH(B2151),1)</x:f>
        <x:v>45962</x:v>
      </x:c>
      <x:c r="E2151" s="84" t="str">
        <x:f>TEXT(B2151,"mmm")</x:f>
        <x:v>Nov</x:v>
      </x:c>
      <x:c r="F2151" s="84" t="str">
        <x:f>'Raw Sales'!C2151</x:f>
        <x:v>CUST-0130</x:v>
      </x:c>
      <x:c r="G2151" s="84" t="str">
        <x:f>PROPER(TRIM('Raw Sales'!D2151))</x:f>
        <x:v>Maya Lewis</x:v>
      </x:c>
      <x:c r="H2151" s="84" t="str">
        <x:f>IF(TRIM('Raw Sales'!E2151)="","Unknown",PROPER(TRIM('Raw Sales'!E2151)))</x:f>
        <x:v>Consumer</x:v>
      </x:c>
      <x:c r="I2151" s="84" t="str">
        <x:f>PROPER(TRIM('Raw Sales'!F2151))</x:f>
        <x:v>Southeast</x:v>
      </x:c>
      <x:c r="J2151" s="84" t="str">
        <x:f>PROPER(TRIM('Raw Sales'!G2151))</x:f>
        <x:v>Nashville</x:v>
      </x:c>
      <x:c r="K2151" s="84" t="str">
        <x:f>PROPER(TRIM('Raw Sales'!H2151))</x:f>
        <x:v>Online</x:v>
      </x:c>
      <x:c r="L2151" s="84" t="str">
        <x:f>'Raw Sales'!I2151</x:f>
        <x:v>FITN-005</x:v>
      </x:c>
      <x:c r="M2151" s="84" t="str">
        <x:f>IFERROR(VLOOKUP(L2151,'Reference Data'!$A$5:$F$40,2,FALSE),"Unknown Product")</x:f>
        <x:v>Sports Water Bottle</x:v>
      </x:c>
      <x:c r="N2151" s="84" t="str">
        <x:f>IFERROR(VLOOKUP(L2151,'Reference Data'!$A$5:$F$40,3,FALSE),"Unknown")</x:f>
        <x:v>Fitness</x:v>
      </x:c>
      <x:c r="O2151" s="84" t="str">
        <x:f>IFERROR(VLOOKUP(L2151,'Reference Data'!$A$5:$F$40,4,FALSE),"Unknown")</x:f>
        <x:v>Accessories</x:v>
      </x:c>
      <x:c r="P2151" s="92" t="n">
        <x:f>IFERROR(VLOOKUP(L2151,'Reference Data'!$A$5:$F$40,5,FALSE),0)</x:f>
        <x:v>22</x:v>
      </x:c>
      <x:c r="Q2151" s="92" t="n">
        <x:f>IFERROR(VLOOKUP(L2151,'Reference Data'!$A$5:$F$40,6,FALSE),0)</x:f>
        <x:v>7</x:v>
      </x:c>
      <x:c r="R2151" s="84" t="n">
        <x:f>'Raw Sales'!J2151</x:f>
        <x:v>3</x:v>
      </x:c>
      <x:c r="S2151" s="87" t="n">
        <x:f>'Raw Sales'!K2151</x:f>
        <x:v>0.1</x:v>
      </x:c>
      <x:c r="T2151" s="93" t="n">
        <x:f>P2151*R2151</x:f>
        <x:v>66</x:v>
      </x:c>
      <x:c r="U2151" s="93" t="n">
        <x:f>T2151*S2151</x:f>
        <x:v>6.6000000000000005</x:v>
      </x:c>
      <x:c r="V2151" s="93" t="str">
        <x:f>PROPER(TRIM('Raw Sales'!L2151))</x:f>
        <x:v>Completed</x:v>
      </x:c>
      <x:c r="W2151" s="93" t="n">
        <x:f>IF(V2151="Returned",0,T2151-U2151)</x:f>
        <x:v>59.4</x:v>
      </x:c>
      <x:c r="X2151" s="93" t="n">
        <x:f>IF(V2151="Returned",Q2151*R2151*10%,Q2151*R2151)</x:f>
        <x:v>21</x:v>
      </x:c>
      <x:c r="Y2151" s="93" t="n">
        <x:f>W2151-X2151</x:f>
        <x:v>38.4</x:v>
      </x:c>
      <x:c r="Z2151" s="94" t="n">
        <x:f>IFERROR(Y2151/W2151,0)</x:f>
        <x:v>0.6464646464646464</x:v>
      </x:c>
      <x:c r="AA2151" s="84" t="str">
        <x:f>PROPER(TRIM('Raw Sales'!M2151))</x:f>
        <x:v>Credit Card</x:v>
      </x:c>
      <x:c r="AB2151" s="84" t="str">
        <x:f>PROPER(TRIM('Raw Sales'!N2151))</x:f>
        <x:v>Noah Reed</x:v>
      </x:c>
      <x:c r="AC2151" s="85" t="n">
        <x:f>'Raw Sales'!O2151</x:f>
        <x:v>45975</x:v>
      </x:c>
      <x:c r="AD2151" s="84" t="n">
        <x:f>AC2151-B2151</x:f>
        <x:v>3</x:v>
      </x:c>
      <x:c r="AE2151" s="84" t="str">
        <x:f>IF(COUNTIF($A$5:A2151,A2151)&gt;1,"Duplicate","Keep")</x:f>
        <x:v>Keep</x:v>
      </x:c>
      <x:c r="AF2151" s="84" t="str">
        <x:f>IF(OR(R2151&lt;=0,AC2151&lt;B2151,H2151="Unknown",M2151="Unknown Product"),"Review","Valid")</x:f>
        <x:v>Valid</x:v>
      </x:c>
      <x:c r="AG2151" s="84" t="n">
        <x:f>IF(AND(AE2151="Keep",AF2151="Valid"),1,0)</x:f>
        <x:v>1</x:v>
      </x:c>
      <x:c r="AH2151" s="84" t="n">
        <x:f>IF(AND(AG2151=1,OR('Dashboard'!$B$4="All",I2151='Dashboard'!$B$4),OR('Dashboard'!$E$4="All",N2151='Dashboard'!$E$4),OR('Dashboard'!$H$4="All",K2151='Dashboard'!$H$4),OR('Dashboard'!$K$4="All",C2151='Dashboard'!$K$4)),1,0)</x:f>
        <x:v>1</x:v>
      </x:c>
      <x:c r="AI2151" s="84" t="n">
        <x:f>IF(AND(AG2151=1,OR('Dashboard'!$B$4="All",I2151='Dashboard'!$B$4),OR('Dashboard'!$E$4="All",N2151='Dashboard'!$E$4),OR('Dashboard'!$H$4="All",K2151='Dashboard'!$H$4)),1,0)</x:f>
        <x:v>1</x:v>
      </x:c>
    </x:row>
    <x:row r="2152">
      <x:c r="A2152" s="84" t="str">
        <x:f>'Raw Sales'!A2152</x:f>
        <x:v>ORD-2025-01912</x:v>
      </x:c>
      <x:c r="B2152" s="85" t="n">
        <x:f>'Raw Sales'!B2152</x:f>
        <x:v>45972</x:v>
      </x:c>
      <x:c r="C2152" s="84" t="n">
        <x:f>YEAR(B2152)</x:f>
        <x:v>2025</x:v>
      </x:c>
      <x:c r="D2152" s="91" t="n">
        <x:f>DATE(YEAR(B2152),MONTH(B2152),1)</x:f>
        <x:v>45962</x:v>
      </x:c>
      <x:c r="E2152" s="84" t="str">
        <x:f>TEXT(B2152,"mmm")</x:f>
        <x:v>Nov</x:v>
      </x:c>
      <x:c r="F2152" s="84" t="str">
        <x:f>'Raw Sales'!C2152</x:f>
        <x:v>CUST-0550</x:v>
      </x:c>
      <x:c r="G2152" s="84" t="str">
        <x:f>PROPER(TRIM('Raw Sales'!D2152))</x:f>
        <x:v>Samuel Young</x:v>
      </x:c>
      <x:c r="H2152" s="84" t="str">
        <x:f>IF(TRIM('Raw Sales'!E2152)="","Unknown",PROPER(TRIM('Raw Sales'!E2152)))</x:f>
        <x:v>Consumer</x:v>
      </x:c>
      <x:c r="I2152" s="84" t="str">
        <x:f>PROPER(TRIM('Raw Sales'!F2152))</x:f>
        <x:v>Midwest</x:v>
      </x:c>
      <x:c r="J2152" s="84" t="str">
        <x:f>PROPER(TRIM('Raw Sales'!G2152))</x:f>
        <x:v>Minneapolis</x:v>
      </x:c>
      <x:c r="K2152" s="84" t="str">
        <x:f>PROPER(TRIM('Raw Sales'!H2152))</x:f>
        <x:v>Marketplace</x:v>
      </x:c>
      <x:c r="L2152" s="84" t="str">
        <x:f>'Raw Sales'!I2152</x:f>
        <x:v>ELEC-001</x:v>
      </x:c>
      <x:c r="M2152" s="84" t="str">
        <x:f>IFERROR(VLOOKUP(L2152,'Reference Data'!$A$5:$F$40,2,FALSE),"Unknown Product")</x:f>
        <x:v>Wireless Earbuds</x:v>
      </x:c>
      <x:c r="N2152" s="84" t="str">
        <x:f>IFERROR(VLOOKUP(L2152,'Reference Data'!$A$5:$F$40,3,FALSE),"Unknown")</x:f>
        <x:v>Electronics</x:v>
      </x:c>
      <x:c r="O2152" s="84" t="str">
        <x:f>IFERROR(VLOOKUP(L2152,'Reference Data'!$A$5:$F$40,4,FALSE),"Unknown")</x:f>
        <x:v>Audio</x:v>
      </x:c>
      <x:c r="P2152" s="92" t="n">
        <x:f>IFERROR(VLOOKUP(L2152,'Reference Data'!$A$5:$F$40,5,FALSE),0)</x:f>
        <x:v>69</x:v>
      </x:c>
      <x:c r="Q2152" s="92" t="n">
        <x:f>IFERROR(VLOOKUP(L2152,'Reference Data'!$A$5:$F$40,6,FALSE),0)</x:f>
        <x:v>36</x:v>
      </x:c>
      <x:c r="R2152" s="84" t="n">
        <x:f>'Raw Sales'!J2152</x:f>
        <x:v>1</x:v>
      </x:c>
      <x:c r="S2152" s="87" t="n">
        <x:f>'Raw Sales'!K2152</x:f>
        <x:v>0.15</x:v>
      </x:c>
      <x:c r="T2152" s="93" t="n">
        <x:f>P2152*R2152</x:f>
        <x:v>69</x:v>
      </x:c>
      <x:c r="U2152" s="93" t="n">
        <x:f>T2152*S2152</x:f>
        <x:v>10.35</x:v>
      </x:c>
      <x:c r="V2152" s="93" t="str">
        <x:f>PROPER(TRIM('Raw Sales'!L2152))</x:f>
        <x:v>Completed</x:v>
      </x:c>
      <x:c r="W2152" s="93" t="n">
        <x:f>IF(V2152="Returned",0,T2152-U2152)</x:f>
        <x:v>58.65</x:v>
      </x:c>
      <x:c r="X2152" s="93" t="n">
        <x:f>IF(V2152="Returned",Q2152*R2152*10%,Q2152*R2152)</x:f>
        <x:v>36</x:v>
      </x:c>
      <x:c r="Y2152" s="93" t="n">
        <x:f>W2152-X2152</x:f>
        <x:v>22.65</x:v>
      </x:c>
      <x:c r="Z2152" s="94" t="n">
        <x:f>IFERROR(Y2152/W2152,0)</x:f>
        <x:v>0.38618925831202044</x:v>
      </x:c>
      <x:c r="AA2152" s="84" t="str">
        <x:f>PROPER(TRIM('Raw Sales'!M2152))</x:f>
        <x:v>Mobile Wallet</x:v>
      </x:c>
      <x:c r="AB2152" s="84" t="str">
        <x:f>PROPER(TRIM('Raw Sales'!N2152))</x:f>
        <x:v>Zoe Turner</x:v>
      </x:c>
      <x:c r="AC2152" s="85" t="n">
        <x:f>'Raw Sales'!O2152</x:f>
        <x:v>45975</x:v>
      </x:c>
      <x:c r="AD2152" s="84" t="n">
        <x:f>AC2152-B2152</x:f>
        <x:v>3</x:v>
      </x:c>
      <x:c r="AE2152" s="84" t="str">
        <x:f>IF(COUNTIF($A$5:A2152,A2152)&gt;1,"Duplicate","Keep")</x:f>
        <x:v>Keep</x:v>
      </x:c>
      <x:c r="AF2152" s="84" t="str">
        <x:f>IF(OR(R2152&lt;=0,AC2152&lt;B2152,H2152="Unknown",M2152="Unknown Product"),"Review","Valid")</x:f>
        <x:v>Valid</x:v>
      </x:c>
      <x:c r="AG2152" s="84" t="n">
        <x:f>IF(AND(AE2152="Keep",AF2152="Valid"),1,0)</x:f>
        <x:v>1</x:v>
      </x:c>
      <x:c r="AH2152" s="84" t="n">
        <x:f>IF(AND(AG2152=1,OR('Dashboard'!$B$4="All",I2152='Dashboard'!$B$4),OR('Dashboard'!$E$4="All",N2152='Dashboard'!$E$4),OR('Dashboard'!$H$4="All",K2152='Dashboard'!$H$4),OR('Dashboard'!$K$4="All",C2152='Dashboard'!$K$4)),1,0)</x:f>
        <x:v>1</x:v>
      </x:c>
      <x:c r="AI2152" s="84" t="n">
        <x:f>IF(AND(AG2152=1,OR('Dashboard'!$B$4="All",I2152='Dashboard'!$B$4),OR('Dashboard'!$E$4="All",N2152='Dashboard'!$E$4),OR('Dashboard'!$H$4="All",K2152='Dashboard'!$H$4)),1,0)</x:f>
        <x:v>1</x:v>
      </x:c>
    </x:row>
    <x:row r="2153">
      <x:c r="A2153" s="84" t="str">
        <x:f>'Raw Sales'!A2153</x:f>
        <x:v>ORD-2025-02244</x:v>
      </x:c>
      <x:c r="B2153" s="85" t="n">
        <x:f>'Raw Sales'!B2153</x:f>
        <x:v>45972</x:v>
      </x:c>
      <x:c r="C2153" s="84" t="n">
        <x:f>YEAR(B2153)</x:f>
        <x:v>2025</x:v>
      </x:c>
      <x:c r="D2153" s="91" t="n">
        <x:f>DATE(YEAR(B2153),MONTH(B2153),1)</x:f>
        <x:v>45962</x:v>
      </x:c>
      <x:c r="E2153" s="84" t="str">
        <x:f>TEXT(B2153,"mmm")</x:f>
        <x:v>Nov</x:v>
      </x:c>
      <x:c r="F2153" s="84" t="str">
        <x:f>'Raw Sales'!C2153</x:f>
        <x:v>CUST-0012</x:v>
      </x:c>
      <x:c r="G2153" s="84" t="str">
        <x:f>PROPER(TRIM('Raw Sales'!D2153))</x:f>
        <x:v>William Lewis</x:v>
      </x:c>
      <x:c r="H2153" s="84" t="str">
        <x:f>IF(TRIM('Raw Sales'!E2153)="","Unknown",PROPER(TRIM('Raw Sales'!E2153)))</x:f>
        <x:v>Consumer</x:v>
      </x:c>
      <x:c r="I2153" s="84" t="str">
        <x:f>PROPER(TRIM('Raw Sales'!F2153))</x:f>
        <x:v>West</x:v>
      </x:c>
      <x:c r="J2153" s="84" t="str">
        <x:f>PROPER(TRIM('Raw Sales'!G2153))</x:f>
        <x:v>Denver</x:v>
      </x:c>
      <x:c r="K2153" s="84" t="str">
        <x:f>PROPER(TRIM('Raw Sales'!H2153))</x:f>
        <x:v>Retail Store</x:v>
      </x:c>
      <x:c r="L2153" s="84" t="str">
        <x:f>'Raw Sales'!I2153</x:f>
        <x:v>CARE-004</x:v>
      </x:c>
      <x:c r="M2153" s="84" t="str">
        <x:f>IFERROR(VLOOKUP(L2153,'Reference Data'!$A$5:$F$40,2,FALSE),"Unknown Product")</x:f>
        <x:v>Electric Toothbrush</x:v>
      </x:c>
      <x:c r="N2153" s="84" t="str">
        <x:f>IFERROR(VLOOKUP(L2153,'Reference Data'!$A$5:$F$40,3,FALSE),"Unknown")</x:f>
        <x:v>Personal Care</x:v>
      </x:c>
      <x:c r="O2153" s="84" t="str">
        <x:f>IFERROR(VLOOKUP(L2153,'Reference Data'!$A$5:$F$40,4,FALSE),"Unknown")</x:f>
        <x:v>Oral Care</x:v>
      </x:c>
      <x:c r="P2153" s="92" t="n">
        <x:f>IFERROR(VLOOKUP(L2153,'Reference Data'!$A$5:$F$40,5,FALSE),0)</x:f>
        <x:v>69</x:v>
      </x:c>
      <x:c r="Q2153" s="92" t="n">
        <x:f>IFERROR(VLOOKUP(L2153,'Reference Data'!$A$5:$F$40,6,FALSE),0)</x:f>
        <x:v>31</x:v>
      </x:c>
      <x:c r="R2153" s="84" t="n">
        <x:f>'Raw Sales'!J2153</x:f>
        <x:v>1</x:v>
      </x:c>
      <x:c r="S2153" s="87" t="n">
        <x:f>'Raw Sales'!K2153</x:f>
        <x:v>0.2</x:v>
      </x:c>
      <x:c r="T2153" s="93" t="n">
        <x:f>P2153*R2153</x:f>
        <x:v>69</x:v>
      </x:c>
      <x:c r="U2153" s="93" t="n">
        <x:f>T2153*S2153</x:f>
        <x:v>13.8</x:v>
      </x:c>
      <x:c r="V2153" s="93" t="str">
        <x:f>PROPER(TRIM('Raw Sales'!L2153))</x:f>
        <x:v>Completed</x:v>
      </x:c>
      <x:c r="W2153" s="93" t="n">
        <x:f>IF(V2153="Returned",0,T2153-U2153)</x:f>
        <x:v>55.2</x:v>
      </x:c>
      <x:c r="X2153" s="93" t="n">
        <x:f>IF(V2153="Returned",Q2153*R2153*10%,Q2153*R2153)</x:f>
        <x:v>31</x:v>
      </x:c>
      <x:c r="Y2153" s="93" t="n">
        <x:f>W2153-X2153</x:f>
        <x:v>24.200000000000003</x:v>
      </x:c>
      <x:c r="Z2153" s="94" t="n">
        <x:f>IFERROR(Y2153/W2153,0)</x:f>
        <x:v>0.4384057971014493</x:v>
      </x:c>
      <x:c r="AA2153" s="84" t="str">
        <x:f>PROPER(TRIM('Raw Sales'!M2153))</x:f>
        <x:v>Cash</x:v>
      </x:c>
      <x:c r="AB2153" s="84" t="str">
        <x:f>PROPER(TRIM('Raw Sales'!N2153))</x:f>
        <x:v>Nora Kim</x:v>
      </x:c>
      <x:c r="AC2153" s="85" t="n">
        <x:f>'Raw Sales'!O2153</x:f>
        <x:v>45972</x:v>
      </x:c>
      <x:c r="AD2153" s="84" t="n">
        <x:f>AC2153-B2153</x:f>
        <x:v>0</x:v>
      </x:c>
      <x:c r="AE2153" s="84" t="str">
        <x:f>IF(COUNTIF($A$5:A2153,A2153)&gt;1,"Duplicate","Keep")</x:f>
        <x:v>Keep</x:v>
      </x:c>
      <x:c r="AF2153" s="84" t="str">
        <x:f>IF(OR(R2153&lt;=0,AC2153&lt;B2153,H2153="Unknown",M2153="Unknown Product"),"Review","Valid")</x:f>
        <x:v>Valid</x:v>
      </x:c>
      <x:c r="AG2153" s="84" t="n">
        <x:f>IF(AND(AE2153="Keep",AF2153="Valid"),1,0)</x:f>
        <x:v>1</x:v>
      </x:c>
      <x:c r="AH2153" s="84" t="n">
        <x:f>IF(AND(AG2153=1,OR('Dashboard'!$B$4="All",I2153='Dashboard'!$B$4),OR('Dashboard'!$E$4="All",N2153='Dashboard'!$E$4),OR('Dashboard'!$H$4="All",K2153='Dashboard'!$H$4),OR('Dashboard'!$K$4="All",C2153='Dashboard'!$K$4)),1,0)</x:f>
        <x:v>1</x:v>
      </x:c>
      <x:c r="AI2153" s="84" t="n">
        <x:f>IF(AND(AG2153=1,OR('Dashboard'!$B$4="All",I2153='Dashboard'!$B$4),OR('Dashboard'!$E$4="All",N2153='Dashboard'!$E$4),OR('Dashboard'!$H$4="All",K2153='Dashboard'!$H$4)),1,0)</x:f>
        <x:v>1</x:v>
      </x:c>
    </x:row>
    <x:row r="2154">
      <x:c r="A2154" s="84" t="str">
        <x:f>'Raw Sales'!A2154</x:f>
        <x:v>ORD-2025-02267</x:v>
      </x:c>
      <x:c r="B2154" s="85" t="n">
        <x:f>'Raw Sales'!B2154</x:f>
        <x:v>45972</x:v>
      </x:c>
      <x:c r="C2154" s="84" t="n">
        <x:f>YEAR(B2154)</x:f>
        <x:v>2025</x:v>
      </x:c>
      <x:c r="D2154" s="91" t="n">
        <x:f>DATE(YEAR(B2154),MONTH(B2154),1)</x:f>
        <x:v>45962</x:v>
      </x:c>
      <x:c r="E2154" s="84" t="str">
        <x:f>TEXT(B2154,"mmm")</x:f>
        <x:v>Nov</x:v>
      </x:c>
      <x:c r="F2154" s="84" t="str">
        <x:f>'Raw Sales'!C2154</x:f>
        <x:v>CUST-0241</x:v>
      </x:c>
      <x:c r="G2154" s="84" t="str">
        <x:f>PROPER(TRIM('Raw Sales'!D2154))</x:f>
        <x:v>Maya Young</x:v>
      </x:c>
      <x:c r="H2154" s="84" t="str">
        <x:f>IF(TRIM('Raw Sales'!E2154)="","Unknown",PROPER(TRIM('Raw Sales'!E2154)))</x:f>
        <x:v>Small Business</x:v>
      </x:c>
      <x:c r="I2154" s="84" t="str">
        <x:f>PROPER(TRIM('Raw Sales'!F2154))</x:f>
        <x:v>Southeast</x:v>
      </x:c>
      <x:c r="J2154" s="84" t="str">
        <x:f>PROPER(TRIM('Raw Sales'!G2154))</x:f>
        <x:v>Atlanta</x:v>
      </x:c>
      <x:c r="K2154" s="84" t="str">
        <x:f>PROPER(TRIM('Raw Sales'!H2154))</x:f>
        <x:v>Retail Store</x:v>
      </x:c>
      <x:c r="L2154" s="84" t="str">
        <x:f>'Raw Sales'!I2154</x:f>
        <x:v>FITN-004</x:v>
      </x:c>
      <x:c r="M2154" s="84" t="str">
        <x:f>IFERROR(VLOOKUP(L2154,'Reference Data'!$A$5:$F$40,2,FALSE),"Unknown Product")</x:f>
        <x:v>Fitness Tracker</x:v>
      </x:c>
      <x:c r="N2154" s="84" t="str">
        <x:f>IFERROR(VLOOKUP(L2154,'Reference Data'!$A$5:$F$40,3,FALSE),"Unknown")</x:f>
        <x:v>Fitness</x:v>
      </x:c>
      <x:c r="O2154" s="84" t="str">
        <x:f>IFERROR(VLOOKUP(L2154,'Reference Data'!$A$5:$F$40,4,FALSE),"Unknown")</x:f>
        <x:v>Wearables</x:v>
      </x:c>
      <x:c r="P2154" s="92" t="n">
        <x:f>IFERROR(VLOOKUP(L2154,'Reference Data'!$A$5:$F$40,5,FALSE),0)</x:f>
        <x:v>89</x:v>
      </x:c>
      <x:c r="Q2154" s="92" t="n">
        <x:f>IFERROR(VLOOKUP(L2154,'Reference Data'!$A$5:$F$40,6,FALSE),0)</x:f>
        <x:v>44</x:v>
      </x:c>
      <x:c r="R2154" s="84" t="n">
        <x:f>'Raw Sales'!J2154</x:f>
        <x:v>1</x:v>
      </x:c>
      <x:c r="S2154" s="87" t="n">
        <x:f>'Raw Sales'!K2154</x:f>
        <x:v>0.15</x:v>
      </x:c>
      <x:c r="T2154" s="93" t="n">
        <x:f>P2154*R2154</x:f>
        <x:v>89</x:v>
      </x:c>
      <x:c r="U2154" s="93" t="n">
        <x:f>T2154*S2154</x:f>
        <x:v>13.35</x:v>
      </x:c>
      <x:c r="V2154" s="93" t="str">
        <x:f>PROPER(TRIM('Raw Sales'!L2154))</x:f>
        <x:v>Completed</x:v>
      </x:c>
      <x:c r="W2154" s="93" t="n">
        <x:f>IF(V2154="Returned",0,T2154-U2154)</x:f>
        <x:v>75.65</x:v>
      </x:c>
      <x:c r="X2154" s="93" t="n">
        <x:f>IF(V2154="Returned",Q2154*R2154*10%,Q2154*R2154)</x:f>
        <x:v>44</x:v>
      </x:c>
      <x:c r="Y2154" s="93" t="n">
        <x:f>W2154-X2154</x:f>
        <x:v>31.650000000000006</x:v>
      </x:c>
      <x:c r="Z2154" s="94" t="n">
        <x:f>IFERROR(Y2154/W2154,0)</x:f>
        <x:v>0.4183740912095176</x:v>
      </x:c>
      <x:c r="AA2154" s="84" t="str">
        <x:f>PROPER(TRIM('Raw Sales'!M2154))</x:f>
        <x:v>Credit Card</x:v>
      </x:c>
      <x:c r="AB2154" s="84" t="str">
        <x:f>PROPER(TRIM('Raw Sales'!N2154))</x:f>
        <x:v>Liam Parker</x:v>
      </x:c>
      <x:c r="AC2154" s="85" t="n">
        <x:f>'Raw Sales'!O2154</x:f>
        <x:v>45972</x:v>
      </x:c>
      <x:c r="AD2154" s="84" t="n">
        <x:f>AC2154-B2154</x:f>
        <x:v>0</x:v>
      </x:c>
      <x:c r="AE2154" s="84" t="str">
        <x:f>IF(COUNTIF($A$5:A2154,A2154)&gt;1,"Duplicate","Keep")</x:f>
        <x:v>Keep</x:v>
      </x:c>
      <x:c r="AF2154" s="84" t="str">
        <x:f>IF(OR(R2154&lt;=0,AC2154&lt;B2154,H2154="Unknown",M2154="Unknown Product"),"Review","Valid")</x:f>
        <x:v>Valid</x:v>
      </x:c>
      <x:c r="AG2154" s="84" t="n">
        <x:f>IF(AND(AE2154="Keep",AF2154="Valid"),1,0)</x:f>
        <x:v>1</x:v>
      </x:c>
      <x:c r="AH2154" s="84" t="n">
        <x:f>IF(AND(AG2154=1,OR('Dashboard'!$B$4="All",I2154='Dashboard'!$B$4),OR('Dashboard'!$E$4="All",N2154='Dashboard'!$E$4),OR('Dashboard'!$H$4="All",K2154='Dashboard'!$H$4),OR('Dashboard'!$K$4="All",C2154='Dashboard'!$K$4)),1,0)</x:f>
        <x:v>1</x:v>
      </x:c>
      <x:c r="AI2154" s="84" t="n">
        <x:f>IF(AND(AG2154=1,OR('Dashboard'!$B$4="All",I2154='Dashboard'!$B$4),OR('Dashboard'!$E$4="All",N2154='Dashboard'!$E$4),OR('Dashboard'!$H$4="All",K2154='Dashboard'!$H$4)),1,0)</x:f>
        <x:v>1</x:v>
      </x:c>
    </x:row>
    <x:row r="2155">
      <x:c r="A2155" s="84" t="str">
        <x:f>'Raw Sales'!A2155</x:f>
        <x:v>ORD-2025-00286</x:v>
      </x:c>
      <x:c r="B2155" s="85" t="n">
        <x:f>'Raw Sales'!B2155</x:f>
        <x:v>45973</x:v>
      </x:c>
      <x:c r="C2155" s="84" t="n">
        <x:f>YEAR(B2155)</x:f>
        <x:v>2025</x:v>
      </x:c>
      <x:c r="D2155" s="91" t="n">
        <x:f>DATE(YEAR(B2155),MONTH(B2155),1)</x:f>
        <x:v>45962</x:v>
      </x:c>
      <x:c r="E2155" s="84" t="str">
        <x:f>TEXT(B2155,"mmm")</x:f>
        <x:v>Nov</x:v>
      </x:c>
      <x:c r="F2155" s="84" t="str">
        <x:f>'Raw Sales'!C2155</x:f>
        <x:v>CUST-0079</x:v>
      </x:c>
      <x:c r="G2155" s="84" t="str">
        <x:f>PROPER(TRIM('Raw Sales'!D2155))</x:f>
        <x:v>Isaac Foster</x:v>
      </x:c>
      <x:c r="H2155" s="84" t="str">
        <x:f>IF(TRIM('Raw Sales'!E2155)="","Unknown",PROPER(TRIM('Raw Sales'!E2155)))</x:f>
        <x:v>Consumer</x:v>
      </x:c>
      <x:c r="I2155" s="84" t="str">
        <x:f>PROPER(TRIM('Raw Sales'!F2155))</x:f>
        <x:v>Midwest</x:v>
      </x:c>
      <x:c r="J2155" s="84" t="str">
        <x:f>PROPER(TRIM('Raw Sales'!G2155))</x:f>
        <x:v>Minneapolis</x:v>
      </x:c>
      <x:c r="K2155" s="84" t="str">
        <x:f>PROPER(TRIM('Raw Sales'!H2155))</x:f>
        <x:v>Retail Store</x:v>
      </x:c>
      <x:c r="L2155" s="84" t="str">
        <x:f>'Raw Sales'!I2155</x:f>
        <x:v>ELEC-006</x:v>
      </x:c>
      <x:c r="M2155" s="84" t="str">
        <x:f>IFERROR(VLOOKUP(L2155,'Reference Data'!$A$5:$F$40,2,FALSE),"Unknown Product")</x:f>
        <x:v>Portable SSD</x:v>
      </x:c>
      <x:c r="N2155" s="84" t="str">
        <x:f>IFERROR(VLOOKUP(L2155,'Reference Data'!$A$5:$F$40,3,FALSE),"Unknown")</x:f>
        <x:v>Electronics</x:v>
      </x:c>
      <x:c r="O2155" s="84" t="str">
        <x:f>IFERROR(VLOOKUP(L2155,'Reference Data'!$A$5:$F$40,4,FALSE),"Unknown")</x:f>
        <x:v>Storage</x:v>
      </x:c>
      <x:c r="P2155" s="92" t="n">
        <x:f>IFERROR(VLOOKUP(L2155,'Reference Data'!$A$5:$F$40,5,FALSE),0)</x:f>
        <x:v>129</x:v>
      </x:c>
      <x:c r="Q2155" s="92" t="n">
        <x:f>IFERROR(VLOOKUP(L2155,'Reference Data'!$A$5:$F$40,6,FALSE),0)</x:f>
        <x:v>75</x:v>
      </x:c>
      <x:c r="R2155" s="84" t="n">
        <x:f>'Raw Sales'!J2155</x:f>
        <x:v>2</x:v>
      </x:c>
      <x:c r="S2155" s="87" t="n">
        <x:f>'Raw Sales'!K2155</x:f>
        <x:v>0.1</x:v>
      </x:c>
      <x:c r="T2155" s="93" t="n">
        <x:f>P2155*R2155</x:f>
        <x:v>258</x:v>
      </x:c>
      <x:c r="U2155" s="93" t="n">
        <x:f>T2155*S2155</x:f>
        <x:v>25.8</x:v>
      </x:c>
      <x:c r="V2155" s="93" t="str">
        <x:f>PROPER(TRIM('Raw Sales'!L2155))</x:f>
        <x:v>Completed</x:v>
      </x:c>
      <x:c r="W2155" s="93" t="n">
        <x:f>IF(V2155="Returned",0,T2155-U2155)</x:f>
        <x:v>232.2</x:v>
      </x:c>
      <x:c r="X2155" s="93" t="n">
        <x:f>IF(V2155="Returned",Q2155*R2155*10%,Q2155*R2155)</x:f>
        <x:v>150</x:v>
      </x:c>
      <x:c r="Y2155" s="93" t="n">
        <x:f>W2155-X2155</x:f>
        <x:v>82.19999999999999</x:v>
      </x:c>
      <x:c r="Z2155" s="94" t="n">
        <x:f>IFERROR(Y2155/W2155,0)</x:f>
        <x:v>0.3540051679586563</x:v>
      </x:c>
      <x:c r="AA2155" s="84" t="str">
        <x:f>PROPER(TRIM('Raw Sales'!M2155))</x:f>
        <x:v>Debit Card</x:v>
      </x:c>
      <x:c r="AB2155" s="84" t="str">
        <x:f>PROPER(TRIM('Raw Sales'!N2155))</x:f>
        <x:v>Emma Hayes</x:v>
      </x:c>
      <x:c r="AC2155" s="85" t="n">
        <x:f>'Raw Sales'!O2155</x:f>
        <x:v>45973</x:v>
      </x:c>
      <x:c r="AD2155" s="84" t="n">
        <x:f>AC2155-B2155</x:f>
        <x:v>0</x:v>
      </x:c>
      <x:c r="AE2155" s="84" t="str">
        <x:f>IF(COUNTIF($A$5:A2155,A2155)&gt;1,"Duplicate","Keep")</x:f>
        <x:v>Keep</x:v>
      </x:c>
      <x:c r="AF2155" s="84" t="str">
        <x:f>IF(OR(R2155&lt;=0,AC2155&lt;B2155,H2155="Unknown",M2155="Unknown Product"),"Review","Valid")</x:f>
        <x:v>Valid</x:v>
      </x:c>
      <x:c r="AG2155" s="84" t="n">
        <x:f>IF(AND(AE2155="Keep",AF2155="Valid"),1,0)</x:f>
        <x:v>1</x:v>
      </x:c>
      <x:c r="AH2155" s="84" t="n">
        <x:f>IF(AND(AG2155=1,OR('Dashboard'!$B$4="All",I2155='Dashboard'!$B$4),OR('Dashboard'!$E$4="All",N2155='Dashboard'!$E$4),OR('Dashboard'!$H$4="All",K2155='Dashboard'!$H$4),OR('Dashboard'!$K$4="All",C2155='Dashboard'!$K$4)),1,0)</x:f>
        <x:v>1</x:v>
      </x:c>
      <x:c r="AI2155" s="84" t="n">
        <x:f>IF(AND(AG2155=1,OR('Dashboard'!$B$4="All",I2155='Dashboard'!$B$4),OR('Dashboard'!$E$4="All",N2155='Dashboard'!$E$4),OR('Dashboard'!$H$4="All",K2155='Dashboard'!$H$4)),1,0)</x:f>
        <x:v>1</x:v>
      </x:c>
    </x:row>
    <x:row r="2156">
      <x:c r="A2156" s="84" t="str">
        <x:f>'Raw Sales'!A2156</x:f>
        <x:v>ORD-2025-00313</x:v>
      </x:c>
      <x:c r="B2156" s="85" t="n">
        <x:f>'Raw Sales'!B2156</x:f>
        <x:v>45973</x:v>
      </x:c>
      <x:c r="C2156" s="84" t="n">
        <x:f>YEAR(B2156)</x:f>
        <x:v>2025</x:v>
      </x:c>
      <x:c r="D2156" s="91" t="n">
        <x:f>DATE(YEAR(B2156),MONTH(B2156),1)</x:f>
        <x:v>45962</x:v>
      </x:c>
      <x:c r="E2156" s="84" t="str">
        <x:f>TEXT(B2156,"mmm")</x:f>
        <x:v>Nov</x:v>
      </x:c>
      <x:c r="F2156" s="84" t="str">
        <x:f>'Raw Sales'!C2156</x:f>
        <x:v>CUST-0535</x:v>
      </x:c>
      <x:c r="G2156" s="84" t="str">
        <x:f>PROPER(TRIM('Raw Sales'!D2156))</x:f>
        <x:v>Caleb Walker</x:v>
      </x:c>
      <x:c r="H2156" s="84" t="str">
        <x:f>IF(TRIM('Raw Sales'!E2156)="","Unknown",PROPER(TRIM('Raw Sales'!E2156)))</x:f>
        <x:v>Corporate</x:v>
      </x:c>
      <x:c r="I2156" s="84" t="str">
        <x:f>PROPER(TRIM('Raw Sales'!F2156))</x:f>
        <x:v>Southeast</x:v>
      </x:c>
      <x:c r="J2156" s="84" t="str">
        <x:f>PROPER(TRIM('Raw Sales'!G2156))</x:f>
        <x:v>Miami</x:v>
      </x:c>
      <x:c r="K2156" s="84" t="str">
        <x:f>PROPER(TRIM('Raw Sales'!H2156))</x:f>
        <x:v>Retail Store</x:v>
      </x:c>
      <x:c r="L2156" s="84" t="str">
        <x:f>'Raw Sales'!I2156</x:f>
        <x:v>HOME-004</x:v>
      </x:c>
      <x:c r="M2156" s="84" t="str">
        <x:f>IFERROR(VLOOKUP(L2156,'Reference Data'!$A$5:$F$40,2,FALSE),"Unknown Product")</x:f>
        <x:v>Coffee Maker</x:v>
      </x:c>
      <x:c r="N2156" s="84" t="str">
        <x:f>IFERROR(VLOOKUP(L2156,'Reference Data'!$A$5:$F$40,3,FALSE),"Unknown")</x:f>
        <x:v>Home &amp; Kitchen</x:v>
      </x:c>
      <x:c r="O2156" s="84" t="str">
        <x:f>IFERROR(VLOOKUP(L2156,'Reference Data'!$A$5:$F$40,4,FALSE),"Unknown")</x:f>
        <x:v>Small Appliances</x:v>
      </x:c>
      <x:c r="P2156" s="92" t="n">
        <x:f>IFERROR(VLOOKUP(L2156,'Reference Data'!$A$5:$F$40,5,FALSE),0)</x:f>
        <x:v>99</x:v>
      </x:c>
      <x:c r="Q2156" s="92" t="n">
        <x:f>IFERROR(VLOOKUP(L2156,'Reference Data'!$A$5:$F$40,6,FALSE),0)</x:f>
        <x:v>51</x:v>
      </x:c>
      <x:c r="R2156" s="84" t="n">
        <x:f>'Raw Sales'!J2156</x:f>
        <x:v>3</x:v>
      </x:c>
      <x:c r="S2156" s="87" t="n">
        <x:f>'Raw Sales'!K2156</x:f>
        <x:v>0</x:v>
      </x:c>
      <x:c r="T2156" s="93" t="n">
        <x:f>P2156*R2156</x:f>
        <x:v>297</x:v>
      </x:c>
      <x:c r="U2156" s="93" t="n">
        <x:f>T2156*S2156</x:f>
        <x:v>0</x:v>
      </x:c>
      <x:c r="V2156" s="93" t="str">
        <x:f>PROPER(TRIM('Raw Sales'!L2156))</x:f>
        <x:v>Completed</x:v>
      </x:c>
      <x:c r="W2156" s="93" t="n">
        <x:f>IF(V2156="Returned",0,T2156-U2156)</x:f>
        <x:v>297</x:v>
      </x:c>
      <x:c r="X2156" s="93" t="n">
        <x:f>IF(V2156="Returned",Q2156*R2156*10%,Q2156*R2156)</x:f>
        <x:v>153</x:v>
      </x:c>
      <x:c r="Y2156" s="93" t="n">
        <x:f>W2156-X2156</x:f>
        <x:v>144</x:v>
      </x:c>
      <x:c r="Z2156" s="94" t="n">
        <x:f>IFERROR(Y2156/W2156,0)</x:f>
        <x:v>0.48484848484848486</x:v>
      </x:c>
      <x:c r="AA2156" s="84" t="str">
        <x:f>PROPER(TRIM('Raw Sales'!M2156))</x:f>
        <x:v>Credit Card</x:v>
      </x:c>
      <x:c r="AB2156" s="84" t="str">
        <x:f>PROPER(TRIM('Raw Sales'!N2156))</x:f>
        <x:v>Ava Mitchell</x:v>
      </x:c>
      <x:c r="AC2156" s="85" t="n">
        <x:f>'Raw Sales'!O2156</x:f>
        <x:v>45973</x:v>
      </x:c>
      <x:c r="AD2156" s="84" t="n">
        <x:f>AC2156-B2156</x:f>
        <x:v>0</x:v>
      </x:c>
      <x:c r="AE2156" s="84" t="str">
        <x:f>IF(COUNTIF($A$5:A2156,A2156)&gt;1,"Duplicate","Keep")</x:f>
        <x:v>Keep</x:v>
      </x:c>
      <x:c r="AF2156" s="84" t="str">
        <x:f>IF(OR(R2156&lt;=0,AC2156&lt;B2156,H2156="Unknown",M2156="Unknown Product"),"Review","Valid")</x:f>
        <x:v>Valid</x:v>
      </x:c>
      <x:c r="AG2156" s="84" t="n">
        <x:f>IF(AND(AE2156="Keep",AF2156="Valid"),1,0)</x:f>
        <x:v>1</x:v>
      </x:c>
      <x:c r="AH2156" s="84" t="n">
        <x:f>IF(AND(AG2156=1,OR('Dashboard'!$B$4="All",I2156='Dashboard'!$B$4),OR('Dashboard'!$E$4="All",N2156='Dashboard'!$E$4),OR('Dashboard'!$H$4="All",K2156='Dashboard'!$H$4),OR('Dashboard'!$K$4="All",C2156='Dashboard'!$K$4)),1,0)</x:f>
        <x:v>1</x:v>
      </x:c>
      <x:c r="AI2156" s="84" t="n">
        <x:f>IF(AND(AG2156=1,OR('Dashboard'!$B$4="All",I2156='Dashboard'!$B$4),OR('Dashboard'!$E$4="All",N2156='Dashboard'!$E$4),OR('Dashboard'!$H$4="All",K2156='Dashboard'!$H$4)),1,0)</x:f>
        <x:v>1</x:v>
      </x:c>
    </x:row>
    <x:row r="2157">
      <x:c r="A2157" s="84" t="str">
        <x:f>'Raw Sales'!A2157</x:f>
        <x:v>ORD-2025-01093</x:v>
      </x:c>
      <x:c r="B2157" s="85" t="n">
        <x:f>'Raw Sales'!B2157</x:f>
        <x:v>45973</x:v>
      </x:c>
      <x:c r="C2157" s="84" t="n">
        <x:f>YEAR(B2157)</x:f>
        <x:v>2025</x:v>
      </x:c>
      <x:c r="D2157" s="91" t="n">
        <x:f>DATE(YEAR(B2157),MONTH(B2157),1)</x:f>
        <x:v>45962</x:v>
      </x:c>
      <x:c r="E2157" s="84" t="str">
        <x:f>TEXT(B2157,"mmm")</x:f>
        <x:v>Nov</x:v>
      </x:c>
      <x:c r="F2157" s="84" t="str">
        <x:f>'Raw Sales'!C2157</x:f>
        <x:v>CUST-0182</x:v>
      </x:c>
      <x:c r="G2157" s="84" t="str">
        <x:f>PROPER(TRIM('Raw Sales'!D2157))</x:f>
        <x:v>Zara Roberts</x:v>
      </x:c>
      <x:c r="H2157" s="84" t="str">
        <x:f>IF(TRIM('Raw Sales'!E2157)="","Unknown",PROPER(TRIM('Raw Sales'!E2157)))</x:f>
        <x:v>Consumer</x:v>
      </x:c>
      <x:c r="I2157" s="84" t="str">
        <x:f>PROPER(TRIM('Raw Sales'!F2157))</x:f>
        <x:v>Northeast</x:v>
      </x:c>
      <x:c r="J2157" s="84" t="str">
        <x:f>PROPER(TRIM('Raw Sales'!G2157))</x:f>
        <x:v>Philadelphia</x:v>
      </x:c>
      <x:c r="K2157" s="84" t="str">
        <x:f>PROPER(TRIM('Raw Sales'!H2157))</x:f>
        <x:v>Retail Store</x:v>
      </x:c>
      <x:c r="L2157" s="84" t="str">
        <x:f>'Raw Sales'!I2157</x:f>
        <x:v>CARE-002</x:v>
      </x:c>
      <x:c r="M2157" s="84" t="str">
        <x:f>IFERROR(VLOOKUP(L2157,'Reference Data'!$A$5:$F$40,2,FALSE),"Unknown Product")</x:f>
        <x:v>Rechargeable Trimmer</x:v>
      </x:c>
      <x:c r="N2157" s="84" t="str">
        <x:f>IFERROR(VLOOKUP(L2157,'Reference Data'!$A$5:$F$40,3,FALSE),"Unknown")</x:f>
        <x:v>Personal Care</x:v>
      </x:c>
      <x:c r="O2157" s="84" t="str">
        <x:f>IFERROR(VLOOKUP(L2157,'Reference Data'!$A$5:$F$40,4,FALSE),"Unknown")</x:f>
        <x:v>Grooming</x:v>
      </x:c>
      <x:c r="P2157" s="92" t="n">
        <x:f>IFERROR(VLOOKUP(L2157,'Reference Data'!$A$5:$F$40,5,FALSE),0)</x:f>
        <x:v>45</x:v>
      </x:c>
      <x:c r="Q2157" s="92" t="n">
        <x:f>IFERROR(VLOOKUP(L2157,'Reference Data'!$A$5:$F$40,6,FALSE),0)</x:f>
        <x:v>19</x:v>
      </x:c>
      <x:c r="R2157" s="84" t="n">
        <x:f>'Raw Sales'!J2157</x:f>
        <x:v>1</x:v>
      </x:c>
      <x:c r="S2157" s="87" t="n">
        <x:f>'Raw Sales'!K2157</x:f>
        <x:v>0.15</x:v>
      </x:c>
      <x:c r="T2157" s="93" t="n">
        <x:f>P2157*R2157</x:f>
        <x:v>45</x:v>
      </x:c>
      <x:c r="U2157" s="93" t="n">
        <x:f>T2157*S2157</x:f>
        <x:v>6.75</x:v>
      </x:c>
      <x:c r="V2157" s="93" t="str">
        <x:f>PROPER(TRIM('Raw Sales'!L2157))</x:f>
        <x:v>Completed</x:v>
      </x:c>
      <x:c r="W2157" s="93" t="n">
        <x:f>IF(V2157="Returned",0,T2157-U2157)</x:f>
        <x:v>38.25</x:v>
      </x:c>
      <x:c r="X2157" s="93" t="n">
        <x:f>IF(V2157="Returned",Q2157*R2157*10%,Q2157*R2157)</x:f>
        <x:v>19</x:v>
      </x:c>
      <x:c r="Y2157" s="93" t="n">
        <x:f>W2157-X2157</x:f>
        <x:v>19.25</x:v>
      </x:c>
      <x:c r="Z2157" s="94" t="n">
        <x:f>IFERROR(Y2157/W2157,0)</x:f>
        <x:v>0.5032679738562091</x:v>
      </x:c>
      <x:c r="AA2157" s="84" t="str">
        <x:f>PROPER(TRIM('Raw Sales'!M2157))</x:f>
        <x:v>Debit Card</x:v>
      </x:c>
      <x:c r="AB2157" s="84" t="str">
        <x:f>PROPER(TRIM('Raw Sales'!N2157))</x:f>
        <x:v>Ethan Cole</x:v>
      </x:c>
      <x:c r="AC2157" s="85" t="n">
        <x:f>'Raw Sales'!O2157</x:f>
        <x:v>45973</x:v>
      </x:c>
      <x:c r="AD2157" s="84" t="n">
        <x:f>AC2157-B2157</x:f>
        <x:v>0</x:v>
      </x:c>
      <x:c r="AE2157" s="84" t="str">
        <x:f>IF(COUNTIF($A$5:A2157,A2157)&gt;1,"Duplicate","Keep")</x:f>
        <x:v>Keep</x:v>
      </x:c>
      <x:c r="AF2157" s="84" t="str">
        <x:f>IF(OR(R2157&lt;=0,AC2157&lt;B2157,H2157="Unknown",M2157="Unknown Product"),"Review","Valid")</x:f>
        <x:v>Valid</x:v>
      </x:c>
      <x:c r="AG2157" s="84" t="n">
        <x:f>IF(AND(AE2157="Keep",AF2157="Valid"),1,0)</x:f>
        <x:v>1</x:v>
      </x:c>
      <x:c r="AH2157" s="84" t="n">
        <x:f>IF(AND(AG2157=1,OR('Dashboard'!$B$4="All",I2157='Dashboard'!$B$4),OR('Dashboard'!$E$4="All",N2157='Dashboard'!$E$4),OR('Dashboard'!$H$4="All",K2157='Dashboard'!$H$4),OR('Dashboard'!$K$4="All",C2157='Dashboard'!$K$4)),1,0)</x:f>
        <x:v>1</x:v>
      </x:c>
      <x:c r="AI2157" s="84" t="n">
        <x:f>IF(AND(AG2157=1,OR('Dashboard'!$B$4="All",I2157='Dashboard'!$B$4),OR('Dashboard'!$E$4="All",N2157='Dashboard'!$E$4),OR('Dashboard'!$H$4="All",K2157='Dashboard'!$H$4)),1,0)</x:f>
        <x:v>1</x:v>
      </x:c>
    </x:row>
    <x:row r="2158">
      <x:c r="A2158" s="84" t="str">
        <x:f>'Raw Sales'!A2158</x:f>
        <x:v>ORD-2025-01771</x:v>
      </x:c>
      <x:c r="B2158" s="85" t="n">
        <x:f>'Raw Sales'!B2158</x:f>
        <x:v>45973</x:v>
      </x:c>
      <x:c r="C2158" s="84" t="n">
        <x:f>YEAR(B2158)</x:f>
        <x:v>2025</x:v>
      </x:c>
      <x:c r="D2158" s="91" t="n">
        <x:f>DATE(YEAR(B2158),MONTH(B2158),1)</x:f>
        <x:v>45962</x:v>
      </x:c>
      <x:c r="E2158" s="84" t="str">
        <x:f>TEXT(B2158,"mmm")</x:f>
        <x:v>Nov</x:v>
      </x:c>
      <x:c r="F2158" s="84" t="str">
        <x:f>'Raw Sales'!C2158</x:f>
        <x:v>CUST-0219</x:v>
      </x:c>
      <x:c r="G2158" s="84" t="str">
        <x:f>PROPER(TRIM('Raw Sales'!D2158))</x:f>
        <x:v>Caleb Quinn</x:v>
      </x:c>
      <x:c r="H2158" s="84" t="str">
        <x:f>IF(TRIM('Raw Sales'!E2158)="","Unknown",PROPER(TRIM('Raw Sales'!E2158)))</x:f>
        <x:v>Small Business</x:v>
      </x:c>
      <x:c r="I2158" s="84" t="str">
        <x:f>PROPER(TRIM('Raw Sales'!F2158))</x:f>
        <x:v>West</x:v>
      </x:c>
      <x:c r="J2158" s="84" t="str">
        <x:f>PROPER(TRIM('Raw Sales'!G2158))</x:f>
        <x:v>Los Angeles</x:v>
      </x:c>
      <x:c r="K2158" s="84" t="str">
        <x:f>PROPER(TRIM('Raw Sales'!H2158))</x:f>
        <x:v>Marketplace</x:v>
      </x:c>
      <x:c r="L2158" s="84" t="str">
        <x:f>'Raw Sales'!I2158</x:f>
        <x:v>HOME-006</x:v>
      </x:c>
      <x:c r="M2158" s="84" t="str">
        <x:f>IFERROR(VLOOKUP(L2158,'Reference Data'!$A$5:$F$40,2,FALSE),"Unknown Product")</x:f>
        <x:v>Food Storage Set</x:v>
      </x:c>
      <x:c r="N2158" s="84" t="str">
        <x:f>IFERROR(VLOOKUP(L2158,'Reference Data'!$A$5:$F$40,3,FALSE),"Unknown")</x:f>
        <x:v>Home &amp; Kitchen</x:v>
      </x:c>
      <x:c r="O2158" s="84" t="str">
        <x:f>IFERROR(VLOOKUP(L2158,'Reference Data'!$A$5:$F$40,4,FALSE),"Unknown")</x:f>
        <x:v>Kitchenware</x:v>
      </x:c>
      <x:c r="P2158" s="92" t="n">
        <x:f>IFERROR(VLOOKUP(L2158,'Reference Data'!$A$5:$F$40,5,FALSE),0)</x:f>
        <x:v>34</x:v>
      </x:c>
      <x:c r="Q2158" s="92" t="n">
        <x:f>IFERROR(VLOOKUP(L2158,'Reference Data'!$A$5:$F$40,6,FALSE),0)</x:f>
        <x:v>15</x:v>
      </x:c>
      <x:c r="R2158" s="84" t="n">
        <x:f>'Raw Sales'!J2158</x:f>
        <x:v>2</x:v>
      </x:c>
      <x:c r="S2158" s="87" t="n">
        <x:f>'Raw Sales'!K2158</x:f>
        <x:v>0.1</x:v>
      </x:c>
      <x:c r="T2158" s="93" t="n">
        <x:f>P2158*R2158</x:f>
        <x:v>68</x:v>
      </x:c>
      <x:c r="U2158" s="93" t="n">
        <x:f>T2158*S2158</x:f>
        <x:v>6.800000000000001</x:v>
      </x:c>
      <x:c r="V2158" s="93" t="str">
        <x:f>PROPER(TRIM('Raw Sales'!L2158))</x:f>
        <x:v>Completed</x:v>
      </x:c>
      <x:c r="W2158" s="93" t="n">
        <x:f>IF(V2158="Returned",0,T2158-U2158)</x:f>
        <x:v>61.2</x:v>
      </x:c>
      <x:c r="X2158" s="93" t="n">
        <x:f>IF(V2158="Returned",Q2158*R2158*10%,Q2158*R2158)</x:f>
        <x:v>30</x:v>
      </x:c>
      <x:c r="Y2158" s="93" t="n">
        <x:f>W2158-X2158</x:f>
        <x:v>31.200000000000003</x:v>
      </x:c>
      <x:c r="Z2158" s="94" t="n">
        <x:f>IFERROR(Y2158/W2158,0)</x:f>
        <x:v>0.5098039215686275</x:v>
      </x:c>
      <x:c r="AA2158" s="84" t="str">
        <x:f>PROPER(TRIM('Raw Sales'!M2158))</x:f>
        <x:v>Credit Card</x:v>
      </x:c>
      <x:c r="AB2158" s="84" t="str">
        <x:f>PROPER(TRIM('Raw Sales'!N2158))</x:f>
        <x:v>Nora Kim</x:v>
      </x:c>
      <x:c r="AC2158" s="85" t="n">
        <x:f>'Raw Sales'!O2158</x:f>
        <x:v>45979</x:v>
      </x:c>
      <x:c r="AD2158" s="84" t="n">
        <x:f>AC2158-B2158</x:f>
        <x:v>6</x:v>
      </x:c>
      <x:c r="AE2158" s="84" t="str">
        <x:f>IF(COUNTIF($A$5:A2158,A2158)&gt;1,"Duplicate","Keep")</x:f>
        <x:v>Keep</x:v>
      </x:c>
      <x:c r="AF2158" s="84" t="str">
        <x:f>IF(OR(R2158&lt;=0,AC2158&lt;B2158,H2158="Unknown",M2158="Unknown Product"),"Review","Valid")</x:f>
        <x:v>Valid</x:v>
      </x:c>
      <x:c r="AG2158" s="84" t="n">
        <x:f>IF(AND(AE2158="Keep",AF2158="Valid"),1,0)</x:f>
        <x:v>1</x:v>
      </x:c>
      <x:c r="AH2158" s="84" t="n">
        <x:f>IF(AND(AG2158=1,OR('Dashboard'!$B$4="All",I2158='Dashboard'!$B$4),OR('Dashboard'!$E$4="All",N2158='Dashboard'!$E$4),OR('Dashboard'!$H$4="All",K2158='Dashboard'!$H$4),OR('Dashboard'!$K$4="All",C2158='Dashboard'!$K$4)),1,0)</x:f>
        <x:v>1</x:v>
      </x:c>
      <x:c r="AI2158" s="84" t="n">
        <x:f>IF(AND(AG2158=1,OR('Dashboard'!$B$4="All",I2158='Dashboard'!$B$4),OR('Dashboard'!$E$4="All",N2158='Dashboard'!$E$4),OR('Dashboard'!$H$4="All",K2158='Dashboard'!$H$4)),1,0)</x:f>
        <x:v>1</x:v>
      </x:c>
    </x:row>
    <x:row r="2159">
      <x:c r="A2159" s="84" t="str">
        <x:f>'Raw Sales'!A2159</x:f>
        <x:v>ORD-2025-02083</x:v>
      </x:c>
      <x:c r="B2159" s="85" t="n">
        <x:f>'Raw Sales'!B2159</x:f>
        <x:v>45973</x:v>
      </x:c>
      <x:c r="C2159" s="84" t="n">
        <x:f>YEAR(B2159)</x:f>
        <x:v>2025</x:v>
      </x:c>
      <x:c r="D2159" s="91" t="n">
        <x:f>DATE(YEAR(B2159),MONTH(B2159),1)</x:f>
        <x:v>45962</x:v>
      </x:c>
      <x:c r="E2159" s="84" t="str">
        <x:f>TEXT(B2159,"mmm")</x:f>
        <x:v>Nov</x:v>
      </x:c>
      <x:c r="F2159" s="84" t="str">
        <x:f>'Raw Sales'!C2159</x:f>
        <x:v>CUST-0529</x:v>
      </x:c>
      <x:c r="G2159" s="84" t="str">
        <x:f>PROPER(TRIM('Raw Sales'!D2159))</x:f>
        <x:v>Grace Hall</x:v>
      </x:c>
      <x:c r="H2159" s="84" t="str">
        <x:f>IF(TRIM('Raw Sales'!E2159)="","Unknown",PROPER(TRIM('Raw Sales'!E2159)))</x:f>
        <x:v>Consumer</x:v>
      </x:c>
      <x:c r="I2159" s="84" t="str">
        <x:f>PROPER(TRIM('Raw Sales'!F2159))</x:f>
        <x:v>Northeast</x:v>
      </x:c>
      <x:c r="J2159" s="84" t="str">
        <x:f>PROPER(TRIM('Raw Sales'!G2159))</x:f>
        <x:v>Newark</x:v>
      </x:c>
      <x:c r="K2159" s="84" t="str">
        <x:f>PROPER(TRIM('Raw Sales'!H2159))</x:f>
        <x:v>Online</x:v>
      </x:c>
      <x:c r="L2159" s="84" t="str">
        <x:f>'Raw Sales'!I2159</x:f>
        <x:v>ELEC-005</x:v>
      </x:c>
      <x:c r="M2159" s="84" t="str">
        <x:f>IFERROR(VLOOKUP(L2159,'Reference Data'!$A$5:$F$40,2,FALSE),"Unknown Product")</x:f>
        <x:v>HD Webcam</x:v>
      </x:c>
      <x:c r="N2159" s="84" t="str">
        <x:f>IFERROR(VLOOKUP(L2159,'Reference Data'!$A$5:$F$40,3,FALSE),"Unknown")</x:f>
        <x:v>Electronics</x:v>
      </x:c>
      <x:c r="O2159" s="84" t="str">
        <x:f>IFERROR(VLOOKUP(L2159,'Reference Data'!$A$5:$F$40,4,FALSE),"Unknown")</x:f>
        <x:v>Computer Accessories</x:v>
      </x:c>
      <x:c r="P2159" s="92" t="n">
        <x:f>IFERROR(VLOOKUP(L2159,'Reference Data'!$A$5:$F$40,5,FALSE),0)</x:f>
        <x:v>79</x:v>
      </x:c>
      <x:c r="Q2159" s="92" t="n">
        <x:f>IFERROR(VLOOKUP(L2159,'Reference Data'!$A$5:$F$40,6,FALSE),0)</x:f>
        <x:v>37</x:v>
      </x:c>
      <x:c r="R2159" s="84" t="n">
        <x:f>'Raw Sales'!J2159</x:f>
        <x:v>1</x:v>
      </x:c>
      <x:c r="S2159" s="87" t="n">
        <x:f>'Raw Sales'!K2159</x:f>
        <x:v>0</x:v>
      </x:c>
      <x:c r="T2159" s="93" t="n">
        <x:f>P2159*R2159</x:f>
        <x:v>79</x:v>
      </x:c>
      <x:c r="U2159" s="93" t="n">
        <x:f>T2159*S2159</x:f>
        <x:v>0</x:v>
      </x:c>
      <x:c r="V2159" s="93" t="str">
        <x:f>PROPER(TRIM('Raw Sales'!L2159))</x:f>
        <x:v>Completed</x:v>
      </x:c>
      <x:c r="W2159" s="93" t="n">
        <x:f>IF(V2159="Returned",0,T2159-U2159)</x:f>
        <x:v>79</x:v>
      </x:c>
      <x:c r="X2159" s="93" t="n">
        <x:f>IF(V2159="Returned",Q2159*R2159*10%,Q2159*R2159)</x:f>
        <x:v>37</x:v>
      </x:c>
      <x:c r="Y2159" s="93" t="n">
        <x:f>W2159-X2159</x:f>
        <x:v>42</x:v>
      </x:c>
      <x:c r="Z2159" s="94" t="n">
        <x:f>IFERROR(Y2159/W2159,0)</x:f>
        <x:v>0.5316455696202531</x:v>
      </x:c>
      <x:c r="AA2159" s="84" t="str">
        <x:f>PROPER(TRIM('Raw Sales'!M2159))</x:f>
        <x:v>Credit Card</x:v>
      </x:c>
      <x:c r="AB2159" s="84" t="str">
        <x:f>PROPER(TRIM('Raw Sales'!N2159))</x:f>
        <x:v>Maya Brooks</x:v>
      </x:c>
      <x:c r="AC2159" s="85" t="n">
        <x:f>'Raw Sales'!O2159</x:f>
        <x:v>45977</x:v>
      </x:c>
      <x:c r="AD2159" s="84" t="n">
        <x:f>AC2159-B2159</x:f>
        <x:v>4</x:v>
      </x:c>
      <x:c r="AE2159" s="84" t="str">
        <x:f>IF(COUNTIF($A$5:A2159,A2159)&gt;1,"Duplicate","Keep")</x:f>
        <x:v>Keep</x:v>
      </x:c>
      <x:c r="AF2159" s="84" t="str">
        <x:f>IF(OR(R2159&lt;=0,AC2159&lt;B2159,H2159="Unknown",M2159="Unknown Product"),"Review","Valid")</x:f>
        <x:v>Valid</x:v>
      </x:c>
      <x:c r="AG2159" s="84" t="n">
        <x:f>IF(AND(AE2159="Keep",AF2159="Valid"),1,0)</x:f>
        <x:v>1</x:v>
      </x:c>
      <x:c r="AH2159" s="84" t="n">
        <x:f>IF(AND(AG2159=1,OR('Dashboard'!$B$4="All",I2159='Dashboard'!$B$4),OR('Dashboard'!$E$4="All",N2159='Dashboard'!$E$4),OR('Dashboard'!$H$4="All",K2159='Dashboard'!$H$4),OR('Dashboard'!$K$4="All",C2159='Dashboard'!$K$4)),1,0)</x:f>
        <x:v>1</x:v>
      </x:c>
      <x:c r="AI2159" s="84" t="n">
        <x:f>IF(AND(AG2159=1,OR('Dashboard'!$B$4="All",I2159='Dashboard'!$B$4),OR('Dashboard'!$E$4="All",N2159='Dashboard'!$E$4),OR('Dashboard'!$H$4="All",K2159='Dashboard'!$H$4)),1,0)</x:f>
        <x:v>1</x:v>
      </x:c>
    </x:row>
    <x:row r="2160">
      <x:c r="A2160" s="84" t="str">
        <x:f>'Raw Sales'!A2160</x:f>
        <x:v>ORD-2025-02177</x:v>
      </x:c>
      <x:c r="B2160" s="85" t="n">
        <x:f>'Raw Sales'!B2160</x:f>
        <x:v>45973</x:v>
      </x:c>
      <x:c r="C2160" s="84" t="n">
        <x:f>YEAR(B2160)</x:f>
        <x:v>2025</x:v>
      </x:c>
      <x:c r="D2160" s="91" t="n">
        <x:f>DATE(YEAR(B2160),MONTH(B2160),1)</x:f>
        <x:v>45962</x:v>
      </x:c>
      <x:c r="E2160" s="84" t="str">
        <x:f>TEXT(B2160,"mmm")</x:f>
        <x:v>Nov</x:v>
      </x:c>
      <x:c r="F2160" s="84" t="str">
        <x:f>'Raw Sales'!C2160</x:f>
        <x:v>CUST-0454</x:v>
      </x:c>
      <x:c r="G2160" s="84" t="str">
        <x:f>PROPER(TRIM('Raw Sales'!D2160))</x:f>
        <x:v>Amelia Baker</x:v>
      </x:c>
      <x:c r="H2160" s="84" t="str">
        <x:f>IF(TRIM('Raw Sales'!E2160)="","Unknown",PROPER(TRIM('Raw Sales'!E2160)))</x:f>
        <x:v>Small Business</x:v>
      </x:c>
      <x:c r="I2160" s="84" t="str">
        <x:f>PROPER(TRIM('Raw Sales'!F2160))</x:f>
        <x:v>Northeast</x:v>
      </x:c>
      <x:c r="J2160" s="84" t="str">
        <x:f>PROPER(TRIM('Raw Sales'!G2160))</x:f>
        <x:v>Newark</x:v>
      </x:c>
      <x:c r="K2160" s="84" t="str">
        <x:f>PROPER(TRIM('Raw Sales'!H2160))</x:f>
        <x:v>Online</x:v>
      </x:c>
      <x:c r="L2160" s="84" t="str">
        <x:f>'Raw Sales'!I2160</x:f>
        <x:v>HOME-003</x:v>
      </x:c>
      <x:c r="M2160" s="84" t="str">
        <x:f>IFERROR(VLOOKUP(L2160,'Reference Data'!$A$5:$F$40,2,FALSE),"Unknown Product")</x:f>
        <x:v>Countertop Blender</x:v>
      </x:c>
      <x:c r="N2160" s="84" t="str">
        <x:f>IFERROR(VLOOKUP(L2160,'Reference Data'!$A$5:$F$40,3,FALSE),"Unknown")</x:f>
        <x:v>Home &amp; Kitchen</x:v>
      </x:c>
      <x:c r="O2160" s="84" t="str">
        <x:f>IFERROR(VLOOKUP(L2160,'Reference Data'!$A$5:$F$40,4,FALSE),"Unknown")</x:f>
        <x:v>Small Appliances</x:v>
      </x:c>
      <x:c r="P2160" s="92" t="n">
        <x:f>IFERROR(VLOOKUP(L2160,'Reference Data'!$A$5:$F$40,5,FALSE),0)</x:f>
        <x:v>89</x:v>
      </x:c>
      <x:c r="Q2160" s="92" t="n">
        <x:f>IFERROR(VLOOKUP(L2160,'Reference Data'!$A$5:$F$40,6,FALSE),0)</x:f>
        <x:v>46</x:v>
      </x:c>
      <x:c r="R2160" s="84" t="n">
        <x:f>'Raw Sales'!J2160</x:f>
        <x:v>1</x:v>
      </x:c>
      <x:c r="S2160" s="87" t="n">
        <x:f>'Raw Sales'!K2160</x:f>
        <x:v>0</x:v>
      </x:c>
      <x:c r="T2160" s="93" t="n">
        <x:f>P2160*R2160</x:f>
        <x:v>89</x:v>
      </x:c>
      <x:c r="U2160" s="93" t="n">
        <x:f>T2160*S2160</x:f>
        <x:v>0</x:v>
      </x:c>
      <x:c r="V2160" s="93" t="str">
        <x:f>PROPER(TRIM('Raw Sales'!L2160))</x:f>
        <x:v>Completed</x:v>
      </x:c>
      <x:c r="W2160" s="93" t="n">
        <x:f>IF(V2160="Returned",0,T2160-U2160)</x:f>
        <x:v>89</x:v>
      </x:c>
      <x:c r="X2160" s="93" t="n">
        <x:f>IF(V2160="Returned",Q2160*R2160*10%,Q2160*R2160)</x:f>
        <x:v>46</x:v>
      </x:c>
      <x:c r="Y2160" s="93" t="n">
        <x:f>W2160-X2160</x:f>
        <x:v>43</x:v>
      </x:c>
      <x:c r="Z2160" s="94" t="n">
        <x:f>IFERROR(Y2160/W2160,0)</x:f>
        <x:v>0.48314606741573035</x:v>
      </x:c>
      <x:c r="AA2160" s="84" t="str">
        <x:f>PROPER(TRIM('Raw Sales'!M2160))</x:f>
        <x:v>Debit Card</x:v>
      </x:c>
      <x:c r="AB2160" s="84" t="str">
        <x:f>PROPER(TRIM('Raw Sales'!N2160))</x:f>
        <x:v>Maya Brooks</x:v>
      </x:c>
      <x:c r="AC2160" s="85" t="n">
        <x:f>'Raw Sales'!O2160</x:f>
        <x:v>45976</x:v>
      </x:c>
      <x:c r="AD2160" s="84" t="n">
        <x:f>AC2160-B2160</x:f>
        <x:v>3</x:v>
      </x:c>
      <x:c r="AE2160" s="84" t="str">
        <x:f>IF(COUNTIF($A$5:A2160,A2160)&gt;1,"Duplicate","Keep")</x:f>
        <x:v>Keep</x:v>
      </x:c>
      <x:c r="AF2160" s="84" t="str">
        <x:f>IF(OR(R2160&lt;=0,AC2160&lt;B2160,H2160="Unknown",M2160="Unknown Product"),"Review","Valid")</x:f>
        <x:v>Valid</x:v>
      </x:c>
      <x:c r="AG2160" s="84" t="n">
        <x:f>IF(AND(AE2160="Keep",AF2160="Valid"),1,0)</x:f>
        <x:v>1</x:v>
      </x:c>
      <x:c r="AH2160" s="84" t="n">
        <x:f>IF(AND(AG2160=1,OR('Dashboard'!$B$4="All",I2160='Dashboard'!$B$4),OR('Dashboard'!$E$4="All",N2160='Dashboard'!$E$4),OR('Dashboard'!$H$4="All",K2160='Dashboard'!$H$4),OR('Dashboard'!$K$4="All",C2160='Dashboard'!$K$4)),1,0)</x:f>
        <x:v>1</x:v>
      </x:c>
      <x:c r="AI2160" s="84" t="n">
        <x:f>IF(AND(AG2160=1,OR('Dashboard'!$B$4="All",I2160='Dashboard'!$B$4),OR('Dashboard'!$E$4="All",N2160='Dashboard'!$E$4),OR('Dashboard'!$H$4="All",K2160='Dashboard'!$H$4)),1,0)</x:f>
        <x:v>1</x:v>
      </x:c>
    </x:row>
    <x:row r="2161">
      <x:c r="A2161" s="84" t="str">
        <x:f>'Raw Sales'!A2161</x:f>
        <x:v>ORD-2025-00248</x:v>
      </x:c>
      <x:c r="B2161" s="85" t="n">
        <x:f>'Raw Sales'!B2161</x:f>
        <x:v>45974</x:v>
      </x:c>
      <x:c r="C2161" s="84" t="n">
        <x:f>YEAR(B2161)</x:f>
        <x:v>2025</x:v>
      </x:c>
      <x:c r="D2161" s="91" t="n">
        <x:f>DATE(YEAR(B2161),MONTH(B2161),1)</x:f>
        <x:v>45962</x:v>
      </x:c>
      <x:c r="E2161" s="84" t="str">
        <x:f>TEXT(B2161,"mmm")</x:f>
        <x:v>Nov</x:v>
      </x:c>
      <x:c r="F2161" s="84" t="str">
        <x:f>'Raw Sales'!C2161</x:f>
        <x:v>CUST-0256</x:v>
      </x:c>
      <x:c r="G2161" s="84" t="str">
        <x:f>PROPER(TRIM('Raw Sales'!D2161))</x:f>
        <x:v>Elena Foster</x:v>
      </x:c>
      <x:c r="H2161" s="84" t="str">
        <x:f>IF(TRIM('Raw Sales'!E2161)="","Unknown",PROPER(TRIM('Raw Sales'!E2161)))</x:f>
        <x:v>Consumer</x:v>
      </x:c>
      <x:c r="I2161" s="84" t="str">
        <x:f>PROPER(TRIM('Raw Sales'!F2161))</x:f>
        <x:v>Midwest</x:v>
      </x:c>
      <x:c r="J2161" s="84" t="str">
        <x:f>PROPER(TRIM('Raw Sales'!G2161))</x:f>
        <x:v>Detroit</x:v>
      </x:c>
      <x:c r="K2161" s="84" t="str">
        <x:f>PROPER(TRIM('Raw Sales'!H2161))</x:f>
        <x:v>Retail Store</x:v>
      </x:c>
      <x:c r="L2161" s="84" t="str">
        <x:f>'Raw Sales'!I2161</x:f>
        <x:v>OFFC-003</x:v>
      </x:c>
      <x:c r="M2161" s="84" t="str">
        <x:f>IFERROR(VLOOKUP(L2161,'Reference Data'!$A$5:$F$40,2,FALSE),"Unknown Product")</x:f>
        <x:v>LED Desk Lamp</x:v>
      </x:c>
      <x:c r="N2161" s="84" t="str">
        <x:f>IFERROR(VLOOKUP(L2161,'Reference Data'!$A$5:$F$40,3,FALSE),"Unknown")</x:f>
        <x:v>Office</x:v>
      </x:c>
      <x:c r="O2161" s="84" t="str">
        <x:f>IFERROR(VLOOKUP(L2161,'Reference Data'!$A$5:$F$40,4,FALSE),"Unknown")</x:f>
        <x:v>Desk Accessories</x:v>
      </x:c>
      <x:c r="P2161" s="92" t="n">
        <x:f>IFERROR(VLOOKUP(L2161,'Reference Data'!$A$5:$F$40,5,FALSE),0)</x:f>
        <x:v>45</x:v>
      </x:c>
      <x:c r="Q2161" s="92" t="n">
        <x:f>IFERROR(VLOOKUP(L2161,'Reference Data'!$A$5:$F$40,6,FALSE),0)</x:f>
        <x:v>20</x:v>
      </x:c>
      <x:c r="R2161" s="84" t="n">
        <x:f>'Raw Sales'!J2161</x:f>
        <x:v>1</x:v>
      </x:c>
      <x:c r="S2161" s="87" t="n">
        <x:f>'Raw Sales'!K2161</x:f>
        <x:v>0.05</x:v>
      </x:c>
      <x:c r="T2161" s="93" t="n">
        <x:f>P2161*R2161</x:f>
        <x:v>45</x:v>
      </x:c>
      <x:c r="U2161" s="93" t="n">
        <x:f>T2161*S2161</x:f>
        <x:v>2.25</x:v>
      </x:c>
      <x:c r="V2161" s="93" t="str">
        <x:f>PROPER(TRIM('Raw Sales'!L2161))</x:f>
        <x:v>Completed</x:v>
      </x:c>
      <x:c r="W2161" s="93" t="n">
        <x:f>IF(V2161="Returned",0,T2161-U2161)</x:f>
        <x:v>42.75</x:v>
      </x:c>
      <x:c r="X2161" s="93" t="n">
        <x:f>IF(V2161="Returned",Q2161*R2161*10%,Q2161*R2161)</x:f>
        <x:v>20</x:v>
      </x:c>
      <x:c r="Y2161" s="93" t="n">
        <x:f>W2161-X2161</x:f>
        <x:v>22.75</x:v>
      </x:c>
      <x:c r="Z2161" s="94" t="n">
        <x:f>IFERROR(Y2161/W2161,0)</x:f>
        <x:v>0.5321637426900585</x:v>
      </x:c>
      <x:c r="AA2161" s="84" t="str">
        <x:f>PROPER(TRIM('Raw Sales'!M2161))</x:f>
        <x:v>Credit Card</x:v>
      </x:c>
      <x:c r="AB2161" s="84" t="str">
        <x:f>PROPER(TRIM('Raw Sales'!N2161))</x:f>
        <x:v>Emma Hayes</x:v>
      </x:c>
      <x:c r="AC2161" s="85" t="n">
        <x:f>'Raw Sales'!O2161</x:f>
        <x:v>45974</x:v>
      </x:c>
      <x:c r="AD2161" s="84" t="n">
        <x:f>AC2161-B2161</x:f>
        <x:v>0</x:v>
      </x:c>
      <x:c r="AE2161" s="84" t="str">
        <x:f>IF(COUNTIF($A$5:A2161,A2161)&gt;1,"Duplicate","Keep")</x:f>
        <x:v>Keep</x:v>
      </x:c>
      <x:c r="AF2161" s="84" t="str">
        <x:f>IF(OR(R2161&lt;=0,AC2161&lt;B2161,H2161="Unknown",M2161="Unknown Product"),"Review","Valid")</x:f>
        <x:v>Valid</x:v>
      </x:c>
      <x:c r="AG2161" s="84" t="n">
        <x:f>IF(AND(AE2161="Keep",AF2161="Valid"),1,0)</x:f>
        <x:v>1</x:v>
      </x:c>
      <x:c r="AH2161" s="84" t="n">
        <x:f>IF(AND(AG2161=1,OR('Dashboard'!$B$4="All",I2161='Dashboard'!$B$4),OR('Dashboard'!$E$4="All",N2161='Dashboard'!$E$4),OR('Dashboard'!$H$4="All",K2161='Dashboard'!$H$4),OR('Dashboard'!$K$4="All",C2161='Dashboard'!$K$4)),1,0)</x:f>
        <x:v>1</x:v>
      </x:c>
      <x:c r="AI2161" s="84" t="n">
        <x:f>IF(AND(AG2161=1,OR('Dashboard'!$B$4="All",I2161='Dashboard'!$B$4),OR('Dashboard'!$E$4="All",N2161='Dashboard'!$E$4),OR('Dashboard'!$H$4="All",K2161='Dashboard'!$H$4)),1,0)</x:f>
        <x:v>1</x:v>
      </x:c>
    </x:row>
    <x:row r="2162">
      <x:c r="A2162" s="84" t="str">
        <x:f>'Raw Sales'!A2162</x:f>
        <x:v>ORD-2025-00429</x:v>
      </x:c>
      <x:c r="B2162" s="85" t="n">
        <x:f>'Raw Sales'!B2162</x:f>
        <x:v>45974</x:v>
      </x:c>
      <x:c r="C2162" s="84" t="n">
        <x:f>YEAR(B2162)</x:f>
        <x:v>2025</x:v>
      </x:c>
      <x:c r="D2162" s="91" t="n">
        <x:f>DATE(YEAR(B2162),MONTH(B2162),1)</x:f>
        <x:v>45962</x:v>
      </x:c>
      <x:c r="E2162" s="84" t="str">
        <x:f>TEXT(B2162,"mmm")</x:f>
        <x:v>Nov</x:v>
      </x:c>
      <x:c r="F2162" s="84" t="str">
        <x:f>'Raw Sales'!C2162</x:f>
        <x:v>CUST-0283</x:v>
      </x:c>
      <x:c r="G2162" s="84" t="str">
        <x:f>PROPER(TRIM('Raw Sales'!D2162))</x:f>
        <x:v>Priya Adams</x:v>
      </x:c>
      <x:c r="H2162" s="84" t="str">
        <x:f>IF(TRIM('Raw Sales'!E2162)="","Unknown",PROPER(TRIM('Raw Sales'!E2162)))</x:f>
        <x:v>Consumer</x:v>
      </x:c>
      <x:c r="I2162" s="84" t="str">
        <x:f>PROPER(TRIM('Raw Sales'!F2162))</x:f>
        <x:v>West</x:v>
      </x:c>
      <x:c r="J2162" s="84" t="str">
        <x:f>PROPER(TRIM('Raw Sales'!G2162))</x:f>
        <x:v>Denver</x:v>
      </x:c>
      <x:c r="K2162" s="84" t="str">
        <x:f>PROPER(TRIM('Raw Sales'!H2162))</x:f>
        <x:v>Online</x:v>
      </x:c>
      <x:c r="L2162" s="84" t="str">
        <x:f>'Raw Sales'!I2162</x:f>
        <x:v>ELEC-001</x:v>
      </x:c>
      <x:c r="M2162" s="84" t="str">
        <x:f>IFERROR(VLOOKUP(L2162,'Reference Data'!$A$5:$F$40,2,FALSE),"Unknown Product")</x:f>
        <x:v>Wireless Earbuds</x:v>
      </x:c>
      <x:c r="N2162" s="84" t="str">
        <x:f>IFERROR(VLOOKUP(L2162,'Reference Data'!$A$5:$F$40,3,FALSE),"Unknown")</x:f>
        <x:v>Electronics</x:v>
      </x:c>
      <x:c r="O2162" s="84" t="str">
        <x:f>IFERROR(VLOOKUP(L2162,'Reference Data'!$A$5:$F$40,4,FALSE),"Unknown")</x:f>
        <x:v>Audio</x:v>
      </x:c>
      <x:c r="P2162" s="92" t="n">
        <x:f>IFERROR(VLOOKUP(L2162,'Reference Data'!$A$5:$F$40,5,FALSE),0)</x:f>
        <x:v>69</x:v>
      </x:c>
      <x:c r="Q2162" s="92" t="n">
        <x:f>IFERROR(VLOOKUP(L2162,'Reference Data'!$A$5:$F$40,6,FALSE),0)</x:f>
        <x:v>36</x:v>
      </x:c>
      <x:c r="R2162" s="84" t="n">
        <x:f>'Raw Sales'!J2162</x:f>
        <x:v>1</x:v>
      </x:c>
      <x:c r="S2162" s="87" t="n">
        <x:f>'Raw Sales'!K2162</x:f>
        <x:v>0.05</x:v>
      </x:c>
      <x:c r="T2162" s="93" t="n">
        <x:f>P2162*R2162</x:f>
        <x:v>69</x:v>
      </x:c>
      <x:c r="U2162" s="93" t="n">
        <x:f>T2162*S2162</x:f>
        <x:v>3.45</x:v>
      </x:c>
      <x:c r="V2162" s="93" t="str">
        <x:f>PROPER(TRIM('Raw Sales'!L2162))</x:f>
        <x:v>Completed</x:v>
      </x:c>
      <x:c r="W2162" s="93" t="n">
        <x:f>IF(V2162="Returned",0,T2162-U2162)</x:f>
        <x:v>65.55</x:v>
      </x:c>
      <x:c r="X2162" s="93" t="n">
        <x:f>IF(V2162="Returned",Q2162*R2162*10%,Q2162*R2162)</x:f>
        <x:v>36</x:v>
      </x:c>
      <x:c r="Y2162" s="93" t="n">
        <x:f>W2162-X2162</x:f>
        <x:v>29.549999999999997</x:v>
      </x:c>
      <x:c r="Z2162" s="94" t="n">
        <x:f>IFERROR(Y2162/W2162,0)</x:f>
        <x:v>0.45080091533180777</x:v>
      </x:c>
      <x:c r="AA2162" s="84" t="str">
        <x:f>PROPER(TRIM('Raw Sales'!M2162))</x:f>
        <x:v>Credit Card</x:v>
      </x:c>
      <x:c r="AB2162" s="84" t="str">
        <x:f>PROPER(TRIM('Raw Sales'!N2162))</x:f>
        <x:v>Leo Martinez</x:v>
      </x:c>
      <x:c r="AC2162" s="85" t="n">
        <x:f>'Raw Sales'!O2162</x:f>
        <x:v>45977</x:v>
      </x:c>
      <x:c r="AD2162" s="84" t="n">
        <x:f>AC2162-B2162</x:f>
        <x:v>3</x:v>
      </x:c>
      <x:c r="AE2162" s="84" t="str">
        <x:f>IF(COUNTIF($A$5:A2162,A2162)&gt;1,"Duplicate","Keep")</x:f>
        <x:v>Keep</x:v>
      </x:c>
      <x:c r="AF2162" s="84" t="str">
        <x:f>IF(OR(R2162&lt;=0,AC2162&lt;B2162,H2162="Unknown",M2162="Unknown Product"),"Review","Valid")</x:f>
        <x:v>Valid</x:v>
      </x:c>
      <x:c r="AG2162" s="84" t="n">
        <x:f>IF(AND(AE2162="Keep",AF2162="Valid"),1,0)</x:f>
        <x:v>1</x:v>
      </x:c>
      <x:c r="AH2162" s="84" t="n">
        <x:f>IF(AND(AG2162=1,OR('Dashboard'!$B$4="All",I2162='Dashboard'!$B$4),OR('Dashboard'!$E$4="All",N2162='Dashboard'!$E$4),OR('Dashboard'!$H$4="All",K2162='Dashboard'!$H$4),OR('Dashboard'!$K$4="All",C2162='Dashboard'!$K$4)),1,0)</x:f>
        <x:v>1</x:v>
      </x:c>
      <x:c r="AI2162" s="84" t="n">
        <x:f>IF(AND(AG2162=1,OR('Dashboard'!$B$4="All",I2162='Dashboard'!$B$4),OR('Dashboard'!$E$4="All",N2162='Dashboard'!$E$4),OR('Dashboard'!$H$4="All",K2162='Dashboard'!$H$4)),1,0)</x:f>
        <x:v>1</x:v>
      </x:c>
    </x:row>
    <x:row r="2163">
      <x:c r="A2163" s="84" t="str">
        <x:f>'Raw Sales'!A2163</x:f>
        <x:v>ORD-2025-00445</x:v>
      </x:c>
      <x:c r="B2163" s="85" t="n">
        <x:f>'Raw Sales'!B2163</x:f>
        <x:v>45974</x:v>
      </x:c>
      <x:c r="C2163" s="84" t="n">
        <x:f>YEAR(B2163)</x:f>
        <x:v>2025</x:v>
      </x:c>
      <x:c r="D2163" s="91" t="n">
        <x:f>DATE(YEAR(B2163),MONTH(B2163),1)</x:f>
        <x:v>45962</x:v>
      </x:c>
      <x:c r="E2163" s="84" t="str">
        <x:f>TEXT(B2163,"mmm")</x:f>
        <x:v>Nov</x:v>
      </x:c>
      <x:c r="F2163" s="84" t="str">
        <x:f>'Raw Sales'!C2163</x:f>
        <x:v>CUST-0511</x:v>
      </x:c>
      <x:c r="G2163" s="84" t="str">
        <x:f>PROPER(TRIM('Raw Sales'!D2163))</x:f>
        <x:v>Marcus Walker</x:v>
      </x:c>
      <x:c r="H2163" s="84" t="str">
        <x:f>IF(TRIM('Raw Sales'!E2163)="","Unknown",PROPER(TRIM('Raw Sales'!E2163)))</x:f>
        <x:v>Corporate</x:v>
      </x:c>
      <x:c r="I2163" s="84" t="str">
        <x:f>PROPER(TRIM('Raw Sales'!F2163))</x:f>
        <x:v>Northeast</x:v>
      </x:c>
      <x:c r="J2163" s="84" t="str">
        <x:f>PROPER(TRIM('Raw Sales'!G2163))</x:f>
        <x:v>Newark</x:v>
      </x:c>
      <x:c r="K2163" s="84" t="str">
        <x:f>PROPER(TRIM('Raw Sales'!H2163))</x:f>
        <x:v>Marketplace</x:v>
      </x:c>
      <x:c r="L2163" s="84" t="str">
        <x:f>'Raw Sales'!I2163</x:f>
        <x:v>OFFC-003</x:v>
      </x:c>
      <x:c r="M2163" s="84" t="str">
        <x:f>IFERROR(VLOOKUP(L2163,'Reference Data'!$A$5:$F$40,2,FALSE),"Unknown Product")</x:f>
        <x:v>LED Desk Lamp</x:v>
      </x:c>
      <x:c r="N2163" s="84" t="str">
        <x:f>IFERROR(VLOOKUP(L2163,'Reference Data'!$A$5:$F$40,3,FALSE),"Unknown")</x:f>
        <x:v>Office</x:v>
      </x:c>
      <x:c r="O2163" s="84" t="str">
        <x:f>IFERROR(VLOOKUP(L2163,'Reference Data'!$A$5:$F$40,4,FALSE),"Unknown")</x:f>
        <x:v>Desk Accessories</x:v>
      </x:c>
      <x:c r="P2163" s="92" t="n">
        <x:f>IFERROR(VLOOKUP(L2163,'Reference Data'!$A$5:$F$40,5,FALSE),0)</x:f>
        <x:v>45</x:v>
      </x:c>
      <x:c r="Q2163" s="92" t="n">
        <x:f>IFERROR(VLOOKUP(L2163,'Reference Data'!$A$5:$F$40,6,FALSE),0)</x:f>
        <x:v>20</x:v>
      </x:c>
      <x:c r="R2163" s="84" t="n">
        <x:f>'Raw Sales'!J2163</x:f>
        <x:v>2</x:v>
      </x:c>
      <x:c r="S2163" s="87" t="n">
        <x:f>'Raw Sales'!K2163</x:f>
        <x:v>0.15</x:v>
      </x:c>
      <x:c r="T2163" s="93" t="n">
        <x:f>P2163*R2163</x:f>
        <x:v>90</x:v>
      </x:c>
      <x:c r="U2163" s="93" t="n">
        <x:f>T2163*S2163</x:f>
        <x:v>13.5</x:v>
      </x:c>
      <x:c r="V2163" s="93" t="str">
        <x:f>PROPER(TRIM('Raw Sales'!L2163))</x:f>
        <x:v>Completed</x:v>
      </x:c>
      <x:c r="W2163" s="93" t="n">
        <x:f>IF(V2163="Returned",0,T2163-U2163)</x:f>
        <x:v>76.5</x:v>
      </x:c>
      <x:c r="X2163" s="93" t="n">
        <x:f>IF(V2163="Returned",Q2163*R2163*10%,Q2163*R2163)</x:f>
        <x:v>40</x:v>
      </x:c>
      <x:c r="Y2163" s="93" t="n">
        <x:f>W2163-X2163</x:f>
        <x:v>36.5</x:v>
      </x:c>
      <x:c r="Z2163" s="94" t="n">
        <x:f>IFERROR(Y2163/W2163,0)</x:f>
        <x:v>0.477124183006536</x:v>
      </x:c>
      <x:c r="AA2163" s="84" t="str">
        <x:f>PROPER(TRIM('Raw Sales'!M2163))</x:f>
        <x:v>Paypal</x:v>
      </x:c>
      <x:c r="AB2163" s="84" t="str">
        <x:f>PROPER(TRIM('Raw Sales'!N2163))</x:f>
        <x:v>Sofia Bennett</x:v>
      </x:c>
      <x:c r="AC2163" s="85" t="n">
        <x:f>'Raw Sales'!O2163</x:f>
        <x:v>45980</x:v>
      </x:c>
      <x:c r="AD2163" s="84" t="n">
        <x:f>AC2163-B2163</x:f>
        <x:v>6</x:v>
      </x:c>
      <x:c r="AE2163" s="84" t="str">
        <x:f>IF(COUNTIF($A$5:A2163,A2163)&gt;1,"Duplicate","Keep")</x:f>
        <x:v>Keep</x:v>
      </x:c>
      <x:c r="AF2163" s="84" t="str">
        <x:f>IF(OR(R2163&lt;=0,AC2163&lt;B2163,H2163="Unknown",M2163="Unknown Product"),"Review","Valid")</x:f>
        <x:v>Valid</x:v>
      </x:c>
      <x:c r="AG2163" s="84" t="n">
        <x:f>IF(AND(AE2163="Keep",AF2163="Valid"),1,0)</x:f>
        <x:v>1</x:v>
      </x:c>
      <x:c r="AH2163" s="84" t="n">
        <x:f>IF(AND(AG2163=1,OR('Dashboard'!$B$4="All",I2163='Dashboard'!$B$4),OR('Dashboard'!$E$4="All",N2163='Dashboard'!$E$4),OR('Dashboard'!$H$4="All",K2163='Dashboard'!$H$4),OR('Dashboard'!$K$4="All",C2163='Dashboard'!$K$4)),1,0)</x:f>
        <x:v>1</x:v>
      </x:c>
      <x:c r="AI2163" s="84" t="n">
        <x:f>IF(AND(AG2163=1,OR('Dashboard'!$B$4="All",I2163='Dashboard'!$B$4),OR('Dashboard'!$E$4="All",N2163='Dashboard'!$E$4),OR('Dashboard'!$H$4="All",K2163='Dashboard'!$H$4)),1,0)</x:f>
        <x:v>1</x:v>
      </x:c>
    </x:row>
    <x:row r="2164">
      <x:c r="A2164" s="84" t="str">
        <x:f>'Raw Sales'!A2164</x:f>
        <x:v>ORD-2025-00991</x:v>
      </x:c>
      <x:c r="B2164" s="85" t="n">
        <x:f>'Raw Sales'!B2164</x:f>
        <x:v>45974</x:v>
      </x:c>
      <x:c r="C2164" s="84" t="n">
        <x:f>YEAR(B2164)</x:f>
        <x:v>2025</x:v>
      </x:c>
      <x:c r="D2164" s="91" t="n">
        <x:f>DATE(YEAR(B2164),MONTH(B2164),1)</x:f>
        <x:v>45962</x:v>
      </x:c>
      <x:c r="E2164" s="84" t="str">
        <x:f>TEXT(B2164,"mmm")</x:f>
        <x:v>Nov</x:v>
      </x:c>
      <x:c r="F2164" s="84" t="str">
        <x:f>'Raw Sales'!C2164</x:f>
        <x:v>CUST-0317</x:v>
      </x:c>
      <x:c r="G2164" s="84" t="str">
        <x:f>PROPER(TRIM('Raw Sales'!D2164))</x:f>
        <x:v>Owen Garcia</x:v>
      </x:c>
      <x:c r="H2164" s="84" t="str">
        <x:f>IF(TRIM('Raw Sales'!E2164)="","Unknown",PROPER(TRIM('Raw Sales'!E2164)))</x:f>
        <x:v>Consumer</x:v>
      </x:c>
      <x:c r="I2164" s="84" t="str">
        <x:f>PROPER(TRIM('Raw Sales'!F2164))</x:f>
        <x:v>West</x:v>
      </x:c>
      <x:c r="J2164" s="84" t="str">
        <x:f>PROPER(TRIM('Raw Sales'!G2164))</x:f>
        <x:v>Seattle</x:v>
      </x:c>
      <x:c r="K2164" s="84" t="str">
        <x:f>PROPER(TRIM('Raw Sales'!H2164))</x:f>
        <x:v>Marketplace</x:v>
      </x:c>
      <x:c r="L2164" s="84" t="str">
        <x:f>'Raw Sales'!I2164</x:f>
        <x:v>ACCS-002</x:v>
      </x:c>
      <x:c r="M2164" s="84" t="str">
        <x:f>IFERROR(VLOOKUP(L2164,'Reference Data'!$A$5:$F$40,2,FALSE),"Unknown Product")</x:f>
        <x:v>Travel Backpack</x:v>
      </x:c>
      <x:c r="N2164" s="84" t="str">
        <x:f>IFERROR(VLOOKUP(L2164,'Reference Data'!$A$5:$F$40,3,FALSE),"Unknown")</x:f>
        <x:v>Accessories</x:v>
      </x:c>
      <x:c r="O2164" s="84" t="str">
        <x:f>IFERROR(VLOOKUP(L2164,'Reference Data'!$A$5:$F$40,4,FALSE),"Unknown")</x:f>
        <x:v>Bags</x:v>
      </x:c>
      <x:c r="P2164" s="92" t="n">
        <x:f>IFERROR(VLOOKUP(L2164,'Reference Data'!$A$5:$F$40,5,FALSE),0)</x:f>
        <x:v>89</x:v>
      </x:c>
      <x:c r="Q2164" s="92" t="n">
        <x:f>IFERROR(VLOOKUP(L2164,'Reference Data'!$A$5:$F$40,6,FALSE),0)</x:f>
        <x:v>36</x:v>
      </x:c>
      <x:c r="R2164" s="84" t="n">
        <x:f>'Raw Sales'!J2164</x:f>
        <x:v>1</x:v>
      </x:c>
      <x:c r="S2164" s="87" t="n">
        <x:f>'Raw Sales'!K2164</x:f>
        <x:v>0.1</x:v>
      </x:c>
      <x:c r="T2164" s="93" t="n">
        <x:f>P2164*R2164</x:f>
        <x:v>89</x:v>
      </x:c>
      <x:c r="U2164" s="93" t="n">
        <x:f>T2164*S2164</x:f>
        <x:v>8.9</x:v>
      </x:c>
      <x:c r="V2164" s="93" t="str">
        <x:f>PROPER(TRIM('Raw Sales'!L2164))</x:f>
        <x:v>Completed</x:v>
      </x:c>
      <x:c r="W2164" s="93" t="n">
        <x:f>IF(V2164="Returned",0,T2164-U2164)</x:f>
        <x:v>80.1</x:v>
      </x:c>
      <x:c r="X2164" s="93" t="n">
        <x:f>IF(V2164="Returned",Q2164*R2164*10%,Q2164*R2164)</x:f>
        <x:v>36</x:v>
      </x:c>
      <x:c r="Y2164" s="93" t="n">
        <x:f>W2164-X2164</x:f>
        <x:v>44.099999999999994</x:v>
      </x:c>
      <x:c r="Z2164" s="94" t="n">
        <x:f>IFERROR(Y2164/W2164,0)</x:f>
        <x:v>0.550561797752809</x:v>
      </x:c>
      <x:c r="AA2164" s="84" t="str">
        <x:f>PROPER(TRIM('Raw Sales'!M2164))</x:f>
        <x:v>Paypal</x:v>
      </x:c>
      <x:c r="AB2164" s="84" t="str">
        <x:f>PROPER(TRIM('Raw Sales'!N2164))</x:f>
        <x:v>Leo Martinez</x:v>
      </x:c>
      <x:c r="AC2164" s="85" t="n">
        <x:f>'Raw Sales'!O2164</x:f>
        <x:v>45980</x:v>
      </x:c>
      <x:c r="AD2164" s="84" t="n">
        <x:f>AC2164-B2164</x:f>
        <x:v>6</x:v>
      </x:c>
      <x:c r="AE2164" s="84" t="str">
        <x:f>IF(COUNTIF($A$5:A2164,A2164)&gt;1,"Duplicate","Keep")</x:f>
        <x:v>Keep</x:v>
      </x:c>
      <x:c r="AF2164" s="84" t="str">
        <x:f>IF(OR(R2164&lt;=0,AC2164&lt;B2164,H2164="Unknown",M2164="Unknown Product"),"Review","Valid")</x:f>
        <x:v>Valid</x:v>
      </x:c>
      <x:c r="AG2164" s="84" t="n">
        <x:f>IF(AND(AE2164="Keep",AF2164="Valid"),1,0)</x:f>
        <x:v>1</x:v>
      </x:c>
      <x:c r="AH2164" s="84" t="n">
        <x:f>IF(AND(AG2164=1,OR('Dashboard'!$B$4="All",I2164='Dashboard'!$B$4),OR('Dashboard'!$E$4="All",N2164='Dashboard'!$E$4),OR('Dashboard'!$H$4="All",K2164='Dashboard'!$H$4),OR('Dashboard'!$K$4="All",C2164='Dashboard'!$K$4)),1,0)</x:f>
        <x:v>1</x:v>
      </x:c>
      <x:c r="AI2164" s="84" t="n">
        <x:f>IF(AND(AG2164=1,OR('Dashboard'!$B$4="All",I2164='Dashboard'!$B$4),OR('Dashboard'!$E$4="All",N2164='Dashboard'!$E$4),OR('Dashboard'!$H$4="All",K2164='Dashboard'!$H$4)),1,0)</x:f>
        <x:v>1</x:v>
      </x:c>
    </x:row>
    <x:row r="2165">
      <x:c r="A2165" s="84" t="str">
        <x:f>'Raw Sales'!A2165</x:f>
        <x:v>ORD-2025-01636</x:v>
      </x:c>
      <x:c r="B2165" s="85" t="n">
        <x:f>'Raw Sales'!B2165</x:f>
        <x:v>45974</x:v>
      </x:c>
      <x:c r="C2165" s="84" t="n">
        <x:f>YEAR(B2165)</x:f>
        <x:v>2025</x:v>
      </x:c>
      <x:c r="D2165" s="91" t="n">
        <x:f>DATE(YEAR(B2165),MONTH(B2165),1)</x:f>
        <x:v>45962</x:v>
      </x:c>
      <x:c r="E2165" s="84" t="str">
        <x:f>TEXT(B2165,"mmm")</x:f>
        <x:v>Nov</x:v>
      </x:c>
      <x:c r="F2165" s="84" t="str">
        <x:f>'Raw Sales'!C2165</x:f>
        <x:v>CUST-0237</x:v>
      </x:c>
      <x:c r="G2165" s="84" t="str">
        <x:f>PROPER(TRIM('Raw Sales'!D2165))</x:f>
        <x:v>Chloe Garcia</x:v>
      </x:c>
      <x:c r="H2165" s="84" t="str">
        <x:f>IF(TRIM('Raw Sales'!E2165)="","Unknown",PROPER(TRIM('Raw Sales'!E2165)))</x:f>
        <x:v>Small Business</x:v>
      </x:c>
      <x:c r="I2165" s="84" t="str">
        <x:f>PROPER(TRIM('Raw Sales'!F2165))</x:f>
        <x:v>Midwest</x:v>
      </x:c>
      <x:c r="J2165" s="84" t="str">
        <x:f>PROPER(TRIM('Raw Sales'!G2165))</x:f>
        <x:v>Detroit</x:v>
      </x:c>
      <x:c r="K2165" s="84" t="str">
        <x:f>PROPER(TRIM('Raw Sales'!H2165))</x:f>
        <x:v>Marketplace</x:v>
      </x:c>
      <x:c r="L2165" s="84" t="str">
        <x:f>'Raw Sales'!I2165</x:f>
        <x:v>FITN-001</x:v>
      </x:c>
      <x:c r="M2165" s="84" t="str">
        <x:f>IFERROR(VLOOKUP(L2165,'Reference Data'!$A$5:$F$40,2,FALSE),"Unknown Product")</x:f>
        <x:v>Yoga Mat</x:v>
      </x:c>
      <x:c r="N2165" s="84" t="str">
        <x:f>IFERROR(VLOOKUP(L2165,'Reference Data'!$A$5:$F$40,3,FALSE),"Unknown")</x:f>
        <x:v>Fitness</x:v>
      </x:c>
      <x:c r="O2165" s="84" t="str">
        <x:f>IFERROR(VLOOKUP(L2165,'Reference Data'!$A$5:$F$40,4,FALSE),"Unknown")</x:f>
        <x:v>Yoga</x:v>
      </x:c>
      <x:c r="P2165" s="92" t="n">
        <x:f>IFERROR(VLOOKUP(L2165,'Reference Data'!$A$5:$F$40,5,FALSE),0)</x:f>
        <x:v>35</x:v>
      </x:c>
      <x:c r="Q2165" s="92" t="n">
        <x:f>IFERROR(VLOOKUP(L2165,'Reference Data'!$A$5:$F$40,6,FALSE),0)</x:f>
        <x:v>13</x:v>
      </x:c>
      <x:c r="R2165" s="84" t="n">
        <x:f>'Raw Sales'!J2165</x:f>
        <x:v>4</x:v>
      </x:c>
      <x:c r="S2165" s="87" t="n">
        <x:f>'Raw Sales'!K2165</x:f>
        <x:v>0.15</x:v>
      </x:c>
      <x:c r="T2165" s="93" t="n">
        <x:f>P2165*R2165</x:f>
        <x:v>140</x:v>
      </x:c>
      <x:c r="U2165" s="93" t="n">
        <x:f>T2165*S2165</x:f>
        <x:v>21</x:v>
      </x:c>
      <x:c r="V2165" s="93" t="str">
        <x:f>PROPER(TRIM('Raw Sales'!L2165))</x:f>
        <x:v>Returned</x:v>
      </x:c>
      <x:c r="W2165" s="93" t="n">
        <x:f>IF(V2165="Returned",0,T2165-U2165)</x:f>
        <x:v>0</x:v>
      </x:c>
      <x:c r="X2165" s="93" t="n">
        <x:f>IF(V2165="Returned",Q2165*R2165*10%,Q2165*R2165)</x:f>
        <x:v>5.2</x:v>
      </x:c>
      <x:c r="Y2165" s="93" t="n">
        <x:f>W2165-X2165</x:f>
        <x:v>-5.2</x:v>
      </x:c>
      <x:c r="Z2165" s="94" t="n">
        <x:f>IFERROR(Y2165/W2165,0)</x:f>
        <x:v>0</x:v>
      </x:c>
      <x:c r="AA2165" s="84" t="str">
        <x:f>PROPER(TRIM('Raw Sales'!M2165))</x:f>
        <x:v>Credit Card</x:v>
      </x:c>
      <x:c r="AB2165" s="84" t="str">
        <x:f>PROPER(TRIM('Raw Sales'!N2165))</x:f>
        <x:v>Lucas Grant</x:v>
      </x:c>
      <x:c r="AC2165" s="85" t="n">
        <x:f>'Raw Sales'!O2165</x:f>
        <x:v>45978</x:v>
      </x:c>
      <x:c r="AD2165" s="84" t="n">
        <x:f>AC2165-B2165</x:f>
        <x:v>4</x:v>
      </x:c>
      <x:c r="AE2165" s="84" t="str">
        <x:f>IF(COUNTIF($A$5:A2165,A2165)&gt;1,"Duplicate","Keep")</x:f>
        <x:v>Keep</x:v>
      </x:c>
      <x:c r="AF2165" s="84" t="str">
        <x:f>IF(OR(R2165&lt;=0,AC2165&lt;B2165,H2165="Unknown",M2165="Unknown Product"),"Review","Valid")</x:f>
        <x:v>Valid</x:v>
      </x:c>
      <x:c r="AG2165" s="84" t="n">
        <x:f>IF(AND(AE2165="Keep",AF2165="Valid"),1,0)</x:f>
        <x:v>1</x:v>
      </x:c>
      <x:c r="AH2165" s="84" t="n">
        <x:f>IF(AND(AG2165=1,OR('Dashboard'!$B$4="All",I2165='Dashboard'!$B$4),OR('Dashboard'!$E$4="All",N2165='Dashboard'!$E$4),OR('Dashboard'!$H$4="All",K2165='Dashboard'!$H$4),OR('Dashboard'!$K$4="All",C2165='Dashboard'!$K$4)),1,0)</x:f>
        <x:v>1</x:v>
      </x:c>
      <x:c r="AI2165" s="84" t="n">
        <x:f>IF(AND(AG2165=1,OR('Dashboard'!$B$4="All",I2165='Dashboard'!$B$4),OR('Dashboard'!$E$4="All",N2165='Dashboard'!$E$4),OR('Dashboard'!$H$4="All",K2165='Dashboard'!$H$4)),1,0)</x:f>
        <x:v>1</x:v>
      </x:c>
    </x:row>
    <x:row r="2166">
      <x:c r="A2166" s="84" t="str">
        <x:f>'Raw Sales'!A2166</x:f>
        <x:v>ORD-2025-01948</x:v>
      </x:c>
      <x:c r="B2166" s="85" t="n">
        <x:f>'Raw Sales'!B2166</x:f>
        <x:v>45974</x:v>
      </x:c>
      <x:c r="C2166" s="84" t="n">
        <x:f>YEAR(B2166)</x:f>
        <x:v>2025</x:v>
      </x:c>
      <x:c r="D2166" s="91" t="n">
        <x:f>DATE(YEAR(B2166),MONTH(B2166),1)</x:f>
        <x:v>45962</x:v>
      </x:c>
      <x:c r="E2166" s="84" t="str">
        <x:f>TEXT(B2166,"mmm")</x:f>
        <x:v>Nov</x:v>
      </x:c>
      <x:c r="F2166" s="84" t="str">
        <x:f>'Raw Sales'!C2166</x:f>
        <x:v>CUST-0476</x:v>
      </x:c>
      <x:c r="G2166" s="84" t="str">
        <x:f>PROPER(TRIM('Raw Sales'!D2166))</x:f>
        <x:v>Victoria Irwin</x:v>
      </x:c>
      <x:c r="H2166" s="84" t="str">
        <x:f>IF(TRIM('Raw Sales'!E2166)="","Unknown",PROPER(TRIM('Raw Sales'!E2166)))</x:f>
        <x:v>Small Business</x:v>
      </x:c>
      <x:c r="I2166" s="84" t="str">
        <x:f>PROPER(TRIM('Raw Sales'!F2166))</x:f>
        <x:v>Southeast</x:v>
      </x:c>
      <x:c r="J2166" s="84" t="str">
        <x:f>PROPER(TRIM('Raw Sales'!G2166))</x:f>
        <x:v>Charlotte</x:v>
      </x:c>
      <x:c r="K2166" s="84" t="str">
        <x:f>PROPER(TRIM('Raw Sales'!H2166))</x:f>
        <x:v>Online</x:v>
      </x:c>
      <x:c r="L2166" s="84" t="str">
        <x:f>'Raw Sales'!I2166</x:f>
        <x:v>ACCS-003</x:v>
      </x:c>
      <x:c r="M2166" s="84" t="str">
        <x:f>IFERROR(VLOOKUP(L2166,'Reference Data'!$A$5:$F$40,2,FALSE),"Unknown Product")</x:f>
        <x:v>Polarized Sunglasses</x:v>
      </x:c>
      <x:c r="N2166" s="84" t="str">
        <x:f>IFERROR(VLOOKUP(L2166,'Reference Data'!$A$5:$F$40,3,FALSE),"Unknown")</x:f>
        <x:v>Accessories</x:v>
      </x:c>
      <x:c r="O2166" s="84" t="str">
        <x:f>IFERROR(VLOOKUP(L2166,'Reference Data'!$A$5:$F$40,4,FALSE),"Unknown")</x:f>
        <x:v>Eyewear</x:v>
      </x:c>
      <x:c r="P2166" s="92" t="n">
        <x:f>IFERROR(VLOOKUP(L2166,'Reference Data'!$A$5:$F$40,5,FALSE),0)</x:f>
        <x:v>59</x:v>
      </x:c>
      <x:c r="Q2166" s="92" t="n">
        <x:f>IFERROR(VLOOKUP(L2166,'Reference Data'!$A$5:$F$40,6,FALSE),0)</x:f>
        <x:v>17</x:v>
      </x:c>
      <x:c r="R2166" s="84" t="n">
        <x:f>'Raw Sales'!J2166</x:f>
        <x:v>2</x:v>
      </x:c>
      <x:c r="S2166" s="87" t="n">
        <x:f>'Raw Sales'!K2166</x:f>
        <x:v>0.2</x:v>
      </x:c>
      <x:c r="T2166" s="93" t="n">
        <x:f>P2166*R2166</x:f>
        <x:v>118</x:v>
      </x:c>
      <x:c r="U2166" s="93" t="n">
        <x:f>T2166*S2166</x:f>
        <x:v>23.6</x:v>
      </x:c>
      <x:c r="V2166" s="93" t="str">
        <x:f>PROPER(TRIM('Raw Sales'!L2166))</x:f>
        <x:v>Completed</x:v>
      </x:c>
      <x:c r="W2166" s="93" t="n">
        <x:f>IF(V2166="Returned",0,T2166-U2166)</x:f>
        <x:v>94.4</x:v>
      </x:c>
      <x:c r="X2166" s="93" t="n">
        <x:f>IF(V2166="Returned",Q2166*R2166*10%,Q2166*R2166)</x:f>
        <x:v>34</x:v>
      </x:c>
      <x:c r="Y2166" s="93" t="n">
        <x:f>W2166-X2166</x:f>
        <x:v>60.400000000000006</x:v>
      </x:c>
      <x:c r="Z2166" s="94" t="n">
        <x:f>IFERROR(Y2166/W2166,0)</x:f>
        <x:v>0.6398305084745763</x:v>
      </x:c>
      <x:c r="AA2166" s="84" t="str">
        <x:f>PROPER(TRIM('Raw Sales'!M2166))</x:f>
        <x:v>Debit Card</x:v>
      </x:c>
      <x:c r="AB2166" s="84" t="str">
        <x:f>PROPER(TRIM('Raw Sales'!N2166))</x:f>
        <x:v>Liam Parker</x:v>
      </x:c>
      <x:c r="AC2166" s="85" t="n">
        <x:f>'Raw Sales'!O2166</x:f>
        <x:v>45976</x:v>
      </x:c>
      <x:c r="AD2166" s="84" t="n">
        <x:f>AC2166-B2166</x:f>
        <x:v>2</x:v>
      </x:c>
      <x:c r="AE2166" s="84" t="str">
        <x:f>IF(COUNTIF($A$5:A2166,A2166)&gt;1,"Duplicate","Keep")</x:f>
        <x:v>Keep</x:v>
      </x:c>
      <x:c r="AF2166" s="84" t="str">
        <x:f>IF(OR(R2166&lt;=0,AC2166&lt;B2166,H2166="Unknown",M2166="Unknown Product"),"Review","Valid")</x:f>
        <x:v>Valid</x:v>
      </x:c>
      <x:c r="AG2166" s="84" t="n">
        <x:f>IF(AND(AE2166="Keep",AF2166="Valid"),1,0)</x:f>
        <x:v>1</x:v>
      </x:c>
      <x:c r="AH2166" s="84" t="n">
        <x:f>IF(AND(AG2166=1,OR('Dashboard'!$B$4="All",I2166='Dashboard'!$B$4),OR('Dashboard'!$E$4="All",N2166='Dashboard'!$E$4),OR('Dashboard'!$H$4="All",K2166='Dashboard'!$H$4),OR('Dashboard'!$K$4="All",C2166='Dashboard'!$K$4)),1,0)</x:f>
        <x:v>1</x:v>
      </x:c>
      <x:c r="AI2166" s="84" t="n">
        <x:f>IF(AND(AG2166=1,OR('Dashboard'!$B$4="All",I2166='Dashboard'!$B$4),OR('Dashboard'!$E$4="All",N2166='Dashboard'!$E$4),OR('Dashboard'!$H$4="All",K2166='Dashboard'!$H$4)),1,0)</x:f>
        <x:v>1</x:v>
      </x:c>
    </x:row>
    <x:row r="2167">
      <x:c r="A2167" s="84" t="str">
        <x:f>'Raw Sales'!A2167</x:f>
        <x:v>ORD-2025-02213</x:v>
      </x:c>
      <x:c r="B2167" s="85" t="n">
        <x:f>'Raw Sales'!B2167</x:f>
        <x:v>45974</x:v>
      </x:c>
      <x:c r="C2167" s="84" t="n">
        <x:f>YEAR(B2167)</x:f>
        <x:v>2025</x:v>
      </x:c>
      <x:c r="D2167" s="91" t="n">
        <x:f>DATE(YEAR(B2167),MONTH(B2167),1)</x:f>
        <x:v>45962</x:v>
      </x:c>
      <x:c r="E2167" s="84" t="str">
        <x:f>TEXT(B2167,"mmm")</x:f>
        <x:v>Nov</x:v>
      </x:c>
      <x:c r="F2167" s="84" t="str">
        <x:f>'Raw Sales'!C2167</x:f>
        <x:v>CUST-0638</x:v>
      </x:c>
      <x:c r="G2167" s="84" t="str">
        <x:f>PROPER(TRIM('Raw Sales'!D2167))</x:f>
        <x:v>Zara Roberts</x:v>
      </x:c>
      <x:c r="H2167" s="84" t="str">
        <x:f>IF(TRIM('Raw Sales'!E2167)="","Unknown",PROPER(TRIM('Raw Sales'!E2167)))</x:f>
        <x:v>Consumer</x:v>
      </x:c>
      <x:c r="I2167" s="84" t="str">
        <x:f>PROPER(TRIM('Raw Sales'!F2167))</x:f>
        <x:v>Northeast</x:v>
      </x:c>
      <x:c r="J2167" s="84" t="str">
        <x:f>PROPER(TRIM('Raw Sales'!G2167))</x:f>
        <x:v>Philadelphia</x:v>
      </x:c>
      <x:c r="K2167" s="84" t="str">
        <x:f>PROPER(TRIM('Raw Sales'!H2167))</x:f>
        <x:v>Marketplace</x:v>
      </x:c>
      <x:c r="L2167" s="84" t="str">
        <x:f>'Raw Sales'!I2167</x:f>
        <x:v>ELEC-002</x:v>
      </x:c>
      <x:c r="M2167" s="84" t="str">
        <x:f>IFERROR(VLOOKUP(L2167,'Reference Data'!$A$5:$F$40,2,FALSE),"Unknown Product")</x:f>
        <x:v>Smartwatch</x:v>
      </x:c>
      <x:c r="N2167" s="84" t="str">
        <x:f>IFERROR(VLOOKUP(L2167,'Reference Data'!$A$5:$F$40,3,FALSE),"Unknown")</x:f>
        <x:v>Electronics</x:v>
      </x:c>
      <x:c r="O2167" s="84" t="str">
        <x:f>IFERROR(VLOOKUP(L2167,'Reference Data'!$A$5:$F$40,4,FALSE),"Unknown")</x:f>
        <x:v>Wearables</x:v>
      </x:c>
      <x:c r="P2167" s="92" t="n">
        <x:f>IFERROR(VLOOKUP(L2167,'Reference Data'!$A$5:$F$40,5,FALSE),0)</x:f>
        <x:v>159</x:v>
      </x:c>
      <x:c r="Q2167" s="92" t="n">
        <x:f>IFERROR(VLOOKUP(L2167,'Reference Data'!$A$5:$F$40,6,FALSE),0)</x:f>
        <x:v>92</x:v>
      </x:c>
      <x:c r="R2167" s="84" t="n">
        <x:f>'Raw Sales'!J2167</x:f>
        <x:v>2</x:v>
      </x:c>
      <x:c r="S2167" s="87" t="n">
        <x:f>'Raw Sales'!K2167</x:f>
        <x:v>0</x:v>
      </x:c>
      <x:c r="T2167" s="93" t="n">
        <x:f>P2167*R2167</x:f>
        <x:v>318</x:v>
      </x:c>
      <x:c r="U2167" s="93" t="n">
        <x:f>T2167*S2167</x:f>
        <x:v>0</x:v>
      </x:c>
      <x:c r="V2167" s="93" t="str">
        <x:f>PROPER(TRIM('Raw Sales'!L2167))</x:f>
        <x:v>Completed</x:v>
      </x:c>
      <x:c r="W2167" s="93" t="n">
        <x:f>IF(V2167="Returned",0,T2167-U2167)</x:f>
        <x:v>318</x:v>
      </x:c>
      <x:c r="X2167" s="93" t="n">
        <x:f>IF(V2167="Returned",Q2167*R2167*10%,Q2167*R2167)</x:f>
        <x:v>184</x:v>
      </x:c>
      <x:c r="Y2167" s="93" t="n">
        <x:f>W2167-X2167</x:f>
        <x:v>134</x:v>
      </x:c>
      <x:c r="Z2167" s="94" t="n">
        <x:f>IFERROR(Y2167/W2167,0)</x:f>
        <x:v>0.42138364779874216</x:v>
      </x:c>
      <x:c r="AA2167" s="84" t="str">
        <x:f>PROPER(TRIM('Raw Sales'!M2167))</x:f>
        <x:v>Mobile Wallet</x:v>
      </x:c>
      <x:c r="AB2167" s="84" t="str">
        <x:f>PROPER(TRIM('Raw Sales'!N2167))</x:f>
        <x:v>Sofia Bennett</x:v>
      </x:c>
      <x:c r="AC2167" s="85" t="n">
        <x:f>'Raw Sales'!O2167</x:f>
        <x:v>45977</x:v>
      </x:c>
      <x:c r="AD2167" s="84" t="n">
        <x:f>AC2167-B2167</x:f>
        <x:v>3</x:v>
      </x:c>
      <x:c r="AE2167" s="84" t="str">
        <x:f>IF(COUNTIF($A$5:A2167,A2167)&gt;1,"Duplicate","Keep")</x:f>
        <x:v>Keep</x:v>
      </x:c>
      <x:c r="AF2167" s="84" t="str">
        <x:f>IF(OR(R2167&lt;=0,AC2167&lt;B2167,H2167="Unknown",M2167="Unknown Product"),"Review","Valid")</x:f>
        <x:v>Valid</x:v>
      </x:c>
      <x:c r="AG2167" s="84" t="n">
        <x:f>IF(AND(AE2167="Keep",AF2167="Valid"),1,0)</x:f>
        <x:v>1</x:v>
      </x:c>
      <x:c r="AH2167" s="84" t="n">
        <x:f>IF(AND(AG2167=1,OR('Dashboard'!$B$4="All",I2167='Dashboard'!$B$4),OR('Dashboard'!$E$4="All",N2167='Dashboard'!$E$4),OR('Dashboard'!$H$4="All",K2167='Dashboard'!$H$4),OR('Dashboard'!$K$4="All",C2167='Dashboard'!$K$4)),1,0)</x:f>
        <x:v>1</x:v>
      </x:c>
      <x:c r="AI2167" s="84" t="n">
        <x:f>IF(AND(AG2167=1,OR('Dashboard'!$B$4="All",I2167='Dashboard'!$B$4),OR('Dashboard'!$E$4="All",N2167='Dashboard'!$E$4),OR('Dashboard'!$H$4="All",K2167='Dashboard'!$H$4)),1,0)</x:f>
        <x:v>1</x:v>
      </x:c>
    </x:row>
    <x:row r="2168">
      <x:c r="A2168" s="84" t="str">
        <x:f>'Raw Sales'!A2168</x:f>
        <x:v>ORD-2025-00849</x:v>
      </x:c>
      <x:c r="B2168" s="85" t="n">
        <x:f>'Raw Sales'!B2168</x:f>
        <x:v>45975</x:v>
      </x:c>
      <x:c r="C2168" s="84" t="n">
        <x:f>YEAR(B2168)</x:f>
        <x:v>2025</x:v>
      </x:c>
      <x:c r="D2168" s="91" t="n">
        <x:f>DATE(YEAR(B2168),MONTH(B2168),1)</x:f>
        <x:v>45962</x:v>
      </x:c>
      <x:c r="E2168" s="84" t="str">
        <x:f>TEXT(B2168,"mmm")</x:f>
        <x:v>Nov</x:v>
      </x:c>
      <x:c r="F2168" s="84" t="str">
        <x:f>'Raw Sales'!C2168</x:f>
        <x:v>CUST-0033</x:v>
      </x:c>
      <x:c r="G2168" s="84" t="str">
        <x:f>PROPER(TRIM('Raw Sales'!D2168))</x:f>
        <x:v>Sara Khan</x:v>
      </x:c>
      <x:c r="H2168" s="84" t="str">
        <x:f>IF(TRIM('Raw Sales'!E2168)="","Unknown",PROPER(TRIM('Raw Sales'!E2168)))</x:f>
        <x:v>Consumer</x:v>
      </x:c>
      <x:c r="I2168" s="84" t="str">
        <x:f>PROPER(TRIM('Raw Sales'!F2168))</x:f>
        <x:v>Midwest</x:v>
      </x:c>
      <x:c r="J2168" s="84" t="str">
        <x:f>PROPER(TRIM('Raw Sales'!G2168))</x:f>
        <x:v>Minneapolis</x:v>
      </x:c>
      <x:c r="K2168" s="84" t="str">
        <x:f>PROPER(TRIM('Raw Sales'!H2168))</x:f>
        <x:v>Marketplace</x:v>
      </x:c>
      <x:c r="L2168" s="84" t="str">
        <x:f>'Raw Sales'!I2168</x:f>
        <x:v>FITN-006</x:v>
      </x:c>
      <x:c r="M2168" s="84" t="str">
        <x:f>IFERROR(VLOOKUP(L2168,'Reference Data'!$A$5:$F$40,2,FALSE),"Unknown Product")</x:f>
        <x:v>Foam Roller</x:v>
      </x:c>
      <x:c r="N2168" s="84" t="str">
        <x:f>IFERROR(VLOOKUP(L2168,'Reference Data'!$A$5:$F$40,3,FALSE),"Unknown")</x:f>
        <x:v>Fitness</x:v>
      </x:c>
      <x:c r="O2168" s="84" t="str">
        <x:f>IFERROR(VLOOKUP(L2168,'Reference Data'!$A$5:$F$40,4,FALSE),"Unknown")</x:f>
        <x:v>Recovery</x:v>
      </x:c>
      <x:c r="P2168" s="92" t="n">
        <x:f>IFERROR(VLOOKUP(L2168,'Reference Data'!$A$5:$F$40,5,FALSE),0)</x:f>
        <x:v>31</x:v>
      </x:c>
      <x:c r="Q2168" s="92" t="n">
        <x:f>IFERROR(VLOOKUP(L2168,'Reference Data'!$A$5:$F$40,6,FALSE),0)</x:f>
        <x:v>12</x:v>
      </x:c>
      <x:c r="R2168" s="84" t="n">
        <x:f>'Raw Sales'!J2168</x:f>
        <x:v>2</x:v>
      </x:c>
      <x:c r="S2168" s="87" t="n">
        <x:f>'Raw Sales'!K2168</x:f>
        <x:v>0.1</x:v>
      </x:c>
      <x:c r="T2168" s="93" t="n">
        <x:f>P2168*R2168</x:f>
        <x:v>62</x:v>
      </x:c>
      <x:c r="U2168" s="93" t="n">
        <x:f>T2168*S2168</x:f>
        <x:v>6.2</x:v>
      </x:c>
      <x:c r="V2168" s="93" t="str">
        <x:f>PROPER(TRIM('Raw Sales'!L2168))</x:f>
        <x:v>Completed</x:v>
      </x:c>
      <x:c r="W2168" s="93" t="n">
        <x:f>IF(V2168="Returned",0,T2168-U2168)</x:f>
        <x:v>55.8</x:v>
      </x:c>
      <x:c r="X2168" s="93" t="n">
        <x:f>IF(V2168="Returned",Q2168*R2168*10%,Q2168*R2168)</x:f>
        <x:v>24</x:v>
      </x:c>
      <x:c r="Y2168" s="93" t="n">
        <x:f>W2168-X2168</x:f>
        <x:v>31.799999999999997</x:v>
      </x:c>
      <x:c r="Z2168" s="94" t="n">
        <x:f>IFERROR(Y2168/W2168,0)</x:f>
        <x:v>0.5698924731182795</x:v>
      </x:c>
      <x:c r="AA2168" s="84" t="str">
        <x:f>PROPER(TRIM('Raw Sales'!M2168))</x:f>
        <x:v>Debit Card</x:v>
      </x:c>
      <x:c r="AB2168" s="84" t="str">
        <x:f>PROPER(TRIM('Raw Sales'!N2168))</x:f>
        <x:v>Lucas Grant</x:v>
      </x:c>
      <x:c r="AC2168" s="85" t="n">
        <x:f>'Raw Sales'!O2168</x:f>
        <x:v>45981</x:v>
      </x:c>
      <x:c r="AD2168" s="84" t="n">
        <x:f>AC2168-B2168</x:f>
        <x:v>6</x:v>
      </x:c>
      <x:c r="AE2168" s="84" t="str">
        <x:f>IF(COUNTIF($A$5:A2168,A2168)&gt;1,"Duplicate","Keep")</x:f>
        <x:v>Keep</x:v>
      </x:c>
      <x:c r="AF2168" s="84" t="str">
        <x:f>IF(OR(R2168&lt;=0,AC2168&lt;B2168,H2168="Unknown",M2168="Unknown Product"),"Review","Valid")</x:f>
        <x:v>Valid</x:v>
      </x:c>
      <x:c r="AG2168" s="84" t="n">
        <x:f>IF(AND(AE2168="Keep",AF2168="Valid"),1,0)</x:f>
        <x:v>1</x:v>
      </x:c>
      <x:c r="AH2168" s="84" t="n">
        <x:f>IF(AND(AG2168=1,OR('Dashboard'!$B$4="All",I2168='Dashboard'!$B$4),OR('Dashboard'!$E$4="All",N2168='Dashboard'!$E$4),OR('Dashboard'!$H$4="All",K2168='Dashboard'!$H$4),OR('Dashboard'!$K$4="All",C2168='Dashboard'!$K$4)),1,0)</x:f>
        <x:v>1</x:v>
      </x:c>
      <x:c r="AI2168" s="84" t="n">
        <x:f>IF(AND(AG2168=1,OR('Dashboard'!$B$4="All",I2168='Dashboard'!$B$4),OR('Dashboard'!$E$4="All",N2168='Dashboard'!$E$4),OR('Dashboard'!$H$4="All",K2168='Dashboard'!$H$4)),1,0)</x:f>
        <x:v>1</x:v>
      </x:c>
    </x:row>
    <x:row r="2169">
      <x:c r="A2169" s="84" t="str">
        <x:f>'Raw Sales'!A2169</x:f>
        <x:v>ORD-2025-00876</x:v>
      </x:c>
      <x:c r="B2169" s="85" t="n">
        <x:f>'Raw Sales'!B2169</x:f>
        <x:v>45975</x:v>
      </x:c>
      <x:c r="C2169" s="84" t="n">
        <x:f>YEAR(B2169)</x:f>
        <x:v>2025</x:v>
      </x:c>
      <x:c r="D2169" s="91" t="n">
        <x:f>DATE(YEAR(B2169),MONTH(B2169),1)</x:f>
        <x:v>45962</x:v>
      </x:c>
      <x:c r="E2169" s="84" t="str">
        <x:f>TEXT(B2169,"mmm")</x:f>
        <x:v>Nov</x:v>
      </x:c>
      <x:c r="F2169" s="84" t="str">
        <x:f>'Raw Sales'!C2169</x:f>
        <x:v>CUST-0599</x:v>
      </x:c>
      <x:c r="G2169" s="84" t="str">
        <x:f>PROPER(TRIM('Raw Sales'!D2169))</x:f>
        <x:v>Caleb Adams</x:v>
      </x:c>
      <x:c r="H2169" s="84" t="str">
        <x:f>IF(TRIM('Raw Sales'!E2169)="","Unknown",PROPER(TRIM('Raw Sales'!E2169)))</x:f>
        <x:v>Consumer</x:v>
      </x:c>
      <x:c r="I2169" s="84" t="str">
        <x:f>PROPER(TRIM('Raw Sales'!F2169))</x:f>
        <x:v>West</x:v>
      </x:c>
      <x:c r="J2169" s="84" t="str">
        <x:f>PROPER(TRIM('Raw Sales'!G2169))</x:f>
        <x:v>Phoenix</x:v>
      </x:c>
      <x:c r="K2169" s="84" t="str">
        <x:f>PROPER(TRIM('Raw Sales'!H2169))</x:f>
        <x:v>Retail Store</x:v>
      </x:c>
      <x:c r="L2169" s="84" t="str">
        <x:f>'Raw Sales'!I2169</x:f>
        <x:v>ELEC-001</x:v>
      </x:c>
      <x:c r="M2169" s="84" t="str">
        <x:f>IFERROR(VLOOKUP(L2169,'Reference Data'!$A$5:$F$40,2,FALSE),"Unknown Product")</x:f>
        <x:v>Wireless Earbuds</x:v>
      </x:c>
      <x:c r="N2169" s="84" t="str">
        <x:f>IFERROR(VLOOKUP(L2169,'Reference Data'!$A$5:$F$40,3,FALSE),"Unknown")</x:f>
        <x:v>Electronics</x:v>
      </x:c>
      <x:c r="O2169" s="84" t="str">
        <x:f>IFERROR(VLOOKUP(L2169,'Reference Data'!$A$5:$F$40,4,FALSE),"Unknown")</x:f>
        <x:v>Audio</x:v>
      </x:c>
      <x:c r="P2169" s="92" t="n">
        <x:f>IFERROR(VLOOKUP(L2169,'Reference Data'!$A$5:$F$40,5,FALSE),0)</x:f>
        <x:v>69</x:v>
      </x:c>
      <x:c r="Q2169" s="92" t="n">
        <x:f>IFERROR(VLOOKUP(L2169,'Reference Data'!$A$5:$F$40,6,FALSE),0)</x:f>
        <x:v>36</x:v>
      </x:c>
      <x:c r="R2169" s="84" t="n">
        <x:f>'Raw Sales'!J2169</x:f>
        <x:v>2</x:v>
      </x:c>
      <x:c r="S2169" s="87" t="n">
        <x:f>'Raw Sales'!K2169</x:f>
        <x:v>0.1</x:v>
      </x:c>
      <x:c r="T2169" s="93" t="n">
        <x:f>P2169*R2169</x:f>
        <x:v>138</x:v>
      </x:c>
      <x:c r="U2169" s="93" t="n">
        <x:f>T2169*S2169</x:f>
        <x:v>13.8</x:v>
      </x:c>
      <x:c r="V2169" s="93" t="str">
        <x:f>PROPER(TRIM('Raw Sales'!L2169))</x:f>
        <x:v>Completed</x:v>
      </x:c>
      <x:c r="W2169" s="93" t="n">
        <x:f>IF(V2169="Returned",0,T2169-U2169)</x:f>
        <x:v>124.2</x:v>
      </x:c>
      <x:c r="X2169" s="93" t="n">
        <x:f>IF(V2169="Returned",Q2169*R2169*10%,Q2169*R2169)</x:f>
        <x:v>72</x:v>
      </x:c>
      <x:c r="Y2169" s="93" t="n">
        <x:f>W2169-X2169</x:f>
        <x:v>52.2</x:v>
      </x:c>
      <x:c r="Z2169" s="94" t="n">
        <x:f>IFERROR(Y2169/W2169,0)</x:f>
        <x:v>0.4202898550724638</x:v>
      </x:c>
      <x:c r="AA2169" s="84" t="str">
        <x:f>PROPER(TRIM('Raw Sales'!M2169))</x:f>
        <x:v>Debit Card</x:v>
      </x:c>
      <x:c r="AB2169" s="84" t="str">
        <x:f>PROPER(TRIM('Raw Sales'!N2169))</x:f>
        <x:v>Leo Martinez</x:v>
      </x:c>
      <x:c r="AC2169" s="85" t="n">
        <x:f>'Raw Sales'!O2169</x:f>
        <x:v>45976</x:v>
      </x:c>
      <x:c r="AD2169" s="84" t="n">
        <x:f>AC2169-B2169</x:f>
        <x:v>1</x:v>
      </x:c>
      <x:c r="AE2169" s="84" t="str">
        <x:f>IF(COUNTIF($A$5:A2169,A2169)&gt;1,"Duplicate","Keep")</x:f>
        <x:v>Keep</x:v>
      </x:c>
      <x:c r="AF2169" s="84" t="str">
        <x:f>IF(OR(R2169&lt;=0,AC2169&lt;B2169,H2169="Unknown",M2169="Unknown Product"),"Review","Valid")</x:f>
        <x:v>Valid</x:v>
      </x:c>
      <x:c r="AG2169" s="84" t="n">
        <x:f>IF(AND(AE2169="Keep",AF2169="Valid"),1,0)</x:f>
        <x:v>1</x:v>
      </x:c>
      <x:c r="AH2169" s="84" t="n">
        <x:f>IF(AND(AG2169=1,OR('Dashboard'!$B$4="All",I2169='Dashboard'!$B$4),OR('Dashboard'!$E$4="All",N2169='Dashboard'!$E$4),OR('Dashboard'!$H$4="All",K2169='Dashboard'!$H$4),OR('Dashboard'!$K$4="All",C2169='Dashboard'!$K$4)),1,0)</x:f>
        <x:v>1</x:v>
      </x:c>
      <x:c r="AI2169" s="84" t="n">
        <x:f>IF(AND(AG2169=1,OR('Dashboard'!$B$4="All",I2169='Dashboard'!$B$4),OR('Dashboard'!$E$4="All",N2169='Dashboard'!$E$4),OR('Dashboard'!$H$4="All",K2169='Dashboard'!$H$4)),1,0)</x:f>
        <x:v>1</x:v>
      </x:c>
    </x:row>
    <x:row r="2170">
      <x:c r="A2170" s="84" t="str">
        <x:f>'Raw Sales'!A2170</x:f>
        <x:v>ORD-2025-01309</x:v>
      </x:c>
      <x:c r="B2170" s="85" t="n">
        <x:f>'Raw Sales'!B2170</x:f>
        <x:v>45975</x:v>
      </x:c>
      <x:c r="C2170" s="84" t="n">
        <x:f>YEAR(B2170)</x:f>
        <x:v>2025</x:v>
      </x:c>
      <x:c r="D2170" s="91" t="n">
        <x:f>DATE(YEAR(B2170),MONTH(B2170),1)</x:f>
        <x:v>45962</x:v>
      </x:c>
      <x:c r="E2170" s="84" t="str">
        <x:f>TEXT(B2170,"mmm")</x:f>
        <x:v>Nov</x:v>
      </x:c>
      <x:c r="F2170" s="84" t="str">
        <x:f>'Raw Sales'!C2170</x:f>
        <x:v>CUST-0088</x:v>
      </x:c>
      <x:c r="G2170" s="84" t="str">
        <x:f>PROPER(TRIM('Raw Sales'!D2170))</x:f>
        <x:v>Jasmine Khan</x:v>
      </x:c>
      <x:c r="H2170" s="84" t="str">
        <x:f>IF(TRIM('Raw Sales'!E2170)="","Unknown",PROPER(TRIM('Raw Sales'!E2170)))</x:f>
        <x:v>Consumer</x:v>
      </x:c>
      <x:c r="I2170" s="84" t="str">
        <x:f>PROPER(TRIM('Raw Sales'!F2170))</x:f>
        <x:v>Northeast</x:v>
      </x:c>
      <x:c r="J2170" s="84" t="str">
        <x:f>PROPER(TRIM('Raw Sales'!G2170))</x:f>
        <x:v>Boston</x:v>
      </x:c>
      <x:c r="K2170" s="84" t="str">
        <x:f>PROPER(TRIM('Raw Sales'!H2170))</x:f>
        <x:v>Retail Store</x:v>
      </x:c>
      <x:c r="L2170" s="84" t="str">
        <x:f>'Raw Sales'!I2170</x:f>
        <x:v>ELEC-003</x:v>
      </x:c>
      <x:c r="M2170" s="84" t="str">
        <x:f>IFERROR(VLOOKUP(L2170,'Reference Data'!$A$5:$F$40,2,FALSE),"Unknown Product")</x:f>
        <x:v>Bluetooth Speaker</x:v>
      </x:c>
      <x:c r="N2170" s="84" t="str">
        <x:f>IFERROR(VLOOKUP(L2170,'Reference Data'!$A$5:$F$40,3,FALSE),"Unknown")</x:f>
        <x:v>Electronics</x:v>
      </x:c>
      <x:c r="O2170" s="84" t="str">
        <x:f>IFERROR(VLOOKUP(L2170,'Reference Data'!$A$5:$F$40,4,FALSE),"Unknown")</x:f>
        <x:v>Audio</x:v>
      </x:c>
      <x:c r="P2170" s="92" t="n">
        <x:f>IFERROR(VLOOKUP(L2170,'Reference Data'!$A$5:$F$40,5,FALSE),0)</x:f>
        <x:v>89</x:v>
      </x:c>
      <x:c r="Q2170" s="92" t="n">
        <x:f>IFERROR(VLOOKUP(L2170,'Reference Data'!$A$5:$F$40,6,FALSE),0)</x:f>
        <x:v>44</x:v>
      </x:c>
      <x:c r="R2170" s="84" t="n">
        <x:f>'Raw Sales'!J2170</x:f>
        <x:v>1</x:v>
      </x:c>
      <x:c r="S2170" s="87" t="n">
        <x:f>'Raw Sales'!K2170</x:f>
        <x:v>0.15</x:v>
      </x:c>
      <x:c r="T2170" s="93" t="n">
        <x:f>P2170*R2170</x:f>
        <x:v>89</x:v>
      </x:c>
      <x:c r="U2170" s="93" t="n">
        <x:f>T2170*S2170</x:f>
        <x:v>13.35</x:v>
      </x:c>
      <x:c r="V2170" s="93" t="str">
        <x:f>PROPER(TRIM('Raw Sales'!L2170))</x:f>
        <x:v>Completed</x:v>
      </x:c>
      <x:c r="W2170" s="93" t="n">
        <x:f>IF(V2170="Returned",0,T2170-U2170)</x:f>
        <x:v>75.65</x:v>
      </x:c>
      <x:c r="X2170" s="93" t="n">
        <x:f>IF(V2170="Returned",Q2170*R2170*10%,Q2170*R2170)</x:f>
        <x:v>44</x:v>
      </x:c>
      <x:c r="Y2170" s="93" t="n">
        <x:f>W2170-X2170</x:f>
        <x:v>31.650000000000006</x:v>
      </x:c>
      <x:c r="Z2170" s="94" t="n">
        <x:f>IFERROR(Y2170/W2170,0)</x:f>
        <x:v>0.4183740912095176</x:v>
      </x:c>
      <x:c r="AA2170" s="84" t="str">
        <x:f>PROPER(TRIM('Raw Sales'!M2170))</x:f>
        <x:v>Mobile Wallet</x:v>
      </x:c>
      <x:c r="AB2170" s="84" t="str">
        <x:f>PROPER(TRIM('Raw Sales'!N2170))</x:f>
        <x:v>Maya Brooks</x:v>
      </x:c>
      <x:c r="AC2170" s="85" t="n">
        <x:f>'Raw Sales'!O2170</x:f>
        <x:v>45975</x:v>
      </x:c>
      <x:c r="AD2170" s="84" t="n">
        <x:f>AC2170-B2170</x:f>
        <x:v>0</x:v>
      </x:c>
      <x:c r="AE2170" s="84" t="str">
        <x:f>IF(COUNTIF($A$5:A2170,A2170)&gt;1,"Duplicate","Keep")</x:f>
        <x:v>Keep</x:v>
      </x:c>
      <x:c r="AF2170" s="84" t="str">
        <x:f>IF(OR(R2170&lt;=0,AC2170&lt;B2170,H2170="Unknown",M2170="Unknown Product"),"Review","Valid")</x:f>
        <x:v>Valid</x:v>
      </x:c>
      <x:c r="AG2170" s="84" t="n">
        <x:f>IF(AND(AE2170="Keep",AF2170="Valid"),1,0)</x:f>
        <x:v>1</x:v>
      </x:c>
      <x:c r="AH2170" s="84" t="n">
        <x:f>IF(AND(AG2170=1,OR('Dashboard'!$B$4="All",I2170='Dashboard'!$B$4),OR('Dashboard'!$E$4="All",N2170='Dashboard'!$E$4),OR('Dashboard'!$H$4="All",K2170='Dashboard'!$H$4),OR('Dashboard'!$K$4="All",C2170='Dashboard'!$K$4)),1,0)</x:f>
        <x:v>1</x:v>
      </x:c>
      <x:c r="AI2170" s="84" t="n">
        <x:f>IF(AND(AG2170=1,OR('Dashboard'!$B$4="All",I2170='Dashboard'!$B$4),OR('Dashboard'!$E$4="All",N2170='Dashboard'!$E$4),OR('Dashboard'!$H$4="All",K2170='Dashboard'!$H$4)),1,0)</x:f>
        <x:v>1</x:v>
      </x:c>
    </x:row>
    <x:row r="2171">
      <x:c r="A2171" s="84" t="str">
        <x:f>'Raw Sales'!A2171</x:f>
        <x:v>ORD-2025-01534</x:v>
      </x:c>
      <x:c r="B2171" s="85" t="n">
        <x:f>'Raw Sales'!B2171</x:f>
        <x:v>45975</x:v>
      </x:c>
      <x:c r="C2171" s="84" t="n">
        <x:f>YEAR(B2171)</x:f>
        <x:v>2025</x:v>
      </x:c>
      <x:c r="D2171" s="91" t="n">
        <x:f>DATE(YEAR(B2171),MONTH(B2171),1)</x:f>
        <x:v>45962</x:v>
      </x:c>
      <x:c r="E2171" s="84" t="str">
        <x:f>TEXT(B2171,"mmm")</x:f>
        <x:v>Nov</x:v>
      </x:c>
      <x:c r="F2171" s="84" t="str">
        <x:f>'Raw Sales'!C2171</x:f>
        <x:v>CUST-0524</x:v>
      </x:c>
      <x:c r="G2171" s="84" t="str">
        <x:f>PROPER(TRIM('Raw Sales'!D2171))</x:f>
        <x:v>Elena Adams</x:v>
      </x:c>
      <x:c r="H2171" s="84" t="str">
        <x:f>IF(TRIM('Raw Sales'!E2171)="","Unknown",PROPER(TRIM('Raw Sales'!E2171)))</x:f>
        <x:v>Consumer</x:v>
      </x:c>
      <x:c r="I2171" s="84" t="str">
        <x:f>PROPER(TRIM('Raw Sales'!F2171))</x:f>
        <x:v>Midwest</x:v>
      </x:c>
      <x:c r="J2171" s="84" t="str">
        <x:f>PROPER(TRIM('Raw Sales'!G2171))</x:f>
        <x:v>Detroit</x:v>
      </x:c>
      <x:c r="K2171" s="84" t="str">
        <x:f>PROPER(TRIM('Raw Sales'!H2171))</x:f>
        <x:v>Online</x:v>
      </x:c>
      <x:c r="L2171" s="84" t="str">
        <x:f>'Raw Sales'!I2171</x:f>
        <x:v>ELEC-005</x:v>
      </x:c>
      <x:c r="M2171" s="84" t="str">
        <x:f>IFERROR(VLOOKUP(L2171,'Reference Data'!$A$5:$F$40,2,FALSE),"Unknown Product")</x:f>
        <x:v>HD Webcam</x:v>
      </x:c>
      <x:c r="N2171" s="84" t="str">
        <x:f>IFERROR(VLOOKUP(L2171,'Reference Data'!$A$5:$F$40,3,FALSE),"Unknown")</x:f>
        <x:v>Electronics</x:v>
      </x:c>
      <x:c r="O2171" s="84" t="str">
        <x:f>IFERROR(VLOOKUP(L2171,'Reference Data'!$A$5:$F$40,4,FALSE),"Unknown")</x:f>
        <x:v>Computer Accessories</x:v>
      </x:c>
      <x:c r="P2171" s="92" t="n">
        <x:f>IFERROR(VLOOKUP(L2171,'Reference Data'!$A$5:$F$40,5,FALSE),0)</x:f>
        <x:v>79</x:v>
      </x:c>
      <x:c r="Q2171" s="92" t="n">
        <x:f>IFERROR(VLOOKUP(L2171,'Reference Data'!$A$5:$F$40,6,FALSE),0)</x:f>
        <x:v>37</x:v>
      </x:c>
      <x:c r="R2171" s="84" t="n">
        <x:f>'Raw Sales'!J2171</x:f>
        <x:v>2</x:v>
      </x:c>
      <x:c r="S2171" s="87" t="n">
        <x:f>'Raw Sales'!K2171</x:f>
        <x:v>0.2</x:v>
      </x:c>
      <x:c r="T2171" s="93" t="n">
        <x:f>P2171*R2171</x:f>
        <x:v>158</x:v>
      </x:c>
      <x:c r="U2171" s="93" t="n">
        <x:f>T2171*S2171</x:f>
        <x:v>31.6</x:v>
      </x:c>
      <x:c r="V2171" s="93" t="str">
        <x:f>PROPER(TRIM('Raw Sales'!L2171))</x:f>
        <x:v>Completed</x:v>
      </x:c>
      <x:c r="W2171" s="93" t="n">
        <x:f>IF(V2171="Returned",0,T2171-U2171)</x:f>
        <x:v>126.4</x:v>
      </x:c>
      <x:c r="X2171" s="93" t="n">
        <x:f>IF(V2171="Returned",Q2171*R2171*10%,Q2171*R2171)</x:f>
        <x:v>74</x:v>
      </x:c>
      <x:c r="Y2171" s="93" t="n">
        <x:f>W2171-X2171</x:f>
        <x:v>52.400000000000006</x:v>
      </x:c>
      <x:c r="Z2171" s="94" t="n">
        <x:f>IFERROR(Y2171/W2171,0)</x:f>
        <x:v>0.4145569620253165</x:v>
      </x:c>
      <x:c r="AA2171" s="84" t="str">
        <x:f>PROPER(TRIM('Raw Sales'!M2171))</x:f>
        <x:v>Credit Card</x:v>
      </x:c>
      <x:c r="AB2171" s="84" t="str">
        <x:f>PROPER(TRIM('Raw Sales'!N2171))</x:f>
        <x:v>Zoe Turner</x:v>
      </x:c>
      <x:c r="AC2171" s="85" t="n">
        <x:f>'Raw Sales'!O2171</x:f>
        <x:v>45980</x:v>
      </x:c>
      <x:c r="AD2171" s="84" t="n">
        <x:f>AC2171-B2171</x:f>
        <x:v>5</x:v>
      </x:c>
      <x:c r="AE2171" s="84" t="str">
        <x:f>IF(COUNTIF($A$5:A2171,A2171)&gt;1,"Duplicate","Keep")</x:f>
        <x:v>Keep</x:v>
      </x:c>
      <x:c r="AF2171" s="84" t="str">
        <x:f>IF(OR(R2171&lt;=0,AC2171&lt;B2171,H2171="Unknown",M2171="Unknown Product"),"Review","Valid")</x:f>
        <x:v>Valid</x:v>
      </x:c>
      <x:c r="AG2171" s="84" t="n">
        <x:f>IF(AND(AE2171="Keep",AF2171="Valid"),1,0)</x:f>
        <x:v>1</x:v>
      </x:c>
      <x:c r="AH2171" s="84" t="n">
        <x:f>IF(AND(AG2171=1,OR('Dashboard'!$B$4="All",I2171='Dashboard'!$B$4),OR('Dashboard'!$E$4="All",N2171='Dashboard'!$E$4),OR('Dashboard'!$H$4="All",K2171='Dashboard'!$H$4),OR('Dashboard'!$K$4="All",C2171='Dashboard'!$K$4)),1,0)</x:f>
        <x:v>1</x:v>
      </x:c>
      <x:c r="AI2171" s="84" t="n">
        <x:f>IF(AND(AG2171=1,OR('Dashboard'!$B$4="All",I2171='Dashboard'!$B$4),OR('Dashboard'!$E$4="All",N2171='Dashboard'!$E$4),OR('Dashboard'!$H$4="All",K2171='Dashboard'!$H$4)),1,0)</x:f>
        <x:v>1</x:v>
      </x:c>
    </x:row>
    <x:row r="2172">
      <x:c r="A2172" s="84" t="str">
        <x:f>'Raw Sales'!A2172</x:f>
        <x:v>ORD-2025-01540</x:v>
      </x:c>
      <x:c r="B2172" s="85" t="n">
        <x:f>'Raw Sales'!B2172</x:f>
        <x:v>45975</x:v>
      </x:c>
      <x:c r="C2172" s="84" t="n">
        <x:f>YEAR(B2172)</x:f>
        <x:v>2025</x:v>
      </x:c>
      <x:c r="D2172" s="91" t="n">
        <x:f>DATE(YEAR(B2172),MONTH(B2172),1)</x:f>
        <x:v>45962</x:v>
      </x:c>
      <x:c r="E2172" s="84" t="str">
        <x:f>TEXT(B2172,"mmm")</x:f>
        <x:v>Nov</x:v>
      </x:c>
      <x:c r="F2172" s="84" t="str">
        <x:f>'Raw Sales'!C2172</x:f>
        <x:v>CUST-0175</x:v>
      </x:c>
      <x:c r="G2172" s="84" t="str">
        <x:f>PROPER(TRIM('Raw Sales'!D2172))</x:f>
        <x:v>Maya Johnson</x:v>
      </x:c>
      <x:c r="H2172" s="84" t="str">
        <x:f>IF(TRIM('Raw Sales'!E2172)="","Unknown",PROPER(TRIM('Raw Sales'!E2172)))</x:f>
        <x:v>Small Business</x:v>
      </x:c>
      <x:c r="I2172" s="84" t="str">
        <x:f>PROPER(TRIM('Raw Sales'!F2172))</x:f>
        <x:v>Northeast</x:v>
      </x:c>
      <x:c r="J2172" s="84" t="str">
        <x:f>PROPER(TRIM('Raw Sales'!G2172))</x:f>
        <x:v>New York</x:v>
      </x:c>
      <x:c r="K2172" s="84" t="str">
        <x:f>PROPER(TRIM('Raw Sales'!H2172))</x:f>
        <x:v>Online</x:v>
      </x:c>
      <x:c r="L2172" s="84" t="str">
        <x:f>'Raw Sales'!I2172</x:f>
        <x:v>CARE-006</x:v>
      </x:c>
      <x:c r="M2172" s="84" t="str">
        <x:f>IFERROR(VLOOKUP(L2172,'Reference Data'!$A$5:$F$40,2,FALSE),"Unknown Product")</x:f>
        <x:v>Percussion Massage Gun</x:v>
      </x:c>
      <x:c r="N2172" s="84" t="str">
        <x:f>IFERROR(VLOOKUP(L2172,'Reference Data'!$A$5:$F$40,3,FALSE),"Unknown")</x:f>
        <x:v>Personal Care</x:v>
      </x:c>
      <x:c r="O2172" s="84" t="str">
        <x:f>IFERROR(VLOOKUP(L2172,'Reference Data'!$A$5:$F$40,4,FALSE),"Unknown")</x:f>
        <x:v>Wellness</x:v>
      </x:c>
      <x:c r="P2172" s="92" t="n">
        <x:f>IFERROR(VLOOKUP(L2172,'Reference Data'!$A$5:$F$40,5,FALSE),0)</x:f>
        <x:v>129</x:v>
      </x:c>
      <x:c r="Q2172" s="92" t="n">
        <x:f>IFERROR(VLOOKUP(L2172,'Reference Data'!$A$5:$F$40,6,FALSE),0)</x:f>
        <x:v>70</x:v>
      </x:c>
      <x:c r="R2172" s="84" t="n">
        <x:f>'Raw Sales'!J2172</x:f>
        <x:v>1</x:v>
      </x:c>
      <x:c r="S2172" s="87" t="n">
        <x:f>'Raw Sales'!K2172</x:f>
        <x:v>0.05</x:v>
      </x:c>
      <x:c r="T2172" s="93" t="n">
        <x:f>P2172*R2172</x:f>
        <x:v>129</x:v>
      </x:c>
      <x:c r="U2172" s="93" t="n">
        <x:f>T2172*S2172</x:f>
        <x:v>6.45</x:v>
      </x:c>
      <x:c r="V2172" s="93" t="str">
        <x:f>PROPER(TRIM('Raw Sales'!L2172))</x:f>
        <x:v>Completed</x:v>
      </x:c>
      <x:c r="W2172" s="93" t="n">
        <x:f>IF(V2172="Returned",0,T2172-U2172)</x:f>
        <x:v>122.55</x:v>
      </x:c>
      <x:c r="X2172" s="93" t="n">
        <x:f>IF(V2172="Returned",Q2172*R2172*10%,Q2172*R2172)</x:f>
        <x:v>70</x:v>
      </x:c>
      <x:c r="Y2172" s="93" t="n">
        <x:f>W2172-X2172</x:f>
        <x:v>52.55</x:v>
      </x:c>
      <x:c r="Z2172" s="94" t="n">
        <x:f>IFERROR(Y2172/W2172,0)</x:f>
        <x:v>0.4288045695634435</x:v>
      </x:c>
      <x:c r="AA2172" s="84" t="str">
        <x:f>PROPER(TRIM('Raw Sales'!M2172))</x:f>
        <x:v>Credit Card</x:v>
      </x:c>
      <x:c r="AB2172" s="84" t="str">
        <x:f>PROPER(TRIM('Raw Sales'!N2172))</x:f>
        <x:v>Maya Brooks</x:v>
      </x:c>
      <x:c r="AC2172" s="85" t="n">
        <x:f>'Raw Sales'!O2172</x:f>
        <x:v>45981</x:v>
      </x:c>
      <x:c r="AD2172" s="84" t="n">
        <x:f>AC2172-B2172</x:f>
        <x:v>6</x:v>
      </x:c>
      <x:c r="AE2172" s="84" t="str">
        <x:f>IF(COUNTIF($A$5:A2172,A2172)&gt;1,"Duplicate","Keep")</x:f>
        <x:v>Keep</x:v>
      </x:c>
      <x:c r="AF2172" s="84" t="str">
        <x:f>IF(OR(R2172&lt;=0,AC2172&lt;B2172,H2172="Unknown",M2172="Unknown Product"),"Review","Valid")</x:f>
        <x:v>Valid</x:v>
      </x:c>
      <x:c r="AG2172" s="84" t="n">
        <x:f>IF(AND(AE2172="Keep",AF2172="Valid"),1,0)</x:f>
        <x:v>1</x:v>
      </x:c>
      <x:c r="AH2172" s="84" t="n">
        <x:f>IF(AND(AG2172=1,OR('Dashboard'!$B$4="All",I2172='Dashboard'!$B$4),OR('Dashboard'!$E$4="All",N2172='Dashboard'!$E$4),OR('Dashboard'!$H$4="All",K2172='Dashboard'!$H$4),OR('Dashboard'!$K$4="All",C2172='Dashboard'!$K$4)),1,0)</x:f>
        <x:v>1</x:v>
      </x:c>
      <x:c r="AI2172" s="84" t="n">
        <x:f>IF(AND(AG2172=1,OR('Dashboard'!$B$4="All",I2172='Dashboard'!$B$4),OR('Dashboard'!$E$4="All",N2172='Dashboard'!$E$4),OR('Dashboard'!$H$4="All",K2172='Dashboard'!$H$4)),1,0)</x:f>
        <x:v>1</x:v>
      </x:c>
    </x:row>
    <x:row r="2173">
      <x:c r="A2173" s="84" t="str">
        <x:f>'Raw Sales'!A2173</x:f>
        <x:v>ORD-2025-01844</x:v>
      </x:c>
      <x:c r="B2173" s="85" t="n">
        <x:f>'Raw Sales'!B2173</x:f>
        <x:v>45975</x:v>
      </x:c>
      <x:c r="C2173" s="84" t="n">
        <x:f>YEAR(B2173)</x:f>
        <x:v>2025</x:v>
      </x:c>
      <x:c r="D2173" s="91" t="n">
        <x:f>DATE(YEAR(B2173),MONTH(B2173),1)</x:f>
        <x:v>45962</x:v>
      </x:c>
      <x:c r="E2173" s="84" t="str">
        <x:f>TEXT(B2173,"mmm")</x:f>
        <x:v>Nov</x:v>
      </x:c>
      <x:c r="F2173" s="84" t="str">
        <x:f>'Raw Sales'!C2173</x:f>
        <x:v>CUST-0495</x:v>
      </x:c>
      <x:c r="G2173" s="84" t="str">
        <x:f>PROPER(TRIM('Raw Sales'!D2173))</x:f>
        <x:v>Victoria Walker</x:v>
      </x:c>
      <x:c r="H2173" s="84" t="str">
        <x:f>IF(TRIM('Raw Sales'!E2173)="","Unknown",PROPER(TRIM('Raw Sales'!E2173)))</x:f>
        <x:v>Consumer</x:v>
      </x:c>
      <x:c r="I2173" s="84" t="str">
        <x:f>PROPER(TRIM('Raw Sales'!F2173))</x:f>
        <x:v>West</x:v>
      </x:c>
      <x:c r="J2173" s="84" t="str">
        <x:f>PROPER(TRIM('Raw Sales'!G2173))</x:f>
        <x:v>Denver</x:v>
      </x:c>
      <x:c r="K2173" s="84" t="str">
        <x:f>PROPER(TRIM('Raw Sales'!H2173))</x:f>
        <x:v>Marketplace</x:v>
      </x:c>
      <x:c r="L2173" s="84" t="str">
        <x:f>'Raw Sales'!I2173</x:f>
        <x:v>ACCS-005</x:v>
      </x:c>
      <x:c r="M2173" s="84" t="str">
        <x:f>IFERROR(VLOOKUP(L2173,'Reference Data'!$A$5:$F$40,2,FALSE),"Unknown Product")</x:f>
        <x:v>Protective Phone Case</x:v>
      </x:c>
      <x:c r="N2173" s="84" t="str">
        <x:f>IFERROR(VLOOKUP(L2173,'Reference Data'!$A$5:$F$40,3,FALSE),"Unknown")</x:f>
        <x:v>Accessories</x:v>
      </x:c>
      <x:c r="O2173" s="84" t="str">
        <x:f>IFERROR(VLOOKUP(L2173,'Reference Data'!$A$5:$F$40,4,FALSE),"Unknown")</x:f>
        <x:v>Mobile Accessories</x:v>
      </x:c>
      <x:c r="P2173" s="92" t="n">
        <x:f>IFERROR(VLOOKUP(L2173,'Reference Data'!$A$5:$F$40,5,FALSE),0)</x:f>
        <x:v>24</x:v>
      </x:c>
      <x:c r="Q2173" s="92" t="n">
        <x:f>IFERROR(VLOOKUP(L2173,'Reference Data'!$A$5:$F$40,6,FALSE),0)</x:f>
        <x:v>5</x:v>
      </x:c>
      <x:c r="R2173" s="84" t="n">
        <x:f>'Raw Sales'!J2173</x:f>
        <x:v>3</x:v>
      </x:c>
      <x:c r="S2173" s="87" t="n">
        <x:f>'Raw Sales'!K2173</x:f>
        <x:v>0.15</x:v>
      </x:c>
      <x:c r="T2173" s="93" t="n">
        <x:f>P2173*R2173</x:f>
        <x:v>72</x:v>
      </x:c>
      <x:c r="U2173" s="93" t="n">
        <x:f>T2173*S2173</x:f>
        <x:v>10.799999999999999</x:v>
      </x:c>
      <x:c r="V2173" s="93" t="str">
        <x:f>PROPER(TRIM('Raw Sales'!L2173))</x:f>
        <x:v>Completed</x:v>
      </x:c>
      <x:c r="W2173" s="93" t="n">
        <x:f>IF(V2173="Returned",0,T2173-U2173)</x:f>
        <x:v>61.2</x:v>
      </x:c>
      <x:c r="X2173" s="93" t="n">
        <x:f>IF(V2173="Returned",Q2173*R2173*10%,Q2173*R2173)</x:f>
        <x:v>15</x:v>
      </x:c>
      <x:c r="Y2173" s="93" t="n">
        <x:f>W2173-X2173</x:f>
        <x:v>46.2</x:v>
      </x:c>
      <x:c r="Z2173" s="94" t="n">
        <x:f>IFERROR(Y2173/W2173,0)</x:f>
        <x:v>0.7549019607843137</x:v>
      </x:c>
      <x:c r="AA2173" s="84" t="str">
        <x:f>PROPER(TRIM('Raw Sales'!M2173))</x:f>
        <x:v>Credit Card</x:v>
      </x:c>
      <x:c r="AB2173" s="84" t="str">
        <x:f>PROPER(TRIM('Raw Sales'!N2173))</x:f>
        <x:v>Leo Martinez</x:v>
      </x:c>
      <x:c r="AC2173" s="85" t="n">
        <x:f>'Raw Sales'!O2173</x:f>
        <x:v>45980</x:v>
      </x:c>
      <x:c r="AD2173" s="84" t="n">
        <x:f>AC2173-B2173</x:f>
        <x:v>5</x:v>
      </x:c>
      <x:c r="AE2173" s="84" t="str">
        <x:f>IF(COUNTIF($A$5:A2173,A2173)&gt;1,"Duplicate","Keep")</x:f>
        <x:v>Keep</x:v>
      </x:c>
      <x:c r="AF2173" s="84" t="str">
        <x:f>IF(OR(R2173&lt;=0,AC2173&lt;B2173,H2173="Unknown",M2173="Unknown Product"),"Review","Valid")</x:f>
        <x:v>Valid</x:v>
      </x:c>
      <x:c r="AG2173" s="84" t="n">
        <x:f>IF(AND(AE2173="Keep",AF2173="Valid"),1,0)</x:f>
        <x:v>1</x:v>
      </x:c>
      <x:c r="AH2173" s="84" t="n">
        <x:f>IF(AND(AG2173=1,OR('Dashboard'!$B$4="All",I2173='Dashboard'!$B$4),OR('Dashboard'!$E$4="All",N2173='Dashboard'!$E$4),OR('Dashboard'!$H$4="All",K2173='Dashboard'!$H$4),OR('Dashboard'!$K$4="All",C2173='Dashboard'!$K$4)),1,0)</x:f>
        <x:v>1</x:v>
      </x:c>
      <x:c r="AI2173" s="84" t="n">
        <x:f>IF(AND(AG2173=1,OR('Dashboard'!$B$4="All",I2173='Dashboard'!$B$4),OR('Dashboard'!$E$4="All",N2173='Dashboard'!$E$4),OR('Dashboard'!$H$4="All",K2173='Dashboard'!$H$4)),1,0)</x:f>
        <x:v>1</x:v>
      </x:c>
    </x:row>
    <x:row r="2174">
      <x:c r="A2174" s="84" t="str">
        <x:f>'Raw Sales'!A2174</x:f>
        <x:v>ORD-2025-01943</x:v>
      </x:c>
      <x:c r="B2174" s="85" t="n">
        <x:f>'Raw Sales'!B2174</x:f>
        <x:v>45975</x:v>
      </x:c>
      <x:c r="C2174" s="84" t="n">
        <x:f>YEAR(B2174)</x:f>
        <x:v>2025</x:v>
      </x:c>
      <x:c r="D2174" s="91" t="n">
        <x:f>DATE(YEAR(B2174),MONTH(B2174),1)</x:f>
        <x:v>45962</x:v>
      </x:c>
      <x:c r="E2174" s="84" t="str">
        <x:f>TEXT(B2174,"mmm")</x:f>
        <x:v>Nov</x:v>
      </x:c>
      <x:c r="F2174" s="84" t="str">
        <x:f>'Raw Sales'!C2174</x:f>
        <x:v>CUST-0189</x:v>
      </x:c>
      <x:c r="G2174" s="84" t="str">
        <x:f>PROPER(TRIM('Raw Sales'!D2174))</x:f>
        <x:v>Marcus Taylor</x:v>
      </x:c>
      <x:c r="H2174" s="84" t="str">
        <x:f>IF(TRIM('Raw Sales'!E2174)="","Unknown",PROPER(TRIM('Raw Sales'!E2174)))</x:f>
        <x:v>Consumer</x:v>
      </x:c>
      <x:c r="I2174" s="84" t="str">
        <x:f>PROPER(TRIM('Raw Sales'!F2174))</x:f>
        <x:v>Midwest</x:v>
      </x:c>
      <x:c r="J2174" s="84" t="str">
        <x:f>PROPER(TRIM('Raw Sales'!G2174))</x:f>
        <x:v>Chicago</x:v>
      </x:c>
      <x:c r="K2174" s="84" t="str">
        <x:f>PROPER(TRIM('Raw Sales'!H2174))</x:f>
        <x:v>Marketplace</x:v>
      </x:c>
      <x:c r="L2174" s="84" t="str">
        <x:f>'Raw Sales'!I2174</x:f>
        <x:v>ACCS-002</x:v>
      </x:c>
      <x:c r="M2174" s="84" t="str">
        <x:f>IFERROR(VLOOKUP(L2174,'Reference Data'!$A$5:$F$40,2,FALSE),"Unknown Product")</x:f>
        <x:v>Travel Backpack</x:v>
      </x:c>
      <x:c r="N2174" s="84" t="str">
        <x:f>IFERROR(VLOOKUP(L2174,'Reference Data'!$A$5:$F$40,3,FALSE),"Unknown")</x:f>
        <x:v>Accessories</x:v>
      </x:c>
      <x:c r="O2174" s="84" t="str">
        <x:f>IFERROR(VLOOKUP(L2174,'Reference Data'!$A$5:$F$40,4,FALSE),"Unknown")</x:f>
        <x:v>Bags</x:v>
      </x:c>
      <x:c r="P2174" s="92" t="n">
        <x:f>IFERROR(VLOOKUP(L2174,'Reference Data'!$A$5:$F$40,5,FALSE),0)</x:f>
        <x:v>89</x:v>
      </x:c>
      <x:c r="Q2174" s="92" t="n">
        <x:f>IFERROR(VLOOKUP(L2174,'Reference Data'!$A$5:$F$40,6,FALSE),0)</x:f>
        <x:v>36</x:v>
      </x:c>
      <x:c r="R2174" s="84" t="n">
        <x:f>'Raw Sales'!J2174</x:f>
        <x:v>2</x:v>
      </x:c>
      <x:c r="S2174" s="87" t="n">
        <x:f>'Raw Sales'!K2174</x:f>
        <x:v>0.15</x:v>
      </x:c>
      <x:c r="T2174" s="93" t="n">
        <x:f>P2174*R2174</x:f>
        <x:v>178</x:v>
      </x:c>
      <x:c r="U2174" s="93" t="n">
        <x:f>T2174*S2174</x:f>
        <x:v>26.7</x:v>
      </x:c>
      <x:c r="V2174" s="93" t="str">
        <x:f>PROPER(TRIM('Raw Sales'!L2174))</x:f>
        <x:v>Completed</x:v>
      </x:c>
      <x:c r="W2174" s="93" t="n">
        <x:f>IF(V2174="Returned",0,T2174-U2174)</x:f>
        <x:v>151.3</x:v>
      </x:c>
      <x:c r="X2174" s="93" t="n">
        <x:f>IF(V2174="Returned",Q2174*R2174*10%,Q2174*R2174)</x:f>
        <x:v>72</x:v>
      </x:c>
      <x:c r="Y2174" s="93" t="n">
        <x:f>W2174-X2174</x:f>
        <x:v>79.30000000000001</x:v>
      </x:c>
      <x:c r="Z2174" s="94" t="n">
        <x:f>IFERROR(Y2174/W2174,0)</x:f>
        <x:v>0.5241242564441507</x:v>
      </x:c>
      <x:c r="AA2174" s="84" t="str">
        <x:f>PROPER(TRIM('Raw Sales'!M2174))</x:f>
        <x:v>Credit Card</x:v>
      </x:c>
      <x:c r="AB2174" s="84" t="str">
        <x:f>PROPER(TRIM('Raw Sales'!N2174))</x:f>
        <x:v>Zoe Turner</x:v>
      </x:c>
      <x:c r="AC2174" s="85" t="n">
        <x:f>'Raw Sales'!O2174</x:f>
        <x:v>45981</x:v>
      </x:c>
      <x:c r="AD2174" s="84" t="n">
        <x:f>AC2174-B2174</x:f>
        <x:v>6</x:v>
      </x:c>
      <x:c r="AE2174" s="84" t="str">
        <x:f>IF(COUNTIF($A$5:A2174,A2174)&gt;1,"Duplicate","Keep")</x:f>
        <x:v>Keep</x:v>
      </x:c>
      <x:c r="AF2174" s="84" t="str">
        <x:f>IF(OR(R2174&lt;=0,AC2174&lt;B2174,H2174="Unknown",M2174="Unknown Product"),"Review","Valid")</x:f>
        <x:v>Valid</x:v>
      </x:c>
      <x:c r="AG2174" s="84" t="n">
        <x:f>IF(AND(AE2174="Keep",AF2174="Valid"),1,0)</x:f>
        <x:v>1</x:v>
      </x:c>
      <x:c r="AH2174" s="84" t="n">
        <x:f>IF(AND(AG2174=1,OR('Dashboard'!$B$4="All",I2174='Dashboard'!$B$4),OR('Dashboard'!$E$4="All",N2174='Dashboard'!$E$4),OR('Dashboard'!$H$4="All",K2174='Dashboard'!$H$4),OR('Dashboard'!$K$4="All",C2174='Dashboard'!$K$4)),1,0)</x:f>
        <x:v>1</x:v>
      </x:c>
      <x:c r="AI2174" s="84" t="n">
        <x:f>IF(AND(AG2174=1,OR('Dashboard'!$B$4="All",I2174='Dashboard'!$B$4),OR('Dashboard'!$E$4="All",N2174='Dashboard'!$E$4),OR('Dashboard'!$H$4="All",K2174='Dashboard'!$H$4)),1,0)</x:f>
        <x:v>1</x:v>
      </x:c>
    </x:row>
    <x:row r="2175">
      <x:c r="A2175" s="84" t="str">
        <x:f>'Raw Sales'!A2175</x:f>
        <x:v>ORD-2025-00017</x:v>
      </x:c>
      <x:c r="B2175" s="85" t="n">
        <x:f>'Raw Sales'!B2175</x:f>
        <x:v>45976</x:v>
      </x:c>
      <x:c r="C2175" s="84" t="n">
        <x:f>YEAR(B2175)</x:f>
        <x:v>2025</x:v>
      </x:c>
      <x:c r="D2175" s="91" t="n">
        <x:f>DATE(YEAR(B2175),MONTH(B2175),1)</x:f>
        <x:v>45962</x:v>
      </x:c>
      <x:c r="E2175" s="84" t="str">
        <x:f>TEXT(B2175,"mmm")</x:f>
        <x:v>Nov</x:v>
      </x:c>
      <x:c r="F2175" s="84" t="str">
        <x:f>'Raw Sales'!C2175</x:f>
        <x:v>CUST-0325</x:v>
      </x:c>
      <x:c r="G2175" s="84" t="str">
        <x:f>PROPER(TRIM('Raw Sales'!D2175))</x:f>
        <x:v>Caleb Baker</x:v>
      </x:c>
      <x:c r="H2175" s="84" t="str">
        <x:f>IF(TRIM('Raw Sales'!E2175)="","Unknown",PROPER(TRIM('Raw Sales'!E2175)))</x:f>
        <x:v>Small Business</x:v>
      </x:c>
      <x:c r="I2175" s="84" t="str">
        <x:f>PROPER(TRIM('Raw Sales'!F2175))</x:f>
        <x:v>West</x:v>
      </x:c>
      <x:c r="J2175" s="84" t="str">
        <x:f>PROPER(TRIM('Raw Sales'!G2175))</x:f>
        <x:v>Phoenix</x:v>
      </x:c>
      <x:c r="K2175" s="84" t="str">
        <x:f>PROPER(TRIM('Raw Sales'!H2175))</x:f>
        <x:v>Retail Store</x:v>
      </x:c>
      <x:c r="L2175" s="84" t="str">
        <x:f>'Raw Sales'!I2175</x:f>
        <x:v>HOME-003</x:v>
      </x:c>
      <x:c r="M2175" s="84" t="str">
        <x:f>IFERROR(VLOOKUP(L2175,'Reference Data'!$A$5:$F$40,2,FALSE),"Unknown Product")</x:f>
        <x:v>Countertop Blender</x:v>
      </x:c>
      <x:c r="N2175" s="84" t="str">
        <x:f>IFERROR(VLOOKUP(L2175,'Reference Data'!$A$5:$F$40,3,FALSE),"Unknown")</x:f>
        <x:v>Home &amp; Kitchen</x:v>
      </x:c>
      <x:c r="O2175" s="84" t="str">
        <x:f>IFERROR(VLOOKUP(L2175,'Reference Data'!$A$5:$F$40,4,FALSE),"Unknown")</x:f>
        <x:v>Small Appliances</x:v>
      </x:c>
      <x:c r="P2175" s="92" t="n">
        <x:f>IFERROR(VLOOKUP(L2175,'Reference Data'!$A$5:$F$40,5,FALSE),0)</x:f>
        <x:v>89</x:v>
      </x:c>
      <x:c r="Q2175" s="92" t="n">
        <x:f>IFERROR(VLOOKUP(L2175,'Reference Data'!$A$5:$F$40,6,FALSE),0)</x:f>
        <x:v>46</x:v>
      </x:c>
      <x:c r="R2175" s="84" t="n">
        <x:f>'Raw Sales'!J2175</x:f>
        <x:v>1</x:v>
      </x:c>
      <x:c r="S2175" s="87" t="n">
        <x:f>'Raw Sales'!K2175</x:f>
        <x:v>0.1</x:v>
      </x:c>
      <x:c r="T2175" s="93" t="n">
        <x:f>P2175*R2175</x:f>
        <x:v>89</x:v>
      </x:c>
      <x:c r="U2175" s="93" t="n">
        <x:f>T2175*S2175</x:f>
        <x:v>8.9</x:v>
      </x:c>
      <x:c r="V2175" s="93" t="str">
        <x:f>PROPER(TRIM('Raw Sales'!L2175))</x:f>
        <x:v>Completed</x:v>
      </x:c>
      <x:c r="W2175" s="93" t="n">
        <x:f>IF(V2175="Returned",0,T2175-U2175)</x:f>
        <x:v>80.1</x:v>
      </x:c>
      <x:c r="X2175" s="93" t="n">
        <x:f>IF(V2175="Returned",Q2175*R2175*10%,Q2175*R2175)</x:f>
        <x:v>46</x:v>
      </x:c>
      <x:c r="Y2175" s="93" t="n">
        <x:f>W2175-X2175</x:f>
        <x:v>34.099999999999994</x:v>
      </x:c>
      <x:c r="Z2175" s="94" t="n">
        <x:f>IFERROR(Y2175/W2175,0)</x:f>
        <x:v>0.4257178526841448</x:v>
      </x:c>
      <x:c r="AA2175" s="84" t="str">
        <x:f>PROPER(TRIM('Raw Sales'!M2175))</x:f>
        <x:v>Cash</x:v>
      </x:c>
      <x:c r="AB2175" s="84" t="str">
        <x:f>PROPER(TRIM('Raw Sales'!N2175))</x:f>
        <x:v>Leo Martinez</x:v>
      </x:c>
      <x:c r="AC2175" s="85" t="n">
        <x:f>'Raw Sales'!O2175</x:f>
        <x:v>45976</x:v>
      </x:c>
      <x:c r="AD2175" s="84" t="n">
        <x:f>AC2175-B2175</x:f>
        <x:v>0</x:v>
      </x:c>
      <x:c r="AE2175" s="84" t="str">
        <x:f>IF(COUNTIF($A$5:A2175,A2175)&gt;1,"Duplicate","Keep")</x:f>
        <x:v>Keep</x:v>
      </x:c>
      <x:c r="AF2175" s="84" t="str">
        <x:f>IF(OR(R2175&lt;=0,AC2175&lt;B2175,H2175="Unknown",M2175="Unknown Product"),"Review","Valid")</x:f>
        <x:v>Valid</x:v>
      </x:c>
      <x:c r="AG2175" s="84" t="n">
        <x:f>IF(AND(AE2175="Keep",AF2175="Valid"),1,0)</x:f>
        <x:v>1</x:v>
      </x:c>
      <x:c r="AH2175" s="84" t="n">
        <x:f>IF(AND(AG2175=1,OR('Dashboard'!$B$4="All",I2175='Dashboard'!$B$4),OR('Dashboard'!$E$4="All",N2175='Dashboard'!$E$4),OR('Dashboard'!$H$4="All",K2175='Dashboard'!$H$4),OR('Dashboard'!$K$4="All",C2175='Dashboard'!$K$4)),1,0)</x:f>
        <x:v>1</x:v>
      </x:c>
      <x:c r="AI2175" s="84" t="n">
        <x:f>IF(AND(AG2175=1,OR('Dashboard'!$B$4="All",I2175='Dashboard'!$B$4),OR('Dashboard'!$E$4="All",N2175='Dashboard'!$E$4),OR('Dashboard'!$H$4="All",K2175='Dashboard'!$H$4)),1,0)</x:f>
        <x:v>1</x:v>
      </x:c>
    </x:row>
    <x:row r="2176">
      <x:c r="A2176" s="84" t="str">
        <x:f>'Raw Sales'!A2176</x:f>
        <x:v>ORD-2025-00133</x:v>
      </x:c>
      <x:c r="B2176" s="85" t="n">
        <x:f>'Raw Sales'!B2176</x:f>
        <x:v>45976</x:v>
      </x:c>
      <x:c r="C2176" s="84" t="n">
        <x:f>YEAR(B2176)</x:f>
        <x:v>2025</x:v>
      </x:c>
      <x:c r="D2176" s="91" t="n">
        <x:f>DATE(YEAR(B2176),MONTH(B2176),1)</x:f>
        <x:v>45962</x:v>
      </x:c>
      <x:c r="E2176" s="84" t="str">
        <x:f>TEXT(B2176,"mmm")</x:f>
        <x:v>Nov</x:v>
      </x:c>
      <x:c r="F2176" s="84" t="str">
        <x:f>'Raw Sales'!C2176</x:f>
        <x:v>CUST-0442</x:v>
      </x:c>
      <x:c r="G2176" s="84" t="str">
        <x:f>PROPER(TRIM('Raw Sales'!D2176))</x:f>
        <x:v>Elena Irwin</x:v>
      </x:c>
      <x:c r="H2176" s="84" t="str">
        <x:f>IF(TRIM('Raw Sales'!E2176)="","Unknown",PROPER(TRIM('Raw Sales'!E2176)))</x:f>
        <x:v>Consumer</x:v>
      </x:c>
      <x:c r="I2176" s="84" t="str">
        <x:f>PROPER(TRIM('Raw Sales'!F2176))</x:f>
        <x:v>Northeast</x:v>
      </x:c>
      <x:c r="J2176" s="84" t="str">
        <x:f>PROPER(TRIM('Raw Sales'!G2176))</x:f>
        <x:v>Boston</x:v>
      </x:c>
      <x:c r="K2176" s="84" t="str">
        <x:f>PROPER(TRIM('Raw Sales'!H2176))</x:f>
        <x:v>Retail Store</x:v>
      </x:c>
      <x:c r="L2176" s="84" t="str">
        <x:f>'Raw Sales'!I2176</x:f>
        <x:v>CARE-004</x:v>
      </x:c>
      <x:c r="M2176" s="84" t="str">
        <x:f>IFERROR(VLOOKUP(L2176,'Reference Data'!$A$5:$F$40,2,FALSE),"Unknown Product")</x:f>
        <x:v>Electric Toothbrush</x:v>
      </x:c>
      <x:c r="N2176" s="84" t="str">
        <x:f>IFERROR(VLOOKUP(L2176,'Reference Data'!$A$5:$F$40,3,FALSE),"Unknown")</x:f>
        <x:v>Personal Care</x:v>
      </x:c>
      <x:c r="O2176" s="84" t="str">
        <x:f>IFERROR(VLOOKUP(L2176,'Reference Data'!$A$5:$F$40,4,FALSE),"Unknown")</x:f>
        <x:v>Oral Care</x:v>
      </x:c>
      <x:c r="P2176" s="92" t="n">
        <x:f>IFERROR(VLOOKUP(L2176,'Reference Data'!$A$5:$F$40,5,FALSE),0)</x:f>
        <x:v>69</x:v>
      </x:c>
      <x:c r="Q2176" s="92" t="n">
        <x:f>IFERROR(VLOOKUP(L2176,'Reference Data'!$A$5:$F$40,6,FALSE),0)</x:f>
        <x:v>31</x:v>
      </x:c>
      <x:c r="R2176" s="84" t="n">
        <x:f>'Raw Sales'!J2176</x:f>
        <x:v>1</x:v>
      </x:c>
      <x:c r="S2176" s="87" t="n">
        <x:f>'Raw Sales'!K2176</x:f>
        <x:v>0.05</x:v>
      </x:c>
      <x:c r="T2176" s="93" t="n">
        <x:f>P2176*R2176</x:f>
        <x:v>69</x:v>
      </x:c>
      <x:c r="U2176" s="93" t="n">
        <x:f>T2176*S2176</x:f>
        <x:v>3.45</x:v>
      </x:c>
      <x:c r="V2176" s="93" t="str">
        <x:f>PROPER(TRIM('Raw Sales'!L2176))</x:f>
        <x:v>Completed</x:v>
      </x:c>
      <x:c r="W2176" s="93" t="n">
        <x:f>IF(V2176="Returned",0,T2176-U2176)</x:f>
        <x:v>65.55</x:v>
      </x:c>
      <x:c r="X2176" s="93" t="n">
        <x:f>IF(V2176="Returned",Q2176*R2176*10%,Q2176*R2176)</x:f>
        <x:v>31</x:v>
      </x:c>
      <x:c r="Y2176" s="93" t="n">
        <x:f>W2176-X2176</x:f>
        <x:v>34.55</x:v>
      </x:c>
      <x:c r="Z2176" s="94" t="n">
        <x:f>IFERROR(Y2176/W2176,0)</x:f>
        <x:v>0.5270785659801678</x:v>
      </x:c>
      <x:c r="AA2176" s="84" t="str">
        <x:f>PROPER(TRIM('Raw Sales'!M2176))</x:f>
        <x:v>Cash</x:v>
      </x:c>
      <x:c r="AB2176" s="84" t="str">
        <x:f>PROPER(TRIM('Raw Sales'!N2176))</x:f>
        <x:v>Ethan Cole</x:v>
      </x:c>
      <x:c r="AC2176" s="85" t="n">
        <x:f>'Raw Sales'!O2176</x:f>
        <x:v>45976</x:v>
      </x:c>
      <x:c r="AD2176" s="84" t="n">
        <x:f>AC2176-B2176</x:f>
        <x:v>0</x:v>
      </x:c>
      <x:c r="AE2176" s="84" t="str">
        <x:f>IF(COUNTIF($A$5:A2176,A2176)&gt;1,"Duplicate","Keep")</x:f>
        <x:v>Keep</x:v>
      </x:c>
      <x:c r="AF2176" s="84" t="str">
        <x:f>IF(OR(R2176&lt;=0,AC2176&lt;B2176,H2176="Unknown",M2176="Unknown Product"),"Review","Valid")</x:f>
        <x:v>Valid</x:v>
      </x:c>
      <x:c r="AG2176" s="84" t="n">
        <x:f>IF(AND(AE2176="Keep",AF2176="Valid"),1,0)</x:f>
        <x:v>1</x:v>
      </x:c>
      <x:c r="AH2176" s="84" t="n">
        <x:f>IF(AND(AG2176=1,OR('Dashboard'!$B$4="All",I2176='Dashboard'!$B$4),OR('Dashboard'!$E$4="All",N2176='Dashboard'!$E$4),OR('Dashboard'!$H$4="All",K2176='Dashboard'!$H$4),OR('Dashboard'!$K$4="All",C2176='Dashboard'!$K$4)),1,0)</x:f>
        <x:v>1</x:v>
      </x:c>
      <x:c r="AI2176" s="84" t="n">
        <x:f>IF(AND(AG2176=1,OR('Dashboard'!$B$4="All",I2176='Dashboard'!$B$4),OR('Dashboard'!$E$4="All",N2176='Dashboard'!$E$4),OR('Dashboard'!$H$4="All",K2176='Dashboard'!$H$4)),1,0)</x:f>
        <x:v>1</x:v>
      </x:c>
    </x:row>
    <x:row r="2177">
      <x:c r="A2177" s="84" t="str">
        <x:f>'Raw Sales'!A2177</x:f>
        <x:v>ORD-2025-00195</x:v>
      </x:c>
      <x:c r="B2177" s="85" t="n">
        <x:f>'Raw Sales'!B2177</x:f>
        <x:v>45976</x:v>
      </x:c>
      <x:c r="C2177" s="84" t="n">
        <x:f>YEAR(B2177)</x:f>
        <x:v>2025</x:v>
      </x:c>
      <x:c r="D2177" s="91" t="n">
        <x:f>DATE(YEAR(B2177),MONTH(B2177),1)</x:f>
        <x:v>45962</x:v>
      </x:c>
      <x:c r="E2177" s="84" t="str">
        <x:f>TEXT(B2177,"mmm")</x:f>
        <x:v>Nov</x:v>
      </x:c>
      <x:c r="F2177" s="84" t="str">
        <x:f>'Raw Sales'!C2177</x:f>
        <x:v>CUST-0322</x:v>
      </x:c>
      <x:c r="G2177" s="84" t="str">
        <x:f>PROPER(TRIM('Raw Sales'!D2177))</x:f>
        <x:v>Jasmine Khan</x:v>
      </x:c>
      <x:c r="H2177" s="84" t="str">
        <x:f>IF(TRIM('Raw Sales'!E2177)="","Unknown",PROPER(TRIM('Raw Sales'!E2177)))</x:f>
        <x:v>Corporate</x:v>
      </x:c>
      <x:c r="I2177" s="84" t="str">
        <x:f>PROPER(TRIM('Raw Sales'!F2177))</x:f>
        <x:v>Southeast</x:v>
      </x:c>
      <x:c r="J2177" s="84" t="str">
        <x:f>PROPER(TRIM('Raw Sales'!G2177))</x:f>
        <x:v>Atlanta</x:v>
      </x:c>
      <x:c r="K2177" s="84" t="str">
        <x:f>PROPER(TRIM('Raw Sales'!H2177))</x:f>
        <x:v>Marketplace</x:v>
      </x:c>
      <x:c r="L2177" s="84" t="str">
        <x:f>'Raw Sales'!I2177</x:f>
        <x:v>CARE-004</x:v>
      </x:c>
      <x:c r="M2177" s="84" t="str">
        <x:f>IFERROR(VLOOKUP(L2177,'Reference Data'!$A$5:$F$40,2,FALSE),"Unknown Product")</x:f>
        <x:v>Electric Toothbrush</x:v>
      </x:c>
      <x:c r="N2177" s="84" t="str">
        <x:f>IFERROR(VLOOKUP(L2177,'Reference Data'!$A$5:$F$40,3,FALSE),"Unknown")</x:f>
        <x:v>Personal Care</x:v>
      </x:c>
      <x:c r="O2177" s="84" t="str">
        <x:f>IFERROR(VLOOKUP(L2177,'Reference Data'!$A$5:$F$40,4,FALSE),"Unknown")</x:f>
        <x:v>Oral Care</x:v>
      </x:c>
      <x:c r="P2177" s="92" t="n">
        <x:f>IFERROR(VLOOKUP(L2177,'Reference Data'!$A$5:$F$40,5,FALSE),0)</x:f>
        <x:v>69</x:v>
      </x:c>
      <x:c r="Q2177" s="92" t="n">
        <x:f>IFERROR(VLOOKUP(L2177,'Reference Data'!$A$5:$F$40,6,FALSE),0)</x:f>
        <x:v>31</x:v>
      </x:c>
      <x:c r="R2177" s="84" t="n">
        <x:f>'Raw Sales'!J2177</x:f>
        <x:v>4</x:v>
      </x:c>
      <x:c r="S2177" s="87" t="n">
        <x:f>'Raw Sales'!K2177</x:f>
        <x:v>0.1</x:v>
      </x:c>
      <x:c r="T2177" s="93" t="n">
        <x:f>P2177*R2177</x:f>
        <x:v>276</x:v>
      </x:c>
      <x:c r="U2177" s="93" t="n">
        <x:f>T2177*S2177</x:f>
        <x:v>27.6</x:v>
      </x:c>
      <x:c r="V2177" s="93" t="str">
        <x:f>PROPER(TRIM('Raw Sales'!L2177))</x:f>
        <x:v>Completed</x:v>
      </x:c>
      <x:c r="W2177" s="93" t="n">
        <x:f>IF(V2177="Returned",0,T2177-U2177)</x:f>
        <x:v>248.4</x:v>
      </x:c>
      <x:c r="X2177" s="93" t="n">
        <x:f>IF(V2177="Returned",Q2177*R2177*10%,Q2177*R2177)</x:f>
        <x:v>124</x:v>
      </x:c>
      <x:c r="Y2177" s="93" t="n">
        <x:f>W2177-X2177</x:f>
        <x:v>124.4</x:v>
      </x:c>
      <x:c r="Z2177" s="94" t="n">
        <x:f>IFERROR(Y2177/W2177,0)</x:f>
        <x:v>0.500805152979066</x:v>
      </x:c>
      <x:c r="AA2177" s="84" t="str">
        <x:f>PROPER(TRIM('Raw Sales'!M2177))</x:f>
        <x:v>Credit Card</x:v>
      </x:c>
      <x:c r="AB2177" s="84" t="str">
        <x:f>PROPER(TRIM('Raw Sales'!N2177))</x:f>
        <x:v>Liam Parker</x:v>
      </x:c>
      <x:c r="AC2177" s="85" t="n">
        <x:f>'Raw Sales'!O2177</x:f>
        <x:v>45980</x:v>
      </x:c>
      <x:c r="AD2177" s="84" t="n">
        <x:f>AC2177-B2177</x:f>
        <x:v>4</x:v>
      </x:c>
      <x:c r="AE2177" s="84" t="str">
        <x:f>IF(COUNTIF($A$5:A2177,A2177)&gt;1,"Duplicate","Keep")</x:f>
        <x:v>Keep</x:v>
      </x:c>
      <x:c r="AF2177" s="84" t="str">
        <x:f>IF(OR(R2177&lt;=0,AC2177&lt;B2177,H2177="Unknown",M2177="Unknown Product"),"Review","Valid")</x:f>
        <x:v>Valid</x:v>
      </x:c>
      <x:c r="AG2177" s="84" t="n">
        <x:f>IF(AND(AE2177="Keep",AF2177="Valid"),1,0)</x:f>
        <x:v>1</x:v>
      </x:c>
      <x:c r="AH2177" s="84" t="n">
        <x:f>IF(AND(AG2177=1,OR('Dashboard'!$B$4="All",I2177='Dashboard'!$B$4),OR('Dashboard'!$E$4="All",N2177='Dashboard'!$E$4),OR('Dashboard'!$H$4="All",K2177='Dashboard'!$H$4),OR('Dashboard'!$K$4="All",C2177='Dashboard'!$K$4)),1,0)</x:f>
        <x:v>1</x:v>
      </x:c>
      <x:c r="AI2177" s="84" t="n">
        <x:f>IF(AND(AG2177=1,OR('Dashboard'!$B$4="All",I2177='Dashboard'!$B$4),OR('Dashboard'!$E$4="All",N2177='Dashboard'!$E$4),OR('Dashboard'!$H$4="All",K2177='Dashboard'!$H$4)),1,0)</x:f>
        <x:v>1</x:v>
      </x:c>
    </x:row>
    <x:row r="2178">
      <x:c r="A2178" s="84" t="str">
        <x:f>'Raw Sales'!A2178</x:f>
        <x:v>ORD-2025-00407</x:v>
      </x:c>
      <x:c r="B2178" s="85" t="n">
        <x:f>'Raw Sales'!B2178</x:f>
        <x:v>45976</x:v>
      </x:c>
      <x:c r="C2178" s="84" t="n">
        <x:f>YEAR(B2178)</x:f>
        <x:v>2025</x:v>
      </x:c>
      <x:c r="D2178" s="91" t="n">
        <x:f>DATE(YEAR(B2178),MONTH(B2178),1)</x:f>
        <x:v>45962</x:v>
      </x:c>
      <x:c r="E2178" s="84" t="str">
        <x:f>TEXT(B2178,"mmm")</x:f>
        <x:v>Nov</x:v>
      </x:c>
      <x:c r="F2178" s="84" t="str">
        <x:f>'Raw Sales'!C2178</x:f>
        <x:v>CUST-0517</x:v>
      </x:c>
      <x:c r="G2178" s="84" t="str">
        <x:f>PROPER(TRIM('Raw Sales'!D2178))</x:f>
        <x:v>Layla Irwin</x:v>
      </x:c>
      <x:c r="H2178" s="84" t="str">
        <x:f>IF(TRIM('Raw Sales'!E2178)="","Unknown",PROPER(TRIM('Raw Sales'!E2178)))</x:f>
        <x:v>Corporate</x:v>
      </x:c>
      <x:c r="I2178" s="84" t="str">
        <x:f>PROPER(TRIM('Raw Sales'!F2178))</x:f>
        <x:v>Northeast</x:v>
      </x:c>
      <x:c r="J2178" s="84" t="str">
        <x:f>PROPER(TRIM('Raw Sales'!G2178))</x:f>
        <x:v>Newark</x:v>
      </x:c>
      <x:c r="K2178" s="84" t="str">
        <x:f>PROPER(TRIM('Raw Sales'!H2178))</x:f>
        <x:v>Retail Store</x:v>
      </x:c>
      <x:c r="L2178" s="84" t="str">
        <x:f>'Raw Sales'!I2178</x:f>
        <x:v>ACCS-003</x:v>
      </x:c>
      <x:c r="M2178" s="84" t="str">
        <x:f>IFERROR(VLOOKUP(L2178,'Reference Data'!$A$5:$F$40,2,FALSE),"Unknown Product")</x:f>
        <x:v>Polarized Sunglasses</x:v>
      </x:c>
      <x:c r="N2178" s="84" t="str">
        <x:f>IFERROR(VLOOKUP(L2178,'Reference Data'!$A$5:$F$40,3,FALSE),"Unknown")</x:f>
        <x:v>Accessories</x:v>
      </x:c>
      <x:c r="O2178" s="84" t="str">
        <x:f>IFERROR(VLOOKUP(L2178,'Reference Data'!$A$5:$F$40,4,FALSE),"Unknown")</x:f>
        <x:v>Eyewear</x:v>
      </x:c>
      <x:c r="P2178" s="92" t="n">
        <x:f>IFERROR(VLOOKUP(L2178,'Reference Data'!$A$5:$F$40,5,FALSE),0)</x:f>
        <x:v>59</x:v>
      </x:c>
      <x:c r="Q2178" s="92" t="n">
        <x:f>IFERROR(VLOOKUP(L2178,'Reference Data'!$A$5:$F$40,6,FALSE),0)</x:f>
        <x:v>17</x:v>
      </x:c>
      <x:c r="R2178" s="84" t="n">
        <x:f>'Raw Sales'!J2178</x:f>
        <x:v>2</x:v>
      </x:c>
      <x:c r="S2178" s="87" t="n">
        <x:f>'Raw Sales'!K2178</x:f>
        <x:v>0.05</x:v>
      </x:c>
      <x:c r="T2178" s="93" t="n">
        <x:f>P2178*R2178</x:f>
        <x:v>118</x:v>
      </x:c>
      <x:c r="U2178" s="93" t="n">
        <x:f>T2178*S2178</x:f>
        <x:v>5.9</x:v>
      </x:c>
      <x:c r="V2178" s="93" t="str">
        <x:f>PROPER(TRIM('Raw Sales'!L2178))</x:f>
        <x:v>Completed</x:v>
      </x:c>
      <x:c r="W2178" s="93" t="n">
        <x:f>IF(V2178="Returned",0,T2178-U2178)</x:f>
        <x:v>112.1</x:v>
      </x:c>
      <x:c r="X2178" s="93" t="n">
        <x:f>IF(V2178="Returned",Q2178*R2178*10%,Q2178*R2178)</x:f>
        <x:v>34</x:v>
      </x:c>
      <x:c r="Y2178" s="93" t="n">
        <x:f>W2178-X2178</x:f>
        <x:v>78.1</x:v>
      </x:c>
      <x:c r="Z2178" s="94" t="n">
        <x:f>IFERROR(Y2178/W2178,0)</x:f>
        <x:v>0.6966993755575379</x:v>
      </x:c>
      <x:c r="AA2178" s="84" t="str">
        <x:f>PROPER(TRIM('Raw Sales'!M2178))</x:f>
        <x:v>Credit Card</x:v>
      </x:c>
      <x:c r="AB2178" s="84" t="str">
        <x:f>PROPER(TRIM('Raw Sales'!N2178))</x:f>
        <x:v>Ethan Cole</x:v>
      </x:c>
      <x:c r="AC2178" s="85" t="n">
        <x:f>'Raw Sales'!O2178</x:f>
        <x:v>45977</x:v>
      </x:c>
      <x:c r="AD2178" s="84" t="n">
        <x:f>AC2178-B2178</x:f>
        <x:v>1</x:v>
      </x:c>
      <x:c r="AE2178" s="84" t="str">
        <x:f>IF(COUNTIF($A$5:A2178,A2178)&gt;1,"Duplicate","Keep")</x:f>
        <x:v>Keep</x:v>
      </x:c>
      <x:c r="AF2178" s="84" t="str">
        <x:f>IF(OR(R2178&lt;=0,AC2178&lt;B2178,H2178="Unknown",M2178="Unknown Product"),"Review","Valid")</x:f>
        <x:v>Valid</x:v>
      </x:c>
      <x:c r="AG2178" s="84" t="n">
        <x:f>IF(AND(AE2178="Keep",AF2178="Valid"),1,0)</x:f>
        <x:v>1</x:v>
      </x:c>
      <x:c r="AH2178" s="84" t="n">
        <x:f>IF(AND(AG2178=1,OR('Dashboard'!$B$4="All",I2178='Dashboard'!$B$4),OR('Dashboard'!$E$4="All",N2178='Dashboard'!$E$4),OR('Dashboard'!$H$4="All",K2178='Dashboard'!$H$4),OR('Dashboard'!$K$4="All",C2178='Dashboard'!$K$4)),1,0)</x:f>
        <x:v>1</x:v>
      </x:c>
      <x:c r="AI2178" s="84" t="n">
        <x:f>IF(AND(AG2178=1,OR('Dashboard'!$B$4="All",I2178='Dashboard'!$B$4),OR('Dashboard'!$E$4="All",N2178='Dashboard'!$E$4),OR('Dashboard'!$H$4="All",K2178='Dashboard'!$H$4)),1,0)</x:f>
        <x:v>1</x:v>
      </x:c>
    </x:row>
    <x:row r="2179">
      <x:c r="A2179" s="84" t="str">
        <x:f>'Raw Sales'!A2179</x:f>
        <x:v>ORD-2025-00433</x:v>
      </x:c>
      <x:c r="B2179" s="85" t="n">
        <x:f>'Raw Sales'!B2179</x:f>
        <x:v>45976</x:v>
      </x:c>
      <x:c r="C2179" s="84" t="n">
        <x:f>YEAR(B2179)</x:f>
        <x:v>2025</x:v>
      </x:c>
      <x:c r="D2179" s="91" t="n">
        <x:f>DATE(YEAR(B2179),MONTH(B2179),1)</x:f>
        <x:v>45962</x:v>
      </x:c>
      <x:c r="E2179" s="84" t="str">
        <x:f>TEXT(B2179,"mmm")</x:f>
        <x:v>Nov</x:v>
      </x:c>
      <x:c r="F2179" s="84" t="str">
        <x:f>'Raw Sales'!C2179</x:f>
        <x:v>CUST-0556</x:v>
      </x:c>
      <x:c r="G2179" s="84" t="str">
        <x:f>PROPER(TRIM('Raw Sales'!D2179))</x:f>
        <x:v>Grace Khan</x:v>
      </x:c>
      <x:c r="H2179" s="84" t="str">
        <x:f>IF(TRIM('Raw Sales'!E2179)="","Unknown",PROPER(TRIM('Raw Sales'!E2179)))</x:f>
        <x:v>Corporate</x:v>
      </x:c>
      <x:c r="I2179" s="84" t="str">
        <x:f>PROPER(TRIM('Raw Sales'!F2179))</x:f>
        <x:v>West</x:v>
      </x:c>
      <x:c r="J2179" s="84" t="str">
        <x:f>PROPER(TRIM('Raw Sales'!G2179))</x:f>
        <x:v>Los Angeles</x:v>
      </x:c>
      <x:c r="K2179" s="84" t="str">
        <x:f>PROPER(TRIM('Raw Sales'!H2179))</x:f>
        <x:v>Online</x:v>
      </x:c>
      <x:c r="L2179" s="84" t="str">
        <x:f>'Raw Sales'!I2179</x:f>
        <x:v>ACCS-006</x:v>
      </x:c>
      <x:c r="M2179" s="84" t="str">
        <x:f>IFERROR(VLOOKUP(L2179,'Reference Data'!$A$5:$F$40,2,FALSE),"Unknown Product")</x:f>
        <x:v>Insulated Lunch Bag</x:v>
      </x:c>
      <x:c r="N2179" s="84" t="str">
        <x:f>IFERROR(VLOOKUP(L2179,'Reference Data'!$A$5:$F$40,3,FALSE),"Unknown")</x:f>
        <x:v>Accessories</x:v>
      </x:c>
      <x:c r="O2179" s="84" t="str">
        <x:f>IFERROR(VLOOKUP(L2179,'Reference Data'!$A$5:$F$40,4,FALSE),"Unknown")</x:f>
        <x:v>Bags</x:v>
      </x:c>
      <x:c r="P2179" s="92" t="n">
        <x:f>IFERROR(VLOOKUP(L2179,'Reference Data'!$A$5:$F$40,5,FALSE),0)</x:f>
        <x:v>29</x:v>
      </x:c>
      <x:c r="Q2179" s="92" t="n">
        <x:f>IFERROR(VLOOKUP(L2179,'Reference Data'!$A$5:$F$40,6,FALSE),0)</x:f>
        <x:v>10</x:v>
      </x:c>
      <x:c r="R2179" s="84" t="n">
        <x:f>'Raw Sales'!J2179</x:f>
        <x:v>8</x:v>
      </x:c>
      <x:c r="S2179" s="87" t="n">
        <x:f>'Raw Sales'!K2179</x:f>
        <x:v>0.05</x:v>
      </x:c>
      <x:c r="T2179" s="93" t="n">
        <x:f>P2179*R2179</x:f>
        <x:v>232</x:v>
      </x:c>
      <x:c r="U2179" s="93" t="n">
        <x:f>T2179*S2179</x:f>
        <x:v>11.600000000000001</x:v>
      </x:c>
      <x:c r="V2179" s="93" t="str">
        <x:f>PROPER(TRIM('Raw Sales'!L2179))</x:f>
        <x:v>Completed</x:v>
      </x:c>
      <x:c r="W2179" s="93" t="n">
        <x:f>IF(V2179="Returned",0,T2179-U2179)</x:f>
        <x:v>220.4</x:v>
      </x:c>
      <x:c r="X2179" s="93" t="n">
        <x:f>IF(V2179="Returned",Q2179*R2179*10%,Q2179*R2179)</x:f>
        <x:v>80</x:v>
      </x:c>
      <x:c r="Y2179" s="93" t="n">
        <x:f>W2179-X2179</x:f>
        <x:v>140.4</x:v>
      </x:c>
      <x:c r="Z2179" s="94" t="n">
        <x:f>IFERROR(Y2179/W2179,0)</x:f>
        <x:v>0.6370235934664247</x:v>
      </x:c>
      <x:c r="AA2179" s="84" t="str">
        <x:f>PROPER(TRIM('Raw Sales'!M2179))</x:f>
        <x:v>Debit Card</x:v>
      </x:c>
      <x:c r="AB2179" s="84" t="str">
        <x:f>PROPER(TRIM('Raw Sales'!N2179))</x:f>
        <x:v>Nora Kim</x:v>
      </x:c>
      <x:c r="AC2179" s="85" t="n">
        <x:f>'Raw Sales'!O2179</x:f>
        <x:v>45980</x:v>
      </x:c>
      <x:c r="AD2179" s="84" t="n">
        <x:f>AC2179-B2179</x:f>
        <x:v>4</x:v>
      </x:c>
      <x:c r="AE2179" s="84" t="str">
        <x:f>IF(COUNTIF($A$5:A2179,A2179)&gt;1,"Duplicate","Keep")</x:f>
        <x:v>Keep</x:v>
      </x:c>
      <x:c r="AF2179" s="84" t="str">
        <x:f>IF(OR(R2179&lt;=0,AC2179&lt;B2179,H2179="Unknown",M2179="Unknown Product"),"Review","Valid")</x:f>
        <x:v>Valid</x:v>
      </x:c>
      <x:c r="AG2179" s="84" t="n">
        <x:f>IF(AND(AE2179="Keep",AF2179="Valid"),1,0)</x:f>
        <x:v>1</x:v>
      </x:c>
      <x:c r="AH2179" s="84" t="n">
        <x:f>IF(AND(AG2179=1,OR('Dashboard'!$B$4="All",I2179='Dashboard'!$B$4),OR('Dashboard'!$E$4="All",N2179='Dashboard'!$E$4),OR('Dashboard'!$H$4="All",K2179='Dashboard'!$H$4),OR('Dashboard'!$K$4="All",C2179='Dashboard'!$K$4)),1,0)</x:f>
        <x:v>1</x:v>
      </x:c>
      <x:c r="AI2179" s="84" t="n">
        <x:f>IF(AND(AG2179=1,OR('Dashboard'!$B$4="All",I2179='Dashboard'!$B$4),OR('Dashboard'!$E$4="All",N2179='Dashboard'!$E$4),OR('Dashboard'!$H$4="All",K2179='Dashboard'!$H$4)),1,0)</x:f>
        <x:v>1</x:v>
      </x:c>
    </x:row>
    <x:row r="2180">
      <x:c r="A2180" s="84" t="str">
        <x:f>'Raw Sales'!A2180</x:f>
        <x:v>ORD-2025-00511</x:v>
      </x:c>
      <x:c r="B2180" s="85" t="n">
        <x:f>'Raw Sales'!B2180</x:f>
        <x:v>45976</x:v>
      </x:c>
      <x:c r="C2180" s="84" t="n">
        <x:f>YEAR(B2180)</x:f>
        <x:v>2025</x:v>
      </x:c>
      <x:c r="D2180" s="91" t="n">
        <x:f>DATE(YEAR(B2180),MONTH(B2180),1)</x:f>
        <x:v>45962</x:v>
      </x:c>
      <x:c r="E2180" s="84" t="str">
        <x:f>TEXT(B2180,"mmm")</x:f>
        <x:v>Nov</x:v>
      </x:c>
      <x:c r="F2180" s="84" t="str">
        <x:f>'Raw Sales'!C2180</x:f>
        <x:v>CUST-0189</x:v>
      </x:c>
      <x:c r="G2180" s="84" t="str">
        <x:f>PROPER(TRIM('Raw Sales'!D2180))</x:f>
        <x:v>Marcus Taylor</x:v>
      </x:c>
      <x:c r="H2180" s="84" t="str">
        <x:f>IF(TRIM('Raw Sales'!E2180)="","Unknown",PROPER(TRIM('Raw Sales'!E2180)))</x:f>
        <x:v>Consumer</x:v>
      </x:c>
      <x:c r="I2180" s="84" t="str">
        <x:f>PROPER(TRIM('Raw Sales'!F2180))</x:f>
        <x:v>Midwest</x:v>
      </x:c>
      <x:c r="J2180" s="84" t="str">
        <x:f>PROPER(TRIM('Raw Sales'!G2180))</x:f>
        <x:v>Chicago</x:v>
      </x:c>
      <x:c r="K2180" s="84" t="str">
        <x:f>PROPER(TRIM('Raw Sales'!H2180))</x:f>
        <x:v>Online</x:v>
      </x:c>
      <x:c r="L2180" s="84" t="str">
        <x:f>'Raw Sales'!I2180</x:f>
        <x:v>FITN-006</x:v>
      </x:c>
      <x:c r="M2180" s="84" t="str">
        <x:f>IFERROR(VLOOKUP(L2180,'Reference Data'!$A$5:$F$40,2,FALSE),"Unknown Product")</x:f>
        <x:v>Foam Roller</x:v>
      </x:c>
      <x:c r="N2180" s="84" t="str">
        <x:f>IFERROR(VLOOKUP(L2180,'Reference Data'!$A$5:$F$40,3,FALSE),"Unknown")</x:f>
        <x:v>Fitness</x:v>
      </x:c>
      <x:c r="O2180" s="84" t="str">
        <x:f>IFERROR(VLOOKUP(L2180,'Reference Data'!$A$5:$F$40,4,FALSE),"Unknown")</x:f>
        <x:v>Recovery</x:v>
      </x:c>
      <x:c r="P2180" s="92" t="n">
        <x:f>IFERROR(VLOOKUP(L2180,'Reference Data'!$A$5:$F$40,5,FALSE),0)</x:f>
        <x:v>31</x:v>
      </x:c>
      <x:c r="Q2180" s="92" t="n">
        <x:f>IFERROR(VLOOKUP(L2180,'Reference Data'!$A$5:$F$40,6,FALSE),0)</x:f>
        <x:v>12</x:v>
      </x:c>
      <x:c r="R2180" s="84" t="n">
        <x:f>'Raw Sales'!J2180</x:f>
        <x:v>4</x:v>
      </x:c>
      <x:c r="S2180" s="87" t="n">
        <x:f>'Raw Sales'!K2180</x:f>
        <x:v>0.05</x:v>
      </x:c>
      <x:c r="T2180" s="93" t="n">
        <x:f>P2180*R2180</x:f>
        <x:v>124</x:v>
      </x:c>
      <x:c r="U2180" s="93" t="n">
        <x:f>T2180*S2180</x:f>
        <x:v>6.2</x:v>
      </x:c>
      <x:c r="V2180" s="93" t="str">
        <x:f>PROPER(TRIM('Raw Sales'!L2180))</x:f>
        <x:v>Completed</x:v>
      </x:c>
      <x:c r="W2180" s="93" t="n">
        <x:f>IF(V2180="Returned",0,T2180-U2180)</x:f>
        <x:v>117.8</x:v>
      </x:c>
      <x:c r="X2180" s="93" t="n">
        <x:f>IF(V2180="Returned",Q2180*R2180*10%,Q2180*R2180)</x:f>
        <x:v>48</x:v>
      </x:c>
      <x:c r="Y2180" s="93" t="n">
        <x:f>W2180-X2180</x:f>
        <x:v>69.8</x:v>
      </x:c>
      <x:c r="Z2180" s="94" t="n">
        <x:f>IFERROR(Y2180/W2180,0)</x:f>
        <x:v>0.5925297113752123</x:v>
      </x:c>
      <x:c r="AA2180" s="84" t="str">
        <x:f>PROPER(TRIM('Raw Sales'!M2180))</x:f>
        <x:v>Debit Card</x:v>
      </x:c>
      <x:c r="AB2180" s="84" t="str">
        <x:f>PROPER(TRIM('Raw Sales'!N2180))</x:f>
        <x:v>Lucas Grant</x:v>
      </x:c>
      <x:c r="AC2180" s="85" t="n">
        <x:f>'Raw Sales'!O2180</x:f>
        <x:v>45980</x:v>
      </x:c>
      <x:c r="AD2180" s="84" t="n">
        <x:f>AC2180-B2180</x:f>
        <x:v>4</x:v>
      </x:c>
      <x:c r="AE2180" s="84" t="str">
        <x:f>IF(COUNTIF($A$5:A2180,A2180)&gt;1,"Duplicate","Keep")</x:f>
        <x:v>Keep</x:v>
      </x:c>
      <x:c r="AF2180" s="84" t="str">
        <x:f>IF(OR(R2180&lt;=0,AC2180&lt;B2180,H2180="Unknown",M2180="Unknown Product"),"Review","Valid")</x:f>
        <x:v>Valid</x:v>
      </x:c>
      <x:c r="AG2180" s="84" t="n">
        <x:f>IF(AND(AE2180="Keep",AF2180="Valid"),1,0)</x:f>
        <x:v>1</x:v>
      </x:c>
      <x:c r="AH2180" s="84" t="n">
        <x:f>IF(AND(AG2180=1,OR('Dashboard'!$B$4="All",I2180='Dashboard'!$B$4),OR('Dashboard'!$E$4="All",N2180='Dashboard'!$E$4),OR('Dashboard'!$H$4="All",K2180='Dashboard'!$H$4),OR('Dashboard'!$K$4="All",C2180='Dashboard'!$K$4)),1,0)</x:f>
        <x:v>1</x:v>
      </x:c>
      <x:c r="AI2180" s="84" t="n">
        <x:f>IF(AND(AG2180=1,OR('Dashboard'!$B$4="All",I2180='Dashboard'!$B$4),OR('Dashboard'!$E$4="All",N2180='Dashboard'!$E$4),OR('Dashboard'!$H$4="All",K2180='Dashboard'!$H$4)),1,0)</x:f>
        <x:v>1</x:v>
      </x:c>
    </x:row>
    <x:row r="2181">
      <x:c r="A2181" s="84" t="str">
        <x:f>'Raw Sales'!A2181</x:f>
        <x:v>ORD-2025-00621</x:v>
      </x:c>
      <x:c r="B2181" s="85" t="n">
        <x:f>'Raw Sales'!B2181</x:f>
        <x:v>45976</x:v>
      </x:c>
      <x:c r="C2181" s="84" t="n">
        <x:f>YEAR(B2181)</x:f>
        <x:v>2025</x:v>
      </x:c>
      <x:c r="D2181" s="91" t="n">
        <x:f>DATE(YEAR(B2181),MONTH(B2181),1)</x:f>
        <x:v>45962</x:v>
      </x:c>
      <x:c r="E2181" s="84" t="str">
        <x:f>TEXT(B2181,"mmm")</x:f>
        <x:v>Nov</x:v>
      </x:c>
      <x:c r="F2181" s="84" t="str">
        <x:f>'Raw Sales'!C2181</x:f>
        <x:v>CUST-0199</x:v>
      </x:c>
      <x:c r="G2181" s="84" t="str">
        <x:f>PROPER(TRIM('Raw Sales'!D2181))</x:f>
        <x:v>Theo Adams</x:v>
      </x:c>
      <x:c r="H2181" s="84" t="str">
        <x:f>IF(TRIM('Raw Sales'!E2181)="","Unknown",PROPER(TRIM('Raw Sales'!E2181)))</x:f>
        <x:v>Corporate</x:v>
      </x:c>
      <x:c r="I2181" s="84" t="str">
        <x:f>PROPER(TRIM('Raw Sales'!F2181))</x:f>
        <x:v>Northeast</x:v>
      </x:c>
      <x:c r="J2181" s="84" t="str">
        <x:f>PROPER(TRIM('Raw Sales'!G2181))</x:f>
        <x:v>Philadelphia</x:v>
      </x:c>
      <x:c r="K2181" s="84" t="str">
        <x:f>PROPER(TRIM('Raw Sales'!H2181))</x:f>
        <x:v>Retail Store</x:v>
      </x:c>
      <x:c r="L2181" s="84" t="str">
        <x:f>'Raw Sales'!I2181</x:f>
        <x:v>ACCS-004</x:v>
      </x:c>
      <x:c r="M2181" s="84" t="str">
        <x:f>IFERROR(VLOOKUP(L2181,'Reference Data'!$A$5:$F$40,2,FALSE),"Unknown Product")</x:f>
        <x:v>Leather Wallet</x:v>
      </x:c>
      <x:c r="N2181" s="84" t="str">
        <x:f>IFERROR(VLOOKUP(L2181,'Reference Data'!$A$5:$F$40,3,FALSE),"Unknown")</x:f>
        <x:v>Accessories</x:v>
      </x:c>
      <x:c r="O2181" s="84" t="str">
        <x:f>IFERROR(VLOOKUP(L2181,'Reference Data'!$A$5:$F$40,4,FALSE),"Unknown")</x:f>
        <x:v>Wallets</x:v>
      </x:c>
      <x:c r="P2181" s="92" t="n">
        <x:f>IFERROR(VLOOKUP(L2181,'Reference Data'!$A$5:$F$40,5,FALSE),0)</x:f>
        <x:v>49</x:v>
      </x:c>
      <x:c r="Q2181" s="92" t="n">
        <x:f>IFERROR(VLOOKUP(L2181,'Reference Data'!$A$5:$F$40,6,FALSE),0)</x:f>
        <x:v>18</x:v>
      </x:c>
      <x:c r="R2181" s="84" t="n">
        <x:f>'Raw Sales'!J2181</x:f>
        <x:v>4</x:v>
      </x:c>
      <x:c r="S2181" s="87" t="n">
        <x:f>'Raw Sales'!K2181</x:f>
        <x:v>0.1</x:v>
      </x:c>
      <x:c r="T2181" s="93" t="n">
        <x:f>P2181*R2181</x:f>
        <x:v>196</x:v>
      </x:c>
      <x:c r="U2181" s="93" t="n">
        <x:f>T2181*S2181</x:f>
        <x:v>19.6</x:v>
      </x:c>
      <x:c r="V2181" s="93" t="str">
        <x:f>PROPER(TRIM('Raw Sales'!L2181))</x:f>
        <x:v>Completed</x:v>
      </x:c>
      <x:c r="W2181" s="93" t="n">
        <x:f>IF(V2181="Returned",0,T2181-U2181)</x:f>
        <x:v>176.4</x:v>
      </x:c>
      <x:c r="X2181" s="93" t="n">
        <x:f>IF(V2181="Returned",Q2181*R2181*10%,Q2181*R2181)</x:f>
        <x:v>72</x:v>
      </x:c>
      <x:c r="Y2181" s="93" t="n">
        <x:f>W2181-X2181</x:f>
        <x:v>104.4</x:v>
      </x:c>
      <x:c r="Z2181" s="94" t="n">
        <x:f>IFERROR(Y2181/W2181,0)</x:f>
        <x:v>0.5918367346938775</x:v>
      </x:c>
      <x:c r="AA2181" s="84" t="str">
        <x:f>PROPER(TRIM('Raw Sales'!M2181))</x:f>
        <x:v>Credit Card</x:v>
      </x:c>
      <x:c r="AB2181" s="84" t="str">
        <x:f>PROPER(TRIM('Raw Sales'!N2181))</x:f>
        <x:v>Maya Brooks</x:v>
      </x:c>
      <x:c r="AC2181" s="85" t="n">
        <x:f>'Raw Sales'!O2181</x:f>
        <x:v>45976</x:v>
      </x:c>
      <x:c r="AD2181" s="84" t="n">
        <x:f>AC2181-B2181</x:f>
        <x:v>0</x:v>
      </x:c>
      <x:c r="AE2181" s="84" t="str">
        <x:f>IF(COUNTIF($A$5:A2181,A2181)&gt;1,"Duplicate","Keep")</x:f>
        <x:v>Keep</x:v>
      </x:c>
      <x:c r="AF2181" s="84" t="str">
        <x:f>IF(OR(R2181&lt;=0,AC2181&lt;B2181,H2181="Unknown",M2181="Unknown Product"),"Review","Valid")</x:f>
        <x:v>Valid</x:v>
      </x:c>
      <x:c r="AG2181" s="84" t="n">
        <x:f>IF(AND(AE2181="Keep",AF2181="Valid"),1,0)</x:f>
        <x:v>1</x:v>
      </x:c>
      <x:c r="AH2181" s="84" t="n">
        <x:f>IF(AND(AG2181=1,OR('Dashboard'!$B$4="All",I2181='Dashboard'!$B$4),OR('Dashboard'!$E$4="All",N2181='Dashboard'!$E$4),OR('Dashboard'!$H$4="All",K2181='Dashboard'!$H$4),OR('Dashboard'!$K$4="All",C2181='Dashboard'!$K$4)),1,0)</x:f>
        <x:v>1</x:v>
      </x:c>
      <x:c r="AI2181" s="84" t="n">
        <x:f>IF(AND(AG2181=1,OR('Dashboard'!$B$4="All",I2181='Dashboard'!$B$4),OR('Dashboard'!$E$4="All",N2181='Dashboard'!$E$4),OR('Dashboard'!$H$4="All",K2181='Dashboard'!$H$4)),1,0)</x:f>
        <x:v>1</x:v>
      </x:c>
    </x:row>
    <x:row r="2182">
      <x:c r="A2182" s="84" t="str">
        <x:f>'Raw Sales'!A2182</x:f>
        <x:v>ORD-2025-01258</x:v>
      </x:c>
      <x:c r="B2182" s="85" t="n">
        <x:f>'Raw Sales'!B2182</x:f>
        <x:v>45976</x:v>
      </x:c>
      <x:c r="C2182" s="84" t="n">
        <x:f>YEAR(B2182)</x:f>
        <x:v>2025</x:v>
      </x:c>
      <x:c r="D2182" s="91" t="n">
        <x:f>DATE(YEAR(B2182),MONTH(B2182),1)</x:f>
        <x:v>45962</x:v>
      </x:c>
      <x:c r="E2182" s="84" t="str">
        <x:f>TEXT(B2182,"mmm")</x:f>
        <x:v>Nov</x:v>
      </x:c>
      <x:c r="F2182" s="84" t="str">
        <x:f>'Raw Sales'!C2182</x:f>
        <x:v>CUST-0407</x:v>
      </x:c>
      <x:c r="G2182" s="84" t="str">
        <x:f>PROPER(TRIM('Raw Sales'!D2182))</x:f>
        <x:v>William Taylor</x:v>
      </x:c>
      <x:c r="H2182" s="84" t="str">
        <x:f>IF(TRIM('Raw Sales'!E2182)="","Unknown",PROPER(TRIM('Raw Sales'!E2182)))</x:f>
        <x:v>Corporate</x:v>
      </x:c>
      <x:c r="I2182" s="84" t="str">
        <x:f>PROPER(TRIM('Raw Sales'!F2182))</x:f>
        <x:v>West</x:v>
      </x:c>
      <x:c r="J2182" s="84" t="str">
        <x:f>PROPER(TRIM('Raw Sales'!G2182))</x:f>
        <x:v>Phoenix</x:v>
      </x:c>
      <x:c r="K2182" s="84" t="str">
        <x:f>PROPER(TRIM('Raw Sales'!H2182))</x:f>
        <x:v>Retail Store</x:v>
      </x:c>
      <x:c r="L2182" s="84" t="str">
        <x:f>'Raw Sales'!I2182</x:f>
        <x:v>HOME-005</x:v>
      </x:c>
      <x:c r="M2182" s="84" t="str">
        <x:f>IFERROR(VLOOKUP(L2182,'Reference Data'!$A$5:$F$40,2,FALSE),"Unknown Product")</x:f>
        <x:v>Cordless Vacuum</x:v>
      </x:c>
      <x:c r="N2182" s="84" t="str">
        <x:f>IFERROR(VLOOKUP(L2182,'Reference Data'!$A$5:$F$40,3,FALSE),"Unknown")</x:f>
        <x:v>Home &amp; Kitchen</x:v>
      </x:c>
      <x:c r="O2182" s="84" t="str">
        <x:f>IFERROR(VLOOKUP(L2182,'Reference Data'!$A$5:$F$40,4,FALSE),"Unknown")</x:f>
        <x:v>Cleaning</x:v>
      </x:c>
      <x:c r="P2182" s="92" t="n">
        <x:f>IFERROR(VLOOKUP(L2182,'Reference Data'!$A$5:$F$40,5,FALSE),0)</x:f>
        <x:v>179</x:v>
      </x:c>
      <x:c r="Q2182" s="92" t="n">
        <x:f>IFERROR(VLOOKUP(L2182,'Reference Data'!$A$5:$F$40,6,FALSE),0)</x:f>
        <x:v>102</x:v>
      </x:c>
      <x:c r="R2182" s="84" t="n">
        <x:f>'Raw Sales'!J2182</x:f>
        <x:v>1</x:v>
      </x:c>
      <x:c r="S2182" s="87" t="n">
        <x:f>'Raw Sales'!K2182</x:f>
        <x:v>0.05</x:v>
      </x:c>
      <x:c r="T2182" s="93" t="n">
        <x:f>P2182*R2182</x:f>
        <x:v>179</x:v>
      </x:c>
      <x:c r="U2182" s="93" t="n">
        <x:f>T2182*S2182</x:f>
        <x:v>8.950000000000001</x:v>
      </x:c>
      <x:c r="V2182" s="93" t="str">
        <x:f>PROPER(TRIM('Raw Sales'!L2182))</x:f>
        <x:v>Completed</x:v>
      </x:c>
      <x:c r="W2182" s="93" t="n">
        <x:f>IF(V2182="Returned",0,T2182-U2182)</x:f>
        <x:v>170.05</x:v>
      </x:c>
      <x:c r="X2182" s="93" t="n">
        <x:f>IF(V2182="Returned",Q2182*R2182*10%,Q2182*R2182)</x:f>
        <x:v>102</x:v>
      </x:c>
      <x:c r="Y2182" s="93" t="n">
        <x:f>W2182-X2182</x:f>
        <x:v>68.05000000000001</x:v>
      </x:c>
      <x:c r="Z2182" s="94" t="n">
        <x:f>IFERROR(Y2182/W2182,0)</x:f>
        <x:v>0.4001764187003823</x:v>
      </x:c>
      <x:c r="AA2182" s="84" t="str">
        <x:f>PROPER(TRIM('Raw Sales'!M2182))</x:f>
        <x:v>Cash</x:v>
      </x:c>
      <x:c r="AB2182" s="84" t="str">
        <x:f>PROPER(TRIM('Raw Sales'!N2182))</x:f>
        <x:v>Mia Chen</x:v>
      </x:c>
      <x:c r="AC2182" s="85" t="n">
        <x:f>'Raw Sales'!O2182</x:f>
        <x:v>45976</x:v>
      </x:c>
      <x:c r="AD2182" s="84" t="n">
        <x:f>AC2182-B2182</x:f>
        <x:v>0</x:v>
      </x:c>
      <x:c r="AE2182" s="84" t="str">
        <x:f>IF(COUNTIF($A$5:A2182,A2182)&gt;1,"Duplicate","Keep")</x:f>
        <x:v>Keep</x:v>
      </x:c>
      <x:c r="AF2182" s="84" t="str">
        <x:f>IF(OR(R2182&lt;=0,AC2182&lt;B2182,H2182="Unknown",M2182="Unknown Product"),"Review","Valid")</x:f>
        <x:v>Valid</x:v>
      </x:c>
      <x:c r="AG2182" s="84" t="n">
        <x:f>IF(AND(AE2182="Keep",AF2182="Valid"),1,0)</x:f>
        <x:v>1</x:v>
      </x:c>
      <x:c r="AH2182" s="84" t="n">
        <x:f>IF(AND(AG2182=1,OR('Dashboard'!$B$4="All",I2182='Dashboard'!$B$4),OR('Dashboard'!$E$4="All",N2182='Dashboard'!$E$4),OR('Dashboard'!$H$4="All",K2182='Dashboard'!$H$4),OR('Dashboard'!$K$4="All",C2182='Dashboard'!$K$4)),1,0)</x:f>
        <x:v>1</x:v>
      </x:c>
      <x:c r="AI2182" s="84" t="n">
        <x:f>IF(AND(AG2182=1,OR('Dashboard'!$B$4="All",I2182='Dashboard'!$B$4),OR('Dashboard'!$E$4="All",N2182='Dashboard'!$E$4),OR('Dashboard'!$H$4="All",K2182='Dashboard'!$H$4)),1,0)</x:f>
        <x:v>1</x:v>
      </x:c>
    </x:row>
    <x:row r="2183">
      <x:c r="A2183" s="84" t="str">
        <x:f>'Raw Sales'!A2183</x:f>
        <x:v>ORD-2025-01560</x:v>
      </x:c>
      <x:c r="B2183" s="85" t="n">
        <x:f>'Raw Sales'!B2183</x:f>
        <x:v>45976</x:v>
      </x:c>
      <x:c r="C2183" s="84" t="n">
        <x:f>YEAR(B2183)</x:f>
        <x:v>2025</x:v>
      </x:c>
      <x:c r="D2183" s="91" t="n">
        <x:f>DATE(YEAR(B2183),MONTH(B2183),1)</x:f>
        <x:v>45962</x:v>
      </x:c>
      <x:c r="E2183" s="84" t="str">
        <x:f>TEXT(B2183,"mmm")</x:f>
        <x:v>Nov</x:v>
      </x:c>
      <x:c r="F2183" s="84" t="str">
        <x:f>'Raw Sales'!C2183</x:f>
        <x:v>CUST-0285</x:v>
      </x:c>
      <x:c r="G2183" s="84" t="str">
        <x:f>PROPER(TRIM('Raw Sales'!D2183))</x:f>
        <x:v>Caleb Evans</x:v>
      </x:c>
      <x:c r="H2183" s="84" t="str">
        <x:f>IF(TRIM('Raw Sales'!E2183)="","Unknown",PROPER(TRIM('Raw Sales'!E2183)))</x:f>
        <x:v>Consumer</x:v>
      </x:c>
      <x:c r="I2183" s="84" t="str">
        <x:f>PROPER(TRIM('Raw Sales'!F2183))</x:f>
        <x:v>Southeast</x:v>
      </x:c>
      <x:c r="J2183" s="84" t="str">
        <x:f>PROPER(TRIM('Raw Sales'!G2183))</x:f>
        <x:v>Charlotte</x:v>
      </x:c>
      <x:c r="K2183" s="84" t="str">
        <x:f>PROPER(TRIM('Raw Sales'!H2183))</x:f>
        <x:v>Online</x:v>
      </x:c>
      <x:c r="L2183" s="84" t="str">
        <x:f>'Raw Sales'!I2183</x:f>
        <x:v>HOME-005</x:v>
      </x:c>
      <x:c r="M2183" s="84" t="str">
        <x:f>IFERROR(VLOOKUP(L2183,'Reference Data'!$A$5:$F$40,2,FALSE),"Unknown Product")</x:f>
        <x:v>Cordless Vacuum</x:v>
      </x:c>
      <x:c r="N2183" s="84" t="str">
        <x:f>IFERROR(VLOOKUP(L2183,'Reference Data'!$A$5:$F$40,3,FALSE),"Unknown")</x:f>
        <x:v>Home &amp; Kitchen</x:v>
      </x:c>
      <x:c r="O2183" s="84" t="str">
        <x:f>IFERROR(VLOOKUP(L2183,'Reference Data'!$A$5:$F$40,4,FALSE),"Unknown")</x:f>
        <x:v>Cleaning</x:v>
      </x:c>
      <x:c r="P2183" s="92" t="n">
        <x:f>IFERROR(VLOOKUP(L2183,'Reference Data'!$A$5:$F$40,5,FALSE),0)</x:f>
        <x:v>179</x:v>
      </x:c>
      <x:c r="Q2183" s="92" t="n">
        <x:f>IFERROR(VLOOKUP(L2183,'Reference Data'!$A$5:$F$40,6,FALSE),0)</x:f>
        <x:v>102</x:v>
      </x:c>
      <x:c r="R2183" s="84" t="n">
        <x:f>'Raw Sales'!J2183</x:f>
        <x:v>2</x:v>
      </x:c>
      <x:c r="S2183" s="87" t="n">
        <x:f>'Raw Sales'!K2183</x:f>
        <x:v>0.15</x:v>
      </x:c>
      <x:c r="T2183" s="93" t="n">
        <x:f>P2183*R2183</x:f>
        <x:v>358</x:v>
      </x:c>
      <x:c r="U2183" s="93" t="n">
        <x:f>T2183*S2183</x:f>
        <x:v>53.699999999999996</x:v>
      </x:c>
      <x:c r="V2183" s="93" t="str">
        <x:f>PROPER(TRIM('Raw Sales'!L2183))</x:f>
        <x:v>Completed</x:v>
      </x:c>
      <x:c r="W2183" s="93" t="n">
        <x:f>IF(V2183="Returned",0,T2183-U2183)</x:f>
        <x:v>304.3</x:v>
      </x:c>
      <x:c r="X2183" s="93" t="n">
        <x:f>IF(V2183="Returned",Q2183*R2183*10%,Q2183*R2183)</x:f>
        <x:v>204</x:v>
      </x:c>
      <x:c r="Y2183" s="93" t="n">
        <x:f>W2183-X2183</x:f>
        <x:v>100.30000000000001</x:v>
      </x:c>
      <x:c r="Z2183" s="94" t="n">
        <x:f>IFERROR(Y2183/W2183,0)</x:f>
        <x:v>0.3296089385474861</x:v>
      </x:c>
      <x:c r="AA2183" s="84" t="str">
        <x:f>PROPER(TRIM('Raw Sales'!M2183))</x:f>
        <x:v>Credit Card</x:v>
      </x:c>
      <x:c r="AB2183" s="84" t="str">
        <x:f>PROPER(TRIM('Raw Sales'!N2183))</x:f>
        <x:v>Liam Parker</x:v>
      </x:c>
      <x:c r="AC2183" s="85" t="n">
        <x:f>'Raw Sales'!O2183</x:f>
        <x:v>45982</x:v>
      </x:c>
      <x:c r="AD2183" s="84" t="n">
        <x:f>AC2183-B2183</x:f>
        <x:v>6</x:v>
      </x:c>
      <x:c r="AE2183" s="84" t="str">
        <x:f>IF(COUNTIF($A$5:A2183,A2183)&gt;1,"Duplicate","Keep")</x:f>
        <x:v>Keep</x:v>
      </x:c>
      <x:c r="AF2183" s="84" t="str">
        <x:f>IF(OR(R2183&lt;=0,AC2183&lt;B2183,H2183="Unknown",M2183="Unknown Product"),"Review","Valid")</x:f>
        <x:v>Valid</x:v>
      </x:c>
      <x:c r="AG2183" s="84" t="n">
        <x:f>IF(AND(AE2183="Keep",AF2183="Valid"),1,0)</x:f>
        <x:v>1</x:v>
      </x:c>
      <x:c r="AH2183" s="84" t="n">
        <x:f>IF(AND(AG2183=1,OR('Dashboard'!$B$4="All",I2183='Dashboard'!$B$4),OR('Dashboard'!$E$4="All",N2183='Dashboard'!$E$4),OR('Dashboard'!$H$4="All",K2183='Dashboard'!$H$4),OR('Dashboard'!$K$4="All",C2183='Dashboard'!$K$4)),1,0)</x:f>
        <x:v>1</x:v>
      </x:c>
      <x:c r="AI2183" s="84" t="n">
        <x:f>IF(AND(AG2183=1,OR('Dashboard'!$B$4="All",I2183='Dashboard'!$B$4),OR('Dashboard'!$E$4="All",N2183='Dashboard'!$E$4),OR('Dashboard'!$H$4="All",K2183='Dashboard'!$H$4)),1,0)</x:f>
        <x:v>1</x:v>
      </x:c>
    </x:row>
    <x:row r="2184">
      <x:c r="A2184" s="84" t="str">
        <x:f>'Raw Sales'!A2184</x:f>
        <x:v>ORD-2025-00006</x:v>
      </x:c>
      <x:c r="B2184" s="85" t="n">
        <x:f>'Raw Sales'!B2184</x:f>
        <x:v>45977</x:v>
      </x:c>
      <x:c r="C2184" s="84" t="n">
        <x:f>YEAR(B2184)</x:f>
        <x:v>2025</x:v>
      </x:c>
      <x:c r="D2184" s="91" t="n">
        <x:f>DATE(YEAR(B2184),MONTH(B2184),1)</x:f>
        <x:v>45962</x:v>
      </x:c>
      <x:c r="E2184" s="84" t="str">
        <x:f>TEXT(B2184,"mmm")</x:f>
        <x:v>Nov</x:v>
      </x:c>
      <x:c r="F2184" s="84" t="str">
        <x:f>'Raw Sales'!C2184</x:f>
        <x:v>CUST-0415</x:v>
      </x:c>
      <x:c r="G2184" s="84" t="str">
        <x:f>PROPER(TRIM('Raw Sales'!D2184))</x:f>
        <x:v>Zara Foster</x:v>
      </x:c>
      <x:c r="H2184" s="84" t="str">
        <x:f>IF(TRIM('Raw Sales'!E2184)="","Unknown",PROPER(TRIM('Raw Sales'!E2184)))</x:f>
        <x:v>Corporate</x:v>
      </x:c>
      <x:c r="I2184" s="84" t="str">
        <x:f>PROPER(TRIM('Raw Sales'!F2184))</x:f>
        <x:v>Southeast</x:v>
      </x:c>
      <x:c r="J2184" s="84" t="str">
        <x:f>PROPER(TRIM('Raw Sales'!G2184))</x:f>
        <x:v>Charlotte</x:v>
      </x:c>
      <x:c r="K2184" s="84" t="str">
        <x:f>PROPER(TRIM('Raw Sales'!H2184))</x:f>
        <x:v>Online</x:v>
      </x:c>
      <x:c r="L2184" s="84" t="str">
        <x:f>'Raw Sales'!I2184</x:f>
        <x:v>CARE-003</x:v>
      </x:c>
      <x:c r="M2184" s="84" t="str">
        <x:f>IFERROR(VLOOKUP(L2184,'Reference Data'!$A$5:$F$40,2,FALSE),"Unknown Product")</x:f>
        <x:v>Facial Cleanser</x:v>
      </x:c>
      <x:c r="N2184" s="84" t="str">
        <x:f>IFERROR(VLOOKUP(L2184,'Reference Data'!$A$5:$F$40,3,FALSE),"Unknown")</x:f>
        <x:v>Personal Care</x:v>
      </x:c>
      <x:c r="O2184" s="84" t="str">
        <x:f>IFERROR(VLOOKUP(L2184,'Reference Data'!$A$5:$F$40,4,FALSE),"Unknown")</x:f>
        <x:v>Skin Care</x:v>
      </x:c>
      <x:c r="P2184" s="92" t="n">
        <x:f>IFERROR(VLOOKUP(L2184,'Reference Data'!$A$5:$F$40,5,FALSE),0)</x:f>
        <x:v>18</x:v>
      </x:c>
      <x:c r="Q2184" s="92" t="n">
        <x:f>IFERROR(VLOOKUP(L2184,'Reference Data'!$A$5:$F$40,6,FALSE),0)</x:f>
        <x:v>6</x:v>
      </x:c>
      <x:c r="R2184" s="84" t="n">
        <x:f>'Raw Sales'!J2184</x:f>
        <x:v>3</x:v>
      </x:c>
      <x:c r="S2184" s="87" t="n">
        <x:f>'Raw Sales'!K2184</x:f>
        <x:v>0.05</x:v>
      </x:c>
      <x:c r="T2184" s="93" t="n">
        <x:f>P2184*R2184</x:f>
        <x:v>54</x:v>
      </x:c>
      <x:c r="U2184" s="93" t="n">
        <x:f>T2184*S2184</x:f>
        <x:v>2.7</x:v>
      </x:c>
      <x:c r="V2184" s="93" t="str">
        <x:f>PROPER(TRIM('Raw Sales'!L2184))</x:f>
        <x:v>Returned</x:v>
      </x:c>
      <x:c r="W2184" s="93" t="n">
        <x:f>IF(V2184="Returned",0,T2184-U2184)</x:f>
        <x:v>0</x:v>
      </x:c>
      <x:c r="X2184" s="93" t="n">
        <x:f>IF(V2184="Returned",Q2184*R2184*10%,Q2184*R2184)</x:f>
        <x:v>1.8</x:v>
      </x:c>
      <x:c r="Y2184" s="93" t="n">
        <x:f>W2184-X2184</x:f>
        <x:v>-1.8</x:v>
      </x:c>
      <x:c r="Z2184" s="94" t="n">
        <x:f>IFERROR(Y2184/W2184,0)</x:f>
        <x:v>0</x:v>
      </x:c>
      <x:c r="AA2184" s="84" t="str">
        <x:f>PROPER(TRIM('Raw Sales'!M2184))</x:f>
        <x:v>Mobile Wallet</x:v>
      </x:c>
      <x:c r="AB2184" s="84" t="str">
        <x:f>PROPER(TRIM('Raw Sales'!N2184))</x:f>
        <x:v>Liam Parker</x:v>
      </x:c>
      <x:c r="AC2184" s="85" t="n">
        <x:f>'Raw Sales'!O2184</x:f>
        <x:v>45981</x:v>
      </x:c>
      <x:c r="AD2184" s="84" t="n">
        <x:f>AC2184-B2184</x:f>
        <x:v>4</x:v>
      </x:c>
      <x:c r="AE2184" s="84" t="str">
        <x:f>IF(COUNTIF($A$5:A2184,A2184)&gt;1,"Duplicate","Keep")</x:f>
        <x:v>Keep</x:v>
      </x:c>
      <x:c r="AF2184" s="84" t="str">
        <x:f>IF(OR(R2184&lt;=0,AC2184&lt;B2184,H2184="Unknown",M2184="Unknown Product"),"Review","Valid")</x:f>
        <x:v>Valid</x:v>
      </x:c>
      <x:c r="AG2184" s="84" t="n">
        <x:f>IF(AND(AE2184="Keep",AF2184="Valid"),1,0)</x:f>
        <x:v>1</x:v>
      </x:c>
      <x:c r="AH2184" s="84" t="n">
        <x:f>IF(AND(AG2184=1,OR('Dashboard'!$B$4="All",I2184='Dashboard'!$B$4),OR('Dashboard'!$E$4="All",N2184='Dashboard'!$E$4),OR('Dashboard'!$H$4="All",K2184='Dashboard'!$H$4),OR('Dashboard'!$K$4="All",C2184='Dashboard'!$K$4)),1,0)</x:f>
        <x:v>1</x:v>
      </x:c>
      <x:c r="AI2184" s="84" t="n">
        <x:f>IF(AND(AG2184=1,OR('Dashboard'!$B$4="All",I2184='Dashboard'!$B$4),OR('Dashboard'!$E$4="All",N2184='Dashboard'!$E$4),OR('Dashboard'!$H$4="All",K2184='Dashboard'!$H$4)),1,0)</x:f>
        <x:v>1</x:v>
      </x:c>
    </x:row>
    <x:row r="2185">
      <x:c r="A2185" s="84" t="str">
        <x:f>'Raw Sales'!A2185</x:f>
        <x:v>ORD-2025-00365</x:v>
      </x:c>
      <x:c r="B2185" s="85" t="n">
        <x:f>'Raw Sales'!B2185</x:f>
        <x:v>45977</x:v>
      </x:c>
      <x:c r="C2185" s="84" t="n">
        <x:f>YEAR(B2185)</x:f>
        <x:v>2025</x:v>
      </x:c>
      <x:c r="D2185" s="91" t="n">
        <x:f>DATE(YEAR(B2185),MONTH(B2185),1)</x:f>
        <x:v>45962</x:v>
      </x:c>
      <x:c r="E2185" s="84" t="str">
        <x:f>TEXT(B2185,"mmm")</x:f>
        <x:v>Nov</x:v>
      </x:c>
      <x:c r="F2185" s="84" t="str">
        <x:f>'Raw Sales'!C2185</x:f>
        <x:v>CUST-0228</x:v>
      </x:c>
      <x:c r="G2185" s="84" t="str">
        <x:f>PROPER(TRIM('Raw Sales'!D2185))</x:f>
        <x:v>Victoria Irwin</x:v>
      </x:c>
      <x:c r="H2185" s="84" t="str">
        <x:f>IF(TRIM('Raw Sales'!E2185)="","Unknown",PROPER(TRIM('Raw Sales'!E2185)))</x:f>
        <x:v>Consumer</x:v>
      </x:c>
      <x:c r="I2185" s="84" t="str">
        <x:f>PROPER(TRIM('Raw Sales'!F2185))</x:f>
        <x:v>Midwest</x:v>
      </x:c>
      <x:c r="J2185" s="84" t="str">
        <x:f>PROPER(TRIM('Raw Sales'!G2185))</x:f>
        <x:v>Columbus</x:v>
      </x:c>
      <x:c r="K2185" s="84" t="str">
        <x:f>PROPER(TRIM('Raw Sales'!H2185))</x:f>
        <x:v>Marketplace</x:v>
      </x:c>
      <x:c r="L2185" s="84" t="str">
        <x:f>'Raw Sales'!I2185</x:f>
        <x:v>CARE-006</x:v>
      </x:c>
      <x:c r="M2185" s="84" t="str">
        <x:f>IFERROR(VLOOKUP(L2185,'Reference Data'!$A$5:$F$40,2,FALSE),"Unknown Product")</x:f>
        <x:v>Percussion Massage Gun</x:v>
      </x:c>
      <x:c r="N2185" s="84" t="str">
        <x:f>IFERROR(VLOOKUP(L2185,'Reference Data'!$A$5:$F$40,3,FALSE),"Unknown")</x:f>
        <x:v>Personal Care</x:v>
      </x:c>
      <x:c r="O2185" s="84" t="str">
        <x:f>IFERROR(VLOOKUP(L2185,'Reference Data'!$A$5:$F$40,4,FALSE),"Unknown")</x:f>
        <x:v>Wellness</x:v>
      </x:c>
      <x:c r="P2185" s="92" t="n">
        <x:f>IFERROR(VLOOKUP(L2185,'Reference Data'!$A$5:$F$40,5,FALSE),0)</x:f>
        <x:v>129</x:v>
      </x:c>
      <x:c r="Q2185" s="92" t="n">
        <x:f>IFERROR(VLOOKUP(L2185,'Reference Data'!$A$5:$F$40,6,FALSE),0)</x:f>
        <x:v>70</x:v>
      </x:c>
      <x:c r="R2185" s="84" t="n">
        <x:f>'Raw Sales'!J2185</x:f>
        <x:v>2</x:v>
      </x:c>
      <x:c r="S2185" s="87" t="n">
        <x:f>'Raw Sales'!K2185</x:f>
        <x:v>0.05</x:v>
      </x:c>
      <x:c r="T2185" s="93" t="n">
        <x:f>P2185*R2185</x:f>
        <x:v>258</x:v>
      </x:c>
      <x:c r="U2185" s="93" t="n">
        <x:f>T2185*S2185</x:f>
        <x:v>12.9</x:v>
      </x:c>
      <x:c r="V2185" s="93" t="str">
        <x:f>PROPER(TRIM('Raw Sales'!L2185))</x:f>
        <x:v>Completed</x:v>
      </x:c>
      <x:c r="W2185" s="93" t="n">
        <x:f>IF(V2185="Returned",0,T2185-U2185)</x:f>
        <x:v>245.1</x:v>
      </x:c>
      <x:c r="X2185" s="93" t="n">
        <x:f>IF(V2185="Returned",Q2185*R2185*10%,Q2185*R2185)</x:f>
        <x:v>140</x:v>
      </x:c>
      <x:c r="Y2185" s="93" t="n">
        <x:f>W2185-X2185</x:f>
        <x:v>105.1</x:v>
      </x:c>
      <x:c r="Z2185" s="94" t="n">
        <x:f>IFERROR(Y2185/W2185,0)</x:f>
        <x:v>0.4288045695634435</x:v>
      </x:c>
      <x:c r="AA2185" s="84" t="str">
        <x:f>PROPER(TRIM('Raw Sales'!M2185))</x:f>
        <x:v>Credit Card</x:v>
      </x:c>
      <x:c r="AB2185" s="84" t="str">
        <x:f>PROPER(TRIM('Raw Sales'!N2185))</x:f>
        <x:v>Lucas Grant</x:v>
      </x:c>
      <x:c r="AC2185" s="85" t="n">
        <x:f>'Raw Sales'!O2185</x:f>
        <x:v>45982</x:v>
      </x:c>
      <x:c r="AD2185" s="84" t="n">
        <x:f>AC2185-B2185</x:f>
        <x:v>5</x:v>
      </x:c>
      <x:c r="AE2185" s="84" t="str">
        <x:f>IF(COUNTIF($A$5:A2185,A2185)&gt;1,"Duplicate","Keep")</x:f>
        <x:v>Keep</x:v>
      </x:c>
      <x:c r="AF2185" s="84" t="str">
        <x:f>IF(OR(R2185&lt;=0,AC2185&lt;B2185,H2185="Unknown",M2185="Unknown Product"),"Review","Valid")</x:f>
        <x:v>Valid</x:v>
      </x:c>
      <x:c r="AG2185" s="84" t="n">
        <x:f>IF(AND(AE2185="Keep",AF2185="Valid"),1,0)</x:f>
        <x:v>1</x:v>
      </x:c>
      <x:c r="AH2185" s="84" t="n">
        <x:f>IF(AND(AG2185=1,OR('Dashboard'!$B$4="All",I2185='Dashboard'!$B$4),OR('Dashboard'!$E$4="All",N2185='Dashboard'!$E$4),OR('Dashboard'!$H$4="All",K2185='Dashboard'!$H$4),OR('Dashboard'!$K$4="All",C2185='Dashboard'!$K$4)),1,0)</x:f>
        <x:v>1</x:v>
      </x:c>
      <x:c r="AI2185" s="84" t="n">
        <x:f>IF(AND(AG2185=1,OR('Dashboard'!$B$4="All",I2185='Dashboard'!$B$4),OR('Dashboard'!$E$4="All",N2185='Dashboard'!$E$4),OR('Dashboard'!$H$4="All",K2185='Dashboard'!$H$4)),1,0)</x:f>
        <x:v>1</x:v>
      </x:c>
    </x:row>
    <x:row r="2186">
      <x:c r="A2186" s="84" t="str">
        <x:f>'Raw Sales'!A2186</x:f>
        <x:v>ORD-2025-02071</x:v>
      </x:c>
      <x:c r="B2186" s="85" t="n">
        <x:f>'Raw Sales'!B2186</x:f>
        <x:v>45977</x:v>
      </x:c>
      <x:c r="C2186" s="84" t="n">
        <x:f>YEAR(B2186)</x:f>
        <x:v>2025</x:v>
      </x:c>
      <x:c r="D2186" s="91" t="n">
        <x:f>DATE(YEAR(B2186),MONTH(B2186),1)</x:f>
        <x:v>45962</x:v>
      </x:c>
      <x:c r="E2186" s="84" t="str">
        <x:f>TEXT(B2186,"mmm")</x:f>
        <x:v>Nov</x:v>
      </x:c>
      <x:c r="F2186" s="84" t="str">
        <x:f>'Raw Sales'!C2186</x:f>
        <x:v>CUST-0317</x:v>
      </x:c>
      <x:c r="G2186" s="84" t="str">
        <x:f>PROPER(TRIM('Raw Sales'!D2186))</x:f>
        <x:v>Owen Garcia</x:v>
      </x:c>
      <x:c r="H2186" s="84" t="str">
        <x:f>IF(TRIM('Raw Sales'!E2186)="","Unknown",PROPER(TRIM('Raw Sales'!E2186)))</x:f>
        <x:v>Consumer</x:v>
      </x:c>
      <x:c r="I2186" s="84" t="str">
        <x:f>PROPER(TRIM('Raw Sales'!F2186))</x:f>
        <x:v>West</x:v>
      </x:c>
      <x:c r="J2186" s="84" t="str">
        <x:f>PROPER(TRIM('Raw Sales'!G2186))</x:f>
        <x:v>Seattle</x:v>
      </x:c>
      <x:c r="K2186" s="84" t="str">
        <x:f>PROPER(TRIM('Raw Sales'!H2186))</x:f>
        <x:v>Retail Store</x:v>
      </x:c>
      <x:c r="L2186" s="84" t="str">
        <x:f>'Raw Sales'!I2186</x:f>
        <x:v>ELEC-005</x:v>
      </x:c>
      <x:c r="M2186" s="84" t="str">
        <x:f>IFERROR(VLOOKUP(L2186,'Reference Data'!$A$5:$F$40,2,FALSE),"Unknown Product")</x:f>
        <x:v>HD Webcam</x:v>
      </x:c>
      <x:c r="N2186" s="84" t="str">
        <x:f>IFERROR(VLOOKUP(L2186,'Reference Data'!$A$5:$F$40,3,FALSE),"Unknown")</x:f>
        <x:v>Electronics</x:v>
      </x:c>
      <x:c r="O2186" s="84" t="str">
        <x:f>IFERROR(VLOOKUP(L2186,'Reference Data'!$A$5:$F$40,4,FALSE),"Unknown")</x:f>
        <x:v>Computer Accessories</x:v>
      </x:c>
      <x:c r="P2186" s="92" t="n">
        <x:f>IFERROR(VLOOKUP(L2186,'Reference Data'!$A$5:$F$40,5,FALSE),0)</x:f>
        <x:v>79</x:v>
      </x:c>
      <x:c r="Q2186" s="92" t="n">
        <x:f>IFERROR(VLOOKUP(L2186,'Reference Data'!$A$5:$F$40,6,FALSE),0)</x:f>
        <x:v>37</x:v>
      </x:c>
      <x:c r="R2186" s="84" t="n">
        <x:f>'Raw Sales'!J2186</x:f>
        <x:v>2</x:v>
      </x:c>
      <x:c r="S2186" s="87" t="n">
        <x:f>'Raw Sales'!K2186</x:f>
        <x:v>0.2</x:v>
      </x:c>
      <x:c r="T2186" s="93" t="n">
        <x:f>P2186*R2186</x:f>
        <x:v>158</x:v>
      </x:c>
      <x:c r="U2186" s="93" t="n">
        <x:f>T2186*S2186</x:f>
        <x:v>31.6</x:v>
      </x:c>
      <x:c r="V2186" s="93" t="str">
        <x:f>PROPER(TRIM('Raw Sales'!L2186))</x:f>
        <x:v>Completed</x:v>
      </x:c>
      <x:c r="W2186" s="93" t="n">
        <x:f>IF(V2186="Returned",0,T2186-U2186)</x:f>
        <x:v>126.4</x:v>
      </x:c>
      <x:c r="X2186" s="93" t="n">
        <x:f>IF(V2186="Returned",Q2186*R2186*10%,Q2186*R2186)</x:f>
        <x:v>74</x:v>
      </x:c>
      <x:c r="Y2186" s="93" t="n">
        <x:f>W2186-X2186</x:f>
        <x:v>52.400000000000006</x:v>
      </x:c>
      <x:c r="Z2186" s="94" t="n">
        <x:f>IFERROR(Y2186/W2186,0)</x:f>
        <x:v>0.4145569620253165</x:v>
      </x:c>
      <x:c r="AA2186" s="84" t="str">
        <x:f>PROPER(TRIM('Raw Sales'!M2186))</x:f>
        <x:v>Credit Card</x:v>
      </x:c>
      <x:c r="AB2186" s="84" t="str">
        <x:f>PROPER(TRIM('Raw Sales'!N2186))</x:f>
        <x:v>Nora Kim</x:v>
      </x:c>
      <x:c r="AC2186" s="85" t="n">
        <x:f>'Raw Sales'!O2186</x:f>
        <x:v>45977</x:v>
      </x:c>
      <x:c r="AD2186" s="84" t="n">
        <x:f>AC2186-B2186</x:f>
        <x:v>0</x:v>
      </x:c>
      <x:c r="AE2186" s="84" t="str">
        <x:f>IF(COUNTIF($A$5:A2186,A2186)&gt;1,"Duplicate","Keep")</x:f>
        <x:v>Keep</x:v>
      </x:c>
      <x:c r="AF2186" s="84" t="str">
        <x:f>IF(OR(R2186&lt;=0,AC2186&lt;B2186,H2186="Unknown",M2186="Unknown Product"),"Review","Valid")</x:f>
        <x:v>Valid</x:v>
      </x:c>
      <x:c r="AG2186" s="84" t="n">
        <x:f>IF(AND(AE2186="Keep",AF2186="Valid"),1,0)</x:f>
        <x:v>1</x:v>
      </x:c>
      <x:c r="AH2186" s="84" t="n">
        <x:f>IF(AND(AG2186=1,OR('Dashboard'!$B$4="All",I2186='Dashboard'!$B$4),OR('Dashboard'!$E$4="All",N2186='Dashboard'!$E$4),OR('Dashboard'!$H$4="All",K2186='Dashboard'!$H$4),OR('Dashboard'!$K$4="All",C2186='Dashboard'!$K$4)),1,0)</x:f>
        <x:v>1</x:v>
      </x:c>
      <x:c r="AI2186" s="84" t="n">
        <x:f>IF(AND(AG2186=1,OR('Dashboard'!$B$4="All",I2186='Dashboard'!$B$4),OR('Dashboard'!$E$4="All",N2186='Dashboard'!$E$4),OR('Dashboard'!$H$4="All",K2186='Dashboard'!$H$4)),1,0)</x:f>
        <x:v>1</x:v>
      </x:c>
    </x:row>
    <x:row r="2187">
      <x:c r="A2187" s="84" t="str">
        <x:f>'Raw Sales'!A2187</x:f>
        <x:v>ORD-2025-00417</x:v>
      </x:c>
      <x:c r="B2187" s="85" t="n">
        <x:f>'Raw Sales'!B2187</x:f>
        <x:v>45978</x:v>
      </x:c>
      <x:c r="C2187" s="84" t="n">
        <x:f>YEAR(B2187)</x:f>
        <x:v>2025</x:v>
      </x:c>
      <x:c r="D2187" s="91" t="n">
        <x:f>DATE(YEAR(B2187),MONTH(B2187),1)</x:f>
        <x:v>45962</x:v>
      </x:c>
      <x:c r="E2187" s="84" t="str">
        <x:f>TEXT(B2187,"mmm")</x:f>
        <x:v>Nov</x:v>
      </x:c>
      <x:c r="F2187" s="84" t="str">
        <x:f>'Raw Sales'!C2187</x:f>
        <x:v>CUST-0409</x:v>
      </x:c>
      <x:c r="G2187" s="84" t="str">
        <x:f>PROPER(TRIM('Raw Sales'!D2187))</x:f>
        <x:v>Owen Ortiz</x:v>
      </x:c>
      <x:c r="H2187" s="84" t="str">
        <x:f>IF(TRIM('Raw Sales'!E2187)="","Unknown",PROPER(TRIM('Raw Sales'!E2187)))</x:f>
        <x:v>Consumer</x:v>
      </x:c>
      <x:c r="I2187" s="84" t="str">
        <x:f>PROPER(TRIM('Raw Sales'!F2187))</x:f>
        <x:v>West</x:v>
      </x:c>
      <x:c r="J2187" s="84" t="str">
        <x:f>PROPER(TRIM('Raw Sales'!G2187))</x:f>
        <x:v>Los Angeles</x:v>
      </x:c>
      <x:c r="K2187" s="84" t="str">
        <x:f>PROPER(TRIM('Raw Sales'!H2187))</x:f>
        <x:v>Marketplace</x:v>
      </x:c>
      <x:c r="L2187" s="84" t="str">
        <x:f>'Raw Sales'!I2187</x:f>
        <x:v>HOME-004</x:v>
      </x:c>
      <x:c r="M2187" s="84" t="str">
        <x:f>IFERROR(VLOOKUP(L2187,'Reference Data'!$A$5:$F$40,2,FALSE),"Unknown Product")</x:f>
        <x:v>Coffee Maker</x:v>
      </x:c>
      <x:c r="N2187" s="84" t="str">
        <x:f>IFERROR(VLOOKUP(L2187,'Reference Data'!$A$5:$F$40,3,FALSE),"Unknown")</x:f>
        <x:v>Home &amp; Kitchen</x:v>
      </x:c>
      <x:c r="O2187" s="84" t="str">
        <x:f>IFERROR(VLOOKUP(L2187,'Reference Data'!$A$5:$F$40,4,FALSE),"Unknown")</x:f>
        <x:v>Small Appliances</x:v>
      </x:c>
      <x:c r="P2187" s="92" t="n">
        <x:f>IFERROR(VLOOKUP(L2187,'Reference Data'!$A$5:$F$40,5,FALSE),0)</x:f>
        <x:v>99</x:v>
      </x:c>
      <x:c r="Q2187" s="92" t="n">
        <x:f>IFERROR(VLOOKUP(L2187,'Reference Data'!$A$5:$F$40,6,FALSE),0)</x:f>
        <x:v>51</x:v>
      </x:c>
      <x:c r="R2187" s="84" t="n">
        <x:f>'Raw Sales'!J2187</x:f>
        <x:v>1</x:v>
      </x:c>
      <x:c r="S2187" s="87" t="n">
        <x:f>'Raw Sales'!K2187</x:f>
        <x:v>0.15</x:v>
      </x:c>
      <x:c r="T2187" s="93" t="n">
        <x:f>P2187*R2187</x:f>
        <x:v>99</x:v>
      </x:c>
      <x:c r="U2187" s="93" t="n">
        <x:f>T2187*S2187</x:f>
        <x:v>14.85</x:v>
      </x:c>
      <x:c r="V2187" s="93" t="str">
        <x:f>PROPER(TRIM('Raw Sales'!L2187))</x:f>
        <x:v>Completed</x:v>
      </x:c>
      <x:c r="W2187" s="93" t="n">
        <x:f>IF(V2187="Returned",0,T2187-U2187)</x:f>
        <x:v>84.15</x:v>
      </x:c>
      <x:c r="X2187" s="93" t="n">
        <x:f>IF(V2187="Returned",Q2187*R2187*10%,Q2187*R2187)</x:f>
        <x:v>51</x:v>
      </x:c>
      <x:c r="Y2187" s="93" t="n">
        <x:f>W2187-X2187</x:f>
        <x:v>33.150000000000006</x:v>
      </x:c>
      <x:c r="Z2187" s="94" t="n">
        <x:f>IFERROR(Y2187/W2187,0)</x:f>
        <x:v>0.393939393939394</x:v>
      </x:c>
      <x:c r="AA2187" s="84" t="str">
        <x:f>PROPER(TRIM('Raw Sales'!M2187))</x:f>
        <x:v>Mobile Wallet</x:v>
      </x:c>
      <x:c r="AB2187" s="84" t="str">
        <x:f>PROPER(TRIM('Raw Sales'!N2187))</x:f>
        <x:v>Mia Chen</x:v>
      </x:c>
      <x:c r="AC2187" s="85" t="n">
        <x:f>'Raw Sales'!O2187</x:f>
        <x:v>45981</x:v>
      </x:c>
      <x:c r="AD2187" s="84" t="n">
        <x:f>AC2187-B2187</x:f>
        <x:v>3</x:v>
      </x:c>
      <x:c r="AE2187" s="84" t="str">
        <x:f>IF(COUNTIF($A$5:A2187,A2187)&gt;1,"Duplicate","Keep")</x:f>
        <x:v>Keep</x:v>
      </x:c>
      <x:c r="AF2187" s="84" t="str">
        <x:f>IF(OR(R2187&lt;=0,AC2187&lt;B2187,H2187="Unknown",M2187="Unknown Product"),"Review","Valid")</x:f>
        <x:v>Valid</x:v>
      </x:c>
      <x:c r="AG2187" s="84" t="n">
        <x:f>IF(AND(AE2187="Keep",AF2187="Valid"),1,0)</x:f>
        <x:v>1</x:v>
      </x:c>
      <x:c r="AH2187" s="84" t="n">
        <x:f>IF(AND(AG2187=1,OR('Dashboard'!$B$4="All",I2187='Dashboard'!$B$4),OR('Dashboard'!$E$4="All",N2187='Dashboard'!$E$4),OR('Dashboard'!$H$4="All",K2187='Dashboard'!$H$4),OR('Dashboard'!$K$4="All",C2187='Dashboard'!$K$4)),1,0)</x:f>
        <x:v>1</x:v>
      </x:c>
      <x:c r="AI2187" s="84" t="n">
        <x:f>IF(AND(AG2187=1,OR('Dashboard'!$B$4="All",I2187='Dashboard'!$B$4),OR('Dashboard'!$E$4="All",N2187='Dashboard'!$E$4),OR('Dashboard'!$H$4="All",K2187='Dashboard'!$H$4)),1,0)</x:f>
        <x:v>1</x:v>
      </x:c>
    </x:row>
    <x:row r="2188">
      <x:c r="A2188" s="84" t="str">
        <x:f>'Raw Sales'!A2188</x:f>
        <x:v>ORD-2025-00467</x:v>
      </x:c>
      <x:c r="B2188" s="85" t="n">
        <x:f>'Raw Sales'!B2188</x:f>
        <x:v>45978</x:v>
      </x:c>
      <x:c r="C2188" s="84" t="n">
        <x:f>YEAR(B2188)</x:f>
        <x:v>2025</x:v>
      </x:c>
      <x:c r="D2188" s="91" t="n">
        <x:f>DATE(YEAR(B2188),MONTH(B2188),1)</x:f>
        <x:v>45962</x:v>
      </x:c>
      <x:c r="E2188" s="84" t="str">
        <x:f>TEXT(B2188,"mmm")</x:f>
        <x:v>Nov</x:v>
      </x:c>
      <x:c r="F2188" s="84" t="str">
        <x:f>'Raw Sales'!C2188</x:f>
        <x:v>CUST-0374</x:v>
      </x:c>
      <x:c r="G2188" s="84" t="str">
        <x:f>PROPER(TRIM('Raw Sales'!D2188))</x:f>
        <x:v>Priya Lewis</x:v>
      </x:c>
      <x:c r="H2188" s="84" t="str">
        <x:f>IF(TRIM('Raw Sales'!E2188)="","Unknown",PROPER(TRIM('Raw Sales'!E2188)))</x:f>
        <x:v>Corporate</x:v>
      </x:c>
      <x:c r="I2188" s="84" t="str">
        <x:f>PROPER(TRIM('Raw Sales'!F2188))</x:f>
        <x:v>Southeast</x:v>
      </x:c>
      <x:c r="J2188" s="84" t="str">
        <x:f>PROPER(TRIM('Raw Sales'!G2188))</x:f>
        <x:v>Miami</x:v>
      </x:c>
      <x:c r="K2188" s="84" t="str">
        <x:f>PROPER(TRIM('Raw Sales'!H2188))</x:f>
        <x:v>Retail Store</x:v>
      </x:c>
      <x:c r="L2188" s="84" t="str">
        <x:f>'Raw Sales'!I2188</x:f>
        <x:v>HOME-001</x:v>
      </x:c>
      <x:c r="M2188" s="84" t="str">
        <x:f>IFERROR(VLOOKUP(L2188,'Reference Data'!$A$5:$F$40,2,FALSE),"Unknown Product")</x:f>
        <x:v>Air Fryer</x:v>
      </x:c>
      <x:c r="N2188" s="84" t="str">
        <x:f>IFERROR(VLOOKUP(L2188,'Reference Data'!$A$5:$F$40,3,FALSE),"Unknown")</x:f>
        <x:v>Home &amp; Kitchen</x:v>
      </x:c>
      <x:c r="O2188" s="84" t="str">
        <x:f>IFERROR(VLOOKUP(L2188,'Reference Data'!$A$5:$F$40,4,FALSE),"Unknown")</x:f>
        <x:v>Small Appliances</x:v>
      </x:c>
      <x:c r="P2188" s="92" t="n">
        <x:f>IFERROR(VLOOKUP(L2188,'Reference Data'!$A$5:$F$40,5,FALSE),0)</x:f>
        <x:v>119</x:v>
      </x:c>
      <x:c r="Q2188" s="92" t="n">
        <x:f>IFERROR(VLOOKUP(L2188,'Reference Data'!$A$5:$F$40,6,FALSE),0)</x:f>
        <x:v>68</x:v>
      </x:c>
      <x:c r="R2188" s="84" t="n">
        <x:f>'Raw Sales'!J2188</x:f>
        <x:v>3</x:v>
      </x:c>
      <x:c r="S2188" s="87" t="n">
        <x:f>'Raw Sales'!K2188</x:f>
        <x:v>0.2</x:v>
      </x:c>
      <x:c r="T2188" s="93" t="n">
        <x:f>P2188*R2188</x:f>
        <x:v>357</x:v>
      </x:c>
      <x:c r="U2188" s="93" t="n">
        <x:f>T2188*S2188</x:f>
        <x:v>71.4</x:v>
      </x:c>
      <x:c r="V2188" s="93" t="str">
        <x:f>PROPER(TRIM('Raw Sales'!L2188))</x:f>
        <x:v>Completed</x:v>
      </x:c>
      <x:c r="W2188" s="93" t="n">
        <x:f>IF(V2188="Returned",0,T2188-U2188)</x:f>
        <x:v>285.6</x:v>
      </x:c>
      <x:c r="X2188" s="93" t="n">
        <x:f>IF(V2188="Returned",Q2188*R2188*10%,Q2188*R2188)</x:f>
        <x:v>204</x:v>
      </x:c>
      <x:c r="Y2188" s="93" t="n">
        <x:f>W2188-X2188</x:f>
        <x:v>81.60000000000002</x:v>
      </x:c>
      <x:c r="Z2188" s="94" t="n">
        <x:f>IFERROR(Y2188/W2188,0)</x:f>
        <x:v>0.28571428571428575</x:v>
      </x:c>
      <x:c r="AA2188" s="84" t="str">
        <x:f>PROPER(TRIM('Raw Sales'!M2188))</x:f>
        <x:v>Credit Card</x:v>
      </x:c>
      <x:c r="AB2188" s="84" t="str">
        <x:f>PROPER(TRIM('Raw Sales'!N2188))</x:f>
        <x:v>Ava Mitchell</x:v>
      </x:c>
      <x:c r="AC2188" s="85" t="n">
        <x:f>'Raw Sales'!O2188</x:f>
        <x:v>45978</x:v>
      </x:c>
      <x:c r="AD2188" s="84" t="n">
        <x:f>AC2188-B2188</x:f>
        <x:v>0</x:v>
      </x:c>
      <x:c r="AE2188" s="84" t="str">
        <x:f>IF(COUNTIF($A$5:A2188,A2188)&gt;1,"Duplicate","Keep")</x:f>
        <x:v>Keep</x:v>
      </x:c>
      <x:c r="AF2188" s="84" t="str">
        <x:f>IF(OR(R2188&lt;=0,AC2188&lt;B2188,H2188="Unknown",M2188="Unknown Product"),"Review","Valid")</x:f>
        <x:v>Valid</x:v>
      </x:c>
      <x:c r="AG2188" s="84" t="n">
        <x:f>IF(AND(AE2188="Keep",AF2188="Valid"),1,0)</x:f>
        <x:v>1</x:v>
      </x:c>
      <x:c r="AH2188" s="84" t="n">
        <x:f>IF(AND(AG2188=1,OR('Dashboard'!$B$4="All",I2188='Dashboard'!$B$4),OR('Dashboard'!$E$4="All",N2188='Dashboard'!$E$4),OR('Dashboard'!$H$4="All",K2188='Dashboard'!$H$4),OR('Dashboard'!$K$4="All",C2188='Dashboard'!$K$4)),1,0)</x:f>
        <x:v>1</x:v>
      </x:c>
      <x:c r="AI2188" s="84" t="n">
        <x:f>IF(AND(AG2188=1,OR('Dashboard'!$B$4="All",I2188='Dashboard'!$B$4),OR('Dashboard'!$E$4="All",N2188='Dashboard'!$E$4),OR('Dashboard'!$H$4="All",K2188='Dashboard'!$H$4)),1,0)</x:f>
        <x:v>1</x:v>
      </x:c>
    </x:row>
    <x:row r="2189">
      <x:c r="A2189" s="84" t="str">
        <x:f>'Raw Sales'!A2189</x:f>
        <x:v>ORD-2025-00856</x:v>
      </x:c>
      <x:c r="B2189" s="85" t="n">
        <x:f>'Raw Sales'!B2189</x:f>
        <x:v>45978</x:v>
      </x:c>
      <x:c r="C2189" s="84" t="n">
        <x:f>YEAR(B2189)</x:f>
        <x:v>2025</x:v>
      </x:c>
      <x:c r="D2189" s="91" t="n">
        <x:f>DATE(YEAR(B2189),MONTH(B2189),1)</x:f>
        <x:v>45962</x:v>
      </x:c>
      <x:c r="E2189" s="84" t="str">
        <x:f>TEXT(B2189,"mmm")</x:f>
        <x:v>Nov</x:v>
      </x:c>
      <x:c r="F2189" s="84" t="str">
        <x:f>'Raw Sales'!C2189</x:f>
        <x:v>CUST-0535</x:v>
      </x:c>
      <x:c r="G2189" s="84" t="str">
        <x:f>PROPER(TRIM('Raw Sales'!D2189))</x:f>
        <x:v>Caleb Walker</x:v>
      </x:c>
      <x:c r="H2189" s="84" t="str">
        <x:f>IF(TRIM('Raw Sales'!E2189)="","Unknown",PROPER(TRIM('Raw Sales'!E2189)))</x:f>
        <x:v>Corporate</x:v>
      </x:c>
      <x:c r="I2189" s="84" t="str">
        <x:f>PROPER(TRIM('Raw Sales'!F2189))</x:f>
        <x:v>Southeast</x:v>
      </x:c>
      <x:c r="J2189" s="84" t="str">
        <x:f>PROPER(TRIM('Raw Sales'!G2189))</x:f>
        <x:v>Miami</x:v>
      </x:c>
      <x:c r="K2189" s="84" t="str">
        <x:f>PROPER(TRIM('Raw Sales'!H2189))</x:f>
        <x:v>Marketplace</x:v>
      </x:c>
      <x:c r="L2189" s="84" t="str">
        <x:f>'Raw Sales'!I2189</x:f>
        <x:v>ELEC-002</x:v>
      </x:c>
      <x:c r="M2189" s="84" t="str">
        <x:f>IFERROR(VLOOKUP(L2189,'Reference Data'!$A$5:$F$40,2,FALSE),"Unknown Product")</x:f>
        <x:v>Smartwatch</x:v>
      </x:c>
      <x:c r="N2189" s="84" t="str">
        <x:f>IFERROR(VLOOKUP(L2189,'Reference Data'!$A$5:$F$40,3,FALSE),"Unknown")</x:f>
        <x:v>Electronics</x:v>
      </x:c>
      <x:c r="O2189" s="84" t="str">
        <x:f>IFERROR(VLOOKUP(L2189,'Reference Data'!$A$5:$F$40,4,FALSE),"Unknown")</x:f>
        <x:v>Wearables</x:v>
      </x:c>
      <x:c r="P2189" s="92" t="n">
        <x:f>IFERROR(VLOOKUP(L2189,'Reference Data'!$A$5:$F$40,5,FALSE),0)</x:f>
        <x:v>159</x:v>
      </x:c>
      <x:c r="Q2189" s="92" t="n">
        <x:f>IFERROR(VLOOKUP(L2189,'Reference Data'!$A$5:$F$40,6,FALSE),0)</x:f>
        <x:v>92</x:v>
      </x:c>
      <x:c r="R2189" s="84" t="n">
        <x:f>'Raw Sales'!J2189</x:f>
        <x:v>2</x:v>
      </x:c>
      <x:c r="S2189" s="87" t="n">
        <x:f>'Raw Sales'!K2189</x:f>
        <x:v>0.1</x:v>
      </x:c>
      <x:c r="T2189" s="93" t="n">
        <x:f>P2189*R2189</x:f>
        <x:v>318</x:v>
      </x:c>
      <x:c r="U2189" s="93" t="n">
        <x:f>T2189*S2189</x:f>
        <x:v>31.8</x:v>
      </x:c>
      <x:c r="V2189" s="93" t="str">
        <x:f>PROPER(TRIM('Raw Sales'!L2189))</x:f>
        <x:v>Completed</x:v>
      </x:c>
      <x:c r="W2189" s="93" t="n">
        <x:f>IF(V2189="Returned",0,T2189-U2189)</x:f>
        <x:v>286.2</x:v>
      </x:c>
      <x:c r="X2189" s="93" t="n">
        <x:f>IF(V2189="Returned",Q2189*R2189*10%,Q2189*R2189)</x:f>
        <x:v>184</x:v>
      </x:c>
      <x:c r="Y2189" s="93" t="n">
        <x:f>W2189-X2189</x:f>
        <x:v>102.19999999999999</x:v>
      </x:c>
      <x:c r="Z2189" s="94" t="n">
        <x:f>IFERROR(Y2189/W2189,0)</x:f>
        <x:v>0.35709294199860236</x:v>
      </x:c>
      <x:c r="AA2189" s="84" t="str">
        <x:f>PROPER(TRIM('Raw Sales'!M2189))</x:f>
        <x:v>Credit Card</x:v>
      </x:c>
      <x:c r="AB2189" s="84" t="str">
        <x:f>PROPER(TRIM('Raw Sales'!N2189))</x:f>
        <x:v>Liam Parker</x:v>
      </x:c>
      <x:c r="AC2189" s="85" t="n">
        <x:f>'Raw Sales'!O2189</x:f>
        <x:v>45984</x:v>
      </x:c>
      <x:c r="AD2189" s="84" t="n">
        <x:f>AC2189-B2189</x:f>
        <x:v>6</x:v>
      </x:c>
      <x:c r="AE2189" s="84" t="str">
        <x:f>IF(COUNTIF($A$5:A2189,A2189)&gt;1,"Duplicate","Keep")</x:f>
        <x:v>Keep</x:v>
      </x:c>
      <x:c r="AF2189" s="84" t="str">
        <x:f>IF(OR(R2189&lt;=0,AC2189&lt;B2189,H2189="Unknown",M2189="Unknown Product"),"Review","Valid")</x:f>
        <x:v>Valid</x:v>
      </x:c>
      <x:c r="AG2189" s="84" t="n">
        <x:f>IF(AND(AE2189="Keep",AF2189="Valid"),1,0)</x:f>
        <x:v>1</x:v>
      </x:c>
      <x:c r="AH2189" s="84" t="n">
        <x:f>IF(AND(AG2189=1,OR('Dashboard'!$B$4="All",I2189='Dashboard'!$B$4),OR('Dashboard'!$E$4="All",N2189='Dashboard'!$E$4),OR('Dashboard'!$H$4="All",K2189='Dashboard'!$H$4),OR('Dashboard'!$K$4="All",C2189='Dashboard'!$K$4)),1,0)</x:f>
        <x:v>1</x:v>
      </x:c>
      <x:c r="AI2189" s="84" t="n">
        <x:f>IF(AND(AG2189=1,OR('Dashboard'!$B$4="All",I2189='Dashboard'!$B$4),OR('Dashboard'!$E$4="All",N2189='Dashboard'!$E$4),OR('Dashboard'!$H$4="All",K2189='Dashboard'!$H$4)),1,0)</x:f>
        <x:v>1</x:v>
      </x:c>
    </x:row>
    <x:row r="2190">
      <x:c r="A2190" s="84" t="str">
        <x:f>'Raw Sales'!A2190</x:f>
        <x:v>ORD-2025-01441</x:v>
      </x:c>
      <x:c r="B2190" s="85" t="n">
        <x:f>'Raw Sales'!B2190</x:f>
        <x:v>45978</x:v>
      </x:c>
      <x:c r="C2190" s="84" t="n">
        <x:f>YEAR(B2190)</x:f>
        <x:v>2025</x:v>
      </x:c>
      <x:c r="D2190" s="91" t="n">
        <x:f>DATE(YEAR(B2190),MONTH(B2190),1)</x:f>
        <x:v>45962</x:v>
      </x:c>
      <x:c r="E2190" s="84" t="str">
        <x:f>TEXT(B2190,"mmm")</x:f>
        <x:v>Nov</x:v>
      </x:c>
      <x:c r="F2190" s="84" t="str">
        <x:f>'Raw Sales'!C2190</x:f>
        <x:v>CUST-0204</x:v>
      </x:c>
      <x:c r="G2190" s="84" t="str">
        <x:f>PROPER(TRIM('Raw Sales'!D2190))</x:f>
        <x:v>Jasmine Nelson</x:v>
      </x:c>
      <x:c r="H2190" s="84" t="str">
        <x:f>IF(TRIM('Raw Sales'!E2190)="","Unknown",PROPER(TRIM('Raw Sales'!E2190)))</x:f>
        <x:v>Consumer</x:v>
      </x:c>
      <x:c r="I2190" s="84" t="str">
        <x:f>PROPER(TRIM('Raw Sales'!F2190))</x:f>
        <x:v>Midwest</x:v>
      </x:c>
      <x:c r="J2190" s="84" t="str">
        <x:f>PROPER(TRIM('Raw Sales'!G2190))</x:f>
        <x:v>Minneapolis</x:v>
      </x:c>
      <x:c r="K2190" s="84" t="str">
        <x:f>PROPER(TRIM('Raw Sales'!H2190))</x:f>
        <x:v>Retail Store</x:v>
      </x:c>
      <x:c r="L2190" s="84" t="str">
        <x:f>'Raw Sales'!I2190</x:f>
        <x:v>FITN-004</x:v>
      </x:c>
      <x:c r="M2190" s="84" t="str">
        <x:f>IFERROR(VLOOKUP(L2190,'Reference Data'!$A$5:$F$40,2,FALSE),"Unknown Product")</x:f>
        <x:v>Fitness Tracker</x:v>
      </x:c>
      <x:c r="N2190" s="84" t="str">
        <x:f>IFERROR(VLOOKUP(L2190,'Reference Data'!$A$5:$F$40,3,FALSE),"Unknown")</x:f>
        <x:v>Fitness</x:v>
      </x:c>
      <x:c r="O2190" s="84" t="str">
        <x:f>IFERROR(VLOOKUP(L2190,'Reference Data'!$A$5:$F$40,4,FALSE),"Unknown")</x:f>
        <x:v>Wearables</x:v>
      </x:c>
      <x:c r="P2190" s="92" t="n">
        <x:f>IFERROR(VLOOKUP(L2190,'Reference Data'!$A$5:$F$40,5,FALSE),0)</x:f>
        <x:v>89</x:v>
      </x:c>
      <x:c r="Q2190" s="92" t="n">
        <x:f>IFERROR(VLOOKUP(L2190,'Reference Data'!$A$5:$F$40,6,FALSE),0)</x:f>
        <x:v>44</x:v>
      </x:c>
      <x:c r="R2190" s="84" t="n">
        <x:f>'Raw Sales'!J2190</x:f>
        <x:v>1</x:v>
      </x:c>
      <x:c r="S2190" s="87" t="n">
        <x:f>'Raw Sales'!K2190</x:f>
        <x:v>0</x:v>
      </x:c>
      <x:c r="T2190" s="93" t="n">
        <x:f>P2190*R2190</x:f>
        <x:v>89</x:v>
      </x:c>
      <x:c r="U2190" s="93" t="n">
        <x:f>T2190*S2190</x:f>
        <x:v>0</x:v>
      </x:c>
      <x:c r="V2190" s="93" t="str">
        <x:f>PROPER(TRIM('Raw Sales'!L2190))</x:f>
        <x:v>Completed</x:v>
      </x:c>
      <x:c r="W2190" s="93" t="n">
        <x:f>IF(V2190="Returned",0,T2190-U2190)</x:f>
        <x:v>89</x:v>
      </x:c>
      <x:c r="X2190" s="93" t="n">
        <x:f>IF(V2190="Returned",Q2190*R2190*10%,Q2190*R2190)</x:f>
        <x:v>44</x:v>
      </x:c>
      <x:c r="Y2190" s="93" t="n">
        <x:f>W2190-X2190</x:f>
        <x:v>45</x:v>
      </x:c>
      <x:c r="Z2190" s="94" t="n">
        <x:f>IFERROR(Y2190/W2190,0)</x:f>
        <x:v>0.5056179775280899</x:v>
      </x:c>
      <x:c r="AA2190" s="84" t="str">
        <x:f>PROPER(TRIM('Raw Sales'!M2190))</x:f>
        <x:v>Mobile Wallet</x:v>
      </x:c>
      <x:c r="AB2190" s="84" t="str">
        <x:f>PROPER(TRIM('Raw Sales'!N2190))</x:f>
        <x:v>Emma Hayes</x:v>
      </x:c>
      <x:c r="AC2190" s="85" t="n">
        <x:f>'Raw Sales'!O2190</x:f>
        <x:v>45979</x:v>
      </x:c>
      <x:c r="AD2190" s="84" t="n">
        <x:f>AC2190-B2190</x:f>
        <x:v>1</x:v>
      </x:c>
      <x:c r="AE2190" s="84" t="str">
        <x:f>IF(COUNTIF($A$5:A2190,A2190)&gt;1,"Duplicate","Keep")</x:f>
        <x:v>Keep</x:v>
      </x:c>
      <x:c r="AF2190" s="84" t="str">
        <x:f>IF(OR(R2190&lt;=0,AC2190&lt;B2190,H2190="Unknown",M2190="Unknown Product"),"Review","Valid")</x:f>
        <x:v>Valid</x:v>
      </x:c>
      <x:c r="AG2190" s="84" t="n">
        <x:f>IF(AND(AE2190="Keep",AF2190="Valid"),1,0)</x:f>
        <x:v>1</x:v>
      </x:c>
      <x:c r="AH2190" s="84" t="n">
        <x:f>IF(AND(AG2190=1,OR('Dashboard'!$B$4="All",I2190='Dashboard'!$B$4),OR('Dashboard'!$E$4="All",N2190='Dashboard'!$E$4),OR('Dashboard'!$H$4="All",K2190='Dashboard'!$H$4),OR('Dashboard'!$K$4="All",C2190='Dashboard'!$K$4)),1,0)</x:f>
        <x:v>1</x:v>
      </x:c>
      <x:c r="AI2190" s="84" t="n">
        <x:f>IF(AND(AG2190=1,OR('Dashboard'!$B$4="All",I2190='Dashboard'!$B$4),OR('Dashboard'!$E$4="All",N2190='Dashboard'!$E$4),OR('Dashboard'!$H$4="All",K2190='Dashboard'!$H$4)),1,0)</x:f>
        <x:v>1</x:v>
      </x:c>
    </x:row>
    <x:row r="2191">
      <x:c r="A2191" s="84" t="str">
        <x:f>'Raw Sales'!A2191</x:f>
        <x:v>ORD-2025-01488</x:v>
      </x:c>
      <x:c r="B2191" s="85" t="n">
        <x:f>'Raw Sales'!B2191</x:f>
        <x:v>45978</x:v>
      </x:c>
      <x:c r="C2191" s="84" t="n">
        <x:f>YEAR(B2191)</x:f>
        <x:v>2025</x:v>
      </x:c>
      <x:c r="D2191" s="91" t="n">
        <x:f>DATE(YEAR(B2191),MONTH(B2191),1)</x:f>
        <x:v>45962</x:v>
      </x:c>
      <x:c r="E2191" s="84" t="str">
        <x:f>TEXT(B2191,"mmm")</x:f>
        <x:v>Nov</x:v>
      </x:c>
      <x:c r="F2191" s="84" t="str">
        <x:f>'Raw Sales'!C2191</x:f>
        <x:v>CUST-0022</x:v>
      </x:c>
      <x:c r="G2191" s="84" t="str">
        <x:f>PROPER(TRIM('Raw Sales'!D2191))</x:f>
        <x:v>Amelia Nelson</x:v>
      </x:c>
      <x:c r="H2191" s="84" t="str">
        <x:f>IF(TRIM('Raw Sales'!E2191)="","Unknown",PROPER(TRIM('Raw Sales'!E2191)))</x:f>
        <x:v>Corporate</x:v>
      </x:c>
      <x:c r="I2191" s="84" t="str">
        <x:f>PROPER(TRIM('Raw Sales'!F2191))</x:f>
        <x:v>Northeast</x:v>
      </x:c>
      <x:c r="J2191" s="84" t="str">
        <x:f>PROPER(TRIM('Raw Sales'!G2191))</x:f>
        <x:v>New York</x:v>
      </x:c>
      <x:c r="K2191" s="84" t="str">
        <x:f>PROPER(TRIM('Raw Sales'!H2191))</x:f>
        <x:v>Online</x:v>
      </x:c>
      <x:c r="L2191" s="84" t="str">
        <x:f>'Raw Sales'!I2191</x:f>
        <x:v>HOME-004</x:v>
      </x:c>
      <x:c r="M2191" s="84" t="str">
        <x:f>IFERROR(VLOOKUP(L2191,'Reference Data'!$A$5:$F$40,2,FALSE),"Unknown Product")</x:f>
        <x:v>Coffee Maker</x:v>
      </x:c>
      <x:c r="N2191" s="84" t="str">
        <x:f>IFERROR(VLOOKUP(L2191,'Reference Data'!$A$5:$F$40,3,FALSE),"Unknown")</x:f>
        <x:v>Home &amp; Kitchen</x:v>
      </x:c>
      <x:c r="O2191" s="84" t="str">
        <x:f>IFERROR(VLOOKUP(L2191,'Reference Data'!$A$5:$F$40,4,FALSE),"Unknown")</x:f>
        <x:v>Small Appliances</x:v>
      </x:c>
      <x:c r="P2191" s="92" t="n">
        <x:f>IFERROR(VLOOKUP(L2191,'Reference Data'!$A$5:$F$40,5,FALSE),0)</x:f>
        <x:v>99</x:v>
      </x:c>
      <x:c r="Q2191" s="92" t="n">
        <x:f>IFERROR(VLOOKUP(L2191,'Reference Data'!$A$5:$F$40,6,FALSE),0)</x:f>
        <x:v>51</x:v>
      </x:c>
      <x:c r="R2191" s="84" t="n">
        <x:f>'Raw Sales'!J2191</x:f>
        <x:v>5</x:v>
      </x:c>
      <x:c r="S2191" s="87" t="n">
        <x:f>'Raw Sales'!K2191</x:f>
        <x:v>0</x:v>
      </x:c>
      <x:c r="T2191" s="93" t="n">
        <x:f>P2191*R2191</x:f>
        <x:v>495</x:v>
      </x:c>
      <x:c r="U2191" s="93" t="n">
        <x:f>T2191*S2191</x:f>
        <x:v>0</x:v>
      </x:c>
      <x:c r="V2191" s="93" t="str">
        <x:f>PROPER(TRIM('Raw Sales'!L2191))</x:f>
        <x:v>Completed</x:v>
      </x:c>
      <x:c r="W2191" s="93" t="n">
        <x:f>IF(V2191="Returned",0,T2191-U2191)</x:f>
        <x:v>495</x:v>
      </x:c>
      <x:c r="X2191" s="93" t="n">
        <x:f>IF(V2191="Returned",Q2191*R2191*10%,Q2191*R2191)</x:f>
        <x:v>255</x:v>
      </x:c>
      <x:c r="Y2191" s="93" t="n">
        <x:f>W2191-X2191</x:f>
        <x:v>240</x:v>
      </x:c>
      <x:c r="Z2191" s="94" t="n">
        <x:f>IFERROR(Y2191/W2191,0)</x:f>
        <x:v>0.48484848484848486</x:v>
      </x:c>
      <x:c r="AA2191" s="84" t="str">
        <x:f>PROPER(TRIM('Raw Sales'!M2191))</x:f>
        <x:v>Debit Card</x:v>
      </x:c>
      <x:c r="AB2191" s="84" t="str">
        <x:f>PROPER(TRIM('Raw Sales'!N2191))</x:f>
        <x:v>Ethan Cole</x:v>
      </x:c>
      <x:c r="AC2191" s="85" t="n">
        <x:f>'Raw Sales'!O2191</x:f>
        <x:v>45983</x:v>
      </x:c>
      <x:c r="AD2191" s="84" t="n">
        <x:f>AC2191-B2191</x:f>
        <x:v>5</x:v>
      </x:c>
      <x:c r="AE2191" s="84" t="str">
        <x:f>IF(COUNTIF($A$5:A2191,A2191)&gt;1,"Duplicate","Keep")</x:f>
        <x:v>Keep</x:v>
      </x:c>
      <x:c r="AF2191" s="84" t="str">
        <x:f>IF(OR(R2191&lt;=0,AC2191&lt;B2191,H2191="Unknown",M2191="Unknown Product"),"Review","Valid")</x:f>
        <x:v>Valid</x:v>
      </x:c>
      <x:c r="AG2191" s="84" t="n">
        <x:f>IF(AND(AE2191="Keep",AF2191="Valid"),1,0)</x:f>
        <x:v>1</x:v>
      </x:c>
      <x:c r="AH2191" s="84" t="n">
        <x:f>IF(AND(AG2191=1,OR('Dashboard'!$B$4="All",I2191='Dashboard'!$B$4),OR('Dashboard'!$E$4="All",N2191='Dashboard'!$E$4),OR('Dashboard'!$H$4="All",K2191='Dashboard'!$H$4),OR('Dashboard'!$K$4="All",C2191='Dashboard'!$K$4)),1,0)</x:f>
        <x:v>1</x:v>
      </x:c>
      <x:c r="AI2191" s="84" t="n">
        <x:f>IF(AND(AG2191=1,OR('Dashboard'!$B$4="All",I2191='Dashboard'!$B$4),OR('Dashboard'!$E$4="All",N2191='Dashboard'!$E$4),OR('Dashboard'!$H$4="All",K2191='Dashboard'!$H$4)),1,0)</x:f>
        <x:v>1</x:v>
      </x:c>
    </x:row>
    <x:row r="2192">
      <x:c r="A2192" s="84" t="str">
        <x:f>'Raw Sales'!A2192</x:f>
        <x:v>ORD-2025-01913</x:v>
      </x:c>
      <x:c r="B2192" s="85" t="n">
        <x:f>'Raw Sales'!B2192</x:f>
        <x:v>45978</x:v>
      </x:c>
      <x:c r="C2192" s="84" t="n">
        <x:f>YEAR(B2192)</x:f>
        <x:v>2025</x:v>
      </x:c>
      <x:c r="D2192" s="91" t="n">
        <x:f>DATE(YEAR(B2192),MONTH(B2192),1)</x:f>
        <x:v>45962</x:v>
      </x:c>
      <x:c r="E2192" s="84" t="str">
        <x:f>TEXT(B2192,"mmm")</x:f>
        <x:v>Nov</x:v>
      </x:c>
      <x:c r="F2192" s="84" t="str">
        <x:f>'Raw Sales'!C2192</x:f>
        <x:v>CUST-0621</x:v>
      </x:c>
      <x:c r="G2192" s="84" t="str">
        <x:f>PROPER(TRIM('Raw Sales'!D2192))</x:f>
        <x:v>Sara Hall</x:v>
      </x:c>
      <x:c r="H2192" s="84" t="str">
        <x:f>IF(TRIM('Raw Sales'!E2192)="","Unknown",PROPER(TRIM('Raw Sales'!E2192)))</x:f>
        <x:v>Consumer</x:v>
      </x:c>
      <x:c r="I2192" s="84" t="str">
        <x:f>PROPER(TRIM('Raw Sales'!F2192))</x:f>
        <x:v>Northeast</x:v>
      </x:c>
      <x:c r="J2192" s="84" t="str">
        <x:f>PROPER(TRIM('Raw Sales'!G2192))</x:f>
        <x:v>Philadelphia</x:v>
      </x:c>
      <x:c r="K2192" s="84" t="str">
        <x:f>PROPER(TRIM('Raw Sales'!H2192))</x:f>
        <x:v>Marketplace</x:v>
      </x:c>
      <x:c r="L2192" s="84" t="str">
        <x:f>'Raw Sales'!I2192</x:f>
        <x:v>ELEC-001</x:v>
      </x:c>
      <x:c r="M2192" s="84" t="str">
        <x:f>IFERROR(VLOOKUP(L2192,'Reference Data'!$A$5:$F$40,2,FALSE),"Unknown Product")</x:f>
        <x:v>Wireless Earbuds</x:v>
      </x:c>
      <x:c r="N2192" s="84" t="str">
        <x:f>IFERROR(VLOOKUP(L2192,'Reference Data'!$A$5:$F$40,3,FALSE),"Unknown")</x:f>
        <x:v>Electronics</x:v>
      </x:c>
      <x:c r="O2192" s="84" t="str">
        <x:f>IFERROR(VLOOKUP(L2192,'Reference Data'!$A$5:$F$40,4,FALSE),"Unknown")</x:f>
        <x:v>Audio</x:v>
      </x:c>
      <x:c r="P2192" s="92" t="n">
        <x:f>IFERROR(VLOOKUP(L2192,'Reference Data'!$A$5:$F$40,5,FALSE),0)</x:f>
        <x:v>69</x:v>
      </x:c>
      <x:c r="Q2192" s="92" t="n">
        <x:f>IFERROR(VLOOKUP(L2192,'Reference Data'!$A$5:$F$40,6,FALSE),0)</x:f>
        <x:v>36</x:v>
      </x:c>
      <x:c r="R2192" s="84" t="n">
        <x:f>'Raw Sales'!J2192</x:f>
        <x:v>1</x:v>
      </x:c>
      <x:c r="S2192" s="87" t="n">
        <x:f>'Raw Sales'!K2192</x:f>
        <x:v>0.05</x:v>
      </x:c>
      <x:c r="T2192" s="93" t="n">
        <x:f>P2192*R2192</x:f>
        <x:v>69</x:v>
      </x:c>
      <x:c r="U2192" s="93" t="n">
        <x:f>T2192*S2192</x:f>
        <x:v>3.45</x:v>
      </x:c>
      <x:c r="V2192" s="93" t="str">
        <x:f>PROPER(TRIM('Raw Sales'!L2192))</x:f>
        <x:v>Completed</x:v>
      </x:c>
      <x:c r="W2192" s="93" t="n">
        <x:f>IF(V2192="Returned",0,T2192-U2192)</x:f>
        <x:v>65.55</x:v>
      </x:c>
      <x:c r="X2192" s="93" t="n">
        <x:f>IF(V2192="Returned",Q2192*R2192*10%,Q2192*R2192)</x:f>
        <x:v>36</x:v>
      </x:c>
      <x:c r="Y2192" s="93" t="n">
        <x:f>W2192-X2192</x:f>
        <x:v>29.549999999999997</x:v>
      </x:c>
      <x:c r="Z2192" s="94" t="n">
        <x:f>IFERROR(Y2192/W2192,0)</x:f>
        <x:v>0.45080091533180777</x:v>
      </x:c>
      <x:c r="AA2192" s="84" t="str">
        <x:f>PROPER(TRIM('Raw Sales'!M2192))</x:f>
        <x:v>Credit Card</x:v>
      </x:c>
      <x:c r="AB2192" s="84" t="str">
        <x:f>PROPER(TRIM('Raw Sales'!N2192))</x:f>
        <x:v>Sofia Bennett</x:v>
      </x:c>
      <x:c r="AC2192" s="85" t="n">
        <x:f>'Raw Sales'!O2192</x:f>
        <x:v>45983</x:v>
      </x:c>
      <x:c r="AD2192" s="84" t="n">
        <x:f>AC2192-B2192</x:f>
        <x:v>5</x:v>
      </x:c>
      <x:c r="AE2192" s="84" t="str">
        <x:f>IF(COUNTIF($A$5:A2192,A2192)&gt;1,"Duplicate","Keep")</x:f>
        <x:v>Keep</x:v>
      </x:c>
      <x:c r="AF2192" s="84" t="str">
        <x:f>IF(OR(R2192&lt;=0,AC2192&lt;B2192,H2192="Unknown",M2192="Unknown Product"),"Review","Valid")</x:f>
        <x:v>Valid</x:v>
      </x:c>
      <x:c r="AG2192" s="84" t="n">
        <x:f>IF(AND(AE2192="Keep",AF2192="Valid"),1,0)</x:f>
        <x:v>1</x:v>
      </x:c>
      <x:c r="AH2192" s="84" t="n">
        <x:f>IF(AND(AG2192=1,OR('Dashboard'!$B$4="All",I2192='Dashboard'!$B$4),OR('Dashboard'!$E$4="All",N2192='Dashboard'!$E$4),OR('Dashboard'!$H$4="All",K2192='Dashboard'!$H$4),OR('Dashboard'!$K$4="All",C2192='Dashboard'!$K$4)),1,0)</x:f>
        <x:v>1</x:v>
      </x:c>
      <x:c r="AI2192" s="84" t="n">
        <x:f>IF(AND(AG2192=1,OR('Dashboard'!$B$4="All",I2192='Dashboard'!$B$4),OR('Dashboard'!$E$4="All",N2192='Dashboard'!$E$4),OR('Dashboard'!$H$4="All",K2192='Dashboard'!$H$4)),1,0)</x:f>
        <x:v>1</x:v>
      </x:c>
    </x:row>
    <x:row r="2193">
      <x:c r="A2193" s="84" t="str">
        <x:f>'Raw Sales'!A2193</x:f>
        <x:v>ORD-2025-00212</x:v>
      </x:c>
      <x:c r="B2193" s="85" t="n">
        <x:f>'Raw Sales'!B2193</x:f>
        <x:v>45979</x:v>
      </x:c>
      <x:c r="C2193" s="84" t="n">
        <x:f>YEAR(B2193)</x:f>
        <x:v>2025</x:v>
      </x:c>
      <x:c r="D2193" s="91" t="n">
        <x:f>DATE(YEAR(B2193),MONTH(B2193),1)</x:f>
        <x:v>45962</x:v>
      </x:c>
      <x:c r="E2193" s="84" t="str">
        <x:f>TEXT(B2193,"mmm")</x:f>
        <x:v>Nov</x:v>
      </x:c>
      <x:c r="F2193" s="84" t="str">
        <x:f>'Raw Sales'!C2193</x:f>
        <x:v>CUST-0631</x:v>
      </x:c>
      <x:c r="G2193" s="84" t="str">
        <x:f>PROPER(TRIM('Raw Sales'!D2193))</x:f>
        <x:v>Amelia Adams</x:v>
      </x:c>
      <x:c r="H2193" s="84" t="str">
        <x:f>IF(TRIM('Raw Sales'!E2193)="","Unknown",PROPER(TRIM('Raw Sales'!E2193)))</x:f>
        <x:v>Consumer</x:v>
      </x:c>
      <x:c r="I2193" s="84" t="str">
        <x:f>PROPER(TRIM('Raw Sales'!F2193))</x:f>
        <x:v>Midwest</x:v>
      </x:c>
      <x:c r="J2193" s="84" t="str">
        <x:f>PROPER(TRIM('Raw Sales'!G2193))</x:f>
        <x:v>Minneapolis</x:v>
      </x:c>
      <x:c r="K2193" s="84" t="str">
        <x:f>PROPER(TRIM('Raw Sales'!H2193))</x:f>
        <x:v>Online</x:v>
      </x:c>
      <x:c r="L2193" s="84" t="str">
        <x:f>'Raw Sales'!I2193</x:f>
        <x:v>ACCS-002</x:v>
      </x:c>
      <x:c r="M2193" s="84" t="str">
        <x:f>IFERROR(VLOOKUP(L2193,'Reference Data'!$A$5:$F$40,2,FALSE),"Unknown Product")</x:f>
        <x:v>Travel Backpack</x:v>
      </x:c>
      <x:c r="N2193" s="84" t="str">
        <x:f>IFERROR(VLOOKUP(L2193,'Reference Data'!$A$5:$F$40,3,FALSE),"Unknown")</x:f>
        <x:v>Accessories</x:v>
      </x:c>
      <x:c r="O2193" s="84" t="str">
        <x:f>IFERROR(VLOOKUP(L2193,'Reference Data'!$A$5:$F$40,4,FALSE),"Unknown")</x:f>
        <x:v>Bags</x:v>
      </x:c>
      <x:c r="P2193" s="92" t="n">
        <x:f>IFERROR(VLOOKUP(L2193,'Reference Data'!$A$5:$F$40,5,FALSE),0)</x:f>
        <x:v>89</x:v>
      </x:c>
      <x:c r="Q2193" s="92" t="n">
        <x:f>IFERROR(VLOOKUP(L2193,'Reference Data'!$A$5:$F$40,6,FALSE),0)</x:f>
        <x:v>36</x:v>
      </x:c>
      <x:c r="R2193" s="84" t="n">
        <x:f>'Raw Sales'!J2193</x:f>
        <x:v>1</x:v>
      </x:c>
      <x:c r="S2193" s="87" t="n">
        <x:f>'Raw Sales'!K2193</x:f>
        <x:v>0.05</x:v>
      </x:c>
      <x:c r="T2193" s="93" t="n">
        <x:f>P2193*R2193</x:f>
        <x:v>89</x:v>
      </x:c>
      <x:c r="U2193" s="93" t="n">
        <x:f>T2193*S2193</x:f>
        <x:v>4.45</x:v>
      </x:c>
      <x:c r="V2193" s="93" t="str">
        <x:f>PROPER(TRIM('Raw Sales'!L2193))</x:f>
        <x:v>Completed</x:v>
      </x:c>
      <x:c r="W2193" s="93" t="n">
        <x:f>IF(V2193="Returned",0,T2193-U2193)</x:f>
        <x:v>84.55</x:v>
      </x:c>
      <x:c r="X2193" s="93" t="n">
        <x:f>IF(V2193="Returned",Q2193*R2193*10%,Q2193*R2193)</x:f>
        <x:v>36</x:v>
      </x:c>
      <x:c r="Y2193" s="93" t="n">
        <x:f>W2193-X2193</x:f>
        <x:v>48.55</x:v>
      </x:c>
      <x:c r="Z2193" s="94" t="n">
        <x:f>IFERROR(Y2193/W2193,0)</x:f>
        <x:v>0.5742164399763453</x:v>
      </x:c>
      <x:c r="AA2193" s="84" t="str">
        <x:f>PROPER(TRIM('Raw Sales'!M2193))</x:f>
        <x:v>Credit Card</x:v>
      </x:c>
      <x:c r="AB2193" s="84" t="str">
        <x:f>PROPER(TRIM('Raw Sales'!N2193))</x:f>
        <x:v>Emma Hayes</x:v>
      </x:c>
      <x:c r="AC2193" s="85" t="n">
        <x:f>'Raw Sales'!O2193</x:f>
        <x:v>45983</x:v>
      </x:c>
      <x:c r="AD2193" s="84" t="n">
        <x:f>AC2193-B2193</x:f>
        <x:v>4</x:v>
      </x:c>
      <x:c r="AE2193" s="84" t="str">
        <x:f>IF(COUNTIF($A$5:A2193,A2193)&gt;1,"Duplicate","Keep")</x:f>
        <x:v>Keep</x:v>
      </x:c>
      <x:c r="AF2193" s="84" t="str">
        <x:f>IF(OR(R2193&lt;=0,AC2193&lt;B2193,H2193="Unknown",M2193="Unknown Product"),"Review","Valid")</x:f>
        <x:v>Valid</x:v>
      </x:c>
      <x:c r="AG2193" s="84" t="n">
        <x:f>IF(AND(AE2193="Keep",AF2193="Valid"),1,0)</x:f>
        <x:v>1</x:v>
      </x:c>
      <x:c r="AH2193" s="84" t="n">
        <x:f>IF(AND(AG2193=1,OR('Dashboard'!$B$4="All",I2193='Dashboard'!$B$4),OR('Dashboard'!$E$4="All",N2193='Dashboard'!$E$4),OR('Dashboard'!$H$4="All",K2193='Dashboard'!$H$4),OR('Dashboard'!$K$4="All",C2193='Dashboard'!$K$4)),1,0)</x:f>
        <x:v>1</x:v>
      </x:c>
      <x:c r="AI2193" s="84" t="n">
        <x:f>IF(AND(AG2193=1,OR('Dashboard'!$B$4="All",I2193='Dashboard'!$B$4),OR('Dashboard'!$E$4="All",N2193='Dashboard'!$E$4),OR('Dashboard'!$H$4="All",K2193='Dashboard'!$H$4)),1,0)</x:f>
        <x:v>1</x:v>
      </x:c>
    </x:row>
    <x:row r="2194">
      <x:c r="A2194" s="84" t="str">
        <x:f>'Raw Sales'!A2194</x:f>
        <x:v>ORD-2025-00319</x:v>
      </x:c>
      <x:c r="B2194" s="85" t="n">
        <x:f>'Raw Sales'!B2194</x:f>
        <x:v>45979</x:v>
      </x:c>
      <x:c r="C2194" s="84" t="n">
        <x:f>YEAR(B2194)</x:f>
        <x:v>2025</x:v>
      </x:c>
      <x:c r="D2194" s="91" t="n">
        <x:f>DATE(YEAR(B2194),MONTH(B2194),1)</x:f>
        <x:v>45962</x:v>
      </x:c>
      <x:c r="E2194" s="84" t="str">
        <x:f>TEXT(B2194,"mmm")</x:f>
        <x:v>Nov</x:v>
      </x:c>
      <x:c r="F2194" s="84" t="str">
        <x:f>'Raw Sales'!C2194</x:f>
        <x:v>CUST-0091</x:v>
      </x:c>
      <x:c r="G2194" s="84" t="str">
        <x:f>PROPER(TRIM('Raw Sales'!D2194))</x:f>
        <x:v>Elena Garcia</x:v>
      </x:c>
      <x:c r="H2194" s="84" t="str">
        <x:f>IF(TRIM('Raw Sales'!E2194)="","Unknown",PROPER(TRIM('Raw Sales'!E2194)))</x:f>
        <x:v>Corporate</x:v>
      </x:c>
      <x:c r="I2194" s="84" t="str">
        <x:f>PROPER(TRIM('Raw Sales'!F2194))</x:f>
        <x:v>West</x:v>
      </x:c>
      <x:c r="J2194" s="84" t="str">
        <x:f>PROPER(TRIM('Raw Sales'!G2194))</x:f>
        <x:v>Seattle</x:v>
      </x:c>
      <x:c r="K2194" s="84" t="str">
        <x:f>PROPER(TRIM('Raw Sales'!H2194))</x:f>
        <x:v>Marketplace</x:v>
      </x:c>
      <x:c r="L2194" s="84" t="str">
        <x:f>'Raw Sales'!I2194</x:f>
        <x:v>HOME-003</x:v>
      </x:c>
      <x:c r="M2194" s="84" t="str">
        <x:f>IFERROR(VLOOKUP(L2194,'Reference Data'!$A$5:$F$40,2,FALSE),"Unknown Product")</x:f>
        <x:v>Countertop Blender</x:v>
      </x:c>
      <x:c r="N2194" s="84" t="str">
        <x:f>IFERROR(VLOOKUP(L2194,'Reference Data'!$A$5:$F$40,3,FALSE),"Unknown")</x:f>
        <x:v>Home &amp; Kitchen</x:v>
      </x:c>
      <x:c r="O2194" s="84" t="str">
        <x:f>IFERROR(VLOOKUP(L2194,'Reference Data'!$A$5:$F$40,4,FALSE),"Unknown")</x:f>
        <x:v>Small Appliances</x:v>
      </x:c>
      <x:c r="P2194" s="92" t="n">
        <x:f>IFERROR(VLOOKUP(L2194,'Reference Data'!$A$5:$F$40,5,FALSE),0)</x:f>
        <x:v>89</x:v>
      </x:c>
      <x:c r="Q2194" s="92" t="n">
        <x:f>IFERROR(VLOOKUP(L2194,'Reference Data'!$A$5:$F$40,6,FALSE),0)</x:f>
        <x:v>46</x:v>
      </x:c>
      <x:c r="R2194" s="84" t="n">
        <x:f>'Raw Sales'!J2194</x:f>
        <x:v>8</x:v>
      </x:c>
      <x:c r="S2194" s="87" t="n">
        <x:f>'Raw Sales'!K2194</x:f>
        <x:v>0.1</x:v>
      </x:c>
      <x:c r="T2194" s="93" t="n">
        <x:f>P2194*R2194</x:f>
        <x:v>712</x:v>
      </x:c>
      <x:c r="U2194" s="93" t="n">
        <x:f>T2194*S2194</x:f>
        <x:v>71.2</x:v>
      </x:c>
      <x:c r="V2194" s="93" t="str">
        <x:f>PROPER(TRIM('Raw Sales'!L2194))</x:f>
        <x:v>Completed</x:v>
      </x:c>
      <x:c r="W2194" s="93" t="n">
        <x:f>IF(V2194="Returned",0,T2194-U2194)</x:f>
        <x:v>640.8</x:v>
      </x:c>
      <x:c r="X2194" s="93" t="n">
        <x:f>IF(V2194="Returned",Q2194*R2194*10%,Q2194*R2194)</x:f>
        <x:v>368</x:v>
      </x:c>
      <x:c r="Y2194" s="93" t="n">
        <x:f>W2194-X2194</x:f>
        <x:v>272.79999999999995</x:v>
      </x:c>
      <x:c r="Z2194" s="94" t="n">
        <x:f>IFERROR(Y2194/W2194,0)</x:f>
        <x:v>0.4257178526841448</x:v>
      </x:c>
      <x:c r="AA2194" s="84" t="str">
        <x:f>PROPER(TRIM('Raw Sales'!M2194))</x:f>
        <x:v>Debit Card</x:v>
      </x:c>
      <x:c r="AB2194" s="84" t="str">
        <x:f>PROPER(TRIM('Raw Sales'!N2194))</x:f>
        <x:v>Nora Kim</x:v>
      </x:c>
      <x:c r="AC2194" s="85" t="n">
        <x:f>'Raw Sales'!O2194</x:f>
        <x:v>45983</x:v>
      </x:c>
      <x:c r="AD2194" s="84" t="n">
        <x:f>AC2194-B2194</x:f>
        <x:v>4</x:v>
      </x:c>
      <x:c r="AE2194" s="84" t="str">
        <x:f>IF(COUNTIF($A$5:A2194,A2194)&gt;1,"Duplicate","Keep")</x:f>
        <x:v>Keep</x:v>
      </x:c>
      <x:c r="AF2194" s="84" t="str">
        <x:f>IF(OR(R2194&lt;=0,AC2194&lt;B2194,H2194="Unknown",M2194="Unknown Product"),"Review","Valid")</x:f>
        <x:v>Valid</x:v>
      </x:c>
      <x:c r="AG2194" s="84" t="n">
        <x:f>IF(AND(AE2194="Keep",AF2194="Valid"),1,0)</x:f>
        <x:v>1</x:v>
      </x:c>
      <x:c r="AH2194" s="84" t="n">
        <x:f>IF(AND(AG2194=1,OR('Dashboard'!$B$4="All",I2194='Dashboard'!$B$4),OR('Dashboard'!$E$4="All",N2194='Dashboard'!$E$4),OR('Dashboard'!$H$4="All",K2194='Dashboard'!$H$4),OR('Dashboard'!$K$4="All",C2194='Dashboard'!$K$4)),1,0)</x:f>
        <x:v>1</x:v>
      </x:c>
      <x:c r="AI2194" s="84" t="n">
        <x:f>IF(AND(AG2194=1,OR('Dashboard'!$B$4="All",I2194='Dashboard'!$B$4),OR('Dashboard'!$E$4="All",N2194='Dashboard'!$E$4),OR('Dashboard'!$H$4="All",K2194='Dashboard'!$H$4)),1,0)</x:f>
        <x:v>1</x:v>
      </x:c>
    </x:row>
    <x:row r="2195">
      <x:c r="A2195" s="84" t="str">
        <x:f>'Raw Sales'!A2195</x:f>
        <x:v>ORD-2025-00550</x:v>
      </x:c>
      <x:c r="B2195" s="85" t="n">
        <x:f>'Raw Sales'!B2195</x:f>
        <x:v>45979</x:v>
      </x:c>
      <x:c r="C2195" s="84" t="n">
        <x:f>YEAR(B2195)</x:f>
        <x:v>2025</x:v>
      </x:c>
      <x:c r="D2195" s="91" t="n">
        <x:f>DATE(YEAR(B2195),MONTH(B2195),1)</x:f>
        <x:v>45962</x:v>
      </x:c>
      <x:c r="E2195" s="84" t="str">
        <x:f>TEXT(B2195,"mmm")</x:f>
        <x:v>Nov</x:v>
      </x:c>
      <x:c r="F2195" s="84" t="str">
        <x:f>'Raw Sales'!C2195</x:f>
        <x:v>CUST-0312</x:v>
      </x:c>
      <x:c r="G2195" s="84" t="str">
        <x:f>PROPER(TRIM('Raw Sales'!D2195))</x:f>
        <x:v>Theo Carter</x:v>
      </x:c>
      <x:c r="H2195" s="84" t="str">
        <x:f>IF(TRIM('Raw Sales'!E2195)="","Unknown",PROPER(TRIM('Raw Sales'!E2195)))</x:f>
        <x:v>Small Business</x:v>
      </x:c>
      <x:c r="I2195" s="84" t="str">
        <x:f>PROPER(TRIM('Raw Sales'!F2195))</x:f>
        <x:v>Southeast</x:v>
      </x:c>
      <x:c r="J2195" s="84" t="str">
        <x:f>PROPER(TRIM('Raw Sales'!G2195))</x:f>
        <x:v>Atlanta</x:v>
      </x:c>
      <x:c r="K2195" s="84" t="str">
        <x:f>PROPER(TRIM('Raw Sales'!H2195))</x:f>
        <x:v>Online</x:v>
      </x:c>
      <x:c r="L2195" s="84" t="str">
        <x:f>'Raw Sales'!I2195</x:f>
        <x:v>ELEC-006</x:v>
      </x:c>
      <x:c r="M2195" s="84" t="str">
        <x:f>IFERROR(VLOOKUP(L2195,'Reference Data'!$A$5:$F$40,2,FALSE),"Unknown Product")</x:f>
        <x:v>Portable SSD</x:v>
      </x:c>
      <x:c r="N2195" s="84" t="str">
        <x:f>IFERROR(VLOOKUP(L2195,'Reference Data'!$A$5:$F$40,3,FALSE),"Unknown")</x:f>
        <x:v>Electronics</x:v>
      </x:c>
      <x:c r="O2195" s="84" t="str">
        <x:f>IFERROR(VLOOKUP(L2195,'Reference Data'!$A$5:$F$40,4,FALSE),"Unknown")</x:f>
        <x:v>Storage</x:v>
      </x:c>
      <x:c r="P2195" s="92" t="n">
        <x:f>IFERROR(VLOOKUP(L2195,'Reference Data'!$A$5:$F$40,5,FALSE),0)</x:f>
        <x:v>129</x:v>
      </x:c>
      <x:c r="Q2195" s="92" t="n">
        <x:f>IFERROR(VLOOKUP(L2195,'Reference Data'!$A$5:$F$40,6,FALSE),0)</x:f>
        <x:v>75</x:v>
      </x:c>
      <x:c r="R2195" s="84" t="n">
        <x:f>'Raw Sales'!J2195</x:f>
        <x:v>2</x:v>
      </x:c>
      <x:c r="S2195" s="87" t="n">
        <x:f>'Raw Sales'!K2195</x:f>
        <x:v>0.05</x:v>
      </x:c>
      <x:c r="T2195" s="93" t="n">
        <x:f>P2195*R2195</x:f>
        <x:v>258</x:v>
      </x:c>
      <x:c r="U2195" s="93" t="n">
        <x:f>T2195*S2195</x:f>
        <x:v>12.9</x:v>
      </x:c>
      <x:c r="V2195" s="93" t="str">
        <x:f>PROPER(TRIM('Raw Sales'!L2195))</x:f>
        <x:v>Completed</x:v>
      </x:c>
      <x:c r="W2195" s="93" t="n">
        <x:f>IF(V2195="Returned",0,T2195-U2195)</x:f>
        <x:v>245.1</x:v>
      </x:c>
      <x:c r="X2195" s="93" t="n">
        <x:f>IF(V2195="Returned",Q2195*R2195*10%,Q2195*R2195)</x:f>
        <x:v>150</x:v>
      </x:c>
      <x:c r="Y2195" s="93" t="n">
        <x:f>W2195-X2195</x:f>
        <x:v>95.1</x:v>
      </x:c>
      <x:c r="Z2195" s="94" t="n">
        <x:f>IFERROR(Y2195/W2195,0)</x:f>
        <x:v>0.3880048959608323</x:v>
      </x:c>
      <x:c r="AA2195" s="84" t="str">
        <x:f>PROPER(TRIM('Raw Sales'!M2195))</x:f>
        <x:v>Credit Card</x:v>
      </x:c>
      <x:c r="AB2195" s="84" t="str">
        <x:f>PROPER(TRIM('Raw Sales'!N2195))</x:f>
        <x:v>Noah Reed</x:v>
      </x:c>
      <x:c r="AC2195" s="85" t="n">
        <x:f>'Raw Sales'!O2195</x:f>
        <x:v>45984</x:v>
      </x:c>
      <x:c r="AD2195" s="84" t="n">
        <x:f>AC2195-B2195</x:f>
        <x:v>5</x:v>
      </x:c>
      <x:c r="AE2195" s="84" t="str">
        <x:f>IF(COUNTIF($A$5:A2195,A2195)&gt;1,"Duplicate","Keep")</x:f>
        <x:v>Keep</x:v>
      </x:c>
      <x:c r="AF2195" s="84" t="str">
        <x:f>IF(OR(R2195&lt;=0,AC2195&lt;B2195,H2195="Unknown",M2195="Unknown Product"),"Review","Valid")</x:f>
        <x:v>Valid</x:v>
      </x:c>
      <x:c r="AG2195" s="84" t="n">
        <x:f>IF(AND(AE2195="Keep",AF2195="Valid"),1,0)</x:f>
        <x:v>1</x:v>
      </x:c>
      <x:c r="AH2195" s="84" t="n">
        <x:f>IF(AND(AG2195=1,OR('Dashboard'!$B$4="All",I2195='Dashboard'!$B$4),OR('Dashboard'!$E$4="All",N2195='Dashboard'!$E$4),OR('Dashboard'!$H$4="All",K2195='Dashboard'!$H$4),OR('Dashboard'!$K$4="All",C2195='Dashboard'!$K$4)),1,0)</x:f>
        <x:v>1</x:v>
      </x:c>
      <x:c r="AI2195" s="84" t="n">
        <x:f>IF(AND(AG2195=1,OR('Dashboard'!$B$4="All",I2195='Dashboard'!$B$4),OR('Dashboard'!$E$4="All",N2195='Dashboard'!$E$4),OR('Dashboard'!$H$4="All",K2195='Dashboard'!$H$4)),1,0)</x:f>
        <x:v>1</x:v>
      </x:c>
    </x:row>
    <x:row r="2196">
      <x:c r="A2196" s="84" t="str">
        <x:f>'Raw Sales'!A2196</x:f>
        <x:v>ORD-2025-01010</x:v>
      </x:c>
      <x:c r="B2196" s="85" t="n">
        <x:f>'Raw Sales'!B2196</x:f>
        <x:v>45979</x:v>
      </x:c>
      <x:c r="C2196" s="84" t="n">
        <x:f>YEAR(B2196)</x:f>
        <x:v>2025</x:v>
      </x:c>
      <x:c r="D2196" s="91" t="n">
        <x:f>DATE(YEAR(B2196),MONTH(B2196),1)</x:f>
        <x:v>45962</x:v>
      </x:c>
      <x:c r="E2196" s="84" t="str">
        <x:f>TEXT(B2196,"mmm")</x:f>
        <x:v>Nov</x:v>
      </x:c>
      <x:c r="F2196" s="84" t="str">
        <x:f>'Raw Sales'!C2196</x:f>
        <x:v>CUST-0254</x:v>
      </x:c>
      <x:c r="G2196" s="84" t="str">
        <x:f>PROPER(TRIM('Raw Sales'!D2196))</x:f>
        <x:v>Marcus Carter</x:v>
      </x:c>
      <x:c r="H2196" s="84" t="str">
        <x:f>IF(TRIM('Raw Sales'!E2196)="","Unknown",PROPER(TRIM('Raw Sales'!E2196)))</x:f>
        <x:v>Consumer</x:v>
      </x:c>
      <x:c r="I2196" s="84" t="str">
        <x:f>PROPER(TRIM('Raw Sales'!F2196))</x:f>
        <x:v>Northeast</x:v>
      </x:c>
      <x:c r="J2196" s="84" t="str">
        <x:f>PROPER(TRIM('Raw Sales'!G2196))</x:f>
        <x:v>Boston</x:v>
      </x:c>
      <x:c r="K2196" s="84" t="str">
        <x:f>PROPER(TRIM('Raw Sales'!H2196))</x:f>
        <x:v>Marketplace</x:v>
      </x:c>
      <x:c r="L2196" s="84" t="str">
        <x:f>'Raw Sales'!I2196</x:f>
        <x:v>HOME-006</x:v>
      </x:c>
      <x:c r="M2196" s="84" t="str">
        <x:f>IFERROR(VLOOKUP(L2196,'Reference Data'!$A$5:$F$40,2,FALSE),"Unknown Product")</x:f>
        <x:v>Food Storage Set</x:v>
      </x:c>
      <x:c r="N2196" s="84" t="str">
        <x:f>IFERROR(VLOOKUP(L2196,'Reference Data'!$A$5:$F$40,3,FALSE),"Unknown")</x:f>
        <x:v>Home &amp; Kitchen</x:v>
      </x:c>
      <x:c r="O2196" s="84" t="str">
        <x:f>IFERROR(VLOOKUP(L2196,'Reference Data'!$A$5:$F$40,4,FALSE),"Unknown")</x:f>
        <x:v>Kitchenware</x:v>
      </x:c>
      <x:c r="P2196" s="92" t="n">
        <x:f>IFERROR(VLOOKUP(L2196,'Reference Data'!$A$5:$F$40,5,FALSE),0)</x:f>
        <x:v>34</x:v>
      </x:c>
      <x:c r="Q2196" s="92" t="n">
        <x:f>IFERROR(VLOOKUP(L2196,'Reference Data'!$A$5:$F$40,6,FALSE),0)</x:f>
        <x:v>15</x:v>
      </x:c>
      <x:c r="R2196" s="84" t="n">
        <x:f>'Raw Sales'!J2196</x:f>
        <x:v>2</x:v>
      </x:c>
      <x:c r="S2196" s="87" t="n">
        <x:f>'Raw Sales'!K2196</x:f>
        <x:v>0.1</x:v>
      </x:c>
      <x:c r="T2196" s="93" t="n">
        <x:f>P2196*R2196</x:f>
        <x:v>68</x:v>
      </x:c>
      <x:c r="U2196" s="93" t="n">
        <x:f>T2196*S2196</x:f>
        <x:v>6.800000000000001</x:v>
      </x:c>
      <x:c r="V2196" s="93" t="str">
        <x:f>PROPER(TRIM('Raw Sales'!L2196))</x:f>
        <x:v>Completed</x:v>
      </x:c>
      <x:c r="W2196" s="93" t="n">
        <x:f>IF(V2196="Returned",0,T2196-U2196)</x:f>
        <x:v>61.2</x:v>
      </x:c>
      <x:c r="X2196" s="93" t="n">
        <x:f>IF(V2196="Returned",Q2196*R2196*10%,Q2196*R2196)</x:f>
        <x:v>30</x:v>
      </x:c>
      <x:c r="Y2196" s="93" t="n">
        <x:f>W2196-X2196</x:f>
        <x:v>31.200000000000003</x:v>
      </x:c>
      <x:c r="Z2196" s="94" t="n">
        <x:f>IFERROR(Y2196/W2196,0)</x:f>
        <x:v>0.5098039215686275</x:v>
      </x:c>
      <x:c r="AA2196" s="84" t="str">
        <x:f>PROPER(TRIM('Raw Sales'!M2196))</x:f>
        <x:v>Paypal</x:v>
      </x:c>
      <x:c r="AB2196" s="84" t="str">
        <x:f>PROPER(TRIM('Raw Sales'!N2196))</x:f>
        <x:v>Ethan Cole</x:v>
      </x:c>
      <x:c r="AC2196" s="85" t="n">
        <x:f>'Raw Sales'!O2196</x:f>
        <x:v>45984</x:v>
      </x:c>
      <x:c r="AD2196" s="84" t="n">
        <x:f>AC2196-B2196</x:f>
        <x:v>5</x:v>
      </x:c>
      <x:c r="AE2196" s="84" t="str">
        <x:f>IF(COUNTIF($A$5:A2196,A2196)&gt;1,"Duplicate","Keep")</x:f>
        <x:v>Keep</x:v>
      </x:c>
      <x:c r="AF2196" s="84" t="str">
        <x:f>IF(OR(R2196&lt;=0,AC2196&lt;B2196,H2196="Unknown",M2196="Unknown Product"),"Review","Valid")</x:f>
        <x:v>Valid</x:v>
      </x:c>
      <x:c r="AG2196" s="84" t="n">
        <x:f>IF(AND(AE2196="Keep",AF2196="Valid"),1,0)</x:f>
        <x:v>1</x:v>
      </x:c>
      <x:c r="AH2196" s="84" t="n">
        <x:f>IF(AND(AG2196=1,OR('Dashboard'!$B$4="All",I2196='Dashboard'!$B$4),OR('Dashboard'!$E$4="All",N2196='Dashboard'!$E$4),OR('Dashboard'!$H$4="All",K2196='Dashboard'!$H$4),OR('Dashboard'!$K$4="All",C2196='Dashboard'!$K$4)),1,0)</x:f>
        <x:v>1</x:v>
      </x:c>
      <x:c r="AI2196" s="84" t="n">
        <x:f>IF(AND(AG2196=1,OR('Dashboard'!$B$4="All",I2196='Dashboard'!$B$4),OR('Dashboard'!$E$4="All",N2196='Dashboard'!$E$4),OR('Dashboard'!$H$4="All",K2196='Dashboard'!$H$4)),1,0)</x:f>
        <x:v>1</x:v>
      </x:c>
    </x:row>
    <x:row r="2197">
      <x:c r="A2197" s="84" t="str">
        <x:f>'Raw Sales'!A2197</x:f>
        <x:v>ORD-2025-01181</x:v>
      </x:c>
      <x:c r="B2197" s="85" t="n">
        <x:f>'Raw Sales'!B2197</x:f>
        <x:v>45979</x:v>
      </x:c>
      <x:c r="C2197" s="84" t="n">
        <x:f>YEAR(B2197)</x:f>
        <x:v>2025</x:v>
      </x:c>
      <x:c r="D2197" s="91" t="n">
        <x:f>DATE(YEAR(B2197),MONTH(B2197),1)</x:f>
        <x:v>45962</x:v>
      </x:c>
      <x:c r="E2197" s="84" t="str">
        <x:f>TEXT(B2197,"mmm")</x:f>
        <x:v>Nov</x:v>
      </x:c>
      <x:c r="F2197" s="84" t="str">
        <x:f>'Raw Sales'!C2197</x:f>
        <x:v>CUST-0050</x:v>
      </x:c>
      <x:c r="G2197" s="84" t="str">
        <x:f>PROPER(TRIM('Raw Sales'!D2197))</x:f>
        <x:v>Isaac Davis</x:v>
      </x:c>
      <x:c r="H2197" s="84" t="str">
        <x:f>IF(TRIM('Raw Sales'!E2197)="","Unknown",PROPER(TRIM('Raw Sales'!E2197)))</x:f>
        <x:v>Consumer</x:v>
      </x:c>
      <x:c r="I2197" s="84" t="str">
        <x:f>PROPER(TRIM('Raw Sales'!F2197))</x:f>
        <x:v>Northeast</x:v>
      </x:c>
      <x:c r="J2197" s="84" t="str">
        <x:f>PROPER(TRIM('Raw Sales'!G2197))</x:f>
        <x:v>Newark</x:v>
      </x:c>
      <x:c r="K2197" s="84" t="str">
        <x:f>PROPER(TRIM('Raw Sales'!H2197))</x:f>
        <x:v>Online</x:v>
      </x:c>
      <x:c r="L2197" s="84" t="str">
        <x:f>'Raw Sales'!I2197</x:f>
        <x:v>CARE-006</x:v>
      </x:c>
      <x:c r="M2197" s="84" t="str">
        <x:f>IFERROR(VLOOKUP(L2197,'Reference Data'!$A$5:$F$40,2,FALSE),"Unknown Product")</x:f>
        <x:v>Percussion Massage Gun</x:v>
      </x:c>
      <x:c r="N2197" s="84" t="str">
        <x:f>IFERROR(VLOOKUP(L2197,'Reference Data'!$A$5:$F$40,3,FALSE),"Unknown")</x:f>
        <x:v>Personal Care</x:v>
      </x:c>
      <x:c r="O2197" s="84" t="str">
        <x:f>IFERROR(VLOOKUP(L2197,'Reference Data'!$A$5:$F$40,4,FALSE),"Unknown")</x:f>
        <x:v>Wellness</x:v>
      </x:c>
      <x:c r="P2197" s="92" t="n">
        <x:f>IFERROR(VLOOKUP(L2197,'Reference Data'!$A$5:$F$40,5,FALSE),0)</x:f>
        <x:v>129</x:v>
      </x:c>
      <x:c r="Q2197" s="92" t="n">
        <x:f>IFERROR(VLOOKUP(L2197,'Reference Data'!$A$5:$F$40,6,FALSE),0)</x:f>
        <x:v>70</x:v>
      </x:c>
      <x:c r="R2197" s="84" t="n">
        <x:f>'Raw Sales'!J2197</x:f>
        <x:v>1</x:v>
      </x:c>
      <x:c r="S2197" s="87" t="n">
        <x:f>'Raw Sales'!K2197</x:f>
        <x:v>0</x:v>
      </x:c>
      <x:c r="T2197" s="93" t="n">
        <x:f>P2197*R2197</x:f>
        <x:v>129</x:v>
      </x:c>
      <x:c r="U2197" s="93" t="n">
        <x:f>T2197*S2197</x:f>
        <x:v>0</x:v>
      </x:c>
      <x:c r="V2197" s="93" t="str">
        <x:f>PROPER(TRIM('Raw Sales'!L2197))</x:f>
        <x:v>Returned</x:v>
      </x:c>
      <x:c r="W2197" s="93" t="n">
        <x:f>IF(V2197="Returned",0,T2197-U2197)</x:f>
        <x:v>0</x:v>
      </x:c>
      <x:c r="X2197" s="93" t="n">
        <x:f>IF(V2197="Returned",Q2197*R2197*10%,Q2197*R2197)</x:f>
        <x:v>7</x:v>
      </x:c>
      <x:c r="Y2197" s="93" t="n">
        <x:f>W2197-X2197</x:f>
        <x:v>-7</x:v>
      </x:c>
      <x:c r="Z2197" s="94" t="n">
        <x:f>IFERROR(Y2197/W2197,0)</x:f>
        <x:v>0</x:v>
      </x:c>
      <x:c r="AA2197" s="84" t="str">
        <x:f>PROPER(TRIM('Raw Sales'!M2197))</x:f>
        <x:v>Credit Card</x:v>
      </x:c>
      <x:c r="AB2197" s="84" t="str">
        <x:f>PROPER(TRIM('Raw Sales'!N2197))</x:f>
        <x:v>Maya Brooks</x:v>
      </x:c>
      <x:c r="AC2197" s="85" t="n">
        <x:f>'Raw Sales'!O2197</x:f>
        <x:v>45985</x:v>
      </x:c>
      <x:c r="AD2197" s="84" t="n">
        <x:f>AC2197-B2197</x:f>
        <x:v>6</x:v>
      </x:c>
      <x:c r="AE2197" s="84" t="str">
        <x:f>IF(COUNTIF($A$5:A2197,A2197)&gt;1,"Duplicate","Keep")</x:f>
        <x:v>Keep</x:v>
      </x:c>
      <x:c r="AF2197" s="84" t="str">
        <x:f>IF(OR(R2197&lt;=0,AC2197&lt;B2197,H2197="Unknown",M2197="Unknown Product"),"Review","Valid")</x:f>
        <x:v>Valid</x:v>
      </x:c>
      <x:c r="AG2197" s="84" t="n">
        <x:f>IF(AND(AE2197="Keep",AF2197="Valid"),1,0)</x:f>
        <x:v>1</x:v>
      </x:c>
      <x:c r="AH2197" s="84" t="n">
        <x:f>IF(AND(AG2197=1,OR('Dashboard'!$B$4="All",I2197='Dashboard'!$B$4),OR('Dashboard'!$E$4="All",N2197='Dashboard'!$E$4),OR('Dashboard'!$H$4="All",K2197='Dashboard'!$H$4),OR('Dashboard'!$K$4="All",C2197='Dashboard'!$K$4)),1,0)</x:f>
        <x:v>1</x:v>
      </x:c>
      <x:c r="AI2197" s="84" t="n">
        <x:f>IF(AND(AG2197=1,OR('Dashboard'!$B$4="All",I2197='Dashboard'!$B$4),OR('Dashboard'!$E$4="All",N2197='Dashboard'!$E$4),OR('Dashboard'!$H$4="All",K2197='Dashboard'!$H$4)),1,0)</x:f>
        <x:v>1</x:v>
      </x:c>
    </x:row>
    <x:row r="2198">
      <x:c r="A2198" s="84" t="str">
        <x:f>'Raw Sales'!A2198</x:f>
        <x:v>ORD-2025-01335</x:v>
      </x:c>
      <x:c r="B2198" s="85" t="n">
        <x:f>'Raw Sales'!B2198</x:f>
        <x:v>45979</x:v>
      </x:c>
      <x:c r="C2198" s="84" t="n">
        <x:f>YEAR(B2198)</x:f>
        <x:v>2025</x:v>
      </x:c>
      <x:c r="D2198" s="91" t="n">
        <x:f>DATE(YEAR(B2198),MONTH(B2198),1)</x:f>
        <x:v>45962</x:v>
      </x:c>
      <x:c r="E2198" s="84" t="str">
        <x:f>TEXT(B2198,"mmm")</x:f>
        <x:v>Nov</x:v>
      </x:c>
      <x:c r="F2198" s="84" t="str">
        <x:f>'Raw Sales'!C2198</x:f>
        <x:v>CUST-0142</x:v>
      </x:c>
      <x:c r="G2198" s="84" t="str">
        <x:f>PROPER(TRIM('Raw Sales'!D2198))</x:f>
        <x:v>Elena Adams</x:v>
      </x:c>
      <x:c r="H2198" s="84" t="str">
        <x:f>IF(TRIM('Raw Sales'!E2198)="","Unknown",PROPER(TRIM('Raw Sales'!E2198)))</x:f>
        <x:v>Consumer</x:v>
      </x:c>
      <x:c r="I2198" s="84" t="str">
        <x:f>PROPER(TRIM('Raw Sales'!F2198))</x:f>
        <x:v>Midwest</x:v>
      </x:c>
      <x:c r="J2198" s="84" t="str">
        <x:f>PROPER(TRIM('Raw Sales'!G2198))</x:f>
        <x:v>Chicago</x:v>
      </x:c>
      <x:c r="K2198" s="84" t="str">
        <x:f>PROPER(TRIM('Raw Sales'!H2198))</x:f>
        <x:v>Online</x:v>
      </x:c>
      <x:c r="L2198" s="84" t="str">
        <x:f>'Raw Sales'!I2198</x:f>
        <x:v>ACCS-001</x:v>
      </x:c>
      <x:c r="M2198" s="84" t="str">
        <x:f>IFERROR(VLOOKUP(L2198,'Reference Data'!$A$5:$F$40,2,FALSE),"Unknown Product")</x:f>
        <x:v>Canvas Tote Bag</x:v>
      </x:c>
      <x:c r="N2198" s="84" t="str">
        <x:f>IFERROR(VLOOKUP(L2198,'Reference Data'!$A$5:$F$40,3,FALSE),"Unknown")</x:f>
        <x:v>Accessories</x:v>
      </x:c>
      <x:c r="O2198" s="84" t="str">
        <x:f>IFERROR(VLOOKUP(L2198,'Reference Data'!$A$5:$F$40,4,FALSE),"Unknown")</x:f>
        <x:v>Bags</x:v>
      </x:c>
      <x:c r="P2198" s="92" t="n">
        <x:f>IFERROR(VLOOKUP(L2198,'Reference Data'!$A$5:$F$40,5,FALSE),0)</x:f>
        <x:v>39</x:v>
      </x:c>
      <x:c r="Q2198" s="92" t="n">
        <x:f>IFERROR(VLOOKUP(L2198,'Reference Data'!$A$5:$F$40,6,FALSE),0)</x:f>
        <x:v>14</x:v>
      </x:c>
      <x:c r="R2198" s="84" t="n">
        <x:f>'Raw Sales'!J2198</x:f>
        <x:v>1</x:v>
      </x:c>
      <x:c r="S2198" s="87" t="n">
        <x:f>'Raw Sales'!K2198</x:f>
        <x:v>0</x:v>
      </x:c>
      <x:c r="T2198" s="93" t="n">
        <x:f>P2198*R2198</x:f>
        <x:v>39</x:v>
      </x:c>
      <x:c r="U2198" s="93" t="n">
        <x:f>T2198*S2198</x:f>
        <x:v>0</x:v>
      </x:c>
      <x:c r="V2198" s="93" t="str">
        <x:f>PROPER(TRIM('Raw Sales'!L2198))</x:f>
        <x:v>Completed</x:v>
      </x:c>
      <x:c r="W2198" s="93" t="n">
        <x:f>IF(V2198="Returned",0,T2198-U2198)</x:f>
        <x:v>39</x:v>
      </x:c>
      <x:c r="X2198" s="93" t="n">
        <x:f>IF(V2198="Returned",Q2198*R2198*10%,Q2198*R2198)</x:f>
        <x:v>14</x:v>
      </x:c>
      <x:c r="Y2198" s="93" t="n">
        <x:f>W2198-X2198</x:f>
        <x:v>25</x:v>
      </x:c>
      <x:c r="Z2198" s="94" t="n">
        <x:f>IFERROR(Y2198/W2198,0)</x:f>
        <x:v>0.6410256410256411</x:v>
      </x:c>
      <x:c r="AA2198" s="84" t="str">
        <x:f>PROPER(TRIM('Raw Sales'!M2198))</x:f>
        <x:v>Credit Card</x:v>
      </x:c>
      <x:c r="AB2198" s="84" t="str">
        <x:f>PROPER(TRIM('Raw Sales'!N2198))</x:f>
        <x:v>Emma Hayes</x:v>
      </x:c>
      <x:c r="AC2198" s="85" t="n">
        <x:f>'Raw Sales'!O2198</x:f>
        <x:v>45981</x:v>
      </x:c>
      <x:c r="AD2198" s="84" t="n">
        <x:f>AC2198-B2198</x:f>
        <x:v>2</x:v>
      </x:c>
      <x:c r="AE2198" s="84" t="str">
        <x:f>IF(COUNTIF($A$5:A2198,A2198)&gt;1,"Duplicate","Keep")</x:f>
        <x:v>Keep</x:v>
      </x:c>
      <x:c r="AF2198" s="84" t="str">
        <x:f>IF(OR(R2198&lt;=0,AC2198&lt;B2198,H2198="Unknown",M2198="Unknown Product"),"Review","Valid")</x:f>
        <x:v>Valid</x:v>
      </x:c>
      <x:c r="AG2198" s="84" t="n">
        <x:f>IF(AND(AE2198="Keep",AF2198="Valid"),1,0)</x:f>
        <x:v>1</x:v>
      </x:c>
      <x:c r="AH2198" s="84" t="n">
        <x:f>IF(AND(AG2198=1,OR('Dashboard'!$B$4="All",I2198='Dashboard'!$B$4),OR('Dashboard'!$E$4="All",N2198='Dashboard'!$E$4),OR('Dashboard'!$H$4="All",K2198='Dashboard'!$H$4),OR('Dashboard'!$K$4="All",C2198='Dashboard'!$K$4)),1,0)</x:f>
        <x:v>1</x:v>
      </x:c>
      <x:c r="AI2198" s="84" t="n">
        <x:f>IF(AND(AG2198=1,OR('Dashboard'!$B$4="All",I2198='Dashboard'!$B$4),OR('Dashboard'!$E$4="All",N2198='Dashboard'!$E$4),OR('Dashboard'!$H$4="All",K2198='Dashboard'!$H$4)),1,0)</x:f>
        <x:v>1</x:v>
      </x:c>
    </x:row>
    <x:row r="2199">
      <x:c r="A2199" s="84" t="str">
        <x:f>'Raw Sales'!A2199</x:f>
        <x:v>ORD-2025-01379</x:v>
      </x:c>
      <x:c r="B2199" s="85" t="n">
        <x:f>'Raw Sales'!B2199</x:f>
        <x:v>45979</x:v>
      </x:c>
      <x:c r="C2199" s="84" t="n">
        <x:f>YEAR(B2199)</x:f>
        <x:v>2025</x:v>
      </x:c>
      <x:c r="D2199" s="91" t="n">
        <x:f>DATE(YEAR(B2199),MONTH(B2199),1)</x:f>
        <x:v>45962</x:v>
      </x:c>
      <x:c r="E2199" s="84" t="str">
        <x:f>TEXT(B2199,"mmm")</x:f>
        <x:v>Nov</x:v>
      </x:c>
      <x:c r="F2199" s="84" t="str">
        <x:f>'Raw Sales'!C2199</x:f>
        <x:v>CUST-0112</x:v>
      </x:c>
      <x:c r="G2199" s="84" t="str">
        <x:f>PROPER(TRIM('Raw Sales'!D2199))</x:f>
        <x:v>Victoria Patel</x:v>
      </x:c>
      <x:c r="H2199" s="84" t="str">
        <x:f>IF(TRIM('Raw Sales'!E2199)="","Unknown",PROPER(TRIM('Raw Sales'!E2199)))</x:f>
        <x:v>Consumer</x:v>
      </x:c>
      <x:c r="I2199" s="84" t="str">
        <x:f>PROPER(TRIM('Raw Sales'!F2199))</x:f>
        <x:v>Southeast</x:v>
      </x:c>
      <x:c r="J2199" s="84" t="str">
        <x:f>PROPER(TRIM('Raw Sales'!G2199))</x:f>
        <x:v>Miami</x:v>
      </x:c>
      <x:c r="K2199" s="84" t="str">
        <x:f>PROPER(TRIM('Raw Sales'!H2199))</x:f>
        <x:v>Retail Store</x:v>
      </x:c>
      <x:c r="L2199" s="84" t="str">
        <x:f>'Raw Sales'!I2199</x:f>
        <x:v>HOME-002</x:v>
      </x:c>
      <x:c r="M2199" s="84" t="str">
        <x:f>IFERROR(VLOOKUP(L2199,'Reference Data'!$A$5:$F$40,2,FALSE),"Unknown Product")</x:f>
        <x:v>Electric Kettle</x:v>
      </x:c>
      <x:c r="N2199" s="84" t="str">
        <x:f>IFERROR(VLOOKUP(L2199,'Reference Data'!$A$5:$F$40,3,FALSE),"Unknown")</x:f>
        <x:v>Home &amp; Kitchen</x:v>
      </x:c>
      <x:c r="O2199" s="84" t="str">
        <x:f>IFERROR(VLOOKUP(L2199,'Reference Data'!$A$5:$F$40,4,FALSE),"Unknown")</x:f>
        <x:v>Small Appliances</x:v>
      </x:c>
      <x:c r="P2199" s="92" t="n">
        <x:f>IFERROR(VLOOKUP(L2199,'Reference Data'!$A$5:$F$40,5,FALSE),0)</x:f>
        <x:v>49</x:v>
      </x:c>
      <x:c r="Q2199" s="92" t="n">
        <x:f>IFERROR(VLOOKUP(L2199,'Reference Data'!$A$5:$F$40,6,FALSE),0)</x:f>
        <x:v>23</x:v>
      </x:c>
      <x:c r="R2199" s="84" t="n">
        <x:f>'Raw Sales'!J2199</x:f>
        <x:v>1</x:v>
      </x:c>
      <x:c r="S2199" s="87" t="n">
        <x:f>'Raw Sales'!K2199</x:f>
        <x:v>0.1</x:v>
      </x:c>
      <x:c r="T2199" s="93" t="n">
        <x:f>P2199*R2199</x:f>
        <x:v>49</x:v>
      </x:c>
      <x:c r="U2199" s="93" t="n">
        <x:f>T2199*S2199</x:f>
        <x:v>4.9</x:v>
      </x:c>
      <x:c r="V2199" s="93" t="str">
        <x:f>PROPER(TRIM('Raw Sales'!L2199))</x:f>
        <x:v>Completed</x:v>
      </x:c>
      <x:c r="W2199" s="93" t="n">
        <x:f>IF(V2199="Returned",0,T2199-U2199)</x:f>
        <x:v>44.1</x:v>
      </x:c>
      <x:c r="X2199" s="93" t="n">
        <x:f>IF(V2199="Returned",Q2199*R2199*10%,Q2199*R2199)</x:f>
        <x:v>23</x:v>
      </x:c>
      <x:c r="Y2199" s="93" t="n">
        <x:f>W2199-X2199</x:f>
        <x:v>21.1</x:v>
      </x:c>
      <x:c r="Z2199" s="94" t="n">
        <x:f>IFERROR(Y2199/W2199,0)</x:f>
        <x:v>0.47845804988662133</x:v>
      </x:c>
      <x:c r="AA2199" s="84" t="str">
        <x:f>PROPER(TRIM('Raw Sales'!M2199))</x:f>
        <x:v>Mobile Wallet</x:v>
      </x:c>
      <x:c r="AB2199" s="84" t="str">
        <x:f>PROPER(TRIM('Raw Sales'!N2199))</x:f>
        <x:v>Noah Reed</x:v>
      </x:c>
      <x:c r="AC2199" s="85" t="n">
        <x:f>'Raw Sales'!O2199</x:f>
        <x:v>45979</x:v>
      </x:c>
      <x:c r="AD2199" s="84" t="n">
        <x:f>AC2199-B2199</x:f>
        <x:v>0</x:v>
      </x:c>
      <x:c r="AE2199" s="84" t="str">
        <x:f>IF(COUNTIF($A$5:A2199,A2199)&gt;1,"Duplicate","Keep")</x:f>
        <x:v>Keep</x:v>
      </x:c>
      <x:c r="AF2199" s="84" t="str">
        <x:f>IF(OR(R2199&lt;=0,AC2199&lt;B2199,H2199="Unknown",M2199="Unknown Product"),"Review","Valid")</x:f>
        <x:v>Valid</x:v>
      </x:c>
      <x:c r="AG2199" s="84" t="n">
        <x:f>IF(AND(AE2199="Keep",AF2199="Valid"),1,0)</x:f>
        <x:v>1</x:v>
      </x:c>
      <x:c r="AH2199" s="84" t="n">
        <x:f>IF(AND(AG2199=1,OR('Dashboard'!$B$4="All",I2199='Dashboard'!$B$4),OR('Dashboard'!$E$4="All",N2199='Dashboard'!$E$4),OR('Dashboard'!$H$4="All",K2199='Dashboard'!$H$4),OR('Dashboard'!$K$4="All",C2199='Dashboard'!$K$4)),1,0)</x:f>
        <x:v>1</x:v>
      </x:c>
      <x:c r="AI2199" s="84" t="n">
        <x:f>IF(AND(AG2199=1,OR('Dashboard'!$B$4="All",I2199='Dashboard'!$B$4),OR('Dashboard'!$E$4="All",N2199='Dashboard'!$E$4),OR('Dashboard'!$H$4="All",K2199='Dashboard'!$H$4)),1,0)</x:f>
        <x:v>1</x:v>
      </x:c>
    </x:row>
    <x:row r="2200">
      <x:c r="A2200" s="84" t="str">
        <x:f>'Raw Sales'!A2200</x:f>
        <x:v>ORD-2025-01865</x:v>
      </x:c>
      <x:c r="B2200" s="85" t="n">
        <x:f>'Raw Sales'!B2200</x:f>
        <x:v>45979</x:v>
      </x:c>
      <x:c r="C2200" s="84" t="n">
        <x:f>YEAR(B2200)</x:f>
        <x:v>2025</x:v>
      </x:c>
      <x:c r="D2200" s="91" t="n">
        <x:f>DATE(YEAR(B2200),MONTH(B2200),1)</x:f>
        <x:v>45962</x:v>
      </x:c>
      <x:c r="E2200" s="84" t="str">
        <x:f>TEXT(B2200,"mmm")</x:f>
        <x:v>Nov</x:v>
      </x:c>
      <x:c r="F2200" s="84" t="str">
        <x:f>'Raw Sales'!C2200</x:f>
        <x:v>CUST-0629</x:v>
      </x:c>
      <x:c r="G2200" s="84" t="str">
        <x:f>PROPER(TRIM('Raw Sales'!D2200))</x:f>
        <x:v>Nina Garcia</x:v>
      </x:c>
      <x:c r="H2200" s="84" t="str">
        <x:f>IF(TRIM('Raw Sales'!E2200)="","Unknown",PROPER(TRIM('Raw Sales'!E2200)))</x:f>
        <x:v>Consumer</x:v>
      </x:c>
      <x:c r="I2200" s="84" t="str">
        <x:f>PROPER(TRIM('Raw Sales'!F2200))</x:f>
        <x:v>Southeast</x:v>
      </x:c>
      <x:c r="J2200" s="84" t="str">
        <x:f>PROPER(TRIM('Raw Sales'!G2200))</x:f>
        <x:v>Charlotte</x:v>
      </x:c>
      <x:c r="K2200" s="84" t="str">
        <x:f>PROPER(TRIM('Raw Sales'!H2200))</x:f>
        <x:v>Retail Store</x:v>
      </x:c>
      <x:c r="L2200" s="84" t="str">
        <x:f>'Raw Sales'!I2200</x:f>
        <x:v>OFFC-004</x:v>
      </x:c>
      <x:c r="M2200" s="84" t="str">
        <x:f>IFERROR(VLOOKUP(L2200,'Reference Data'!$A$5:$F$40,2,FALSE),"Unknown Product")</x:f>
        <x:v>Premium Notebook Pack</x:v>
      </x:c>
      <x:c r="N2200" s="84" t="str">
        <x:f>IFERROR(VLOOKUP(L2200,'Reference Data'!$A$5:$F$40,3,FALSE),"Unknown")</x:f>
        <x:v>Office</x:v>
      </x:c>
      <x:c r="O2200" s="84" t="str">
        <x:f>IFERROR(VLOOKUP(L2200,'Reference Data'!$A$5:$F$40,4,FALSE),"Unknown")</x:f>
        <x:v>Stationery</x:v>
      </x:c>
      <x:c r="P2200" s="92" t="n">
        <x:f>IFERROR(VLOOKUP(L2200,'Reference Data'!$A$5:$F$40,5,FALSE),0)</x:f>
        <x:v>18</x:v>
      </x:c>
      <x:c r="Q2200" s="92" t="n">
        <x:f>IFERROR(VLOOKUP(L2200,'Reference Data'!$A$5:$F$40,6,FALSE),0)</x:f>
        <x:v>6.5</x:v>
      </x:c>
      <x:c r="R2200" s="84" t="n">
        <x:f>'Raw Sales'!J2200</x:f>
        <x:v>1</x:v>
      </x:c>
      <x:c r="S2200" s="87" t="n">
        <x:f>'Raw Sales'!K2200</x:f>
        <x:v>0.1</x:v>
      </x:c>
      <x:c r="T2200" s="93" t="n">
        <x:f>P2200*R2200</x:f>
        <x:v>18</x:v>
      </x:c>
      <x:c r="U2200" s="93" t="n">
        <x:f>T2200*S2200</x:f>
        <x:v>1.8</x:v>
      </x:c>
      <x:c r="V2200" s="93" t="str">
        <x:f>PROPER(TRIM('Raw Sales'!L2200))</x:f>
        <x:v>Completed</x:v>
      </x:c>
      <x:c r="W2200" s="93" t="n">
        <x:f>IF(V2200="Returned",0,T2200-U2200)</x:f>
        <x:v>16.2</x:v>
      </x:c>
      <x:c r="X2200" s="93" t="n">
        <x:f>IF(V2200="Returned",Q2200*R2200*10%,Q2200*R2200)</x:f>
        <x:v>6.5</x:v>
      </x:c>
      <x:c r="Y2200" s="93" t="n">
        <x:f>W2200-X2200</x:f>
        <x:v>9.7</x:v>
      </x:c>
      <x:c r="Z2200" s="94" t="n">
        <x:f>IFERROR(Y2200/W2200,0)</x:f>
        <x:v>0.5987654320987654</x:v>
      </x:c>
      <x:c r="AA2200" s="84" t="str">
        <x:f>PROPER(TRIM('Raw Sales'!M2200))</x:f>
        <x:v>Credit Card</x:v>
      </x:c>
      <x:c r="AB2200" s="84" t="str">
        <x:f>PROPER(TRIM('Raw Sales'!N2200))</x:f>
        <x:v>Ava Mitchell</x:v>
      </x:c>
      <x:c r="AC2200" s="85" t="n">
        <x:f>'Raw Sales'!O2200</x:f>
        <x:v>45979</x:v>
      </x:c>
      <x:c r="AD2200" s="84" t="n">
        <x:f>AC2200-B2200</x:f>
        <x:v>0</x:v>
      </x:c>
      <x:c r="AE2200" s="84" t="str">
        <x:f>IF(COUNTIF($A$5:A2200,A2200)&gt;1,"Duplicate","Keep")</x:f>
        <x:v>Keep</x:v>
      </x:c>
      <x:c r="AF2200" s="84" t="str">
        <x:f>IF(OR(R2200&lt;=0,AC2200&lt;B2200,H2200="Unknown",M2200="Unknown Product"),"Review","Valid")</x:f>
        <x:v>Valid</x:v>
      </x:c>
      <x:c r="AG2200" s="84" t="n">
        <x:f>IF(AND(AE2200="Keep",AF2200="Valid"),1,0)</x:f>
        <x:v>1</x:v>
      </x:c>
      <x:c r="AH2200" s="84" t="n">
        <x:f>IF(AND(AG2200=1,OR('Dashboard'!$B$4="All",I2200='Dashboard'!$B$4),OR('Dashboard'!$E$4="All",N2200='Dashboard'!$E$4),OR('Dashboard'!$H$4="All",K2200='Dashboard'!$H$4),OR('Dashboard'!$K$4="All",C2200='Dashboard'!$K$4)),1,0)</x:f>
        <x:v>1</x:v>
      </x:c>
      <x:c r="AI2200" s="84" t="n">
        <x:f>IF(AND(AG2200=1,OR('Dashboard'!$B$4="All",I2200='Dashboard'!$B$4),OR('Dashboard'!$E$4="All",N2200='Dashboard'!$E$4),OR('Dashboard'!$H$4="All",K2200='Dashboard'!$H$4)),1,0)</x:f>
        <x:v>1</x:v>
      </x:c>
    </x:row>
    <x:row r="2201">
      <x:c r="A2201" s="84" t="str">
        <x:f>'Raw Sales'!A2201</x:f>
        <x:v>ORD-2025-02108</x:v>
      </x:c>
      <x:c r="B2201" s="85" t="n">
        <x:f>'Raw Sales'!B2201</x:f>
        <x:v>45979</x:v>
      </x:c>
      <x:c r="C2201" s="84" t="n">
        <x:f>YEAR(B2201)</x:f>
        <x:v>2025</x:v>
      </x:c>
      <x:c r="D2201" s="91" t="n">
        <x:f>DATE(YEAR(B2201),MONTH(B2201),1)</x:f>
        <x:v>45962</x:v>
      </x:c>
      <x:c r="E2201" s="84" t="str">
        <x:f>TEXT(B2201,"mmm")</x:f>
        <x:v>Nov</x:v>
      </x:c>
      <x:c r="F2201" s="84" t="str">
        <x:f>'Raw Sales'!C2201</x:f>
        <x:v>CUST-0210</x:v>
      </x:c>
      <x:c r="G2201" s="84" t="str">
        <x:f>PROPER(TRIM('Raw Sales'!D2201))</x:f>
        <x:v>Jonah Walker</x:v>
      </x:c>
      <x:c r="H2201" s="84" t="str">
        <x:f>IF(TRIM('Raw Sales'!E2201)="","Unknown",PROPER(TRIM('Raw Sales'!E2201)))</x:f>
        <x:v>Consumer</x:v>
      </x:c>
      <x:c r="I2201" s="84" t="str">
        <x:f>PROPER(TRIM('Raw Sales'!F2201))</x:f>
        <x:v>West</x:v>
      </x:c>
      <x:c r="J2201" s="84" t="str">
        <x:f>PROPER(TRIM('Raw Sales'!G2201))</x:f>
        <x:v>Los Angeles</x:v>
      </x:c>
      <x:c r="K2201" s="84" t="str">
        <x:f>PROPER(TRIM('Raw Sales'!H2201))</x:f>
        <x:v>Online</x:v>
      </x:c>
      <x:c r="L2201" s="84" t="str">
        <x:f>'Raw Sales'!I2201</x:f>
        <x:v>ELEC-005</x:v>
      </x:c>
      <x:c r="M2201" s="84" t="str">
        <x:f>IFERROR(VLOOKUP(L2201,'Reference Data'!$A$5:$F$40,2,FALSE),"Unknown Product")</x:f>
        <x:v>HD Webcam</x:v>
      </x:c>
      <x:c r="N2201" s="84" t="str">
        <x:f>IFERROR(VLOOKUP(L2201,'Reference Data'!$A$5:$F$40,3,FALSE),"Unknown")</x:f>
        <x:v>Electronics</x:v>
      </x:c>
      <x:c r="O2201" s="84" t="str">
        <x:f>IFERROR(VLOOKUP(L2201,'Reference Data'!$A$5:$F$40,4,FALSE),"Unknown")</x:f>
        <x:v>Computer Accessories</x:v>
      </x:c>
      <x:c r="P2201" s="92" t="n">
        <x:f>IFERROR(VLOOKUP(L2201,'Reference Data'!$A$5:$F$40,5,FALSE),0)</x:f>
        <x:v>79</x:v>
      </x:c>
      <x:c r="Q2201" s="92" t="n">
        <x:f>IFERROR(VLOOKUP(L2201,'Reference Data'!$A$5:$F$40,6,FALSE),0)</x:f>
        <x:v>37</x:v>
      </x:c>
      <x:c r="R2201" s="84" t="n">
        <x:f>'Raw Sales'!J2201</x:f>
        <x:v>2</x:v>
      </x:c>
      <x:c r="S2201" s="87" t="n">
        <x:f>'Raw Sales'!K2201</x:f>
        <x:v>0.1</x:v>
      </x:c>
      <x:c r="T2201" s="93" t="n">
        <x:f>P2201*R2201</x:f>
        <x:v>158</x:v>
      </x:c>
      <x:c r="U2201" s="93" t="n">
        <x:f>T2201*S2201</x:f>
        <x:v>15.8</x:v>
      </x:c>
      <x:c r="V2201" s="93" t="str">
        <x:f>PROPER(TRIM('Raw Sales'!L2201))</x:f>
        <x:v>Completed</x:v>
      </x:c>
      <x:c r="W2201" s="93" t="n">
        <x:f>IF(V2201="Returned",0,T2201-U2201)</x:f>
        <x:v>142.2</x:v>
      </x:c>
      <x:c r="X2201" s="93" t="n">
        <x:f>IF(V2201="Returned",Q2201*R2201*10%,Q2201*R2201)</x:f>
        <x:v>74</x:v>
      </x:c>
      <x:c r="Y2201" s="93" t="n">
        <x:f>W2201-X2201</x:f>
        <x:v>68.19999999999999</x:v>
      </x:c>
      <x:c r="Z2201" s="94" t="n">
        <x:f>IFERROR(Y2201/W2201,0)</x:f>
        <x:v>0.4796061884669479</x:v>
      </x:c>
      <x:c r="AA2201" s="84" t="str">
        <x:f>PROPER(TRIM('Raw Sales'!M2201))</x:f>
        <x:v>Debit Card</x:v>
      </x:c>
      <x:c r="AB2201" s="84" t="str">
        <x:f>PROPER(TRIM('Raw Sales'!N2201))</x:f>
        <x:v>Nora Kim</x:v>
      </x:c>
      <x:c r="AC2201" s="85" t="n">
        <x:f>'Raw Sales'!O2201</x:f>
        <x:v>45981</x:v>
      </x:c>
      <x:c r="AD2201" s="84" t="n">
        <x:f>AC2201-B2201</x:f>
        <x:v>2</x:v>
      </x:c>
      <x:c r="AE2201" s="84" t="str">
        <x:f>IF(COUNTIF($A$5:A2201,A2201)&gt;1,"Duplicate","Keep")</x:f>
        <x:v>Keep</x:v>
      </x:c>
      <x:c r="AF2201" s="84" t="str">
        <x:f>IF(OR(R2201&lt;=0,AC2201&lt;B2201,H2201="Unknown",M2201="Unknown Product"),"Review","Valid")</x:f>
        <x:v>Valid</x:v>
      </x:c>
      <x:c r="AG2201" s="84" t="n">
        <x:f>IF(AND(AE2201="Keep",AF2201="Valid"),1,0)</x:f>
        <x:v>1</x:v>
      </x:c>
      <x:c r="AH2201" s="84" t="n">
        <x:f>IF(AND(AG2201=1,OR('Dashboard'!$B$4="All",I2201='Dashboard'!$B$4),OR('Dashboard'!$E$4="All",N2201='Dashboard'!$E$4),OR('Dashboard'!$H$4="All",K2201='Dashboard'!$H$4),OR('Dashboard'!$K$4="All",C2201='Dashboard'!$K$4)),1,0)</x:f>
        <x:v>1</x:v>
      </x:c>
      <x:c r="AI2201" s="84" t="n">
        <x:f>IF(AND(AG2201=1,OR('Dashboard'!$B$4="All",I2201='Dashboard'!$B$4),OR('Dashboard'!$E$4="All",N2201='Dashboard'!$E$4),OR('Dashboard'!$H$4="All",K2201='Dashboard'!$H$4)),1,0)</x:f>
        <x:v>1</x:v>
      </x:c>
    </x:row>
    <x:row r="2202">
      <x:c r="A2202" s="84" t="str">
        <x:f>'Raw Sales'!A2202</x:f>
        <x:v>ORD-2025-00402</x:v>
      </x:c>
      <x:c r="B2202" s="85" t="n">
        <x:f>'Raw Sales'!B2202</x:f>
        <x:v>45980</x:v>
      </x:c>
      <x:c r="C2202" s="84" t="n">
        <x:f>YEAR(B2202)</x:f>
        <x:v>2025</x:v>
      </x:c>
      <x:c r="D2202" s="91" t="n">
        <x:f>DATE(YEAR(B2202),MONTH(B2202),1)</x:f>
        <x:v>45962</x:v>
      </x:c>
      <x:c r="E2202" s="84" t="str">
        <x:f>TEXT(B2202,"mmm")</x:f>
        <x:v>Nov</x:v>
      </x:c>
      <x:c r="F2202" s="84" t="str">
        <x:f>'Raw Sales'!C2202</x:f>
        <x:v>CUST-0175</x:v>
      </x:c>
      <x:c r="G2202" s="84" t="str">
        <x:f>PROPER(TRIM('Raw Sales'!D2202))</x:f>
        <x:v>Maya Johnson</x:v>
      </x:c>
      <x:c r="H2202" s="84" t="str">
        <x:f>IF(TRIM('Raw Sales'!E2202)="","Unknown",PROPER(TRIM('Raw Sales'!E2202)))</x:f>
        <x:v>Small Business</x:v>
      </x:c>
      <x:c r="I2202" s="84" t="str">
        <x:f>PROPER(TRIM('Raw Sales'!F2202))</x:f>
        <x:v>Northeast</x:v>
      </x:c>
      <x:c r="J2202" s="84" t="str">
        <x:f>PROPER(TRIM('Raw Sales'!G2202))</x:f>
        <x:v>New York</x:v>
      </x:c>
      <x:c r="K2202" s="84" t="str">
        <x:f>PROPER(TRIM('Raw Sales'!H2202))</x:f>
        <x:v>Online</x:v>
      </x:c>
      <x:c r="L2202" s="84" t="str">
        <x:f>'Raw Sales'!I2202</x:f>
        <x:v>OFFC-004</x:v>
      </x:c>
      <x:c r="M2202" s="84" t="str">
        <x:f>IFERROR(VLOOKUP(L2202,'Reference Data'!$A$5:$F$40,2,FALSE),"Unknown Product")</x:f>
        <x:v>Premium Notebook Pack</x:v>
      </x:c>
      <x:c r="N2202" s="84" t="str">
        <x:f>IFERROR(VLOOKUP(L2202,'Reference Data'!$A$5:$F$40,3,FALSE),"Unknown")</x:f>
        <x:v>Office</x:v>
      </x:c>
      <x:c r="O2202" s="84" t="str">
        <x:f>IFERROR(VLOOKUP(L2202,'Reference Data'!$A$5:$F$40,4,FALSE),"Unknown")</x:f>
        <x:v>Stationery</x:v>
      </x:c>
      <x:c r="P2202" s="92" t="n">
        <x:f>IFERROR(VLOOKUP(L2202,'Reference Data'!$A$5:$F$40,5,FALSE),0)</x:f>
        <x:v>18</x:v>
      </x:c>
      <x:c r="Q2202" s="92" t="n">
        <x:f>IFERROR(VLOOKUP(L2202,'Reference Data'!$A$5:$F$40,6,FALSE),0)</x:f>
        <x:v>6.5</x:v>
      </x:c>
      <x:c r="R2202" s="84" t="n">
        <x:f>'Raw Sales'!J2202</x:f>
        <x:v>2</x:v>
      </x:c>
      <x:c r="S2202" s="87" t="n">
        <x:f>'Raw Sales'!K2202</x:f>
        <x:v>0.1</x:v>
      </x:c>
      <x:c r="T2202" s="93" t="n">
        <x:f>P2202*R2202</x:f>
        <x:v>36</x:v>
      </x:c>
      <x:c r="U2202" s="93" t="n">
        <x:f>T2202*S2202</x:f>
        <x:v>3.6</x:v>
      </x:c>
      <x:c r="V2202" s="93" t="str">
        <x:f>PROPER(TRIM('Raw Sales'!L2202))</x:f>
        <x:v>Completed</x:v>
      </x:c>
      <x:c r="W2202" s="93" t="n">
        <x:f>IF(V2202="Returned",0,T2202-U2202)</x:f>
        <x:v>32.4</x:v>
      </x:c>
      <x:c r="X2202" s="93" t="n">
        <x:f>IF(V2202="Returned",Q2202*R2202*10%,Q2202*R2202)</x:f>
        <x:v>13</x:v>
      </x:c>
      <x:c r="Y2202" s="93" t="n">
        <x:f>W2202-X2202</x:f>
        <x:v>19.4</x:v>
      </x:c>
      <x:c r="Z2202" s="94" t="n">
        <x:f>IFERROR(Y2202/W2202,0)</x:f>
        <x:v>0.5987654320987654</x:v>
      </x:c>
      <x:c r="AA2202" s="84" t="str">
        <x:f>PROPER(TRIM('Raw Sales'!M2202))</x:f>
        <x:v>Mobile Wallet</x:v>
      </x:c>
      <x:c r="AB2202" s="84" t="str">
        <x:f>PROPER(TRIM('Raw Sales'!N2202))</x:f>
        <x:v>Ethan Cole</x:v>
      </x:c>
      <x:c r="AC2202" s="85" t="n">
        <x:f>'Raw Sales'!O2202</x:f>
        <x:v>45984</x:v>
      </x:c>
      <x:c r="AD2202" s="84" t="n">
        <x:f>AC2202-B2202</x:f>
        <x:v>4</x:v>
      </x:c>
      <x:c r="AE2202" s="84" t="str">
        <x:f>IF(COUNTIF($A$5:A2202,A2202)&gt;1,"Duplicate","Keep")</x:f>
        <x:v>Keep</x:v>
      </x:c>
      <x:c r="AF2202" s="84" t="str">
        <x:f>IF(OR(R2202&lt;=0,AC2202&lt;B2202,H2202="Unknown",M2202="Unknown Product"),"Review","Valid")</x:f>
        <x:v>Valid</x:v>
      </x:c>
      <x:c r="AG2202" s="84" t="n">
        <x:f>IF(AND(AE2202="Keep",AF2202="Valid"),1,0)</x:f>
        <x:v>1</x:v>
      </x:c>
      <x:c r="AH2202" s="84" t="n">
        <x:f>IF(AND(AG2202=1,OR('Dashboard'!$B$4="All",I2202='Dashboard'!$B$4),OR('Dashboard'!$E$4="All",N2202='Dashboard'!$E$4),OR('Dashboard'!$H$4="All",K2202='Dashboard'!$H$4),OR('Dashboard'!$K$4="All",C2202='Dashboard'!$K$4)),1,0)</x:f>
        <x:v>1</x:v>
      </x:c>
      <x:c r="AI2202" s="84" t="n">
        <x:f>IF(AND(AG2202=1,OR('Dashboard'!$B$4="All",I2202='Dashboard'!$B$4),OR('Dashboard'!$E$4="All",N2202='Dashboard'!$E$4),OR('Dashboard'!$H$4="All",K2202='Dashboard'!$H$4)),1,0)</x:f>
        <x:v>1</x:v>
      </x:c>
    </x:row>
    <x:row r="2203">
      <x:c r="A2203" s="84" t="str">
        <x:f>'Raw Sales'!A2203</x:f>
        <x:v>ORD-2025-01114</x:v>
      </x:c>
      <x:c r="B2203" s="85" t="n">
        <x:f>'Raw Sales'!B2203</x:f>
        <x:v>45980</x:v>
      </x:c>
      <x:c r="C2203" s="84" t="n">
        <x:f>YEAR(B2203)</x:f>
        <x:v>2025</x:v>
      </x:c>
      <x:c r="D2203" s="91" t="n">
        <x:f>DATE(YEAR(B2203),MONTH(B2203),1)</x:f>
        <x:v>45962</x:v>
      </x:c>
      <x:c r="E2203" s="84" t="str">
        <x:f>TEXT(B2203,"mmm")</x:f>
        <x:v>Nov</x:v>
      </x:c>
      <x:c r="F2203" s="84" t="str">
        <x:f>'Raw Sales'!C2203</x:f>
        <x:v>CUST-0639</x:v>
      </x:c>
      <x:c r="G2203" s="84" t="str">
        <x:f>PROPER(TRIM('Raw Sales'!D2203))</x:f>
        <x:v>Isaac Evans</x:v>
      </x:c>
      <x:c r="H2203" s="84" t="str">
        <x:f>IF(TRIM('Raw Sales'!E2203)="","Unknown",PROPER(TRIM('Raw Sales'!E2203)))</x:f>
        <x:v>Consumer</x:v>
      </x:c>
      <x:c r="I2203" s="84" t="str">
        <x:f>PROPER(TRIM('Raw Sales'!F2203))</x:f>
        <x:v>Midwest</x:v>
      </x:c>
      <x:c r="J2203" s="84" t="str">
        <x:f>PROPER(TRIM('Raw Sales'!G2203))</x:f>
        <x:v>Columbus</x:v>
      </x:c>
      <x:c r="K2203" s="84" t="str">
        <x:f>PROPER(TRIM('Raw Sales'!H2203))</x:f>
        <x:v>Online</x:v>
      </x:c>
      <x:c r="L2203" s="84" t="str">
        <x:f>'Raw Sales'!I2203</x:f>
        <x:v>ELEC-005</x:v>
      </x:c>
      <x:c r="M2203" s="84" t="str">
        <x:f>IFERROR(VLOOKUP(L2203,'Reference Data'!$A$5:$F$40,2,FALSE),"Unknown Product")</x:f>
        <x:v>HD Webcam</x:v>
      </x:c>
      <x:c r="N2203" s="84" t="str">
        <x:f>IFERROR(VLOOKUP(L2203,'Reference Data'!$A$5:$F$40,3,FALSE),"Unknown")</x:f>
        <x:v>Electronics</x:v>
      </x:c>
      <x:c r="O2203" s="84" t="str">
        <x:f>IFERROR(VLOOKUP(L2203,'Reference Data'!$A$5:$F$40,4,FALSE),"Unknown")</x:f>
        <x:v>Computer Accessories</x:v>
      </x:c>
      <x:c r="P2203" s="92" t="n">
        <x:f>IFERROR(VLOOKUP(L2203,'Reference Data'!$A$5:$F$40,5,FALSE),0)</x:f>
        <x:v>79</x:v>
      </x:c>
      <x:c r="Q2203" s="92" t="n">
        <x:f>IFERROR(VLOOKUP(L2203,'Reference Data'!$A$5:$F$40,6,FALSE),0)</x:f>
        <x:v>37</x:v>
      </x:c>
      <x:c r="R2203" s="84" t="n">
        <x:f>'Raw Sales'!J2203</x:f>
        <x:v>1</x:v>
      </x:c>
      <x:c r="S2203" s="87" t="n">
        <x:f>'Raw Sales'!K2203</x:f>
        <x:v>0.1</x:v>
      </x:c>
      <x:c r="T2203" s="93" t="n">
        <x:f>P2203*R2203</x:f>
        <x:v>79</x:v>
      </x:c>
      <x:c r="U2203" s="93" t="n">
        <x:f>T2203*S2203</x:f>
        <x:v>7.9</x:v>
      </x:c>
      <x:c r="V2203" s="93" t="str">
        <x:f>PROPER(TRIM('Raw Sales'!L2203))</x:f>
        <x:v>Completed</x:v>
      </x:c>
      <x:c r="W2203" s="93" t="n">
        <x:f>IF(V2203="Returned",0,T2203-U2203)</x:f>
        <x:v>71.1</x:v>
      </x:c>
      <x:c r="X2203" s="93" t="n">
        <x:f>IF(V2203="Returned",Q2203*R2203*10%,Q2203*R2203)</x:f>
        <x:v>37</x:v>
      </x:c>
      <x:c r="Y2203" s="93" t="n">
        <x:f>W2203-X2203</x:f>
        <x:v>34.099999999999994</x:v>
      </x:c>
      <x:c r="Z2203" s="94" t="n">
        <x:f>IFERROR(Y2203/W2203,0)</x:f>
        <x:v>0.4796061884669479</x:v>
      </x:c>
      <x:c r="AA2203" s="84" t="str">
        <x:f>PROPER(TRIM('Raw Sales'!M2203))</x:f>
        <x:v>Credit Card</x:v>
      </x:c>
      <x:c r="AB2203" s="84" t="str">
        <x:f>PROPER(TRIM('Raw Sales'!N2203))</x:f>
        <x:v>Emma Hayes</x:v>
      </x:c>
      <x:c r="AC2203" s="85" t="n">
        <x:f>'Raw Sales'!O2203</x:f>
        <x:v>45983</x:v>
      </x:c>
      <x:c r="AD2203" s="84" t="n">
        <x:f>AC2203-B2203</x:f>
        <x:v>3</x:v>
      </x:c>
      <x:c r="AE2203" s="84" t="str">
        <x:f>IF(COUNTIF($A$5:A2203,A2203)&gt;1,"Duplicate","Keep")</x:f>
        <x:v>Keep</x:v>
      </x:c>
      <x:c r="AF2203" s="84" t="str">
        <x:f>IF(OR(R2203&lt;=0,AC2203&lt;B2203,H2203="Unknown",M2203="Unknown Product"),"Review","Valid")</x:f>
        <x:v>Valid</x:v>
      </x:c>
      <x:c r="AG2203" s="84" t="n">
        <x:f>IF(AND(AE2203="Keep",AF2203="Valid"),1,0)</x:f>
        <x:v>1</x:v>
      </x:c>
      <x:c r="AH2203" s="84" t="n">
        <x:f>IF(AND(AG2203=1,OR('Dashboard'!$B$4="All",I2203='Dashboard'!$B$4),OR('Dashboard'!$E$4="All",N2203='Dashboard'!$E$4),OR('Dashboard'!$H$4="All",K2203='Dashboard'!$H$4),OR('Dashboard'!$K$4="All",C2203='Dashboard'!$K$4)),1,0)</x:f>
        <x:v>1</x:v>
      </x:c>
      <x:c r="AI2203" s="84" t="n">
        <x:f>IF(AND(AG2203=1,OR('Dashboard'!$B$4="All",I2203='Dashboard'!$B$4),OR('Dashboard'!$E$4="All",N2203='Dashboard'!$E$4),OR('Dashboard'!$H$4="All",K2203='Dashboard'!$H$4)),1,0)</x:f>
        <x:v>1</x:v>
      </x:c>
    </x:row>
    <x:row r="2204">
      <x:c r="A2204" s="84" t="str">
        <x:f>'Raw Sales'!A2204</x:f>
        <x:v>ORD-2025-02259</x:v>
      </x:c>
      <x:c r="B2204" s="85" t="n">
        <x:f>'Raw Sales'!B2204</x:f>
        <x:v>45980</x:v>
      </x:c>
      <x:c r="C2204" s="84" t="n">
        <x:f>YEAR(B2204)</x:f>
        <x:v>2025</x:v>
      </x:c>
      <x:c r="D2204" s="91" t="n">
        <x:f>DATE(YEAR(B2204),MONTH(B2204),1)</x:f>
        <x:v>45962</x:v>
      </x:c>
      <x:c r="E2204" s="84" t="str">
        <x:f>TEXT(B2204,"mmm")</x:f>
        <x:v>Nov</x:v>
      </x:c>
      <x:c r="F2204" s="84" t="str">
        <x:f>'Raw Sales'!C2204</x:f>
        <x:v>CUST-0271</x:v>
      </x:c>
      <x:c r="G2204" s="84" t="str">
        <x:f>PROPER(TRIM('Raw Sales'!D2204))</x:f>
        <x:v>Jonah Nelson</x:v>
      </x:c>
      <x:c r="H2204" s="84" t="str">
        <x:f>IF(TRIM('Raw Sales'!E2204)="","Unknown",PROPER(TRIM('Raw Sales'!E2204)))</x:f>
        <x:v>Consumer</x:v>
      </x:c>
      <x:c r="I2204" s="84" t="str">
        <x:f>PROPER(TRIM('Raw Sales'!F2204))</x:f>
        <x:v>Midwest</x:v>
      </x:c>
      <x:c r="J2204" s="84" t="str">
        <x:f>PROPER(TRIM('Raw Sales'!G2204))</x:f>
        <x:v>Detroit</x:v>
      </x:c>
      <x:c r="K2204" s="84" t="str">
        <x:f>PROPER(TRIM('Raw Sales'!H2204))</x:f>
        <x:v>Retail Store</x:v>
      </x:c>
      <x:c r="L2204" s="84" t="str">
        <x:f>'Raw Sales'!I2204</x:f>
        <x:v>ELEC-005</x:v>
      </x:c>
      <x:c r="M2204" s="84" t="str">
        <x:f>IFERROR(VLOOKUP(L2204,'Reference Data'!$A$5:$F$40,2,FALSE),"Unknown Product")</x:f>
        <x:v>HD Webcam</x:v>
      </x:c>
      <x:c r="N2204" s="84" t="str">
        <x:f>IFERROR(VLOOKUP(L2204,'Reference Data'!$A$5:$F$40,3,FALSE),"Unknown")</x:f>
        <x:v>Electronics</x:v>
      </x:c>
      <x:c r="O2204" s="84" t="str">
        <x:f>IFERROR(VLOOKUP(L2204,'Reference Data'!$A$5:$F$40,4,FALSE),"Unknown")</x:f>
        <x:v>Computer Accessories</x:v>
      </x:c>
      <x:c r="P2204" s="92" t="n">
        <x:f>IFERROR(VLOOKUP(L2204,'Reference Data'!$A$5:$F$40,5,FALSE),0)</x:f>
        <x:v>79</x:v>
      </x:c>
      <x:c r="Q2204" s="92" t="n">
        <x:f>IFERROR(VLOOKUP(L2204,'Reference Data'!$A$5:$F$40,6,FALSE),0)</x:f>
        <x:v>37</x:v>
      </x:c>
      <x:c r="R2204" s="84" t="n">
        <x:f>'Raw Sales'!J2204</x:f>
        <x:v>1</x:v>
      </x:c>
      <x:c r="S2204" s="87" t="n">
        <x:f>'Raw Sales'!K2204</x:f>
        <x:v>0</x:v>
      </x:c>
      <x:c r="T2204" s="93" t="n">
        <x:f>P2204*R2204</x:f>
        <x:v>79</x:v>
      </x:c>
      <x:c r="U2204" s="93" t="n">
        <x:f>T2204*S2204</x:f>
        <x:v>0</x:v>
      </x:c>
      <x:c r="V2204" s="93" t="str">
        <x:f>PROPER(TRIM('Raw Sales'!L2204))</x:f>
        <x:v>Completed</x:v>
      </x:c>
      <x:c r="W2204" s="93" t="n">
        <x:f>IF(V2204="Returned",0,T2204-U2204)</x:f>
        <x:v>79</x:v>
      </x:c>
      <x:c r="X2204" s="93" t="n">
        <x:f>IF(V2204="Returned",Q2204*R2204*10%,Q2204*R2204)</x:f>
        <x:v>37</x:v>
      </x:c>
      <x:c r="Y2204" s="93" t="n">
        <x:f>W2204-X2204</x:f>
        <x:v>42</x:v>
      </x:c>
      <x:c r="Z2204" s="94" t="n">
        <x:f>IFERROR(Y2204/W2204,0)</x:f>
        <x:v>0.5316455696202531</x:v>
      </x:c>
      <x:c r="AA2204" s="84" t="str">
        <x:f>PROPER(TRIM('Raw Sales'!M2204))</x:f>
        <x:v>Credit Card</x:v>
      </x:c>
      <x:c r="AB2204" s="84" t="str">
        <x:f>PROPER(TRIM('Raw Sales'!N2204))</x:f>
        <x:v>Lucas Grant</x:v>
      </x:c>
      <x:c r="AC2204" s="85" t="n">
        <x:f>'Raw Sales'!O2204</x:f>
        <x:v>45980</x:v>
      </x:c>
      <x:c r="AD2204" s="84" t="n">
        <x:f>AC2204-B2204</x:f>
        <x:v>0</x:v>
      </x:c>
      <x:c r="AE2204" s="84" t="str">
        <x:f>IF(COUNTIF($A$5:A2204,A2204)&gt;1,"Duplicate","Keep")</x:f>
        <x:v>Keep</x:v>
      </x:c>
      <x:c r="AF2204" s="84" t="str">
        <x:f>IF(OR(R2204&lt;=0,AC2204&lt;B2204,H2204="Unknown",M2204="Unknown Product"),"Review","Valid")</x:f>
        <x:v>Valid</x:v>
      </x:c>
      <x:c r="AG2204" s="84" t="n">
        <x:f>IF(AND(AE2204="Keep",AF2204="Valid"),1,0)</x:f>
        <x:v>1</x:v>
      </x:c>
      <x:c r="AH2204" s="84" t="n">
        <x:f>IF(AND(AG2204=1,OR('Dashboard'!$B$4="All",I2204='Dashboard'!$B$4),OR('Dashboard'!$E$4="All",N2204='Dashboard'!$E$4),OR('Dashboard'!$H$4="All",K2204='Dashboard'!$H$4),OR('Dashboard'!$K$4="All",C2204='Dashboard'!$K$4)),1,0)</x:f>
        <x:v>1</x:v>
      </x:c>
      <x:c r="AI2204" s="84" t="n">
        <x:f>IF(AND(AG2204=1,OR('Dashboard'!$B$4="All",I2204='Dashboard'!$B$4),OR('Dashboard'!$E$4="All",N2204='Dashboard'!$E$4),OR('Dashboard'!$H$4="All",K2204='Dashboard'!$H$4)),1,0)</x:f>
        <x:v>1</x:v>
      </x:c>
    </x:row>
    <x:row r="2205">
      <x:c r="A2205" s="84" t="str">
        <x:f>'Raw Sales'!A2205</x:f>
        <x:v>ORD-2025-02317</x:v>
      </x:c>
      <x:c r="B2205" s="85" t="n">
        <x:f>'Raw Sales'!B2205</x:f>
        <x:v>45980</x:v>
      </x:c>
      <x:c r="C2205" s="84" t="n">
        <x:f>YEAR(B2205)</x:f>
        <x:v>2025</x:v>
      </x:c>
      <x:c r="D2205" s="91" t="n">
        <x:f>DATE(YEAR(B2205),MONTH(B2205),1)</x:f>
        <x:v>45962</x:v>
      </x:c>
      <x:c r="E2205" s="84" t="str">
        <x:f>TEXT(B2205,"mmm")</x:f>
        <x:v>Nov</x:v>
      </x:c>
      <x:c r="F2205" s="84" t="str">
        <x:f>'Raw Sales'!C2205</x:f>
        <x:v>CUST-0163</x:v>
      </x:c>
      <x:c r="G2205" s="84" t="str">
        <x:f>PROPER(TRIM('Raw Sales'!D2205))</x:f>
        <x:v>Aiden Davis</x:v>
      </x:c>
      <x:c r="H2205" s="84" t="str">
        <x:f>IF(TRIM('Raw Sales'!E2205)="","Unknown",PROPER(TRIM('Raw Sales'!E2205)))</x:f>
        <x:v>Consumer</x:v>
      </x:c>
      <x:c r="I2205" s="84" t="str">
        <x:f>PROPER(TRIM('Raw Sales'!F2205))</x:f>
        <x:v>Midwest</x:v>
      </x:c>
      <x:c r="J2205" s="84" t="str">
        <x:f>PROPER(TRIM('Raw Sales'!G2205))</x:f>
        <x:v>Chicago</x:v>
      </x:c>
      <x:c r="K2205" s="84" t="str">
        <x:f>PROPER(TRIM('Raw Sales'!H2205))</x:f>
        <x:v>Retail Store</x:v>
      </x:c>
      <x:c r="L2205" s="84" t="str">
        <x:f>'Raw Sales'!I2205</x:f>
        <x:v>ELEC-002</x:v>
      </x:c>
      <x:c r="M2205" s="84" t="str">
        <x:f>IFERROR(VLOOKUP(L2205,'Reference Data'!$A$5:$F$40,2,FALSE),"Unknown Product")</x:f>
        <x:v>Smartwatch</x:v>
      </x:c>
      <x:c r="N2205" s="84" t="str">
        <x:f>IFERROR(VLOOKUP(L2205,'Reference Data'!$A$5:$F$40,3,FALSE),"Unknown")</x:f>
        <x:v>Electronics</x:v>
      </x:c>
      <x:c r="O2205" s="84" t="str">
        <x:f>IFERROR(VLOOKUP(L2205,'Reference Data'!$A$5:$F$40,4,FALSE),"Unknown")</x:f>
        <x:v>Wearables</x:v>
      </x:c>
      <x:c r="P2205" s="92" t="n">
        <x:f>IFERROR(VLOOKUP(L2205,'Reference Data'!$A$5:$F$40,5,FALSE),0)</x:f>
        <x:v>159</x:v>
      </x:c>
      <x:c r="Q2205" s="92" t="n">
        <x:f>IFERROR(VLOOKUP(L2205,'Reference Data'!$A$5:$F$40,6,FALSE),0)</x:f>
        <x:v>92</x:v>
      </x:c>
      <x:c r="R2205" s="84" t="n">
        <x:f>'Raw Sales'!J2205</x:f>
        <x:v>4</x:v>
      </x:c>
      <x:c r="S2205" s="87" t="n">
        <x:f>'Raw Sales'!K2205</x:f>
        <x:v>0</x:v>
      </x:c>
      <x:c r="T2205" s="93" t="n">
        <x:f>P2205*R2205</x:f>
        <x:v>636</x:v>
      </x:c>
      <x:c r="U2205" s="93" t="n">
        <x:f>T2205*S2205</x:f>
        <x:v>0</x:v>
      </x:c>
      <x:c r="V2205" s="93" t="str">
        <x:f>PROPER(TRIM('Raw Sales'!L2205))</x:f>
        <x:v>Completed</x:v>
      </x:c>
      <x:c r="W2205" s="93" t="n">
        <x:f>IF(V2205="Returned",0,T2205-U2205)</x:f>
        <x:v>636</x:v>
      </x:c>
      <x:c r="X2205" s="93" t="n">
        <x:f>IF(V2205="Returned",Q2205*R2205*10%,Q2205*R2205)</x:f>
        <x:v>368</x:v>
      </x:c>
      <x:c r="Y2205" s="93" t="n">
        <x:f>W2205-X2205</x:f>
        <x:v>268</x:v>
      </x:c>
      <x:c r="Z2205" s="94" t="n">
        <x:f>IFERROR(Y2205/W2205,0)</x:f>
        <x:v>0.42138364779874216</x:v>
      </x:c>
      <x:c r="AA2205" s="84" t="str">
        <x:f>PROPER(TRIM('Raw Sales'!M2205))</x:f>
        <x:v>Debit Card</x:v>
      </x:c>
      <x:c r="AB2205" s="84" t="str">
        <x:f>PROPER(TRIM('Raw Sales'!N2205))</x:f>
        <x:v>Zoe Turner</x:v>
      </x:c>
      <x:c r="AC2205" s="85" t="n">
        <x:f>'Raw Sales'!O2205</x:f>
        <x:v>45980</x:v>
      </x:c>
      <x:c r="AD2205" s="84" t="n">
        <x:f>AC2205-B2205</x:f>
        <x:v>0</x:v>
      </x:c>
      <x:c r="AE2205" s="84" t="str">
        <x:f>IF(COUNTIF($A$5:A2205,A2205)&gt;1,"Duplicate","Keep")</x:f>
        <x:v>Keep</x:v>
      </x:c>
      <x:c r="AF2205" s="84" t="str">
        <x:f>IF(OR(R2205&lt;=0,AC2205&lt;B2205,H2205="Unknown",M2205="Unknown Product"),"Review","Valid")</x:f>
        <x:v>Valid</x:v>
      </x:c>
      <x:c r="AG2205" s="84" t="n">
        <x:f>IF(AND(AE2205="Keep",AF2205="Valid"),1,0)</x:f>
        <x:v>1</x:v>
      </x:c>
      <x:c r="AH2205" s="84" t="n">
        <x:f>IF(AND(AG2205=1,OR('Dashboard'!$B$4="All",I2205='Dashboard'!$B$4),OR('Dashboard'!$E$4="All",N2205='Dashboard'!$E$4),OR('Dashboard'!$H$4="All",K2205='Dashboard'!$H$4),OR('Dashboard'!$K$4="All",C2205='Dashboard'!$K$4)),1,0)</x:f>
        <x:v>1</x:v>
      </x:c>
      <x:c r="AI2205" s="84" t="n">
        <x:f>IF(AND(AG2205=1,OR('Dashboard'!$B$4="All",I2205='Dashboard'!$B$4),OR('Dashboard'!$E$4="All",N2205='Dashboard'!$E$4),OR('Dashboard'!$H$4="All",K2205='Dashboard'!$H$4)),1,0)</x:f>
        <x:v>1</x:v>
      </x:c>
    </x:row>
    <x:row r="2206">
      <x:c r="A2206" s="84" t="str">
        <x:f>'Raw Sales'!A2206</x:f>
        <x:v>ORD-2025-00043</x:v>
      </x:c>
      <x:c r="B2206" s="85" t="n">
        <x:f>'Raw Sales'!B2206</x:f>
        <x:v>45981</x:v>
      </x:c>
      <x:c r="C2206" s="84" t="n">
        <x:f>YEAR(B2206)</x:f>
        <x:v>2025</x:v>
      </x:c>
      <x:c r="D2206" s="91" t="n">
        <x:f>DATE(YEAR(B2206),MONTH(B2206),1)</x:f>
        <x:v>45962</x:v>
      </x:c>
      <x:c r="E2206" s="84" t="str">
        <x:f>TEXT(B2206,"mmm")</x:f>
        <x:v>Nov</x:v>
      </x:c>
      <x:c r="F2206" s="84" t="str">
        <x:f>'Raw Sales'!C2206</x:f>
        <x:v>CUST-0232</x:v>
      </x:c>
      <x:c r="G2206" s="84" t="str">
        <x:f>PROPER(TRIM('Raw Sales'!D2206))</x:f>
        <x:v>Layla Smith</x:v>
      </x:c>
      <x:c r="H2206" s="84" t="str">
        <x:f>IF(TRIM('Raw Sales'!E2206)="","Unknown",PROPER(TRIM('Raw Sales'!E2206)))</x:f>
        <x:v>Consumer</x:v>
      </x:c>
      <x:c r="I2206" s="84" t="str">
        <x:f>PROPER(TRIM('Raw Sales'!F2206))</x:f>
        <x:v>Southeast</x:v>
      </x:c>
      <x:c r="J2206" s="84" t="str">
        <x:f>PROPER(TRIM('Raw Sales'!G2206))</x:f>
        <x:v>Atlanta</x:v>
      </x:c>
      <x:c r="K2206" s="84" t="str">
        <x:f>PROPER(TRIM('Raw Sales'!H2206))</x:f>
        <x:v>Online</x:v>
      </x:c>
      <x:c r="L2206" s="84" t="str">
        <x:f>'Raw Sales'!I2206</x:f>
        <x:v>ELEC-001</x:v>
      </x:c>
      <x:c r="M2206" s="84" t="str">
        <x:f>IFERROR(VLOOKUP(L2206,'Reference Data'!$A$5:$F$40,2,FALSE),"Unknown Product")</x:f>
        <x:v>Wireless Earbuds</x:v>
      </x:c>
      <x:c r="N2206" s="84" t="str">
        <x:f>IFERROR(VLOOKUP(L2206,'Reference Data'!$A$5:$F$40,3,FALSE),"Unknown")</x:f>
        <x:v>Electronics</x:v>
      </x:c>
      <x:c r="O2206" s="84" t="str">
        <x:f>IFERROR(VLOOKUP(L2206,'Reference Data'!$A$5:$F$40,4,FALSE),"Unknown")</x:f>
        <x:v>Audio</x:v>
      </x:c>
      <x:c r="P2206" s="92" t="n">
        <x:f>IFERROR(VLOOKUP(L2206,'Reference Data'!$A$5:$F$40,5,FALSE),0)</x:f>
        <x:v>69</x:v>
      </x:c>
      <x:c r="Q2206" s="92" t="n">
        <x:f>IFERROR(VLOOKUP(L2206,'Reference Data'!$A$5:$F$40,6,FALSE),0)</x:f>
        <x:v>36</x:v>
      </x:c>
      <x:c r="R2206" s="84" t="n">
        <x:f>'Raw Sales'!J2206</x:f>
        <x:v>1</x:v>
      </x:c>
      <x:c r="S2206" s="87" t="n">
        <x:f>'Raw Sales'!K2206</x:f>
        <x:v>0</x:v>
      </x:c>
      <x:c r="T2206" s="93" t="n">
        <x:f>P2206*R2206</x:f>
        <x:v>69</x:v>
      </x:c>
      <x:c r="U2206" s="93" t="n">
        <x:f>T2206*S2206</x:f>
        <x:v>0</x:v>
      </x:c>
      <x:c r="V2206" s="93" t="str">
        <x:f>PROPER(TRIM('Raw Sales'!L2206))</x:f>
        <x:v>Completed</x:v>
      </x:c>
      <x:c r="W2206" s="93" t="n">
        <x:f>IF(V2206="Returned",0,T2206-U2206)</x:f>
        <x:v>69</x:v>
      </x:c>
      <x:c r="X2206" s="93" t="n">
        <x:f>IF(V2206="Returned",Q2206*R2206*10%,Q2206*R2206)</x:f>
        <x:v>36</x:v>
      </x:c>
      <x:c r="Y2206" s="93" t="n">
        <x:f>W2206-X2206</x:f>
        <x:v>33</x:v>
      </x:c>
      <x:c r="Z2206" s="94" t="n">
        <x:f>IFERROR(Y2206/W2206,0)</x:f>
        <x:v>0.4782608695652174</x:v>
      </x:c>
      <x:c r="AA2206" s="84" t="str">
        <x:f>PROPER(TRIM('Raw Sales'!M2206))</x:f>
        <x:v>Credit Card</x:v>
      </x:c>
      <x:c r="AB2206" s="84" t="str">
        <x:f>PROPER(TRIM('Raw Sales'!N2206))</x:f>
        <x:v>Noah Reed</x:v>
      </x:c>
      <x:c r="AC2206" s="85" t="n">
        <x:f>'Raw Sales'!O2206</x:f>
        <x:v>45984</x:v>
      </x:c>
      <x:c r="AD2206" s="84" t="n">
        <x:f>AC2206-B2206</x:f>
        <x:v>3</x:v>
      </x:c>
      <x:c r="AE2206" s="84" t="str">
        <x:f>IF(COUNTIF($A$5:A2206,A2206)&gt;1,"Duplicate","Keep")</x:f>
        <x:v>Keep</x:v>
      </x:c>
      <x:c r="AF2206" s="84" t="str">
        <x:f>IF(OR(R2206&lt;=0,AC2206&lt;B2206,H2206="Unknown",M2206="Unknown Product"),"Review","Valid")</x:f>
        <x:v>Valid</x:v>
      </x:c>
      <x:c r="AG2206" s="84" t="n">
        <x:f>IF(AND(AE2206="Keep",AF2206="Valid"),1,0)</x:f>
        <x:v>1</x:v>
      </x:c>
      <x:c r="AH2206" s="84" t="n">
        <x:f>IF(AND(AG2206=1,OR('Dashboard'!$B$4="All",I2206='Dashboard'!$B$4),OR('Dashboard'!$E$4="All",N2206='Dashboard'!$E$4),OR('Dashboard'!$H$4="All",K2206='Dashboard'!$H$4),OR('Dashboard'!$K$4="All",C2206='Dashboard'!$K$4)),1,0)</x:f>
        <x:v>1</x:v>
      </x:c>
      <x:c r="AI2206" s="84" t="n">
        <x:f>IF(AND(AG2206=1,OR('Dashboard'!$B$4="All",I2206='Dashboard'!$B$4),OR('Dashboard'!$E$4="All",N2206='Dashboard'!$E$4),OR('Dashboard'!$H$4="All",K2206='Dashboard'!$H$4)),1,0)</x:f>
        <x:v>1</x:v>
      </x:c>
    </x:row>
    <x:row r="2207">
      <x:c r="A2207" s="84" t="str">
        <x:f>'Raw Sales'!A2207</x:f>
        <x:v>ORD-2025-00910</x:v>
      </x:c>
      <x:c r="B2207" s="85" t="n">
        <x:f>'Raw Sales'!B2207</x:f>
        <x:v>45981</x:v>
      </x:c>
      <x:c r="C2207" s="84" t="n">
        <x:f>YEAR(B2207)</x:f>
        <x:v>2025</x:v>
      </x:c>
      <x:c r="D2207" s="91" t="n">
        <x:f>DATE(YEAR(B2207),MONTH(B2207),1)</x:f>
        <x:v>45962</x:v>
      </x:c>
      <x:c r="E2207" s="84" t="str">
        <x:f>TEXT(B2207,"mmm")</x:f>
        <x:v>Nov</x:v>
      </x:c>
      <x:c r="F2207" s="84" t="str">
        <x:f>'Raw Sales'!C2207</x:f>
        <x:v>CUST-0138</x:v>
      </x:c>
      <x:c r="G2207" s="84" t="str">
        <x:f>PROPER(TRIM('Raw Sales'!D2207))</x:f>
        <x:v>Chloe Khan</x:v>
      </x:c>
      <x:c r="H2207" s="84" t="str">
        <x:f>IF(TRIM('Raw Sales'!E2207)="","Unknown",PROPER(TRIM('Raw Sales'!E2207)))</x:f>
        <x:v>Corporate</x:v>
      </x:c>
      <x:c r="I2207" s="84" t="str">
        <x:f>PROPER(TRIM('Raw Sales'!F2207))</x:f>
        <x:v>West</x:v>
      </x:c>
      <x:c r="J2207" s="84" t="str">
        <x:f>PROPER(TRIM('Raw Sales'!G2207))</x:f>
        <x:v>Denver</x:v>
      </x:c>
      <x:c r="K2207" s="84" t="str">
        <x:f>PROPER(TRIM('Raw Sales'!H2207))</x:f>
        <x:v>Retail Store</x:v>
      </x:c>
      <x:c r="L2207" s="84" t="str">
        <x:f>'Raw Sales'!I2207</x:f>
        <x:v>HOME-004</x:v>
      </x:c>
      <x:c r="M2207" s="84" t="str">
        <x:f>IFERROR(VLOOKUP(L2207,'Reference Data'!$A$5:$F$40,2,FALSE),"Unknown Product")</x:f>
        <x:v>Coffee Maker</x:v>
      </x:c>
      <x:c r="N2207" s="84" t="str">
        <x:f>IFERROR(VLOOKUP(L2207,'Reference Data'!$A$5:$F$40,3,FALSE),"Unknown")</x:f>
        <x:v>Home &amp; Kitchen</x:v>
      </x:c>
      <x:c r="O2207" s="84" t="str">
        <x:f>IFERROR(VLOOKUP(L2207,'Reference Data'!$A$5:$F$40,4,FALSE),"Unknown")</x:f>
        <x:v>Small Appliances</x:v>
      </x:c>
      <x:c r="P2207" s="92" t="n">
        <x:f>IFERROR(VLOOKUP(L2207,'Reference Data'!$A$5:$F$40,5,FALSE),0)</x:f>
        <x:v>99</x:v>
      </x:c>
      <x:c r="Q2207" s="92" t="n">
        <x:f>IFERROR(VLOOKUP(L2207,'Reference Data'!$A$5:$F$40,6,FALSE),0)</x:f>
        <x:v>51</x:v>
      </x:c>
      <x:c r="R2207" s="84" t="n">
        <x:f>'Raw Sales'!J2207</x:f>
        <x:v>4</x:v>
      </x:c>
      <x:c r="S2207" s="87" t="n">
        <x:f>'Raw Sales'!K2207</x:f>
        <x:v>0.1</x:v>
      </x:c>
      <x:c r="T2207" s="93" t="n">
        <x:f>P2207*R2207</x:f>
        <x:v>396</x:v>
      </x:c>
      <x:c r="U2207" s="93" t="n">
        <x:f>T2207*S2207</x:f>
        <x:v>39.6</x:v>
      </x:c>
      <x:c r="V2207" s="93" t="str">
        <x:f>PROPER(TRIM('Raw Sales'!L2207))</x:f>
        <x:v>Completed</x:v>
      </x:c>
      <x:c r="W2207" s="93" t="n">
        <x:f>IF(V2207="Returned",0,T2207-U2207)</x:f>
        <x:v>356.4</x:v>
      </x:c>
      <x:c r="X2207" s="93" t="n">
        <x:f>IF(V2207="Returned",Q2207*R2207*10%,Q2207*R2207)</x:f>
        <x:v>204</x:v>
      </x:c>
      <x:c r="Y2207" s="93" t="n">
        <x:f>W2207-X2207</x:f>
        <x:v>152.39999999999998</x:v>
      </x:c>
      <x:c r="Z2207" s="94" t="n">
        <x:f>IFERROR(Y2207/W2207,0)</x:f>
        <x:v>0.42760942760942755</x:v>
      </x:c>
      <x:c r="AA2207" s="84" t="str">
        <x:f>PROPER(TRIM('Raw Sales'!M2207))</x:f>
        <x:v>Debit Card</x:v>
      </x:c>
      <x:c r="AB2207" s="84" t="str">
        <x:f>PROPER(TRIM('Raw Sales'!N2207))</x:f>
        <x:v>Leo Martinez</x:v>
      </x:c>
      <x:c r="AC2207" s="85" t="n">
        <x:f>'Raw Sales'!O2207</x:f>
        <x:v>45982</x:v>
      </x:c>
      <x:c r="AD2207" s="84" t="n">
        <x:f>AC2207-B2207</x:f>
        <x:v>1</x:v>
      </x:c>
      <x:c r="AE2207" s="84" t="str">
        <x:f>IF(COUNTIF($A$5:A2207,A2207)&gt;1,"Duplicate","Keep")</x:f>
        <x:v>Keep</x:v>
      </x:c>
      <x:c r="AF2207" s="84" t="str">
        <x:f>IF(OR(R2207&lt;=0,AC2207&lt;B2207,H2207="Unknown",M2207="Unknown Product"),"Review","Valid")</x:f>
        <x:v>Valid</x:v>
      </x:c>
      <x:c r="AG2207" s="84" t="n">
        <x:f>IF(AND(AE2207="Keep",AF2207="Valid"),1,0)</x:f>
        <x:v>1</x:v>
      </x:c>
      <x:c r="AH2207" s="84" t="n">
        <x:f>IF(AND(AG2207=1,OR('Dashboard'!$B$4="All",I2207='Dashboard'!$B$4),OR('Dashboard'!$E$4="All",N2207='Dashboard'!$E$4),OR('Dashboard'!$H$4="All",K2207='Dashboard'!$H$4),OR('Dashboard'!$K$4="All",C2207='Dashboard'!$K$4)),1,0)</x:f>
        <x:v>1</x:v>
      </x:c>
      <x:c r="AI2207" s="84" t="n">
        <x:f>IF(AND(AG2207=1,OR('Dashboard'!$B$4="All",I2207='Dashboard'!$B$4),OR('Dashboard'!$E$4="All",N2207='Dashboard'!$E$4),OR('Dashboard'!$H$4="All",K2207='Dashboard'!$H$4)),1,0)</x:f>
        <x:v>1</x:v>
      </x:c>
    </x:row>
    <x:row r="2208">
      <x:c r="A2208" s="84" t="str">
        <x:f>'Raw Sales'!A2208</x:f>
        <x:v>ORD-2025-01150</x:v>
      </x:c>
      <x:c r="B2208" s="85" t="n">
        <x:f>'Raw Sales'!B2208</x:f>
        <x:v>45981</x:v>
      </x:c>
      <x:c r="C2208" s="84" t="n">
        <x:f>YEAR(B2208)</x:f>
        <x:v>2025</x:v>
      </x:c>
      <x:c r="D2208" s="91" t="n">
        <x:f>DATE(YEAR(B2208),MONTH(B2208),1)</x:f>
        <x:v>45962</x:v>
      </x:c>
      <x:c r="E2208" s="84" t="str">
        <x:f>TEXT(B2208,"mmm")</x:f>
        <x:v>Nov</x:v>
      </x:c>
      <x:c r="F2208" s="84" t="str">
        <x:f>'Raw Sales'!C2208</x:f>
        <x:v>CUST-0515</x:v>
      </x:c>
      <x:c r="G2208" s="84" t="str">
        <x:f>PROPER(TRIM('Raw Sales'!D2208))</x:f>
        <x:v>William Smith</x:v>
      </x:c>
      <x:c r="H2208" s="84" t="str">
        <x:f>IF(TRIM('Raw Sales'!E2208)="","Unknown",PROPER(TRIM('Raw Sales'!E2208)))</x:f>
        <x:v>Consumer</x:v>
      </x:c>
      <x:c r="I2208" s="84" t="str">
        <x:f>PROPER(TRIM('Raw Sales'!F2208))</x:f>
        <x:v>Midwest</x:v>
      </x:c>
      <x:c r="J2208" s="84" t="str">
        <x:f>PROPER(TRIM('Raw Sales'!G2208))</x:f>
        <x:v>Detroit</x:v>
      </x:c>
      <x:c r="K2208" s="84" t="str">
        <x:f>PROPER(TRIM('Raw Sales'!H2208))</x:f>
        <x:v>Marketplace</x:v>
      </x:c>
      <x:c r="L2208" s="84" t="str">
        <x:f>'Raw Sales'!I2208</x:f>
        <x:v>FITN-001</x:v>
      </x:c>
      <x:c r="M2208" s="84" t="str">
        <x:f>IFERROR(VLOOKUP(L2208,'Reference Data'!$A$5:$F$40,2,FALSE),"Unknown Product")</x:f>
        <x:v>Yoga Mat</x:v>
      </x:c>
      <x:c r="N2208" s="84" t="str">
        <x:f>IFERROR(VLOOKUP(L2208,'Reference Data'!$A$5:$F$40,3,FALSE),"Unknown")</x:f>
        <x:v>Fitness</x:v>
      </x:c>
      <x:c r="O2208" s="84" t="str">
        <x:f>IFERROR(VLOOKUP(L2208,'Reference Data'!$A$5:$F$40,4,FALSE),"Unknown")</x:f>
        <x:v>Yoga</x:v>
      </x:c>
      <x:c r="P2208" s="92" t="n">
        <x:f>IFERROR(VLOOKUP(L2208,'Reference Data'!$A$5:$F$40,5,FALSE),0)</x:f>
        <x:v>35</x:v>
      </x:c>
      <x:c r="Q2208" s="92" t="n">
        <x:f>IFERROR(VLOOKUP(L2208,'Reference Data'!$A$5:$F$40,6,FALSE),0)</x:f>
        <x:v>13</x:v>
      </x:c>
      <x:c r="R2208" s="84" t="n">
        <x:f>'Raw Sales'!J2208</x:f>
        <x:v>3</x:v>
      </x:c>
      <x:c r="S2208" s="87" t="n">
        <x:f>'Raw Sales'!K2208</x:f>
        <x:v>0.2</x:v>
      </x:c>
      <x:c r="T2208" s="93" t="n">
        <x:f>P2208*R2208</x:f>
        <x:v>105</x:v>
      </x:c>
      <x:c r="U2208" s="93" t="n">
        <x:f>T2208*S2208</x:f>
        <x:v>21</x:v>
      </x:c>
      <x:c r="V2208" s="93" t="str">
        <x:f>PROPER(TRIM('Raw Sales'!L2208))</x:f>
        <x:v>Completed</x:v>
      </x:c>
      <x:c r="W2208" s="93" t="n">
        <x:f>IF(V2208="Returned",0,T2208-U2208)</x:f>
        <x:v>84</x:v>
      </x:c>
      <x:c r="X2208" s="93" t="n">
        <x:f>IF(V2208="Returned",Q2208*R2208*10%,Q2208*R2208)</x:f>
        <x:v>39</x:v>
      </x:c>
      <x:c r="Y2208" s="93" t="n">
        <x:f>W2208-X2208</x:f>
        <x:v>45</x:v>
      </x:c>
      <x:c r="Z2208" s="94" t="n">
        <x:f>IFERROR(Y2208/W2208,0)</x:f>
        <x:v>0.5357142857142857</x:v>
      </x:c>
      <x:c r="AA2208" s="84" t="str">
        <x:f>PROPER(TRIM('Raw Sales'!M2208))</x:f>
        <x:v>Credit Card</x:v>
      </x:c>
      <x:c r="AB2208" s="84" t="str">
        <x:f>PROPER(TRIM('Raw Sales'!N2208))</x:f>
        <x:v>Lucas Grant</x:v>
      </x:c>
      <x:c r="AC2208" s="85" t="n">
        <x:f>'Raw Sales'!O2208</x:f>
        <x:v>45986</x:v>
      </x:c>
      <x:c r="AD2208" s="84" t="n">
        <x:f>AC2208-B2208</x:f>
        <x:v>5</x:v>
      </x:c>
      <x:c r="AE2208" s="84" t="str">
        <x:f>IF(COUNTIF($A$5:A2208,A2208)&gt;1,"Duplicate","Keep")</x:f>
        <x:v>Keep</x:v>
      </x:c>
      <x:c r="AF2208" s="84" t="str">
        <x:f>IF(OR(R2208&lt;=0,AC2208&lt;B2208,H2208="Unknown",M2208="Unknown Product"),"Review","Valid")</x:f>
        <x:v>Valid</x:v>
      </x:c>
      <x:c r="AG2208" s="84" t="n">
        <x:f>IF(AND(AE2208="Keep",AF2208="Valid"),1,0)</x:f>
        <x:v>1</x:v>
      </x:c>
      <x:c r="AH2208" s="84" t="n">
        <x:f>IF(AND(AG2208=1,OR('Dashboard'!$B$4="All",I2208='Dashboard'!$B$4),OR('Dashboard'!$E$4="All",N2208='Dashboard'!$E$4),OR('Dashboard'!$H$4="All",K2208='Dashboard'!$H$4),OR('Dashboard'!$K$4="All",C2208='Dashboard'!$K$4)),1,0)</x:f>
        <x:v>1</x:v>
      </x:c>
      <x:c r="AI2208" s="84" t="n">
        <x:f>IF(AND(AG2208=1,OR('Dashboard'!$B$4="All",I2208='Dashboard'!$B$4),OR('Dashboard'!$E$4="All",N2208='Dashboard'!$E$4),OR('Dashboard'!$H$4="All",K2208='Dashboard'!$H$4)),1,0)</x:f>
        <x:v>1</x:v>
      </x:c>
    </x:row>
    <x:row r="2209">
      <x:c r="A2209" s="84" t="str">
        <x:f>'Raw Sales'!A2209</x:f>
        <x:v>ORD-2025-00089</x:v>
      </x:c>
      <x:c r="B2209" s="85" t="n">
        <x:f>'Raw Sales'!B2209</x:f>
        <x:v>45982</x:v>
      </x:c>
      <x:c r="C2209" s="84" t="n">
        <x:f>YEAR(B2209)</x:f>
        <x:v>2025</x:v>
      </x:c>
      <x:c r="D2209" s="91" t="n">
        <x:f>DATE(YEAR(B2209),MONTH(B2209),1)</x:f>
        <x:v>45962</x:v>
      </x:c>
      <x:c r="E2209" s="84" t="str">
        <x:f>TEXT(B2209,"mmm")</x:f>
        <x:v>Nov</x:v>
      </x:c>
      <x:c r="F2209" s="84" t="str">
        <x:f>'Raw Sales'!C2209</x:f>
        <x:v>CUST-0350</x:v>
      </x:c>
      <x:c r="G2209" s="84" t="str">
        <x:f>PROPER(TRIM('Raw Sales'!D2209))</x:f>
        <x:v>Victoria Lewis</x:v>
      </x:c>
      <x:c r="H2209" s="84" t="str">
        <x:f>IF(TRIM('Raw Sales'!E2209)="","Unknown",PROPER(TRIM('Raw Sales'!E2209)))</x:f>
        <x:v>Consumer</x:v>
      </x:c>
      <x:c r="I2209" s="84" t="str">
        <x:f>PROPER(TRIM('Raw Sales'!F2209))</x:f>
        <x:v>Northeast</x:v>
      </x:c>
      <x:c r="J2209" s="84" t="str">
        <x:f>PROPER(TRIM('Raw Sales'!G2209))</x:f>
        <x:v>Philadelphia</x:v>
      </x:c>
      <x:c r="K2209" s="84" t="str">
        <x:f>PROPER(TRIM('Raw Sales'!H2209))</x:f>
        <x:v>Marketplace</x:v>
      </x:c>
      <x:c r="L2209" s="84" t="str">
        <x:f>'Raw Sales'!I2209</x:f>
        <x:v>ELEC-005</x:v>
      </x:c>
      <x:c r="M2209" s="84" t="str">
        <x:f>IFERROR(VLOOKUP(L2209,'Reference Data'!$A$5:$F$40,2,FALSE),"Unknown Product")</x:f>
        <x:v>HD Webcam</x:v>
      </x:c>
      <x:c r="N2209" s="84" t="str">
        <x:f>IFERROR(VLOOKUP(L2209,'Reference Data'!$A$5:$F$40,3,FALSE),"Unknown")</x:f>
        <x:v>Electronics</x:v>
      </x:c>
      <x:c r="O2209" s="84" t="str">
        <x:f>IFERROR(VLOOKUP(L2209,'Reference Data'!$A$5:$F$40,4,FALSE),"Unknown")</x:f>
        <x:v>Computer Accessories</x:v>
      </x:c>
      <x:c r="P2209" s="92" t="n">
        <x:f>IFERROR(VLOOKUP(L2209,'Reference Data'!$A$5:$F$40,5,FALSE),0)</x:f>
        <x:v>79</x:v>
      </x:c>
      <x:c r="Q2209" s="92" t="n">
        <x:f>IFERROR(VLOOKUP(L2209,'Reference Data'!$A$5:$F$40,6,FALSE),0)</x:f>
        <x:v>37</x:v>
      </x:c>
      <x:c r="R2209" s="84" t="n">
        <x:f>'Raw Sales'!J2209</x:f>
        <x:v>1</x:v>
      </x:c>
      <x:c r="S2209" s="87" t="n">
        <x:f>'Raw Sales'!K2209</x:f>
        <x:v>0.2</x:v>
      </x:c>
      <x:c r="T2209" s="93" t="n">
        <x:f>P2209*R2209</x:f>
        <x:v>79</x:v>
      </x:c>
      <x:c r="U2209" s="93" t="n">
        <x:f>T2209*S2209</x:f>
        <x:v>15.8</x:v>
      </x:c>
      <x:c r="V2209" s="93" t="str">
        <x:f>PROPER(TRIM('Raw Sales'!L2209))</x:f>
        <x:v>Completed</x:v>
      </x:c>
      <x:c r="W2209" s="93" t="n">
        <x:f>IF(V2209="Returned",0,T2209-U2209)</x:f>
        <x:v>63.2</x:v>
      </x:c>
      <x:c r="X2209" s="93" t="n">
        <x:f>IF(V2209="Returned",Q2209*R2209*10%,Q2209*R2209)</x:f>
        <x:v>37</x:v>
      </x:c>
      <x:c r="Y2209" s="93" t="n">
        <x:f>W2209-X2209</x:f>
        <x:v>26.200000000000003</x:v>
      </x:c>
      <x:c r="Z2209" s="94" t="n">
        <x:f>IFERROR(Y2209/W2209,0)</x:f>
        <x:v>0.4145569620253165</x:v>
      </x:c>
      <x:c r="AA2209" s="84" t="str">
        <x:f>PROPER(TRIM('Raw Sales'!M2209))</x:f>
        <x:v>Debit Card</x:v>
      </x:c>
      <x:c r="AB2209" s="84" t="str">
        <x:f>PROPER(TRIM('Raw Sales'!N2209))</x:f>
        <x:v>Sofia Bennett</x:v>
      </x:c>
      <x:c r="AC2209" s="85" t="n">
        <x:f>'Raw Sales'!O2209</x:f>
        <x:v>45986</x:v>
      </x:c>
      <x:c r="AD2209" s="84" t="n">
        <x:f>AC2209-B2209</x:f>
        <x:v>4</x:v>
      </x:c>
      <x:c r="AE2209" s="84" t="str">
        <x:f>IF(COUNTIF($A$5:A2209,A2209)&gt;1,"Duplicate","Keep")</x:f>
        <x:v>Keep</x:v>
      </x:c>
      <x:c r="AF2209" s="84" t="str">
        <x:f>IF(OR(R2209&lt;=0,AC2209&lt;B2209,H2209="Unknown",M2209="Unknown Product"),"Review","Valid")</x:f>
        <x:v>Valid</x:v>
      </x:c>
      <x:c r="AG2209" s="84" t="n">
        <x:f>IF(AND(AE2209="Keep",AF2209="Valid"),1,0)</x:f>
        <x:v>1</x:v>
      </x:c>
      <x:c r="AH2209" s="84" t="n">
        <x:f>IF(AND(AG2209=1,OR('Dashboard'!$B$4="All",I2209='Dashboard'!$B$4),OR('Dashboard'!$E$4="All",N2209='Dashboard'!$E$4),OR('Dashboard'!$H$4="All",K2209='Dashboard'!$H$4),OR('Dashboard'!$K$4="All",C2209='Dashboard'!$K$4)),1,0)</x:f>
        <x:v>1</x:v>
      </x:c>
      <x:c r="AI2209" s="84" t="n">
        <x:f>IF(AND(AG2209=1,OR('Dashboard'!$B$4="All",I2209='Dashboard'!$B$4),OR('Dashboard'!$E$4="All",N2209='Dashboard'!$E$4),OR('Dashboard'!$H$4="All",K2209='Dashboard'!$H$4)),1,0)</x:f>
        <x:v>1</x:v>
      </x:c>
    </x:row>
    <x:row r="2210">
      <x:c r="A2210" s="84" t="str">
        <x:f>'Raw Sales'!A2210</x:f>
        <x:v>ORD-2025-00112</x:v>
      </x:c>
      <x:c r="B2210" s="85" t="n">
        <x:f>'Raw Sales'!B2210</x:f>
        <x:v>45982</x:v>
      </x:c>
      <x:c r="C2210" s="84" t="n">
        <x:f>YEAR(B2210)</x:f>
        <x:v>2025</x:v>
      </x:c>
      <x:c r="D2210" s="91" t="n">
        <x:f>DATE(YEAR(B2210),MONTH(B2210),1)</x:f>
        <x:v>45962</x:v>
      </x:c>
      <x:c r="E2210" s="84" t="str">
        <x:f>TEXT(B2210,"mmm")</x:f>
        <x:v>Nov</x:v>
      </x:c>
      <x:c r="F2210" s="84" t="str">
        <x:f>'Raw Sales'!C2210</x:f>
        <x:v>CUST-0360</x:v>
      </x:c>
      <x:c r="G2210" s="84" t="str">
        <x:f>PROPER(TRIM('Raw Sales'!D2210))</x:f>
        <x:v>Elena Taylor</x:v>
      </x:c>
      <x:c r="H2210" s="84" t="str">
        <x:f>IF(TRIM('Raw Sales'!E2210)="","Unknown",PROPER(TRIM('Raw Sales'!E2210)))</x:f>
        <x:v>Corporate</x:v>
      </x:c>
      <x:c r="I2210" s="84" t="str">
        <x:f>PROPER(TRIM('Raw Sales'!F2210))</x:f>
        <x:v>Northeast</x:v>
      </x:c>
      <x:c r="J2210" s="84" t="str">
        <x:f>PROPER(TRIM('Raw Sales'!G2210))</x:f>
        <x:v>New York</x:v>
      </x:c>
      <x:c r="K2210" s="84" t="str">
        <x:f>PROPER(TRIM('Raw Sales'!H2210))</x:f>
        <x:v>Marketplace</x:v>
      </x:c>
      <x:c r="L2210" s="84" t="str">
        <x:f>'Raw Sales'!I2210</x:f>
        <x:v>HOME-002</x:v>
      </x:c>
      <x:c r="M2210" s="84" t="str">
        <x:f>IFERROR(VLOOKUP(L2210,'Reference Data'!$A$5:$F$40,2,FALSE),"Unknown Product")</x:f>
        <x:v>Electric Kettle</x:v>
      </x:c>
      <x:c r="N2210" s="84" t="str">
        <x:f>IFERROR(VLOOKUP(L2210,'Reference Data'!$A$5:$F$40,3,FALSE),"Unknown")</x:f>
        <x:v>Home &amp; Kitchen</x:v>
      </x:c>
      <x:c r="O2210" s="84" t="str">
        <x:f>IFERROR(VLOOKUP(L2210,'Reference Data'!$A$5:$F$40,4,FALSE),"Unknown")</x:f>
        <x:v>Small Appliances</x:v>
      </x:c>
      <x:c r="P2210" s="92" t="n">
        <x:f>IFERROR(VLOOKUP(L2210,'Reference Data'!$A$5:$F$40,5,FALSE),0)</x:f>
        <x:v>49</x:v>
      </x:c>
      <x:c r="Q2210" s="92" t="n">
        <x:f>IFERROR(VLOOKUP(L2210,'Reference Data'!$A$5:$F$40,6,FALSE),0)</x:f>
        <x:v>23</x:v>
      </x:c>
      <x:c r="R2210" s="84" t="n">
        <x:f>'Raw Sales'!J2210</x:f>
        <x:v>2</x:v>
      </x:c>
      <x:c r="S2210" s="87" t="n">
        <x:f>'Raw Sales'!K2210</x:f>
        <x:v>0</x:v>
      </x:c>
      <x:c r="T2210" s="93" t="n">
        <x:f>P2210*R2210</x:f>
        <x:v>98</x:v>
      </x:c>
      <x:c r="U2210" s="93" t="n">
        <x:f>T2210*S2210</x:f>
        <x:v>0</x:v>
      </x:c>
      <x:c r="V2210" s="93" t="str">
        <x:f>PROPER(TRIM('Raw Sales'!L2210))</x:f>
        <x:v>Completed</x:v>
      </x:c>
      <x:c r="W2210" s="93" t="n">
        <x:f>IF(V2210="Returned",0,T2210-U2210)</x:f>
        <x:v>98</x:v>
      </x:c>
      <x:c r="X2210" s="93" t="n">
        <x:f>IF(V2210="Returned",Q2210*R2210*10%,Q2210*R2210)</x:f>
        <x:v>46</x:v>
      </x:c>
      <x:c r="Y2210" s="93" t="n">
        <x:f>W2210-X2210</x:f>
        <x:v>52</x:v>
      </x:c>
      <x:c r="Z2210" s="94" t="n">
        <x:f>IFERROR(Y2210/W2210,0)</x:f>
        <x:v>0.5306122448979592</x:v>
      </x:c>
      <x:c r="AA2210" s="84" t="str">
        <x:f>PROPER(TRIM('Raw Sales'!M2210))</x:f>
        <x:v>Credit Card</x:v>
      </x:c>
      <x:c r="AB2210" s="84" t="str">
        <x:f>PROPER(TRIM('Raw Sales'!N2210))</x:f>
        <x:v>Sofia Bennett</x:v>
      </x:c>
      <x:c r="AC2210" s="85" t="n">
        <x:f>'Raw Sales'!O2210</x:f>
        <x:v>45988</x:v>
      </x:c>
      <x:c r="AD2210" s="84" t="n">
        <x:f>AC2210-B2210</x:f>
        <x:v>6</x:v>
      </x:c>
      <x:c r="AE2210" s="84" t="str">
        <x:f>IF(COUNTIF($A$5:A2210,A2210)&gt;1,"Duplicate","Keep")</x:f>
        <x:v>Keep</x:v>
      </x:c>
      <x:c r="AF2210" s="84" t="str">
        <x:f>IF(OR(R2210&lt;=0,AC2210&lt;B2210,H2210="Unknown",M2210="Unknown Product"),"Review","Valid")</x:f>
        <x:v>Valid</x:v>
      </x:c>
      <x:c r="AG2210" s="84" t="n">
        <x:f>IF(AND(AE2210="Keep",AF2210="Valid"),1,0)</x:f>
        <x:v>1</x:v>
      </x:c>
      <x:c r="AH2210" s="84" t="n">
        <x:f>IF(AND(AG2210=1,OR('Dashboard'!$B$4="All",I2210='Dashboard'!$B$4),OR('Dashboard'!$E$4="All",N2210='Dashboard'!$E$4),OR('Dashboard'!$H$4="All",K2210='Dashboard'!$H$4),OR('Dashboard'!$K$4="All",C2210='Dashboard'!$K$4)),1,0)</x:f>
        <x:v>1</x:v>
      </x:c>
      <x:c r="AI2210" s="84" t="n">
        <x:f>IF(AND(AG2210=1,OR('Dashboard'!$B$4="All",I2210='Dashboard'!$B$4),OR('Dashboard'!$E$4="All",N2210='Dashboard'!$E$4),OR('Dashboard'!$H$4="All",K2210='Dashboard'!$H$4)),1,0)</x:f>
        <x:v>1</x:v>
      </x:c>
    </x:row>
    <x:row r="2211">
      <x:c r="A2211" s="84" t="str">
        <x:f>'Raw Sales'!A2211</x:f>
        <x:v>ORD-2025-00820</x:v>
      </x:c>
      <x:c r="B2211" s="85" t="n">
        <x:f>'Raw Sales'!B2211</x:f>
        <x:v>45982</x:v>
      </x:c>
      <x:c r="C2211" s="84" t="n">
        <x:f>YEAR(B2211)</x:f>
        <x:v>2025</x:v>
      </x:c>
      <x:c r="D2211" s="91" t="n">
        <x:f>DATE(YEAR(B2211),MONTH(B2211),1)</x:f>
        <x:v>45962</x:v>
      </x:c>
      <x:c r="E2211" s="84" t="str">
        <x:f>TEXT(B2211,"mmm")</x:f>
        <x:v>Nov</x:v>
      </x:c>
      <x:c r="F2211" s="84" t="str">
        <x:f>'Raw Sales'!C2211</x:f>
        <x:v>CUST-0110</x:v>
      </x:c>
      <x:c r="G2211" s="84" t="str">
        <x:f>PROPER(TRIM('Raw Sales'!D2211))</x:f>
        <x:v>Chloe Hall</x:v>
      </x:c>
      <x:c r="H2211" s="84" t="str">
        <x:f>IF(TRIM('Raw Sales'!E2211)="","Unknown",PROPER(TRIM('Raw Sales'!E2211)))</x:f>
        <x:v>Corporate</x:v>
      </x:c>
      <x:c r="I2211" s="84" t="str">
        <x:f>PROPER(TRIM('Raw Sales'!F2211))</x:f>
        <x:v>Southeast</x:v>
      </x:c>
      <x:c r="J2211" s="84" t="str">
        <x:f>PROPER(TRIM('Raw Sales'!G2211))</x:f>
        <x:v>Atlanta</x:v>
      </x:c>
      <x:c r="K2211" s="84" t="str">
        <x:f>PROPER(TRIM('Raw Sales'!H2211))</x:f>
        <x:v>Retail Store</x:v>
      </x:c>
      <x:c r="L2211" s="84" t="str">
        <x:f>'Raw Sales'!I2211</x:f>
        <x:v>HOME-002</x:v>
      </x:c>
      <x:c r="M2211" s="84" t="str">
        <x:f>IFERROR(VLOOKUP(L2211,'Reference Data'!$A$5:$F$40,2,FALSE),"Unknown Product")</x:f>
        <x:v>Electric Kettle</x:v>
      </x:c>
      <x:c r="N2211" s="84" t="str">
        <x:f>IFERROR(VLOOKUP(L2211,'Reference Data'!$A$5:$F$40,3,FALSE),"Unknown")</x:f>
        <x:v>Home &amp; Kitchen</x:v>
      </x:c>
      <x:c r="O2211" s="84" t="str">
        <x:f>IFERROR(VLOOKUP(L2211,'Reference Data'!$A$5:$F$40,4,FALSE),"Unknown")</x:f>
        <x:v>Small Appliances</x:v>
      </x:c>
      <x:c r="P2211" s="92" t="n">
        <x:f>IFERROR(VLOOKUP(L2211,'Reference Data'!$A$5:$F$40,5,FALSE),0)</x:f>
        <x:v>49</x:v>
      </x:c>
      <x:c r="Q2211" s="92" t="n">
        <x:f>IFERROR(VLOOKUP(L2211,'Reference Data'!$A$5:$F$40,6,FALSE),0)</x:f>
        <x:v>23</x:v>
      </x:c>
      <x:c r="R2211" s="84" t="n">
        <x:f>'Raw Sales'!J2211</x:f>
        <x:v>2</x:v>
      </x:c>
      <x:c r="S2211" s="87" t="n">
        <x:f>'Raw Sales'!K2211</x:f>
        <x:v>0.15</x:v>
      </x:c>
      <x:c r="T2211" s="93" t="n">
        <x:f>P2211*R2211</x:f>
        <x:v>98</x:v>
      </x:c>
      <x:c r="U2211" s="93" t="n">
        <x:f>T2211*S2211</x:f>
        <x:v>14.7</x:v>
      </x:c>
      <x:c r="V2211" s="93" t="str">
        <x:f>PROPER(TRIM('Raw Sales'!L2211))</x:f>
        <x:v>Completed</x:v>
      </x:c>
      <x:c r="W2211" s="93" t="n">
        <x:f>IF(V2211="Returned",0,T2211-U2211)</x:f>
        <x:v>83.3</x:v>
      </x:c>
      <x:c r="X2211" s="93" t="n">
        <x:f>IF(V2211="Returned",Q2211*R2211*10%,Q2211*R2211)</x:f>
        <x:v>46</x:v>
      </x:c>
      <x:c r="Y2211" s="93" t="n">
        <x:f>W2211-X2211</x:f>
        <x:v>37.3</x:v>
      </x:c>
      <x:c r="Z2211" s="94" t="n">
        <x:f>IFERROR(Y2211/W2211,0)</x:f>
        <x:v>0.44777911164465783</x:v>
      </x:c>
      <x:c r="AA2211" s="84" t="str">
        <x:f>PROPER(TRIM('Raw Sales'!M2211))</x:f>
        <x:v>Debit Card</x:v>
      </x:c>
      <x:c r="AB2211" s="84" t="str">
        <x:f>PROPER(TRIM('Raw Sales'!N2211))</x:f>
        <x:v>Liam Parker</x:v>
      </x:c>
      <x:c r="AC2211" s="85" t="n">
        <x:f>'Raw Sales'!O2211</x:f>
        <x:v>45982</x:v>
      </x:c>
      <x:c r="AD2211" s="84" t="n">
        <x:f>AC2211-B2211</x:f>
        <x:v>0</x:v>
      </x:c>
      <x:c r="AE2211" s="84" t="str">
        <x:f>IF(COUNTIF($A$5:A2211,A2211)&gt;1,"Duplicate","Keep")</x:f>
        <x:v>Keep</x:v>
      </x:c>
      <x:c r="AF2211" s="84" t="str">
        <x:f>IF(OR(R2211&lt;=0,AC2211&lt;B2211,H2211="Unknown",M2211="Unknown Product"),"Review","Valid")</x:f>
        <x:v>Valid</x:v>
      </x:c>
      <x:c r="AG2211" s="84" t="n">
        <x:f>IF(AND(AE2211="Keep",AF2211="Valid"),1,0)</x:f>
        <x:v>1</x:v>
      </x:c>
      <x:c r="AH2211" s="84" t="n">
        <x:f>IF(AND(AG2211=1,OR('Dashboard'!$B$4="All",I2211='Dashboard'!$B$4),OR('Dashboard'!$E$4="All",N2211='Dashboard'!$E$4),OR('Dashboard'!$H$4="All",K2211='Dashboard'!$H$4),OR('Dashboard'!$K$4="All",C2211='Dashboard'!$K$4)),1,0)</x:f>
        <x:v>1</x:v>
      </x:c>
      <x:c r="AI2211" s="84" t="n">
        <x:f>IF(AND(AG2211=1,OR('Dashboard'!$B$4="All",I2211='Dashboard'!$B$4),OR('Dashboard'!$E$4="All",N2211='Dashboard'!$E$4),OR('Dashboard'!$H$4="All",K2211='Dashboard'!$H$4)),1,0)</x:f>
        <x:v>1</x:v>
      </x:c>
    </x:row>
    <x:row r="2212">
      <x:c r="A2212" s="84" t="str">
        <x:f>'Raw Sales'!A2212</x:f>
        <x:v>ORD-2025-00956</x:v>
      </x:c>
      <x:c r="B2212" s="85" t="n">
        <x:f>'Raw Sales'!B2212</x:f>
        <x:v>45982</x:v>
      </x:c>
      <x:c r="C2212" s="84" t="n">
        <x:f>YEAR(B2212)</x:f>
        <x:v>2025</x:v>
      </x:c>
      <x:c r="D2212" s="91" t="n">
        <x:f>DATE(YEAR(B2212),MONTH(B2212),1)</x:f>
        <x:v>45962</x:v>
      </x:c>
      <x:c r="E2212" s="84" t="str">
        <x:f>TEXT(B2212,"mmm")</x:f>
        <x:v>Nov</x:v>
      </x:c>
      <x:c r="F2212" s="84" t="str">
        <x:f>'Raw Sales'!C2212</x:f>
        <x:v>CUST-0102</x:v>
      </x:c>
      <x:c r="G2212" s="84" t="str">
        <x:f>PROPER(TRIM('Raw Sales'!D2212))</x:f>
        <x:v>Jonah Taylor</x:v>
      </x:c>
      <x:c r="H2212" s="84" t="str">
        <x:f>IF(TRIM('Raw Sales'!E2212)="","Unknown",PROPER(TRIM('Raw Sales'!E2212)))</x:f>
        <x:v>Corporate</x:v>
      </x:c>
      <x:c r="I2212" s="84" t="str">
        <x:f>PROPER(TRIM('Raw Sales'!F2212))</x:f>
        <x:v>Midwest</x:v>
      </x:c>
      <x:c r="J2212" s="84" t="str">
        <x:f>PROPER(TRIM('Raw Sales'!G2212))</x:f>
        <x:v>Columbus</x:v>
      </x:c>
      <x:c r="K2212" s="84" t="str">
        <x:f>PROPER(TRIM('Raw Sales'!H2212))</x:f>
        <x:v>Marketplace</x:v>
      </x:c>
      <x:c r="L2212" s="84" t="str">
        <x:f>'Raw Sales'!I2212</x:f>
        <x:v>ELEC-001</x:v>
      </x:c>
      <x:c r="M2212" s="84" t="str">
        <x:f>IFERROR(VLOOKUP(L2212,'Reference Data'!$A$5:$F$40,2,FALSE),"Unknown Product")</x:f>
        <x:v>Wireless Earbuds</x:v>
      </x:c>
      <x:c r="N2212" s="84" t="str">
        <x:f>IFERROR(VLOOKUP(L2212,'Reference Data'!$A$5:$F$40,3,FALSE),"Unknown")</x:f>
        <x:v>Electronics</x:v>
      </x:c>
      <x:c r="O2212" s="84" t="str">
        <x:f>IFERROR(VLOOKUP(L2212,'Reference Data'!$A$5:$F$40,4,FALSE),"Unknown")</x:f>
        <x:v>Audio</x:v>
      </x:c>
      <x:c r="P2212" s="92" t="n">
        <x:f>IFERROR(VLOOKUP(L2212,'Reference Data'!$A$5:$F$40,5,FALSE),0)</x:f>
        <x:v>69</x:v>
      </x:c>
      <x:c r="Q2212" s="92" t="n">
        <x:f>IFERROR(VLOOKUP(L2212,'Reference Data'!$A$5:$F$40,6,FALSE),0)</x:f>
        <x:v>36</x:v>
      </x:c>
      <x:c r="R2212" s="84" t="n">
        <x:f>'Raw Sales'!J2212</x:f>
        <x:v>2</x:v>
      </x:c>
      <x:c r="S2212" s="87" t="n">
        <x:f>'Raw Sales'!K2212</x:f>
        <x:v>0.2</x:v>
      </x:c>
      <x:c r="T2212" s="93" t="n">
        <x:f>P2212*R2212</x:f>
        <x:v>138</x:v>
      </x:c>
      <x:c r="U2212" s="93" t="n">
        <x:f>T2212*S2212</x:f>
        <x:v>27.6</x:v>
      </x:c>
      <x:c r="V2212" s="93" t="str">
        <x:f>PROPER(TRIM('Raw Sales'!L2212))</x:f>
        <x:v>Completed</x:v>
      </x:c>
      <x:c r="W2212" s="93" t="n">
        <x:f>IF(V2212="Returned",0,T2212-U2212)</x:f>
        <x:v>110.4</x:v>
      </x:c>
      <x:c r="X2212" s="93" t="n">
        <x:f>IF(V2212="Returned",Q2212*R2212*10%,Q2212*R2212)</x:f>
        <x:v>72</x:v>
      </x:c>
      <x:c r="Y2212" s="93" t="n">
        <x:f>W2212-X2212</x:f>
        <x:v>38.400000000000006</x:v>
      </x:c>
      <x:c r="Z2212" s="94" t="n">
        <x:f>IFERROR(Y2212/W2212,0)</x:f>
        <x:v>0.3478260869565218</x:v>
      </x:c>
      <x:c r="AA2212" s="84" t="str">
        <x:f>PROPER(TRIM('Raw Sales'!M2212))</x:f>
        <x:v>Credit Card</x:v>
      </x:c>
      <x:c r="AB2212" s="84" t="str">
        <x:f>PROPER(TRIM('Raw Sales'!N2212))</x:f>
        <x:v>Lucas Grant</x:v>
      </x:c>
      <x:c r="AC2212" s="85" t="n">
        <x:f>'Raw Sales'!O2212</x:f>
        <x:v>45985</x:v>
      </x:c>
      <x:c r="AD2212" s="84" t="n">
        <x:f>AC2212-B2212</x:f>
        <x:v>3</x:v>
      </x:c>
      <x:c r="AE2212" s="84" t="str">
        <x:f>IF(COUNTIF($A$5:A2212,A2212)&gt;1,"Duplicate","Keep")</x:f>
        <x:v>Keep</x:v>
      </x:c>
      <x:c r="AF2212" s="84" t="str">
        <x:f>IF(OR(R2212&lt;=0,AC2212&lt;B2212,H2212="Unknown",M2212="Unknown Product"),"Review","Valid")</x:f>
        <x:v>Valid</x:v>
      </x:c>
      <x:c r="AG2212" s="84" t="n">
        <x:f>IF(AND(AE2212="Keep",AF2212="Valid"),1,0)</x:f>
        <x:v>1</x:v>
      </x:c>
      <x:c r="AH2212" s="84" t="n">
        <x:f>IF(AND(AG2212=1,OR('Dashboard'!$B$4="All",I2212='Dashboard'!$B$4),OR('Dashboard'!$E$4="All",N2212='Dashboard'!$E$4),OR('Dashboard'!$H$4="All",K2212='Dashboard'!$H$4),OR('Dashboard'!$K$4="All",C2212='Dashboard'!$K$4)),1,0)</x:f>
        <x:v>1</x:v>
      </x:c>
      <x:c r="AI2212" s="84" t="n">
        <x:f>IF(AND(AG2212=1,OR('Dashboard'!$B$4="All",I2212='Dashboard'!$B$4),OR('Dashboard'!$E$4="All",N2212='Dashboard'!$E$4),OR('Dashboard'!$H$4="All",K2212='Dashboard'!$H$4)),1,0)</x:f>
        <x:v>1</x:v>
      </x:c>
    </x:row>
    <x:row r="2213">
      <x:c r="A2213" s="84" t="str">
        <x:f>'Raw Sales'!A2213</x:f>
        <x:v>ORD-2025-01196</x:v>
      </x:c>
      <x:c r="B2213" s="85" t="n">
        <x:f>'Raw Sales'!B2213</x:f>
        <x:v>45982</x:v>
      </x:c>
      <x:c r="C2213" s="84" t="n">
        <x:f>YEAR(B2213)</x:f>
        <x:v>2025</x:v>
      </x:c>
      <x:c r="D2213" s="91" t="n">
        <x:f>DATE(YEAR(B2213),MONTH(B2213),1)</x:f>
        <x:v>45962</x:v>
      </x:c>
      <x:c r="E2213" s="84" t="str">
        <x:f>TEXT(B2213,"mmm")</x:f>
        <x:v>Nov</x:v>
      </x:c>
      <x:c r="F2213" s="84" t="str">
        <x:f>'Raw Sales'!C2213</x:f>
        <x:v>CUST-0178</x:v>
      </x:c>
      <x:c r="G2213" s="84" t="str">
        <x:f>PROPER(TRIM('Raw Sales'!D2213))</x:f>
        <x:v>Jasmine Baker</x:v>
      </x:c>
      <x:c r="H2213" s="84" t="str">
        <x:f>IF(TRIM('Raw Sales'!E2213)="","Unknown",PROPER(TRIM('Raw Sales'!E2213)))</x:f>
        <x:v>Corporate</x:v>
      </x:c>
      <x:c r="I2213" s="84" t="str">
        <x:f>PROPER(TRIM('Raw Sales'!F2213))</x:f>
        <x:v>Northeast</x:v>
      </x:c>
      <x:c r="J2213" s="84" t="str">
        <x:f>PROPER(TRIM('Raw Sales'!G2213))</x:f>
        <x:v>New York</x:v>
      </x:c>
      <x:c r="K2213" s="84" t="str">
        <x:f>PROPER(TRIM('Raw Sales'!H2213))</x:f>
        <x:v>Retail Store</x:v>
      </x:c>
      <x:c r="L2213" s="84" t="str">
        <x:f>'Raw Sales'!I2213</x:f>
        <x:v>OFFC-004</x:v>
      </x:c>
      <x:c r="M2213" s="84" t="str">
        <x:f>IFERROR(VLOOKUP(L2213,'Reference Data'!$A$5:$F$40,2,FALSE),"Unknown Product")</x:f>
        <x:v>Premium Notebook Pack</x:v>
      </x:c>
      <x:c r="N2213" s="84" t="str">
        <x:f>IFERROR(VLOOKUP(L2213,'Reference Data'!$A$5:$F$40,3,FALSE),"Unknown")</x:f>
        <x:v>Office</x:v>
      </x:c>
      <x:c r="O2213" s="84" t="str">
        <x:f>IFERROR(VLOOKUP(L2213,'Reference Data'!$A$5:$F$40,4,FALSE),"Unknown")</x:f>
        <x:v>Stationery</x:v>
      </x:c>
      <x:c r="P2213" s="92" t="n">
        <x:f>IFERROR(VLOOKUP(L2213,'Reference Data'!$A$5:$F$40,5,FALSE),0)</x:f>
        <x:v>18</x:v>
      </x:c>
      <x:c r="Q2213" s="92" t="n">
        <x:f>IFERROR(VLOOKUP(L2213,'Reference Data'!$A$5:$F$40,6,FALSE),0)</x:f>
        <x:v>6.5</x:v>
      </x:c>
      <x:c r="R2213" s="84" t="n">
        <x:f>'Raw Sales'!J2213</x:f>
        <x:v>3</x:v>
      </x:c>
      <x:c r="S2213" s="87" t="n">
        <x:f>'Raw Sales'!K2213</x:f>
        <x:v>0</x:v>
      </x:c>
      <x:c r="T2213" s="93" t="n">
        <x:f>P2213*R2213</x:f>
        <x:v>54</x:v>
      </x:c>
      <x:c r="U2213" s="93" t="n">
        <x:f>T2213*S2213</x:f>
        <x:v>0</x:v>
      </x:c>
      <x:c r="V2213" s="93" t="str">
        <x:f>PROPER(TRIM('Raw Sales'!L2213))</x:f>
        <x:v>Completed</x:v>
      </x:c>
      <x:c r="W2213" s="93" t="n">
        <x:f>IF(V2213="Returned",0,T2213-U2213)</x:f>
        <x:v>54</x:v>
      </x:c>
      <x:c r="X2213" s="93" t="n">
        <x:f>IF(V2213="Returned",Q2213*R2213*10%,Q2213*R2213)</x:f>
        <x:v>19.5</x:v>
      </x:c>
      <x:c r="Y2213" s="93" t="n">
        <x:f>W2213-X2213</x:f>
        <x:v>34.5</x:v>
      </x:c>
      <x:c r="Z2213" s="94" t="n">
        <x:f>IFERROR(Y2213/W2213,0)</x:f>
        <x:v>0.6388888888888888</x:v>
      </x:c>
      <x:c r="AA2213" s="84" t="str">
        <x:f>PROPER(TRIM('Raw Sales'!M2213))</x:f>
        <x:v>Debit Card</x:v>
      </x:c>
      <x:c r="AB2213" s="84" t="str">
        <x:f>PROPER(TRIM('Raw Sales'!N2213))</x:f>
        <x:v>Maya Brooks</x:v>
      </x:c>
      <x:c r="AC2213" s="85" t="n">
        <x:f>'Raw Sales'!O2213</x:f>
        <x:v>45982</x:v>
      </x:c>
      <x:c r="AD2213" s="84" t="n">
        <x:f>AC2213-B2213</x:f>
        <x:v>0</x:v>
      </x:c>
      <x:c r="AE2213" s="84" t="str">
        <x:f>IF(COUNTIF($A$5:A2213,A2213)&gt;1,"Duplicate","Keep")</x:f>
        <x:v>Keep</x:v>
      </x:c>
      <x:c r="AF2213" s="84" t="str">
        <x:f>IF(OR(R2213&lt;=0,AC2213&lt;B2213,H2213="Unknown",M2213="Unknown Product"),"Review","Valid")</x:f>
        <x:v>Valid</x:v>
      </x:c>
      <x:c r="AG2213" s="84" t="n">
        <x:f>IF(AND(AE2213="Keep",AF2213="Valid"),1,0)</x:f>
        <x:v>1</x:v>
      </x:c>
      <x:c r="AH2213" s="84" t="n">
        <x:f>IF(AND(AG2213=1,OR('Dashboard'!$B$4="All",I2213='Dashboard'!$B$4),OR('Dashboard'!$E$4="All",N2213='Dashboard'!$E$4),OR('Dashboard'!$H$4="All",K2213='Dashboard'!$H$4),OR('Dashboard'!$K$4="All",C2213='Dashboard'!$K$4)),1,0)</x:f>
        <x:v>1</x:v>
      </x:c>
      <x:c r="AI2213" s="84" t="n">
        <x:f>IF(AND(AG2213=1,OR('Dashboard'!$B$4="All",I2213='Dashboard'!$B$4),OR('Dashboard'!$E$4="All",N2213='Dashboard'!$E$4),OR('Dashboard'!$H$4="All",K2213='Dashboard'!$H$4)),1,0)</x:f>
        <x:v>1</x:v>
      </x:c>
    </x:row>
    <x:row r="2214">
      <x:c r="A2214" s="84" t="str">
        <x:f>'Raw Sales'!A2214</x:f>
        <x:v>ORD-2025-01562</x:v>
      </x:c>
      <x:c r="B2214" s="85" t="n">
        <x:f>'Raw Sales'!B2214</x:f>
        <x:v>45982</x:v>
      </x:c>
      <x:c r="C2214" s="84" t="n">
        <x:f>YEAR(B2214)</x:f>
        <x:v>2025</x:v>
      </x:c>
      <x:c r="D2214" s="91" t="n">
        <x:f>DATE(YEAR(B2214),MONTH(B2214),1)</x:f>
        <x:v>45962</x:v>
      </x:c>
      <x:c r="E2214" s="84" t="str">
        <x:f>TEXT(B2214,"mmm")</x:f>
        <x:v>Nov</x:v>
      </x:c>
      <x:c r="F2214" s="84" t="str">
        <x:f>'Raw Sales'!C2214</x:f>
        <x:v>CUST-0517</x:v>
      </x:c>
      <x:c r="G2214" s="84" t="str">
        <x:f>PROPER(TRIM('Raw Sales'!D2214))</x:f>
        <x:v>Layla Irwin</x:v>
      </x:c>
      <x:c r="H2214" s="84" t="str">
        <x:f>IF(TRIM('Raw Sales'!E2214)="","Unknown",PROPER(TRIM('Raw Sales'!E2214)))</x:f>
        <x:v>Corporate</x:v>
      </x:c>
      <x:c r="I2214" s="84" t="str">
        <x:f>PROPER(TRIM('Raw Sales'!F2214))</x:f>
        <x:v>Northeast</x:v>
      </x:c>
      <x:c r="J2214" s="84" t="str">
        <x:f>PROPER(TRIM('Raw Sales'!G2214))</x:f>
        <x:v>Newark</x:v>
      </x:c>
      <x:c r="K2214" s="84" t="str">
        <x:f>PROPER(TRIM('Raw Sales'!H2214))</x:f>
        <x:v>Marketplace</x:v>
      </x:c>
      <x:c r="L2214" s="84" t="str">
        <x:f>'Raw Sales'!I2214</x:f>
        <x:v>OFFC-001</x:v>
      </x:c>
      <x:c r="M2214" s="84" t="str">
        <x:f>IFERROR(VLOOKUP(L2214,'Reference Data'!$A$5:$F$40,2,FALSE),"Unknown Product")</x:f>
        <x:v>Ergonomic Chair</x:v>
      </x:c>
      <x:c r="N2214" s="84" t="str">
        <x:f>IFERROR(VLOOKUP(L2214,'Reference Data'!$A$5:$F$40,3,FALSE),"Unknown")</x:f>
        <x:v>Office</x:v>
      </x:c>
      <x:c r="O2214" s="84" t="str">
        <x:f>IFERROR(VLOOKUP(L2214,'Reference Data'!$A$5:$F$40,4,FALSE),"Unknown")</x:f>
        <x:v>Furniture</x:v>
      </x:c>
      <x:c r="P2214" s="92" t="n">
        <x:f>IFERROR(VLOOKUP(L2214,'Reference Data'!$A$5:$F$40,5,FALSE),0)</x:f>
        <x:v>249</x:v>
      </x:c>
      <x:c r="Q2214" s="92" t="n">
        <x:f>IFERROR(VLOOKUP(L2214,'Reference Data'!$A$5:$F$40,6,FALSE),0)</x:f>
        <x:v>145</x:v>
      </x:c>
      <x:c r="R2214" s="84" t="n">
        <x:f>'Raw Sales'!J2214</x:f>
        <x:v>8</x:v>
      </x:c>
      <x:c r="S2214" s="87" t="n">
        <x:f>'Raw Sales'!K2214</x:f>
        <x:v>0.15</x:v>
      </x:c>
      <x:c r="T2214" s="93" t="n">
        <x:f>P2214*R2214</x:f>
        <x:v>1992</x:v>
      </x:c>
      <x:c r="U2214" s="93" t="n">
        <x:f>T2214*S2214</x:f>
        <x:v>298.8</x:v>
      </x:c>
      <x:c r="V2214" s="93" t="str">
        <x:f>PROPER(TRIM('Raw Sales'!L2214))</x:f>
        <x:v>Completed</x:v>
      </x:c>
      <x:c r="W2214" s="93" t="n">
        <x:f>IF(V2214="Returned",0,T2214-U2214)</x:f>
        <x:v>1693.2</x:v>
      </x:c>
      <x:c r="X2214" s="93" t="n">
        <x:f>IF(V2214="Returned",Q2214*R2214*10%,Q2214*R2214)</x:f>
        <x:v>1160</x:v>
      </x:c>
      <x:c r="Y2214" s="93" t="n">
        <x:f>W2214-X2214</x:f>
        <x:v>533.2</x:v>
      </x:c>
      <x:c r="Z2214" s="94" t="n">
        <x:f>IFERROR(Y2214/W2214,0)</x:f>
        <x:v>0.3149066855657926</x:v>
      </x:c>
      <x:c r="AA2214" s="84" t="str">
        <x:f>PROPER(TRIM('Raw Sales'!M2214))</x:f>
        <x:v>Debit Card</x:v>
      </x:c>
      <x:c r="AB2214" s="84" t="str">
        <x:f>PROPER(TRIM('Raw Sales'!N2214))</x:f>
        <x:v>Ethan Cole</x:v>
      </x:c>
      <x:c r="AC2214" s="85" t="n">
        <x:f>'Raw Sales'!O2214</x:f>
        <x:v>45986</x:v>
      </x:c>
      <x:c r="AD2214" s="84" t="n">
        <x:f>AC2214-B2214</x:f>
        <x:v>4</x:v>
      </x:c>
      <x:c r="AE2214" s="84" t="str">
        <x:f>IF(COUNTIF($A$5:A2214,A2214)&gt;1,"Duplicate","Keep")</x:f>
        <x:v>Keep</x:v>
      </x:c>
      <x:c r="AF2214" s="84" t="str">
        <x:f>IF(OR(R2214&lt;=0,AC2214&lt;B2214,H2214="Unknown",M2214="Unknown Product"),"Review","Valid")</x:f>
        <x:v>Valid</x:v>
      </x:c>
      <x:c r="AG2214" s="84" t="n">
        <x:f>IF(AND(AE2214="Keep",AF2214="Valid"),1,0)</x:f>
        <x:v>1</x:v>
      </x:c>
      <x:c r="AH2214" s="84" t="n">
        <x:f>IF(AND(AG2214=1,OR('Dashboard'!$B$4="All",I2214='Dashboard'!$B$4),OR('Dashboard'!$E$4="All",N2214='Dashboard'!$E$4),OR('Dashboard'!$H$4="All",K2214='Dashboard'!$H$4),OR('Dashboard'!$K$4="All",C2214='Dashboard'!$K$4)),1,0)</x:f>
        <x:v>1</x:v>
      </x:c>
      <x:c r="AI2214" s="84" t="n">
        <x:f>IF(AND(AG2214=1,OR('Dashboard'!$B$4="All",I2214='Dashboard'!$B$4),OR('Dashboard'!$E$4="All",N2214='Dashboard'!$E$4),OR('Dashboard'!$H$4="All",K2214='Dashboard'!$H$4)),1,0)</x:f>
        <x:v>1</x:v>
      </x:c>
    </x:row>
    <x:row r="2215">
      <x:c r="A2215" s="84" t="str">
        <x:f>'Raw Sales'!A2215</x:f>
        <x:v>ORD-2025-01237</x:v>
      </x:c>
      <x:c r="B2215" s="85" t="n">
        <x:f>'Raw Sales'!B2215</x:f>
        <x:v>45983</x:v>
      </x:c>
      <x:c r="C2215" s="84" t="n">
        <x:f>YEAR(B2215)</x:f>
        <x:v>2025</x:v>
      </x:c>
      <x:c r="D2215" s="91" t="n">
        <x:f>DATE(YEAR(B2215),MONTH(B2215),1)</x:f>
        <x:v>45962</x:v>
      </x:c>
      <x:c r="E2215" s="84" t="str">
        <x:f>TEXT(B2215,"mmm")</x:f>
        <x:v>Nov</x:v>
      </x:c>
      <x:c r="F2215" s="84" t="str">
        <x:f>'Raw Sales'!C2215</x:f>
        <x:v>CUST-0181</x:v>
      </x:c>
      <x:c r="G2215" s="84" t="str">
        <x:f>PROPER(TRIM('Raw Sales'!D2215))</x:f>
        <x:v>Chloe Baker</x:v>
      </x:c>
      <x:c r="H2215" s="84" t="str">
        <x:f>IF(TRIM('Raw Sales'!E2215)="","Unknown",PROPER(TRIM('Raw Sales'!E2215)))</x:f>
        <x:v>Corporate</x:v>
      </x:c>
      <x:c r="I2215" s="84" t="str">
        <x:f>PROPER(TRIM('Raw Sales'!F2215))</x:f>
        <x:v>Northeast</x:v>
      </x:c>
      <x:c r="J2215" s="84" t="str">
        <x:f>PROPER(TRIM('Raw Sales'!G2215))</x:f>
        <x:v>Boston</x:v>
      </x:c>
      <x:c r="K2215" s="84" t="str">
        <x:f>PROPER(TRIM('Raw Sales'!H2215))</x:f>
        <x:v>Retail Store</x:v>
      </x:c>
      <x:c r="L2215" s="84" t="str">
        <x:f>'Raw Sales'!I2215</x:f>
        <x:v>FITN-004</x:v>
      </x:c>
      <x:c r="M2215" s="84" t="str">
        <x:f>IFERROR(VLOOKUP(L2215,'Reference Data'!$A$5:$F$40,2,FALSE),"Unknown Product")</x:f>
        <x:v>Fitness Tracker</x:v>
      </x:c>
      <x:c r="N2215" s="84" t="str">
        <x:f>IFERROR(VLOOKUP(L2215,'Reference Data'!$A$5:$F$40,3,FALSE),"Unknown")</x:f>
        <x:v>Fitness</x:v>
      </x:c>
      <x:c r="O2215" s="84" t="str">
        <x:f>IFERROR(VLOOKUP(L2215,'Reference Data'!$A$5:$F$40,4,FALSE),"Unknown")</x:f>
        <x:v>Wearables</x:v>
      </x:c>
      <x:c r="P2215" s="92" t="n">
        <x:f>IFERROR(VLOOKUP(L2215,'Reference Data'!$A$5:$F$40,5,FALSE),0)</x:f>
        <x:v>89</x:v>
      </x:c>
      <x:c r="Q2215" s="92" t="n">
        <x:f>IFERROR(VLOOKUP(L2215,'Reference Data'!$A$5:$F$40,6,FALSE),0)</x:f>
        <x:v>44</x:v>
      </x:c>
      <x:c r="R2215" s="84" t="n">
        <x:f>'Raw Sales'!J2215</x:f>
        <x:v>3</x:v>
      </x:c>
      <x:c r="S2215" s="87" t="n">
        <x:f>'Raw Sales'!K2215</x:f>
        <x:v>0.15</x:v>
      </x:c>
      <x:c r="T2215" s="93" t="n">
        <x:f>P2215*R2215</x:f>
        <x:v>267</x:v>
      </x:c>
      <x:c r="U2215" s="93" t="n">
        <x:f>T2215*S2215</x:f>
        <x:v>40.05</x:v>
      </x:c>
      <x:c r="V2215" s="93" t="str">
        <x:f>PROPER(TRIM('Raw Sales'!L2215))</x:f>
        <x:v>Completed</x:v>
      </x:c>
      <x:c r="W2215" s="93" t="n">
        <x:f>IF(V2215="Returned",0,T2215-U2215)</x:f>
        <x:v>226.95</x:v>
      </x:c>
      <x:c r="X2215" s="93" t="n">
        <x:f>IF(V2215="Returned",Q2215*R2215*10%,Q2215*R2215)</x:f>
        <x:v>132</x:v>
      </x:c>
      <x:c r="Y2215" s="93" t="n">
        <x:f>W2215-X2215</x:f>
        <x:v>94.94999999999999</x:v>
      </x:c>
      <x:c r="Z2215" s="94" t="n">
        <x:f>IFERROR(Y2215/W2215,0)</x:f>
        <x:v>0.41837409120951746</x:v>
      </x:c>
      <x:c r="AA2215" s="84" t="str">
        <x:f>PROPER(TRIM('Raw Sales'!M2215))</x:f>
        <x:v>Debit Card</x:v>
      </x:c>
      <x:c r="AB2215" s="84" t="str">
        <x:f>PROPER(TRIM('Raw Sales'!N2215))</x:f>
        <x:v>Sofia Bennett</x:v>
      </x:c>
      <x:c r="AC2215" s="85" t="n">
        <x:f>'Raw Sales'!O2215</x:f>
        <x:v>45983</x:v>
      </x:c>
      <x:c r="AD2215" s="84" t="n">
        <x:f>AC2215-B2215</x:f>
        <x:v>0</x:v>
      </x:c>
      <x:c r="AE2215" s="84" t="str">
        <x:f>IF(COUNTIF($A$5:A2215,A2215)&gt;1,"Duplicate","Keep")</x:f>
        <x:v>Keep</x:v>
      </x:c>
      <x:c r="AF2215" s="84" t="str">
        <x:f>IF(OR(R2215&lt;=0,AC2215&lt;B2215,H2215="Unknown",M2215="Unknown Product"),"Review","Valid")</x:f>
        <x:v>Valid</x:v>
      </x:c>
      <x:c r="AG2215" s="84" t="n">
        <x:f>IF(AND(AE2215="Keep",AF2215="Valid"),1,0)</x:f>
        <x:v>1</x:v>
      </x:c>
      <x:c r="AH2215" s="84" t="n">
        <x:f>IF(AND(AG2215=1,OR('Dashboard'!$B$4="All",I2215='Dashboard'!$B$4),OR('Dashboard'!$E$4="All",N2215='Dashboard'!$E$4),OR('Dashboard'!$H$4="All",K2215='Dashboard'!$H$4),OR('Dashboard'!$K$4="All",C2215='Dashboard'!$K$4)),1,0)</x:f>
        <x:v>1</x:v>
      </x:c>
      <x:c r="AI2215" s="84" t="n">
        <x:f>IF(AND(AG2215=1,OR('Dashboard'!$B$4="All",I2215='Dashboard'!$B$4),OR('Dashboard'!$E$4="All",N2215='Dashboard'!$E$4),OR('Dashboard'!$H$4="All",K2215='Dashboard'!$H$4)),1,0)</x:f>
        <x:v>1</x:v>
      </x:c>
    </x:row>
    <x:row r="2216">
      <x:c r="A2216" s="84" t="str">
        <x:f>'Raw Sales'!A2216</x:f>
        <x:v>ORD-2025-01237</x:v>
      </x:c>
      <x:c r="B2216" s="85" t="n">
        <x:f>'Raw Sales'!B2216</x:f>
        <x:v>45983</x:v>
      </x:c>
      <x:c r="C2216" s="84" t="n">
        <x:f>YEAR(B2216)</x:f>
        <x:v>2025</x:v>
      </x:c>
      <x:c r="D2216" s="91" t="n">
        <x:f>DATE(YEAR(B2216),MONTH(B2216),1)</x:f>
        <x:v>45962</x:v>
      </x:c>
      <x:c r="E2216" s="84" t="str">
        <x:f>TEXT(B2216,"mmm")</x:f>
        <x:v>Nov</x:v>
      </x:c>
      <x:c r="F2216" s="84" t="str">
        <x:f>'Raw Sales'!C2216</x:f>
        <x:v>CUST-0181</x:v>
      </x:c>
      <x:c r="G2216" s="84" t="str">
        <x:f>PROPER(TRIM('Raw Sales'!D2216))</x:f>
        <x:v>Chloe Baker</x:v>
      </x:c>
      <x:c r="H2216" s="84" t="str">
        <x:f>IF(TRIM('Raw Sales'!E2216)="","Unknown",PROPER(TRIM('Raw Sales'!E2216)))</x:f>
        <x:v>Corporate</x:v>
      </x:c>
      <x:c r="I2216" s="84" t="str">
        <x:f>PROPER(TRIM('Raw Sales'!F2216))</x:f>
        <x:v>Northeast</x:v>
      </x:c>
      <x:c r="J2216" s="84" t="str">
        <x:f>PROPER(TRIM('Raw Sales'!G2216))</x:f>
        <x:v>Boston</x:v>
      </x:c>
      <x:c r="K2216" s="84" t="str">
        <x:f>PROPER(TRIM('Raw Sales'!H2216))</x:f>
        <x:v>Retail Store</x:v>
      </x:c>
      <x:c r="L2216" s="84" t="str">
        <x:f>'Raw Sales'!I2216</x:f>
        <x:v>FITN-004</x:v>
      </x:c>
      <x:c r="M2216" s="84" t="str">
        <x:f>IFERROR(VLOOKUP(L2216,'Reference Data'!$A$5:$F$40,2,FALSE),"Unknown Product")</x:f>
        <x:v>Fitness Tracker</x:v>
      </x:c>
      <x:c r="N2216" s="84" t="str">
        <x:f>IFERROR(VLOOKUP(L2216,'Reference Data'!$A$5:$F$40,3,FALSE),"Unknown")</x:f>
        <x:v>Fitness</x:v>
      </x:c>
      <x:c r="O2216" s="84" t="str">
        <x:f>IFERROR(VLOOKUP(L2216,'Reference Data'!$A$5:$F$40,4,FALSE),"Unknown")</x:f>
        <x:v>Wearables</x:v>
      </x:c>
      <x:c r="P2216" s="92" t="n">
        <x:f>IFERROR(VLOOKUP(L2216,'Reference Data'!$A$5:$F$40,5,FALSE),0)</x:f>
        <x:v>89</x:v>
      </x:c>
      <x:c r="Q2216" s="92" t="n">
        <x:f>IFERROR(VLOOKUP(L2216,'Reference Data'!$A$5:$F$40,6,FALSE),0)</x:f>
        <x:v>44</x:v>
      </x:c>
      <x:c r="R2216" s="84" t="n">
        <x:f>'Raw Sales'!J2216</x:f>
        <x:v>3</x:v>
      </x:c>
      <x:c r="S2216" s="87" t="n">
        <x:f>'Raw Sales'!K2216</x:f>
        <x:v>0.15</x:v>
      </x:c>
      <x:c r="T2216" s="93" t="n">
        <x:f>P2216*R2216</x:f>
        <x:v>267</x:v>
      </x:c>
      <x:c r="U2216" s="93" t="n">
        <x:f>T2216*S2216</x:f>
        <x:v>40.05</x:v>
      </x:c>
      <x:c r="V2216" s="93" t="str">
        <x:f>PROPER(TRIM('Raw Sales'!L2216))</x:f>
        <x:v>Completed</x:v>
      </x:c>
      <x:c r="W2216" s="93" t="n">
        <x:f>IF(V2216="Returned",0,T2216-U2216)</x:f>
        <x:v>226.95</x:v>
      </x:c>
      <x:c r="X2216" s="93" t="n">
        <x:f>IF(V2216="Returned",Q2216*R2216*10%,Q2216*R2216)</x:f>
        <x:v>132</x:v>
      </x:c>
      <x:c r="Y2216" s="93" t="n">
        <x:f>W2216-X2216</x:f>
        <x:v>94.94999999999999</x:v>
      </x:c>
      <x:c r="Z2216" s="94" t="n">
        <x:f>IFERROR(Y2216/W2216,0)</x:f>
        <x:v>0.41837409120951746</x:v>
      </x:c>
      <x:c r="AA2216" s="84" t="str">
        <x:f>PROPER(TRIM('Raw Sales'!M2216))</x:f>
        <x:v>Debit Card</x:v>
      </x:c>
      <x:c r="AB2216" s="84" t="str">
        <x:f>PROPER(TRIM('Raw Sales'!N2216))</x:f>
        <x:v>Sofia Bennett</x:v>
      </x:c>
      <x:c r="AC2216" s="85" t="n">
        <x:f>'Raw Sales'!O2216</x:f>
        <x:v>45983</x:v>
      </x:c>
      <x:c r="AD2216" s="84" t="n">
        <x:f>AC2216-B2216</x:f>
        <x:v>0</x:v>
      </x:c>
      <x:c r="AE2216" s="84" t="str">
        <x:f>IF(COUNTIF($A$5:A2216,A2216)&gt;1,"Duplicate","Keep")</x:f>
        <x:v>Duplicate</x:v>
      </x:c>
      <x:c r="AF2216" s="84" t="str">
        <x:f>IF(OR(R2216&lt;=0,AC2216&lt;B2216,H2216="Unknown",M2216="Unknown Product"),"Review","Valid")</x:f>
        <x:v>Valid</x:v>
      </x:c>
      <x:c r="AG2216" s="84" t="n">
        <x:f>IF(AND(AE2216="Keep",AF2216="Valid"),1,0)</x:f>
        <x:v>0</x:v>
      </x:c>
      <x:c r="AH2216" s="84" t="n">
        <x:f>IF(AND(AG2216=1,OR('Dashboard'!$B$4="All",I2216='Dashboard'!$B$4),OR('Dashboard'!$E$4="All",N2216='Dashboard'!$E$4),OR('Dashboard'!$H$4="All",K2216='Dashboard'!$H$4),OR('Dashboard'!$K$4="All",C2216='Dashboard'!$K$4)),1,0)</x:f>
        <x:v>0</x:v>
      </x:c>
      <x:c r="AI2216" s="84" t="n">
        <x:f>IF(AND(AG2216=1,OR('Dashboard'!$B$4="All",I2216='Dashboard'!$B$4),OR('Dashboard'!$E$4="All",N2216='Dashboard'!$E$4),OR('Dashboard'!$H$4="All",K2216='Dashboard'!$H$4)),1,0)</x:f>
        <x:v>0</x:v>
      </x:c>
    </x:row>
    <x:row r="2217">
      <x:c r="A2217" s="84" t="str">
        <x:f>'Raw Sales'!A2217</x:f>
        <x:v>ORD-2025-01633</x:v>
      </x:c>
      <x:c r="B2217" s="85" t="n">
        <x:f>'Raw Sales'!B2217</x:f>
        <x:v>45983</x:v>
      </x:c>
      <x:c r="C2217" s="84" t="n">
        <x:f>YEAR(B2217)</x:f>
        <x:v>2025</x:v>
      </x:c>
      <x:c r="D2217" s="91" t="n">
        <x:f>DATE(YEAR(B2217),MONTH(B2217),1)</x:f>
        <x:v>45962</x:v>
      </x:c>
      <x:c r="E2217" s="84" t="str">
        <x:f>TEXT(B2217,"mmm")</x:f>
        <x:v>Nov</x:v>
      </x:c>
      <x:c r="F2217" s="84" t="str">
        <x:f>'Raw Sales'!C2217</x:f>
        <x:v>CUST-0195</x:v>
      </x:c>
      <x:c r="G2217" s="84" t="str">
        <x:f>PROPER(TRIM('Raw Sales'!D2217))</x:f>
        <x:v>Aiden Carter</x:v>
      </x:c>
      <x:c r="H2217" s="84" t="str">
        <x:f>IF(TRIM('Raw Sales'!E2217)="","Unknown",PROPER(TRIM('Raw Sales'!E2217)))</x:f>
        <x:v>Corporate</x:v>
      </x:c>
      <x:c r="I2217" s="84" t="str">
        <x:f>PROPER(TRIM('Raw Sales'!F2217))</x:f>
        <x:v>Northeast</x:v>
      </x:c>
      <x:c r="J2217" s="84" t="str">
        <x:f>PROPER(TRIM('Raw Sales'!G2217))</x:f>
        <x:v>New York</x:v>
      </x:c>
      <x:c r="K2217" s="84" t="str">
        <x:f>PROPER(TRIM('Raw Sales'!H2217))</x:f>
        <x:v>Online</x:v>
      </x:c>
      <x:c r="L2217" s="84" t="str">
        <x:f>'Raw Sales'!I2217</x:f>
        <x:v>ACCS-004</x:v>
      </x:c>
      <x:c r="M2217" s="84" t="str">
        <x:f>IFERROR(VLOOKUP(L2217,'Reference Data'!$A$5:$F$40,2,FALSE),"Unknown Product")</x:f>
        <x:v>Leather Wallet</x:v>
      </x:c>
      <x:c r="N2217" s="84" t="str">
        <x:f>IFERROR(VLOOKUP(L2217,'Reference Data'!$A$5:$F$40,3,FALSE),"Unknown")</x:f>
        <x:v>Accessories</x:v>
      </x:c>
      <x:c r="O2217" s="84" t="str">
        <x:f>IFERROR(VLOOKUP(L2217,'Reference Data'!$A$5:$F$40,4,FALSE),"Unknown")</x:f>
        <x:v>Wallets</x:v>
      </x:c>
      <x:c r="P2217" s="92" t="n">
        <x:f>IFERROR(VLOOKUP(L2217,'Reference Data'!$A$5:$F$40,5,FALSE),0)</x:f>
        <x:v>49</x:v>
      </x:c>
      <x:c r="Q2217" s="92" t="n">
        <x:f>IFERROR(VLOOKUP(L2217,'Reference Data'!$A$5:$F$40,6,FALSE),0)</x:f>
        <x:v>18</x:v>
      </x:c>
      <x:c r="R2217" s="84" t="n">
        <x:f>'Raw Sales'!J2217</x:f>
        <x:v>2</x:v>
      </x:c>
      <x:c r="S2217" s="87" t="n">
        <x:f>'Raw Sales'!K2217</x:f>
        <x:v>0</x:v>
      </x:c>
      <x:c r="T2217" s="93" t="n">
        <x:f>P2217*R2217</x:f>
        <x:v>98</x:v>
      </x:c>
      <x:c r="U2217" s="93" t="n">
        <x:f>T2217*S2217</x:f>
        <x:v>0</x:v>
      </x:c>
      <x:c r="V2217" s="93" t="str">
        <x:f>PROPER(TRIM('Raw Sales'!L2217))</x:f>
        <x:v>Completed</x:v>
      </x:c>
      <x:c r="W2217" s="93" t="n">
        <x:f>IF(V2217="Returned",0,T2217-U2217)</x:f>
        <x:v>98</x:v>
      </x:c>
      <x:c r="X2217" s="93" t="n">
        <x:f>IF(V2217="Returned",Q2217*R2217*10%,Q2217*R2217)</x:f>
        <x:v>36</x:v>
      </x:c>
      <x:c r="Y2217" s="93" t="n">
        <x:f>W2217-X2217</x:f>
        <x:v>62</x:v>
      </x:c>
      <x:c r="Z2217" s="94" t="n">
        <x:f>IFERROR(Y2217/W2217,0)</x:f>
        <x:v>0.6326530612244898</x:v>
      </x:c>
      <x:c r="AA2217" s="84" t="str">
        <x:f>PROPER(TRIM('Raw Sales'!M2217))</x:f>
        <x:v>Credit Card</x:v>
      </x:c>
      <x:c r="AB2217" s="84" t="str">
        <x:f>PROPER(TRIM('Raw Sales'!N2217))</x:f>
        <x:v>Maya Brooks</x:v>
      </x:c>
      <x:c r="AC2217" s="85" t="n">
        <x:f>'Raw Sales'!O2217</x:f>
        <x:v>45988</x:v>
      </x:c>
      <x:c r="AD2217" s="84" t="n">
        <x:f>AC2217-B2217</x:f>
        <x:v>5</x:v>
      </x:c>
      <x:c r="AE2217" s="84" t="str">
        <x:f>IF(COUNTIF($A$5:A2217,A2217)&gt;1,"Duplicate","Keep")</x:f>
        <x:v>Keep</x:v>
      </x:c>
      <x:c r="AF2217" s="84" t="str">
        <x:f>IF(OR(R2217&lt;=0,AC2217&lt;B2217,H2217="Unknown",M2217="Unknown Product"),"Review","Valid")</x:f>
        <x:v>Valid</x:v>
      </x:c>
      <x:c r="AG2217" s="84" t="n">
        <x:f>IF(AND(AE2217="Keep",AF2217="Valid"),1,0)</x:f>
        <x:v>1</x:v>
      </x:c>
      <x:c r="AH2217" s="84" t="n">
        <x:f>IF(AND(AG2217=1,OR('Dashboard'!$B$4="All",I2217='Dashboard'!$B$4),OR('Dashboard'!$E$4="All",N2217='Dashboard'!$E$4),OR('Dashboard'!$H$4="All",K2217='Dashboard'!$H$4),OR('Dashboard'!$K$4="All",C2217='Dashboard'!$K$4)),1,0)</x:f>
        <x:v>1</x:v>
      </x:c>
      <x:c r="AI2217" s="84" t="n">
        <x:f>IF(AND(AG2217=1,OR('Dashboard'!$B$4="All",I2217='Dashboard'!$B$4),OR('Dashboard'!$E$4="All",N2217='Dashboard'!$E$4),OR('Dashboard'!$H$4="All",K2217='Dashboard'!$H$4)),1,0)</x:f>
        <x:v>1</x:v>
      </x:c>
    </x:row>
    <x:row r="2218">
      <x:c r="A2218" s="84" t="str">
        <x:f>'Raw Sales'!A2218</x:f>
        <x:v>ORD-2025-00735</x:v>
      </x:c>
      <x:c r="B2218" s="85" t="n">
        <x:f>'Raw Sales'!B2218</x:f>
        <x:v>45984</x:v>
      </x:c>
      <x:c r="C2218" s="84" t="n">
        <x:f>YEAR(B2218)</x:f>
        <x:v>2025</x:v>
      </x:c>
      <x:c r="D2218" s="91" t="n">
        <x:f>DATE(YEAR(B2218),MONTH(B2218),1)</x:f>
        <x:v>45962</x:v>
      </x:c>
      <x:c r="E2218" s="84" t="str">
        <x:f>TEXT(B2218,"mmm")</x:f>
        <x:v>Nov</x:v>
      </x:c>
      <x:c r="F2218" s="84" t="str">
        <x:f>'Raw Sales'!C2218</x:f>
        <x:v>CUST-0318</x:v>
      </x:c>
      <x:c r="G2218" s="84" t="str">
        <x:f>PROPER(TRIM('Raw Sales'!D2218))</x:f>
        <x:v>Theo Baker</x:v>
      </x:c>
      <x:c r="H2218" s="84" t="str">
        <x:f>IF(TRIM('Raw Sales'!E2218)="","Unknown",PROPER(TRIM('Raw Sales'!E2218)))</x:f>
        <x:v>Consumer</x:v>
      </x:c>
      <x:c r="I2218" s="84" t="str">
        <x:f>PROPER(TRIM('Raw Sales'!F2218))</x:f>
        <x:v>Midwest</x:v>
      </x:c>
      <x:c r="J2218" s="84" t="str">
        <x:f>PROPER(TRIM('Raw Sales'!G2218))</x:f>
        <x:v>Detroit</x:v>
      </x:c>
      <x:c r="K2218" s="84" t="str">
        <x:f>PROPER(TRIM('Raw Sales'!H2218))</x:f>
        <x:v>Retail Store</x:v>
      </x:c>
      <x:c r="L2218" s="84" t="str">
        <x:f>'Raw Sales'!I2218</x:f>
        <x:v>ELEC-005</x:v>
      </x:c>
      <x:c r="M2218" s="84" t="str">
        <x:f>IFERROR(VLOOKUP(L2218,'Reference Data'!$A$5:$F$40,2,FALSE),"Unknown Product")</x:f>
        <x:v>HD Webcam</x:v>
      </x:c>
      <x:c r="N2218" s="84" t="str">
        <x:f>IFERROR(VLOOKUP(L2218,'Reference Data'!$A$5:$F$40,3,FALSE),"Unknown")</x:f>
        <x:v>Electronics</x:v>
      </x:c>
      <x:c r="O2218" s="84" t="str">
        <x:f>IFERROR(VLOOKUP(L2218,'Reference Data'!$A$5:$F$40,4,FALSE),"Unknown")</x:f>
        <x:v>Computer Accessories</x:v>
      </x:c>
      <x:c r="P2218" s="92" t="n">
        <x:f>IFERROR(VLOOKUP(L2218,'Reference Data'!$A$5:$F$40,5,FALSE),0)</x:f>
        <x:v>79</x:v>
      </x:c>
      <x:c r="Q2218" s="92" t="n">
        <x:f>IFERROR(VLOOKUP(L2218,'Reference Data'!$A$5:$F$40,6,FALSE),0)</x:f>
        <x:v>37</x:v>
      </x:c>
      <x:c r="R2218" s="84" t="n">
        <x:f>'Raw Sales'!J2218</x:f>
        <x:v>1</x:v>
      </x:c>
      <x:c r="S2218" s="87" t="n">
        <x:f>'Raw Sales'!K2218</x:f>
        <x:v>0</x:v>
      </x:c>
      <x:c r="T2218" s="93" t="n">
        <x:f>P2218*R2218</x:f>
        <x:v>79</x:v>
      </x:c>
      <x:c r="U2218" s="93" t="n">
        <x:f>T2218*S2218</x:f>
        <x:v>0</x:v>
      </x:c>
      <x:c r="V2218" s="93" t="str">
        <x:f>PROPER(TRIM('Raw Sales'!L2218))</x:f>
        <x:v>Completed</x:v>
      </x:c>
      <x:c r="W2218" s="93" t="n">
        <x:f>IF(V2218="Returned",0,T2218-U2218)</x:f>
        <x:v>79</x:v>
      </x:c>
      <x:c r="X2218" s="93" t="n">
        <x:f>IF(V2218="Returned",Q2218*R2218*10%,Q2218*R2218)</x:f>
        <x:v>37</x:v>
      </x:c>
      <x:c r="Y2218" s="93" t="n">
        <x:f>W2218-X2218</x:f>
        <x:v>42</x:v>
      </x:c>
      <x:c r="Z2218" s="94" t="n">
        <x:f>IFERROR(Y2218/W2218,0)</x:f>
        <x:v>0.5316455696202531</x:v>
      </x:c>
      <x:c r="AA2218" s="84" t="str">
        <x:f>PROPER(TRIM('Raw Sales'!M2218))</x:f>
        <x:v>Credit Card</x:v>
      </x:c>
      <x:c r="AB2218" s="84" t="str">
        <x:f>PROPER(TRIM('Raw Sales'!N2218))</x:f>
        <x:v>Zoe Turner</x:v>
      </x:c>
      <x:c r="AC2218" s="85" t="n">
        <x:f>'Raw Sales'!O2218</x:f>
        <x:v>45984</x:v>
      </x:c>
      <x:c r="AD2218" s="84" t="n">
        <x:f>AC2218-B2218</x:f>
        <x:v>0</x:v>
      </x:c>
      <x:c r="AE2218" s="84" t="str">
        <x:f>IF(COUNTIF($A$5:A2218,A2218)&gt;1,"Duplicate","Keep")</x:f>
        <x:v>Keep</x:v>
      </x:c>
      <x:c r="AF2218" s="84" t="str">
        <x:f>IF(OR(R2218&lt;=0,AC2218&lt;B2218,H2218="Unknown",M2218="Unknown Product"),"Review","Valid")</x:f>
        <x:v>Valid</x:v>
      </x:c>
      <x:c r="AG2218" s="84" t="n">
        <x:f>IF(AND(AE2218="Keep",AF2218="Valid"),1,0)</x:f>
        <x:v>1</x:v>
      </x:c>
      <x:c r="AH2218" s="84" t="n">
        <x:f>IF(AND(AG2218=1,OR('Dashboard'!$B$4="All",I2218='Dashboard'!$B$4),OR('Dashboard'!$E$4="All",N2218='Dashboard'!$E$4),OR('Dashboard'!$H$4="All",K2218='Dashboard'!$H$4),OR('Dashboard'!$K$4="All",C2218='Dashboard'!$K$4)),1,0)</x:f>
        <x:v>1</x:v>
      </x:c>
      <x:c r="AI2218" s="84" t="n">
        <x:f>IF(AND(AG2218=1,OR('Dashboard'!$B$4="All",I2218='Dashboard'!$B$4),OR('Dashboard'!$E$4="All",N2218='Dashboard'!$E$4),OR('Dashboard'!$H$4="All",K2218='Dashboard'!$H$4)),1,0)</x:f>
        <x:v>1</x:v>
      </x:c>
    </x:row>
    <x:row r="2219">
      <x:c r="A2219" s="84" t="str">
        <x:f>'Raw Sales'!A2219</x:f>
        <x:v>ORD-2025-00962</x:v>
      </x:c>
      <x:c r="B2219" s="85" t="n">
        <x:f>'Raw Sales'!B2219</x:f>
        <x:v>45984</x:v>
      </x:c>
      <x:c r="C2219" s="84" t="n">
        <x:f>YEAR(B2219)</x:f>
        <x:v>2025</x:v>
      </x:c>
      <x:c r="D2219" s="91" t="n">
        <x:f>DATE(YEAR(B2219),MONTH(B2219),1)</x:f>
        <x:v>45962</x:v>
      </x:c>
      <x:c r="E2219" s="84" t="str">
        <x:f>TEXT(B2219,"mmm")</x:f>
        <x:v>Nov</x:v>
      </x:c>
      <x:c r="F2219" s="84" t="str">
        <x:f>'Raw Sales'!C2219</x:f>
        <x:v>CUST-0396</x:v>
      </x:c>
      <x:c r="G2219" s="84" t="str">
        <x:f>PROPER(TRIM('Raw Sales'!D2219))</x:f>
        <x:v>Victoria Carter</x:v>
      </x:c>
      <x:c r="H2219" s="84" t="str">
        <x:f>IF(TRIM('Raw Sales'!E2219)="","Unknown",PROPER(TRIM('Raw Sales'!E2219)))</x:f>
        <x:v>Consumer</x:v>
      </x:c>
      <x:c r="I2219" s="84" t="str">
        <x:f>PROPER(TRIM('Raw Sales'!F2219))</x:f>
        <x:v>Southeast</x:v>
      </x:c>
      <x:c r="J2219" s="84" t="str">
        <x:f>PROPER(TRIM('Raw Sales'!G2219))</x:f>
        <x:v>Nashville</x:v>
      </x:c>
      <x:c r="K2219" s="84" t="str">
        <x:f>PROPER(TRIM('Raw Sales'!H2219))</x:f>
        <x:v>Retail Store</x:v>
      </x:c>
      <x:c r="L2219" s="84" t="str">
        <x:f>'Raw Sales'!I2219</x:f>
        <x:v>ELEC-003</x:v>
      </x:c>
      <x:c r="M2219" s="84" t="str">
        <x:f>IFERROR(VLOOKUP(L2219,'Reference Data'!$A$5:$F$40,2,FALSE),"Unknown Product")</x:f>
        <x:v>Bluetooth Speaker</x:v>
      </x:c>
      <x:c r="N2219" s="84" t="str">
        <x:f>IFERROR(VLOOKUP(L2219,'Reference Data'!$A$5:$F$40,3,FALSE),"Unknown")</x:f>
        <x:v>Electronics</x:v>
      </x:c>
      <x:c r="O2219" s="84" t="str">
        <x:f>IFERROR(VLOOKUP(L2219,'Reference Data'!$A$5:$F$40,4,FALSE),"Unknown")</x:f>
        <x:v>Audio</x:v>
      </x:c>
      <x:c r="P2219" s="92" t="n">
        <x:f>IFERROR(VLOOKUP(L2219,'Reference Data'!$A$5:$F$40,5,FALSE),0)</x:f>
        <x:v>89</x:v>
      </x:c>
      <x:c r="Q2219" s="92" t="n">
        <x:f>IFERROR(VLOOKUP(L2219,'Reference Data'!$A$5:$F$40,6,FALSE),0)</x:f>
        <x:v>44</x:v>
      </x:c>
      <x:c r="R2219" s="84" t="n">
        <x:f>'Raw Sales'!J2219</x:f>
        <x:v>1</x:v>
      </x:c>
      <x:c r="S2219" s="87" t="n">
        <x:f>'Raw Sales'!K2219</x:f>
        <x:v>0.05</x:v>
      </x:c>
      <x:c r="T2219" s="93" t="n">
        <x:f>P2219*R2219</x:f>
        <x:v>89</x:v>
      </x:c>
      <x:c r="U2219" s="93" t="n">
        <x:f>T2219*S2219</x:f>
        <x:v>4.45</x:v>
      </x:c>
      <x:c r="V2219" s="93" t="str">
        <x:f>PROPER(TRIM('Raw Sales'!L2219))</x:f>
        <x:v>Returned</x:v>
      </x:c>
      <x:c r="W2219" s="93" t="n">
        <x:f>IF(V2219="Returned",0,T2219-U2219)</x:f>
        <x:v>0</x:v>
      </x:c>
      <x:c r="X2219" s="93" t="n">
        <x:f>IF(V2219="Returned",Q2219*R2219*10%,Q2219*R2219)</x:f>
        <x:v>4.4</x:v>
      </x:c>
      <x:c r="Y2219" s="93" t="n">
        <x:f>W2219-X2219</x:f>
        <x:v>-4.4</x:v>
      </x:c>
      <x:c r="Z2219" s="94" t="n">
        <x:f>IFERROR(Y2219/W2219,0)</x:f>
        <x:v>0</x:v>
      </x:c>
      <x:c r="AA2219" s="84" t="str">
        <x:f>PROPER(TRIM('Raw Sales'!M2219))</x:f>
        <x:v>Cash</x:v>
      </x:c>
      <x:c r="AB2219" s="84" t="str">
        <x:f>PROPER(TRIM('Raw Sales'!N2219))</x:f>
        <x:v>Ava Mitchell</x:v>
      </x:c>
      <x:c r="AC2219" s="85" t="n">
        <x:f>'Raw Sales'!O2219</x:f>
        <x:v>45984</x:v>
      </x:c>
      <x:c r="AD2219" s="84" t="n">
        <x:f>AC2219-B2219</x:f>
        <x:v>0</x:v>
      </x:c>
      <x:c r="AE2219" s="84" t="str">
        <x:f>IF(COUNTIF($A$5:A2219,A2219)&gt;1,"Duplicate","Keep")</x:f>
        <x:v>Keep</x:v>
      </x:c>
      <x:c r="AF2219" s="84" t="str">
        <x:f>IF(OR(R2219&lt;=0,AC2219&lt;B2219,H2219="Unknown",M2219="Unknown Product"),"Review","Valid")</x:f>
        <x:v>Valid</x:v>
      </x:c>
      <x:c r="AG2219" s="84" t="n">
        <x:f>IF(AND(AE2219="Keep",AF2219="Valid"),1,0)</x:f>
        <x:v>1</x:v>
      </x:c>
      <x:c r="AH2219" s="84" t="n">
        <x:f>IF(AND(AG2219=1,OR('Dashboard'!$B$4="All",I2219='Dashboard'!$B$4),OR('Dashboard'!$E$4="All",N2219='Dashboard'!$E$4),OR('Dashboard'!$H$4="All",K2219='Dashboard'!$H$4),OR('Dashboard'!$K$4="All",C2219='Dashboard'!$K$4)),1,0)</x:f>
        <x:v>1</x:v>
      </x:c>
      <x:c r="AI2219" s="84" t="n">
        <x:f>IF(AND(AG2219=1,OR('Dashboard'!$B$4="All",I2219='Dashboard'!$B$4),OR('Dashboard'!$E$4="All",N2219='Dashboard'!$E$4),OR('Dashboard'!$H$4="All",K2219='Dashboard'!$H$4)),1,0)</x:f>
        <x:v>1</x:v>
      </x:c>
    </x:row>
    <x:row r="2220">
      <x:c r="A2220" s="84" t="str">
        <x:f>'Raw Sales'!A2220</x:f>
        <x:v>ORD-2025-01536</x:v>
      </x:c>
      <x:c r="B2220" s="85" t="n">
        <x:f>'Raw Sales'!B2220</x:f>
        <x:v>45984</x:v>
      </x:c>
      <x:c r="C2220" s="84" t="n">
        <x:f>YEAR(B2220)</x:f>
        <x:v>2025</x:v>
      </x:c>
      <x:c r="D2220" s="91" t="n">
        <x:f>DATE(YEAR(B2220),MONTH(B2220),1)</x:f>
        <x:v>45962</x:v>
      </x:c>
      <x:c r="E2220" s="84" t="str">
        <x:f>TEXT(B2220,"mmm")</x:f>
        <x:v>Nov</x:v>
      </x:c>
      <x:c r="F2220" s="84" t="str">
        <x:f>'Raw Sales'!C2220</x:f>
        <x:v>CUST-0359</x:v>
      </x:c>
      <x:c r="G2220" s="84" t="str">
        <x:f>PROPER(TRIM('Raw Sales'!D2220))</x:f>
        <x:v>Daniel Hall</x:v>
      </x:c>
      <x:c r="H2220" s="84" t="str">
        <x:f>IF(TRIM('Raw Sales'!E2220)="","Unknown",PROPER(TRIM('Raw Sales'!E2220)))</x:f>
        <x:v>Small Business</x:v>
      </x:c>
      <x:c r="I2220" s="84" t="str">
        <x:f>PROPER(TRIM('Raw Sales'!F2220))</x:f>
        <x:v>West</x:v>
      </x:c>
      <x:c r="J2220" s="84" t="str">
        <x:f>PROPER(TRIM('Raw Sales'!G2220))</x:f>
        <x:v>Seattle</x:v>
      </x:c>
      <x:c r="K2220" s="84" t="str">
        <x:f>PROPER(TRIM('Raw Sales'!H2220))</x:f>
        <x:v>Online</x:v>
      </x:c>
      <x:c r="L2220" s="84" t="str">
        <x:f>'Raw Sales'!I2220</x:f>
        <x:v>HOME-004</x:v>
      </x:c>
      <x:c r="M2220" s="84" t="str">
        <x:f>IFERROR(VLOOKUP(L2220,'Reference Data'!$A$5:$F$40,2,FALSE),"Unknown Product")</x:f>
        <x:v>Coffee Maker</x:v>
      </x:c>
      <x:c r="N2220" s="84" t="str">
        <x:f>IFERROR(VLOOKUP(L2220,'Reference Data'!$A$5:$F$40,3,FALSE),"Unknown")</x:f>
        <x:v>Home &amp; Kitchen</x:v>
      </x:c>
      <x:c r="O2220" s="84" t="str">
        <x:f>IFERROR(VLOOKUP(L2220,'Reference Data'!$A$5:$F$40,4,FALSE),"Unknown")</x:f>
        <x:v>Small Appliances</x:v>
      </x:c>
      <x:c r="P2220" s="92" t="n">
        <x:f>IFERROR(VLOOKUP(L2220,'Reference Data'!$A$5:$F$40,5,FALSE),0)</x:f>
        <x:v>99</x:v>
      </x:c>
      <x:c r="Q2220" s="92" t="n">
        <x:f>IFERROR(VLOOKUP(L2220,'Reference Data'!$A$5:$F$40,6,FALSE),0)</x:f>
        <x:v>51</x:v>
      </x:c>
      <x:c r="R2220" s="84" t="n">
        <x:f>'Raw Sales'!J2220</x:f>
        <x:v>2</x:v>
      </x:c>
      <x:c r="S2220" s="87" t="n">
        <x:f>'Raw Sales'!K2220</x:f>
        <x:v>0.15</x:v>
      </x:c>
      <x:c r="T2220" s="93" t="n">
        <x:f>P2220*R2220</x:f>
        <x:v>198</x:v>
      </x:c>
      <x:c r="U2220" s="93" t="n">
        <x:f>T2220*S2220</x:f>
        <x:v>29.7</x:v>
      </x:c>
      <x:c r="V2220" s="93" t="str">
        <x:f>PROPER(TRIM('Raw Sales'!L2220))</x:f>
        <x:v>Completed</x:v>
      </x:c>
      <x:c r="W2220" s="93" t="n">
        <x:f>IF(V2220="Returned",0,T2220-U2220)</x:f>
        <x:v>168.3</x:v>
      </x:c>
      <x:c r="X2220" s="93" t="n">
        <x:f>IF(V2220="Returned",Q2220*R2220*10%,Q2220*R2220)</x:f>
        <x:v>102</x:v>
      </x:c>
      <x:c r="Y2220" s="93" t="n">
        <x:f>W2220-X2220</x:f>
        <x:v>66.30000000000001</x:v>
      </x:c>
      <x:c r="Z2220" s="94" t="n">
        <x:f>IFERROR(Y2220/W2220,0)</x:f>
        <x:v>0.393939393939394</x:v>
      </x:c>
      <x:c r="AA2220" s="84" t="str">
        <x:f>PROPER(TRIM('Raw Sales'!M2220))</x:f>
        <x:v>Debit Card</x:v>
      </x:c>
      <x:c r="AB2220" s="84" t="str">
        <x:f>PROPER(TRIM('Raw Sales'!N2220))</x:f>
        <x:v>Nora Kim</x:v>
      </x:c>
      <x:c r="AC2220" s="85" t="n">
        <x:f>'Raw Sales'!O2220</x:f>
        <x:v>45988</x:v>
      </x:c>
      <x:c r="AD2220" s="84" t="n">
        <x:f>AC2220-B2220</x:f>
        <x:v>4</x:v>
      </x:c>
      <x:c r="AE2220" s="84" t="str">
        <x:f>IF(COUNTIF($A$5:A2220,A2220)&gt;1,"Duplicate","Keep")</x:f>
        <x:v>Keep</x:v>
      </x:c>
      <x:c r="AF2220" s="84" t="str">
        <x:f>IF(OR(R2220&lt;=0,AC2220&lt;B2220,H2220="Unknown",M2220="Unknown Product"),"Review","Valid")</x:f>
        <x:v>Valid</x:v>
      </x:c>
      <x:c r="AG2220" s="84" t="n">
        <x:f>IF(AND(AE2220="Keep",AF2220="Valid"),1,0)</x:f>
        <x:v>1</x:v>
      </x:c>
      <x:c r="AH2220" s="84" t="n">
        <x:f>IF(AND(AG2220=1,OR('Dashboard'!$B$4="All",I2220='Dashboard'!$B$4),OR('Dashboard'!$E$4="All",N2220='Dashboard'!$E$4),OR('Dashboard'!$H$4="All",K2220='Dashboard'!$H$4),OR('Dashboard'!$K$4="All",C2220='Dashboard'!$K$4)),1,0)</x:f>
        <x:v>1</x:v>
      </x:c>
      <x:c r="AI2220" s="84" t="n">
        <x:f>IF(AND(AG2220=1,OR('Dashboard'!$B$4="All",I2220='Dashboard'!$B$4),OR('Dashboard'!$E$4="All",N2220='Dashboard'!$E$4),OR('Dashboard'!$H$4="All",K2220='Dashboard'!$H$4)),1,0)</x:f>
        <x:v>1</x:v>
      </x:c>
    </x:row>
    <x:row r="2221">
      <x:c r="A2221" s="84" t="str">
        <x:f>'Raw Sales'!A2221</x:f>
        <x:v>ORD-2025-01657</x:v>
      </x:c>
      <x:c r="B2221" s="85" t="n">
        <x:f>'Raw Sales'!B2221</x:f>
        <x:v>45984</x:v>
      </x:c>
      <x:c r="C2221" s="84" t="n">
        <x:f>YEAR(B2221)</x:f>
        <x:v>2025</x:v>
      </x:c>
      <x:c r="D2221" s="91" t="n">
        <x:f>DATE(YEAR(B2221),MONTH(B2221),1)</x:f>
        <x:v>45962</x:v>
      </x:c>
      <x:c r="E2221" s="84" t="str">
        <x:f>TEXT(B2221,"mmm")</x:f>
        <x:v>Nov</x:v>
      </x:c>
      <x:c r="F2221" s="84" t="str">
        <x:f>'Raw Sales'!C2221</x:f>
        <x:v>CUST-0401</x:v>
      </x:c>
      <x:c r="G2221" s="84" t="str">
        <x:f>PROPER(TRIM('Raw Sales'!D2221))</x:f>
        <x:v>Priya Hall</x:v>
      </x:c>
      <x:c r="H2221" s="84" t="str">
        <x:f>IF(TRIM('Raw Sales'!E2221)="","Unknown",PROPER(TRIM('Raw Sales'!E2221)))</x:f>
        <x:v>Consumer</x:v>
      </x:c>
      <x:c r="I2221" s="84" t="str">
        <x:f>PROPER(TRIM('Raw Sales'!F2221))</x:f>
        <x:v>Northeast</x:v>
      </x:c>
      <x:c r="J2221" s="84" t="str">
        <x:f>PROPER(TRIM('Raw Sales'!G2221))</x:f>
        <x:v>Newark</x:v>
      </x:c>
      <x:c r="K2221" s="84" t="str">
        <x:f>PROPER(TRIM('Raw Sales'!H2221))</x:f>
        <x:v>Retail Store</x:v>
      </x:c>
      <x:c r="L2221" s="84" t="str">
        <x:f>'Raw Sales'!I2221</x:f>
        <x:v>ACCS-001</x:v>
      </x:c>
      <x:c r="M2221" s="84" t="str">
        <x:f>IFERROR(VLOOKUP(L2221,'Reference Data'!$A$5:$F$40,2,FALSE),"Unknown Product")</x:f>
        <x:v>Canvas Tote Bag</x:v>
      </x:c>
      <x:c r="N2221" s="84" t="str">
        <x:f>IFERROR(VLOOKUP(L2221,'Reference Data'!$A$5:$F$40,3,FALSE),"Unknown")</x:f>
        <x:v>Accessories</x:v>
      </x:c>
      <x:c r="O2221" s="84" t="str">
        <x:f>IFERROR(VLOOKUP(L2221,'Reference Data'!$A$5:$F$40,4,FALSE),"Unknown")</x:f>
        <x:v>Bags</x:v>
      </x:c>
      <x:c r="P2221" s="92" t="n">
        <x:f>IFERROR(VLOOKUP(L2221,'Reference Data'!$A$5:$F$40,5,FALSE),0)</x:f>
        <x:v>39</x:v>
      </x:c>
      <x:c r="Q2221" s="92" t="n">
        <x:f>IFERROR(VLOOKUP(L2221,'Reference Data'!$A$5:$F$40,6,FALSE),0)</x:f>
        <x:v>14</x:v>
      </x:c>
      <x:c r="R2221" s="84" t="n">
        <x:f>'Raw Sales'!J2221</x:f>
        <x:v>1</x:v>
      </x:c>
      <x:c r="S2221" s="87" t="n">
        <x:f>'Raw Sales'!K2221</x:f>
        <x:v>0.05</x:v>
      </x:c>
      <x:c r="T2221" s="93" t="n">
        <x:f>P2221*R2221</x:f>
        <x:v>39</x:v>
      </x:c>
      <x:c r="U2221" s="93" t="n">
        <x:f>T2221*S2221</x:f>
        <x:v>1.9500000000000002</x:v>
      </x:c>
      <x:c r="V2221" s="93" t="str">
        <x:f>PROPER(TRIM('Raw Sales'!L2221))</x:f>
        <x:v>Completed</x:v>
      </x:c>
      <x:c r="W2221" s="93" t="n">
        <x:f>IF(V2221="Returned",0,T2221-U2221)</x:f>
        <x:v>37.05</x:v>
      </x:c>
      <x:c r="X2221" s="93" t="n">
        <x:f>IF(V2221="Returned",Q2221*R2221*10%,Q2221*R2221)</x:f>
        <x:v>14</x:v>
      </x:c>
      <x:c r="Y2221" s="93" t="n">
        <x:f>W2221-X2221</x:f>
        <x:v>23.049999999999997</x:v>
      </x:c>
      <x:c r="Z2221" s="94" t="n">
        <x:f>IFERROR(Y2221/W2221,0)</x:f>
        <x:v>0.6221322537112011</x:v>
      </x:c>
      <x:c r="AA2221" s="84" t="str">
        <x:f>PROPER(TRIM('Raw Sales'!M2221))</x:f>
        <x:v>Credit Card</x:v>
      </x:c>
      <x:c r="AB2221" s="84" t="str">
        <x:f>PROPER(TRIM('Raw Sales'!N2221))</x:f>
        <x:v>Sofia Bennett</x:v>
      </x:c>
      <x:c r="AC2221" s="85" t="n">
        <x:f>'Raw Sales'!O2221</x:f>
        <x:v>45985</x:v>
      </x:c>
      <x:c r="AD2221" s="84" t="n">
        <x:f>AC2221-B2221</x:f>
        <x:v>1</x:v>
      </x:c>
      <x:c r="AE2221" s="84" t="str">
        <x:f>IF(COUNTIF($A$5:A2221,A2221)&gt;1,"Duplicate","Keep")</x:f>
        <x:v>Keep</x:v>
      </x:c>
      <x:c r="AF2221" s="84" t="str">
        <x:f>IF(OR(R2221&lt;=0,AC2221&lt;B2221,H2221="Unknown",M2221="Unknown Product"),"Review","Valid")</x:f>
        <x:v>Valid</x:v>
      </x:c>
      <x:c r="AG2221" s="84" t="n">
        <x:f>IF(AND(AE2221="Keep",AF2221="Valid"),1,0)</x:f>
        <x:v>1</x:v>
      </x:c>
      <x:c r="AH2221" s="84" t="n">
        <x:f>IF(AND(AG2221=1,OR('Dashboard'!$B$4="All",I2221='Dashboard'!$B$4),OR('Dashboard'!$E$4="All",N2221='Dashboard'!$E$4),OR('Dashboard'!$H$4="All",K2221='Dashboard'!$H$4),OR('Dashboard'!$K$4="All",C2221='Dashboard'!$K$4)),1,0)</x:f>
        <x:v>1</x:v>
      </x:c>
      <x:c r="AI2221" s="84" t="n">
        <x:f>IF(AND(AG2221=1,OR('Dashboard'!$B$4="All",I2221='Dashboard'!$B$4),OR('Dashboard'!$E$4="All",N2221='Dashboard'!$E$4),OR('Dashboard'!$H$4="All",K2221='Dashboard'!$H$4)),1,0)</x:f>
        <x:v>1</x:v>
      </x:c>
    </x:row>
    <x:row r="2222">
      <x:c r="A2222" s="84" t="str">
        <x:f>'Raw Sales'!A2222</x:f>
        <x:v>ORD-2025-01915</x:v>
      </x:c>
      <x:c r="B2222" s="85" t="n">
        <x:f>'Raw Sales'!B2222</x:f>
        <x:v>45984</x:v>
      </x:c>
      <x:c r="C2222" s="84" t="n">
        <x:f>YEAR(B2222)</x:f>
        <x:v>2025</x:v>
      </x:c>
      <x:c r="D2222" s="91" t="n">
        <x:f>DATE(YEAR(B2222),MONTH(B2222),1)</x:f>
        <x:v>45962</x:v>
      </x:c>
      <x:c r="E2222" s="84" t="str">
        <x:f>TEXT(B2222,"mmm")</x:f>
        <x:v>Nov</x:v>
      </x:c>
      <x:c r="F2222" s="84" t="str">
        <x:f>'Raw Sales'!C2222</x:f>
        <x:v>CUST-0161</x:v>
      </x:c>
      <x:c r="G2222" s="84" t="str">
        <x:f>PROPER(TRIM('Raw Sales'!D2222))</x:f>
        <x:v>Sara Patel</x:v>
      </x:c>
      <x:c r="H2222" s="84" t="str">
        <x:f>IF(TRIM('Raw Sales'!E2222)="","Unknown",PROPER(TRIM('Raw Sales'!E2222)))</x:f>
        <x:v>Consumer</x:v>
      </x:c>
      <x:c r="I2222" s="84" t="str">
        <x:f>PROPER(TRIM('Raw Sales'!F2222))</x:f>
        <x:v>Southeast</x:v>
      </x:c>
      <x:c r="J2222" s="84" t="str">
        <x:f>PROPER(TRIM('Raw Sales'!G2222))</x:f>
        <x:v>Atlanta</x:v>
      </x:c>
      <x:c r="K2222" s="84" t="str">
        <x:f>PROPER(TRIM('Raw Sales'!H2222))</x:f>
        <x:v>Online</x:v>
      </x:c>
      <x:c r="L2222" s="84" t="str">
        <x:f>'Raw Sales'!I2222</x:f>
        <x:v>HOME-003</x:v>
      </x:c>
      <x:c r="M2222" s="84" t="str">
        <x:f>IFERROR(VLOOKUP(L2222,'Reference Data'!$A$5:$F$40,2,FALSE),"Unknown Product")</x:f>
        <x:v>Countertop Blender</x:v>
      </x:c>
      <x:c r="N2222" s="84" t="str">
        <x:f>IFERROR(VLOOKUP(L2222,'Reference Data'!$A$5:$F$40,3,FALSE),"Unknown")</x:f>
        <x:v>Home &amp; Kitchen</x:v>
      </x:c>
      <x:c r="O2222" s="84" t="str">
        <x:f>IFERROR(VLOOKUP(L2222,'Reference Data'!$A$5:$F$40,4,FALSE),"Unknown")</x:f>
        <x:v>Small Appliances</x:v>
      </x:c>
      <x:c r="P2222" s="92" t="n">
        <x:f>IFERROR(VLOOKUP(L2222,'Reference Data'!$A$5:$F$40,5,FALSE),0)</x:f>
        <x:v>89</x:v>
      </x:c>
      <x:c r="Q2222" s="92" t="n">
        <x:f>IFERROR(VLOOKUP(L2222,'Reference Data'!$A$5:$F$40,6,FALSE),0)</x:f>
        <x:v>46</x:v>
      </x:c>
      <x:c r="R2222" s="84" t="n">
        <x:f>'Raw Sales'!J2222</x:f>
        <x:v>2</x:v>
      </x:c>
      <x:c r="S2222" s="87" t="n">
        <x:f>'Raw Sales'!K2222</x:f>
        <x:v>0.1</x:v>
      </x:c>
      <x:c r="T2222" s="93" t="n">
        <x:f>P2222*R2222</x:f>
        <x:v>178</x:v>
      </x:c>
      <x:c r="U2222" s="93" t="n">
        <x:f>T2222*S2222</x:f>
        <x:v>17.8</x:v>
      </x:c>
      <x:c r="V2222" s="93" t="str">
        <x:f>PROPER(TRIM('Raw Sales'!L2222))</x:f>
        <x:v>Completed</x:v>
      </x:c>
      <x:c r="W2222" s="93" t="n">
        <x:f>IF(V2222="Returned",0,T2222-U2222)</x:f>
        <x:v>160.2</x:v>
      </x:c>
      <x:c r="X2222" s="93" t="n">
        <x:f>IF(V2222="Returned",Q2222*R2222*10%,Q2222*R2222)</x:f>
        <x:v>92</x:v>
      </x:c>
      <x:c r="Y2222" s="93" t="n">
        <x:f>W2222-X2222</x:f>
        <x:v>68.19999999999999</x:v>
      </x:c>
      <x:c r="Z2222" s="94" t="n">
        <x:f>IFERROR(Y2222/W2222,0)</x:f>
        <x:v>0.4257178526841448</x:v>
      </x:c>
      <x:c r="AA2222" s="84" t="str">
        <x:f>PROPER(TRIM('Raw Sales'!M2222))</x:f>
        <x:v>Credit Card</x:v>
      </x:c>
      <x:c r="AB2222" s="84" t="str">
        <x:f>PROPER(TRIM('Raw Sales'!N2222))</x:f>
        <x:v>Liam Parker</x:v>
      </x:c>
      <x:c r="AC2222" s="85" t="n">
        <x:f>'Raw Sales'!O2222</x:f>
        <x:v>45988</x:v>
      </x:c>
      <x:c r="AD2222" s="84" t="n">
        <x:f>AC2222-B2222</x:f>
        <x:v>4</x:v>
      </x:c>
      <x:c r="AE2222" s="84" t="str">
        <x:f>IF(COUNTIF($A$5:A2222,A2222)&gt;1,"Duplicate","Keep")</x:f>
        <x:v>Keep</x:v>
      </x:c>
      <x:c r="AF2222" s="84" t="str">
        <x:f>IF(OR(R2222&lt;=0,AC2222&lt;B2222,H2222="Unknown",M2222="Unknown Product"),"Review","Valid")</x:f>
        <x:v>Valid</x:v>
      </x:c>
      <x:c r="AG2222" s="84" t="n">
        <x:f>IF(AND(AE2222="Keep",AF2222="Valid"),1,0)</x:f>
        <x:v>1</x:v>
      </x:c>
      <x:c r="AH2222" s="84" t="n">
        <x:f>IF(AND(AG2222=1,OR('Dashboard'!$B$4="All",I2222='Dashboard'!$B$4),OR('Dashboard'!$E$4="All",N2222='Dashboard'!$E$4),OR('Dashboard'!$H$4="All",K2222='Dashboard'!$H$4),OR('Dashboard'!$K$4="All",C2222='Dashboard'!$K$4)),1,0)</x:f>
        <x:v>1</x:v>
      </x:c>
      <x:c r="AI2222" s="84" t="n">
        <x:f>IF(AND(AG2222=1,OR('Dashboard'!$B$4="All",I2222='Dashboard'!$B$4),OR('Dashboard'!$E$4="All",N2222='Dashboard'!$E$4),OR('Dashboard'!$H$4="All",K2222='Dashboard'!$H$4)),1,0)</x:f>
        <x:v>1</x:v>
      </x:c>
    </x:row>
    <x:row r="2223">
      <x:c r="A2223" s="84" t="str">
        <x:f>'Raw Sales'!A2223</x:f>
        <x:v>ORD-2025-01991</x:v>
      </x:c>
      <x:c r="B2223" s="85" t="n">
        <x:f>'Raw Sales'!B2223</x:f>
        <x:v>45984</x:v>
      </x:c>
      <x:c r="C2223" s="84" t="n">
        <x:f>YEAR(B2223)</x:f>
        <x:v>2025</x:v>
      </x:c>
      <x:c r="D2223" s="91" t="n">
        <x:f>DATE(YEAR(B2223),MONTH(B2223),1)</x:f>
        <x:v>45962</x:v>
      </x:c>
      <x:c r="E2223" s="84" t="str">
        <x:f>TEXT(B2223,"mmm")</x:f>
        <x:v>Nov</x:v>
      </x:c>
      <x:c r="F2223" s="84" t="str">
        <x:f>'Raw Sales'!C2223</x:f>
        <x:v>CUST-0537</x:v>
      </x:c>
      <x:c r="G2223" s="84" t="str">
        <x:f>PROPER(TRIM('Raw Sales'!D2223))</x:f>
        <x:v>Grace Young</x:v>
      </x:c>
      <x:c r="H2223" s="84" t="str">
        <x:f>IF(TRIM('Raw Sales'!E2223)="","Unknown",PROPER(TRIM('Raw Sales'!E2223)))</x:f>
        <x:v>Consumer</x:v>
      </x:c>
      <x:c r="I2223" s="84" t="str">
        <x:f>PROPER(TRIM('Raw Sales'!F2223))</x:f>
        <x:v>Northeast</x:v>
      </x:c>
      <x:c r="J2223" s="84" t="str">
        <x:f>PROPER(TRIM('Raw Sales'!G2223))</x:f>
        <x:v>Philadelphia</x:v>
      </x:c>
      <x:c r="K2223" s="84" t="str">
        <x:f>PROPER(TRIM('Raw Sales'!H2223))</x:f>
        <x:v>Retail Store</x:v>
      </x:c>
      <x:c r="L2223" s="84" t="str">
        <x:f>'Raw Sales'!I2223</x:f>
        <x:v>CARE-001</x:v>
      </x:c>
      <x:c r="M2223" s="84" t="str">
        <x:f>IFERROR(VLOOKUP(L2223,'Reference Data'!$A$5:$F$40,2,FALSE),"Unknown Product")</x:f>
        <x:v>Ionic Hair Dryer</x:v>
      </x:c>
      <x:c r="N2223" s="84" t="str">
        <x:f>IFERROR(VLOOKUP(L2223,'Reference Data'!$A$5:$F$40,3,FALSE),"Unknown")</x:f>
        <x:v>Personal Care</x:v>
      </x:c>
      <x:c r="O2223" s="84" t="str">
        <x:f>IFERROR(VLOOKUP(L2223,'Reference Data'!$A$5:$F$40,4,FALSE),"Unknown")</x:f>
        <x:v>Hair Care</x:v>
      </x:c>
      <x:c r="P2223" s="92" t="n">
        <x:f>IFERROR(VLOOKUP(L2223,'Reference Data'!$A$5:$F$40,5,FALSE),0)</x:f>
        <x:v>54</x:v>
      </x:c>
      <x:c r="Q2223" s="92" t="n">
        <x:f>IFERROR(VLOOKUP(L2223,'Reference Data'!$A$5:$F$40,6,FALSE),0)</x:f>
        <x:v>25</x:v>
      </x:c>
      <x:c r="R2223" s="84" t="n">
        <x:f>'Raw Sales'!J2223</x:f>
        <x:v>2</x:v>
      </x:c>
      <x:c r="S2223" s="87" t="n">
        <x:f>'Raw Sales'!K2223</x:f>
        <x:v>0.1</x:v>
      </x:c>
      <x:c r="T2223" s="93" t="n">
        <x:f>P2223*R2223</x:f>
        <x:v>108</x:v>
      </x:c>
      <x:c r="U2223" s="93" t="n">
        <x:f>T2223*S2223</x:f>
        <x:v>10.8</x:v>
      </x:c>
      <x:c r="V2223" s="93" t="str">
        <x:f>PROPER(TRIM('Raw Sales'!L2223))</x:f>
        <x:v>Completed</x:v>
      </x:c>
      <x:c r="W2223" s="93" t="n">
        <x:f>IF(V2223="Returned",0,T2223-U2223)</x:f>
        <x:v>97.2</x:v>
      </x:c>
      <x:c r="X2223" s="93" t="n">
        <x:f>IF(V2223="Returned",Q2223*R2223*10%,Q2223*R2223)</x:f>
        <x:v>50</x:v>
      </x:c>
      <x:c r="Y2223" s="93" t="n">
        <x:f>W2223-X2223</x:f>
        <x:v>47.2</x:v>
      </x:c>
      <x:c r="Z2223" s="94" t="n">
        <x:f>IFERROR(Y2223/W2223,0)</x:f>
        <x:v>0.48559670781893005</x:v>
      </x:c>
      <x:c r="AA2223" s="84" t="str">
        <x:f>PROPER(TRIM('Raw Sales'!M2223))</x:f>
        <x:v>Mobile Wallet</x:v>
      </x:c>
      <x:c r="AB2223" s="84" t="str">
        <x:f>PROPER(TRIM('Raw Sales'!N2223))</x:f>
        <x:v>Ethan Cole</x:v>
      </x:c>
      <x:c r="AC2223" s="85" t="n">
        <x:f>'Raw Sales'!O2223</x:f>
        <x:v>45984</x:v>
      </x:c>
      <x:c r="AD2223" s="84" t="n">
        <x:f>AC2223-B2223</x:f>
        <x:v>0</x:v>
      </x:c>
      <x:c r="AE2223" s="84" t="str">
        <x:f>IF(COUNTIF($A$5:A2223,A2223)&gt;1,"Duplicate","Keep")</x:f>
        <x:v>Keep</x:v>
      </x:c>
      <x:c r="AF2223" s="84" t="str">
        <x:f>IF(OR(R2223&lt;=0,AC2223&lt;B2223,H2223="Unknown",M2223="Unknown Product"),"Review","Valid")</x:f>
        <x:v>Valid</x:v>
      </x:c>
      <x:c r="AG2223" s="84" t="n">
        <x:f>IF(AND(AE2223="Keep",AF2223="Valid"),1,0)</x:f>
        <x:v>1</x:v>
      </x:c>
      <x:c r="AH2223" s="84" t="n">
        <x:f>IF(AND(AG2223=1,OR('Dashboard'!$B$4="All",I2223='Dashboard'!$B$4),OR('Dashboard'!$E$4="All",N2223='Dashboard'!$E$4),OR('Dashboard'!$H$4="All",K2223='Dashboard'!$H$4),OR('Dashboard'!$K$4="All",C2223='Dashboard'!$K$4)),1,0)</x:f>
        <x:v>1</x:v>
      </x:c>
      <x:c r="AI2223" s="84" t="n">
        <x:f>IF(AND(AG2223=1,OR('Dashboard'!$B$4="All",I2223='Dashboard'!$B$4),OR('Dashboard'!$E$4="All",N2223='Dashboard'!$E$4),OR('Dashboard'!$H$4="All",K2223='Dashboard'!$H$4)),1,0)</x:f>
        <x:v>1</x:v>
      </x:c>
    </x:row>
    <x:row r="2224">
      <x:c r="A2224" s="84" t="str">
        <x:f>'Raw Sales'!A2224</x:f>
        <x:v>ORD-2025-00332</x:v>
      </x:c>
      <x:c r="B2224" s="85" t="n">
        <x:f>'Raw Sales'!B2224</x:f>
        <x:v>45985</x:v>
      </x:c>
      <x:c r="C2224" s="84" t="n">
        <x:f>YEAR(B2224)</x:f>
        <x:v>2025</x:v>
      </x:c>
      <x:c r="D2224" s="91" t="n">
        <x:f>DATE(YEAR(B2224),MONTH(B2224),1)</x:f>
        <x:v>45962</x:v>
      </x:c>
      <x:c r="E2224" s="84" t="str">
        <x:f>TEXT(B2224,"mmm")</x:f>
        <x:v>Nov</x:v>
      </x:c>
      <x:c r="F2224" s="84" t="str">
        <x:f>'Raw Sales'!C2224</x:f>
        <x:v>CUST-0169</x:v>
      </x:c>
      <x:c r="G2224" s="84" t="str">
        <x:f>PROPER(TRIM('Raw Sales'!D2224))</x:f>
        <x:v>Marcus Evans</x:v>
      </x:c>
      <x:c r="H2224" s="84" t="str">
        <x:f>IF(TRIM('Raw Sales'!E2224)="","Unknown",PROPER(TRIM('Raw Sales'!E2224)))</x:f>
        <x:v>Corporate</x:v>
      </x:c>
      <x:c r="I2224" s="84" t="str">
        <x:f>PROPER(TRIM('Raw Sales'!F2224))</x:f>
        <x:v>Northeast</x:v>
      </x:c>
      <x:c r="J2224" s="84" t="str">
        <x:f>PROPER(TRIM('Raw Sales'!G2224))</x:f>
        <x:v>New York</x:v>
      </x:c>
      <x:c r="K2224" s="84" t="str">
        <x:f>PROPER(TRIM('Raw Sales'!H2224))</x:f>
        <x:v>Retail Store</x:v>
      </x:c>
      <x:c r="L2224" s="84" t="str">
        <x:f>'Raw Sales'!I2224</x:f>
        <x:v>ELEC-005</x:v>
      </x:c>
      <x:c r="M2224" s="84" t="str">
        <x:f>IFERROR(VLOOKUP(L2224,'Reference Data'!$A$5:$F$40,2,FALSE),"Unknown Product")</x:f>
        <x:v>HD Webcam</x:v>
      </x:c>
      <x:c r="N2224" s="84" t="str">
        <x:f>IFERROR(VLOOKUP(L2224,'Reference Data'!$A$5:$F$40,3,FALSE),"Unknown")</x:f>
        <x:v>Electronics</x:v>
      </x:c>
      <x:c r="O2224" s="84" t="str">
        <x:f>IFERROR(VLOOKUP(L2224,'Reference Data'!$A$5:$F$40,4,FALSE),"Unknown")</x:f>
        <x:v>Computer Accessories</x:v>
      </x:c>
      <x:c r="P2224" s="92" t="n">
        <x:f>IFERROR(VLOOKUP(L2224,'Reference Data'!$A$5:$F$40,5,FALSE),0)</x:f>
        <x:v>79</x:v>
      </x:c>
      <x:c r="Q2224" s="92" t="n">
        <x:f>IFERROR(VLOOKUP(L2224,'Reference Data'!$A$5:$F$40,6,FALSE),0)</x:f>
        <x:v>37</x:v>
      </x:c>
      <x:c r="R2224" s="84" t="n">
        <x:f>'Raw Sales'!J2224</x:f>
        <x:v>6</x:v>
      </x:c>
      <x:c r="S2224" s="87" t="n">
        <x:f>'Raw Sales'!K2224</x:f>
        <x:v>0.1</x:v>
      </x:c>
      <x:c r="T2224" s="93" t="n">
        <x:f>P2224*R2224</x:f>
        <x:v>474</x:v>
      </x:c>
      <x:c r="U2224" s="93" t="n">
        <x:f>T2224*S2224</x:f>
        <x:v>47.400000000000006</x:v>
      </x:c>
      <x:c r="V2224" s="93" t="str">
        <x:f>PROPER(TRIM('Raw Sales'!L2224))</x:f>
        <x:v>Completed</x:v>
      </x:c>
      <x:c r="W2224" s="93" t="n">
        <x:f>IF(V2224="Returned",0,T2224-U2224)</x:f>
        <x:v>426.6</x:v>
      </x:c>
      <x:c r="X2224" s="93" t="n">
        <x:f>IF(V2224="Returned",Q2224*R2224*10%,Q2224*R2224)</x:f>
        <x:v>222</x:v>
      </x:c>
      <x:c r="Y2224" s="93" t="n">
        <x:f>W2224-X2224</x:f>
        <x:v>204.60000000000002</x:v>
      </x:c>
      <x:c r="Z2224" s="94" t="n">
        <x:f>IFERROR(Y2224/W2224,0)</x:f>
        <x:v>0.47960618846694797</x:v>
      </x:c>
      <x:c r="AA2224" s="84" t="str">
        <x:f>PROPER(TRIM('Raw Sales'!M2224))</x:f>
        <x:v>Credit Card</x:v>
      </x:c>
      <x:c r="AB2224" s="84" t="str">
        <x:f>PROPER(TRIM('Raw Sales'!N2224))</x:f>
        <x:v>Ethan Cole</x:v>
      </x:c>
      <x:c r="AC2224" s="85" t="n">
        <x:f>'Raw Sales'!O2224</x:f>
        <x:v>45985</x:v>
      </x:c>
      <x:c r="AD2224" s="84" t="n">
        <x:f>AC2224-B2224</x:f>
        <x:v>0</x:v>
      </x:c>
      <x:c r="AE2224" s="84" t="str">
        <x:f>IF(COUNTIF($A$5:A2224,A2224)&gt;1,"Duplicate","Keep")</x:f>
        <x:v>Keep</x:v>
      </x:c>
      <x:c r="AF2224" s="84" t="str">
        <x:f>IF(OR(R2224&lt;=0,AC2224&lt;B2224,H2224="Unknown",M2224="Unknown Product"),"Review","Valid")</x:f>
        <x:v>Valid</x:v>
      </x:c>
      <x:c r="AG2224" s="84" t="n">
        <x:f>IF(AND(AE2224="Keep",AF2224="Valid"),1,0)</x:f>
        <x:v>1</x:v>
      </x:c>
      <x:c r="AH2224" s="84" t="n">
        <x:f>IF(AND(AG2224=1,OR('Dashboard'!$B$4="All",I2224='Dashboard'!$B$4),OR('Dashboard'!$E$4="All",N2224='Dashboard'!$E$4),OR('Dashboard'!$H$4="All",K2224='Dashboard'!$H$4),OR('Dashboard'!$K$4="All",C2224='Dashboard'!$K$4)),1,0)</x:f>
        <x:v>1</x:v>
      </x:c>
      <x:c r="AI2224" s="84" t="n">
        <x:f>IF(AND(AG2224=1,OR('Dashboard'!$B$4="All",I2224='Dashboard'!$B$4),OR('Dashboard'!$E$4="All",N2224='Dashboard'!$E$4),OR('Dashboard'!$H$4="All",K2224='Dashboard'!$H$4)),1,0)</x:f>
        <x:v>1</x:v>
      </x:c>
    </x:row>
    <x:row r="2225">
      <x:c r="A2225" s="84" t="str">
        <x:f>'Raw Sales'!A2225</x:f>
        <x:v>ORD-2025-00556</x:v>
      </x:c>
      <x:c r="B2225" s="85" t="n">
        <x:f>'Raw Sales'!B2225</x:f>
        <x:v>45985</x:v>
      </x:c>
      <x:c r="C2225" s="84" t="n">
        <x:f>YEAR(B2225)</x:f>
        <x:v>2025</x:v>
      </x:c>
      <x:c r="D2225" s="91" t="n">
        <x:f>DATE(YEAR(B2225),MONTH(B2225),1)</x:f>
        <x:v>45962</x:v>
      </x:c>
      <x:c r="E2225" s="84" t="str">
        <x:f>TEXT(B2225,"mmm")</x:f>
        <x:v>Nov</x:v>
      </x:c>
      <x:c r="F2225" s="84" t="str">
        <x:f>'Raw Sales'!C2225</x:f>
        <x:v>CUST-0029</x:v>
      </x:c>
      <x:c r="G2225" s="84" t="str">
        <x:f>PROPER(TRIM('Raw Sales'!D2225))</x:f>
        <x:v>Theo Ortiz</x:v>
      </x:c>
      <x:c r="H2225" s="84" t="str">
        <x:f>IF(TRIM('Raw Sales'!E2225)="","Unknown",PROPER(TRIM('Raw Sales'!E2225)))</x:f>
        <x:v>Corporate</x:v>
      </x:c>
      <x:c r="I2225" s="84" t="str">
        <x:f>PROPER(TRIM('Raw Sales'!F2225))</x:f>
        <x:v>Northeast</x:v>
      </x:c>
      <x:c r="J2225" s="84" t="str">
        <x:f>PROPER(TRIM('Raw Sales'!G2225))</x:f>
        <x:v>Philadelphia</x:v>
      </x:c>
      <x:c r="K2225" s="84" t="str">
        <x:f>PROPER(TRIM('Raw Sales'!H2225))</x:f>
        <x:v>Online</x:v>
      </x:c>
      <x:c r="L2225" s="84" t="str">
        <x:f>'Raw Sales'!I2225</x:f>
        <x:v>FITN-006</x:v>
      </x:c>
      <x:c r="M2225" s="84" t="str">
        <x:f>IFERROR(VLOOKUP(L2225,'Reference Data'!$A$5:$F$40,2,FALSE),"Unknown Product")</x:f>
        <x:v>Foam Roller</x:v>
      </x:c>
      <x:c r="N2225" s="84" t="str">
        <x:f>IFERROR(VLOOKUP(L2225,'Reference Data'!$A$5:$F$40,3,FALSE),"Unknown")</x:f>
        <x:v>Fitness</x:v>
      </x:c>
      <x:c r="O2225" s="84" t="str">
        <x:f>IFERROR(VLOOKUP(L2225,'Reference Data'!$A$5:$F$40,4,FALSE),"Unknown")</x:f>
        <x:v>Recovery</x:v>
      </x:c>
      <x:c r="P2225" s="92" t="n">
        <x:f>IFERROR(VLOOKUP(L2225,'Reference Data'!$A$5:$F$40,5,FALSE),0)</x:f>
        <x:v>31</x:v>
      </x:c>
      <x:c r="Q2225" s="92" t="n">
        <x:f>IFERROR(VLOOKUP(L2225,'Reference Data'!$A$5:$F$40,6,FALSE),0)</x:f>
        <x:v>12</x:v>
      </x:c>
      <x:c r="R2225" s="84" t="n">
        <x:f>'Raw Sales'!J2225</x:f>
        <x:v>1</x:v>
      </x:c>
      <x:c r="S2225" s="87" t="n">
        <x:f>'Raw Sales'!K2225</x:f>
        <x:v>0.1</x:v>
      </x:c>
      <x:c r="T2225" s="93" t="n">
        <x:f>P2225*R2225</x:f>
        <x:v>31</x:v>
      </x:c>
      <x:c r="U2225" s="93" t="n">
        <x:f>T2225*S2225</x:f>
        <x:v>3.1</x:v>
      </x:c>
      <x:c r="V2225" s="93" t="str">
        <x:f>PROPER(TRIM('Raw Sales'!L2225))</x:f>
        <x:v>Completed</x:v>
      </x:c>
      <x:c r="W2225" s="93" t="n">
        <x:f>IF(V2225="Returned",0,T2225-U2225)</x:f>
        <x:v>27.9</x:v>
      </x:c>
      <x:c r="X2225" s="93" t="n">
        <x:f>IF(V2225="Returned",Q2225*R2225*10%,Q2225*R2225)</x:f>
        <x:v>12</x:v>
      </x:c>
      <x:c r="Y2225" s="93" t="n">
        <x:f>W2225-X2225</x:f>
        <x:v>15.899999999999999</x:v>
      </x:c>
      <x:c r="Z2225" s="94" t="n">
        <x:f>IFERROR(Y2225/W2225,0)</x:f>
        <x:v>0.5698924731182795</x:v>
      </x:c>
      <x:c r="AA2225" s="84" t="str">
        <x:f>PROPER(TRIM('Raw Sales'!M2225))</x:f>
        <x:v>Credit Card</x:v>
      </x:c>
      <x:c r="AB2225" s="84" t="str">
        <x:f>PROPER(TRIM('Raw Sales'!N2225))</x:f>
        <x:v>Ethan Cole</x:v>
      </x:c>
      <x:c r="AC2225" s="85" t="n">
        <x:f>'Raw Sales'!O2225</x:f>
        <x:v>45987</x:v>
      </x:c>
      <x:c r="AD2225" s="84" t="n">
        <x:f>AC2225-B2225</x:f>
        <x:v>2</x:v>
      </x:c>
      <x:c r="AE2225" s="84" t="str">
        <x:f>IF(COUNTIF($A$5:A2225,A2225)&gt;1,"Duplicate","Keep")</x:f>
        <x:v>Keep</x:v>
      </x:c>
      <x:c r="AF2225" s="84" t="str">
        <x:f>IF(OR(R2225&lt;=0,AC2225&lt;B2225,H2225="Unknown",M2225="Unknown Product"),"Review","Valid")</x:f>
        <x:v>Valid</x:v>
      </x:c>
      <x:c r="AG2225" s="84" t="n">
        <x:f>IF(AND(AE2225="Keep",AF2225="Valid"),1,0)</x:f>
        <x:v>1</x:v>
      </x:c>
      <x:c r="AH2225" s="84" t="n">
        <x:f>IF(AND(AG2225=1,OR('Dashboard'!$B$4="All",I2225='Dashboard'!$B$4),OR('Dashboard'!$E$4="All",N2225='Dashboard'!$E$4),OR('Dashboard'!$H$4="All",K2225='Dashboard'!$H$4),OR('Dashboard'!$K$4="All",C2225='Dashboard'!$K$4)),1,0)</x:f>
        <x:v>1</x:v>
      </x:c>
      <x:c r="AI2225" s="84" t="n">
        <x:f>IF(AND(AG2225=1,OR('Dashboard'!$B$4="All",I2225='Dashboard'!$B$4),OR('Dashboard'!$E$4="All",N2225='Dashboard'!$E$4),OR('Dashboard'!$H$4="All",K2225='Dashboard'!$H$4)),1,0)</x:f>
        <x:v>1</x:v>
      </x:c>
    </x:row>
    <x:row r="2226">
      <x:c r="A2226" s="84" t="str">
        <x:f>'Raw Sales'!A2226</x:f>
        <x:v>ORD-2025-00825</x:v>
      </x:c>
      <x:c r="B2226" s="85" t="n">
        <x:f>'Raw Sales'!B2226</x:f>
        <x:v>45985</x:v>
      </x:c>
      <x:c r="C2226" s="84" t="n">
        <x:f>YEAR(B2226)</x:f>
        <x:v>2025</x:v>
      </x:c>
      <x:c r="D2226" s="91" t="n">
        <x:f>DATE(YEAR(B2226),MONTH(B2226),1)</x:f>
        <x:v>45962</x:v>
      </x:c>
      <x:c r="E2226" s="84" t="str">
        <x:f>TEXT(B2226,"mmm")</x:f>
        <x:v>Nov</x:v>
      </x:c>
      <x:c r="F2226" s="84" t="str">
        <x:f>'Raw Sales'!C2226</x:f>
        <x:v>CUST-0270</x:v>
      </x:c>
      <x:c r="G2226" s="84" t="str">
        <x:f>PROPER(TRIM('Raw Sales'!D2226))</x:f>
        <x:v>Victoria Nelson</x:v>
      </x:c>
      <x:c r="H2226" s="84" t="str">
        <x:f>IF(TRIM('Raw Sales'!E2226)="","Unknown",PROPER(TRIM('Raw Sales'!E2226)))</x:f>
        <x:v>Consumer</x:v>
      </x:c>
      <x:c r="I2226" s="84" t="str">
        <x:f>PROPER(TRIM('Raw Sales'!F2226))</x:f>
        <x:v>Northeast</x:v>
      </x:c>
      <x:c r="J2226" s="84" t="str">
        <x:f>PROPER(TRIM('Raw Sales'!G2226))</x:f>
        <x:v>Newark</x:v>
      </x:c>
      <x:c r="K2226" s="84" t="str">
        <x:f>PROPER(TRIM('Raw Sales'!H2226))</x:f>
        <x:v>Online</x:v>
      </x:c>
      <x:c r="L2226" s="84" t="str">
        <x:f>'Raw Sales'!I2226</x:f>
        <x:v>ELEC-001</x:v>
      </x:c>
      <x:c r="M2226" s="84" t="str">
        <x:f>IFERROR(VLOOKUP(L2226,'Reference Data'!$A$5:$F$40,2,FALSE),"Unknown Product")</x:f>
        <x:v>Wireless Earbuds</x:v>
      </x:c>
      <x:c r="N2226" s="84" t="str">
        <x:f>IFERROR(VLOOKUP(L2226,'Reference Data'!$A$5:$F$40,3,FALSE),"Unknown")</x:f>
        <x:v>Electronics</x:v>
      </x:c>
      <x:c r="O2226" s="84" t="str">
        <x:f>IFERROR(VLOOKUP(L2226,'Reference Data'!$A$5:$F$40,4,FALSE),"Unknown")</x:f>
        <x:v>Audio</x:v>
      </x:c>
      <x:c r="P2226" s="92" t="n">
        <x:f>IFERROR(VLOOKUP(L2226,'Reference Data'!$A$5:$F$40,5,FALSE),0)</x:f>
        <x:v>69</x:v>
      </x:c>
      <x:c r="Q2226" s="92" t="n">
        <x:f>IFERROR(VLOOKUP(L2226,'Reference Data'!$A$5:$F$40,6,FALSE),0)</x:f>
        <x:v>36</x:v>
      </x:c>
      <x:c r="R2226" s="84" t="n">
        <x:f>'Raw Sales'!J2226</x:f>
        <x:v>1</x:v>
      </x:c>
      <x:c r="S2226" s="87" t="n">
        <x:f>'Raw Sales'!K2226</x:f>
        <x:v>0.15</x:v>
      </x:c>
      <x:c r="T2226" s="93" t="n">
        <x:f>P2226*R2226</x:f>
        <x:v>69</x:v>
      </x:c>
      <x:c r="U2226" s="93" t="n">
        <x:f>T2226*S2226</x:f>
        <x:v>10.35</x:v>
      </x:c>
      <x:c r="V2226" s="93" t="str">
        <x:f>PROPER(TRIM('Raw Sales'!L2226))</x:f>
        <x:v>Completed</x:v>
      </x:c>
      <x:c r="W2226" s="93" t="n">
        <x:f>IF(V2226="Returned",0,T2226-U2226)</x:f>
        <x:v>58.65</x:v>
      </x:c>
      <x:c r="X2226" s="93" t="n">
        <x:f>IF(V2226="Returned",Q2226*R2226*10%,Q2226*R2226)</x:f>
        <x:v>36</x:v>
      </x:c>
      <x:c r="Y2226" s="93" t="n">
        <x:f>W2226-X2226</x:f>
        <x:v>22.65</x:v>
      </x:c>
      <x:c r="Z2226" s="94" t="n">
        <x:f>IFERROR(Y2226/W2226,0)</x:f>
        <x:v>0.38618925831202044</x:v>
      </x:c>
      <x:c r="AA2226" s="84" t="str">
        <x:f>PROPER(TRIM('Raw Sales'!M2226))</x:f>
        <x:v>Credit Card</x:v>
      </x:c>
      <x:c r="AB2226" s="84" t="str">
        <x:f>PROPER(TRIM('Raw Sales'!N2226))</x:f>
        <x:v>Maya Brooks</x:v>
      </x:c>
      <x:c r="AC2226" s="85" t="n">
        <x:f>'Raw Sales'!O2226</x:f>
        <x:v>45987</x:v>
      </x:c>
      <x:c r="AD2226" s="84" t="n">
        <x:f>AC2226-B2226</x:f>
        <x:v>2</x:v>
      </x:c>
      <x:c r="AE2226" s="84" t="str">
        <x:f>IF(COUNTIF($A$5:A2226,A2226)&gt;1,"Duplicate","Keep")</x:f>
        <x:v>Keep</x:v>
      </x:c>
      <x:c r="AF2226" s="84" t="str">
        <x:f>IF(OR(R2226&lt;=0,AC2226&lt;B2226,H2226="Unknown",M2226="Unknown Product"),"Review","Valid")</x:f>
        <x:v>Valid</x:v>
      </x:c>
      <x:c r="AG2226" s="84" t="n">
        <x:f>IF(AND(AE2226="Keep",AF2226="Valid"),1,0)</x:f>
        <x:v>1</x:v>
      </x:c>
      <x:c r="AH2226" s="84" t="n">
        <x:f>IF(AND(AG2226=1,OR('Dashboard'!$B$4="All",I2226='Dashboard'!$B$4),OR('Dashboard'!$E$4="All",N2226='Dashboard'!$E$4),OR('Dashboard'!$H$4="All",K2226='Dashboard'!$H$4),OR('Dashboard'!$K$4="All",C2226='Dashboard'!$K$4)),1,0)</x:f>
        <x:v>1</x:v>
      </x:c>
      <x:c r="AI2226" s="84" t="n">
        <x:f>IF(AND(AG2226=1,OR('Dashboard'!$B$4="All",I2226='Dashboard'!$B$4),OR('Dashboard'!$E$4="All",N2226='Dashboard'!$E$4),OR('Dashboard'!$H$4="All",K2226='Dashboard'!$H$4)),1,0)</x:f>
        <x:v>1</x:v>
      </x:c>
    </x:row>
    <x:row r="2227">
      <x:c r="A2227" s="84" t="str">
        <x:f>'Raw Sales'!A2227</x:f>
        <x:v>ORD-2025-00957</x:v>
      </x:c>
      <x:c r="B2227" s="85" t="n">
        <x:f>'Raw Sales'!B2227</x:f>
        <x:v>45985</x:v>
      </x:c>
      <x:c r="C2227" s="84" t="n">
        <x:f>YEAR(B2227)</x:f>
        <x:v>2025</x:v>
      </x:c>
      <x:c r="D2227" s="91" t="n">
        <x:f>DATE(YEAR(B2227),MONTH(B2227),1)</x:f>
        <x:v>45962</x:v>
      </x:c>
      <x:c r="E2227" s="84" t="str">
        <x:f>TEXT(B2227,"mmm")</x:f>
        <x:v>Nov</x:v>
      </x:c>
      <x:c r="F2227" s="84" t="str">
        <x:f>'Raw Sales'!C2227</x:f>
        <x:v>CUST-0035</x:v>
      </x:c>
      <x:c r="G2227" s="84" t="str">
        <x:f>PROPER(TRIM('Raw Sales'!D2227))</x:f>
        <x:v>Nathan Ortiz</x:v>
      </x:c>
      <x:c r="H2227" s="84" t="str">
        <x:f>IF(TRIM('Raw Sales'!E2227)="","Unknown",PROPER(TRIM('Raw Sales'!E2227)))</x:f>
        <x:v>Corporate</x:v>
      </x:c>
      <x:c r="I2227" s="84" t="str">
        <x:f>PROPER(TRIM('Raw Sales'!F2227))</x:f>
        <x:v>Southeast</x:v>
      </x:c>
      <x:c r="J2227" s="84" t="str">
        <x:f>PROPER(TRIM('Raw Sales'!G2227))</x:f>
        <x:v>Charlotte</x:v>
      </x:c>
      <x:c r="K2227" s="84" t="str">
        <x:f>PROPER(TRIM('Raw Sales'!H2227))</x:f>
        <x:v>Marketplace</x:v>
      </x:c>
      <x:c r="L2227" s="84" t="str">
        <x:f>'Raw Sales'!I2227</x:f>
        <x:v>HOME-003</x:v>
      </x:c>
      <x:c r="M2227" s="84" t="str">
        <x:f>IFERROR(VLOOKUP(L2227,'Reference Data'!$A$5:$F$40,2,FALSE),"Unknown Product")</x:f>
        <x:v>Countertop Blender</x:v>
      </x:c>
      <x:c r="N2227" s="84" t="str">
        <x:f>IFERROR(VLOOKUP(L2227,'Reference Data'!$A$5:$F$40,3,FALSE),"Unknown")</x:f>
        <x:v>Home &amp; Kitchen</x:v>
      </x:c>
      <x:c r="O2227" s="84" t="str">
        <x:f>IFERROR(VLOOKUP(L2227,'Reference Data'!$A$5:$F$40,4,FALSE),"Unknown")</x:f>
        <x:v>Small Appliances</x:v>
      </x:c>
      <x:c r="P2227" s="92" t="n">
        <x:f>IFERROR(VLOOKUP(L2227,'Reference Data'!$A$5:$F$40,5,FALSE),0)</x:f>
        <x:v>89</x:v>
      </x:c>
      <x:c r="Q2227" s="92" t="n">
        <x:f>IFERROR(VLOOKUP(L2227,'Reference Data'!$A$5:$F$40,6,FALSE),0)</x:f>
        <x:v>46</x:v>
      </x:c>
      <x:c r="R2227" s="84" t="n">
        <x:f>'Raw Sales'!J2227</x:f>
        <x:v>4</x:v>
      </x:c>
      <x:c r="S2227" s="87" t="n">
        <x:f>'Raw Sales'!K2227</x:f>
        <x:v>0.15</x:v>
      </x:c>
      <x:c r="T2227" s="93" t="n">
        <x:f>P2227*R2227</x:f>
        <x:v>356</x:v>
      </x:c>
      <x:c r="U2227" s="93" t="n">
        <x:f>T2227*S2227</x:f>
        <x:v>53.4</x:v>
      </x:c>
      <x:c r="V2227" s="93" t="str">
        <x:f>PROPER(TRIM('Raw Sales'!L2227))</x:f>
        <x:v>Completed</x:v>
      </x:c>
      <x:c r="W2227" s="93" t="n">
        <x:f>IF(V2227="Returned",0,T2227-U2227)</x:f>
        <x:v>302.6</x:v>
      </x:c>
      <x:c r="X2227" s="93" t="n">
        <x:f>IF(V2227="Returned",Q2227*R2227*10%,Q2227*R2227)</x:f>
        <x:v>184</x:v>
      </x:c>
      <x:c r="Y2227" s="93" t="n">
        <x:f>W2227-X2227</x:f>
        <x:v>118.60000000000002</x:v>
      </x:c>
      <x:c r="Z2227" s="94" t="n">
        <x:f>IFERROR(Y2227/W2227,0)</x:f>
        <x:v>0.39193654990085924</x:v>
      </x:c>
      <x:c r="AA2227" s="84" t="str">
        <x:f>PROPER(TRIM('Raw Sales'!M2227))</x:f>
        <x:v>Mobile Wallet</x:v>
      </x:c>
      <x:c r="AB2227" s="84" t="str">
        <x:f>PROPER(TRIM('Raw Sales'!N2227))</x:f>
        <x:v>Liam Parker</x:v>
      </x:c>
      <x:c r="AC2227" s="85" t="n">
        <x:f>'Raw Sales'!O2227</x:f>
        <x:v>45992</x:v>
      </x:c>
      <x:c r="AD2227" s="84" t="n">
        <x:f>AC2227-B2227</x:f>
        <x:v>7</x:v>
      </x:c>
      <x:c r="AE2227" s="84" t="str">
        <x:f>IF(COUNTIF($A$5:A2227,A2227)&gt;1,"Duplicate","Keep")</x:f>
        <x:v>Keep</x:v>
      </x:c>
      <x:c r="AF2227" s="84" t="str">
        <x:f>IF(OR(R2227&lt;=0,AC2227&lt;B2227,H2227="Unknown",M2227="Unknown Product"),"Review","Valid")</x:f>
        <x:v>Valid</x:v>
      </x:c>
      <x:c r="AG2227" s="84" t="n">
        <x:f>IF(AND(AE2227="Keep",AF2227="Valid"),1,0)</x:f>
        <x:v>1</x:v>
      </x:c>
      <x:c r="AH2227" s="84" t="n">
        <x:f>IF(AND(AG2227=1,OR('Dashboard'!$B$4="All",I2227='Dashboard'!$B$4),OR('Dashboard'!$E$4="All",N2227='Dashboard'!$E$4),OR('Dashboard'!$H$4="All",K2227='Dashboard'!$H$4),OR('Dashboard'!$K$4="All",C2227='Dashboard'!$K$4)),1,0)</x:f>
        <x:v>1</x:v>
      </x:c>
      <x:c r="AI2227" s="84" t="n">
        <x:f>IF(AND(AG2227=1,OR('Dashboard'!$B$4="All",I2227='Dashboard'!$B$4),OR('Dashboard'!$E$4="All",N2227='Dashboard'!$E$4),OR('Dashboard'!$H$4="All",K2227='Dashboard'!$H$4)),1,0)</x:f>
        <x:v>1</x:v>
      </x:c>
    </x:row>
    <x:row r="2228">
      <x:c r="A2228" s="84" t="str">
        <x:f>'Raw Sales'!A2228</x:f>
        <x:v>ORD-2025-01058</x:v>
      </x:c>
      <x:c r="B2228" s="85" t="n">
        <x:f>'Raw Sales'!B2228</x:f>
        <x:v>45985</x:v>
      </x:c>
      <x:c r="C2228" s="84" t="n">
        <x:f>YEAR(B2228)</x:f>
        <x:v>2025</x:v>
      </x:c>
      <x:c r="D2228" s="91" t="n">
        <x:f>DATE(YEAR(B2228),MONTH(B2228),1)</x:f>
        <x:v>45962</x:v>
      </x:c>
      <x:c r="E2228" s="84" t="str">
        <x:f>TEXT(B2228,"mmm")</x:f>
        <x:v>Nov</x:v>
      </x:c>
      <x:c r="F2228" s="84" t="str">
        <x:f>'Raw Sales'!C2228</x:f>
        <x:v>CUST-0602</x:v>
      </x:c>
      <x:c r="G2228" s="84" t="str">
        <x:f>PROPER(TRIM('Raw Sales'!D2228))</x:f>
        <x:v>Daniel Carter</x:v>
      </x:c>
      <x:c r="H2228" s="84" t="str">
        <x:f>IF(TRIM('Raw Sales'!E2228)="","Unknown",PROPER(TRIM('Raw Sales'!E2228)))</x:f>
        <x:v>Consumer</x:v>
      </x:c>
      <x:c r="I2228" s="84" t="str">
        <x:f>PROPER(TRIM('Raw Sales'!F2228))</x:f>
        <x:v>Southeast</x:v>
      </x:c>
      <x:c r="J2228" s="84" t="str">
        <x:f>PROPER(TRIM('Raw Sales'!G2228))</x:f>
        <x:v>Nashville</x:v>
      </x:c>
      <x:c r="K2228" s="84" t="str">
        <x:f>PROPER(TRIM('Raw Sales'!H2228))</x:f>
        <x:v>Retail Store</x:v>
      </x:c>
      <x:c r="L2228" s="84" t="str">
        <x:f>'Raw Sales'!I2228</x:f>
        <x:v>ELEC-001</x:v>
      </x:c>
      <x:c r="M2228" s="84" t="str">
        <x:f>IFERROR(VLOOKUP(L2228,'Reference Data'!$A$5:$F$40,2,FALSE),"Unknown Product")</x:f>
        <x:v>Wireless Earbuds</x:v>
      </x:c>
      <x:c r="N2228" s="84" t="str">
        <x:f>IFERROR(VLOOKUP(L2228,'Reference Data'!$A$5:$F$40,3,FALSE),"Unknown")</x:f>
        <x:v>Electronics</x:v>
      </x:c>
      <x:c r="O2228" s="84" t="str">
        <x:f>IFERROR(VLOOKUP(L2228,'Reference Data'!$A$5:$F$40,4,FALSE),"Unknown")</x:f>
        <x:v>Audio</x:v>
      </x:c>
      <x:c r="P2228" s="92" t="n">
        <x:f>IFERROR(VLOOKUP(L2228,'Reference Data'!$A$5:$F$40,5,FALSE),0)</x:f>
        <x:v>69</x:v>
      </x:c>
      <x:c r="Q2228" s="92" t="n">
        <x:f>IFERROR(VLOOKUP(L2228,'Reference Data'!$A$5:$F$40,6,FALSE),0)</x:f>
        <x:v>36</x:v>
      </x:c>
      <x:c r="R2228" s="84" t="n">
        <x:f>'Raw Sales'!J2228</x:f>
        <x:v>1</x:v>
      </x:c>
      <x:c r="S2228" s="87" t="n">
        <x:f>'Raw Sales'!K2228</x:f>
        <x:v>0</x:v>
      </x:c>
      <x:c r="T2228" s="93" t="n">
        <x:f>P2228*R2228</x:f>
        <x:v>69</x:v>
      </x:c>
      <x:c r="U2228" s="93" t="n">
        <x:f>T2228*S2228</x:f>
        <x:v>0</x:v>
      </x:c>
      <x:c r="V2228" s="93" t="str">
        <x:f>PROPER(TRIM('Raw Sales'!L2228))</x:f>
        <x:v>Completed</x:v>
      </x:c>
      <x:c r="W2228" s="93" t="n">
        <x:f>IF(V2228="Returned",0,T2228-U2228)</x:f>
        <x:v>69</x:v>
      </x:c>
      <x:c r="X2228" s="93" t="n">
        <x:f>IF(V2228="Returned",Q2228*R2228*10%,Q2228*R2228)</x:f>
        <x:v>36</x:v>
      </x:c>
      <x:c r="Y2228" s="93" t="n">
        <x:f>W2228-X2228</x:f>
        <x:v>33</x:v>
      </x:c>
      <x:c r="Z2228" s="94" t="n">
        <x:f>IFERROR(Y2228/W2228,0)</x:f>
        <x:v>0.4782608695652174</x:v>
      </x:c>
      <x:c r="AA2228" s="84" t="str">
        <x:f>PROPER(TRIM('Raw Sales'!M2228))</x:f>
        <x:v>Credit Card</x:v>
      </x:c>
      <x:c r="AB2228" s="84" t="str">
        <x:f>PROPER(TRIM('Raw Sales'!N2228))</x:f>
        <x:v>Liam Parker</x:v>
      </x:c>
      <x:c r="AC2228" s="85" t="n">
        <x:f>'Raw Sales'!O2228</x:f>
        <x:v>45986</x:v>
      </x:c>
      <x:c r="AD2228" s="84" t="n">
        <x:f>AC2228-B2228</x:f>
        <x:v>1</x:v>
      </x:c>
      <x:c r="AE2228" s="84" t="str">
        <x:f>IF(COUNTIF($A$5:A2228,A2228)&gt;1,"Duplicate","Keep")</x:f>
        <x:v>Keep</x:v>
      </x:c>
      <x:c r="AF2228" s="84" t="str">
        <x:f>IF(OR(R2228&lt;=0,AC2228&lt;B2228,H2228="Unknown",M2228="Unknown Product"),"Review","Valid")</x:f>
        <x:v>Valid</x:v>
      </x:c>
      <x:c r="AG2228" s="84" t="n">
        <x:f>IF(AND(AE2228="Keep",AF2228="Valid"),1,0)</x:f>
        <x:v>1</x:v>
      </x:c>
      <x:c r="AH2228" s="84" t="n">
        <x:f>IF(AND(AG2228=1,OR('Dashboard'!$B$4="All",I2228='Dashboard'!$B$4),OR('Dashboard'!$E$4="All",N2228='Dashboard'!$E$4),OR('Dashboard'!$H$4="All",K2228='Dashboard'!$H$4),OR('Dashboard'!$K$4="All",C2228='Dashboard'!$K$4)),1,0)</x:f>
        <x:v>1</x:v>
      </x:c>
      <x:c r="AI2228" s="84" t="n">
        <x:f>IF(AND(AG2228=1,OR('Dashboard'!$B$4="All",I2228='Dashboard'!$B$4),OR('Dashboard'!$E$4="All",N2228='Dashboard'!$E$4),OR('Dashboard'!$H$4="All",K2228='Dashboard'!$H$4)),1,0)</x:f>
        <x:v>1</x:v>
      </x:c>
    </x:row>
    <x:row r="2229">
      <x:c r="A2229" s="84" t="str">
        <x:f>'Raw Sales'!A2229</x:f>
        <x:v>ORD-2025-01638</x:v>
      </x:c>
      <x:c r="B2229" s="85" t="n">
        <x:f>'Raw Sales'!B2229</x:f>
        <x:v>45985</x:v>
      </x:c>
      <x:c r="C2229" s="84" t="n">
        <x:f>YEAR(B2229)</x:f>
        <x:v>2025</x:v>
      </x:c>
      <x:c r="D2229" s="91" t="n">
        <x:f>DATE(YEAR(B2229),MONTH(B2229),1)</x:f>
        <x:v>45962</x:v>
      </x:c>
      <x:c r="E2229" s="84" t="str">
        <x:f>TEXT(B2229,"mmm")</x:f>
        <x:v>Nov</x:v>
      </x:c>
      <x:c r="F2229" s="84" t="str">
        <x:f>'Raw Sales'!C2229</x:f>
        <x:v>CUST-0576</x:v>
      </x:c>
      <x:c r="G2229" s="84" t="str">
        <x:f>PROPER(TRIM('Raw Sales'!D2229))</x:f>
        <x:v>Maya Walker</x:v>
      </x:c>
      <x:c r="H2229" s="84" t="str">
        <x:f>IF(TRIM('Raw Sales'!E2229)="","Unknown",PROPER(TRIM('Raw Sales'!E2229)))</x:f>
        <x:v>Corporate</x:v>
      </x:c>
      <x:c r="I2229" s="84" t="str">
        <x:f>PROPER(TRIM('Raw Sales'!F2229))</x:f>
        <x:v>Northeast</x:v>
      </x:c>
      <x:c r="J2229" s="84" t="str">
        <x:f>PROPER(TRIM('Raw Sales'!G2229))</x:f>
        <x:v>New York</x:v>
      </x:c>
      <x:c r="K2229" s="84" t="str">
        <x:f>PROPER(TRIM('Raw Sales'!H2229))</x:f>
        <x:v>Marketplace</x:v>
      </x:c>
      <x:c r="L2229" s="84" t="str">
        <x:f>'Raw Sales'!I2229</x:f>
        <x:v>OFFC-001</x:v>
      </x:c>
      <x:c r="M2229" s="84" t="str">
        <x:f>IFERROR(VLOOKUP(L2229,'Reference Data'!$A$5:$F$40,2,FALSE),"Unknown Product")</x:f>
        <x:v>Ergonomic Chair</x:v>
      </x:c>
      <x:c r="N2229" s="84" t="str">
        <x:f>IFERROR(VLOOKUP(L2229,'Reference Data'!$A$5:$F$40,3,FALSE),"Unknown")</x:f>
        <x:v>Office</x:v>
      </x:c>
      <x:c r="O2229" s="84" t="str">
        <x:f>IFERROR(VLOOKUP(L2229,'Reference Data'!$A$5:$F$40,4,FALSE),"Unknown")</x:f>
        <x:v>Furniture</x:v>
      </x:c>
      <x:c r="P2229" s="92" t="n">
        <x:f>IFERROR(VLOOKUP(L2229,'Reference Data'!$A$5:$F$40,5,FALSE),0)</x:f>
        <x:v>249</x:v>
      </x:c>
      <x:c r="Q2229" s="92" t="n">
        <x:f>IFERROR(VLOOKUP(L2229,'Reference Data'!$A$5:$F$40,6,FALSE),0)</x:f>
        <x:v>145</x:v>
      </x:c>
      <x:c r="R2229" s="84" t="n">
        <x:f>'Raw Sales'!J2229</x:f>
        <x:v>4</x:v>
      </x:c>
      <x:c r="S2229" s="87" t="n">
        <x:f>'Raw Sales'!K2229</x:f>
        <x:v>0.05</x:v>
      </x:c>
      <x:c r="T2229" s="93" t="n">
        <x:f>P2229*R2229</x:f>
        <x:v>996</x:v>
      </x:c>
      <x:c r="U2229" s="93" t="n">
        <x:f>T2229*S2229</x:f>
        <x:v>49.800000000000004</x:v>
      </x:c>
      <x:c r="V2229" s="93" t="str">
        <x:f>PROPER(TRIM('Raw Sales'!L2229))</x:f>
        <x:v>Completed</x:v>
      </x:c>
      <x:c r="W2229" s="93" t="n">
        <x:f>IF(V2229="Returned",0,T2229-U2229)</x:f>
        <x:v>946.2</x:v>
      </x:c>
      <x:c r="X2229" s="93" t="n">
        <x:f>IF(V2229="Returned",Q2229*R2229*10%,Q2229*R2229)</x:f>
        <x:v>580</x:v>
      </x:c>
      <x:c r="Y2229" s="93" t="n">
        <x:f>W2229-X2229</x:f>
        <x:v>366.20000000000005</x:v>
      </x:c>
      <x:c r="Z2229" s="94" t="n">
        <x:f>IFERROR(Y2229/W2229,0)</x:f>
        <x:v>0.3870217712957092</x:v>
      </x:c>
      <x:c r="AA2229" s="84" t="str">
        <x:f>PROPER(TRIM('Raw Sales'!M2229))</x:f>
        <x:v>Credit Card</x:v>
      </x:c>
      <x:c r="AB2229" s="84" t="str">
        <x:f>PROPER(TRIM('Raw Sales'!N2229))</x:f>
        <x:v>Ethan Cole</x:v>
      </x:c>
      <x:c r="AC2229" s="85" t="n">
        <x:f>'Raw Sales'!O2229</x:f>
        <x:v>45991</x:v>
      </x:c>
      <x:c r="AD2229" s="84" t="n">
        <x:f>AC2229-B2229</x:f>
        <x:v>6</x:v>
      </x:c>
      <x:c r="AE2229" s="84" t="str">
        <x:f>IF(COUNTIF($A$5:A2229,A2229)&gt;1,"Duplicate","Keep")</x:f>
        <x:v>Keep</x:v>
      </x:c>
      <x:c r="AF2229" s="84" t="str">
        <x:f>IF(OR(R2229&lt;=0,AC2229&lt;B2229,H2229="Unknown",M2229="Unknown Product"),"Review","Valid")</x:f>
        <x:v>Valid</x:v>
      </x:c>
      <x:c r="AG2229" s="84" t="n">
        <x:f>IF(AND(AE2229="Keep",AF2229="Valid"),1,0)</x:f>
        <x:v>1</x:v>
      </x:c>
      <x:c r="AH2229" s="84" t="n">
        <x:f>IF(AND(AG2229=1,OR('Dashboard'!$B$4="All",I2229='Dashboard'!$B$4),OR('Dashboard'!$E$4="All",N2229='Dashboard'!$E$4),OR('Dashboard'!$H$4="All",K2229='Dashboard'!$H$4),OR('Dashboard'!$K$4="All",C2229='Dashboard'!$K$4)),1,0)</x:f>
        <x:v>1</x:v>
      </x:c>
      <x:c r="AI2229" s="84" t="n">
        <x:f>IF(AND(AG2229=1,OR('Dashboard'!$B$4="All",I2229='Dashboard'!$B$4),OR('Dashboard'!$E$4="All",N2229='Dashboard'!$E$4),OR('Dashboard'!$H$4="All",K2229='Dashboard'!$H$4)),1,0)</x:f>
        <x:v>1</x:v>
      </x:c>
    </x:row>
    <x:row r="2230">
      <x:c r="A2230" s="84" t="str">
        <x:f>'Raw Sales'!A2230</x:f>
        <x:v>ORD-2025-01815</x:v>
      </x:c>
      <x:c r="B2230" s="85" t="n">
        <x:f>'Raw Sales'!B2230</x:f>
        <x:v>45985</x:v>
      </x:c>
      <x:c r="C2230" s="84" t="n">
        <x:f>YEAR(B2230)</x:f>
        <x:v>2025</x:v>
      </x:c>
      <x:c r="D2230" s="91" t="n">
        <x:f>DATE(YEAR(B2230),MONTH(B2230),1)</x:f>
        <x:v>45962</x:v>
      </x:c>
      <x:c r="E2230" s="84" t="str">
        <x:f>TEXT(B2230,"mmm")</x:f>
        <x:v>Nov</x:v>
      </x:c>
      <x:c r="F2230" s="84" t="str">
        <x:f>'Raw Sales'!C2230</x:f>
        <x:v>CUST-0468</x:v>
      </x:c>
      <x:c r="G2230" s="84" t="str">
        <x:f>PROPER(TRIM('Raw Sales'!D2230))</x:f>
        <x:v>Sara Garcia</x:v>
      </x:c>
      <x:c r="H2230" s="84" t="str">
        <x:f>IF(TRIM('Raw Sales'!E2230)="","Unknown",PROPER(TRIM('Raw Sales'!E2230)))</x:f>
        <x:v>Corporate</x:v>
      </x:c>
      <x:c r="I2230" s="84" t="str">
        <x:f>PROPER(TRIM('Raw Sales'!F2230))</x:f>
        <x:v>Northeast</x:v>
      </x:c>
      <x:c r="J2230" s="84" t="str">
        <x:f>PROPER(TRIM('Raw Sales'!G2230))</x:f>
        <x:v>Boston</x:v>
      </x:c>
      <x:c r="K2230" s="84" t="str">
        <x:f>PROPER(TRIM('Raw Sales'!H2230))</x:f>
        <x:v>Marketplace</x:v>
      </x:c>
      <x:c r="L2230" s="84" t="str">
        <x:f>'Raw Sales'!I2230</x:f>
        <x:v>ACCS-003</x:v>
      </x:c>
      <x:c r="M2230" s="84" t="str">
        <x:f>IFERROR(VLOOKUP(L2230,'Reference Data'!$A$5:$F$40,2,FALSE),"Unknown Product")</x:f>
        <x:v>Polarized Sunglasses</x:v>
      </x:c>
      <x:c r="N2230" s="84" t="str">
        <x:f>IFERROR(VLOOKUP(L2230,'Reference Data'!$A$5:$F$40,3,FALSE),"Unknown")</x:f>
        <x:v>Accessories</x:v>
      </x:c>
      <x:c r="O2230" s="84" t="str">
        <x:f>IFERROR(VLOOKUP(L2230,'Reference Data'!$A$5:$F$40,4,FALSE),"Unknown")</x:f>
        <x:v>Eyewear</x:v>
      </x:c>
      <x:c r="P2230" s="92" t="n">
        <x:f>IFERROR(VLOOKUP(L2230,'Reference Data'!$A$5:$F$40,5,FALSE),0)</x:f>
        <x:v>59</x:v>
      </x:c>
      <x:c r="Q2230" s="92" t="n">
        <x:f>IFERROR(VLOOKUP(L2230,'Reference Data'!$A$5:$F$40,6,FALSE),0)</x:f>
        <x:v>17</x:v>
      </x:c>
      <x:c r="R2230" s="84" t="n">
        <x:f>'Raw Sales'!J2230</x:f>
        <x:v>5</x:v>
      </x:c>
      <x:c r="S2230" s="87" t="n">
        <x:f>'Raw Sales'!K2230</x:f>
        <x:v>0.1</x:v>
      </x:c>
      <x:c r="T2230" s="93" t="n">
        <x:f>P2230*R2230</x:f>
        <x:v>295</x:v>
      </x:c>
      <x:c r="U2230" s="93" t="n">
        <x:f>T2230*S2230</x:f>
        <x:v>29.5</x:v>
      </x:c>
      <x:c r="V2230" s="93" t="str">
        <x:f>PROPER(TRIM('Raw Sales'!L2230))</x:f>
        <x:v>Completed</x:v>
      </x:c>
      <x:c r="W2230" s="93" t="n">
        <x:f>IF(V2230="Returned",0,T2230-U2230)</x:f>
        <x:v>265.5</x:v>
      </x:c>
      <x:c r="X2230" s="93" t="n">
        <x:f>IF(V2230="Returned",Q2230*R2230*10%,Q2230*R2230)</x:f>
        <x:v>85</x:v>
      </x:c>
      <x:c r="Y2230" s="93" t="n">
        <x:f>W2230-X2230</x:f>
        <x:v>180.5</x:v>
      </x:c>
      <x:c r="Z2230" s="94" t="n">
        <x:f>IFERROR(Y2230/W2230,0)</x:f>
        <x:v>0.67984934086629</x:v>
      </x:c>
      <x:c r="AA2230" s="84" t="str">
        <x:f>PROPER(TRIM('Raw Sales'!M2230))</x:f>
        <x:v>Paypal</x:v>
      </x:c>
      <x:c r="AB2230" s="84" t="str">
        <x:f>PROPER(TRIM('Raw Sales'!N2230))</x:f>
        <x:v>Sofia Bennett</x:v>
      </x:c>
      <x:c r="AC2230" s="85" t="n">
        <x:f>'Raw Sales'!O2230</x:f>
        <x:v>45989</x:v>
      </x:c>
      <x:c r="AD2230" s="84" t="n">
        <x:f>AC2230-B2230</x:f>
        <x:v>4</x:v>
      </x:c>
      <x:c r="AE2230" s="84" t="str">
        <x:f>IF(COUNTIF($A$5:A2230,A2230)&gt;1,"Duplicate","Keep")</x:f>
        <x:v>Keep</x:v>
      </x:c>
      <x:c r="AF2230" s="84" t="str">
        <x:f>IF(OR(R2230&lt;=0,AC2230&lt;B2230,H2230="Unknown",M2230="Unknown Product"),"Review","Valid")</x:f>
        <x:v>Valid</x:v>
      </x:c>
      <x:c r="AG2230" s="84" t="n">
        <x:f>IF(AND(AE2230="Keep",AF2230="Valid"),1,0)</x:f>
        <x:v>1</x:v>
      </x:c>
      <x:c r="AH2230" s="84" t="n">
        <x:f>IF(AND(AG2230=1,OR('Dashboard'!$B$4="All",I2230='Dashboard'!$B$4),OR('Dashboard'!$E$4="All",N2230='Dashboard'!$E$4),OR('Dashboard'!$H$4="All",K2230='Dashboard'!$H$4),OR('Dashboard'!$K$4="All",C2230='Dashboard'!$K$4)),1,0)</x:f>
        <x:v>1</x:v>
      </x:c>
      <x:c r="AI2230" s="84" t="n">
        <x:f>IF(AND(AG2230=1,OR('Dashboard'!$B$4="All",I2230='Dashboard'!$B$4),OR('Dashboard'!$E$4="All",N2230='Dashboard'!$E$4),OR('Dashboard'!$H$4="All",K2230='Dashboard'!$H$4)),1,0)</x:f>
        <x:v>1</x:v>
      </x:c>
    </x:row>
    <x:row r="2231">
      <x:c r="A2231" s="84" t="str">
        <x:f>'Raw Sales'!A2231</x:f>
        <x:v>ORD-2025-02277</x:v>
      </x:c>
      <x:c r="B2231" s="85" t="n">
        <x:f>'Raw Sales'!B2231</x:f>
        <x:v>45985</x:v>
      </x:c>
      <x:c r="C2231" s="84" t="n">
        <x:f>YEAR(B2231)</x:f>
        <x:v>2025</x:v>
      </x:c>
      <x:c r="D2231" s="91" t="n">
        <x:f>DATE(YEAR(B2231),MONTH(B2231),1)</x:f>
        <x:v>45962</x:v>
      </x:c>
      <x:c r="E2231" s="84" t="str">
        <x:f>TEXT(B2231,"mmm")</x:f>
        <x:v>Nov</x:v>
      </x:c>
      <x:c r="F2231" s="84" t="str">
        <x:f>'Raw Sales'!C2231</x:f>
        <x:v>CUST-0417</x:v>
      </x:c>
      <x:c r="G2231" s="84" t="str">
        <x:f>PROPER(TRIM('Raw Sales'!D2231))</x:f>
        <x:v>Amelia Evans</x:v>
      </x:c>
      <x:c r="H2231" s="84" t="str">
        <x:f>IF(TRIM('Raw Sales'!E2231)="","Unknown",PROPER(TRIM('Raw Sales'!E2231)))</x:f>
        <x:v>Consumer</x:v>
      </x:c>
      <x:c r="I2231" s="84" t="str">
        <x:f>PROPER(TRIM('Raw Sales'!F2231))</x:f>
        <x:v>Northeast</x:v>
      </x:c>
      <x:c r="J2231" s="84" t="str">
        <x:f>PROPER(TRIM('Raw Sales'!G2231))</x:f>
        <x:v>Boston</x:v>
      </x:c>
      <x:c r="K2231" s="84" t="str">
        <x:f>PROPER(TRIM('Raw Sales'!H2231))</x:f>
        <x:v>Retail Store</x:v>
      </x:c>
      <x:c r="L2231" s="84" t="str">
        <x:f>'Raw Sales'!I2231</x:f>
        <x:v>ELEC-005</x:v>
      </x:c>
      <x:c r="M2231" s="84" t="str">
        <x:f>IFERROR(VLOOKUP(L2231,'Reference Data'!$A$5:$F$40,2,FALSE),"Unknown Product")</x:f>
        <x:v>HD Webcam</x:v>
      </x:c>
      <x:c r="N2231" s="84" t="str">
        <x:f>IFERROR(VLOOKUP(L2231,'Reference Data'!$A$5:$F$40,3,FALSE),"Unknown")</x:f>
        <x:v>Electronics</x:v>
      </x:c>
      <x:c r="O2231" s="84" t="str">
        <x:f>IFERROR(VLOOKUP(L2231,'Reference Data'!$A$5:$F$40,4,FALSE),"Unknown")</x:f>
        <x:v>Computer Accessories</x:v>
      </x:c>
      <x:c r="P2231" s="92" t="n">
        <x:f>IFERROR(VLOOKUP(L2231,'Reference Data'!$A$5:$F$40,5,FALSE),0)</x:f>
        <x:v>79</x:v>
      </x:c>
      <x:c r="Q2231" s="92" t="n">
        <x:f>IFERROR(VLOOKUP(L2231,'Reference Data'!$A$5:$F$40,6,FALSE),0)</x:f>
        <x:v>37</x:v>
      </x:c>
      <x:c r="R2231" s="84" t="n">
        <x:f>'Raw Sales'!J2231</x:f>
        <x:v>1</x:v>
      </x:c>
      <x:c r="S2231" s="87" t="n">
        <x:f>'Raw Sales'!K2231</x:f>
        <x:v>0</x:v>
      </x:c>
      <x:c r="T2231" s="93" t="n">
        <x:f>P2231*R2231</x:f>
        <x:v>79</x:v>
      </x:c>
      <x:c r="U2231" s="93" t="n">
        <x:f>T2231*S2231</x:f>
        <x:v>0</x:v>
      </x:c>
      <x:c r="V2231" s="93" t="str">
        <x:f>PROPER(TRIM('Raw Sales'!L2231))</x:f>
        <x:v>Completed</x:v>
      </x:c>
      <x:c r="W2231" s="93" t="n">
        <x:f>IF(V2231="Returned",0,T2231-U2231)</x:f>
        <x:v>79</x:v>
      </x:c>
      <x:c r="X2231" s="93" t="n">
        <x:f>IF(V2231="Returned",Q2231*R2231*10%,Q2231*R2231)</x:f>
        <x:v>37</x:v>
      </x:c>
      <x:c r="Y2231" s="93" t="n">
        <x:f>W2231-X2231</x:f>
        <x:v>42</x:v>
      </x:c>
      <x:c r="Z2231" s="94" t="n">
        <x:f>IFERROR(Y2231/W2231,0)</x:f>
        <x:v>0.5316455696202531</x:v>
      </x:c>
      <x:c r="AA2231" s="84" t="str">
        <x:f>PROPER(TRIM('Raw Sales'!M2231))</x:f>
        <x:v>Debit Card</x:v>
      </x:c>
      <x:c r="AB2231" s="84" t="str">
        <x:f>PROPER(TRIM('Raw Sales'!N2231))</x:f>
        <x:v>Maya Brooks</x:v>
      </x:c>
      <x:c r="AC2231" s="85" t="n">
        <x:f>'Raw Sales'!O2231</x:f>
        <x:v>45985</x:v>
      </x:c>
      <x:c r="AD2231" s="84" t="n">
        <x:f>AC2231-B2231</x:f>
        <x:v>0</x:v>
      </x:c>
      <x:c r="AE2231" s="84" t="str">
        <x:f>IF(COUNTIF($A$5:A2231,A2231)&gt;1,"Duplicate","Keep")</x:f>
        <x:v>Keep</x:v>
      </x:c>
      <x:c r="AF2231" s="84" t="str">
        <x:f>IF(OR(R2231&lt;=0,AC2231&lt;B2231,H2231="Unknown",M2231="Unknown Product"),"Review","Valid")</x:f>
        <x:v>Valid</x:v>
      </x:c>
      <x:c r="AG2231" s="84" t="n">
        <x:f>IF(AND(AE2231="Keep",AF2231="Valid"),1,0)</x:f>
        <x:v>1</x:v>
      </x:c>
      <x:c r="AH2231" s="84" t="n">
        <x:f>IF(AND(AG2231=1,OR('Dashboard'!$B$4="All",I2231='Dashboard'!$B$4),OR('Dashboard'!$E$4="All",N2231='Dashboard'!$E$4),OR('Dashboard'!$H$4="All",K2231='Dashboard'!$H$4),OR('Dashboard'!$K$4="All",C2231='Dashboard'!$K$4)),1,0)</x:f>
        <x:v>1</x:v>
      </x:c>
      <x:c r="AI2231" s="84" t="n">
        <x:f>IF(AND(AG2231=1,OR('Dashboard'!$B$4="All",I2231='Dashboard'!$B$4),OR('Dashboard'!$E$4="All",N2231='Dashboard'!$E$4),OR('Dashboard'!$H$4="All",K2231='Dashboard'!$H$4)),1,0)</x:f>
        <x:v>1</x:v>
      </x:c>
    </x:row>
    <x:row r="2232">
      <x:c r="A2232" s="84" t="str">
        <x:f>'Raw Sales'!A2232</x:f>
        <x:v>ORD-2025-02314</x:v>
      </x:c>
      <x:c r="B2232" s="85" t="n">
        <x:f>'Raw Sales'!B2232</x:f>
        <x:v>45985</x:v>
      </x:c>
      <x:c r="C2232" s="84" t="n">
        <x:f>YEAR(B2232)</x:f>
        <x:v>2025</x:v>
      </x:c>
      <x:c r="D2232" s="91" t="n">
        <x:f>DATE(YEAR(B2232),MONTH(B2232),1)</x:f>
        <x:v>45962</x:v>
      </x:c>
      <x:c r="E2232" s="84" t="str">
        <x:f>TEXT(B2232,"mmm")</x:f>
        <x:v>Nov</x:v>
      </x:c>
      <x:c r="F2232" s="84" t="str">
        <x:f>'Raw Sales'!C2232</x:f>
        <x:v>CUST-0427</x:v>
      </x:c>
      <x:c r="G2232" s="84" t="str">
        <x:f>PROPER(TRIM('Raw Sales'!D2232))</x:f>
        <x:v>Aiden Ortiz</x:v>
      </x:c>
      <x:c r="H2232" s="84" t="str">
        <x:f>IF(TRIM('Raw Sales'!E2232)="","Unknown",PROPER(TRIM('Raw Sales'!E2232)))</x:f>
        <x:v>Consumer</x:v>
      </x:c>
      <x:c r="I2232" s="84" t="str">
        <x:f>PROPER(TRIM('Raw Sales'!F2232))</x:f>
        <x:v>West</x:v>
      </x:c>
      <x:c r="J2232" s="84" t="str">
        <x:f>PROPER(TRIM('Raw Sales'!G2232))</x:f>
        <x:v>Los Angeles</x:v>
      </x:c>
      <x:c r="K2232" s="84" t="str">
        <x:f>PROPER(TRIM('Raw Sales'!H2232))</x:f>
        <x:v>Online</x:v>
      </x:c>
      <x:c r="L2232" s="84" t="str">
        <x:f>'Raw Sales'!I2232</x:f>
        <x:v>CARE-001</x:v>
      </x:c>
      <x:c r="M2232" s="84" t="str">
        <x:f>IFERROR(VLOOKUP(L2232,'Reference Data'!$A$5:$F$40,2,FALSE),"Unknown Product")</x:f>
        <x:v>Ionic Hair Dryer</x:v>
      </x:c>
      <x:c r="N2232" s="84" t="str">
        <x:f>IFERROR(VLOOKUP(L2232,'Reference Data'!$A$5:$F$40,3,FALSE),"Unknown")</x:f>
        <x:v>Personal Care</x:v>
      </x:c>
      <x:c r="O2232" s="84" t="str">
        <x:f>IFERROR(VLOOKUP(L2232,'Reference Data'!$A$5:$F$40,4,FALSE),"Unknown")</x:f>
        <x:v>Hair Care</x:v>
      </x:c>
      <x:c r="P2232" s="92" t="n">
        <x:f>IFERROR(VLOOKUP(L2232,'Reference Data'!$A$5:$F$40,5,FALSE),0)</x:f>
        <x:v>54</x:v>
      </x:c>
      <x:c r="Q2232" s="92" t="n">
        <x:f>IFERROR(VLOOKUP(L2232,'Reference Data'!$A$5:$F$40,6,FALSE),0)</x:f>
        <x:v>25</x:v>
      </x:c>
      <x:c r="R2232" s="84" t="n">
        <x:f>'Raw Sales'!J2232</x:f>
        <x:v>2</x:v>
      </x:c>
      <x:c r="S2232" s="87" t="n">
        <x:f>'Raw Sales'!K2232</x:f>
        <x:v>0.2</x:v>
      </x:c>
      <x:c r="T2232" s="93" t="n">
        <x:f>P2232*R2232</x:f>
        <x:v>108</x:v>
      </x:c>
      <x:c r="U2232" s="93" t="n">
        <x:f>T2232*S2232</x:f>
        <x:v>21.6</x:v>
      </x:c>
      <x:c r="V2232" s="93" t="str">
        <x:f>PROPER(TRIM('Raw Sales'!L2232))</x:f>
        <x:v>Completed</x:v>
      </x:c>
      <x:c r="W2232" s="93" t="n">
        <x:f>IF(V2232="Returned",0,T2232-U2232)</x:f>
        <x:v>86.4</x:v>
      </x:c>
      <x:c r="X2232" s="93" t="n">
        <x:f>IF(V2232="Returned",Q2232*R2232*10%,Q2232*R2232)</x:f>
        <x:v>50</x:v>
      </x:c>
      <x:c r="Y2232" s="93" t="n">
        <x:f>W2232-X2232</x:f>
        <x:v>36.400000000000006</x:v>
      </x:c>
      <x:c r="Z2232" s="94" t="n">
        <x:f>IFERROR(Y2232/W2232,0)</x:f>
        <x:v>0.42129629629629634</x:v>
      </x:c>
      <x:c r="AA2232" s="84" t="str">
        <x:f>PROPER(TRIM('Raw Sales'!M2232))</x:f>
        <x:v>Debit Card</x:v>
      </x:c>
      <x:c r="AB2232" s="84" t="str">
        <x:f>PROPER(TRIM('Raw Sales'!N2232))</x:f>
        <x:v>Nora Kim</x:v>
      </x:c>
      <x:c r="AC2232" s="85" t="n">
        <x:f>'Raw Sales'!O2232</x:f>
        <x:v>45988</x:v>
      </x:c>
      <x:c r="AD2232" s="84" t="n">
        <x:f>AC2232-B2232</x:f>
        <x:v>3</x:v>
      </x:c>
      <x:c r="AE2232" s="84" t="str">
        <x:f>IF(COUNTIF($A$5:A2232,A2232)&gt;1,"Duplicate","Keep")</x:f>
        <x:v>Keep</x:v>
      </x:c>
      <x:c r="AF2232" s="84" t="str">
        <x:f>IF(OR(R2232&lt;=0,AC2232&lt;B2232,H2232="Unknown",M2232="Unknown Product"),"Review","Valid")</x:f>
        <x:v>Valid</x:v>
      </x:c>
      <x:c r="AG2232" s="84" t="n">
        <x:f>IF(AND(AE2232="Keep",AF2232="Valid"),1,0)</x:f>
        <x:v>1</x:v>
      </x:c>
      <x:c r="AH2232" s="84" t="n">
        <x:f>IF(AND(AG2232=1,OR('Dashboard'!$B$4="All",I2232='Dashboard'!$B$4),OR('Dashboard'!$E$4="All",N2232='Dashboard'!$E$4),OR('Dashboard'!$H$4="All",K2232='Dashboard'!$H$4),OR('Dashboard'!$K$4="All",C2232='Dashboard'!$K$4)),1,0)</x:f>
        <x:v>1</x:v>
      </x:c>
      <x:c r="AI2232" s="84" t="n">
        <x:f>IF(AND(AG2232=1,OR('Dashboard'!$B$4="All",I2232='Dashboard'!$B$4),OR('Dashboard'!$E$4="All",N2232='Dashboard'!$E$4),OR('Dashboard'!$H$4="All",K2232='Dashboard'!$H$4)),1,0)</x:f>
        <x:v>1</x:v>
      </x:c>
    </x:row>
    <x:row r="2233">
      <x:c r="A2233" s="84" t="str">
        <x:f>'Raw Sales'!A2233</x:f>
        <x:v>ORD-2025-01285</x:v>
      </x:c>
      <x:c r="B2233" s="85" t="n">
        <x:f>'Raw Sales'!B2233</x:f>
        <x:v>45986</x:v>
      </x:c>
      <x:c r="C2233" s="84" t="n">
        <x:f>YEAR(B2233)</x:f>
        <x:v>2025</x:v>
      </x:c>
      <x:c r="D2233" s="91" t="n">
        <x:f>DATE(YEAR(B2233),MONTH(B2233),1)</x:f>
        <x:v>45962</x:v>
      </x:c>
      <x:c r="E2233" s="84" t="str">
        <x:f>TEXT(B2233,"mmm")</x:f>
        <x:v>Nov</x:v>
      </x:c>
      <x:c r="F2233" s="84" t="str">
        <x:f>'Raw Sales'!C2233</x:f>
        <x:v>CUST-0612</x:v>
      </x:c>
      <x:c r="G2233" s="84" t="str">
        <x:f>PROPER(TRIM('Raw Sales'!D2233))</x:f>
        <x:v>Nina Patel</x:v>
      </x:c>
      <x:c r="H2233" s="84" t="str">
        <x:f>IF(TRIM('Raw Sales'!E2233)="","Unknown",PROPER(TRIM('Raw Sales'!E2233)))</x:f>
        <x:v>Consumer</x:v>
      </x:c>
      <x:c r="I2233" s="84" t="str">
        <x:f>PROPER(TRIM('Raw Sales'!F2233))</x:f>
        <x:v>Northeast</x:v>
      </x:c>
      <x:c r="J2233" s="84" t="str">
        <x:f>PROPER(TRIM('Raw Sales'!G2233))</x:f>
        <x:v>Philadelphia</x:v>
      </x:c>
      <x:c r="K2233" s="84" t="str">
        <x:f>PROPER(TRIM('Raw Sales'!H2233))</x:f>
        <x:v>Retail Store</x:v>
      </x:c>
      <x:c r="L2233" s="84" t="str">
        <x:f>'Raw Sales'!I2233</x:f>
        <x:v>ELEC-003</x:v>
      </x:c>
      <x:c r="M2233" s="84" t="str">
        <x:f>IFERROR(VLOOKUP(L2233,'Reference Data'!$A$5:$F$40,2,FALSE),"Unknown Product")</x:f>
        <x:v>Bluetooth Speaker</x:v>
      </x:c>
      <x:c r="N2233" s="84" t="str">
        <x:f>IFERROR(VLOOKUP(L2233,'Reference Data'!$A$5:$F$40,3,FALSE),"Unknown")</x:f>
        <x:v>Electronics</x:v>
      </x:c>
      <x:c r="O2233" s="84" t="str">
        <x:f>IFERROR(VLOOKUP(L2233,'Reference Data'!$A$5:$F$40,4,FALSE),"Unknown")</x:f>
        <x:v>Audio</x:v>
      </x:c>
      <x:c r="P2233" s="92" t="n">
        <x:f>IFERROR(VLOOKUP(L2233,'Reference Data'!$A$5:$F$40,5,FALSE),0)</x:f>
        <x:v>89</x:v>
      </x:c>
      <x:c r="Q2233" s="92" t="n">
        <x:f>IFERROR(VLOOKUP(L2233,'Reference Data'!$A$5:$F$40,6,FALSE),0)</x:f>
        <x:v>44</x:v>
      </x:c>
      <x:c r="R2233" s="84" t="n">
        <x:f>'Raw Sales'!J2233</x:f>
        <x:v>1</x:v>
      </x:c>
      <x:c r="S2233" s="87" t="n">
        <x:f>'Raw Sales'!K2233</x:f>
        <x:v>0</x:v>
      </x:c>
      <x:c r="T2233" s="93" t="n">
        <x:f>P2233*R2233</x:f>
        <x:v>89</x:v>
      </x:c>
      <x:c r="U2233" s="93" t="n">
        <x:f>T2233*S2233</x:f>
        <x:v>0</x:v>
      </x:c>
      <x:c r="V2233" s="93" t="str">
        <x:f>PROPER(TRIM('Raw Sales'!L2233))</x:f>
        <x:v>Completed</x:v>
      </x:c>
      <x:c r="W2233" s="93" t="n">
        <x:f>IF(V2233="Returned",0,T2233-U2233)</x:f>
        <x:v>89</x:v>
      </x:c>
      <x:c r="X2233" s="93" t="n">
        <x:f>IF(V2233="Returned",Q2233*R2233*10%,Q2233*R2233)</x:f>
        <x:v>44</x:v>
      </x:c>
      <x:c r="Y2233" s="93" t="n">
        <x:f>W2233-X2233</x:f>
        <x:v>45</x:v>
      </x:c>
      <x:c r="Z2233" s="94" t="n">
        <x:f>IFERROR(Y2233/W2233,0)</x:f>
        <x:v>0.5056179775280899</x:v>
      </x:c>
      <x:c r="AA2233" s="84" t="str">
        <x:f>PROPER(TRIM('Raw Sales'!M2233))</x:f>
        <x:v>Cash</x:v>
      </x:c>
      <x:c r="AB2233" s="84" t="str">
        <x:f>PROPER(TRIM('Raw Sales'!N2233))</x:f>
        <x:v>Ethan Cole</x:v>
      </x:c>
      <x:c r="AC2233" s="85" t="n">
        <x:f>'Raw Sales'!O2233</x:f>
        <x:v>45986</x:v>
      </x:c>
      <x:c r="AD2233" s="84" t="n">
        <x:f>AC2233-B2233</x:f>
        <x:v>0</x:v>
      </x:c>
      <x:c r="AE2233" s="84" t="str">
        <x:f>IF(COUNTIF($A$5:A2233,A2233)&gt;1,"Duplicate","Keep")</x:f>
        <x:v>Keep</x:v>
      </x:c>
      <x:c r="AF2233" s="84" t="str">
        <x:f>IF(OR(R2233&lt;=0,AC2233&lt;B2233,H2233="Unknown",M2233="Unknown Product"),"Review","Valid")</x:f>
        <x:v>Valid</x:v>
      </x:c>
      <x:c r="AG2233" s="84" t="n">
        <x:f>IF(AND(AE2233="Keep",AF2233="Valid"),1,0)</x:f>
        <x:v>1</x:v>
      </x:c>
      <x:c r="AH2233" s="84" t="n">
        <x:f>IF(AND(AG2233=1,OR('Dashboard'!$B$4="All",I2233='Dashboard'!$B$4),OR('Dashboard'!$E$4="All",N2233='Dashboard'!$E$4),OR('Dashboard'!$H$4="All",K2233='Dashboard'!$H$4),OR('Dashboard'!$K$4="All",C2233='Dashboard'!$K$4)),1,0)</x:f>
        <x:v>1</x:v>
      </x:c>
      <x:c r="AI2233" s="84" t="n">
        <x:f>IF(AND(AG2233=1,OR('Dashboard'!$B$4="All",I2233='Dashboard'!$B$4),OR('Dashboard'!$E$4="All",N2233='Dashboard'!$E$4),OR('Dashboard'!$H$4="All",K2233='Dashboard'!$H$4)),1,0)</x:f>
        <x:v>1</x:v>
      </x:c>
    </x:row>
    <x:row r="2234">
      <x:c r="A2234" s="84" t="str">
        <x:f>'Raw Sales'!A2234</x:f>
        <x:v>ORD-2025-01667</x:v>
      </x:c>
      <x:c r="B2234" s="85" t="n">
        <x:f>'Raw Sales'!B2234</x:f>
        <x:v>45986</x:v>
      </x:c>
      <x:c r="C2234" s="84" t="n">
        <x:f>YEAR(B2234)</x:f>
        <x:v>2025</x:v>
      </x:c>
      <x:c r="D2234" s="91" t="n">
        <x:f>DATE(YEAR(B2234),MONTH(B2234),1)</x:f>
        <x:v>45962</x:v>
      </x:c>
      <x:c r="E2234" s="84" t="str">
        <x:f>TEXT(B2234,"mmm")</x:f>
        <x:v>Nov</x:v>
      </x:c>
      <x:c r="F2234" s="84" t="str">
        <x:f>'Raw Sales'!C2234</x:f>
        <x:v>CUST-0253</x:v>
      </x:c>
      <x:c r="G2234" s="84" t="str">
        <x:f>PROPER(TRIM('Raw Sales'!D2234))</x:f>
        <x:v>Caleb Quinn</x:v>
      </x:c>
      <x:c r="H2234" s="84" t="str">
        <x:f>IF(TRIM('Raw Sales'!E2234)="","Unknown",PROPER(TRIM('Raw Sales'!E2234)))</x:f>
        <x:v>Corporate</x:v>
      </x:c>
      <x:c r="I2234" s="84" t="str">
        <x:f>PROPER(TRIM('Raw Sales'!F2234))</x:f>
        <x:v>Midwest</x:v>
      </x:c>
      <x:c r="J2234" s="84" t="str">
        <x:f>PROPER(TRIM('Raw Sales'!G2234))</x:f>
        <x:v>Chicago</x:v>
      </x:c>
      <x:c r="K2234" s="84" t="str">
        <x:f>PROPER(TRIM('Raw Sales'!H2234))</x:f>
        <x:v>Marketplace</x:v>
      </x:c>
      <x:c r="L2234" s="84" t="str">
        <x:f>'Raw Sales'!I2234</x:f>
        <x:v>CARE-001</x:v>
      </x:c>
      <x:c r="M2234" s="84" t="str">
        <x:f>IFERROR(VLOOKUP(L2234,'Reference Data'!$A$5:$F$40,2,FALSE),"Unknown Product")</x:f>
        <x:v>Ionic Hair Dryer</x:v>
      </x:c>
      <x:c r="N2234" s="84" t="str">
        <x:f>IFERROR(VLOOKUP(L2234,'Reference Data'!$A$5:$F$40,3,FALSE),"Unknown")</x:f>
        <x:v>Personal Care</x:v>
      </x:c>
      <x:c r="O2234" s="84" t="str">
        <x:f>IFERROR(VLOOKUP(L2234,'Reference Data'!$A$5:$F$40,4,FALSE),"Unknown")</x:f>
        <x:v>Hair Care</x:v>
      </x:c>
      <x:c r="P2234" s="92" t="n">
        <x:f>IFERROR(VLOOKUP(L2234,'Reference Data'!$A$5:$F$40,5,FALSE),0)</x:f>
        <x:v>54</x:v>
      </x:c>
      <x:c r="Q2234" s="92" t="n">
        <x:f>IFERROR(VLOOKUP(L2234,'Reference Data'!$A$5:$F$40,6,FALSE),0)</x:f>
        <x:v>25</x:v>
      </x:c>
      <x:c r="R2234" s="84" t="n">
        <x:f>'Raw Sales'!J2234</x:f>
        <x:v>3</x:v>
      </x:c>
      <x:c r="S2234" s="87" t="n">
        <x:f>'Raw Sales'!K2234</x:f>
        <x:v>0.15</x:v>
      </x:c>
      <x:c r="T2234" s="93" t="n">
        <x:f>P2234*R2234</x:f>
        <x:v>162</x:v>
      </x:c>
      <x:c r="U2234" s="93" t="n">
        <x:f>T2234*S2234</x:f>
        <x:v>24.3</x:v>
      </x:c>
      <x:c r="V2234" s="93" t="str">
        <x:f>PROPER(TRIM('Raw Sales'!L2234))</x:f>
        <x:v>Completed</x:v>
      </x:c>
      <x:c r="W2234" s="93" t="n">
        <x:f>IF(V2234="Returned",0,T2234-U2234)</x:f>
        <x:v>137.7</x:v>
      </x:c>
      <x:c r="X2234" s="93" t="n">
        <x:f>IF(V2234="Returned",Q2234*R2234*10%,Q2234*R2234)</x:f>
        <x:v>75</x:v>
      </x:c>
      <x:c r="Y2234" s="93" t="n">
        <x:f>W2234-X2234</x:f>
        <x:v>62.69999999999999</x:v>
      </x:c>
      <x:c r="Z2234" s="94" t="n">
        <x:f>IFERROR(Y2234/W2234,0)</x:f>
        <x:v>0.45533769063180823</x:v>
      </x:c>
      <x:c r="AA2234" s="84" t="str">
        <x:f>PROPER(TRIM('Raw Sales'!M2234))</x:f>
        <x:v>Mobile Wallet</x:v>
      </x:c>
      <x:c r="AB2234" s="84" t="str">
        <x:f>PROPER(TRIM('Raw Sales'!N2234))</x:f>
        <x:v>Zoe Turner</x:v>
      </x:c>
      <x:c r="AC2234" s="85" t="n">
        <x:f>'Raw Sales'!O2234</x:f>
        <x:v>45992</x:v>
      </x:c>
      <x:c r="AD2234" s="84" t="n">
        <x:f>AC2234-B2234</x:f>
        <x:v>6</x:v>
      </x:c>
      <x:c r="AE2234" s="84" t="str">
        <x:f>IF(COUNTIF($A$5:A2234,A2234)&gt;1,"Duplicate","Keep")</x:f>
        <x:v>Keep</x:v>
      </x:c>
      <x:c r="AF2234" s="84" t="str">
        <x:f>IF(OR(R2234&lt;=0,AC2234&lt;B2234,H2234="Unknown",M2234="Unknown Product"),"Review","Valid")</x:f>
        <x:v>Valid</x:v>
      </x:c>
      <x:c r="AG2234" s="84" t="n">
        <x:f>IF(AND(AE2234="Keep",AF2234="Valid"),1,0)</x:f>
        <x:v>1</x:v>
      </x:c>
      <x:c r="AH2234" s="84" t="n">
        <x:f>IF(AND(AG2234=1,OR('Dashboard'!$B$4="All",I2234='Dashboard'!$B$4),OR('Dashboard'!$E$4="All",N2234='Dashboard'!$E$4),OR('Dashboard'!$H$4="All",K2234='Dashboard'!$H$4),OR('Dashboard'!$K$4="All",C2234='Dashboard'!$K$4)),1,0)</x:f>
        <x:v>1</x:v>
      </x:c>
      <x:c r="AI2234" s="84" t="n">
        <x:f>IF(AND(AG2234=1,OR('Dashboard'!$B$4="All",I2234='Dashboard'!$B$4),OR('Dashboard'!$E$4="All",N2234='Dashboard'!$E$4),OR('Dashboard'!$H$4="All",K2234='Dashboard'!$H$4)),1,0)</x:f>
        <x:v>1</x:v>
      </x:c>
    </x:row>
    <x:row r="2235">
      <x:c r="A2235" s="84" t="str">
        <x:f>'Raw Sales'!A2235</x:f>
        <x:v>ORD-2025-01770</x:v>
      </x:c>
      <x:c r="B2235" s="85" t="n">
        <x:f>'Raw Sales'!B2235</x:f>
        <x:v>45986</x:v>
      </x:c>
      <x:c r="C2235" s="84" t="n">
        <x:f>YEAR(B2235)</x:f>
        <x:v>2025</x:v>
      </x:c>
      <x:c r="D2235" s="91" t="n">
        <x:f>DATE(YEAR(B2235),MONTH(B2235),1)</x:f>
        <x:v>45962</x:v>
      </x:c>
      <x:c r="E2235" s="84" t="str">
        <x:f>TEXT(B2235,"mmm")</x:f>
        <x:v>Nov</x:v>
      </x:c>
      <x:c r="F2235" s="84" t="str">
        <x:f>'Raw Sales'!C2235</x:f>
        <x:v>CUST-0615</x:v>
      </x:c>
      <x:c r="G2235" s="84" t="str">
        <x:f>PROPER(TRIM('Raw Sales'!D2235))</x:f>
        <x:v>Jonah Quinn</x:v>
      </x:c>
      <x:c r="H2235" s="84" t="str">
        <x:f>IF(TRIM('Raw Sales'!E2235)="","Unknown",PROPER(TRIM('Raw Sales'!E2235)))</x:f>
        <x:v>Consumer</x:v>
      </x:c>
      <x:c r="I2235" s="84" t="str">
        <x:f>PROPER(TRIM('Raw Sales'!F2235))</x:f>
        <x:v>Midwest</x:v>
      </x:c>
      <x:c r="J2235" s="84" t="str">
        <x:f>PROPER(TRIM('Raw Sales'!G2235))</x:f>
        <x:v>Minneapolis</x:v>
      </x:c>
      <x:c r="K2235" s="84" t="str">
        <x:f>PROPER(TRIM('Raw Sales'!H2235))</x:f>
        <x:v>Retail Store</x:v>
      </x:c>
      <x:c r="L2235" s="84" t="str">
        <x:f>'Raw Sales'!I2235</x:f>
        <x:v>ELEC-005</x:v>
      </x:c>
      <x:c r="M2235" s="84" t="str">
        <x:f>IFERROR(VLOOKUP(L2235,'Reference Data'!$A$5:$F$40,2,FALSE),"Unknown Product")</x:f>
        <x:v>HD Webcam</x:v>
      </x:c>
      <x:c r="N2235" s="84" t="str">
        <x:f>IFERROR(VLOOKUP(L2235,'Reference Data'!$A$5:$F$40,3,FALSE),"Unknown")</x:f>
        <x:v>Electronics</x:v>
      </x:c>
      <x:c r="O2235" s="84" t="str">
        <x:f>IFERROR(VLOOKUP(L2235,'Reference Data'!$A$5:$F$40,4,FALSE),"Unknown")</x:f>
        <x:v>Computer Accessories</x:v>
      </x:c>
      <x:c r="P2235" s="92" t="n">
        <x:f>IFERROR(VLOOKUP(L2235,'Reference Data'!$A$5:$F$40,5,FALSE),0)</x:f>
        <x:v>79</x:v>
      </x:c>
      <x:c r="Q2235" s="92" t="n">
        <x:f>IFERROR(VLOOKUP(L2235,'Reference Data'!$A$5:$F$40,6,FALSE),0)</x:f>
        <x:v>37</x:v>
      </x:c>
      <x:c r="R2235" s="84" t="n">
        <x:f>'Raw Sales'!J2235</x:f>
        <x:v>2</x:v>
      </x:c>
      <x:c r="S2235" s="87" t="n">
        <x:f>'Raw Sales'!K2235</x:f>
        <x:v>0</x:v>
      </x:c>
      <x:c r="T2235" s="93" t="n">
        <x:f>P2235*R2235</x:f>
        <x:v>158</x:v>
      </x:c>
      <x:c r="U2235" s="93" t="n">
        <x:f>T2235*S2235</x:f>
        <x:v>0</x:v>
      </x:c>
      <x:c r="V2235" s="93" t="str">
        <x:f>PROPER(TRIM('Raw Sales'!L2235))</x:f>
        <x:v>Completed</x:v>
      </x:c>
      <x:c r="W2235" s="93" t="n">
        <x:f>IF(V2235="Returned",0,T2235-U2235)</x:f>
        <x:v>158</x:v>
      </x:c>
      <x:c r="X2235" s="93" t="n">
        <x:f>IF(V2235="Returned",Q2235*R2235*10%,Q2235*R2235)</x:f>
        <x:v>74</x:v>
      </x:c>
      <x:c r="Y2235" s="93" t="n">
        <x:f>W2235-X2235</x:f>
        <x:v>84</x:v>
      </x:c>
      <x:c r="Z2235" s="94" t="n">
        <x:f>IFERROR(Y2235/W2235,0)</x:f>
        <x:v>0.5316455696202531</x:v>
      </x:c>
      <x:c r="AA2235" s="84" t="str">
        <x:f>PROPER(TRIM('Raw Sales'!M2235))</x:f>
        <x:v>Mobile Wallet</x:v>
      </x:c>
      <x:c r="AB2235" s="84" t="str">
        <x:f>PROPER(TRIM('Raw Sales'!N2235))</x:f>
        <x:v>Emma Hayes</x:v>
      </x:c>
      <x:c r="AC2235" s="85" t="n">
        <x:f>'Raw Sales'!O2235</x:f>
        <x:v>45986</x:v>
      </x:c>
      <x:c r="AD2235" s="84" t="n">
        <x:f>AC2235-B2235</x:f>
        <x:v>0</x:v>
      </x:c>
      <x:c r="AE2235" s="84" t="str">
        <x:f>IF(COUNTIF($A$5:A2235,A2235)&gt;1,"Duplicate","Keep")</x:f>
        <x:v>Keep</x:v>
      </x:c>
      <x:c r="AF2235" s="84" t="str">
        <x:f>IF(OR(R2235&lt;=0,AC2235&lt;B2235,H2235="Unknown",M2235="Unknown Product"),"Review","Valid")</x:f>
        <x:v>Valid</x:v>
      </x:c>
      <x:c r="AG2235" s="84" t="n">
        <x:f>IF(AND(AE2235="Keep",AF2235="Valid"),1,0)</x:f>
        <x:v>1</x:v>
      </x:c>
      <x:c r="AH2235" s="84" t="n">
        <x:f>IF(AND(AG2235=1,OR('Dashboard'!$B$4="All",I2235='Dashboard'!$B$4),OR('Dashboard'!$E$4="All",N2235='Dashboard'!$E$4),OR('Dashboard'!$H$4="All",K2235='Dashboard'!$H$4),OR('Dashboard'!$K$4="All",C2235='Dashboard'!$K$4)),1,0)</x:f>
        <x:v>1</x:v>
      </x:c>
      <x:c r="AI2235" s="84" t="n">
        <x:f>IF(AND(AG2235=1,OR('Dashboard'!$B$4="All",I2235='Dashboard'!$B$4),OR('Dashboard'!$E$4="All",N2235='Dashboard'!$E$4),OR('Dashboard'!$H$4="All",K2235='Dashboard'!$H$4)),1,0)</x:f>
        <x:v>1</x:v>
      </x:c>
    </x:row>
    <x:row r="2236">
      <x:c r="A2236" s="84" t="str">
        <x:f>'Raw Sales'!A2236</x:f>
        <x:v>ORD-2025-02126</x:v>
      </x:c>
      <x:c r="B2236" s="85" t="n">
        <x:f>'Raw Sales'!B2236</x:f>
        <x:v>45986</x:v>
      </x:c>
      <x:c r="C2236" s="84" t="n">
        <x:f>YEAR(B2236)</x:f>
        <x:v>2025</x:v>
      </x:c>
      <x:c r="D2236" s="91" t="n">
        <x:f>DATE(YEAR(B2236),MONTH(B2236),1)</x:f>
        <x:v>45962</x:v>
      </x:c>
      <x:c r="E2236" s="84" t="str">
        <x:f>TEXT(B2236,"mmm")</x:f>
        <x:v>Nov</x:v>
      </x:c>
      <x:c r="F2236" s="84" t="str">
        <x:f>'Raw Sales'!C2236</x:f>
        <x:v>CUST-0011</x:v>
      </x:c>
      <x:c r="G2236" s="84" t="str">
        <x:f>PROPER(TRIM('Raw Sales'!D2236))</x:f>
        <x:v>Priya Hall</x:v>
      </x:c>
      <x:c r="H2236" s="84" t="str">
        <x:f>IF(TRIM('Raw Sales'!E2236)="","Unknown",PROPER(TRIM('Raw Sales'!E2236)))</x:f>
        <x:v>Consumer</x:v>
      </x:c>
      <x:c r="I2236" s="84" t="str">
        <x:f>PROPER(TRIM('Raw Sales'!F2236))</x:f>
        <x:v>Midwest</x:v>
      </x:c>
      <x:c r="J2236" s="84" t="str">
        <x:f>PROPER(TRIM('Raw Sales'!G2236))</x:f>
        <x:v>Minneapolis</x:v>
      </x:c>
      <x:c r="K2236" s="84" t="str">
        <x:f>PROPER(TRIM('Raw Sales'!H2236))</x:f>
        <x:v>Marketplace</x:v>
      </x:c>
      <x:c r="L2236" s="84" t="str">
        <x:f>'Raw Sales'!I2236</x:f>
        <x:v>HOME-006</x:v>
      </x:c>
      <x:c r="M2236" s="84" t="str">
        <x:f>IFERROR(VLOOKUP(L2236,'Reference Data'!$A$5:$F$40,2,FALSE),"Unknown Product")</x:f>
        <x:v>Food Storage Set</x:v>
      </x:c>
      <x:c r="N2236" s="84" t="str">
        <x:f>IFERROR(VLOOKUP(L2236,'Reference Data'!$A$5:$F$40,3,FALSE),"Unknown")</x:f>
        <x:v>Home &amp; Kitchen</x:v>
      </x:c>
      <x:c r="O2236" s="84" t="str">
        <x:f>IFERROR(VLOOKUP(L2236,'Reference Data'!$A$5:$F$40,4,FALSE),"Unknown")</x:f>
        <x:v>Kitchenware</x:v>
      </x:c>
      <x:c r="P2236" s="92" t="n">
        <x:f>IFERROR(VLOOKUP(L2236,'Reference Data'!$A$5:$F$40,5,FALSE),0)</x:f>
        <x:v>34</x:v>
      </x:c>
      <x:c r="Q2236" s="92" t="n">
        <x:f>IFERROR(VLOOKUP(L2236,'Reference Data'!$A$5:$F$40,6,FALSE),0)</x:f>
        <x:v>15</x:v>
      </x:c>
      <x:c r="R2236" s="84" t="n">
        <x:f>'Raw Sales'!J2236</x:f>
        <x:v>1</x:v>
      </x:c>
      <x:c r="S2236" s="87" t="n">
        <x:f>'Raw Sales'!K2236</x:f>
        <x:v>0.2</x:v>
      </x:c>
      <x:c r="T2236" s="93" t="n">
        <x:f>P2236*R2236</x:f>
        <x:v>34</x:v>
      </x:c>
      <x:c r="U2236" s="93" t="n">
        <x:f>T2236*S2236</x:f>
        <x:v>6.800000000000001</x:v>
      </x:c>
      <x:c r="V2236" s="93" t="str">
        <x:f>PROPER(TRIM('Raw Sales'!L2236))</x:f>
        <x:v>Completed</x:v>
      </x:c>
      <x:c r="W2236" s="93" t="n">
        <x:f>IF(V2236="Returned",0,T2236-U2236)</x:f>
        <x:v>27.2</x:v>
      </x:c>
      <x:c r="X2236" s="93" t="n">
        <x:f>IF(V2236="Returned",Q2236*R2236*10%,Q2236*R2236)</x:f>
        <x:v>15</x:v>
      </x:c>
      <x:c r="Y2236" s="93" t="n">
        <x:f>W2236-X2236</x:f>
        <x:v>12.2</x:v>
      </x:c>
      <x:c r="Z2236" s="94" t="n">
        <x:f>IFERROR(Y2236/W2236,0)</x:f>
        <x:v>0.44852941176470584</x:v>
      </x:c>
      <x:c r="AA2236" s="84" t="str">
        <x:f>PROPER(TRIM('Raw Sales'!M2236))</x:f>
        <x:v>Debit Card</x:v>
      </x:c>
      <x:c r="AB2236" s="84" t="str">
        <x:f>PROPER(TRIM('Raw Sales'!N2236))</x:f>
        <x:v>Emma Hayes</x:v>
      </x:c>
      <x:c r="AC2236" s="85" t="n">
        <x:f>'Raw Sales'!O2236</x:f>
        <x:v>45992</x:v>
      </x:c>
      <x:c r="AD2236" s="84" t="n">
        <x:f>AC2236-B2236</x:f>
        <x:v>6</x:v>
      </x:c>
      <x:c r="AE2236" s="84" t="str">
        <x:f>IF(COUNTIF($A$5:A2236,A2236)&gt;1,"Duplicate","Keep")</x:f>
        <x:v>Keep</x:v>
      </x:c>
      <x:c r="AF2236" s="84" t="str">
        <x:f>IF(OR(R2236&lt;=0,AC2236&lt;B2236,H2236="Unknown",M2236="Unknown Product"),"Review","Valid")</x:f>
        <x:v>Valid</x:v>
      </x:c>
      <x:c r="AG2236" s="84" t="n">
        <x:f>IF(AND(AE2236="Keep",AF2236="Valid"),1,0)</x:f>
        <x:v>1</x:v>
      </x:c>
      <x:c r="AH2236" s="84" t="n">
        <x:f>IF(AND(AG2236=1,OR('Dashboard'!$B$4="All",I2236='Dashboard'!$B$4),OR('Dashboard'!$E$4="All",N2236='Dashboard'!$E$4),OR('Dashboard'!$H$4="All",K2236='Dashboard'!$H$4),OR('Dashboard'!$K$4="All",C2236='Dashboard'!$K$4)),1,0)</x:f>
        <x:v>1</x:v>
      </x:c>
      <x:c r="AI2236" s="84" t="n">
        <x:f>IF(AND(AG2236=1,OR('Dashboard'!$B$4="All",I2236='Dashboard'!$B$4),OR('Dashboard'!$E$4="All",N2236='Dashboard'!$E$4),OR('Dashboard'!$H$4="All",K2236='Dashboard'!$H$4)),1,0)</x:f>
        <x:v>1</x:v>
      </x:c>
    </x:row>
    <x:row r="2237">
      <x:c r="A2237" s="84" t="str">
        <x:f>'Raw Sales'!A2237</x:f>
        <x:v>ORD-2025-02226</x:v>
      </x:c>
      <x:c r="B2237" s="85" t="n">
        <x:f>'Raw Sales'!B2237</x:f>
        <x:v>45986</x:v>
      </x:c>
      <x:c r="C2237" s="84" t="n">
        <x:f>YEAR(B2237)</x:f>
        <x:v>2025</x:v>
      </x:c>
      <x:c r="D2237" s="91" t="n">
        <x:f>DATE(YEAR(B2237),MONTH(B2237),1)</x:f>
        <x:v>45962</x:v>
      </x:c>
      <x:c r="E2237" s="84" t="str">
        <x:f>TEXT(B2237,"mmm")</x:f>
        <x:v>Nov</x:v>
      </x:c>
      <x:c r="F2237" s="84" t="str">
        <x:f>'Raw Sales'!C2237</x:f>
        <x:v>CUST-0387</x:v>
      </x:c>
      <x:c r="G2237" s="84" t="str">
        <x:f>PROPER(TRIM('Raw Sales'!D2237))</x:f>
        <x:v>Samuel Evans</x:v>
      </x:c>
      <x:c r="H2237" s="84" t="str">
        <x:f>IF(TRIM('Raw Sales'!E2237)="","Unknown",PROPER(TRIM('Raw Sales'!E2237)))</x:f>
        <x:v>Small Business</x:v>
      </x:c>
      <x:c r="I2237" s="84" t="str">
        <x:f>PROPER(TRIM('Raw Sales'!F2237))</x:f>
        <x:v>West</x:v>
      </x:c>
      <x:c r="J2237" s="84" t="str">
        <x:f>PROPER(TRIM('Raw Sales'!G2237))</x:f>
        <x:v>Denver</x:v>
      </x:c>
      <x:c r="K2237" s="84" t="str">
        <x:f>PROPER(TRIM('Raw Sales'!H2237))</x:f>
        <x:v>Retail Store</x:v>
      </x:c>
      <x:c r="L2237" s="84" t="str">
        <x:f>'Raw Sales'!I2237</x:f>
        <x:v>OFFC-002</x:v>
      </x:c>
      <x:c r="M2237" s="84" t="str">
        <x:f>IFERROR(VLOOKUP(L2237,'Reference Data'!$A$5:$F$40,2,FALSE),"Unknown Product")</x:f>
        <x:v>Standing Desk</x:v>
      </x:c>
      <x:c r="N2237" s="84" t="str">
        <x:f>IFERROR(VLOOKUP(L2237,'Reference Data'!$A$5:$F$40,3,FALSE),"Unknown")</x:f>
        <x:v>Office</x:v>
      </x:c>
      <x:c r="O2237" s="84" t="str">
        <x:f>IFERROR(VLOOKUP(L2237,'Reference Data'!$A$5:$F$40,4,FALSE),"Unknown")</x:f>
        <x:v>Furniture</x:v>
      </x:c>
      <x:c r="P2237" s="92" t="n">
        <x:f>IFERROR(VLOOKUP(L2237,'Reference Data'!$A$5:$F$40,5,FALSE),0)</x:f>
        <x:v>399</x:v>
      </x:c>
      <x:c r="Q2237" s="92" t="n">
        <x:f>IFERROR(VLOOKUP(L2237,'Reference Data'!$A$5:$F$40,6,FALSE),0)</x:f>
        <x:v>235</x:v>
      </x:c>
      <x:c r="R2237" s="84" t="n">
        <x:f>'Raw Sales'!J2237</x:f>
        <x:v>1</x:v>
      </x:c>
      <x:c r="S2237" s="87" t="n">
        <x:f>'Raw Sales'!K2237</x:f>
        <x:v>0.1</x:v>
      </x:c>
      <x:c r="T2237" s="93" t="n">
        <x:f>P2237*R2237</x:f>
        <x:v>399</x:v>
      </x:c>
      <x:c r="U2237" s="93" t="n">
        <x:f>T2237*S2237</x:f>
        <x:v>39.900000000000006</x:v>
      </x:c>
      <x:c r="V2237" s="93" t="str">
        <x:f>PROPER(TRIM('Raw Sales'!L2237))</x:f>
        <x:v>Completed</x:v>
      </x:c>
      <x:c r="W2237" s="93" t="n">
        <x:f>IF(V2237="Returned",0,T2237-U2237)</x:f>
        <x:v>359.1</x:v>
      </x:c>
      <x:c r="X2237" s="93" t="n">
        <x:f>IF(V2237="Returned",Q2237*R2237*10%,Q2237*R2237)</x:f>
        <x:v>235</x:v>
      </x:c>
      <x:c r="Y2237" s="93" t="n">
        <x:f>W2237-X2237</x:f>
        <x:v>124.10000000000002</x:v>
      </x:c>
      <x:c r="Z2237" s="94" t="n">
        <x:f>IFERROR(Y2237/W2237,0)</x:f>
        <x:v>0.3455861876914509</x:v>
      </x:c>
      <x:c r="AA2237" s="84" t="str">
        <x:f>PROPER(TRIM('Raw Sales'!M2237))</x:f>
        <x:v>Cash</x:v>
      </x:c>
      <x:c r="AB2237" s="84" t="str">
        <x:f>PROPER(TRIM('Raw Sales'!N2237))</x:f>
        <x:v>Leo Martinez</x:v>
      </x:c>
      <x:c r="AC2237" s="85" t="n">
        <x:f>'Raw Sales'!O2237</x:f>
        <x:v>45986</x:v>
      </x:c>
      <x:c r="AD2237" s="84" t="n">
        <x:f>AC2237-B2237</x:f>
        <x:v>0</x:v>
      </x:c>
      <x:c r="AE2237" s="84" t="str">
        <x:f>IF(COUNTIF($A$5:A2237,A2237)&gt;1,"Duplicate","Keep")</x:f>
        <x:v>Keep</x:v>
      </x:c>
      <x:c r="AF2237" s="84" t="str">
        <x:f>IF(OR(R2237&lt;=0,AC2237&lt;B2237,H2237="Unknown",M2237="Unknown Product"),"Review","Valid")</x:f>
        <x:v>Valid</x:v>
      </x:c>
      <x:c r="AG2237" s="84" t="n">
        <x:f>IF(AND(AE2237="Keep",AF2237="Valid"),1,0)</x:f>
        <x:v>1</x:v>
      </x:c>
      <x:c r="AH2237" s="84" t="n">
        <x:f>IF(AND(AG2237=1,OR('Dashboard'!$B$4="All",I2237='Dashboard'!$B$4),OR('Dashboard'!$E$4="All",N2237='Dashboard'!$E$4),OR('Dashboard'!$H$4="All",K2237='Dashboard'!$H$4),OR('Dashboard'!$K$4="All",C2237='Dashboard'!$K$4)),1,0)</x:f>
        <x:v>1</x:v>
      </x:c>
      <x:c r="AI2237" s="84" t="n">
        <x:f>IF(AND(AG2237=1,OR('Dashboard'!$B$4="All",I2237='Dashboard'!$B$4),OR('Dashboard'!$E$4="All",N2237='Dashboard'!$E$4),OR('Dashboard'!$H$4="All",K2237='Dashboard'!$H$4)),1,0)</x:f>
        <x:v>1</x:v>
      </x:c>
    </x:row>
    <x:row r="2238">
      <x:c r="A2238" s="84" t="str">
        <x:f>'Raw Sales'!A2238</x:f>
        <x:v>ORD-2025-00062</x:v>
      </x:c>
      <x:c r="B2238" s="85" t="n">
        <x:f>'Raw Sales'!B2238</x:f>
        <x:v>45987</x:v>
      </x:c>
      <x:c r="C2238" s="84" t="n">
        <x:f>YEAR(B2238)</x:f>
        <x:v>2025</x:v>
      </x:c>
      <x:c r="D2238" s="91" t="n">
        <x:f>DATE(YEAR(B2238),MONTH(B2238),1)</x:f>
        <x:v>45962</x:v>
      </x:c>
      <x:c r="E2238" s="84" t="str">
        <x:f>TEXT(B2238,"mmm")</x:f>
        <x:v>Nov</x:v>
      </x:c>
      <x:c r="F2238" s="84" t="str">
        <x:f>'Raw Sales'!C2238</x:f>
        <x:v>CUST-0587</x:v>
      </x:c>
      <x:c r="G2238" s="84" t="str">
        <x:f>PROPER(TRIM('Raw Sales'!D2238))</x:f>
        <x:v>Marcus Young</x:v>
      </x:c>
      <x:c r="H2238" s="84" t="str">
        <x:f>IF(TRIM('Raw Sales'!E2238)="","Unknown",PROPER(TRIM('Raw Sales'!E2238)))</x:f>
        <x:v>Small Business</x:v>
      </x:c>
      <x:c r="I2238" s="84" t="str">
        <x:f>PROPER(TRIM('Raw Sales'!F2238))</x:f>
        <x:v>Northeast</x:v>
      </x:c>
      <x:c r="J2238" s="84" t="str">
        <x:f>PROPER(TRIM('Raw Sales'!G2238))</x:f>
        <x:v>Boston</x:v>
      </x:c>
      <x:c r="K2238" s="84" t="str">
        <x:f>PROPER(TRIM('Raw Sales'!H2238))</x:f>
        <x:v>Retail Store</x:v>
      </x:c>
      <x:c r="L2238" s="84" t="str">
        <x:f>'Raw Sales'!I2238</x:f>
        <x:v>CARE-004</x:v>
      </x:c>
      <x:c r="M2238" s="84" t="str">
        <x:f>IFERROR(VLOOKUP(L2238,'Reference Data'!$A$5:$F$40,2,FALSE),"Unknown Product")</x:f>
        <x:v>Electric Toothbrush</x:v>
      </x:c>
      <x:c r="N2238" s="84" t="str">
        <x:f>IFERROR(VLOOKUP(L2238,'Reference Data'!$A$5:$F$40,3,FALSE),"Unknown")</x:f>
        <x:v>Personal Care</x:v>
      </x:c>
      <x:c r="O2238" s="84" t="str">
        <x:f>IFERROR(VLOOKUP(L2238,'Reference Data'!$A$5:$F$40,4,FALSE),"Unknown")</x:f>
        <x:v>Oral Care</x:v>
      </x:c>
      <x:c r="P2238" s="92" t="n">
        <x:f>IFERROR(VLOOKUP(L2238,'Reference Data'!$A$5:$F$40,5,FALSE),0)</x:f>
        <x:v>69</x:v>
      </x:c>
      <x:c r="Q2238" s="92" t="n">
        <x:f>IFERROR(VLOOKUP(L2238,'Reference Data'!$A$5:$F$40,6,FALSE),0)</x:f>
        <x:v>31</x:v>
      </x:c>
      <x:c r="R2238" s="84" t="n">
        <x:f>'Raw Sales'!J2238</x:f>
        <x:v>2</x:v>
      </x:c>
      <x:c r="S2238" s="87" t="n">
        <x:f>'Raw Sales'!K2238</x:f>
        <x:v>0</x:v>
      </x:c>
      <x:c r="T2238" s="93" t="n">
        <x:f>P2238*R2238</x:f>
        <x:v>138</x:v>
      </x:c>
      <x:c r="U2238" s="93" t="n">
        <x:f>T2238*S2238</x:f>
        <x:v>0</x:v>
      </x:c>
      <x:c r="V2238" s="93" t="str">
        <x:f>PROPER(TRIM('Raw Sales'!L2238))</x:f>
        <x:v>Completed</x:v>
      </x:c>
      <x:c r="W2238" s="93" t="n">
        <x:f>IF(V2238="Returned",0,T2238-U2238)</x:f>
        <x:v>138</x:v>
      </x:c>
      <x:c r="X2238" s="93" t="n">
        <x:f>IF(V2238="Returned",Q2238*R2238*10%,Q2238*R2238)</x:f>
        <x:v>62</x:v>
      </x:c>
      <x:c r="Y2238" s="93" t="n">
        <x:f>W2238-X2238</x:f>
        <x:v>76</x:v>
      </x:c>
      <x:c r="Z2238" s="94" t="n">
        <x:f>IFERROR(Y2238/W2238,0)</x:f>
        <x:v>0.5507246376811594</x:v>
      </x:c>
      <x:c r="AA2238" s="84" t="str">
        <x:f>PROPER(TRIM('Raw Sales'!M2238))</x:f>
        <x:v>Credit Card</x:v>
      </x:c>
      <x:c r="AB2238" s="84" t="str">
        <x:f>PROPER(TRIM('Raw Sales'!N2238))</x:f>
        <x:v>Sofia Bennett</x:v>
      </x:c>
      <x:c r="AC2238" s="85" t="n">
        <x:f>'Raw Sales'!O2238</x:f>
        <x:v>45987</x:v>
      </x:c>
      <x:c r="AD2238" s="84" t="n">
        <x:f>AC2238-B2238</x:f>
        <x:v>0</x:v>
      </x:c>
      <x:c r="AE2238" s="84" t="str">
        <x:f>IF(COUNTIF($A$5:A2238,A2238)&gt;1,"Duplicate","Keep")</x:f>
        <x:v>Keep</x:v>
      </x:c>
      <x:c r="AF2238" s="84" t="str">
        <x:f>IF(OR(R2238&lt;=0,AC2238&lt;B2238,H2238="Unknown",M2238="Unknown Product"),"Review","Valid")</x:f>
        <x:v>Valid</x:v>
      </x:c>
      <x:c r="AG2238" s="84" t="n">
        <x:f>IF(AND(AE2238="Keep",AF2238="Valid"),1,0)</x:f>
        <x:v>1</x:v>
      </x:c>
      <x:c r="AH2238" s="84" t="n">
        <x:f>IF(AND(AG2238=1,OR('Dashboard'!$B$4="All",I2238='Dashboard'!$B$4),OR('Dashboard'!$E$4="All",N2238='Dashboard'!$E$4),OR('Dashboard'!$H$4="All",K2238='Dashboard'!$H$4),OR('Dashboard'!$K$4="All",C2238='Dashboard'!$K$4)),1,0)</x:f>
        <x:v>1</x:v>
      </x:c>
      <x:c r="AI2238" s="84" t="n">
        <x:f>IF(AND(AG2238=1,OR('Dashboard'!$B$4="All",I2238='Dashboard'!$B$4),OR('Dashboard'!$E$4="All",N2238='Dashboard'!$E$4),OR('Dashboard'!$H$4="All",K2238='Dashboard'!$H$4)),1,0)</x:f>
        <x:v>1</x:v>
      </x:c>
    </x:row>
    <x:row r="2239">
      <x:c r="A2239" s="84" t="str">
        <x:f>'Raw Sales'!A2239</x:f>
        <x:v>ORD-2025-00437</x:v>
      </x:c>
      <x:c r="B2239" s="85" t="n">
        <x:f>'Raw Sales'!B2239</x:f>
        <x:v>45987</x:v>
      </x:c>
      <x:c r="C2239" s="84" t="n">
        <x:f>YEAR(B2239)</x:f>
        <x:v>2025</x:v>
      </x:c>
      <x:c r="D2239" s="91" t="n">
        <x:f>DATE(YEAR(B2239),MONTH(B2239),1)</x:f>
        <x:v>45962</x:v>
      </x:c>
      <x:c r="E2239" s="84" t="str">
        <x:f>TEXT(B2239,"mmm")</x:f>
        <x:v>Nov</x:v>
      </x:c>
      <x:c r="F2239" s="84" t="str">
        <x:f>'Raw Sales'!C2239</x:f>
        <x:v>CUST-0168</x:v>
      </x:c>
      <x:c r="G2239" s="84" t="str">
        <x:f>PROPER(TRIM('Raw Sales'!D2239))</x:f>
        <x:v>Priya Foster</x:v>
      </x:c>
      <x:c r="H2239" s="84" t="str">
        <x:f>IF(TRIM('Raw Sales'!E2239)="","Unknown",PROPER(TRIM('Raw Sales'!E2239)))</x:f>
        <x:v>Small Business</x:v>
      </x:c>
      <x:c r="I2239" s="84" t="str">
        <x:f>PROPER(TRIM('Raw Sales'!F2239))</x:f>
        <x:v>Northeast</x:v>
      </x:c>
      <x:c r="J2239" s="84" t="str">
        <x:f>PROPER(TRIM('Raw Sales'!G2239))</x:f>
        <x:v>Newark</x:v>
      </x:c>
      <x:c r="K2239" s="84" t="str">
        <x:f>PROPER(TRIM('Raw Sales'!H2239))</x:f>
        <x:v>Online</x:v>
      </x:c>
      <x:c r="L2239" s="84" t="str">
        <x:f>'Raw Sales'!I2239</x:f>
        <x:v>ACCS-001</x:v>
      </x:c>
      <x:c r="M2239" s="84" t="str">
        <x:f>IFERROR(VLOOKUP(L2239,'Reference Data'!$A$5:$F$40,2,FALSE),"Unknown Product")</x:f>
        <x:v>Canvas Tote Bag</x:v>
      </x:c>
      <x:c r="N2239" s="84" t="str">
        <x:f>IFERROR(VLOOKUP(L2239,'Reference Data'!$A$5:$F$40,3,FALSE),"Unknown")</x:f>
        <x:v>Accessories</x:v>
      </x:c>
      <x:c r="O2239" s="84" t="str">
        <x:f>IFERROR(VLOOKUP(L2239,'Reference Data'!$A$5:$F$40,4,FALSE),"Unknown")</x:f>
        <x:v>Bags</x:v>
      </x:c>
      <x:c r="P2239" s="92" t="n">
        <x:f>IFERROR(VLOOKUP(L2239,'Reference Data'!$A$5:$F$40,5,FALSE),0)</x:f>
        <x:v>39</x:v>
      </x:c>
      <x:c r="Q2239" s="92" t="n">
        <x:f>IFERROR(VLOOKUP(L2239,'Reference Data'!$A$5:$F$40,6,FALSE),0)</x:f>
        <x:v>14</x:v>
      </x:c>
      <x:c r="R2239" s="84" t="n">
        <x:f>'Raw Sales'!J2239</x:f>
        <x:v>1</x:v>
      </x:c>
      <x:c r="S2239" s="87" t="n">
        <x:f>'Raw Sales'!K2239</x:f>
        <x:v>0</x:v>
      </x:c>
      <x:c r="T2239" s="93" t="n">
        <x:f>P2239*R2239</x:f>
        <x:v>39</x:v>
      </x:c>
      <x:c r="U2239" s="93" t="n">
        <x:f>T2239*S2239</x:f>
        <x:v>0</x:v>
      </x:c>
      <x:c r="V2239" s="93" t="str">
        <x:f>PROPER(TRIM('Raw Sales'!L2239))</x:f>
        <x:v>Completed</x:v>
      </x:c>
      <x:c r="W2239" s="93" t="n">
        <x:f>IF(V2239="Returned",0,T2239-U2239)</x:f>
        <x:v>39</x:v>
      </x:c>
      <x:c r="X2239" s="93" t="n">
        <x:f>IF(V2239="Returned",Q2239*R2239*10%,Q2239*R2239)</x:f>
        <x:v>14</x:v>
      </x:c>
      <x:c r="Y2239" s="93" t="n">
        <x:f>W2239-X2239</x:f>
        <x:v>25</x:v>
      </x:c>
      <x:c r="Z2239" s="94" t="n">
        <x:f>IFERROR(Y2239/W2239,0)</x:f>
        <x:v>0.6410256410256411</x:v>
      </x:c>
      <x:c r="AA2239" s="84" t="str">
        <x:f>PROPER(TRIM('Raw Sales'!M2239))</x:f>
        <x:v>Paypal</x:v>
      </x:c>
      <x:c r="AB2239" s="84" t="str">
        <x:f>PROPER(TRIM('Raw Sales'!N2239))</x:f>
        <x:v>Sofia Bennett</x:v>
      </x:c>
      <x:c r="AC2239" s="85" t="n">
        <x:f>'Raw Sales'!O2239</x:f>
        <x:v>45990</x:v>
      </x:c>
      <x:c r="AD2239" s="84" t="n">
        <x:f>AC2239-B2239</x:f>
        <x:v>3</x:v>
      </x:c>
      <x:c r="AE2239" s="84" t="str">
        <x:f>IF(COUNTIF($A$5:A2239,A2239)&gt;1,"Duplicate","Keep")</x:f>
        <x:v>Keep</x:v>
      </x:c>
      <x:c r="AF2239" s="84" t="str">
        <x:f>IF(OR(R2239&lt;=0,AC2239&lt;B2239,H2239="Unknown",M2239="Unknown Product"),"Review","Valid")</x:f>
        <x:v>Valid</x:v>
      </x:c>
      <x:c r="AG2239" s="84" t="n">
        <x:f>IF(AND(AE2239="Keep",AF2239="Valid"),1,0)</x:f>
        <x:v>1</x:v>
      </x:c>
      <x:c r="AH2239" s="84" t="n">
        <x:f>IF(AND(AG2239=1,OR('Dashboard'!$B$4="All",I2239='Dashboard'!$B$4),OR('Dashboard'!$E$4="All",N2239='Dashboard'!$E$4),OR('Dashboard'!$H$4="All",K2239='Dashboard'!$H$4),OR('Dashboard'!$K$4="All",C2239='Dashboard'!$K$4)),1,0)</x:f>
        <x:v>1</x:v>
      </x:c>
      <x:c r="AI2239" s="84" t="n">
        <x:f>IF(AND(AG2239=1,OR('Dashboard'!$B$4="All",I2239='Dashboard'!$B$4),OR('Dashboard'!$E$4="All",N2239='Dashboard'!$E$4),OR('Dashboard'!$H$4="All",K2239='Dashboard'!$H$4)),1,0)</x:f>
        <x:v>1</x:v>
      </x:c>
    </x:row>
    <x:row r="2240">
      <x:c r="A2240" s="84" t="str">
        <x:f>'Raw Sales'!A2240</x:f>
        <x:v>ORD-2025-00450</x:v>
      </x:c>
      <x:c r="B2240" s="85" t="n">
        <x:f>'Raw Sales'!B2240</x:f>
        <x:v>45987</x:v>
      </x:c>
      <x:c r="C2240" s="84" t="n">
        <x:f>YEAR(B2240)</x:f>
        <x:v>2025</x:v>
      </x:c>
      <x:c r="D2240" s="91" t="n">
        <x:f>DATE(YEAR(B2240),MONTH(B2240),1)</x:f>
        <x:v>45962</x:v>
      </x:c>
      <x:c r="E2240" s="84" t="str">
        <x:f>TEXT(B2240,"mmm")</x:f>
        <x:v>Nov</x:v>
      </x:c>
      <x:c r="F2240" s="84" t="str">
        <x:f>'Raw Sales'!C2240</x:f>
        <x:v>CUST-0588</x:v>
      </x:c>
      <x:c r="G2240" s="84" t="str">
        <x:f>PROPER(TRIM('Raw Sales'!D2240))</x:f>
        <x:v>Nathan Johnson</x:v>
      </x:c>
      <x:c r="H2240" s="84" t="str">
        <x:f>IF(TRIM('Raw Sales'!E2240)="","Unknown",PROPER(TRIM('Raw Sales'!E2240)))</x:f>
        <x:v>Consumer</x:v>
      </x:c>
      <x:c r="I2240" s="84" t="str">
        <x:f>PROPER(TRIM('Raw Sales'!F2240))</x:f>
        <x:v>Midwest</x:v>
      </x:c>
      <x:c r="J2240" s="84" t="str">
        <x:f>PROPER(TRIM('Raw Sales'!G2240))</x:f>
        <x:v>Detroit</x:v>
      </x:c>
      <x:c r="K2240" s="84" t="str">
        <x:f>PROPER(TRIM('Raw Sales'!H2240))</x:f>
        <x:v>Retail Store</x:v>
      </x:c>
      <x:c r="L2240" s="84" t="str">
        <x:f>'Raw Sales'!I2240</x:f>
        <x:v>ACCS-006</x:v>
      </x:c>
      <x:c r="M2240" s="84" t="str">
        <x:f>IFERROR(VLOOKUP(L2240,'Reference Data'!$A$5:$F$40,2,FALSE),"Unknown Product")</x:f>
        <x:v>Insulated Lunch Bag</x:v>
      </x:c>
      <x:c r="N2240" s="84" t="str">
        <x:f>IFERROR(VLOOKUP(L2240,'Reference Data'!$A$5:$F$40,3,FALSE),"Unknown")</x:f>
        <x:v>Accessories</x:v>
      </x:c>
      <x:c r="O2240" s="84" t="str">
        <x:f>IFERROR(VLOOKUP(L2240,'Reference Data'!$A$5:$F$40,4,FALSE),"Unknown")</x:f>
        <x:v>Bags</x:v>
      </x:c>
      <x:c r="P2240" s="92" t="n">
        <x:f>IFERROR(VLOOKUP(L2240,'Reference Data'!$A$5:$F$40,5,FALSE),0)</x:f>
        <x:v>29</x:v>
      </x:c>
      <x:c r="Q2240" s="92" t="n">
        <x:f>IFERROR(VLOOKUP(L2240,'Reference Data'!$A$5:$F$40,6,FALSE),0)</x:f>
        <x:v>10</x:v>
      </x:c>
      <x:c r="R2240" s="84" t="n">
        <x:f>'Raw Sales'!J2240</x:f>
        <x:v>1</x:v>
      </x:c>
      <x:c r="S2240" s="87" t="n">
        <x:f>'Raw Sales'!K2240</x:f>
        <x:v>0.2</x:v>
      </x:c>
      <x:c r="T2240" s="93" t="n">
        <x:f>P2240*R2240</x:f>
        <x:v>29</x:v>
      </x:c>
      <x:c r="U2240" s="93" t="n">
        <x:f>T2240*S2240</x:f>
        <x:v>5.800000000000001</x:v>
      </x:c>
      <x:c r="V2240" s="93" t="str">
        <x:f>PROPER(TRIM('Raw Sales'!L2240))</x:f>
        <x:v>Completed</x:v>
      </x:c>
      <x:c r="W2240" s="93" t="n">
        <x:f>IF(V2240="Returned",0,T2240-U2240)</x:f>
        <x:v>23.2</x:v>
      </x:c>
      <x:c r="X2240" s="93" t="n">
        <x:f>IF(V2240="Returned",Q2240*R2240*10%,Q2240*R2240)</x:f>
        <x:v>10</x:v>
      </x:c>
      <x:c r="Y2240" s="93" t="n">
        <x:f>W2240-X2240</x:f>
        <x:v>13.2</x:v>
      </x:c>
      <x:c r="Z2240" s="94" t="n">
        <x:f>IFERROR(Y2240/W2240,0)</x:f>
        <x:v>0.5689655172413793</x:v>
      </x:c>
      <x:c r="AA2240" s="84" t="str">
        <x:f>PROPER(TRIM('Raw Sales'!M2240))</x:f>
        <x:v>Credit Card</x:v>
      </x:c>
      <x:c r="AB2240" s="84" t="str">
        <x:f>PROPER(TRIM('Raw Sales'!N2240))</x:f>
        <x:v>Emma Hayes</x:v>
      </x:c>
      <x:c r="AC2240" s="85" t="n">
        <x:f>'Raw Sales'!O2240</x:f>
        <x:v>45987</x:v>
      </x:c>
      <x:c r="AD2240" s="84" t="n">
        <x:f>AC2240-B2240</x:f>
        <x:v>0</x:v>
      </x:c>
      <x:c r="AE2240" s="84" t="str">
        <x:f>IF(COUNTIF($A$5:A2240,A2240)&gt;1,"Duplicate","Keep")</x:f>
        <x:v>Keep</x:v>
      </x:c>
      <x:c r="AF2240" s="84" t="str">
        <x:f>IF(OR(R2240&lt;=0,AC2240&lt;B2240,H2240="Unknown",M2240="Unknown Product"),"Review","Valid")</x:f>
        <x:v>Valid</x:v>
      </x:c>
      <x:c r="AG2240" s="84" t="n">
        <x:f>IF(AND(AE2240="Keep",AF2240="Valid"),1,0)</x:f>
        <x:v>1</x:v>
      </x:c>
      <x:c r="AH2240" s="84" t="n">
        <x:f>IF(AND(AG2240=1,OR('Dashboard'!$B$4="All",I2240='Dashboard'!$B$4),OR('Dashboard'!$E$4="All",N2240='Dashboard'!$E$4),OR('Dashboard'!$H$4="All",K2240='Dashboard'!$H$4),OR('Dashboard'!$K$4="All",C2240='Dashboard'!$K$4)),1,0)</x:f>
        <x:v>1</x:v>
      </x:c>
      <x:c r="AI2240" s="84" t="n">
        <x:f>IF(AND(AG2240=1,OR('Dashboard'!$B$4="All",I2240='Dashboard'!$B$4),OR('Dashboard'!$E$4="All",N2240='Dashboard'!$E$4),OR('Dashboard'!$H$4="All",K2240='Dashboard'!$H$4)),1,0)</x:f>
        <x:v>1</x:v>
      </x:c>
    </x:row>
    <x:row r="2241">
      <x:c r="A2241" s="84" t="str">
        <x:f>'Raw Sales'!A2241</x:f>
        <x:v>ORD-2025-00496</x:v>
      </x:c>
      <x:c r="B2241" s="85" t="n">
        <x:f>'Raw Sales'!B2241</x:f>
        <x:v>45987</x:v>
      </x:c>
      <x:c r="C2241" s="84" t="n">
        <x:f>YEAR(B2241)</x:f>
        <x:v>2025</x:v>
      </x:c>
      <x:c r="D2241" s="91" t="n">
        <x:f>DATE(YEAR(B2241),MONTH(B2241),1)</x:f>
        <x:v>45962</x:v>
      </x:c>
      <x:c r="E2241" s="84" t="str">
        <x:f>TEXT(B2241,"mmm")</x:f>
        <x:v>Nov</x:v>
      </x:c>
      <x:c r="F2241" s="84" t="str">
        <x:f>'Raw Sales'!C2241</x:f>
        <x:v>CUST-0562</x:v>
      </x:c>
      <x:c r="G2241" s="84" t="str">
        <x:f>PROPER(TRIM('Raw Sales'!D2241))</x:f>
        <x:v>Jasmine Nelson</x:v>
      </x:c>
      <x:c r="H2241" s="84" t="str">
        <x:f>IF(TRIM('Raw Sales'!E2241)="","Unknown",PROPER(TRIM('Raw Sales'!E2241)))</x:f>
        <x:v>Consumer</x:v>
      </x:c>
      <x:c r="I2241" s="84" t="str">
        <x:f>PROPER(TRIM('Raw Sales'!F2241))</x:f>
        <x:v>Northeast</x:v>
      </x:c>
      <x:c r="J2241" s="84" t="str">
        <x:f>PROPER(TRIM('Raw Sales'!G2241))</x:f>
        <x:v>Newark</x:v>
      </x:c>
      <x:c r="K2241" s="84" t="str">
        <x:f>PROPER(TRIM('Raw Sales'!H2241))</x:f>
        <x:v>Online</x:v>
      </x:c>
      <x:c r="L2241" s="84" t="str">
        <x:f>'Raw Sales'!I2241</x:f>
        <x:v>CARE-003</x:v>
      </x:c>
      <x:c r="M2241" s="84" t="str">
        <x:f>IFERROR(VLOOKUP(L2241,'Reference Data'!$A$5:$F$40,2,FALSE),"Unknown Product")</x:f>
        <x:v>Facial Cleanser</x:v>
      </x:c>
      <x:c r="N2241" s="84" t="str">
        <x:f>IFERROR(VLOOKUP(L2241,'Reference Data'!$A$5:$F$40,3,FALSE),"Unknown")</x:f>
        <x:v>Personal Care</x:v>
      </x:c>
      <x:c r="O2241" s="84" t="str">
        <x:f>IFERROR(VLOOKUP(L2241,'Reference Data'!$A$5:$F$40,4,FALSE),"Unknown")</x:f>
        <x:v>Skin Care</x:v>
      </x:c>
      <x:c r="P2241" s="92" t="n">
        <x:f>IFERROR(VLOOKUP(L2241,'Reference Data'!$A$5:$F$40,5,FALSE),0)</x:f>
        <x:v>18</x:v>
      </x:c>
      <x:c r="Q2241" s="92" t="n">
        <x:f>IFERROR(VLOOKUP(L2241,'Reference Data'!$A$5:$F$40,6,FALSE),0)</x:f>
        <x:v>6</x:v>
      </x:c>
      <x:c r="R2241" s="84" t="n">
        <x:f>'Raw Sales'!J2241</x:f>
        <x:v>2</x:v>
      </x:c>
      <x:c r="S2241" s="87" t="n">
        <x:f>'Raw Sales'!K2241</x:f>
        <x:v>0</x:v>
      </x:c>
      <x:c r="T2241" s="93" t="n">
        <x:f>P2241*R2241</x:f>
        <x:v>36</x:v>
      </x:c>
      <x:c r="U2241" s="93" t="n">
        <x:f>T2241*S2241</x:f>
        <x:v>0</x:v>
      </x:c>
      <x:c r="V2241" s="93" t="str">
        <x:f>PROPER(TRIM('Raw Sales'!L2241))</x:f>
        <x:v>Completed</x:v>
      </x:c>
      <x:c r="W2241" s="93" t="n">
        <x:f>IF(V2241="Returned",0,T2241-U2241)</x:f>
        <x:v>36</x:v>
      </x:c>
      <x:c r="X2241" s="93" t="n">
        <x:f>IF(V2241="Returned",Q2241*R2241*10%,Q2241*R2241)</x:f>
        <x:v>12</x:v>
      </x:c>
      <x:c r="Y2241" s="93" t="n">
        <x:f>W2241-X2241</x:f>
        <x:v>24</x:v>
      </x:c>
      <x:c r="Z2241" s="94" t="n">
        <x:f>IFERROR(Y2241/W2241,0)</x:f>
        <x:v>0.6666666666666666</x:v>
      </x:c>
      <x:c r="AA2241" s="84" t="str">
        <x:f>PROPER(TRIM('Raw Sales'!M2241))</x:f>
        <x:v>Credit Card</x:v>
      </x:c>
      <x:c r="AB2241" s="84" t="str">
        <x:f>PROPER(TRIM('Raw Sales'!N2241))</x:f>
        <x:v>Ethan Cole</x:v>
      </x:c>
      <x:c r="AC2241" s="85" t="n">
        <x:f>'Raw Sales'!O2241</x:f>
        <x:v>45992</x:v>
      </x:c>
      <x:c r="AD2241" s="84" t="n">
        <x:f>AC2241-B2241</x:f>
        <x:v>5</x:v>
      </x:c>
      <x:c r="AE2241" s="84" t="str">
        <x:f>IF(COUNTIF($A$5:A2241,A2241)&gt;1,"Duplicate","Keep")</x:f>
        <x:v>Keep</x:v>
      </x:c>
      <x:c r="AF2241" s="84" t="str">
        <x:f>IF(OR(R2241&lt;=0,AC2241&lt;B2241,H2241="Unknown",M2241="Unknown Product"),"Review","Valid")</x:f>
        <x:v>Valid</x:v>
      </x:c>
      <x:c r="AG2241" s="84" t="n">
        <x:f>IF(AND(AE2241="Keep",AF2241="Valid"),1,0)</x:f>
        <x:v>1</x:v>
      </x:c>
      <x:c r="AH2241" s="84" t="n">
        <x:f>IF(AND(AG2241=1,OR('Dashboard'!$B$4="All",I2241='Dashboard'!$B$4),OR('Dashboard'!$E$4="All",N2241='Dashboard'!$E$4),OR('Dashboard'!$H$4="All",K2241='Dashboard'!$H$4),OR('Dashboard'!$K$4="All",C2241='Dashboard'!$K$4)),1,0)</x:f>
        <x:v>1</x:v>
      </x:c>
      <x:c r="AI2241" s="84" t="n">
        <x:f>IF(AND(AG2241=1,OR('Dashboard'!$B$4="All",I2241='Dashboard'!$B$4),OR('Dashboard'!$E$4="All",N2241='Dashboard'!$E$4),OR('Dashboard'!$H$4="All",K2241='Dashboard'!$H$4)),1,0)</x:f>
        <x:v>1</x:v>
      </x:c>
    </x:row>
    <x:row r="2242">
      <x:c r="A2242" s="84" t="str">
        <x:f>'Raw Sales'!A2242</x:f>
        <x:v>ORD-2025-01127</x:v>
      </x:c>
      <x:c r="B2242" s="85" t="n">
        <x:f>'Raw Sales'!B2242</x:f>
        <x:v>45987</x:v>
      </x:c>
      <x:c r="C2242" s="84" t="n">
        <x:f>YEAR(B2242)</x:f>
        <x:v>2025</x:v>
      </x:c>
      <x:c r="D2242" s="91" t="n">
        <x:f>DATE(YEAR(B2242),MONTH(B2242),1)</x:f>
        <x:v>45962</x:v>
      </x:c>
      <x:c r="E2242" s="84" t="str">
        <x:f>TEXT(B2242,"mmm")</x:f>
        <x:v>Nov</x:v>
      </x:c>
      <x:c r="F2242" s="84" t="str">
        <x:f>'Raw Sales'!C2242</x:f>
        <x:v>CUST-0489</x:v>
      </x:c>
      <x:c r="G2242" s="84" t="str">
        <x:f>PROPER(TRIM('Raw Sales'!D2242))</x:f>
        <x:v>William Quinn</x:v>
      </x:c>
      <x:c r="H2242" s="84" t="str">
        <x:f>IF(TRIM('Raw Sales'!E2242)="","Unknown",PROPER(TRIM('Raw Sales'!E2242)))</x:f>
        <x:v>Consumer</x:v>
      </x:c>
      <x:c r="I2242" s="84" t="str">
        <x:f>PROPER(TRIM('Raw Sales'!F2242))</x:f>
        <x:v>West</x:v>
      </x:c>
      <x:c r="J2242" s="84" t="str">
        <x:f>PROPER(TRIM('Raw Sales'!G2242))</x:f>
        <x:v>Los Angeles</x:v>
      </x:c>
      <x:c r="K2242" s="84" t="str">
        <x:f>PROPER(TRIM('Raw Sales'!H2242))</x:f>
        <x:v>Online</x:v>
      </x:c>
      <x:c r="L2242" s="84" t="str">
        <x:f>'Raw Sales'!I2242</x:f>
        <x:v>ACCS-003</x:v>
      </x:c>
      <x:c r="M2242" s="84" t="str">
        <x:f>IFERROR(VLOOKUP(L2242,'Reference Data'!$A$5:$F$40,2,FALSE),"Unknown Product")</x:f>
        <x:v>Polarized Sunglasses</x:v>
      </x:c>
      <x:c r="N2242" s="84" t="str">
        <x:f>IFERROR(VLOOKUP(L2242,'Reference Data'!$A$5:$F$40,3,FALSE),"Unknown")</x:f>
        <x:v>Accessories</x:v>
      </x:c>
      <x:c r="O2242" s="84" t="str">
        <x:f>IFERROR(VLOOKUP(L2242,'Reference Data'!$A$5:$F$40,4,FALSE),"Unknown")</x:f>
        <x:v>Eyewear</x:v>
      </x:c>
      <x:c r="P2242" s="92" t="n">
        <x:f>IFERROR(VLOOKUP(L2242,'Reference Data'!$A$5:$F$40,5,FALSE),0)</x:f>
        <x:v>59</x:v>
      </x:c>
      <x:c r="Q2242" s="92" t="n">
        <x:f>IFERROR(VLOOKUP(L2242,'Reference Data'!$A$5:$F$40,6,FALSE),0)</x:f>
        <x:v>17</x:v>
      </x:c>
      <x:c r="R2242" s="84" t="n">
        <x:f>'Raw Sales'!J2242</x:f>
        <x:v>1</x:v>
      </x:c>
      <x:c r="S2242" s="87" t="n">
        <x:f>'Raw Sales'!K2242</x:f>
        <x:v>0.05</x:v>
      </x:c>
      <x:c r="T2242" s="93" t="n">
        <x:f>P2242*R2242</x:f>
        <x:v>59</x:v>
      </x:c>
      <x:c r="U2242" s="93" t="n">
        <x:f>T2242*S2242</x:f>
        <x:v>2.95</x:v>
      </x:c>
      <x:c r="V2242" s="93" t="str">
        <x:f>PROPER(TRIM('Raw Sales'!L2242))</x:f>
        <x:v>Completed</x:v>
      </x:c>
      <x:c r="W2242" s="93" t="n">
        <x:f>IF(V2242="Returned",0,T2242-U2242)</x:f>
        <x:v>56.05</x:v>
      </x:c>
      <x:c r="X2242" s="93" t="n">
        <x:f>IF(V2242="Returned",Q2242*R2242*10%,Q2242*R2242)</x:f>
        <x:v>17</x:v>
      </x:c>
      <x:c r="Y2242" s="93" t="n">
        <x:f>W2242-X2242</x:f>
        <x:v>39.05</x:v>
      </x:c>
      <x:c r="Z2242" s="94" t="n">
        <x:f>IFERROR(Y2242/W2242,0)</x:f>
        <x:v>0.6966993755575379</x:v>
      </x:c>
      <x:c r="AA2242" s="84" t="str">
        <x:f>PROPER(TRIM('Raw Sales'!M2242))</x:f>
        <x:v>Credit Card</x:v>
      </x:c>
      <x:c r="AB2242" s="84" t="str">
        <x:f>PROPER(TRIM('Raw Sales'!N2242))</x:f>
        <x:v>Leo Martinez</x:v>
      </x:c>
      <x:c r="AC2242" s="85" t="n">
        <x:f>'Raw Sales'!O2242</x:f>
        <x:v>45991</x:v>
      </x:c>
      <x:c r="AD2242" s="84" t="n">
        <x:f>AC2242-B2242</x:f>
        <x:v>4</x:v>
      </x:c>
      <x:c r="AE2242" s="84" t="str">
        <x:f>IF(COUNTIF($A$5:A2242,A2242)&gt;1,"Duplicate","Keep")</x:f>
        <x:v>Keep</x:v>
      </x:c>
      <x:c r="AF2242" s="84" t="str">
        <x:f>IF(OR(R2242&lt;=0,AC2242&lt;B2242,H2242="Unknown",M2242="Unknown Product"),"Review","Valid")</x:f>
        <x:v>Valid</x:v>
      </x:c>
      <x:c r="AG2242" s="84" t="n">
        <x:f>IF(AND(AE2242="Keep",AF2242="Valid"),1,0)</x:f>
        <x:v>1</x:v>
      </x:c>
      <x:c r="AH2242" s="84" t="n">
        <x:f>IF(AND(AG2242=1,OR('Dashboard'!$B$4="All",I2242='Dashboard'!$B$4),OR('Dashboard'!$E$4="All",N2242='Dashboard'!$E$4),OR('Dashboard'!$H$4="All",K2242='Dashboard'!$H$4),OR('Dashboard'!$K$4="All",C2242='Dashboard'!$K$4)),1,0)</x:f>
        <x:v>1</x:v>
      </x:c>
      <x:c r="AI2242" s="84" t="n">
        <x:f>IF(AND(AG2242=1,OR('Dashboard'!$B$4="All",I2242='Dashboard'!$B$4),OR('Dashboard'!$E$4="All",N2242='Dashboard'!$E$4),OR('Dashboard'!$H$4="All",K2242='Dashboard'!$H$4)),1,0)</x:f>
        <x:v>1</x:v>
      </x:c>
    </x:row>
    <x:row r="2243">
      <x:c r="A2243" s="84" t="str">
        <x:f>'Raw Sales'!A2243</x:f>
        <x:v>ORD-2025-02056</x:v>
      </x:c>
      <x:c r="B2243" s="85" t="n">
        <x:f>'Raw Sales'!B2243</x:f>
        <x:v>45987</x:v>
      </x:c>
      <x:c r="C2243" s="84" t="n">
        <x:f>YEAR(B2243)</x:f>
        <x:v>2025</x:v>
      </x:c>
      <x:c r="D2243" s="91" t="n">
        <x:f>DATE(YEAR(B2243),MONTH(B2243),1)</x:f>
        <x:v>45962</x:v>
      </x:c>
      <x:c r="E2243" s="84" t="str">
        <x:f>TEXT(B2243,"mmm")</x:f>
        <x:v>Nov</x:v>
      </x:c>
      <x:c r="F2243" s="84" t="str">
        <x:f>'Raw Sales'!C2243</x:f>
        <x:v>CUST-0393</x:v>
      </x:c>
      <x:c r="G2243" s="84" t="str">
        <x:f>PROPER(TRIM('Raw Sales'!D2243))</x:f>
        <x:v>Owen Carter</x:v>
      </x:c>
      <x:c r="H2243" s="84" t="str">
        <x:f>IF(TRIM('Raw Sales'!E2243)="","Unknown",PROPER(TRIM('Raw Sales'!E2243)))</x:f>
        <x:v>Consumer</x:v>
      </x:c>
      <x:c r="I2243" s="84" t="str">
        <x:f>PROPER(TRIM('Raw Sales'!F2243))</x:f>
        <x:v>Midwest</x:v>
      </x:c>
      <x:c r="J2243" s="84" t="str">
        <x:f>PROPER(TRIM('Raw Sales'!G2243))</x:f>
        <x:v>Columbus</x:v>
      </x:c>
      <x:c r="K2243" s="84" t="str">
        <x:f>PROPER(TRIM('Raw Sales'!H2243))</x:f>
        <x:v>Online</x:v>
      </x:c>
      <x:c r="L2243" s="84" t="str">
        <x:f>'Raw Sales'!I2243</x:f>
        <x:v>HOME-004</x:v>
      </x:c>
      <x:c r="M2243" s="84" t="str">
        <x:f>IFERROR(VLOOKUP(L2243,'Reference Data'!$A$5:$F$40,2,FALSE),"Unknown Product")</x:f>
        <x:v>Coffee Maker</x:v>
      </x:c>
      <x:c r="N2243" s="84" t="str">
        <x:f>IFERROR(VLOOKUP(L2243,'Reference Data'!$A$5:$F$40,3,FALSE),"Unknown")</x:f>
        <x:v>Home &amp; Kitchen</x:v>
      </x:c>
      <x:c r="O2243" s="84" t="str">
        <x:f>IFERROR(VLOOKUP(L2243,'Reference Data'!$A$5:$F$40,4,FALSE),"Unknown")</x:f>
        <x:v>Small Appliances</x:v>
      </x:c>
      <x:c r="P2243" s="92" t="n">
        <x:f>IFERROR(VLOOKUP(L2243,'Reference Data'!$A$5:$F$40,5,FALSE),0)</x:f>
        <x:v>99</x:v>
      </x:c>
      <x:c r="Q2243" s="92" t="n">
        <x:f>IFERROR(VLOOKUP(L2243,'Reference Data'!$A$5:$F$40,6,FALSE),0)</x:f>
        <x:v>51</x:v>
      </x:c>
      <x:c r="R2243" s="84" t="n">
        <x:f>'Raw Sales'!J2243</x:f>
        <x:v>1</x:v>
      </x:c>
      <x:c r="S2243" s="87" t="n">
        <x:f>'Raw Sales'!K2243</x:f>
        <x:v>0.1</x:v>
      </x:c>
      <x:c r="T2243" s="93" t="n">
        <x:f>P2243*R2243</x:f>
        <x:v>99</x:v>
      </x:c>
      <x:c r="U2243" s="93" t="n">
        <x:f>T2243*S2243</x:f>
        <x:v>9.9</x:v>
      </x:c>
      <x:c r="V2243" s="93" t="str">
        <x:f>PROPER(TRIM('Raw Sales'!L2243))</x:f>
        <x:v>Completed</x:v>
      </x:c>
      <x:c r="W2243" s="93" t="n">
        <x:f>IF(V2243="Returned",0,T2243-U2243)</x:f>
        <x:v>89.1</x:v>
      </x:c>
      <x:c r="X2243" s="93" t="n">
        <x:f>IF(V2243="Returned",Q2243*R2243*10%,Q2243*R2243)</x:f>
        <x:v>51</x:v>
      </x:c>
      <x:c r="Y2243" s="93" t="n">
        <x:f>W2243-X2243</x:f>
        <x:v>38.099999999999994</x:v>
      </x:c>
      <x:c r="Z2243" s="94" t="n">
        <x:f>IFERROR(Y2243/W2243,0)</x:f>
        <x:v>0.42760942760942755</x:v>
      </x:c>
      <x:c r="AA2243" s="84" t="str">
        <x:f>PROPER(TRIM('Raw Sales'!M2243))</x:f>
        <x:v>Debit Card</x:v>
      </x:c>
      <x:c r="AB2243" s="84" t="str">
        <x:f>PROPER(TRIM('Raw Sales'!N2243))</x:f>
        <x:v>Zoe Turner</x:v>
      </x:c>
      <x:c r="AC2243" s="85" t="n">
        <x:f>'Raw Sales'!O2243</x:f>
        <x:v>45992</x:v>
      </x:c>
      <x:c r="AD2243" s="84" t="n">
        <x:f>AC2243-B2243</x:f>
        <x:v>5</x:v>
      </x:c>
      <x:c r="AE2243" s="84" t="str">
        <x:f>IF(COUNTIF($A$5:A2243,A2243)&gt;1,"Duplicate","Keep")</x:f>
        <x:v>Keep</x:v>
      </x:c>
      <x:c r="AF2243" s="84" t="str">
        <x:f>IF(OR(R2243&lt;=0,AC2243&lt;B2243,H2243="Unknown",M2243="Unknown Product"),"Review","Valid")</x:f>
        <x:v>Valid</x:v>
      </x:c>
      <x:c r="AG2243" s="84" t="n">
        <x:f>IF(AND(AE2243="Keep",AF2243="Valid"),1,0)</x:f>
        <x:v>1</x:v>
      </x:c>
      <x:c r="AH2243" s="84" t="n">
        <x:f>IF(AND(AG2243=1,OR('Dashboard'!$B$4="All",I2243='Dashboard'!$B$4),OR('Dashboard'!$E$4="All",N2243='Dashboard'!$E$4),OR('Dashboard'!$H$4="All",K2243='Dashboard'!$H$4),OR('Dashboard'!$K$4="All",C2243='Dashboard'!$K$4)),1,0)</x:f>
        <x:v>1</x:v>
      </x:c>
      <x:c r="AI2243" s="84" t="n">
        <x:f>IF(AND(AG2243=1,OR('Dashboard'!$B$4="All",I2243='Dashboard'!$B$4),OR('Dashboard'!$E$4="All",N2243='Dashboard'!$E$4),OR('Dashboard'!$H$4="All",K2243='Dashboard'!$H$4)),1,0)</x:f>
        <x:v>1</x:v>
      </x:c>
    </x:row>
    <x:row r="2244">
      <x:c r="A2244" s="84" t="str">
        <x:f>'Raw Sales'!A2244</x:f>
        <x:v>ORD-2025-00389</x:v>
      </x:c>
      <x:c r="B2244" s="85" t="n">
        <x:f>'Raw Sales'!B2244</x:f>
        <x:v>45988</x:v>
      </x:c>
      <x:c r="C2244" s="84" t="n">
        <x:f>YEAR(B2244)</x:f>
        <x:v>2025</x:v>
      </x:c>
      <x:c r="D2244" s="91" t="n">
        <x:f>DATE(YEAR(B2244),MONTH(B2244),1)</x:f>
        <x:v>45962</x:v>
      </x:c>
      <x:c r="E2244" s="84" t="str">
        <x:f>TEXT(B2244,"mmm")</x:f>
        <x:v>Nov</x:v>
      </x:c>
      <x:c r="F2244" s="84" t="str">
        <x:f>'Raw Sales'!C2244</x:f>
        <x:v>CUST-0263</x:v>
      </x:c>
      <x:c r="G2244" s="84" t="str">
        <x:f>PROPER(TRIM('Raw Sales'!D2244))</x:f>
        <x:v>Theo Smith</x:v>
      </x:c>
      <x:c r="H2244" s="84" t="str">
        <x:f>IF(TRIM('Raw Sales'!E2244)="","Unknown",PROPER(TRIM('Raw Sales'!E2244)))</x:f>
        <x:v>Consumer</x:v>
      </x:c>
      <x:c r="I2244" s="84" t="str">
        <x:f>PROPER(TRIM('Raw Sales'!F2244))</x:f>
        <x:v>West</x:v>
      </x:c>
      <x:c r="J2244" s="84" t="str">
        <x:f>PROPER(TRIM('Raw Sales'!G2244))</x:f>
        <x:v>Seattle</x:v>
      </x:c>
      <x:c r="K2244" s="84" t="str">
        <x:f>PROPER(TRIM('Raw Sales'!H2244))</x:f>
        <x:v>Online</x:v>
      </x:c>
      <x:c r="L2244" s="84" t="str">
        <x:f>'Raw Sales'!I2244</x:f>
        <x:v>HOME-004</x:v>
      </x:c>
      <x:c r="M2244" s="84" t="str">
        <x:f>IFERROR(VLOOKUP(L2244,'Reference Data'!$A$5:$F$40,2,FALSE),"Unknown Product")</x:f>
        <x:v>Coffee Maker</x:v>
      </x:c>
      <x:c r="N2244" s="84" t="str">
        <x:f>IFERROR(VLOOKUP(L2244,'Reference Data'!$A$5:$F$40,3,FALSE),"Unknown")</x:f>
        <x:v>Home &amp; Kitchen</x:v>
      </x:c>
      <x:c r="O2244" s="84" t="str">
        <x:f>IFERROR(VLOOKUP(L2244,'Reference Data'!$A$5:$F$40,4,FALSE),"Unknown")</x:f>
        <x:v>Small Appliances</x:v>
      </x:c>
      <x:c r="P2244" s="92" t="n">
        <x:f>IFERROR(VLOOKUP(L2244,'Reference Data'!$A$5:$F$40,5,FALSE),0)</x:f>
        <x:v>99</x:v>
      </x:c>
      <x:c r="Q2244" s="92" t="n">
        <x:f>IFERROR(VLOOKUP(L2244,'Reference Data'!$A$5:$F$40,6,FALSE),0)</x:f>
        <x:v>51</x:v>
      </x:c>
      <x:c r="R2244" s="84" t="n">
        <x:f>'Raw Sales'!J2244</x:f>
        <x:v>1</x:v>
      </x:c>
      <x:c r="S2244" s="87" t="n">
        <x:f>'Raw Sales'!K2244</x:f>
        <x:v>0.2</x:v>
      </x:c>
      <x:c r="T2244" s="93" t="n">
        <x:f>P2244*R2244</x:f>
        <x:v>99</x:v>
      </x:c>
      <x:c r="U2244" s="93" t="n">
        <x:f>T2244*S2244</x:f>
        <x:v>19.8</x:v>
      </x:c>
      <x:c r="V2244" s="93" t="str">
        <x:f>PROPER(TRIM('Raw Sales'!L2244))</x:f>
        <x:v>Completed</x:v>
      </x:c>
      <x:c r="W2244" s="93" t="n">
        <x:f>IF(V2244="Returned",0,T2244-U2244)</x:f>
        <x:v>79.2</x:v>
      </x:c>
      <x:c r="X2244" s="93" t="n">
        <x:f>IF(V2244="Returned",Q2244*R2244*10%,Q2244*R2244)</x:f>
        <x:v>51</x:v>
      </x:c>
      <x:c r="Y2244" s="93" t="n">
        <x:f>W2244-X2244</x:f>
        <x:v>28.200000000000003</x:v>
      </x:c>
      <x:c r="Z2244" s="94" t="n">
        <x:f>IFERROR(Y2244/W2244,0)</x:f>
        <x:v>0.3560606060606061</x:v>
      </x:c>
      <x:c r="AA2244" s="84" t="str">
        <x:f>PROPER(TRIM('Raw Sales'!M2244))</x:f>
        <x:v>Debit Card</x:v>
      </x:c>
      <x:c r="AB2244" s="84" t="str">
        <x:f>PROPER(TRIM('Raw Sales'!N2244))</x:f>
        <x:v>Leo Martinez</x:v>
      </x:c>
      <x:c r="AC2244" s="85" t="n">
        <x:f>'Raw Sales'!O2244</x:f>
        <x:v>45986</x:v>
      </x:c>
      <x:c r="AD2244" s="84" t="n">
        <x:f>AC2244-B2244</x:f>
        <x:v>-2</x:v>
      </x:c>
      <x:c r="AE2244" s="84" t="str">
        <x:f>IF(COUNTIF($A$5:A2244,A2244)&gt;1,"Duplicate","Keep")</x:f>
        <x:v>Keep</x:v>
      </x:c>
      <x:c r="AF2244" s="84" t="str">
        <x:f>IF(OR(R2244&lt;=0,AC2244&lt;B2244,H2244="Unknown",M2244="Unknown Product"),"Review","Valid")</x:f>
        <x:v>Review</x:v>
      </x:c>
      <x:c r="AG2244" s="84" t="n">
        <x:f>IF(AND(AE2244="Keep",AF2244="Valid"),1,0)</x:f>
        <x:v>0</x:v>
      </x:c>
      <x:c r="AH2244" s="84" t="n">
        <x:f>IF(AND(AG2244=1,OR('Dashboard'!$B$4="All",I2244='Dashboard'!$B$4),OR('Dashboard'!$E$4="All",N2244='Dashboard'!$E$4),OR('Dashboard'!$H$4="All",K2244='Dashboard'!$H$4),OR('Dashboard'!$K$4="All",C2244='Dashboard'!$K$4)),1,0)</x:f>
        <x:v>0</x:v>
      </x:c>
      <x:c r="AI2244" s="84" t="n">
        <x:f>IF(AND(AG2244=1,OR('Dashboard'!$B$4="All",I2244='Dashboard'!$B$4),OR('Dashboard'!$E$4="All",N2244='Dashboard'!$E$4),OR('Dashboard'!$H$4="All",K2244='Dashboard'!$H$4)),1,0)</x:f>
        <x:v>0</x:v>
      </x:c>
    </x:row>
    <x:row r="2245">
      <x:c r="A2245" s="84" t="str">
        <x:f>'Raw Sales'!A2245</x:f>
        <x:v>ORD-2025-00406</x:v>
      </x:c>
      <x:c r="B2245" s="85" t="n">
        <x:f>'Raw Sales'!B2245</x:f>
        <x:v>45989</x:v>
      </x:c>
      <x:c r="C2245" s="84" t="n">
        <x:f>YEAR(B2245)</x:f>
        <x:v>2025</x:v>
      </x:c>
      <x:c r="D2245" s="91" t="n">
        <x:f>DATE(YEAR(B2245),MONTH(B2245),1)</x:f>
        <x:v>45962</x:v>
      </x:c>
      <x:c r="E2245" s="84" t="str">
        <x:f>TEXT(B2245,"mmm")</x:f>
        <x:v>Nov</x:v>
      </x:c>
      <x:c r="F2245" s="84" t="str">
        <x:f>'Raw Sales'!C2245</x:f>
        <x:v>CUST-0620</x:v>
      </x:c>
      <x:c r="G2245" s="84" t="str">
        <x:f>PROPER(TRIM('Raw Sales'!D2245))</x:f>
        <x:v>Nina Adams</x:v>
      </x:c>
      <x:c r="H2245" s="84" t="str">
        <x:f>IF(TRIM('Raw Sales'!E2245)="","Unknown",PROPER(TRIM('Raw Sales'!E2245)))</x:f>
        <x:v>Corporate</x:v>
      </x:c>
      <x:c r="I2245" s="84" t="str">
        <x:f>PROPER(TRIM('Raw Sales'!F2245))</x:f>
        <x:v>Northeast</x:v>
      </x:c>
      <x:c r="J2245" s="84" t="str">
        <x:f>PROPER(TRIM('Raw Sales'!G2245))</x:f>
        <x:v>Boston</x:v>
      </x:c>
      <x:c r="K2245" s="84" t="str">
        <x:f>PROPER(TRIM('Raw Sales'!H2245))</x:f>
        <x:v>Marketplace</x:v>
      </x:c>
      <x:c r="L2245" s="84" t="str">
        <x:f>'Raw Sales'!I2245</x:f>
        <x:v>ELEC-002</x:v>
      </x:c>
      <x:c r="M2245" s="84" t="str">
        <x:f>IFERROR(VLOOKUP(L2245,'Reference Data'!$A$5:$F$40,2,FALSE),"Unknown Product")</x:f>
        <x:v>Smartwatch</x:v>
      </x:c>
      <x:c r="N2245" s="84" t="str">
        <x:f>IFERROR(VLOOKUP(L2245,'Reference Data'!$A$5:$F$40,3,FALSE),"Unknown")</x:f>
        <x:v>Electronics</x:v>
      </x:c>
      <x:c r="O2245" s="84" t="str">
        <x:f>IFERROR(VLOOKUP(L2245,'Reference Data'!$A$5:$F$40,4,FALSE),"Unknown")</x:f>
        <x:v>Wearables</x:v>
      </x:c>
      <x:c r="P2245" s="92" t="n">
        <x:f>IFERROR(VLOOKUP(L2245,'Reference Data'!$A$5:$F$40,5,FALSE),0)</x:f>
        <x:v>159</x:v>
      </x:c>
      <x:c r="Q2245" s="92" t="n">
        <x:f>IFERROR(VLOOKUP(L2245,'Reference Data'!$A$5:$F$40,6,FALSE),0)</x:f>
        <x:v>92</x:v>
      </x:c>
      <x:c r="R2245" s="84" t="n">
        <x:f>'Raw Sales'!J2245</x:f>
        <x:v>5</x:v>
      </x:c>
      <x:c r="S2245" s="87" t="n">
        <x:f>'Raw Sales'!K2245</x:f>
        <x:v>0.2</x:v>
      </x:c>
      <x:c r="T2245" s="93" t="n">
        <x:f>P2245*R2245</x:f>
        <x:v>795</x:v>
      </x:c>
      <x:c r="U2245" s="93" t="n">
        <x:f>T2245*S2245</x:f>
        <x:v>159</x:v>
      </x:c>
      <x:c r="V2245" s="93" t="str">
        <x:f>PROPER(TRIM('Raw Sales'!L2245))</x:f>
        <x:v>Completed</x:v>
      </x:c>
      <x:c r="W2245" s="93" t="n">
        <x:f>IF(V2245="Returned",0,T2245-U2245)</x:f>
        <x:v>636</x:v>
      </x:c>
      <x:c r="X2245" s="93" t="n">
        <x:f>IF(V2245="Returned",Q2245*R2245*10%,Q2245*R2245)</x:f>
        <x:v>460</x:v>
      </x:c>
      <x:c r="Y2245" s="93" t="n">
        <x:f>W2245-X2245</x:f>
        <x:v>176</x:v>
      </x:c>
      <x:c r="Z2245" s="94" t="n">
        <x:f>IFERROR(Y2245/W2245,0)</x:f>
        <x:v>0.27672955974842767</x:v>
      </x:c>
      <x:c r="AA2245" s="84" t="str">
        <x:f>PROPER(TRIM('Raw Sales'!M2245))</x:f>
        <x:v>Debit Card</x:v>
      </x:c>
      <x:c r="AB2245" s="84" t="str">
        <x:f>PROPER(TRIM('Raw Sales'!N2245))</x:f>
        <x:v>Sofia Bennett</x:v>
      </x:c>
      <x:c r="AC2245" s="85" t="n">
        <x:f>'Raw Sales'!O2245</x:f>
        <x:v>45994</x:v>
      </x:c>
      <x:c r="AD2245" s="84" t="n">
        <x:f>AC2245-B2245</x:f>
        <x:v>5</x:v>
      </x:c>
      <x:c r="AE2245" s="84" t="str">
        <x:f>IF(COUNTIF($A$5:A2245,A2245)&gt;1,"Duplicate","Keep")</x:f>
        <x:v>Keep</x:v>
      </x:c>
      <x:c r="AF2245" s="84" t="str">
        <x:f>IF(OR(R2245&lt;=0,AC2245&lt;B2245,H2245="Unknown",M2245="Unknown Product"),"Review","Valid")</x:f>
        <x:v>Valid</x:v>
      </x:c>
      <x:c r="AG2245" s="84" t="n">
        <x:f>IF(AND(AE2245="Keep",AF2245="Valid"),1,0)</x:f>
        <x:v>1</x:v>
      </x:c>
      <x:c r="AH2245" s="84" t="n">
        <x:f>IF(AND(AG2245=1,OR('Dashboard'!$B$4="All",I2245='Dashboard'!$B$4),OR('Dashboard'!$E$4="All",N2245='Dashboard'!$E$4),OR('Dashboard'!$H$4="All",K2245='Dashboard'!$H$4),OR('Dashboard'!$K$4="All",C2245='Dashboard'!$K$4)),1,0)</x:f>
        <x:v>1</x:v>
      </x:c>
      <x:c r="AI2245" s="84" t="n">
        <x:f>IF(AND(AG2245=1,OR('Dashboard'!$B$4="All",I2245='Dashboard'!$B$4),OR('Dashboard'!$E$4="All",N2245='Dashboard'!$E$4),OR('Dashboard'!$H$4="All",K2245='Dashboard'!$H$4)),1,0)</x:f>
        <x:v>1</x:v>
      </x:c>
    </x:row>
    <x:row r="2246">
      <x:c r="A2246" s="84" t="str">
        <x:f>'Raw Sales'!A2246</x:f>
        <x:v>ORD-2025-00424</x:v>
      </x:c>
      <x:c r="B2246" s="85" t="n">
        <x:f>'Raw Sales'!B2246</x:f>
        <x:v>45989</x:v>
      </x:c>
      <x:c r="C2246" s="84" t="n">
        <x:f>YEAR(B2246)</x:f>
        <x:v>2025</x:v>
      </x:c>
      <x:c r="D2246" s="91" t="n">
        <x:f>DATE(YEAR(B2246),MONTH(B2246),1)</x:f>
        <x:v>45962</x:v>
      </x:c>
      <x:c r="E2246" s="84" t="str">
        <x:f>TEXT(B2246,"mmm")</x:f>
        <x:v>Nov</x:v>
      </x:c>
      <x:c r="F2246" s="84" t="str">
        <x:f>'Raw Sales'!C2246</x:f>
        <x:v>CUST-0345</x:v>
      </x:c>
      <x:c r="G2246" s="84" t="str">
        <x:f>PROPER(TRIM('Raw Sales'!D2246))</x:f>
        <x:v>Samuel Taylor</x:v>
      </x:c>
      <x:c r="H2246" s="84" t="str">
        <x:f>IF(TRIM('Raw Sales'!E2246)="","Unknown",PROPER(TRIM('Raw Sales'!E2246)))</x:f>
        <x:v>Consumer</x:v>
      </x:c>
      <x:c r="I2246" s="84" t="str">
        <x:f>PROPER(TRIM('Raw Sales'!F2246))</x:f>
        <x:v>Southeast</x:v>
      </x:c>
      <x:c r="J2246" s="84" t="str">
        <x:f>PROPER(TRIM('Raw Sales'!G2246))</x:f>
        <x:v>Charlotte</x:v>
      </x:c>
      <x:c r="K2246" s="84" t="str">
        <x:f>PROPER(TRIM('Raw Sales'!H2246))</x:f>
        <x:v>Marketplace</x:v>
      </x:c>
      <x:c r="L2246" s="84" t="str">
        <x:f>'Raw Sales'!I2246</x:f>
        <x:v>OFFC-003</x:v>
      </x:c>
      <x:c r="M2246" s="84" t="str">
        <x:f>IFERROR(VLOOKUP(L2246,'Reference Data'!$A$5:$F$40,2,FALSE),"Unknown Product")</x:f>
        <x:v>LED Desk Lamp</x:v>
      </x:c>
      <x:c r="N2246" s="84" t="str">
        <x:f>IFERROR(VLOOKUP(L2246,'Reference Data'!$A$5:$F$40,3,FALSE),"Unknown")</x:f>
        <x:v>Office</x:v>
      </x:c>
      <x:c r="O2246" s="84" t="str">
        <x:f>IFERROR(VLOOKUP(L2246,'Reference Data'!$A$5:$F$40,4,FALSE),"Unknown")</x:f>
        <x:v>Desk Accessories</x:v>
      </x:c>
      <x:c r="P2246" s="92" t="n">
        <x:f>IFERROR(VLOOKUP(L2246,'Reference Data'!$A$5:$F$40,5,FALSE),0)</x:f>
        <x:v>45</x:v>
      </x:c>
      <x:c r="Q2246" s="92" t="n">
        <x:f>IFERROR(VLOOKUP(L2246,'Reference Data'!$A$5:$F$40,6,FALSE),0)</x:f>
        <x:v>20</x:v>
      </x:c>
      <x:c r="R2246" s="84" t="n">
        <x:f>'Raw Sales'!J2246</x:f>
        <x:v>1</x:v>
      </x:c>
      <x:c r="S2246" s="87" t="n">
        <x:f>'Raw Sales'!K2246</x:f>
        <x:v>0</x:v>
      </x:c>
      <x:c r="T2246" s="93" t="n">
        <x:f>P2246*R2246</x:f>
        <x:v>45</x:v>
      </x:c>
      <x:c r="U2246" s="93" t="n">
        <x:f>T2246*S2246</x:f>
        <x:v>0</x:v>
      </x:c>
      <x:c r="V2246" s="93" t="str">
        <x:f>PROPER(TRIM('Raw Sales'!L2246))</x:f>
        <x:v>Completed</x:v>
      </x:c>
      <x:c r="W2246" s="93" t="n">
        <x:f>IF(V2246="Returned",0,T2246-U2246)</x:f>
        <x:v>45</x:v>
      </x:c>
      <x:c r="X2246" s="93" t="n">
        <x:f>IF(V2246="Returned",Q2246*R2246*10%,Q2246*R2246)</x:f>
        <x:v>20</x:v>
      </x:c>
      <x:c r="Y2246" s="93" t="n">
        <x:f>W2246-X2246</x:f>
        <x:v>25</x:v>
      </x:c>
      <x:c r="Z2246" s="94" t="n">
        <x:f>IFERROR(Y2246/W2246,0)</x:f>
        <x:v>0.5555555555555556</x:v>
      </x:c>
      <x:c r="AA2246" s="84" t="str">
        <x:f>PROPER(TRIM('Raw Sales'!M2246))</x:f>
        <x:v>Credit Card</x:v>
      </x:c>
      <x:c r="AB2246" s="84" t="str">
        <x:f>PROPER(TRIM('Raw Sales'!N2246))</x:f>
        <x:v>Liam Parker</x:v>
      </x:c>
      <x:c r="AC2246" s="85" t="n">
        <x:f>'Raw Sales'!O2246</x:f>
        <x:v>45995</x:v>
      </x:c>
      <x:c r="AD2246" s="84" t="n">
        <x:f>AC2246-B2246</x:f>
        <x:v>6</x:v>
      </x:c>
      <x:c r="AE2246" s="84" t="str">
        <x:f>IF(COUNTIF($A$5:A2246,A2246)&gt;1,"Duplicate","Keep")</x:f>
        <x:v>Keep</x:v>
      </x:c>
      <x:c r="AF2246" s="84" t="str">
        <x:f>IF(OR(R2246&lt;=0,AC2246&lt;B2246,H2246="Unknown",M2246="Unknown Product"),"Review","Valid")</x:f>
        <x:v>Valid</x:v>
      </x:c>
      <x:c r="AG2246" s="84" t="n">
        <x:f>IF(AND(AE2246="Keep",AF2246="Valid"),1,0)</x:f>
        <x:v>1</x:v>
      </x:c>
      <x:c r="AH2246" s="84" t="n">
        <x:f>IF(AND(AG2246=1,OR('Dashboard'!$B$4="All",I2246='Dashboard'!$B$4),OR('Dashboard'!$E$4="All",N2246='Dashboard'!$E$4),OR('Dashboard'!$H$4="All",K2246='Dashboard'!$H$4),OR('Dashboard'!$K$4="All",C2246='Dashboard'!$K$4)),1,0)</x:f>
        <x:v>1</x:v>
      </x:c>
      <x:c r="AI2246" s="84" t="n">
        <x:f>IF(AND(AG2246=1,OR('Dashboard'!$B$4="All",I2246='Dashboard'!$B$4),OR('Dashboard'!$E$4="All",N2246='Dashboard'!$E$4),OR('Dashboard'!$H$4="All",K2246='Dashboard'!$H$4)),1,0)</x:f>
        <x:v>1</x:v>
      </x:c>
    </x:row>
    <x:row r="2247">
      <x:c r="A2247" s="84" t="str">
        <x:f>'Raw Sales'!A2247</x:f>
        <x:v>ORD-2025-01214</x:v>
      </x:c>
      <x:c r="B2247" s="85" t="n">
        <x:f>'Raw Sales'!B2247</x:f>
        <x:v>45989</x:v>
      </x:c>
      <x:c r="C2247" s="84" t="n">
        <x:f>YEAR(B2247)</x:f>
        <x:v>2025</x:v>
      </x:c>
      <x:c r="D2247" s="91" t="n">
        <x:f>DATE(YEAR(B2247),MONTH(B2247),1)</x:f>
        <x:v>45962</x:v>
      </x:c>
      <x:c r="E2247" s="84" t="str">
        <x:f>TEXT(B2247,"mmm")</x:f>
        <x:v>Nov</x:v>
      </x:c>
      <x:c r="F2247" s="84" t="str">
        <x:f>'Raw Sales'!C2247</x:f>
        <x:v>CUST-0552</x:v>
      </x:c>
      <x:c r="G2247" s="84" t="str">
        <x:f>PROPER(TRIM('Raw Sales'!D2247))</x:f>
        <x:v>Victoria Foster</x:v>
      </x:c>
      <x:c r="H2247" s="84" t="str">
        <x:f>IF(TRIM('Raw Sales'!E2247)="","Unknown",PROPER(TRIM('Raw Sales'!E2247)))</x:f>
        <x:v>Corporate</x:v>
      </x:c>
      <x:c r="I2247" s="84" t="str">
        <x:f>PROPER(TRIM('Raw Sales'!F2247))</x:f>
        <x:v>Southeast</x:v>
      </x:c>
      <x:c r="J2247" s="84" t="str">
        <x:f>PROPER(TRIM('Raw Sales'!G2247))</x:f>
        <x:v>Miami</x:v>
      </x:c>
      <x:c r="K2247" s="84" t="str">
        <x:f>PROPER(TRIM('Raw Sales'!H2247))</x:f>
        <x:v>Online</x:v>
      </x:c>
      <x:c r="L2247" s="84" t="str">
        <x:f>'Raw Sales'!I2247</x:f>
        <x:v>OFFC-001</x:v>
      </x:c>
      <x:c r="M2247" s="84" t="str">
        <x:f>IFERROR(VLOOKUP(L2247,'Reference Data'!$A$5:$F$40,2,FALSE),"Unknown Product")</x:f>
        <x:v>Ergonomic Chair</x:v>
      </x:c>
      <x:c r="N2247" s="84" t="str">
        <x:f>IFERROR(VLOOKUP(L2247,'Reference Data'!$A$5:$F$40,3,FALSE),"Unknown")</x:f>
        <x:v>Office</x:v>
      </x:c>
      <x:c r="O2247" s="84" t="str">
        <x:f>IFERROR(VLOOKUP(L2247,'Reference Data'!$A$5:$F$40,4,FALSE),"Unknown")</x:f>
        <x:v>Furniture</x:v>
      </x:c>
      <x:c r="P2247" s="92" t="n">
        <x:f>IFERROR(VLOOKUP(L2247,'Reference Data'!$A$5:$F$40,5,FALSE),0)</x:f>
        <x:v>249</x:v>
      </x:c>
      <x:c r="Q2247" s="92" t="n">
        <x:f>IFERROR(VLOOKUP(L2247,'Reference Data'!$A$5:$F$40,6,FALSE),0)</x:f>
        <x:v>145</x:v>
      </x:c>
      <x:c r="R2247" s="84" t="n">
        <x:f>'Raw Sales'!J2247</x:f>
        <x:v>4</x:v>
      </x:c>
      <x:c r="S2247" s="87" t="n">
        <x:f>'Raw Sales'!K2247</x:f>
        <x:v>0.15</x:v>
      </x:c>
      <x:c r="T2247" s="93" t="n">
        <x:f>P2247*R2247</x:f>
        <x:v>996</x:v>
      </x:c>
      <x:c r="U2247" s="93" t="n">
        <x:f>T2247*S2247</x:f>
        <x:v>149.4</x:v>
      </x:c>
      <x:c r="V2247" s="93" t="str">
        <x:f>PROPER(TRIM('Raw Sales'!L2247))</x:f>
        <x:v>Completed</x:v>
      </x:c>
      <x:c r="W2247" s="93" t="n">
        <x:f>IF(V2247="Returned",0,T2247-U2247)</x:f>
        <x:v>846.6</x:v>
      </x:c>
      <x:c r="X2247" s="93" t="n">
        <x:f>IF(V2247="Returned",Q2247*R2247*10%,Q2247*R2247)</x:f>
        <x:v>580</x:v>
      </x:c>
      <x:c r="Y2247" s="93" t="n">
        <x:f>W2247-X2247</x:f>
        <x:v>266.6</x:v>
      </x:c>
      <x:c r="Z2247" s="94" t="n">
        <x:f>IFERROR(Y2247/W2247,0)</x:f>
        <x:v>0.3149066855657926</x:v>
      </x:c>
      <x:c r="AA2247" s="84" t="str">
        <x:f>PROPER(TRIM('Raw Sales'!M2247))</x:f>
        <x:v>Credit Card</x:v>
      </x:c>
      <x:c r="AB2247" s="84" t="str">
        <x:f>PROPER(TRIM('Raw Sales'!N2247))</x:f>
        <x:v>Liam Parker</x:v>
      </x:c>
      <x:c r="AC2247" s="85" t="n">
        <x:f>'Raw Sales'!O2247</x:f>
        <x:v>45991</x:v>
      </x:c>
      <x:c r="AD2247" s="84" t="n">
        <x:f>AC2247-B2247</x:f>
        <x:v>2</x:v>
      </x:c>
      <x:c r="AE2247" s="84" t="str">
        <x:f>IF(COUNTIF($A$5:A2247,A2247)&gt;1,"Duplicate","Keep")</x:f>
        <x:v>Keep</x:v>
      </x:c>
      <x:c r="AF2247" s="84" t="str">
        <x:f>IF(OR(R2247&lt;=0,AC2247&lt;B2247,H2247="Unknown",M2247="Unknown Product"),"Review","Valid")</x:f>
        <x:v>Valid</x:v>
      </x:c>
      <x:c r="AG2247" s="84" t="n">
        <x:f>IF(AND(AE2247="Keep",AF2247="Valid"),1,0)</x:f>
        <x:v>1</x:v>
      </x:c>
      <x:c r="AH2247" s="84" t="n">
        <x:f>IF(AND(AG2247=1,OR('Dashboard'!$B$4="All",I2247='Dashboard'!$B$4),OR('Dashboard'!$E$4="All",N2247='Dashboard'!$E$4),OR('Dashboard'!$H$4="All",K2247='Dashboard'!$H$4),OR('Dashboard'!$K$4="All",C2247='Dashboard'!$K$4)),1,0)</x:f>
        <x:v>1</x:v>
      </x:c>
      <x:c r="AI2247" s="84" t="n">
        <x:f>IF(AND(AG2247=1,OR('Dashboard'!$B$4="All",I2247='Dashboard'!$B$4),OR('Dashboard'!$E$4="All",N2247='Dashboard'!$E$4),OR('Dashboard'!$H$4="All",K2247='Dashboard'!$H$4)),1,0)</x:f>
        <x:v>1</x:v>
      </x:c>
    </x:row>
    <x:row r="2248">
      <x:c r="A2248" s="84" t="str">
        <x:f>'Raw Sales'!A2248</x:f>
        <x:v>ORD-2025-00984</x:v>
      </x:c>
      <x:c r="B2248" s="85" t="n">
        <x:f>'Raw Sales'!B2248</x:f>
        <x:v>45990</x:v>
      </x:c>
      <x:c r="C2248" s="84" t="n">
        <x:f>YEAR(B2248)</x:f>
        <x:v>2025</x:v>
      </x:c>
      <x:c r="D2248" s="91" t="n">
        <x:f>DATE(YEAR(B2248),MONTH(B2248),1)</x:f>
        <x:v>45962</x:v>
      </x:c>
      <x:c r="E2248" s="84" t="str">
        <x:f>TEXT(B2248,"mmm")</x:f>
        <x:v>Nov</x:v>
      </x:c>
      <x:c r="F2248" s="84" t="str">
        <x:f>'Raw Sales'!C2248</x:f>
        <x:v>CUST-0517</x:v>
      </x:c>
      <x:c r="G2248" s="84" t="str">
        <x:f>PROPER(TRIM('Raw Sales'!D2248))</x:f>
        <x:v>Layla Irwin</x:v>
      </x:c>
      <x:c r="H2248" s="84" t="str">
        <x:f>IF(TRIM('Raw Sales'!E2248)="","Unknown",PROPER(TRIM('Raw Sales'!E2248)))</x:f>
        <x:v>Corporate</x:v>
      </x:c>
      <x:c r="I2248" s="84" t="str">
        <x:f>PROPER(TRIM('Raw Sales'!F2248))</x:f>
        <x:v>Northeast</x:v>
      </x:c>
      <x:c r="J2248" s="84" t="str">
        <x:f>PROPER(TRIM('Raw Sales'!G2248))</x:f>
        <x:v>Newark</x:v>
      </x:c>
      <x:c r="K2248" s="84" t="str">
        <x:f>PROPER(TRIM('Raw Sales'!H2248))</x:f>
        <x:v>Retail Store</x:v>
      </x:c>
      <x:c r="L2248" s="84" t="str">
        <x:f>'Raw Sales'!I2248</x:f>
        <x:v>OFFC-006</x:v>
      </x:c>
      <x:c r="M2248" s="84" t="str">
        <x:f>IFERROR(VLOOKUP(L2248,'Reference Data'!$A$5:$F$40,2,FALSE),"Unknown Product")</x:f>
        <x:v>Monitor Stand</x:v>
      </x:c>
      <x:c r="N2248" s="84" t="str">
        <x:f>IFERROR(VLOOKUP(L2248,'Reference Data'!$A$5:$F$40,3,FALSE),"Unknown")</x:f>
        <x:v>Office</x:v>
      </x:c>
      <x:c r="O2248" s="84" t="str">
        <x:f>IFERROR(VLOOKUP(L2248,'Reference Data'!$A$5:$F$40,4,FALSE),"Unknown")</x:f>
        <x:v>Desk Accessories</x:v>
      </x:c>
      <x:c r="P2248" s="92" t="n">
        <x:f>IFERROR(VLOOKUP(L2248,'Reference Data'!$A$5:$F$40,5,FALSE),0)</x:f>
        <x:v>49</x:v>
      </x:c>
      <x:c r="Q2248" s="92" t="n">
        <x:f>IFERROR(VLOOKUP(L2248,'Reference Data'!$A$5:$F$40,6,FALSE),0)</x:f>
        <x:v>21</x:v>
      </x:c>
      <x:c r="R2248" s="84" t="n">
        <x:f>'Raw Sales'!J2248</x:f>
        <x:v>3</x:v>
      </x:c>
      <x:c r="S2248" s="87" t="n">
        <x:f>'Raw Sales'!K2248</x:f>
        <x:v>0.15</x:v>
      </x:c>
      <x:c r="T2248" s="93" t="n">
        <x:f>P2248*R2248</x:f>
        <x:v>147</x:v>
      </x:c>
      <x:c r="U2248" s="93" t="n">
        <x:f>T2248*S2248</x:f>
        <x:v>22.05</x:v>
      </x:c>
      <x:c r="V2248" s="93" t="str">
        <x:f>PROPER(TRIM('Raw Sales'!L2248))</x:f>
        <x:v>Completed</x:v>
      </x:c>
      <x:c r="W2248" s="93" t="n">
        <x:f>IF(V2248="Returned",0,T2248-U2248)</x:f>
        <x:v>124.95</x:v>
      </x:c>
      <x:c r="X2248" s="93" t="n">
        <x:f>IF(V2248="Returned",Q2248*R2248*10%,Q2248*R2248)</x:f>
        <x:v>63</x:v>
      </x:c>
      <x:c r="Y2248" s="93" t="n">
        <x:f>W2248-X2248</x:f>
        <x:v>61.95</x:v>
      </x:c>
      <x:c r="Z2248" s="94" t="n">
        <x:f>IFERROR(Y2248/W2248,0)</x:f>
        <x:v>0.4957983193277311</x:v>
      </x:c>
      <x:c r="AA2248" s="84" t="str">
        <x:f>PROPER(TRIM('Raw Sales'!M2248))</x:f>
        <x:v>Debit Card</x:v>
      </x:c>
      <x:c r="AB2248" s="84" t="str">
        <x:f>PROPER(TRIM('Raw Sales'!N2248))</x:f>
        <x:v>Ethan Cole</x:v>
      </x:c>
      <x:c r="AC2248" s="85" t="n">
        <x:f>'Raw Sales'!O2248</x:f>
        <x:v>45990</x:v>
      </x:c>
      <x:c r="AD2248" s="84" t="n">
        <x:f>AC2248-B2248</x:f>
        <x:v>0</x:v>
      </x:c>
      <x:c r="AE2248" s="84" t="str">
        <x:f>IF(COUNTIF($A$5:A2248,A2248)&gt;1,"Duplicate","Keep")</x:f>
        <x:v>Keep</x:v>
      </x:c>
      <x:c r="AF2248" s="84" t="str">
        <x:f>IF(OR(R2248&lt;=0,AC2248&lt;B2248,H2248="Unknown",M2248="Unknown Product"),"Review","Valid")</x:f>
        <x:v>Valid</x:v>
      </x:c>
      <x:c r="AG2248" s="84" t="n">
        <x:f>IF(AND(AE2248="Keep",AF2248="Valid"),1,0)</x:f>
        <x:v>1</x:v>
      </x:c>
      <x:c r="AH2248" s="84" t="n">
        <x:f>IF(AND(AG2248=1,OR('Dashboard'!$B$4="All",I2248='Dashboard'!$B$4),OR('Dashboard'!$E$4="All",N2248='Dashboard'!$E$4),OR('Dashboard'!$H$4="All",K2248='Dashboard'!$H$4),OR('Dashboard'!$K$4="All",C2248='Dashboard'!$K$4)),1,0)</x:f>
        <x:v>1</x:v>
      </x:c>
      <x:c r="AI2248" s="84" t="n">
        <x:f>IF(AND(AG2248=1,OR('Dashboard'!$B$4="All",I2248='Dashboard'!$B$4),OR('Dashboard'!$E$4="All",N2248='Dashboard'!$E$4),OR('Dashboard'!$H$4="All",K2248='Dashboard'!$H$4)),1,0)</x:f>
        <x:v>1</x:v>
      </x:c>
    </x:row>
    <x:row r="2249">
      <x:c r="A2249" s="84" t="str">
        <x:f>'Raw Sales'!A2249</x:f>
        <x:v>ORD-2025-01027</x:v>
      </x:c>
      <x:c r="B2249" s="85" t="n">
        <x:f>'Raw Sales'!B2249</x:f>
        <x:v>45990</x:v>
      </x:c>
      <x:c r="C2249" s="84" t="n">
        <x:f>YEAR(B2249)</x:f>
        <x:v>2025</x:v>
      </x:c>
      <x:c r="D2249" s="91" t="n">
        <x:f>DATE(YEAR(B2249),MONTH(B2249),1)</x:f>
        <x:v>45962</x:v>
      </x:c>
      <x:c r="E2249" s="84" t="str">
        <x:f>TEXT(B2249,"mmm")</x:f>
        <x:v>Nov</x:v>
      </x:c>
      <x:c r="F2249" s="84" t="str">
        <x:f>'Raw Sales'!C2249</x:f>
        <x:v>CUST-0015</x:v>
      </x:c>
      <x:c r="G2249" s="84" t="str">
        <x:f>PROPER(TRIM('Raw Sales'!D2249))</x:f>
        <x:v>Elena Walker</x:v>
      </x:c>
      <x:c r="H2249" s="84" t="str">
        <x:f>IF(TRIM('Raw Sales'!E2249)="","Unknown",PROPER(TRIM('Raw Sales'!E2249)))</x:f>
        <x:v>Consumer</x:v>
      </x:c>
      <x:c r="I2249" s="84" t="str">
        <x:f>PROPER(TRIM('Raw Sales'!F2249))</x:f>
        <x:v>West</x:v>
      </x:c>
      <x:c r="J2249" s="84" t="str">
        <x:f>PROPER(TRIM('Raw Sales'!G2249))</x:f>
        <x:v>Denver</x:v>
      </x:c>
      <x:c r="K2249" s="84" t="str">
        <x:f>PROPER(TRIM('Raw Sales'!H2249))</x:f>
        <x:v>Retail Store</x:v>
      </x:c>
      <x:c r="L2249" s="84" t="str">
        <x:f>'Raw Sales'!I2249</x:f>
        <x:v>ELEC-002</x:v>
      </x:c>
      <x:c r="M2249" s="84" t="str">
        <x:f>IFERROR(VLOOKUP(L2249,'Reference Data'!$A$5:$F$40,2,FALSE),"Unknown Product")</x:f>
        <x:v>Smartwatch</x:v>
      </x:c>
      <x:c r="N2249" s="84" t="str">
        <x:f>IFERROR(VLOOKUP(L2249,'Reference Data'!$A$5:$F$40,3,FALSE),"Unknown")</x:f>
        <x:v>Electronics</x:v>
      </x:c>
      <x:c r="O2249" s="84" t="str">
        <x:f>IFERROR(VLOOKUP(L2249,'Reference Data'!$A$5:$F$40,4,FALSE),"Unknown")</x:f>
        <x:v>Wearables</x:v>
      </x:c>
      <x:c r="P2249" s="92" t="n">
        <x:f>IFERROR(VLOOKUP(L2249,'Reference Data'!$A$5:$F$40,5,FALSE),0)</x:f>
        <x:v>159</x:v>
      </x:c>
      <x:c r="Q2249" s="92" t="n">
        <x:f>IFERROR(VLOOKUP(L2249,'Reference Data'!$A$5:$F$40,6,FALSE),0)</x:f>
        <x:v>92</x:v>
      </x:c>
      <x:c r="R2249" s="84" t="n">
        <x:f>'Raw Sales'!J2249</x:f>
        <x:v>1</x:v>
      </x:c>
      <x:c r="S2249" s="87" t="n">
        <x:f>'Raw Sales'!K2249</x:f>
        <x:v>0</x:v>
      </x:c>
      <x:c r="T2249" s="93" t="n">
        <x:f>P2249*R2249</x:f>
        <x:v>159</x:v>
      </x:c>
      <x:c r="U2249" s="93" t="n">
        <x:f>T2249*S2249</x:f>
        <x:v>0</x:v>
      </x:c>
      <x:c r="V2249" s="93" t="str">
        <x:f>PROPER(TRIM('Raw Sales'!L2249))</x:f>
        <x:v>Completed</x:v>
      </x:c>
      <x:c r="W2249" s="93" t="n">
        <x:f>IF(V2249="Returned",0,T2249-U2249)</x:f>
        <x:v>159</x:v>
      </x:c>
      <x:c r="X2249" s="93" t="n">
        <x:f>IF(V2249="Returned",Q2249*R2249*10%,Q2249*R2249)</x:f>
        <x:v>92</x:v>
      </x:c>
      <x:c r="Y2249" s="93" t="n">
        <x:f>W2249-X2249</x:f>
        <x:v>67</x:v>
      </x:c>
      <x:c r="Z2249" s="94" t="n">
        <x:f>IFERROR(Y2249/W2249,0)</x:f>
        <x:v>0.42138364779874216</x:v>
      </x:c>
      <x:c r="AA2249" s="84" t="str">
        <x:f>PROPER(TRIM('Raw Sales'!M2249))</x:f>
        <x:v>Credit Card</x:v>
      </x:c>
      <x:c r="AB2249" s="84" t="str">
        <x:f>PROPER(TRIM('Raw Sales'!N2249))</x:f>
        <x:v>Nora Kim</x:v>
      </x:c>
      <x:c r="AC2249" s="85" t="n">
        <x:f>'Raw Sales'!O2249</x:f>
        <x:v>45991</x:v>
      </x:c>
      <x:c r="AD2249" s="84" t="n">
        <x:f>AC2249-B2249</x:f>
        <x:v>1</x:v>
      </x:c>
      <x:c r="AE2249" s="84" t="str">
        <x:f>IF(COUNTIF($A$5:A2249,A2249)&gt;1,"Duplicate","Keep")</x:f>
        <x:v>Keep</x:v>
      </x:c>
      <x:c r="AF2249" s="84" t="str">
        <x:f>IF(OR(R2249&lt;=0,AC2249&lt;B2249,H2249="Unknown",M2249="Unknown Product"),"Review","Valid")</x:f>
        <x:v>Valid</x:v>
      </x:c>
      <x:c r="AG2249" s="84" t="n">
        <x:f>IF(AND(AE2249="Keep",AF2249="Valid"),1,0)</x:f>
        <x:v>1</x:v>
      </x:c>
      <x:c r="AH2249" s="84" t="n">
        <x:f>IF(AND(AG2249=1,OR('Dashboard'!$B$4="All",I2249='Dashboard'!$B$4),OR('Dashboard'!$E$4="All",N2249='Dashboard'!$E$4),OR('Dashboard'!$H$4="All",K2249='Dashboard'!$H$4),OR('Dashboard'!$K$4="All",C2249='Dashboard'!$K$4)),1,0)</x:f>
        <x:v>1</x:v>
      </x:c>
      <x:c r="AI2249" s="84" t="n">
        <x:f>IF(AND(AG2249=1,OR('Dashboard'!$B$4="All",I2249='Dashboard'!$B$4),OR('Dashboard'!$E$4="All",N2249='Dashboard'!$E$4),OR('Dashboard'!$H$4="All",K2249='Dashboard'!$H$4)),1,0)</x:f>
        <x:v>1</x:v>
      </x:c>
    </x:row>
    <x:row r="2250">
      <x:c r="A2250" s="84" t="str">
        <x:f>'Raw Sales'!A2250</x:f>
        <x:v>ORD-2025-01597</x:v>
      </x:c>
      <x:c r="B2250" s="85" t="n">
        <x:f>'Raw Sales'!B2250</x:f>
        <x:v>45990</x:v>
      </x:c>
      <x:c r="C2250" s="84" t="n">
        <x:f>YEAR(B2250)</x:f>
        <x:v>2025</x:v>
      </x:c>
      <x:c r="D2250" s="91" t="n">
        <x:f>DATE(YEAR(B2250),MONTH(B2250),1)</x:f>
        <x:v>45962</x:v>
      </x:c>
      <x:c r="E2250" s="84" t="str">
        <x:f>TEXT(B2250,"mmm")</x:f>
        <x:v>Nov</x:v>
      </x:c>
      <x:c r="F2250" s="84" t="str">
        <x:f>'Raw Sales'!C2250</x:f>
        <x:v>CUST-0178</x:v>
      </x:c>
      <x:c r="G2250" s="84" t="str">
        <x:f>PROPER(TRIM('Raw Sales'!D2250))</x:f>
        <x:v>Jasmine Baker</x:v>
      </x:c>
      <x:c r="H2250" s="84" t="str">
        <x:f>IF(TRIM('Raw Sales'!E2250)="","Unknown",PROPER(TRIM('Raw Sales'!E2250)))</x:f>
        <x:v>Corporate</x:v>
      </x:c>
      <x:c r="I2250" s="84" t="str">
        <x:f>PROPER(TRIM('Raw Sales'!F2250))</x:f>
        <x:v>Northeast</x:v>
      </x:c>
      <x:c r="J2250" s="84" t="str">
        <x:f>PROPER(TRIM('Raw Sales'!G2250))</x:f>
        <x:v>New York</x:v>
      </x:c>
      <x:c r="K2250" s="84" t="str">
        <x:f>PROPER(TRIM('Raw Sales'!H2250))</x:f>
        <x:v>Retail Store</x:v>
      </x:c>
      <x:c r="L2250" s="84" t="str">
        <x:f>'Raw Sales'!I2250</x:f>
        <x:v>ACCS-005</x:v>
      </x:c>
      <x:c r="M2250" s="84" t="str">
        <x:f>IFERROR(VLOOKUP(L2250,'Reference Data'!$A$5:$F$40,2,FALSE),"Unknown Product")</x:f>
        <x:v>Protective Phone Case</x:v>
      </x:c>
      <x:c r="N2250" s="84" t="str">
        <x:f>IFERROR(VLOOKUP(L2250,'Reference Data'!$A$5:$F$40,3,FALSE),"Unknown")</x:f>
        <x:v>Accessories</x:v>
      </x:c>
      <x:c r="O2250" s="84" t="str">
        <x:f>IFERROR(VLOOKUP(L2250,'Reference Data'!$A$5:$F$40,4,FALSE),"Unknown")</x:f>
        <x:v>Mobile Accessories</x:v>
      </x:c>
      <x:c r="P2250" s="92" t="n">
        <x:f>IFERROR(VLOOKUP(L2250,'Reference Data'!$A$5:$F$40,5,FALSE),0)</x:f>
        <x:v>24</x:v>
      </x:c>
      <x:c r="Q2250" s="92" t="n">
        <x:f>IFERROR(VLOOKUP(L2250,'Reference Data'!$A$5:$F$40,6,FALSE),0)</x:f>
        <x:v>5</x:v>
      </x:c>
      <x:c r="R2250" s="84" t="n">
        <x:f>'Raw Sales'!J2250</x:f>
        <x:v>6</x:v>
      </x:c>
      <x:c r="S2250" s="87" t="n">
        <x:f>'Raw Sales'!K2250</x:f>
        <x:v>0.05</x:v>
      </x:c>
      <x:c r="T2250" s="93" t="n">
        <x:f>P2250*R2250</x:f>
        <x:v>144</x:v>
      </x:c>
      <x:c r="U2250" s="93" t="n">
        <x:f>T2250*S2250</x:f>
        <x:v>7.2</x:v>
      </x:c>
      <x:c r="V2250" s="93" t="str">
        <x:f>PROPER(TRIM('Raw Sales'!L2250))</x:f>
        <x:v>Completed</x:v>
      </x:c>
      <x:c r="W2250" s="93" t="n">
        <x:f>IF(V2250="Returned",0,T2250-U2250)</x:f>
        <x:v>136.8</x:v>
      </x:c>
      <x:c r="X2250" s="93" t="n">
        <x:f>IF(V2250="Returned",Q2250*R2250*10%,Q2250*R2250)</x:f>
        <x:v>30</x:v>
      </x:c>
      <x:c r="Y2250" s="93" t="n">
        <x:f>W2250-X2250</x:f>
        <x:v>106.80000000000001</x:v>
      </x:c>
      <x:c r="Z2250" s="94" t="n">
        <x:f>IFERROR(Y2250/W2250,0)</x:f>
        <x:v>0.7807017543859649</x:v>
      </x:c>
      <x:c r="AA2250" s="84" t="str">
        <x:f>PROPER(TRIM('Raw Sales'!M2250))</x:f>
        <x:v>Credit Card</x:v>
      </x:c>
      <x:c r="AB2250" s="84" t="str">
        <x:f>PROPER(TRIM('Raw Sales'!N2250))</x:f>
        <x:v>Sofia Bennett</x:v>
      </x:c>
      <x:c r="AC2250" s="85" t="n">
        <x:f>'Raw Sales'!O2250</x:f>
        <x:v>45990</x:v>
      </x:c>
      <x:c r="AD2250" s="84" t="n">
        <x:f>AC2250-B2250</x:f>
        <x:v>0</x:v>
      </x:c>
      <x:c r="AE2250" s="84" t="str">
        <x:f>IF(COUNTIF($A$5:A2250,A2250)&gt;1,"Duplicate","Keep")</x:f>
        <x:v>Keep</x:v>
      </x:c>
      <x:c r="AF2250" s="84" t="str">
        <x:f>IF(OR(R2250&lt;=0,AC2250&lt;B2250,H2250="Unknown",M2250="Unknown Product"),"Review","Valid")</x:f>
        <x:v>Valid</x:v>
      </x:c>
      <x:c r="AG2250" s="84" t="n">
        <x:f>IF(AND(AE2250="Keep",AF2250="Valid"),1,0)</x:f>
        <x:v>1</x:v>
      </x:c>
      <x:c r="AH2250" s="84" t="n">
        <x:f>IF(AND(AG2250=1,OR('Dashboard'!$B$4="All",I2250='Dashboard'!$B$4),OR('Dashboard'!$E$4="All",N2250='Dashboard'!$E$4),OR('Dashboard'!$H$4="All",K2250='Dashboard'!$H$4),OR('Dashboard'!$K$4="All",C2250='Dashboard'!$K$4)),1,0)</x:f>
        <x:v>1</x:v>
      </x:c>
      <x:c r="AI2250" s="84" t="n">
        <x:f>IF(AND(AG2250=1,OR('Dashboard'!$B$4="All",I2250='Dashboard'!$B$4),OR('Dashboard'!$E$4="All",N2250='Dashboard'!$E$4),OR('Dashboard'!$H$4="All",K2250='Dashboard'!$H$4)),1,0)</x:f>
        <x:v>1</x:v>
      </x:c>
    </x:row>
    <x:row r="2251">
      <x:c r="A2251" s="84" t="str">
        <x:f>'Raw Sales'!A2251</x:f>
        <x:v>ORD-2025-02365</x:v>
      </x:c>
      <x:c r="B2251" s="85" t="n">
        <x:f>'Raw Sales'!B2251</x:f>
        <x:v>45990</x:v>
      </x:c>
      <x:c r="C2251" s="84" t="n">
        <x:f>YEAR(B2251)</x:f>
        <x:v>2025</x:v>
      </x:c>
      <x:c r="D2251" s="91" t="n">
        <x:f>DATE(YEAR(B2251),MONTH(B2251),1)</x:f>
        <x:v>45962</x:v>
      </x:c>
      <x:c r="E2251" s="84" t="str">
        <x:f>TEXT(B2251,"mmm")</x:f>
        <x:v>Nov</x:v>
      </x:c>
      <x:c r="F2251" s="84" t="str">
        <x:f>'Raw Sales'!C2251</x:f>
        <x:v>CUST-0019</x:v>
      </x:c>
      <x:c r="G2251" s="84" t="str">
        <x:f>PROPER(TRIM('Raw Sales'!D2251))</x:f>
        <x:v>Daniel Khan</x:v>
      </x:c>
      <x:c r="H2251" s="84" t="str">
        <x:f>IF(TRIM('Raw Sales'!E2251)="","Unknown",PROPER(TRIM('Raw Sales'!E2251)))</x:f>
        <x:v>Corporate</x:v>
      </x:c>
      <x:c r="I2251" s="84" t="str">
        <x:f>PROPER(TRIM('Raw Sales'!F2251))</x:f>
        <x:v>Midwest</x:v>
      </x:c>
      <x:c r="J2251" s="84" t="str">
        <x:f>PROPER(TRIM('Raw Sales'!G2251))</x:f>
        <x:v>Detroit</x:v>
      </x:c>
      <x:c r="K2251" s="84" t="str">
        <x:f>PROPER(TRIM('Raw Sales'!H2251))</x:f>
        <x:v>Retail Store</x:v>
      </x:c>
      <x:c r="L2251" s="84" t="str">
        <x:f>'Raw Sales'!I2251</x:f>
        <x:v>ACCS-006</x:v>
      </x:c>
      <x:c r="M2251" s="84" t="str">
        <x:f>IFERROR(VLOOKUP(L2251,'Reference Data'!$A$5:$F$40,2,FALSE),"Unknown Product")</x:f>
        <x:v>Insulated Lunch Bag</x:v>
      </x:c>
      <x:c r="N2251" s="84" t="str">
        <x:f>IFERROR(VLOOKUP(L2251,'Reference Data'!$A$5:$F$40,3,FALSE),"Unknown")</x:f>
        <x:v>Accessories</x:v>
      </x:c>
      <x:c r="O2251" s="84" t="str">
        <x:f>IFERROR(VLOOKUP(L2251,'Reference Data'!$A$5:$F$40,4,FALSE),"Unknown")</x:f>
        <x:v>Bags</x:v>
      </x:c>
      <x:c r="P2251" s="92" t="n">
        <x:f>IFERROR(VLOOKUP(L2251,'Reference Data'!$A$5:$F$40,5,FALSE),0)</x:f>
        <x:v>29</x:v>
      </x:c>
      <x:c r="Q2251" s="92" t="n">
        <x:f>IFERROR(VLOOKUP(L2251,'Reference Data'!$A$5:$F$40,6,FALSE),0)</x:f>
        <x:v>10</x:v>
      </x:c>
      <x:c r="R2251" s="84" t="n">
        <x:f>'Raw Sales'!J2251</x:f>
        <x:v>1</x:v>
      </x:c>
      <x:c r="S2251" s="87" t="n">
        <x:f>'Raw Sales'!K2251</x:f>
        <x:v>0.05</x:v>
      </x:c>
      <x:c r="T2251" s="93" t="n">
        <x:f>P2251*R2251</x:f>
        <x:v>29</x:v>
      </x:c>
      <x:c r="U2251" s="93" t="n">
        <x:f>T2251*S2251</x:f>
        <x:v>1.4500000000000002</x:v>
      </x:c>
      <x:c r="V2251" s="93" t="str">
        <x:f>PROPER(TRIM('Raw Sales'!L2251))</x:f>
        <x:v>Completed</x:v>
      </x:c>
      <x:c r="W2251" s="93" t="n">
        <x:f>IF(V2251="Returned",0,T2251-U2251)</x:f>
        <x:v>27.55</x:v>
      </x:c>
      <x:c r="X2251" s="93" t="n">
        <x:f>IF(V2251="Returned",Q2251*R2251*10%,Q2251*R2251)</x:f>
        <x:v>10</x:v>
      </x:c>
      <x:c r="Y2251" s="93" t="n">
        <x:f>W2251-X2251</x:f>
        <x:v>17.55</x:v>
      </x:c>
      <x:c r="Z2251" s="94" t="n">
        <x:f>IFERROR(Y2251/W2251,0)</x:f>
        <x:v>0.6370235934664247</x:v>
      </x:c>
      <x:c r="AA2251" s="84" t="str">
        <x:f>PROPER(TRIM('Raw Sales'!M2251))</x:f>
        <x:v>Debit Card</x:v>
      </x:c>
      <x:c r="AB2251" s="84" t="str">
        <x:f>PROPER(TRIM('Raw Sales'!N2251))</x:f>
        <x:v>Emma Hayes</x:v>
      </x:c>
      <x:c r="AC2251" s="85" t="n">
        <x:f>'Raw Sales'!O2251</x:f>
        <x:v>45991</x:v>
      </x:c>
      <x:c r="AD2251" s="84" t="n">
        <x:f>AC2251-B2251</x:f>
        <x:v>1</x:v>
      </x:c>
      <x:c r="AE2251" s="84" t="str">
        <x:f>IF(COUNTIF($A$5:A2251,A2251)&gt;1,"Duplicate","Keep")</x:f>
        <x:v>Keep</x:v>
      </x:c>
      <x:c r="AF2251" s="84" t="str">
        <x:f>IF(OR(R2251&lt;=0,AC2251&lt;B2251,H2251="Unknown",M2251="Unknown Product"),"Review","Valid")</x:f>
        <x:v>Valid</x:v>
      </x:c>
      <x:c r="AG2251" s="84" t="n">
        <x:f>IF(AND(AE2251="Keep",AF2251="Valid"),1,0)</x:f>
        <x:v>1</x:v>
      </x:c>
      <x:c r="AH2251" s="84" t="n">
        <x:f>IF(AND(AG2251=1,OR('Dashboard'!$B$4="All",I2251='Dashboard'!$B$4),OR('Dashboard'!$E$4="All",N2251='Dashboard'!$E$4),OR('Dashboard'!$H$4="All",K2251='Dashboard'!$H$4),OR('Dashboard'!$K$4="All",C2251='Dashboard'!$K$4)),1,0)</x:f>
        <x:v>1</x:v>
      </x:c>
      <x:c r="AI2251" s="84" t="n">
        <x:f>IF(AND(AG2251=1,OR('Dashboard'!$B$4="All",I2251='Dashboard'!$B$4),OR('Dashboard'!$E$4="All",N2251='Dashboard'!$E$4),OR('Dashboard'!$H$4="All",K2251='Dashboard'!$H$4)),1,0)</x:f>
        <x:v>1</x:v>
      </x:c>
    </x:row>
    <x:row r="2252">
      <x:c r="A2252" s="84" t="str">
        <x:f>'Raw Sales'!A2252</x:f>
        <x:v>ORD-2025-00077</x:v>
      </x:c>
      <x:c r="B2252" s="85" t="n">
        <x:f>'Raw Sales'!B2252</x:f>
        <x:v>45991</x:v>
      </x:c>
      <x:c r="C2252" s="84" t="n">
        <x:f>YEAR(B2252)</x:f>
        <x:v>2025</x:v>
      </x:c>
      <x:c r="D2252" s="91" t="n">
        <x:f>DATE(YEAR(B2252),MONTH(B2252),1)</x:f>
        <x:v>45962</x:v>
      </x:c>
      <x:c r="E2252" s="84" t="str">
        <x:f>TEXT(B2252,"mmm")</x:f>
        <x:v>Nov</x:v>
      </x:c>
      <x:c r="F2252" s="84" t="str">
        <x:f>'Raw Sales'!C2252</x:f>
        <x:v>CUST-0140</x:v>
      </x:c>
      <x:c r="G2252" s="84" t="str">
        <x:f>PROPER(TRIM('Raw Sales'!D2252))</x:f>
        <x:v>William Irwin</x:v>
      </x:c>
      <x:c r="H2252" s="84" t="str">
        <x:f>IF(TRIM('Raw Sales'!E2252)="","Unknown",PROPER(TRIM('Raw Sales'!E2252)))</x:f>
        <x:v>Corporate</x:v>
      </x:c>
      <x:c r="I2252" s="84" t="str">
        <x:f>PROPER(TRIM('Raw Sales'!F2252))</x:f>
        <x:v>Midwest</x:v>
      </x:c>
      <x:c r="J2252" s="84" t="str">
        <x:f>PROPER(TRIM('Raw Sales'!G2252))</x:f>
        <x:v>Detroit</x:v>
      </x:c>
      <x:c r="K2252" s="84" t="str">
        <x:f>PROPER(TRIM('Raw Sales'!H2252))</x:f>
        <x:v>Retail Store</x:v>
      </x:c>
      <x:c r="L2252" s="84" t="str">
        <x:f>'Raw Sales'!I2252</x:f>
        <x:v>OFFC-003</x:v>
      </x:c>
      <x:c r="M2252" s="84" t="str">
        <x:f>IFERROR(VLOOKUP(L2252,'Reference Data'!$A$5:$F$40,2,FALSE),"Unknown Product")</x:f>
        <x:v>LED Desk Lamp</x:v>
      </x:c>
      <x:c r="N2252" s="84" t="str">
        <x:f>IFERROR(VLOOKUP(L2252,'Reference Data'!$A$5:$F$40,3,FALSE),"Unknown")</x:f>
        <x:v>Office</x:v>
      </x:c>
      <x:c r="O2252" s="84" t="str">
        <x:f>IFERROR(VLOOKUP(L2252,'Reference Data'!$A$5:$F$40,4,FALSE),"Unknown")</x:f>
        <x:v>Desk Accessories</x:v>
      </x:c>
      <x:c r="P2252" s="92" t="n">
        <x:f>IFERROR(VLOOKUP(L2252,'Reference Data'!$A$5:$F$40,5,FALSE),0)</x:f>
        <x:v>45</x:v>
      </x:c>
      <x:c r="Q2252" s="92" t="n">
        <x:f>IFERROR(VLOOKUP(L2252,'Reference Data'!$A$5:$F$40,6,FALSE),0)</x:f>
        <x:v>20</x:v>
      </x:c>
      <x:c r="R2252" s="84" t="n">
        <x:f>'Raw Sales'!J2252</x:f>
        <x:v>6</x:v>
      </x:c>
      <x:c r="S2252" s="87" t="n">
        <x:f>'Raw Sales'!K2252</x:f>
        <x:v>0.1</x:v>
      </x:c>
      <x:c r="T2252" s="93" t="n">
        <x:f>P2252*R2252</x:f>
        <x:v>270</x:v>
      </x:c>
      <x:c r="U2252" s="93" t="n">
        <x:f>T2252*S2252</x:f>
        <x:v>27</x:v>
      </x:c>
      <x:c r="V2252" s="93" t="str">
        <x:f>PROPER(TRIM('Raw Sales'!L2252))</x:f>
        <x:v>Completed</x:v>
      </x:c>
      <x:c r="W2252" s="93" t="n">
        <x:f>IF(V2252="Returned",0,T2252-U2252)</x:f>
        <x:v>243</x:v>
      </x:c>
      <x:c r="X2252" s="93" t="n">
        <x:f>IF(V2252="Returned",Q2252*R2252*10%,Q2252*R2252)</x:f>
        <x:v>120</x:v>
      </x:c>
      <x:c r="Y2252" s="93" t="n">
        <x:f>W2252-X2252</x:f>
        <x:v>123</x:v>
      </x:c>
      <x:c r="Z2252" s="94" t="n">
        <x:f>IFERROR(Y2252/W2252,0)</x:f>
        <x:v>0.5061728395061729</x:v>
      </x:c>
      <x:c r="AA2252" s="84" t="str">
        <x:f>PROPER(TRIM('Raw Sales'!M2252))</x:f>
        <x:v>Credit Card</x:v>
      </x:c>
      <x:c r="AB2252" s="84" t="str">
        <x:f>PROPER(TRIM('Raw Sales'!N2252))</x:f>
        <x:v>Emma Hayes</x:v>
      </x:c>
      <x:c r="AC2252" s="85" t="n">
        <x:f>'Raw Sales'!O2252</x:f>
        <x:v>45991</x:v>
      </x:c>
      <x:c r="AD2252" s="84" t="n">
        <x:f>AC2252-B2252</x:f>
        <x:v>0</x:v>
      </x:c>
      <x:c r="AE2252" s="84" t="str">
        <x:f>IF(COUNTIF($A$5:A2252,A2252)&gt;1,"Duplicate","Keep")</x:f>
        <x:v>Keep</x:v>
      </x:c>
      <x:c r="AF2252" s="84" t="str">
        <x:f>IF(OR(R2252&lt;=0,AC2252&lt;B2252,H2252="Unknown",M2252="Unknown Product"),"Review","Valid")</x:f>
        <x:v>Valid</x:v>
      </x:c>
      <x:c r="AG2252" s="84" t="n">
        <x:f>IF(AND(AE2252="Keep",AF2252="Valid"),1,0)</x:f>
        <x:v>1</x:v>
      </x:c>
      <x:c r="AH2252" s="84" t="n">
        <x:f>IF(AND(AG2252=1,OR('Dashboard'!$B$4="All",I2252='Dashboard'!$B$4),OR('Dashboard'!$E$4="All",N2252='Dashboard'!$E$4),OR('Dashboard'!$H$4="All",K2252='Dashboard'!$H$4),OR('Dashboard'!$K$4="All",C2252='Dashboard'!$K$4)),1,0)</x:f>
        <x:v>1</x:v>
      </x:c>
      <x:c r="AI2252" s="84" t="n">
        <x:f>IF(AND(AG2252=1,OR('Dashboard'!$B$4="All",I2252='Dashboard'!$B$4),OR('Dashboard'!$E$4="All",N2252='Dashboard'!$E$4),OR('Dashboard'!$H$4="All",K2252='Dashboard'!$H$4)),1,0)</x:f>
        <x:v>1</x:v>
      </x:c>
    </x:row>
    <x:row r="2253">
      <x:c r="A2253" s="84" t="str">
        <x:f>'Raw Sales'!A2253</x:f>
        <x:v>ORD-2025-01779</x:v>
      </x:c>
      <x:c r="B2253" s="85" t="n">
        <x:f>'Raw Sales'!B2253</x:f>
        <x:v>45991</x:v>
      </x:c>
      <x:c r="C2253" s="84" t="n">
        <x:f>YEAR(B2253)</x:f>
        <x:v>2025</x:v>
      </x:c>
      <x:c r="D2253" s="91" t="n">
        <x:f>DATE(YEAR(B2253),MONTH(B2253),1)</x:f>
        <x:v>45962</x:v>
      </x:c>
      <x:c r="E2253" s="84" t="str">
        <x:f>TEXT(B2253,"mmm")</x:f>
        <x:v>Nov</x:v>
      </x:c>
      <x:c r="F2253" s="84" t="str">
        <x:f>'Raw Sales'!C2253</x:f>
        <x:v>CUST-0621</x:v>
      </x:c>
      <x:c r="G2253" s="84" t="str">
        <x:f>PROPER(TRIM('Raw Sales'!D2253))</x:f>
        <x:v>Sara Hall</x:v>
      </x:c>
      <x:c r="H2253" s="84" t="str">
        <x:f>IF(TRIM('Raw Sales'!E2253)="","Unknown",PROPER(TRIM('Raw Sales'!E2253)))</x:f>
        <x:v>Consumer</x:v>
      </x:c>
      <x:c r="I2253" s="84" t="str">
        <x:f>PROPER(TRIM('Raw Sales'!F2253))</x:f>
        <x:v>Northeast</x:v>
      </x:c>
      <x:c r="J2253" s="84" t="str">
        <x:f>PROPER(TRIM('Raw Sales'!G2253))</x:f>
        <x:v>Philadelphia</x:v>
      </x:c>
      <x:c r="K2253" s="84" t="str">
        <x:f>PROPER(TRIM('Raw Sales'!H2253))</x:f>
        <x:v>Online</x:v>
      </x:c>
      <x:c r="L2253" s="84" t="str">
        <x:f>'Raw Sales'!I2253</x:f>
        <x:v>FITN-002</x:v>
      </x:c>
      <x:c r="M2253" s="84" t="str">
        <x:f>IFERROR(VLOOKUP(L2253,'Reference Data'!$A$5:$F$40,2,FALSE),"Unknown Product")</x:f>
        <x:v>Adjustable Dumbbell Set</x:v>
      </x:c>
      <x:c r="N2253" s="84" t="str">
        <x:f>IFERROR(VLOOKUP(L2253,'Reference Data'!$A$5:$F$40,3,FALSE),"Unknown")</x:f>
        <x:v>Fitness</x:v>
      </x:c>
      <x:c r="O2253" s="84" t="str">
        <x:f>IFERROR(VLOOKUP(L2253,'Reference Data'!$A$5:$F$40,4,FALSE),"Unknown")</x:f>
        <x:v>Strength</x:v>
      </x:c>
      <x:c r="P2253" s="92" t="n">
        <x:f>IFERROR(VLOOKUP(L2253,'Reference Data'!$A$5:$F$40,5,FALSE),0)</x:f>
        <x:v>99</x:v>
      </x:c>
      <x:c r="Q2253" s="92" t="n">
        <x:f>IFERROR(VLOOKUP(L2253,'Reference Data'!$A$5:$F$40,6,FALSE),0)</x:f>
        <x:v>57</x:v>
      </x:c>
      <x:c r="R2253" s="84" t="n">
        <x:f>'Raw Sales'!J2253</x:f>
        <x:v>2</x:v>
      </x:c>
      <x:c r="S2253" s="87" t="n">
        <x:f>'Raw Sales'!K2253</x:f>
        <x:v>0.05</x:v>
      </x:c>
      <x:c r="T2253" s="93" t="n">
        <x:f>P2253*R2253</x:f>
        <x:v>198</x:v>
      </x:c>
      <x:c r="U2253" s="93" t="n">
        <x:f>T2253*S2253</x:f>
        <x:v>9.9</x:v>
      </x:c>
      <x:c r="V2253" s="93" t="str">
        <x:f>PROPER(TRIM('Raw Sales'!L2253))</x:f>
        <x:v>Completed</x:v>
      </x:c>
      <x:c r="W2253" s="93" t="n">
        <x:f>IF(V2253="Returned",0,T2253-U2253)</x:f>
        <x:v>188.1</x:v>
      </x:c>
      <x:c r="X2253" s="93" t="n">
        <x:f>IF(V2253="Returned",Q2253*R2253*10%,Q2253*R2253)</x:f>
        <x:v>114</x:v>
      </x:c>
      <x:c r="Y2253" s="93" t="n">
        <x:f>W2253-X2253</x:f>
        <x:v>74.1</x:v>
      </x:c>
      <x:c r="Z2253" s="94" t="n">
        <x:f>IFERROR(Y2253/W2253,0)</x:f>
        <x:v>0.3939393939393939</x:v>
      </x:c>
      <x:c r="AA2253" s="84" t="str">
        <x:f>PROPER(TRIM('Raw Sales'!M2253))</x:f>
        <x:v>Credit Card</x:v>
      </x:c>
      <x:c r="AB2253" s="84" t="str">
        <x:f>PROPER(TRIM('Raw Sales'!N2253))</x:f>
        <x:v>Maya Brooks</x:v>
      </x:c>
      <x:c r="AC2253" s="85" t="n">
        <x:f>'Raw Sales'!O2253</x:f>
        <x:v>45994</x:v>
      </x:c>
      <x:c r="AD2253" s="84" t="n">
        <x:f>AC2253-B2253</x:f>
        <x:v>3</x:v>
      </x:c>
      <x:c r="AE2253" s="84" t="str">
        <x:f>IF(COUNTIF($A$5:A2253,A2253)&gt;1,"Duplicate","Keep")</x:f>
        <x:v>Keep</x:v>
      </x:c>
      <x:c r="AF2253" s="84" t="str">
        <x:f>IF(OR(R2253&lt;=0,AC2253&lt;B2253,H2253="Unknown",M2253="Unknown Product"),"Review","Valid")</x:f>
        <x:v>Valid</x:v>
      </x:c>
      <x:c r="AG2253" s="84" t="n">
        <x:f>IF(AND(AE2253="Keep",AF2253="Valid"),1,0)</x:f>
        <x:v>1</x:v>
      </x:c>
      <x:c r="AH2253" s="84" t="n">
        <x:f>IF(AND(AG2253=1,OR('Dashboard'!$B$4="All",I2253='Dashboard'!$B$4),OR('Dashboard'!$E$4="All",N2253='Dashboard'!$E$4),OR('Dashboard'!$H$4="All",K2253='Dashboard'!$H$4),OR('Dashboard'!$K$4="All",C2253='Dashboard'!$K$4)),1,0)</x:f>
        <x:v>1</x:v>
      </x:c>
      <x:c r="AI2253" s="84" t="n">
        <x:f>IF(AND(AG2253=1,OR('Dashboard'!$B$4="All",I2253='Dashboard'!$B$4),OR('Dashboard'!$E$4="All",N2253='Dashboard'!$E$4),OR('Dashboard'!$H$4="All",K2253='Dashboard'!$H$4)),1,0)</x:f>
        <x:v>1</x:v>
      </x:c>
    </x:row>
    <x:row r="2254">
      <x:c r="A2254" s="84" t="str">
        <x:f>'Raw Sales'!A2254</x:f>
        <x:v>ORD-2025-01834</x:v>
      </x:c>
      <x:c r="B2254" s="85" t="n">
        <x:f>'Raw Sales'!B2254</x:f>
        <x:v>45991</x:v>
      </x:c>
      <x:c r="C2254" s="84" t="n">
        <x:f>YEAR(B2254)</x:f>
        <x:v>2025</x:v>
      </x:c>
      <x:c r="D2254" s="91" t="n">
        <x:f>DATE(YEAR(B2254),MONTH(B2254),1)</x:f>
        <x:v>45962</x:v>
      </x:c>
      <x:c r="E2254" s="84" t="str">
        <x:f>TEXT(B2254,"mmm")</x:f>
        <x:v>Nov</x:v>
      </x:c>
      <x:c r="F2254" s="84" t="str">
        <x:f>'Raw Sales'!C2254</x:f>
        <x:v>CUST-0161</x:v>
      </x:c>
      <x:c r="G2254" s="84" t="str">
        <x:f>PROPER(TRIM('Raw Sales'!D2254))</x:f>
        <x:v>Sara Patel</x:v>
      </x:c>
      <x:c r="H2254" s="84" t="str">
        <x:f>IF(TRIM('Raw Sales'!E2254)="","Unknown",PROPER(TRIM('Raw Sales'!E2254)))</x:f>
        <x:v>Consumer</x:v>
      </x:c>
      <x:c r="I2254" s="84" t="str">
        <x:f>PROPER(TRIM('Raw Sales'!F2254))</x:f>
        <x:v>Southeast</x:v>
      </x:c>
      <x:c r="J2254" s="84" t="str">
        <x:f>PROPER(TRIM('Raw Sales'!G2254))</x:f>
        <x:v>Atlanta</x:v>
      </x:c>
      <x:c r="K2254" s="84" t="str">
        <x:f>PROPER(TRIM('Raw Sales'!H2254))</x:f>
        <x:v>Marketplace</x:v>
      </x:c>
      <x:c r="L2254" s="84" t="str">
        <x:f>'Raw Sales'!I2254</x:f>
        <x:v>ACCS-004</x:v>
      </x:c>
      <x:c r="M2254" s="84" t="str">
        <x:f>IFERROR(VLOOKUP(L2254,'Reference Data'!$A$5:$F$40,2,FALSE),"Unknown Product")</x:f>
        <x:v>Leather Wallet</x:v>
      </x:c>
      <x:c r="N2254" s="84" t="str">
        <x:f>IFERROR(VLOOKUP(L2254,'Reference Data'!$A$5:$F$40,3,FALSE),"Unknown")</x:f>
        <x:v>Accessories</x:v>
      </x:c>
      <x:c r="O2254" s="84" t="str">
        <x:f>IFERROR(VLOOKUP(L2254,'Reference Data'!$A$5:$F$40,4,FALSE),"Unknown")</x:f>
        <x:v>Wallets</x:v>
      </x:c>
      <x:c r="P2254" s="92" t="n">
        <x:f>IFERROR(VLOOKUP(L2254,'Reference Data'!$A$5:$F$40,5,FALSE),0)</x:f>
        <x:v>49</x:v>
      </x:c>
      <x:c r="Q2254" s="92" t="n">
        <x:f>IFERROR(VLOOKUP(L2254,'Reference Data'!$A$5:$F$40,6,FALSE),0)</x:f>
        <x:v>18</x:v>
      </x:c>
      <x:c r="R2254" s="84" t="n">
        <x:f>'Raw Sales'!J2254</x:f>
        <x:v>1</x:v>
      </x:c>
      <x:c r="S2254" s="87" t="n">
        <x:f>'Raw Sales'!K2254</x:f>
        <x:v>0.15</x:v>
      </x:c>
      <x:c r="T2254" s="93" t="n">
        <x:f>P2254*R2254</x:f>
        <x:v>49</x:v>
      </x:c>
      <x:c r="U2254" s="93" t="n">
        <x:f>T2254*S2254</x:f>
        <x:v>7.35</x:v>
      </x:c>
      <x:c r="V2254" s="93" t="str">
        <x:f>PROPER(TRIM('Raw Sales'!L2254))</x:f>
        <x:v>Completed</x:v>
      </x:c>
      <x:c r="W2254" s="93" t="n">
        <x:f>IF(V2254="Returned",0,T2254-U2254)</x:f>
        <x:v>41.65</x:v>
      </x:c>
      <x:c r="X2254" s="93" t="n">
        <x:f>IF(V2254="Returned",Q2254*R2254*10%,Q2254*R2254)</x:f>
        <x:v>18</x:v>
      </x:c>
      <x:c r="Y2254" s="93" t="n">
        <x:f>W2254-X2254</x:f>
        <x:v>23.65</x:v>
      </x:c>
      <x:c r="Z2254" s="94" t="n">
        <x:f>IFERROR(Y2254/W2254,0)</x:f>
        <x:v>0.5678271308523409</x:v>
      </x:c>
      <x:c r="AA2254" s="84" t="str">
        <x:f>PROPER(TRIM('Raw Sales'!M2254))</x:f>
        <x:v>Debit Card</x:v>
      </x:c>
      <x:c r="AB2254" s="84" t="str">
        <x:f>PROPER(TRIM('Raw Sales'!N2254))</x:f>
        <x:v>Noah Reed</x:v>
      </x:c>
      <x:c r="AC2254" s="85" t="n">
        <x:f>'Raw Sales'!O2254</x:f>
        <x:v>45995</x:v>
      </x:c>
      <x:c r="AD2254" s="84" t="n">
        <x:f>AC2254-B2254</x:f>
        <x:v>4</x:v>
      </x:c>
      <x:c r="AE2254" s="84" t="str">
        <x:f>IF(COUNTIF($A$5:A2254,A2254)&gt;1,"Duplicate","Keep")</x:f>
        <x:v>Keep</x:v>
      </x:c>
      <x:c r="AF2254" s="84" t="str">
        <x:f>IF(OR(R2254&lt;=0,AC2254&lt;B2254,H2254="Unknown",M2254="Unknown Product"),"Review","Valid")</x:f>
        <x:v>Valid</x:v>
      </x:c>
      <x:c r="AG2254" s="84" t="n">
        <x:f>IF(AND(AE2254="Keep",AF2254="Valid"),1,0)</x:f>
        <x:v>1</x:v>
      </x:c>
      <x:c r="AH2254" s="84" t="n">
        <x:f>IF(AND(AG2254=1,OR('Dashboard'!$B$4="All",I2254='Dashboard'!$B$4),OR('Dashboard'!$E$4="All",N2254='Dashboard'!$E$4),OR('Dashboard'!$H$4="All",K2254='Dashboard'!$H$4),OR('Dashboard'!$K$4="All",C2254='Dashboard'!$K$4)),1,0)</x:f>
        <x:v>1</x:v>
      </x:c>
      <x:c r="AI2254" s="84" t="n">
        <x:f>IF(AND(AG2254=1,OR('Dashboard'!$B$4="All",I2254='Dashboard'!$B$4),OR('Dashboard'!$E$4="All",N2254='Dashboard'!$E$4),OR('Dashboard'!$H$4="All",K2254='Dashboard'!$H$4)),1,0)</x:f>
        <x:v>1</x:v>
      </x:c>
    </x:row>
    <x:row r="2255">
      <x:c r="A2255" s="84" t="str">
        <x:f>'Raw Sales'!A2255</x:f>
        <x:v>ORD-2025-00326</x:v>
      </x:c>
      <x:c r="B2255" s="85" t="n">
        <x:f>'Raw Sales'!B2255</x:f>
        <x:v>45992</x:v>
      </x:c>
      <x:c r="C2255" s="84" t="n">
        <x:f>YEAR(B2255)</x:f>
        <x:v>2025</x:v>
      </x:c>
      <x:c r="D2255" s="91" t="n">
        <x:f>DATE(YEAR(B2255),MONTH(B2255),1)</x:f>
        <x:v>45992</x:v>
      </x:c>
      <x:c r="E2255" s="84" t="str">
        <x:f>TEXT(B2255,"mmm")</x:f>
        <x:v>Dec</x:v>
      </x:c>
      <x:c r="F2255" s="84" t="str">
        <x:f>'Raw Sales'!C2255</x:f>
        <x:v>CUST-0009</x:v>
      </x:c>
      <x:c r="G2255" s="84" t="str">
        <x:f>PROPER(TRIM('Raw Sales'!D2255))</x:f>
        <x:v>Samuel Carter</x:v>
      </x:c>
      <x:c r="H2255" s="84" t="str">
        <x:f>IF(TRIM('Raw Sales'!E2255)="","Unknown",PROPER(TRIM('Raw Sales'!E2255)))</x:f>
        <x:v>Small Business</x:v>
      </x:c>
      <x:c r="I2255" s="84" t="str">
        <x:f>PROPER(TRIM('Raw Sales'!F2255))</x:f>
        <x:v>Southeast</x:v>
      </x:c>
      <x:c r="J2255" s="84" t="str">
        <x:f>PROPER(TRIM('Raw Sales'!G2255))</x:f>
        <x:v>Miami</x:v>
      </x:c>
      <x:c r="K2255" s="84" t="str">
        <x:f>PROPER(TRIM('Raw Sales'!H2255))</x:f>
        <x:v>Online</x:v>
      </x:c>
      <x:c r="L2255" s="84" t="str">
        <x:f>'Raw Sales'!I2255</x:f>
        <x:v>ACCS-002</x:v>
      </x:c>
      <x:c r="M2255" s="84" t="str">
        <x:f>IFERROR(VLOOKUP(L2255,'Reference Data'!$A$5:$F$40,2,FALSE),"Unknown Product")</x:f>
        <x:v>Travel Backpack</x:v>
      </x:c>
      <x:c r="N2255" s="84" t="str">
        <x:f>IFERROR(VLOOKUP(L2255,'Reference Data'!$A$5:$F$40,3,FALSE),"Unknown")</x:f>
        <x:v>Accessories</x:v>
      </x:c>
      <x:c r="O2255" s="84" t="str">
        <x:f>IFERROR(VLOOKUP(L2255,'Reference Data'!$A$5:$F$40,4,FALSE),"Unknown")</x:f>
        <x:v>Bags</x:v>
      </x:c>
      <x:c r="P2255" s="92" t="n">
        <x:f>IFERROR(VLOOKUP(L2255,'Reference Data'!$A$5:$F$40,5,FALSE),0)</x:f>
        <x:v>89</x:v>
      </x:c>
      <x:c r="Q2255" s="92" t="n">
        <x:f>IFERROR(VLOOKUP(L2255,'Reference Data'!$A$5:$F$40,6,FALSE),0)</x:f>
        <x:v>36</x:v>
      </x:c>
      <x:c r="R2255" s="84" t="n">
        <x:f>'Raw Sales'!J2255</x:f>
        <x:v>1</x:v>
      </x:c>
      <x:c r="S2255" s="87" t="n">
        <x:f>'Raw Sales'!K2255</x:f>
        <x:v>0.1</x:v>
      </x:c>
      <x:c r="T2255" s="93" t="n">
        <x:f>P2255*R2255</x:f>
        <x:v>89</x:v>
      </x:c>
      <x:c r="U2255" s="93" t="n">
        <x:f>T2255*S2255</x:f>
        <x:v>8.9</x:v>
      </x:c>
      <x:c r="V2255" s="93" t="str">
        <x:f>PROPER(TRIM('Raw Sales'!L2255))</x:f>
        <x:v>Completed</x:v>
      </x:c>
      <x:c r="W2255" s="93" t="n">
        <x:f>IF(V2255="Returned",0,T2255-U2255)</x:f>
        <x:v>80.1</x:v>
      </x:c>
      <x:c r="X2255" s="93" t="n">
        <x:f>IF(V2255="Returned",Q2255*R2255*10%,Q2255*R2255)</x:f>
        <x:v>36</x:v>
      </x:c>
      <x:c r="Y2255" s="93" t="n">
        <x:f>W2255-X2255</x:f>
        <x:v>44.099999999999994</x:v>
      </x:c>
      <x:c r="Z2255" s="94" t="n">
        <x:f>IFERROR(Y2255/W2255,0)</x:f>
        <x:v>0.550561797752809</x:v>
      </x:c>
      <x:c r="AA2255" s="84" t="str">
        <x:f>PROPER(TRIM('Raw Sales'!M2255))</x:f>
        <x:v>Paypal</x:v>
      </x:c>
      <x:c r="AB2255" s="84" t="str">
        <x:f>PROPER(TRIM('Raw Sales'!N2255))</x:f>
        <x:v>Liam Parker</x:v>
      </x:c>
      <x:c r="AC2255" s="85" t="n">
        <x:f>'Raw Sales'!O2255</x:f>
        <x:v>45995</x:v>
      </x:c>
      <x:c r="AD2255" s="84" t="n">
        <x:f>AC2255-B2255</x:f>
        <x:v>3</x:v>
      </x:c>
      <x:c r="AE2255" s="84" t="str">
        <x:f>IF(COUNTIF($A$5:A2255,A2255)&gt;1,"Duplicate","Keep")</x:f>
        <x:v>Keep</x:v>
      </x:c>
      <x:c r="AF2255" s="84" t="str">
        <x:f>IF(OR(R2255&lt;=0,AC2255&lt;B2255,H2255="Unknown",M2255="Unknown Product"),"Review","Valid")</x:f>
        <x:v>Valid</x:v>
      </x:c>
      <x:c r="AG2255" s="84" t="n">
        <x:f>IF(AND(AE2255="Keep",AF2255="Valid"),1,0)</x:f>
        <x:v>1</x:v>
      </x:c>
      <x:c r="AH2255" s="84" t="n">
        <x:f>IF(AND(AG2255=1,OR('Dashboard'!$B$4="All",I2255='Dashboard'!$B$4),OR('Dashboard'!$E$4="All",N2255='Dashboard'!$E$4),OR('Dashboard'!$H$4="All",K2255='Dashboard'!$H$4),OR('Dashboard'!$K$4="All",C2255='Dashboard'!$K$4)),1,0)</x:f>
        <x:v>1</x:v>
      </x:c>
      <x:c r="AI2255" s="84" t="n">
        <x:f>IF(AND(AG2255=1,OR('Dashboard'!$B$4="All",I2255='Dashboard'!$B$4),OR('Dashboard'!$E$4="All",N2255='Dashboard'!$E$4),OR('Dashboard'!$H$4="All",K2255='Dashboard'!$H$4)),1,0)</x:f>
        <x:v>1</x:v>
      </x:c>
    </x:row>
    <x:row r="2256">
      <x:c r="A2256" s="84" t="str">
        <x:f>'Raw Sales'!A2256</x:f>
        <x:v>ORD-2025-00911</x:v>
      </x:c>
      <x:c r="B2256" s="85" t="n">
        <x:f>'Raw Sales'!B2256</x:f>
        <x:v>45992</x:v>
      </x:c>
      <x:c r="C2256" s="84" t="n">
        <x:f>YEAR(B2256)</x:f>
        <x:v>2025</x:v>
      </x:c>
      <x:c r="D2256" s="91" t="n">
        <x:f>DATE(YEAR(B2256),MONTH(B2256),1)</x:f>
        <x:v>45992</x:v>
      </x:c>
      <x:c r="E2256" s="84" t="str">
        <x:f>TEXT(B2256,"mmm")</x:f>
        <x:v>Dec</x:v>
      </x:c>
      <x:c r="F2256" s="84" t="str">
        <x:f>'Raw Sales'!C2256</x:f>
        <x:v>CUST-0563</x:v>
      </x:c>
      <x:c r="G2256" s="84" t="str">
        <x:f>PROPER(TRIM('Raw Sales'!D2256))</x:f>
        <x:v>Amelia Adams</x:v>
      </x:c>
      <x:c r="H2256" s="84" t="str">
        <x:f>IF(TRIM('Raw Sales'!E2256)="","Unknown",PROPER(TRIM('Raw Sales'!E2256)))</x:f>
        <x:v>Consumer</x:v>
      </x:c>
      <x:c r="I2256" s="84" t="str">
        <x:f>PROPER(TRIM('Raw Sales'!F2256))</x:f>
        <x:v>Southeast</x:v>
      </x:c>
      <x:c r="J2256" s="84" t="str">
        <x:f>PROPER(TRIM('Raw Sales'!G2256))</x:f>
        <x:v>Charlotte</x:v>
      </x:c>
      <x:c r="K2256" s="84" t="str">
        <x:f>PROPER(TRIM('Raw Sales'!H2256))</x:f>
        <x:v>Online</x:v>
      </x:c>
      <x:c r="L2256" s="84" t="str">
        <x:f>'Raw Sales'!I2256</x:f>
        <x:v>FITN-003</x:v>
      </x:c>
      <x:c r="M2256" s="84" t="str">
        <x:f>IFERROR(VLOOKUP(L2256,'Reference Data'!$A$5:$F$40,2,FALSE),"Unknown Product")</x:f>
        <x:v>Resistance Band Set</x:v>
      </x:c>
      <x:c r="N2256" s="84" t="str">
        <x:f>IFERROR(VLOOKUP(L2256,'Reference Data'!$A$5:$F$40,3,FALSE),"Unknown")</x:f>
        <x:v>Fitness</x:v>
      </x:c>
      <x:c r="O2256" s="84" t="str">
        <x:f>IFERROR(VLOOKUP(L2256,'Reference Data'!$A$5:$F$40,4,FALSE),"Unknown")</x:f>
        <x:v>Strength</x:v>
      </x:c>
      <x:c r="P2256" s="92" t="n">
        <x:f>IFERROR(VLOOKUP(L2256,'Reference Data'!$A$5:$F$40,5,FALSE),0)</x:f>
        <x:v>24</x:v>
      </x:c>
      <x:c r="Q2256" s="92" t="n">
        <x:f>IFERROR(VLOOKUP(L2256,'Reference Data'!$A$5:$F$40,6,FALSE),0)</x:f>
        <x:v>8</x:v>
      </x:c>
      <x:c r="R2256" s="84" t="n">
        <x:f>'Raw Sales'!J2256</x:f>
        <x:v>3</x:v>
      </x:c>
      <x:c r="S2256" s="87" t="n">
        <x:f>'Raw Sales'!K2256</x:f>
        <x:v>0.1</x:v>
      </x:c>
      <x:c r="T2256" s="93" t="n">
        <x:f>P2256*R2256</x:f>
        <x:v>72</x:v>
      </x:c>
      <x:c r="U2256" s="93" t="n">
        <x:f>T2256*S2256</x:f>
        <x:v>7.2</x:v>
      </x:c>
      <x:c r="V2256" s="93" t="str">
        <x:f>PROPER(TRIM('Raw Sales'!L2256))</x:f>
        <x:v>Completed</x:v>
      </x:c>
      <x:c r="W2256" s="93" t="n">
        <x:f>IF(V2256="Returned",0,T2256-U2256)</x:f>
        <x:v>64.8</x:v>
      </x:c>
      <x:c r="X2256" s="93" t="n">
        <x:f>IF(V2256="Returned",Q2256*R2256*10%,Q2256*R2256)</x:f>
        <x:v>24</x:v>
      </x:c>
      <x:c r="Y2256" s="93" t="n">
        <x:f>W2256-X2256</x:f>
        <x:v>40.8</x:v>
      </x:c>
      <x:c r="Z2256" s="94" t="n">
        <x:f>IFERROR(Y2256/W2256,0)</x:f>
        <x:v>0.6296296296296297</x:v>
      </x:c>
      <x:c r="AA2256" s="84" t="str">
        <x:f>PROPER(TRIM('Raw Sales'!M2256))</x:f>
        <x:v>Paypal</x:v>
      </x:c>
      <x:c r="AB2256" s="84" t="str">
        <x:f>PROPER(TRIM('Raw Sales'!N2256))</x:f>
        <x:v>Liam Parker</x:v>
      </x:c>
      <x:c r="AC2256" s="85" t="n">
        <x:f>'Raw Sales'!O2256</x:f>
        <x:v>45994</x:v>
      </x:c>
      <x:c r="AD2256" s="84" t="n">
        <x:f>AC2256-B2256</x:f>
        <x:v>2</x:v>
      </x:c>
      <x:c r="AE2256" s="84" t="str">
        <x:f>IF(COUNTIF($A$5:A2256,A2256)&gt;1,"Duplicate","Keep")</x:f>
        <x:v>Keep</x:v>
      </x:c>
      <x:c r="AF2256" s="84" t="str">
        <x:f>IF(OR(R2256&lt;=0,AC2256&lt;B2256,H2256="Unknown",M2256="Unknown Product"),"Review","Valid")</x:f>
        <x:v>Valid</x:v>
      </x:c>
      <x:c r="AG2256" s="84" t="n">
        <x:f>IF(AND(AE2256="Keep",AF2256="Valid"),1,0)</x:f>
        <x:v>1</x:v>
      </x:c>
      <x:c r="AH2256" s="84" t="n">
        <x:f>IF(AND(AG2256=1,OR('Dashboard'!$B$4="All",I2256='Dashboard'!$B$4),OR('Dashboard'!$E$4="All",N2256='Dashboard'!$E$4),OR('Dashboard'!$H$4="All",K2256='Dashboard'!$H$4),OR('Dashboard'!$K$4="All",C2256='Dashboard'!$K$4)),1,0)</x:f>
        <x:v>1</x:v>
      </x:c>
      <x:c r="AI2256" s="84" t="n">
        <x:f>IF(AND(AG2256=1,OR('Dashboard'!$B$4="All",I2256='Dashboard'!$B$4),OR('Dashboard'!$E$4="All",N2256='Dashboard'!$E$4),OR('Dashboard'!$H$4="All",K2256='Dashboard'!$H$4)),1,0)</x:f>
        <x:v>1</x:v>
      </x:c>
    </x:row>
    <x:row r="2257">
      <x:c r="A2257" s="84" t="str">
        <x:f>'Raw Sales'!A2257</x:f>
        <x:v>ORD-2025-01152</x:v>
      </x:c>
      <x:c r="B2257" s="85" t="n">
        <x:f>'Raw Sales'!B2257</x:f>
        <x:v>45992</x:v>
      </x:c>
      <x:c r="C2257" s="84" t="n">
        <x:f>YEAR(B2257)</x:f>
        <x:v>2025</x:v>
      </x:c>
      <x:c r="D2257" s="91" t="n">
        <x:f>DATE(YEAR(B2257),MONTH(B2257),1)</x:f>
        <x:v>45992</x:v>
      </x:c>
      <x:c r="E2257" s="84" t="str">
        <x:f>TEXT(B2257,"mmm")</x:f>
        <x:v>Dec</x:v>
      </x:c>
      <x:c r="F2257" s="84" t="str">
        <x:f>'Raw Sales'!C2257</x:f>
        <x:v>CUST-0537</x:v>
      </x:c>
      <x:c r="G2257" s="84" t="str">
        <x:f>PROPER(TRIM('Raw Sales'!D2257))</x:f>
        <x:v>Grace Young</x:v>
      </x:c>
      <x:c r="H2257" s="84" t="str">
        <x:f>IF(TRIM('Raw Sales'!E2257)="","Unknown",PROPER(TRIM('Raw Sales'!E2257)))</x:f>
        <x:v>Consumer</x:v>
      </x:c>
      <x:c r="I2257" s="84" t="str">
        <x:f>PROPER(TRIM('Raw Sales'!F2257))</x:f>
        <x:v>Northeast</x:v>
      </x:c>
      <x:c r="J2257" s="84" t="str">
        <x:f>PROPER(TRIM('Raw Sales'!G2257))</x:f>
        <x:v>Philadelphia</x:v>
      </x:c>
      <x:c r="K2257" s="84" t="str">
        <x:f>PROPER(TRIM('Raw Sales'!H2257))</x:f>
        <x:v>Retail Store</x:v>
      </x:c>
      <x:c r="L2257" s="84" t="str">
        <x:f>'Raw Sales'!I2257</x:f>
        <x:v>OFFC-002</x:v>
      </x:c>
      <x:c r="M2257" s="84" t="str">
        <x:f>IFERROR(VLOOKUP(L2257,'Reference Data'!$A$5:$F$40,2,FALSE),"Unknown Product")</x:f>
        <x:v>Standing Desk</x:v>
      </x:c>
      <x:c r="N2257" s="84" t="str">
        <x:f>IFERROR(VLOOKUP(L2257,'Reference Data'!$A$5:$F$40,3,FALSE),"Unknown")</x:f>
        <x:v>Office</x:v>
      </x:c>
      <x:c r="O2257" s="84" t="str">
        <x:f>IFERROR(VLOOKUP(L2257,'Reference Data'!$A$5:$F$40,4,FALSE),"Unknown")</x:f>
        <x:v>Furniture</x:v>
      </x:c>
      <x:c r="P2257" s="92" t="n">
        <x:f>IFERROR(VLOOKUP(L2257,'Reference Data'!$A$5:$F$40,5,FALSE),0)</x:f>
        <x:v>399</x:v>
      </x:c>
      <x:c r="Q2257" s="92" t="n">
        <x:f>IFERROR(VLOOKUP(L2257,'Reference Data'!$A$5:$F$40,6,FALSE),0)</x:f>
        <x:v>235</x:v>
      </x:c>
      <x:c r="R2257" s="84" t="n">
        <x:f>'Raw Sales'!J2257</x:f>
        <x:v>3</x:v>
      </x:c>
      <x:c r="S2257" s="87" t="n">
        <x:f>'Raw Sales'!K2257</x:f>
        <x:v>0.15</x:v>
      </x:c>
      <x:c r="T2257" s="93" t="n">
        <x:f>P2257*R2257</x:f>
        <x:v>1197</x:v>
      </x:c>
      <x:c r="U2257" s="93" t="n">
        <x:f>T2257*S2257</x:f>
        <x:v>179.54999999999998</x:v>
      </x:c>
      <x:c r="V2257" s="93" t="str">
        <x:f>PROPER(TRIM('Raw Sales'!L2257))</x:f>
        <x:v>Returned</x:v>
      </x:c>
      <x:c r="W2257" s="93" t="n">
        <x:f>IF(V2257="Returned",0,T2257-U2257)</x:f>
        <x:v>0</x:v>
      </x:c>
      <x:c r="X2257" s="93" t="n">
        <x:f>IF(V2257="Returned",Q2257*R2257*10%,Q2257*R2257)</x:f>
        <x:v>70.5</x:v>
      </x:c>
      <x:c r="Y2257" s="93" t="n">
        <x:f>W2257-X2257</x:f>
        <x:v>-70.5</x:v>
      </x:c>
      <x:c r="Z2257" s="94" t="n">
        <x:f>IFERROR(Y2257/W2257,0)</x:f>
        <x:v>0</x:v>
      </x:c>
      <x:c r="AA2257" s="84" t="str">
        <x:f>PROPER(TRIM('Raw Sales'!M2257))</x:f>
        <x:v>Debit Card</x:v>
      </x:c>
      <x:c r="AB2257" s="84" t="str">
        <x:f>PROPER(TRIM('Raw Sales'!N2257))</x:f>
        <x:v>Maya Brooks</x:v>
      </x:c>
      <x:c r="AC2257" s="85" t="n">
        <x:f>'Raw Sales'!O2257</x:f>
        <x:v>45992</x:v>
      </x:c>
      <x:c r="AD2257" s="84" t="n">
        <x:f>AC2257-B2257</x:f>
        <x:v>0</x:v>
      </x:c>
      <x:c r="AE2257" s="84" t="str">
        <x:f>IF(COUNTIF($A$5:A2257,A2257)&gt;1,"Duplicate","Keep")</x:f>
        <x:v>Keep</x:v>
      </x:c>
      <x:c r="AF2257" s="84" t="str">
        <x:f>IF(OR(R2257&lt;=0,AC2257&lt;B2257,H2257="Unknown",M2257="Unknown Product"),"Review","Valid")</x:f>
        <x:v>Valid</x:v>
      </x:c>
      <x:c r="AG2257" s="84" t="n">
        <x:f>IF(AND(AE2257="Keep",AF2257="Valid"),1,0)</x:f>
        <x:v>1</x:v>
      </x:c>
      <x:c r="AH2257" s="84" t="n">
        <x:f>IF(AND(AG2257=1,OR('Dashboard'!$B$4="All",I2257='Dashboard'!$B$4),OR('Dashboard'!$E$4="All",N2257='Dashboard'!$E$4),OR('Dashboard'!$H$4="All",K2257='Dashboard'!$H$4),OR('Dashboard'!$K$4="All",C2257='Dashboard'!$K$4)),1,0)</x:f>
        <x:v>1</x:v>
      </x:c>
      <x:c r="AI2257" s="84" t="n">
        <x:f>IF(AND(AG2257=1,OR('Dashboard'!$B$4="All",I2257='Dashboard'!$B$4),OR('Dashboard'!$E$4="All",N2257='Dashboard'!$E$4),OR('Dashboard'!$H$4="All",K2257='Dashboard'!$H$4)),1,0)</x:f>
        <x:v>1</x:v>
      </x:c>
    </x:row>
    <x:row r="2258">
      <x:c r="A2258" s="84" t="str">
        <x:f>'Raw Sales'!A2258</x:f>
        <x:v>ORD-2025-01780</x:v>
      </x:c>
      <x:c r="B2258" s="85" t="n">
        <x:f>'Raw Sales'!B2258</x:f>
        <x:v>45992</x:v>
      </x:c>
      <x:c r="C2258" s="84" t="n">
        <x:f>YEAR(B2258)</x:f>
        <x:v>2025</x:v>
      </x:c>
      <x:c r="D2258" s="91" t="n">
        <x:f>DATE(YEAR(B2258),MONTH(B2258),1)</x:f>
        <x:v>45992</x:v>
      </x:c>
      <x:c r="E2258" s="84" t="str">
        <x:f>TEXT(B2258,"mmm")</x:f>
        <x:v>Dec</x:v>
      </x:c>
      <x:c r="F2258" s="84" t="str">
        <x:f>'Raw Sales'!C2258</x:f>
        <x:v>CUST-0110</x:v>
      </x:c>
      <x:c r="G2258" s="84" t="str">
        <x:f>PROPER(TRIM('Raw Sales'!D2258))</x:f>
        <x:v>Chloe Hall</x:v>
      </x:c>
      <x:c r="H2258" s="84" t="str">
        <x:f>IF(TRIM('Raw Sales'!E2258)="","Unknown",PROPER(TRIM('Raw Sales'!E2258)))</x:f>
        <x:v>Corporate</x:v>
      </x:c>
      <x:c r="I2258" s="84" t="str">
        <x:f>PROPER(TRIM('Raw Sales'!F2258))</x:f>
        <x:v>Southeast</x:v>
      </x:c>
      <x:c r="J2258" s="84" t="str">
        <x:f>PROPER(TRIM('Raw Sales'!G2258))</x:f>
        <x:v>Atlanta</x:v>
      </x:c>
      <x:c r="K2258" s="84" t="str">
        <x:f>PROPER(TRIM('Raw Sales'!H2258))</x:f>
        <x:v>Online</x:v>
      </x:c>
      <x:c r="L2258" s="84" t="str">
        <x:f>'Raw Sales'!I2258</x:f>
        <x:v>ELEC-005</x:v>
      </x:c>
      <x:c r="M2258" s="84" t="str">
        <x:f>IFERROR(VLOOKUP(L2258,'Reference Data'!$A$5:$F$40,2,FALSE),"Unknown Product")</x:f>
        <x:v>HD Webcam</x:v>
      </x:c>
      <x:c r="N2258" s="84" t="str">
        <x:f>IFERROR(VLOOKUP(L2258,'Reference Data'!$A$5:$F$40,3,FALSE),"Unknown")</x:f>
        <x:v>Electronics</x:v>
      </x:c>
      <x:c r="O2258" s="84" t="str">
        <x:f>IFERROR(VLOOKUP(L2258,'Reference Data'!$A$5:$F$40,4,FALSE),"Unknown")</x:f>
        <x:v>Computer Accessories</x:v>
      </x:c>
      <x:c r="P2258" s="92" t="n">
        <x:f>IFERROR(VLOOKUP(L2258,'Reference Data'!$A$5:$F$40,5,FALSE),0)</x:f>
        <x:v>79</x:v>
      </x:c>
      <x:c r="Q2258" s="92" t="n">
        <x:f>IFERROR(VLOOKUP(L2258,'Reference Data'!$A$5:$F$40,6,FALSE),0)</x:f>
        <x:v>37</x:v>
      </x:c>
      <x:c r="R2258" s="84" t="n">
        <x:f>'Raw Sales'!J2258</x:f>
        <x:v>1</x:v>
      </x:c>
      <x:c r="S2258" s="87" t="n">
        <x:f>'Raw Sales'!K2258</x:f>
        <x:v>0.2</x:v>
      </x:c>
      <x:c r="T2258" s="93" t="n">
        <x:f>P2258*R2258</x:f>
        <x:v>79</x:v>
      </x:c>
      <x:c r="U2258" s="93" t="n">
        <x:f>T2258*S2258</x:f>
        <x:v>15.8</x:v>
      </x:c>
      <x:c r="V2258" s="93" t="str">
        <x:f>PROPER(TRIM('Raw Sales'!L2258))</x:f>
        <x:v>Completed</x:v>
      </x:c>
      <x:c r="W2258" s="93" t="n">
        <x:f>IF(V2258="Returned",0,T2258-U2258)</x:f>
        <x:v>63.2</x:v>
      </x:c>
      <x:c r="X2258" s="93" t="n">
        <x:f>IF(V2258="Returned",Q2258*R2258*10%,Q2258*R2258)</x:f>
        <x:v>37</x:v>
      </x:c>
      <x:c r="Y2258" s="93" t="n">
        <x:f>W2258-X2258</x:f>
        <x:v>26.200000000000003</x:v>
      </x:c>
      <x:c r="Z2258" s="94" t="n">
        <x:f>IFERROR(Y2258/W2258,0)</x:f>
        <x:v>0.4145569620253165</x:v>
      </x:c>
      <x:c r="AA2258" s="84" t="str">
        <x:f>PROPER(TRIM('Raw Sales'!M2258))</x:f>
        <x:v>Credit Card</x:v>
      </x:c>
      <x:c r="AB2258" s="84" t="str">
        <x:f>PROPER(TRIM('Raw Sales'!N2258))</x:f>
        <x:v>Ava Mitchell</x:v>
      </x:c>
      <x:c r="AC2258" s="85" t="n">
        <x:f>'Raw Sales'!O2258</x:f>
        <x:v>45998</x:v>
      </x:c>
      <x:c r="AD2258" s="84" t="n">
        <x:f>AC2258-B2258</x:f>
        <x:v>6</x:v>
      </x:c>
      <x:c r="AE2258" s="84" t="str">
        <x:f>IF(COUNTIF($A$5:A2258,A2258)&gt;1,"Duplicate","Keep")</x:f>
        <x:v>Keep</x:v>
      </x:c>
      <x:c r="AF2258" s="84" t="str">
        <x:f>IF(OR(R2258&lt;=0,AC2258&lt;B2258,H2258="Unknown",M2258="Unknown Product"),"Review","Valid")</x:f>
        <x:v>Valid</x:v>
      </x:c>
      <x:c r="AG2258" s="84" t="n">
        <x:f>IF(AND(AE2258="Keep",AF2258="Valid"),1,0)</x:f>
        <x:v>1</x:v>
      </x:c>
      <x:c r="AH2258" s="84" t="n">
        <x:f>IF(AND(AG2258=1,OR('Dashboard'!$B$4="All",I2258='Dashboard'!$B$4),OR('Dashboard'!$E$4="All",N2258='Dashboard'!$E$4),OR('Dashboard'!$H$4="All",K2258='Dashboard'!$H$4),OR('Dashboard'!$K$4="All",C2258='Dashboard'!$K$4)),1,0)</x:f>
        <x:v>1</x:v>
      </x:c>
      <x:c r="AI2258" s="84" t="n">
        <x:f>IF(AND(AG2258=1,OR('Dashboard'!$B$4="All",I2258='Dashboard'!$B$4),OR('Dashboard'!$E$4="All",N2258='Dashboard'!$E$4),OR('Dashboard'!$H$4="All",K2258='Dashboard'!$H$4)),1,0)</x:f>
        <x:v>1</x:v>
      </x:c>
    </x:row>
    <x:row r="2259">
      <x:c r="A2259" s="84" t="str">
        <x:f>'Raw Sales'!A2259</x:f>
        <x:v>ORD-2025-02151</x:v>
      </x:c>
      <x:c r="B2259" s="85" t="n">
        <x:f>'Raw Sales'!B2259</x:f>
        <x:v>45992</x:v>
      </x:c>
      <x:c r="C2259" s="84" t="n">
        <x:f>YEAR(B2259)</x:f>
        <x:v>2025</x:v>
      </x:c>
      <x:c r="D2259" s="91" t="n">
        <x:f>DATE(YEAR(B2259),MONTH(B2259),1)</x:f>
        <x:v>45992</x:v>
      </x:c>
      <x:c r="E2259" s="84" t="str">
        <x:f>TEXT(B2259,"mmm")</x:f>
        <x:v>Dec</x:v>
      </x:c>
      <x:c r="F2259" s="84" t="str">
        <x:f>'Raw Sales'!C2259</x:f>
        <x:v>CUST-0289</x:v>
      </x:c>
      <x:c r="G2259" s="84" t="str">
        <x:f>PROPER(TRIM('Raw Sales'!D2259))</x:f>
        <x:v>Chloe Patel</x:v>
      </x:c>
      <x:c r="H2259" s="84" t="str">
        <x:f>IF(TRIM('Raw Sales'!E2259)="","Unknown",PROPER(TRIM('Raw Sales'!E2259)))</x:f>
        <x:v>Consumer</x:v>
      </x:c>
      <x:c r="I2259" s="84" t="str">
        <x:f>PROPER(TRIM('Raw Sales'!F2259))</x:f>
        <x:v>West</x:v>
      </x:c>
      <x:c r="J2259" s="84" t="str">
        <x:f>PROPER(TRIM('Raw Sales'!G2259))</x:f>
        <x:v>Denver</x:v>
      </x:c>
      <x:c r="K2259" s="84" t="str">
        <x:f>PROPER(TRIM('Raw Sales'!H2259))</x:f>
        <x:v>Marketplace</x:v>
      </x:c>
      <x:c r="L2259" s="84" t="str">
        <x:f>'Raw Sales'!I2259</x:f>
        <x:v>OFFC-006</x:v>
      </x:c>
      <x:c r="M2259" s="84" t="str">
        <x:f>IFERROR(VLOOKUP(L2259,'Reference Data'!$A$5:$F$40,2,FALSE),"Unknown Product")</x:f>
        <x:v>Monitor Stand</x:v>
      </x:c>
      <x:c r="N2259" s="84" t="str">
        <x:f>IFERROR(VLOOKUP(L2259,'Reference Data'!$A$5:$F$40,3,FALSE),"Unknown")</x:f>
        <x:v>Office</x:v>
      </x:c>
      <x:c r="O2259" s="84" t="str">
        <x:f>IFERROR(VLOOKUP(L2259,'Reference Data'!$A$5:$F$40,4,FALSE),"Unknown")</x:f>
        <x:v>Desk Accessories</x:v>
      </x:c>
      <x:c r="P2259" s="92" t="n">
        <x:f>IFERROR(VLOOKUP(L2259,'Reference Data'!$A$5:$F$40,5,FALSE),0)</x:f>
        <x:v>49</x:v>
      </x:c>
      <x:c r="Q2259" s="92" t="n">
        <x:f>IFERROR(VLOOKUP(L2259,'Reference Data'!$A$5:$F$40,6,FALSE),0)</x:f>
        <x:v>21</x:v>
      </x:c>
      <x:c r="R2259" s="84" t="n">
        <x:f>'Raw Sales'!J2259</x:f>
        <x:v>3</x:v>
      </x:c>
      <x:c r="S2259" s="87" t="n">
        <x:f>'Raw Sales'!K2259</x:f>
        <x:v>0.15</x:v>
      </x:c>
      <x:c r="T2259" s="93" t="n">
        <x:f>P2259*R2259</x:f>
        <x:v>147</x:v>
      </x:c>
      <x:c r="U2259" s="93" t="n">
        <x:f>T2259*S2259</x:f>
        <x:v>22.05</x:v>
      </x:c>
      <x:c r="V2259" s="93" t="str">
        <x:f>PROPER(TRIM('Raw Sales'!L2259))</x:f>
        <x:v>Completed</x:v>
      </x:c>
      <x:c r="W2259" s="93" t="n">
        <x:f>IF(V2259="Returned",0,T2259-U2259)</x:f>
        <x:v>124.95</x:v>
      </x:c>
      <x:c r="X2259" s="93" t="n">
        <x:f>IF(V2259="Returned",Q2259*R2259*10%,Q2259*R2259)</x:f>
        <x:v>63</x:v>
      </x:c>
      <x:c r="Y2259" s="93" t="n">
        <x:f>W2259-X2259</x:f>
        <x:v>61.95</x:v>
      </x:c>
      <x:c r="Z2259" s="94" t="n">
        <x:f>IFERROR(Y2259/W2259,0)</x:f>
        <x:v>0.4957983193277311</x:v>
      </x:c>
      <x:c r="AA2259" s="84" t="str">
        <x:f>PROPER(TRIM('Raw Sales'!M2259))</x:f>
        <x:v>Debit Card</x:v>
      </x:c>
      <x:c r="AB2259" s="84" t="str">
        <x:f>PROPER(TRIM('Raw Sales'!N2259))</x:f>
        <x:v>Leo Martinez</x:v>
      </x:c>
      <x:c r="AC2259" s="85" t="n">
        <x:f>'Raw Sales'!O2259</x:f>
        <x:v>46000</x:v>
      </x:c>
      <x:c r="AD2259" s="84" t="n">
        <x:f>AC2259-B2259</x:f>
        <x:v>8</x:v>
      </x:c>
      <x:c r="AE2259" s="84" t="str">
        <x:f>IF(COUNTIF($A$5:A2259,A2259)&gt;1,"Duplicate","Keep")</x:f>
        <x:v>Keep</x:v>
      </x:c>
      <x:c r="AF2259" s="84" t="str">
        <x:f>IF(OR(R2259&lt;=0,AC2259&lt;B2259,H2259="Unknown",M2259="Unknown Product"),"Review","Valid")</x:f>
        <x:v>Valid</x:v>
      </x:c>
      <x:c r="AG2259" s="84" t="n">
        <x:f>IF(AND(AE2259="Keep",AF2259="Valid"),1,0)</x:f>
        <x:v>1</x:v>
      </x:c>
      <x:c r="AH2259" s="84" t="n">
        <x:f>IF(AND(AG2259=1,OR('Dashboard'!$B$4="All",I2259='Dashboard'!$B$4),OR('Dashboard'!$E$4="All",N2259='Dashboard'!$E$4),OR('Dashboard'!$H$4="All",K2259='Dashboard'!$H$4),OR('Dashboard'!$K$4="All",C2259='Dashboard'!$K$4)),1,0)</x:f>
        <x:v>1</x:v>
      </x:c>
      <x:c r="AI2259" s="84" t="n">
        <x:f>IF(AND(AG2259=1,OR('Dashboard'!$B$4="All",I2259='Dashboard'!$B$4),OR('Dashboard'!$E$4="All",N2259='Dashboard'!$E$4),OR('Dashboard'!$H$4="All",K2259='Dashboard'!$H$4)),1,0)</x:f>
        <x:v>1</x:v>
      </x:c>
    </x:row>
    <x:row r="2260">
      <x:c r="A2260" s="84" t="str">
        <x:f>'Raw Sales'!A2260</x:f>
        <x:v>ORD-2025-00229</x:v>
      </x:c>
      <x:c r="B2260" s="85" t="n">
        <x:f>'Raw Sales'!B2260</x:f>
        <x:v>45993</x:v>
      </x:c>
      <x:c r="C2260" s="84" t="n">
        <x:f>YEAR(B2260)</x:f>
        <x:v>2025</x:v>
      </x:c>
      <x:c r="D2260" s="91" t="n">
        <x:f>DATE(YEAR(B2260),MONTH(B2260),1)</x:f>
        <x:v>45992</x:v>
      </x:c>
      <x:c r="E2260" s="84" t="str">
        <x:f>TEXT(B2260,"mmm")</x:f>
        <x:v>Dec</x:v>
      </x:c>
      <x:c r="F2260" s="84" t="str">
        <x:f>'Raw Sales'!C2260</x:f>
        <x:v>CUST-0479</x:v>
      </x:c>
      <x:c r="G2260" s="84" t="str">
        <x:f>PROPER(TRIM('Raw Sales'!D2260))</x:f>
        <x:v>Zara Taylor</x:v>
      </x:c>
      <x:c r="H2260" s="84" t="str">
        <x:f>IF(TRIM('Raw Sales'!E2260)="","Unknown",PROPER(TRIM('Raw Sales'!E2260)))</x:f>
        <x:v>Consumer</x:v>
      </x:c>
      <x:c r="I2260" s="84" t="str">
        <x:f>PROPER(TRIM('Raw Sales'!F2260))</x:f>
        <x:v>West</x:v>
      </x:c>
      <x:c r="J2260" s="84" t="str">
        <x:f>PROPER(TRIM('Raw Sales'!G2260))</x:f>
        <x:v>Phoenix</x:v>
      </x:c>
      <x:c r="K2260" s="84" t="str">
        <x:f>PROPER(TRIM('Raw Sales'!H2260))</x:f>
        <x:v>Online</x:v>
      </x:c>
      <x:c r="L2260" s="84" t="str">
        <x:f>'Raw Sales'!I2260</x:f>
        <x:v>ELEC-001</x:v>
      </x:c>
      <x:c r="M2260" s="84" t="str">
        <x:f>IFERROR(VLOOKUP(L2260,'Reference Data'!$A$5:$F$40,2,FALSE),"Unknown Product")</x:f>
        <x:v>Wireless Earbuds</x:v>
      </x:c>
      <x:c r="N2260" s="84" t="str">
        <x:f>IFERROR(VLOOKUP(L2260,'Reference Data'!$A$5:$F$40,3,FALSE),"Unknown")</x:f>
        <x:v>Electronics</x:v>
      </x:c>
      <x:c r="O2260" s="84" t="str">
        <x:f>IFERROR(VLOOKUP(L2260,'Reference Data'!$A$5:$F$40,4,FALSE),"Unknown")</x:f>
        <x:v>Audio</x:v>
      </x:c>
      <x:c r="P2260" s="92" t="n">
        <x:f>IFERROR(VLOOKUP(L2260,'Reference Data'!$A$5:$F$40,5,FALSE),0)</x:f>
        <x:v>69</x:v>
      </x:c>
      <x:c r="Q2260" s="92" t="n">
        <x:f>IFERROR(VLOOKUP(L2260,'Reference Data'!$A$5:$F$40,6,FALSE),0)</x:f>
        <x:v>36</x:v>
      </x:c>
      <x:c r="R2260" s="84" t="n">
        <x:f>'Raw Sales'!J2260</x:f>
        <x:v>3</x:v>
      </x:c>
      <x:c r="S2260" s="87" t="n">
        <x:f>'Raw Sales'!K2260</x:f>
        <x:v>0.1</x:v>
      </x:c>
      <x:c r="T2260" s="93" t="n">
        <x:f>P2260*R2260</x:f>
        <x:v>207</x:v>
      </x:c>
      <x:c r="U2260" s="93" t="n">
        <x:f>T2260*S2260</x:f>
        <x:v>20.700000000000003</x:v>
      </x:c>
      <x:c r="V2260" s="93" t="str">
        <x:f>PROPER(TRIM('Raw Sales'!L2260))</x:f>
        <x:v>Completed</x:v>
      </x:c>
      <x:c r="W2260" s="93" t="n">
        <x:f>IF(V2260="Returned",0,T2260-U2260)</x:f>
        <x:v>186.3</x:v>
      </x:c>
      <x:c r="X2260" s="93" t="n">
        <x:f>IF(V2260="Returned",Q2260*R2260*10%,Q2260*R2260)</x:f>
        <x:v>108</x:v>
      </x:c>
      <x:c r="Y2260" s="93" t="n">
        <x:f>W2260-X2260</x:f>
        <x:v>78.30000000000001</x:v>
      </x:c>
      <x:c r="Z2260" s="94" t="n">
        <x:f>IFERROR(Y2260/W2260,0)</x:f>
        <x:v>0.4202898550724638</x:v>
      </x:c>
      <x:c r="AA2260" s="84" t="str">
        <x:f>PROPER(TRIM('Raw Sales'!M2260))</x:f>
        <x:v>Paypal</x:v>
      </x:c>
      <x:c r="AB2260" s="84" t="str">
        <x:f>PROPER(TRIM('Raw Sales'!N2260))</x:f>
        <x:v>Mia Chen</x:v>
      </x:c>
      <x:c r="AC2260" s="85" t="n">
        <x:f>'Raw Sales'!O2260</x:f>
        <x:v>45995</x:v>
      </x:c>
      <x:c r="AD2260" s="84" t="n">
        <x:f>AC2260-B2260</x:f>
        <x:v>2</x:v>
      </x:c>
      <x:c r="AE2260" s="84" t="str">
        <x:f>IF(COUNTIF($A$5:A2260,A2260)&gt;1,"Duplicate","Keep")</x:f>
        <x:v>Keep</x:v>
      </x:c>
      <x:c r="AF2260" s="84" t="str">
        <x:f>IF(OR(R2260&lt;=0,AC2260&lt;B2260,H2260="Unknown",M2260="Unknown Product"),"Review","Valid")</x:f>
        <x:v>Valid</x:v>
      </x:c>
      <x:c r="AG2260" s="84" t="n">
        <x:f>IF(AND(AE2260="Keep",AF2260="Valid"),1,0)</x:f>
        <x:v>1</x:v>
      </x:c>
      <x:c r="AH2260" s="84" t="n">
        <x:f>IF(AND(AG2260=1,OR('Dashboard'!$B$4="All",I2260='Dashboard'!$B$4),OR('Dashboard'!$E$4="All",N2260='Dashboard'!$E$4),OR('Dashboard'!$H$4="All",K2260='Dashboard'!$H$4),OR('Dashboard'!$K$4="All",C2260='Dashboard'!$K$4)),1,0)</x:f>
        <x:v>1</x:v>
      </x:c>
      <x:c r="AI2260" s="84" t="n">
        <x:f>IF(AND(AG2260=1,OR('Dashboard'!$B$4="All",I2260='Dashboard'!$B$4),OR('Dashboard'!$E$4="All",N2260='Dashboard'!$E$4),OR('Dashboard'!$H$4="All",K2260='Dashboard'!$H$4)),1,0)</x:f>
        <x:v>1</x:v>
      </x:c>
    </x:row>
    <x:row r="2261">
      <x:c r="A2261" s="84" t="str">
        <x:f>'Raw Sales'!A2261</x:f>
        <x:v>ORD-2025-00715</x:v>
      </x:c>
      <x:c r="B2261" s="85" t="n">
        <x:f>'Raw Sales'!B2261</x:f>
        <x:v>45993</x:v>
      </x:c>
      <x:c r="C2261" s="84" t="n">
        <x:f>YEAR(B2261)</x:f>
        <x:v>2025</x:v>
      </x:c>
      <x:c r="D2261" s="91" t="n">
        <x:f>DATE(YEAR(B2261),MONTH(B2261),1)</x:f>
        <x:v>45992</x:v>
      </x:c>
      <x:c r="E2261" s="84" t="str">
        <x:f>TEXT(B2261,"mmm")</x:f>
        <x:v>Dec</x:v>
      </x:c>
      <x:c r="F2261" s="84" t="str">
        <x:f>'Raw Sales'!C2261</x:f>
        <x:v>CUST-0034</x:v>
      </x:c>
      <x:c r="G2261" s="84" t="str">
        <x:f>PROPER(TRIM('Raw Sales'!D2261))</x:f>
        <x:v>Priya Roberts</x:v>
      </x:c>
      <x:c r="H2261" s="84" t="str">
        <x:f>IF(TRIM('Raw Sales'!E2261)="","Unknown",PROPER(TRIM('Raw Sales'!E2261)))</x:f>
        <x:v>Consumer</x:v>
      </x:c>
      <x:c r="I2261" s="84" t="str">
        <x:f>PROPER(TRIM('Raw Sales'!F2261))</x:f>
        <x:v>Southeast</x:v>
      </x:c>
      <x:c r="J2261" s="84" t="str">
        <x:f>PROPER(TRIM('Raw Sales'!G2261))</x:f>
        <x:v>Nashville</x:v>
      </x:c>
      <x:c r="K2261" s="84" t="str">
        <x:f>PROPER(TRIM('Raw Sales'!H2261))</x:f>
        <x:v>Retail Store</x:v>
      </x:c>
      <x:c r="L2261" s="84" t="str">
        <x:f>'Raw Sales'!I2261</x:f>
        <x:v>CARE-001</x:v>
      </x:c>
      <x:c r="M2261" s="84" t="str">
        <x:f>IFERROR(VLOOKUP(L2261,'Reference Data'!$A$5:$F$40,2,FALSE),"Unknown Product")</x:f>
        <x:v>Ionic Hair Dryer</x:v>
      </x:c>
      <x:c r="N2261" s="84" t="str">
        <x:f>IFERROR(VLOOKUP(L2261,'Reference Data'!$A$5:$F$40,3,FALSE),"Unknown")</x:f>
        <x:v>Personal Care</x:v>
      </x:c>
      <x:c r="O2261" s="84" t="str">
        <x:f>IFERROR(VLOOKUP(L2261,'Reference Data'!$A$5:$F$40,4,FALSE),"Unknown")</x:f>
        <x:v>Hair Care</x:v>
      </x:c>
      <x:c r="P2261" s="92" t="n">
        <x:f>IFERROR(VLOOKUP(L2261,'Reference Data'!$A$5:$F$40,5,FALSE),0)</x:f>
        <x:v>54</x:v>
      </x:c>
      <x:c r="Q2261" s="92" t="n">
        <x:f>IFERROR(VLOOKUP(L2261,'Reference Data'!$A$5:$F$40,6,FALSE),0)</x:f>
        <x:v>25</x:v>
      </x:c>
      <x:c r="R2261" s="84" t="n">
        <x:f>'Raw Sales'!J2261</x:f>
        <x:v>2</x:v>
      </x:c>
      <x:c r="S2261" s="87" t="n">
        <x:f>'Raw Sales'!K2261</x:f>
        <x:v>0.1</x:v>
      </x:c>
      <x:c r="T2261" s="93" t="n">
        <x:f>P2261*R2261</x:f>
        <x:v>108</x:v>
      </x:c>
      <x:c r="U2261" s="93" t="n">
        <x:f>T2261*S2261</x:f>
        <x:v>10.8</x:v>
      </x:c>
      <x:c r="V2261" s="93" t="str">
        <x:f>PROPER(TRIM('Raw Sales'!L2261))</x:f>
        <x:v>Completed</x:v>
      </x:c>
      <x:c r="W2261" s="93" t="n">
        <x:f>IF(V2261="Returned",0,T2261-U2261)</x:f>
        <x:v>97.2</x:v>
      </x:c>
      <x:c r="X2261" s="93" t="n">
        <x:f>IF(V2261="Returned",Q2261*R2261*10%,Q2261*R2261)</x:f>
        <x:v>50</x:v>
      </x:c>
      <x:c r="Y2261" s="93" t="n">
        <x:f>W2261-X2261</x:f>
        <x:v>47.2</x:v>
      </x:c>
      <x:c r="Z2261" s="94" t="n">
        <x:f>IFERROR(Y2261/W2261,0)</x:f>
        <x:v>0.48559670781893005</x:v>
      </x:c>
      <x:c r="AA2261" s="84" t="str">
        <x:f>PROPER(TRIM('Raw Sales'!M2261))</x:f>
        <x:v>Cash</x:v>
      </x:c>
      <x:c r="AB2261" s="84" t="str">
        <x:f>PROPER(TRIM('Raw Sales'!N2261))</x:f>
        <x:v>Noah Reed</x:v>
      </x:c>
      <x:c r="AC2261" s="85" t="n">
        <x:f>'Raw Sales'!O2261</x:f>
        <x:v>45993</x:v>
      </x:c>
      <x:c r="AD2261" s="84" t="n">
        <x:f>AC2261-B2261</x:f>
        <x:v>0</x:v>
      </x:c>
      <x:c r="AE2261" s="84" t="str">
        <x:f>IF(COUNTIF($A$5:A2261,A2261)&gt;1,"Duplicate","Keep")</x:f>
        <x:v>Keep</x:v>
      </x:c>
      <x:c r="AF2261" s="84" t="str">
        <x:f>IF(OR(R2261&lt;=0,AC2261&lt;B2261,H2261="Unknown",M2261="Unknown Product"),"Review","Valid")</x:f>
        <x:v>Valid</x:v>
      </x:c>
      <x:c r="AG2261" s="84" t="n">
        <x:f>IF(AND(AE2261="Keep",AF2261="Valid"),1,0)</x:f>
        <x:v>1</x:v>
      </x:c>
      <x:c r="AH2261" s="84" t="n">
        <x:f>IF(AND(AG2261=1,OR('Dashboard'!$B$4="All",I2261='Dashboard'!$B$4),OR('Dashboard'!$E$4="All",N2261='Dashboard'!$E$4),OR('Dashboard'!$H$4="All",K2261='Dashboard'!$H$4),OR('Dashboard'!$K$4="All",C2261='Dashboard'!$K$4)),1,0)</x:f>
        <x:v>1</x:v>
      </x:c>
      <x:c r="AI2261" s="84" t="n">
        <x:f>IF(AND(AG2261=1,OR('Dashboard'!$B$4="All",I2261='Dashboard'!$B$4),OR('Dashboard'!$E$4="All",N2261='Dashboard'!$E$4),OR('Dashboard'!$H$4="All",K2261='Dashboard'!$H$4)),1,0)</x:f>
        <x:v>1</x:v>
      </x:c>
    </x:row>
    <x:row r="2262">
      <x:c r="A2262" s="84" t="str">
        <x:f>'Raw Sales'!A2262</x:f>
        <x:v>ORD-2025-01136</x:v>
      </x:c>
      <x:c r="B2262" s="85" t="n">
        <x:f>'Raw Sales'!B2262</x:f>
        <x:v>45993</x:v>
      </x:c>
      <x:c r="C2262" s="84" t="n">
        <x:f>YEAR(B2262)</x:f>
        <x:v>2025</x:v>
      </x:c>
      <x:c r="D2262" s="91" t="n">
        <x:f>DATE(YEAR(B2262),MONTH(B2262),1)</x:f>
        <x:v>45992</x:v>
      </x:c>
      <x:c r="E2262" s="84" t="str">
        <x:f>TEXT(B2262,"mmm")</x:f>
        <x:v>Dec</x:v>
      </x:c>
      <x:c r="F2262" s="84" t="str">
        <x:f>'Raw Sales'!C2262</x:f>
        <x:v>CUST-0458</x:v>
      </x:c>
      <x:c r="G2262" s="84" t="str">
        <x:f>PROPER(TRIM('Raw Sales'!D2262))</x:f>
        <x:v>Samuel Carter</x:v>
      </x:c>
      <x:c r="H2262" s="84" t="str">
        <x:f>IF(TRIM('Raw Sales'!E2262)="","Unknown",PROPER(TRIM('Raw Sales'!E2262)))</x:f>
        <x:v>Consumer</x:v>
      </x:c>
      <x:c r="I2262" s="84" t="str">
        <x:f>PROPER(TRIM('Raw Sales'!F2262))</x:f>
        <x:v>Southeast</x:v>
      </x:c>
      <x:c r="J2262" s="84" t="str">
        <x:f>PROPER(TRIM('Raw Sales'!G2262))</x:f>
        <x:v>Atlanta</x:v>
      </x:c>
      <x:c r="K2262" s="84" t="str">
        <x:f>PROPER(TRIM('Raw Sales'!H2262))</x:f>
        <x:v>Online</x:v>
      </x:c>
      <x:c r="L2262" s="84" t="str">
        <x:f>'Raw Sales'!I2262</x:f>
        <x:v>HOME-004</x:v>
      </x:c>
      <x:c r="M2262" s="84" t="str">
        <x:f>IFERROR(VLOOKUP(L2262,'Reference Data'!$A$5:$F$40,2,FALSE),"Unknown Product")</x:f>
        <x:v>Coffee Maker</x:v>
      </x:c>
      <x:c r="N2262" s="84" t="str">
        <x:f>IFERROR(VLOOKUP(L2262,'Reference Data'!$A$5:$F$40,3,FALSE),"Unknown")</x:f>
        <x:v>Home &amp; Kitchen</x:v>
      </x:c>
      <x:c r="O2262" s="84" t="str">
        <x:f>IFERROR(VLOOKUP(L2262,'Reference Data'!$A$5:$F$40,4,FALSE),"Unknown")</x:f>
        <x:v>Small Appliances</x:v>
      </x:c>
      <x:c r="P2262" s="92" t="n">
        <x:f>IFERROR(VLOOKUP(L2262,'Reference Data'!$A$5:$F$40,5,FALSE),0)</x:f>
        <x:v>99</x:v>
      </x:c>
      <x:c r="Q2262" s="92" t="n">
        <x:f>IFERROR(VLOOKUP(L2262,'Reference Data'!$A$5:$F$40,6,FALSE),0)</x:f>
        <x:v>51</x:v>
      </x:c>
      <x:c r="R2262" s="84" t="n">
        <x:f>'Raw Sales'!J2262</x:f>
        <x:v>2</x:v>
      </x:c>
      <x:c r="S2262" s="87" t="n">
        <x:f>'Raw Sales'!K2262</x:f>
        <x:v>0.1</x:v>
      </x:c>
      <x:c r="T2262" s="93" t="n">
        <x:f>P2262*R2262</x:f>
        <x:v>198</x:v>
      </x:c>
      <x:c r="U2262" s="93" t="n">
        <x:f>T2262*S2262</x:f>
        <x:v>19.8</x:v>
      </x:c>
      <x:c r="V2262" s="93" t="str">
        <x:f>PROPER(TRIM('Raw Sales'!L2262))</x:f>
        <x:v>Completed</x:v>
      </x:c>
      <x:c r="W2262" s="93" t="n">
        <x:f>IF(V2262="Returned",0,T2262-U2262)</x:f>
        <x:v>178.2</x:v>
      </x:c>
      <x:c r="X2262" s="93" t="n">
        <x:f>IF(V2262="Returned",Q2262*R2262*10%,Q2262*R2262)</x:f>
        <x:v>102</x:v>
      </x:c>
      <x:c r="Y2262" s="93" t="n">
        <x:f>W2262-X2262</x:f>
        <x:v>76.19999999999999</x:v>
      </x:c>
      <x:c r="Z2262" s="94" t="n">
        <x:f>IFERROR(Y2262/W2262,0)</x:f>
        <x:v>0.42760942760942755</x:v>
      </x:c>
      <x:c r="AA2262" s="84" t="str">
        <x:f>PROPER(TRIM('Raw Sales'!M2262))</x:f>
        <x:v>Paypal</x:v>
      </x:c>
      <x:c r="AB2262" s="84" t="str">
        <x:f>PROPER(TRIM('Raw Sales'!N2262))</x:f>
        <x:v>Noah Reed</x:v>
      </x:c>
      <x:c r="AC2262" s="85" t="n">
        <x:f>'Raw Sales'!O2262</x:f>
        <x:v>45995</x:v>
      </x:c>
      <x:c r="AD2262" s="84" t="n">
        <x:f>AC2262-B2262</x:f>
        <x:v>2</x:v>
      </x:c>
      <x:c r="AE2262" s="84" t="str">
        <x:f>IF(COUNTIF($A$5:A2262,A2262)&gt;1,"Duplicate","Keep")</x:f>
        <x:v>Keep</x:v>
      </x:c>
      <x:c r="AF2262" s="84" t="str">
        <x:f>IF(OR(R2262&lt;=0,AC2262&lt;B2262,H2262="Unknown",M2262="Unknown Product"),"Review","Valid")</x:f>
        <x:v>Valid</x:v>
      </x:c>
      <x:c r="AG2262" s="84" t="n">
        <x:f>IF(AND(AE2262="Keep",AF2262="Valid"),1,0)</x:f>
        <x:v>1</x:v>
      </x:c>
      <x:c r="AH2262" s="84" t="n">
        <x:f>IF(AND(AG2262=1,OR('Dashboard'!$B$4="All",I2262='Dashboard'!$B$4),OR('Dashboard'!$E$4="All",N2262='Dashboard'!$E$4),OR('Dashboard'!$H$4="All",K2262='Dashboard'!$H$4),OR('Dashboard'!$K$4="All",C2262='Dashboard'!$K$4)),1,0)</x:f>
        <x:v>1</x:v>
      </x:c>
      <x:c r="AI2262" s="84" t="n">
        <x:f>IF(AND(AG2262=1,OR('Dashboard'!$B$4="All",I2262='Dashboard'!$B$4),OR('Dashboard'!$E$4="All",N2262='Dashboard'!$E$4),OR('Dashboard'!$H$4="All",K2262='Dashboard'!$H$4)),1,0)</x:f>
        <x:v>1</x:v>
      </x:c>
    </x:row>
    <x:row r="2263">
      <x:c r="A2263" s="84" t="str">
        <x:f>'Raw Sales'!A2263</x:f>
        <x:v>ORD-2025-01158</x:v>
      </x:c>
      <x:c r="B2263" s="85" t="n">
        <x:f>'Raw Sales'!B2263</x:f>
        <x:v>45993</x:v>
      </x:c>
      <x:c r="C2263" s="84" t="n">
        <x:f>YEAR(B2263)</x:f>
        <x:v>2025</x:v>
      </x:c>
      <x:c r="D2263" s="91" t="n">
        <x:f>DATE(YEAR(B2263),MONTH(B2263),1)</x:f>
        <x:v>45992</x:v>
      </x:c>
      <x:c r="E2263" s="84" t="str">
        <x:f>TEXT(B2263,"mmm")</x:f>
        <x:v>Dec</x:v>
      </x:c>
      <x:c r="F2263" s="84" t="str">
        <x:f>'Raw Sales'!C2263</x:f>
        <x:v>CUST-0328</x:v>
      </x:c>
      <x:c r="G2263" s="84" t="str">
        <x:f>PROPER(TRIM('Raw Sales'!D2263))</x:f>
        <x:v>Elena Khan</x:v>
      </x:c>
      <x:c r="H2263" s="84" t="str">
        <x:f>IF(TRIM('Raw Sales'!E2263)="","Unknown",PROPER(TRIM('Raw Sales'!E2263)))</x:f>
        <x:v>Small Business</x:v>
      </x:c>
      <x:c r="I2263" s="84" t="str">
        <x:f>PROPER(TRIM('Raw Sales'!F2263))</x:f>
        <x:v>Southeast</x:v>
      </x:c>
      <x:c r="J2263" s="84" t="str">
        <x:f>PROPER(TRIM('Raw Sales'!G2263))</x:f>
        <x:v>Charlotte</x:v>
      </x:c>
      <x:c r="K2263" s="84" t="str">
        <x:f>PROPER(TRIM('Raw Sales'!H2263))</x:f>
        <x:v>Retail Store</x:v>
      </x:c>
      <x:c r="L2263" s="84" t="str">
        <x:f>'Raw Sales'!I2263</x:f>
        <x:v>CARE-006</x:v>
      </x:c>
      <x:c r="M2263" s="84" t="str">
        <x:f>IFERROR(VLOOKUP(L2263,'Reference Data'!$A$5:$F$40,2,FALSE),"Unknown Product")</x:f>
        <x:v>Percussion Massage Gun</x:v>
      </x:c>
      <x:c r="N2263" s="84" t="str">
        <x:f>IFERROR(VLOOKUP(L2263,'Reference Data'!$A$5:$F$40,3,FALSE),"Unknown")</x:f>
        <x:v>Personal Care</x:v>
      </x:c>
      <x:c r="O2263" s="84" t="str">
        <x:f>IFERROR(VLOOKUP(L2263,'Reference Data'!$A$5:$F$40,4,FALSE),"Unknown")</x:f>
        <x:v>Wellness</x:v>
      </x:c>
      <x:c r="P2263" s="92" t="n">
        <x:f>IFERROR(VLOOKUP(L2263,'Reference Data'!$A$5:$F$40,5,FALSE),0)</x:f>
        <x:v>129</x:v>
      </x:c>
      <x:c r="Q2263" s="92" t="n">
        <x:f>IFERROR(VLOOKUP(L2263,'Reference Data'!$A$5:$F$40,6,FALSE),0)</x:f>
        <x:v>70</x:v>
      </x:c>
      <x:c r="R2263" s="84" t="n">
        <x:f>'Raw Sales'!J2263</x:f>
        <x:v>1</x:v>
      </x:c>
      <x:c r="S2263" s="87" t="n">
        <x:f>'Raw Sales'!K2263</x:f>
        <x:v>0.1</x:v>
      </x:c>
      <x:c r="T2263" s="93" t="n">
        <x:f>P2263*R2263</x:f>
        <x:v>129</x:v>
      </x:c>
      <x:c r="U2263" s="93" t="n">
        <x:f>T2263*S2263</x:f>
        <x:v>12.9</x:v>
      </x:c>
      <x:c r="V2263" s="93" t="str">
        <x:f>PROPER(TRIM('Raw Sales'!L2263))</x:f>
        <x:v>Completed</x:v>
      </x:c>
      <x:c r="W2263" s="93" t="n">
        <x:f>IF(V2263="Returned",0,T2263-U2263)</x:f>
        <x:v>116.1</x:v>
      </x:c>
      <x:c r="X2263" s="93" t="n">
        <x:f>IF(V2263="Returned",Q2263*R2263*10%,Q2263*R2263)</x:f>
        <x:v>70</x:v>
      </x:c>
      <x:c r="Y2263" s="93" t="n">
        <x:f>W2263-X2263</x:f>
        <x:v>46.099999999999994</x:v>
      </x:c>
      <x:c r="Z2263" s="94" t="n">
        <x:f>IFERROR(Y2263/W2263,0)</x:f>
        <x:v>0.3970714900947459</x:v>
      </x:c>
      <x:c r="AA2263" s="84" t="str">
        <x:f>PROPER(TRIM('Raw Sales'!M2263))</x:f>
        <x:v>Cash</x:v>
      </x:c>
      <x:c r="AB2263" s="84" t="str">
        <x:f>PROPER(TRIM('Raw Sales'!N2263))</x:f>
        <x:v>Noah Reed</x:v>
      </x:c>
      <x:c r="AC2263" s="85" t="n">
        <x:f>'Raw Sales'!O2263</x:f>
        <x:v>45994</x:v>
      </x:c>
      <x:c r="AD2263" s="84" t="n">
        <x:f>AC2263-B2263</x:f>
        <x:v>1</x:v>
      </x:c>
      <x:c r="AE2263" s="84" t="str">
        <x:f>IF(COUNTIF($A$5:A2263,A2263)&gt;1,"Duplicate","Keep")</x:f>
        <x:v>Keep</x:v>
      </x:c>
      <x:c r="AF2263" s="84" t="str">
        <x:f>IF(OR(R2263&lt;=0,AC2263&lt;B2263,H2263="Unknown",M2263="Unknown Product"),"Review","Valid")</x:f>
        <x:v>Valid</x:v>
      </x:c>
      <x:c r="AG2263" s="84" t="n">
        <x:f>IF(AND(AE2263="Keep",AF2263="Valid"),1,0)</x:f>
        <x:v>1</x:v>
      </x:c>
      <x:c r="AH2263" s="84" t="n">
        <x:f>IF(AND(AG2263=1,OR('Dashboard'!$B$4="All",I2263='Dashboard'!$B$4),OR('Dashboard'!$E$4="All",N2263='Dashboard'!$E$4),OR('Dashboard'!$H$4="All",K2263='Dashboard'!$H$4),OR('Dashboard'!$K$4="All",C2263='Dashboard'!$K$4)),1,0)</x:f>
        <x:v>1</x:v>
      </x:c>
      <x:c r="AI2263" s="84" t="n">
        <x:f>IF(AND(AG2263=1,OR('Dashboard'!$B$4="All",I2263='Dashboard'!$B$4),OR('Dashboard'!$E$4="All",N2263='Dashboard'!$E$4),OR('Dashboard'!$H$4="All",K2263='Dashboard'!$H$4)),1,0)</x:f>
        <x:v>1</x:v>
      </x:c>
    </x:row>
    <x:row r="2264">
      <x:c r="A2264" s="84" t="str">
        <x:f>'Raw Sales'!A2264</x:f>
        <x:v>ORD-2025-01313</x:v>
      </x:c>
      <x:c r="B2264" s="85" t="n">
        <x:f>'Raw Sales'!B2264</x:f>
        <x:v>45993</x:v>
      </x:c>
      <x:c r="C2264" s="84" t="n">
        <x:f>YEAR(B2264)</x:f>
        <x:v>2025</x:v>
      </x:c>
      <x:c r="D2264" s="91" t="n">
        <x:f>DATE(YEAR(B2264),MONTH(B2264),1)</x:f>
        <x:v>45992</x:v>
      </x:c>
      <x:c r="E2264" s="84" t="str">
        <x:f>TEXT(B2264,"mmm")</x:f>
        <x:v>Dec</x:v>
      </x:c>
      <x:c r="F2264" s="84" t="str">
        <x:f>'Raw Sales'!C2264</x:f>
        <x:v>CUST-0485</x:v>
      </x:c>
      <x:c r="G2264" s="84" t="str">
        <x:f>PROPER(TRIM('Raw Sales'!D2264))</x:f>
        <x:v>Elias Ortiz</x:v>
      </x:c>
      <x:c r="H2264" s="84" t="str">
        <x:f>IF(TRIM('Raw Sales'!E2264)="","Unknown",PROPER(TRIM('Raw Sales'!E2264)))</x:f>
        <x:v>Consumer</x:v>
      </x:c>
      <x:c r="I2264" s="84" t="str">
        <x:f>PROPER(TRIM('Raw Sales'!F2264))</x:f>
        <x:v>Southeast</x:v>
      </x:c>
      <x:c r="J2264" s="84" t="str">
        <x:f>PROPER(TRIM('Raw Sales'!G2264))</x:f>
        <x:v>Atlanta</x:v>
      </x:c>
      <x:c r="K2264" s="84" t="str">
        <x:f>PROPER(TRIM('Raw Sales'!H2264))</x:f>
        <x:v>Online</x:v>
      </x:c>
      <x:c r="L2264" s="84" t="str">
        <x:f>'Raw Sales'!I2264</x:f>
        <x:v>ELEC-002</x:v>
      </x:c>
      <x:c r="M2264" s="84" t="str">
        <x:f>IFERROR(VLOOKUP(L2264,'Reference Data'!$A$5:$F$40,2,FALSE),"Unknown Product")</x:f>
        <x:v>Smartwatch</x:v>
      </x:c>
      <x:c r="N2264" s="84" t="str">
        <x:f>IFERROR(VLOOKUP(L2264,'Reference Data'!$A$5:$F$40,3,FALSE),"Unknown")</x:f>
        <x:v>Electronics</x:v>
      </x:c>
      <x:c r="O2264" s="84" t="str">
        <x:f>IFERROR(VLOOKUP(L2264,'Reference Data'!$A$5:$F$40,4,FALSE),"Unknown")</x:f>
        <x:v>Wearables</x:v>
      </x:c>
      <x:c r="P2264" s="92" t="n">
        <x:f>IFERROR(VLOOKUP(L2264,'Reference Data'!$A$5:$F$40,5,FALSE),0)</x:f>
        <x:v>159</x:v>
      </x:c>
      <x:c r="Q2264" s="92" t="n">
        <x:f>IFERROR(VLOOKUP(L2264,'Reference Data'!$A$5:$F$40,6,FALSE),0)</x:f>
        <x:v>92</x:v>
      </x:c>
      <x:c r="R2264" s="84" t="n">
        <x:f>'Raw Sales'!J2264</x:f>
        <x:v>3</x:v>
      </x:c>
      <x:c r="S2264" s="87" t="n">
        <x:f>'Raw Sales'!K2264</x:f>
        <x:v>0</x:v>
      </x:c>
      <x:c r="T2264" s="93" t="n">
        <x:f>P2264*R2264</x:f>
        <x:v>477</x:v>
      </x:c>
      <x:c r="U2264" s="93" t="n">
        <x:f>T2264*S2264</x:f>
        <x:v>0</x:v>
      </x:c>
      <x:c r="V2264" s="93" t="str">
        <x:f>PROPER(TRIM('Raw Sales'!L2264))</x:f>
        <x:v>Completed</x:v>
      </x:c>
      <x:c r="W2264" s="93" t="n">
        <x:f>IF(V2264="Returned",0,T2264-U2264)</x:f>
        <x:v>477</x:v>
      </x:c>
      <x:c r="X2264" s="93" t="n">
        <x:f>IF(V2264="Returned",Q2264*R2264*10%,Q2264*R2264)</x:f>
        <x:v>276</x:v>
      </x:c>
      <x:c r="Y2264" s="93" t="n">
        <x:f>W2264-X2264</x:f>
        <x:v>201</x:v>
      </x:c>
      <x:c r="Z2264" s="94" t="n">
        <x:f>IFERROR(Y2264/W2264,0)</x:f>
        <x:v>0.42138364779874216</x:v>
      </x:c>
      <x:c r="AA2264" s="84" t="str">
        <x:f>PROPER(TRIM('Raw Sales'!M2264))</x:f>
        <x:v>Paypal</x:v>
      </x:c>
      <x:c r="AB2264" s="84" t="str">
        <x:f>PROPER(TRIM('Raw Sales'!N2264))</x:f>
        <x:v>Noah Reed</x:v>
      </x:c>
      <x:c r="AC2264" s="85" t="n">
        <x:f>'Raw Sales'!O2264</x:f>
        <x:v>45997</x:v>
      </x:c>
      <x:c r="AD2264" s="84" t="n">
        <x:f>AC2264-B2264</x:f>
        <x:v>4</x:v>
      </x:c>
      <x:c r="AE2264" s="84" t="str">
        <x:f>IF(COUNTIF($A$5:A2264,A2264)&gt;1,"Duplicate","Keep")</x:f>
        <x:v>Keep</x:v>
      </x:c>
      <x:c r="AF2264" s="84" t="str">
        <x:f>IF(OR(R2264&lt;=0,AC2264&lt;B2264,H2264="Unknown",M2264="Unknown Product"),"Review","Valid")</x:f>
        <x:v>Valid</x:v>
      </x:c>
      <x:c r="AG2264" s="84" t="n">
        <x:f>IF(AND(AE2264="Keep",AF2264="Valid"),1,0)</x:f>
        <x:v>1</x:v>
      </x:c>
      <x:c r="AH2264" s="84" t="n">
        <x:f>IF(AND(AG2264=1,OR('Dashboard'!$B$4="All",I2264='Dashboard'!$B$4),OR('Dashboard'!$E$4="All",N2264='Dashboard'!$E$4),OR('Dashboard'!$H$4="All",K2264='Dashboard'!$H$4),OR('Dashboard'!$K$4="All",C2264='Dashboard'!$K$4)),1,0)</x:f>
        <x:v>1</x:v>
      </x:c>
      <x:c r="AI2264" s="84" t="n">
        <x:f>IF(AND(AG2264=1,OR('Dashboard'!$B$4="All",I2264='Dashboard'!$B$4),OR('Dashboard'!$E$4="All",N2264='Dashboard'!$E$4),OR('Dashboard'!$H$4="All",K2264='Dashboard'!$H$4)),1,0)</x:f>
        <x:v>1</x:v>
      </x:c>
    </x:row>
    <x:row r="2265">
      <x:c r="A2265" s="84" t="str">
        <x:f>'Raw Sales'!A2265</x:f>
        <x:v>ORD-2025-01832</x:v>
      </x:c>
      <x:c r="B2265" s="85" t="n">
        <x:f>'Raw Sales'!B2265</x:f>
        <x:v>45993</x:v>
      </x:c>
      <x:c r="C2265" s="84" t="n">
        <x:f>YEAR(B2265)</x:f>
        <x:v>2025</x:v>
      </x:c>
      <x:c r="D2265" s="91" t="n">
        <x:f>DATE(YEAR(B2265),MONTH(B2265),1)</x:f>
        <x:v>45992</x:v>
      </x:c>
      <x:c r="E2265" s="84" t="str">
        <x:f>TEXT(B2265,"mmm")</x:f>
        <x:v>Dec</x:v>
      </x:c>
      <x:c r="F2265" s="84" t="str">
        <x:f>'Raw Sales'!C2265</x:f>
        <x:v>CUST-0368</x:v>
      </x:c>
      <x:c r="G2265" s="84" t="str">
        <x:f>PROPER(TRIM('Raw Sales'!D2265))</x:f>
        <x:v>Nathan Roberts</x:v>
      </x:c>
      <x:c r="H2265" s="84" t="str">
        <x:f>IF(TRIM('Raw Sales'!E2265)="","Unknown",PROPER(TRIM('Raw Sales'!E2265)))</x:f>
        <x:v>Consumer</x:v>
      </x:c>
      <x:c r="I2265" s="84" t="str">
        <x:f>PROPER(TRIM('Raw Sales'!F2265))</x:f>
        <x:v>West</x:v>
      </x:c>
      <x:c r="J2265" s="84" t="str">
        <x:f>PROPER(TRIM('Raw Sales'!G2265))</x:f>
        <x:v>Denver</x:v>
      </x:c>
      <x:c r="K2265" s="84" t="str">
        <x:f>PROPER(TRIM('Raw Sales'!H2265))</x:f>
        <x:v>Online</x:v>
      </x:c>
      <x:c r="L2265" s="84" t="str">
        <x:f>'Raw Sales'!I2265</x:f>
        <x:v>ELEC-002</x:v>
      </x:c>
      <x:c r="M2265" s="84" t="str">
        <x:f>IFERROR(VLOOKUP(L2265,'Reference Data'!$A$5:$F$40,2,FALSE),"Unknown Product")</x:f>
        <x:v>Smartwatch</x:v>
      </x:c>
      <x:c r="N2265" s="84" t="str">
        <x:f>IFERROR(VLOOKUP(L2265,'Reference Data'!$A$5:$F$40,3,FALSE),"Unknown")</x:f>
        <x:v>Electronics</x:v>
      </x:c>
      <x:c r="O2265" s="84" t="str">
        <x:f>IFERROR(VLOOKUP(L2265,'Reference Data'!$A$5:$F$40,4,FALSE),"Unknown")</x:f>
        <x:v>Wearables</x:v>
      </x:c>
      <x:c r="P2265" s="92" t="n">
        <x:f>IFERROR(VLOOKUP(L2265,'Reference Data'!$A$5:$F$40,5,FALSE),0)</x:f>
        <x:v>159</x:v>
      </x:c>
      <x:c r="Q2265" s="92" t="n">
        <x:f>IFERROR(VLOOKUP(L2265,'Reference Data'!$A$5:$F$40,6,FALSE),0)</x:f>
        <x:v>92</x:v>
      </x:c>
      <x:c r="R2265" s="84" t="n">
        <x:f>'Raw Sales'!J2265</x:f>
        <x:v>2</x:v>
      </x:c>
      <x:c r="S2265" s="87" t="n">
        <x:f>'Raw Sales'!K2265</x:f>
        <x:v>0.15</x:v>
      </x:c>
      <x:c r="T2265" s="93" t="n">
        <x:f>P2265*R2265</x:f>
        <x:v>318</x:v>
      </x:c>
      <x:c r="U2265" s="93" t="n">
        <x:f>T2265*S2265</x:f>
        <x:v>47.699999999999996</x:v>
      </x:c>
      <x:c r="V2265" s="93" t="str">
        <x:f>PROPER(TRIM('Raw Sales'!L2265))</x:f>
        <x:v>Completed</x:v>
      </x:c>
      <x:c r="W2265" s="93" t="n">
        <x:f>IF(V2265="Returned",0,T2265-U2265)</x:f>
        <x:v>270.3</x:v>
      </x:c>
      <x:c r="X2265" s="93" t="n">
        <x:f>IF(V2265="Returned",Q2265*R2265*10%,Q2265*R2265)</x:f>
        <x:v>184</x:v>
      </x:c>
      <x:c r="Y2265" s="93" t="n">
        <x:f>W2265-X2265</x:f>
        <x:v>86.30000000000001</x:v>
      </x:c>
      <x:c r="Z2265" s="94" t="n">
        <x:f>IFERROR(Y2265/W2265,0)</x:f>
        <x:v>0.31927487976322605</x:v>
      </x:c>
      <x:c r="AA2265" s="84" t="str">
        <x:f>PROPER(TRIM('Raw Sales'!M2265))</x:f>
        <x:v>Credit Card</x:v>
      </x:c>
      <x:c r="AB2265" s="84" t="str">
        <x:f>PROPER(TRIM('Raw Sales'!N2265))</x:f>
        <x:v>Mia Chen</x:v>
      </x:c>
      <x:c r="AC2265" s="85" t="n">
        <x:f>'Raw Sales'!O2265</x:f>
        <x:v>45996</x:v>
      </x:c>
      <x:c r="AD2265" s="84" t="n">
        <x:f>AC2265-B2265</x:f>
        <x:v>3</x:v>
      </x:c>
      <x:c r="AE2265" s="84" t="str">
        <x:f>IF(COUNTIF($A$5:A2265,A2265)&gt;1,"Duplicate","Keep")</x:f>
        <x:v>Keep</x:v>
      </x:c>
      <x:c r="AF2265" s="84" t="str">
        <x:f>IF(OR(R2265&lt;=0,AC2265&lt;B2265,H2265="Unknown",M2265="Unknown Product"),"Review","Valid")</x:f>
        <x:v>Valid</x:v>
      </x:c>
      <x:c r="AG2265" s="84" t="n">
        <x:f>IF(AND(AE2265="Keep",AF2265="Valid"),1,0)</x:f>
        <x:v>1</x:v>
      </x:c>
      <x:c r="AH2265" s="84" t="n">
        <x:f>IF(AND(AG2265=1,OR('Dashboard'!$B$4="All",I2265='Dashboard'!$B$4),OR('Dashboard'!$E$4="All",N2265='Dashboard'!$E$4),OR('Dashboard'!$H$4="All",K2265='Dashboard'!$H$4),OR('Dashboard'!$K$4="All",C2265='Dashboard'!$K$4)),1,0)</x:f>
        <x:v>1</x:v>
      </x:c>
      <x:c r="AI2265" s="84" t="n">
        <x:f>IF(AND(AG2265=1,OR('Dashboard'!$B$4="All",I2265='Dashboard'!$B$4),OR('Dashboard'!$E$4="All",N2265='Dashboard'!$E$4),OR('Dashboard'!$H$4="All",K2265='Dashboard'!$H$4)),1,0)</x:f>
        <x:v>1</x:v>
      </x:c>
    </x:row>
    <x:row r="2266">
      <x:c r="A2266" s="84" t="str">
        <x:f>'Raw Sales'!A2266</x:f>
        <x:v>ORD-2025-01905</x:v>
      </x:c>
      <x:c r="B2266" s="85" t="n">
        <x:f>'Raw Sales'!B2266</x:f>
        <x:v>45993</x:v>
      </x:c>
      <x:c r="C2266" s="84" t="n">
        <x:f>YEAR(B2266)</x:f>
        <x:v>2025</x:v>
      </x:c>
      <x:c r="D2266" s="91" t="n">
        <x:f>DATE(YEAR(B2266),MONTH(B2266),1)</x:f>
        <x:v>45992</x:v>
      </x:c>
      <x:c r="E2266" s="84" t="str">
        <x:f>TEXT(B2266,"mmm")</x:f>
        <x:v>Dec</x:v>
      </x:c>
      <x:c r="F2266" s="84" t="str">
        <x:f>'Raw Sales'!C2266</x:f>
        <x:v>CUST-0074</x:v>
      </x:c>
      <x:c r="G2266" s="84" t="str">
        <x:f>PROPER(TRIM('Raw Sales'!D2266))</x:f>
        <x:v>Grace Taylor</x:v>
      </x:c>
      <x:c r="H2266" s="84" t="str">
        <x:f>IF(TRIM('Raw Sales'!E2266)="","Unknown",PROPER(TRIM('Raw Sales'!E2266)))</x:f>
        <x:v>Consumer</x:v>
      </x:c>
      <x:c r="I2266" s="84" t="str">
        <x:f>PROPER(TRIM('Raw Sales'!F2266))</x:f>
        <x:v>West</x:v>
      </x:c>
      <x:c r="J2266" s="84" t="str">
        <x:f>PROPER(TRIM('Raw Sales'!G2266))</x:f>
        <x:v>Seattle</x:v>
      </x:c>
      <x:c r="K2266" s="84" t="str">
        <x:f>PROPER(TRIM('Raw Sales'!H2266))</x:f>
        <x:v>Online</x:v>
      </x:c>
      <x:c r="L2266" s="84" t="str">
        <x:f>'Raw Sales'!I2266</x:f>
        <x:v>FITN-002</x:v>
      </x:c>
      <x:c r="M2266" s="84" t="str">
        <x:f>IFERROR(VLOOKUP(L2266,'Reference Data'!$A$5:$F$40,2,FALSE),"Unknown Product")</x:f>
        <x:v>Adjustable Dumbbell Set</x:v>
      </x:c>
      <x:c r="N2266" s="84" t="str">
        <x:f>IFERROR(VLOOKUP(L2266,'Reference Data'!$A$5:$F$40,3,FALSE),"Unknown")</x:f>
        <x:v>Fitness</x:v>
      </x:c>
      <x:c r="O2266" s="84" t="str">
        <x:f>IFERROR(VLOOKUP(L2266,'Reference Data'!$A$5:$F$40,4,FALSE),"Unknown")</x:f>
        <x:v>Strength</x:v>
      </x:c>
      <x:c r="P2266" s="92" t="n">
        <x:f>IFERROR(VLOOKUP(L2266,'Reference Data'!$A$5:$F$40,5,FALSE),0)</x:f>
        <x:v>99</x:v>
      </x:c>
      <x:c r="Q2266" s="92" t="n">
        <x:f>IFERROR(VLOOKUP(L2266,'Reference Data'!$A$5:$F$40,6,FALSE),0)</x:f>
        <x:v>57</x:v>
      </x:c>
      <x:c r="R2266" s="84" t="n">
        <x:f>'Raw Sales'!J2266</x:f>
        <x:v>1</x:v>
      </x:c>
      <x:c r="S2266" s="87" t="n">
        <x:f>'Raw Sales'!K2266</x:f>
        <x:v>0.2</x:v>
      </x:c>
      <x:c r="T2266" s="93" t="n">
        <x:f>P2266*R2266</x:f>
        <x:v>99</x:v>
      </x:c>
      <x:c r="U2266" s="93" t="n">
        <x:f>T2266*S2266</x:f>
        <x:v>19.8</x:v>
      </x:c>
      <x:c r="V2266" s="93" t="str">
        <x:f>PROPER(TRIM('Raw Sales'!L2266))</x:f>
        <x:v>Completed</x:v>
      </x:c>
      <x:c r="W2266" s="93" t="n">
        <x:f>IF(V2266="Returned",0,T2266-U2266)</x:f>
        <x:v>79.2</x:v>
      </x:c>
      <x:c r="X2266" s="93" t="n">
        <x:f>IF(V2266="Returned",Q2266*R2266*10%,Q2266*R2266)</x:f>
        <x:v>57</x:v>
      </x:c>
      <x:c r="Y2266" s="93" t="n">
        <x:f>W2266-X2266</x:f>
        <x:v>22.200000000000003</x:v>
      </x:c>
      <x:c r="Z2266" s="94" t="n">
        <x:f>IFERROR(Y2266/W2266,0)</x:f>
        <x:v>0.28030303030303033</x:v>
      </x:c>
      <x:c r="AA2266" s="84" t="str">
        <x:f>PROPER(TRIM('Raw Sales'!M2266))</x:f>
        <x:v>Mobile Wallet</x:v>
      </x:c>
      <x:c r="AB2266" s="84" t="str">
        <x:f>PROPER(TRIM('Raw Sales'!N2266))</x:f>
        <x:v>Mia Chen</x:v>
      </x:c>
      <x:c r="AC2266" s="85" t="n">
        <x:f>'Raw Sales'!O2266</x:f>
        <x:v>45997</x:v>
      </x:c>
      <x:c r="AD2266" s="84" t="n">
        <x:f>AC2266-B2266</x:f>
        <x:v>4</x:v>
      </x:c>
      <x:c r="AE2266" s="84" t="str">
        <x:f>IF(COUNTIF($A$5:A2266,A2266)&gt;1,"Duplicate","Keep")</x:f>
        <x:v>Keep</x:v>
      </x:c>
      <x:c r="AF2266" s="84" t="str">
        <x:f>IF(OR(R2266&lt;=0,AC2266&lt;B2266,H2266="Unknown",M2266="Unknown Product"),"Review","Valid")</x:f>
        <x:v>Valid</x:v>
      </x:c>
      <x:c r="AG2266" s="84" t="n">
        <x:f>IF(AND(AE2266="Keep",AF2266="Valid"),1,0)</x:f>
        <x:v>1</x:v>
      </x:c>
      <x:c r="AH2266" s="84" t="n">
        <x:f>IF(AND(AG2266=1,OR('Dashboard'!$B$4="All",I2266='Dashboard'!$B$4),OR('Dashboard'!$E$4="All",N2266='Dashboard'!$E$4),OR('Dashboard'!$H$4="All",K2266='Dashboard'!$H$4),OR('Dashboard'!$K$4="All",C2266='Dashboard'!$K$4)),1,0)</x:f>
        <x:v>1</x:v>
      </x:c>
      <x:c r="AI2266" s="84" t="n">
        <x:f>IF(AND(AG2266=1,OR('Dashboard'!$B$4="All",I2266='Dashboard'!$B$4),OR('Dashboard'!$E$4="All",N2266='Dashboard'!$E$4),OR('Dashboard'!$H$4="All",K2266='Dashboard'!$H$4)),1,0)</x:f>
        <x:v>1</x:v>
      </x:c>
    </x:row>
    <x:row r="2267">
      <x:c r="A2267" s="84" t="str">
        <x:f>'Raw Sales'!A2267</x:f>
        <x:v>ORD-2025-02137</x:v>
      </x:c>
      <x:c r="B2267" s="85" t="n">
        <x:f>'Raw Sales'!B2267</x:f>
        <x:v>45993</x:v>
      </x:c>
      <x:c r="C2267" s="84" t="n">
        <x:f>YEAR(B2267)</x:f>
        <x:v>2025</x:v>
      </x:c>
      <x:c r="D2267" s="91" t="n">
        <x:f>DATE(YEAR(B2267),MONTH(B2267),1)</x:f>
        <x:v>45992</x:v>
      </x:c>
      <x:c r="E2267" s="84" t="str">
        <x:f>TEXT(B2267,"mmm")</x:f>
        <x:v>Dec</x:v>
      </x:c>
      <x:c r="F2267" s="84" t="str">
        <x:f>'Raw Sales'!C2267</x:f>
        <x:v>CUST-0609</x:v>
      </x:c>
      <x:c r="G2267" s="84" t="str">
        <x:f>PROPER(TRIM('Raw Sales'!D2267))</x:f>
        <x:v>Sara Lewis</x:v>
      </x:c>
      <x:c r="H2267" s="84" t="str">
        <x:f>IF(TRIM('Raw Sales'!E2267)="","Unknown",PROPER(TRIM('Raw Sales'!E2267)))</x:f>
        <x:v>Consumer</x:v>
      </x:c>
      <x:c r="I2267" s="84" t="str">
        <x:f>PROPER(TRIM('Raw Sales'!F2267))</x:f>
        <x:v>Southeast</x:v>
      </x:c>
      <x:c r="J2267" s="84" t="str">
        <x:f>PROPER(TRIM('Raw Sales'!G2267))</x:f>
        <x:v>Miami</x:v>
      </x:c>
      <x:c r="K2267" s="84" t="str">
        <x:f>PROPER(TRIM('Raw Sales'!H2267))</x:f>
        <x:v>Online</x:v>
      </x:c>
      <x:c r="L2267" s="84" t="str">
        <x:f>'Raw Sales'!I2267</x:f>
        <x:v>ELEC-001</x:v>
      </x:c>
      <x:c r="M2267" s="84" t="str">
        <x:f>IFERROR(VLOOKUP(L2267,'Reference Data'!$A$5:$F$40,2,FALSE),"Unknown Product")</x:f>
        <x:v>Wireless Earbuds</x:v>
      </x:c>
      <x:c r="N2267" s="84" t="str">
        <x:f>IFERROR(VLOOKUP(L2267,'Reference Data'!$A$5:$F$40,3,FALSE),"Unknown")</x:f>
        <x:v>Electronics</x:v>
      </x:c>
      <x:c r="O2267" s="84" t="str">
        <x:f>IFERROR(VLOOKUP(L2267,'Reference Data'!$A$5:$F$40,4,FALSE),"Unknown")</x:f>
        <x:v>Audio</x:v>
      </x:c>
      <x:c r="P2267" s="92" t="n">
        <x:f>IFERROR(VLOOKUP(L2267,'Reference Data'!$A$5:$F$40,5,FALSE),0)</x:f>
        <x:v>69</x:v>
      </x:c>
      <x:c r="Q2267" s="92" t="n">
        <x:f>IFERROR(VLOOKUP(L2267,'Reference Data'!$A$5:$F$40,6,FALSE),0)</x:f>
        <x:v>36</x:v>
      </x:c>
      <x:c r="R2267" s="84" t="n">
        <x:f>'Raw Sales'!J2267</x:f>
        <x:v>1</x:v>
      </x:c>
      <x:c r="S2267" s="87" t="n">
        <x:f>'Raw Sales'!K2267</x:f>
        <x:v>0.1</x:v>
      </x:c>
      <x:c r="T2267" s="93" t="n">
        <x:f>P2267*R2267</x:f>
        <x:v>69</x:v>
      </x:c>
      <x:c r="U2267" s="93" t="n">
        <x:f>T2267*S2267</x:f>
        <x:v>6.9</x:v>
      </x:c>
      <x:c r="V2267" s="93" t="str">
        <x:f>PROPER(TRIM('Raw Sales'!L2267))</x:f>
        <x:v>Completed</x:v>
      </x:c>
      <x:c r="W2267" s="93" t="n">
        <x:f>IF(V2267="Returned",0,T2267-U2267)</x:f>
        <x:v>62.1</x:v>
      </x:c>
      <x:c r="X2267" s="93" t="n">
        <x:f>IF(V2267="Returned",Q2267*R2267*10%,Q2267*R2267)</x:f>
        <x:v>36</x:v>
      </x:c>
      <x:c r="Y2267" s="93" t="n">
        <x:f>W2267-X2267</x:f>
        <x:v>26.1</x:v>
      </x:c>
      <x:c r="Z2267" s="94" t="n">
        <x:f>IFERROR(Y2267/W2267,0)</x:f>
        <x:v>0.4202898550724638</x:v>
      </x:c>
      <x:c r="AA2267" s="84" t="str">
        <x:f>PROPER(TRIM('Raw Sales'!M2267))</x:f>
        <x:v>Paypal</x:v>
      </x:c>
      <x:c r="AB2267" s="84" t="str">
        <x:f>PROPER(TRIM('Raw Sales'!N2267))</x:f>
        <x:v>Liam Parker</x:v>
      </x:c>
      <x:c r="AC2267" s="85" t="n">
        <x:f>'Raw Sales'!O2267</x:f>
        <x:v>45999</x:v>
      </x:c>
      <x:c r="AD2267" s="84" t="n">
        <x:f>AC2267-B2267</x:f>
        <x:v>6</x:v>
      </x:c>
      <x:c r="AE2267" s="84" t="str">
        <x:f>IF(COUNTIF($A$5:A2267,A2267)&gt;1,"Duplicate","Keep")</x:f>
        <x:v>Keep</x:v>
      </x:c>
      <x:c r="AF2267" s="84" t="str">
        <x:f>IF(OR(R2267&lt;=0,AC2267&lt;B2267,H2267="Unknown",M2267="Unknown Product"),"Review","Valid")</x:f>
        <x:v>Valid</x:v>
      </x:c>
      <x:c r="AG2267" s="84" t="n">
        <x:f>IF(AND(AE2267="Keep",AF2267="Valid"),1,0)</x:f>
        <x:v>1</x:v>
      </x:c>
      <x:c r="AH2267" s="84" t="n">
        <x:f>IF(AND(AG2267=1,OR('Dashboard'!$B$4="All",I2267='Dashboard'!$B$4),OR('Dashboard'!$E$4="All",N2267='Dashboard'!$E$4),OR('Dashboard'!$H$4="All",K2267='Dashboard'!$H$4),OR('Dashboard'!$K$4="All",C2267='Dashboard'!$K$4)),1,0)</x:f>
        <x:v>1</x:v>
      </x:c>
      <x:c r="AI2267" s="84" t="n">
        <x:f>IF(AND(AG2267=1,OR('Dashboard'!$B$4="All",I2267='Dashboard'!$B$4),OR('Dashboard'!$E$4="All",N2267='Dashboard'!$E$4),OR('Dashboard'!$H$4="All",K2267='Dashboard'!$H$4)),1,0)</x:f>
        <x:v>1</x:v>
      </x:c>
    </x:row>
    <x:row r="2268">
      <x:c r="A2268" s="84" t="str">
        <x:f>'Raw Sales'!A2268</x:f>
        <x:v>ORD-2025-02325</x:v>
      </x:c>
      <x:c r="B2268" s="85" t="n">
        <x:f>'Raw Sales'!B2268</x:f>
        <x:v>45993</x:v>
      </x:c>
      <x:c r="C2268" s="84" t="n">
        <x:f>YEAR(B2268)</x:f>
        <x:v>2025</x:v>
      </x:c>
      <x:c r="D2268" s="91" t="n">
        <x:f>DATE(YEAR(B2268),MONTH(B2268),1)</x:f>
        <x:v>45992</x:v>
      </x:c>
      <x:c r="E2268" s="84" t="str">
        <x:f>TEXT(B2268,"mmm")</x:f>
        <x:v>Dec</x:v>
      </x:c>
      <x:c r="F2268" s="84" t="str">
        <x:f>'Raw Sales'!C2268</x:f>
        <x:v>CUST-0488</x:v>
      </x:c>
      <x:c r="G2268" s="84" t="str">
        <x:f>PROPER(TRIM('Raw Sales'!D2268))</x:f>
        <x:v>Nathan Moore</x:v>
      </x:c>
      <x:c r="H2268" s="84" t="str">
        <x:f>IF(TRIM('Raw Sales'!E2268)="","Unknown",PROPER(TRIM('Raw Sales'!E2268)))</x:f>
        <x:v>Consumer</x:v>
      </x:c>
      <x:c r="I2268" s="84" t="str">
        <x:f>PROPER(TRIM('Raw Sales'!F2268))</x:f>
        <x:v>Northeast</x:v>
      </x:c>
      <x:c r="J2268" s="84" t="str">
        <x:f>PROPER(TRIM('Raw Sales'!G2268))</x:f>
        <x:v>New York</x:v>
      </x:c>
      <x:c r="K2268" s="84" t="str">
        <x:f>PROPER(TRIM('Raw Sales'!H2268))</x:f>
        <x:v>Marketplace</x:v>
      </x:c>
      <x:c r="L2268" s="84" t="str">
        <x:f>'Raw Sales'!I2268</x:f>
        <x:v>ELEC-005</x:v>
      </x:c>
      <x:c r="M2268" s="84" t="str">
        <x:f>IFERROR(VLOOKUP(L2268,'Reference Data'!$A$5:$F$40,2,FALSE),"Unknown Product")</x:f>
        <x:v>HD Webcam</x:v>
      </x:c>
      <x:c r="N2268" s="84" t="str">
        <x:f>IFERROR(VLOOKUP(L2268,'Reference Data'!$A$5:$F$40,3,FALSE),"Unknown")</x:f>
        <x:v>Electronics</x:v>
      </x:c>
      <x:c r="O2268" s="84" t="str">
        <x:f>IFERROR(VLOOKUP(L2268,'Reference Data'!$A$5:$F$40,4,FALSE),"Unknown")</x:f>
        <x:v>Computer Accessories</x:v>
      </x:c>
      <x:c r="P2268" s="92" t="n">
        <x:f>IFERROR(VLOOKUP(L2268,'Reference Data'!$A$5:$F$40,5,FALSE),0)</x:f>
        <x:v>79</x:v>
      </x:c>
      <x:c r="Q2268" s="92" t="n">
        <x:f>IFERROR(VLOOKUP(L2268,'Reference Data'!$A$5:$F$40,6,FALSE),0)</x:f>
        <x:v>37</x:v>
      </x:c>
      <x:c r="R2268" s="84" t="n">
        <x:f>'Raw Sales'!J2268</x:f>
        <x:v>1</x:v>
      </x:c>
      <x:c r="S2268" s="87" t="n">
        <x:f>'Raw Sales'!K2268</x:f>
        <x:v>0.05</x:v>
      </x:c>
      <x:c r="T2268" s="93" t="n">
        <x:f>P2268*R2268</x:f>
        <x:v>79</x:v>
      </x:c>
      <x:c r="U2268" s="93" t="n">
        <x:f>T2268*S2268</x:f>
        <x:v>3.95</x:v>
      </x:c>
      <x:c r="V2268" s="93" t="str">
        <x:f>PROPER(TRIM('Raw Sales'!L2268))</x:f>
        <x:v>Returned</x:v>
      </x:c>
      <x:c r="W2268" s="93" t="n">
        <x:f>IF(V2268="Returned",0,T2268-U2268)</x:f>
        <x:v>0</x:v>
      </x:c>
      <x:c r="X2268" s="93" t="n">
        <x:f>IF(V2268="Returned",Q2268*R2268*10%,Q2268*R2268)</x:f>
        <x:v>3.7</x:v>
      </x:c>
      <x:c r="Y2268" s="93" t="n">
        <x:f>W2268-X2268</x:f>
        <x:v>-3.7</x:v>
      </x:c>
      <x:c r="Z2268" s="94" t="n">
        <x:f>IFERROR(Y2268/W2268,0)</x:f>
        <x:v>0</x:v>
      </x:c>
      <x:c r="AA2268" s="84" t="str">
        <x:f>PROPER(TRIM('Raw Sales'!M2268))</x:f>
        <x:v>Paypal</x:v>
      </x:c>
      <x:c r="AB2268" s="84" t="str">
        <x:f>PROPER(TRIM('Raw Sales'!N2268))</x:f>
        <x:v>Maya Brooks</x:v>
      </x:c>
      <x:c r="AC2268" s="85" t="n">
        <x:f>'Raw Sales'!O2268</x:f>
        <x:v>45999</x:v>
      </x:c>
      <x:c r="AD2268" s="84" t="n">
        <x:f>AC2268-B2268</x:f>
        <x:v>6</x:v>
      </x:c>
      <x:c r="AE2268" s="84" t="str">
        <x:f>IF(COUNTIF($A$5:A2268,A2268)&gt;1,"Duplicate","Keep")</x:f>
        <x:v>Keep</x:v>
      </x:c>
      <x:c r="AF2268" s="84" t="str">
        <x:f>IF(OR(R2268&lt;=0,AC2268&lt;B2268,H2268="Unknown",M2268="Unknown Product"),"Review","Valid")</x:f>
        <x:v>Valid</x:v>
      </x:c>
      <x:c r="AG2268" s="84" t="n">
        <x:f>IF(AND(AE2268="Keep",AF2268="Valid"),1,0)</x:f>
        <x:v>1</x:v>
      </x:c>
      <x:c r="AH2268" s="84" t="n">
        <x:f>IF(AND(AG2268=1,OR('Dashboard'!$B$4="All",I2268='Dashboard'!$B$4),OR('Dashboard'!$E$4="All",N2268='Dashboard'!$E$4),OR('Dashboard'!$H$4="All",K2268='Dashboard'!$H$4),OR('Dashboard'!$K$4="All",C2268='Dashboard'!$K$4)),1,0)</x:f>
        <x:v>1</x:v>
      </x:c>
      <x:c r="AI2268" s="84" t="n">
        <x:f>IF(AND(AG2268=1,OR('Dashboard'!$B$4="All",I2268='Dashboard'!$B$4),OR('Dashboard'!$E$4="All",N2268='Dashboard'!$E$4),OR('Dashboard'!$H$4="All",K2268='Dashboard'!$H$4)),1,0)</x:f>
        <x:v>1</x:v>
      </x:c>
    </x:row>
    <x:row r="2269">
      <x:c r="A2269" s="84" t="str">
        <x:f>'Raw Sales'!A2269</x:f>
        <x:v>ORD-2025-00277</x:v>
      </x:c>
      <x:c r="B2269" s="85" t="n">
        <x:f>'Raw Sales'!B2269</x:f>
        <x:v>45994</x:v>
      </x:c>
      <x:c r="C2269" s="84" t="n">
        <x:f>YEAR(B2269)</x:f>
        <x:v>2025</x:v>
      </x:c>
      <x:c r="D2269" s="91" t="n">
        <x:f>DATE(YEAR(B2269),MONTH(B2269),1)</x:f>
        <x:v>45992</x:v>
      </x:c>
      <x:c r="E2269" s="84" t="str">
        <x:f>TEXT(B2269,"mmm")</x:f>
        <x:v>Dec</x:v>
      </x:c>
      <x:c r="F2269" s="84" t="str">
        <x:f>'Raw Sales'!C2269</x:f>
        <x:v>CUST-0335</x:v>
      </x:c>
      <x:c r="G2269" s="84" t="str">
        <x:f>PROPER(TRIM('Raw Sales'!D2269))</x:f>
        <x:v>Elias Roberts</x:v>
      </x:c>
      <x:c r="H2269" s="84" t="str">
        <x:f>IF(TRIM('Raw Sales'!E2269)="","Unknown",PROPER(TRIM('Raw Sales'!E2269)))</x:f>
        <x:v>Consumer</x:v>
      </x:c>
      <x:c r="I2269" s="84" t="str">
        <x:f>PROPER(TRIM('Raw Sales'!F2269))</x:f>
        <x:v>West</x:v>
      </x:c>
      <x:c r="J2269" s="84" t="str">
        <x:f>PROPER(TRIM('Raw Sales'!G2269))</x:f>
        <x:v>Los Angeles</x:v>
      </x:c>
      <x:c r="K2269" s="84" t="str">
        <x:f>PROPER(TRIM('Raw Sales'!H2269))</x:f>
        <x:v>Retail Store</x:v>
      </x:c>
      <x:c r="L2269" s="84" t="str">
        <x:f>'Raw Sales'!I2269</x:f>
        <x:v>ELEC-001</x:v>
      </x:c>
      <x:c r="M2269" s="84" t="str">
        <x:f>IFERROR(VLOOKUP(L2269,'Reference Data'!$A$5:$F$40,2,FALSE),"Unknown Product")</x:f>
        <x:v>Wireless Earbuds</x:v>
      </x:c>
      <x:c r="N2269" s="84" t="str">
        <x:f>IFERROR(VLOOKUP(L2269,'Reference Data'!$A$5:$F$40,3,FALSE),"Unknown")</x:f>
        <x:v>Electronics</x:v>
      </x:c>
      <x:c r="O2269" s="84" t="str">
        <x:f>IFERROR(VLOOKUP(L2269,'Reference Data'!$A$5:$F$40,4,FALSE),"Unknown")</x:f>
        <x:v>Audio</x:v>
      </x:c>
      <x:c r="P2269" s="92" t="n">
        <x:f>IFERROR(VLOOKUP(L2269,'Reference Data'!$A$5:$F$40,5,FALSE),0)</x:f>
        <x:v>69</x:v>
      </x:c>
      <x:c r="Q2269" s="92" t="n">
        <x:f>IFERROR(VLOOKUP(L2269,'Reference Data'!$A$5:$F$40,6,FALSE),0)</x:f>
        <x:v>36</x:v>
      </x:c>
      <x:c r="R2269" s="84" t="n">
        <x:f>'Raw Sales'!J2269</x:f>
        <x:v>1</x:v>
      </x:c>
      <x:c r="S2269" s="87" t="n">
        <x:f>'Raw Sales'!K2269</x:f>
        <x:v>0.15</x:v>
      </x:c>
      <x:c r="T2269" s="93" t="n">
        <x:f>P2269*R2269</x:f>
        <x:v>69</x:v>
      </x:c>
      <x:c r="U2269" s="93" t="n">
        <x:f>T2269*S2269</x:f>
        <x:v>10.35</x:v>
      </x:c>
      <x:c r="V2269" s="93" t="str">
        <x:f>PROPER(TRIM('Raw Sales'!L2269))</x:f>
        <x:v>Completed</x:v>
      </x:c>
      <x:c r="W2269" s="93" t="n">
        <x:f>IF(V2269="Returned",0,T2269-U2269)</x:f>
        <x:v>58.65</x:v>
      </x:c>
      <x:c r="X2269" s="93" t="n">
        <x:f>IF(V2269="Returned",Q2269*R2269*10%,Q2269*R2269)</x:f>
        <x:v>36</x:v>
      </x:c>
      <x:c r="Y2269" s="93" t="n">
        <x:f>W2269-X2269</x:f>
        <x:v>22.65</x:v>
      </x:c>
      <x:c r="Z2269" s="94" t="n">
        <x:f>IFERROR(Y2269/W2269,0)</x:f>
        <x:v>0.38618925831202044</x:v>
      </x:c>
      <x:c r="AA2269" s="84" t="str">
        <x:f>PROPER(TRIM('Raw Sales'!M2269))</x:f>
        <x:v>Debit Card</x:v>
      </x:c>
      <x:c r="AB2269" s="84" t="str">
        <x:f>PROPER(TRIM('Raw Sales'!N2269))</x:f>
        <x:v>Nora Kim</x:v>
      </x:c>
      <x:c r="AC2269" s="85" t="n">
        <x:f>'Raw Sales'!O2269</x:f>
        <x:v>45994</x:v>
      </x:c>
      <x:c r="AD2269" s="84" t="n">
        <x:f>AC2269-B2269</x:f>
        <x:v>0</x:v>
      </x:c>
      <x:c r="AE2269" s="84" t="str">
        <x:f>IF(COUNTIF($A$5:A2269,A2269)&gt;1,"Duplicate","Keep")</x:f>
        <x:v>Keep</x:v>
      </x:c>
      <x:c r="AF2269" s="84" t="str">
        <x:f>IF(OR(R2269&lt;=0,AC2269&lt;B2269,H2269="Unknown",M2269="Unknown Product"),"Review","Valid")</x:f>
        <x:v>Valid</x:v>
      </x:c>
      <x:c r="AG2269" s="84" t="n">
        <x:f>IF(AND(AE2269="Keep",AF2269="Valid"),1,0)</x:f>
        <x:v>1</x:v>
      </x:c>
      <x:c r="AH2269" s="84" t="n">
        <x:f>IF(AND(AG2269=1,OR('Dashboard'!$B$4="All",I2269='Dashboard'!$B$4),OR('Dashboard'!$E$4="All",N2269='Dashboard'!$E$4),OR('Dashboard'!$H$4="All",K2269='Dashboard'!$H$4),OR('Dashboard'!$K$4="All",C2269='Dashboard'!$K$4)),1,0)</x:f>
        <x:v>1</x:v>
      </x:c>
      <x:c r="AI2269" s="84" t="n">
        <x:f>IF(AND(AG2269=1,OR('Dashboard'!$B$4="All",I2269='Dashboard'!$B$4),OR('Dashboard'!$E$4="All",N2269='Dashboard'!$E$4),OR('Dashboard'!$H$4="All",K2269='Dashboard'!$H$4)),1,0)</x:f>
        <x:v>1</x:v>
      </x:c>
    </x:row>
    <x:row r="2270">
      <x:c r="A2270" s="84" t="str">
        <x:f>'Raw Sales'!A2270</x:f>
        <x:v>ORD-2025-00492</x:v>
      </x:c>
      <x:c r="B2270" s="85" t="n">
        <x:f>'Raw Sales'!B2270</x:f>
        <x:v>45994</x:v>
      </x:c>
      <x:c r="C2270" s="84" t="n">
        <x:f>YEAR(B2270)</x:f>
        <x:v>2025</x:v>
      </x:c>
      <x:c r="D2270" s="91" t="n">
        <x:f>DATE(YEAR(B2270),MONTH(B2270),1)</x:f>
        <x:v>45992</x:v>
      </x:c>
      <x:c r="E2270" s="84" t="str">
        <x:f>TEXT(B2270,"mmm")</x:f>
        <x:v>Dec</x:v>
      </x:c>
      <x:c r="F2270" s="84" t="str">
        <x:f>'Raw Sales'!C2270</x:f>
        <x:v>CUST-0098</x:v>
      </x:c>
      <x:c r="G2270" s="84" t="str">
        <x:f>PROPER(TRIM('Raw Sales'!D2270))</x:f>
        <x:v>Sara Irwin</x:v>
      </x:c>
      <x:c r="H2270" s="84" t="str">
        <x:f>IF(TRIM('Raw Sales'!E2270)="","Unknown",PROPER(TRIM('Raw Sales'!E2270)))</x:f>
        <x:v>Small Business</x:v>
      </x:c>
      <x:c r="I2270" s="84" t="str">
        <x:f>PROPER(TRIM('Raw Sales'!F2270))</x:f>
        <x:v>Southeast</x:v>
      </x:c>
      <x:c r="J2270" s="84" t="str">
        <x:f>PROPER(TRIM('Raw Sales'!G2270))</x:f>
        <x:v>Nashville</x:v>
      </x:c>
      <x:c r="K2270" s="84" t="str">
        <x:f>PROPER(TRIM('Raw Sales'!H2270))</x:f>
        <x:v>Retail Store</x:v>
      </x:c>
      <x:c r="L2270" s="84" t="str">
        <x:f>'Raw Sales'!I2270</x:f>
        <x:v>OFFC-003</x:v>
      </x:c>
      <x:c r="M2270" s="84" t="str">
        <x:f>IFERROR(VLOOKUP(L2270,'Reference Data'!$A$5:$F$40,2,FALSE),"Unknown Product")</x:f>
        <x:v>LED Desk Lamp</x:v>
      </x:c>
      <x:c r="N2270" s="84" t="str">
        <x:f>IFERROR(VLOOKUP(L2270,'Reference Data'!$A$5:$F$40,3,FALSE),"Unknown")</x:f>
        <x:v>Office</x:v>
      </x:c>
      <x:c r="O2270" s="84" t="str">
        <x:f>IFERROR(VLOOKUP(L2270,'Reference Data'!$A$5:$F$40,4,FALSE),"Unknown")</x:f>
        <x:v>Desk Accessories</x:v>
      </x:c>
      <x:c r="P2270" s="92" t="n">
        <x:f>IFERROR(VLOOKUP(L2270,'Reference Data'!$A$5:$F$40,5,FALSE),0)</x:f>
        <x:v>45</x:v>
      </x:c>
      <x:c r="Q2270" s="92" t="n">
        <x:f>IFERROR(VLOOKUP(L2270,'Reference Data'!$A$5:$F$40,6,FALSE),0)</x:f>
        <x:v>20</x:v>
      </x:c>
      <x:c r="R2270" s="84" t="n">
        <x:f>'Raw Sales'!J2270</x:f>
        <x:v>1</x:v>
      </x:c>
      <x:c r="S2270" s="87" t="n">
        <x:f>'Raw Sales'!K2270</x:f>
        <x:v>0.15</x:v>
      </x:c>
      <x:c r="T2270" s="93" t="n">
        <x:f>P2270*R2270</x:f>
        <x:v>45</x:v>
      </x:c>
      <x:c r="U2270" s="93" t="n">
        <x:f>T2270*S2270</x:f>
        <x:v>6.75</x:v>
      </x:c>
      <x:c r="V2270" s="93" t="str">
        <x:f>PROPER(TRIM('Raw Sales'!L2270))</x:f>
        <x:v>Completed</x:v>
      </x:c>
      <x:c r="W2270" s="93" t="n">
        <x:f>IF(V2270="Returned",0,T2270-U2270)</x:f>
        <x:v>38.25</x:v>
      </x:c>
      <x:c r="X2270" s="93" t="n">
        <x:f>IF(V2270="Returned",Q2270*R2270*10%,Q2270*R2270)</x:f>
        <x:v>20</x:v>
      </x:c>
      <x:c r="Y2270" s="93" t="n">
        <x:f>W2270-X2270</x:f>
        <x:v>18.25</x:v>
      </x:c>
      <x:c r="Z2270" s="94" t="n">
        <x:f>IFERROR(Y2270/W2270,0)</x:f>
        <x:v>0.477124183006536</x:v>
      </x:c>
      <x:c r="AA2270" s="84" t="str">
        <x:f>PROPER(TRIM('Raw Sales'!M2270))</x:f>
        <x:v>Credit Card</x:v>
      </x:c>
      <x:c r="AB2270" s="84" t="str">
        <x:f>PROPER(TRIM('Raw Sales'!N2270))</x:f>
        <x:v>Liam Parker</x:v>
      </x:c>
      <x:c r="AC2270" s="85" t="n">
        <x:f>'Raw Sales'!O2270</x:f>
        <x:v>45994</x:v>
      </x:c>
      <x:c r="AD2270" s="84" t="n">
        <x:f>AC2270-B2270</x:f>
        <x:v>0</x:v>
      </x:c>
      <x:c r="AE2270" s="84" t="str">
        <x:f>IF(COUNTIF($A$5:A2270,A2270)&gt;1,"Duplicate","Keep")</x:f>
        <x:v>Keep</x:v>
      </x:c>
      <x:c r="AF2270" s="84" t="str">
        <x:f>IF(OR(R2270&lt;=0,AC2270&lt;B2270,H2270="Unknown",M2270="Unknown Product"),"Review","Valid")</x:f>
        <x:v>Valid</x:v>
      </x:c>
      <x:c r="AG2270" s="84" t="n">
        <x:f>IF(AND(AE2270="Keep",AF2270="Valid"),1,0)</x:f>
        <x:v>1</x:v>
      </x:c>
      <x:c r="AH2270" s="84" t="n">
        <x:f>IF(AND(AG2270=1,OR('Dashboard'!$B$4="All",I2270='Dashboard'!$B$4),OR('Dashboard'!$E$4="All",N2270='Dashboard'!$E$4),OR('Dashboard'!$H$4="All",K2270='Dashboard'!$H$4),OR('Dashboard'!$K$4="All",C2270='Dashboard'!$K$4)),1,0)</x:f>
        <x:v>1</x:v>
      </x:c>
      <x:c r="AI2270" s="84" t="n">
        <x:f>IF(AND(AG2270=1,OR('Dashboard'!$B$4="All",I2270='Dashboard'!$B$4),OR('Dashboard'!$E$4="All",N2270='Dashboard'!$E$4),OR('Dashboard'!$H$4="All",K2270='Dashboard'!$H$4)),1,0)</x:f>
        <x:v>1</x:v>
      </x:c>
    </x:row>
    <x:row r="2271">
      <x:c r="A2271" s="84" t="str">
        <x:f>'Raw Sales'!A2271</x:f>
        <x:v>ORD-2025-00495</x:v>
      </x:c>
      <x:c r="B2271" s="85" t="n">
        <x:f>'Raw Sales'!B2271</x:f>
        <x:v>45994</x:v>
      </x:c>
      <x:c r="C2271" s="84" t="n">
        <x:f>YEAR(B2271)</x:f>
        <x:v>2025</x:v>
      </x:c>
      <x:c r="D2271" s="91" t="n">
        <x:f>DATE(YEAR(B2271),MONTH(B2271),1)</x:f>
        <x:v>45992</x:v>
      </x:c>
      <x:c r="E2271" s="84" t="str">
        <x:f>TEXT(B2271,"mmm")</x:f>
        <x:v>Dec</x:v>
      </x:c>
      <x:c r="F2271" s="84" t="str">
        <x:f>'Raw Sales'!C2271</x:f>
        <x:v>CUST-0511</x:v>
      </x:c>
      <x:c r="G2271" s="84" t="str">
        <x:f>PROPER(TRIM('Raw Sales'!D2271))</x:f>
        <x:v>Marcus Walker</x:v>
      </x:c>
      <x:c r="H2271" s="84" t="str">
        <x:f>IF(TRIM('Raw Sales'!E2271)="","Unknown",PROPER(TRIM('Raw Sales'!E2271)))</x:f>
        <x:v>Corporate</x:v>
      </x:c>
      <x:c r="I2271" s="84" t="str">
        <x:f>PROPER(TRIM('Raw Sales'!F2271))</x:f>
        <x:v>Northeast</x:v>
      </x:c>
      <x:c r="J2271" s="84" t="str">
        <x:f>PROPER(TRIM('Raw Sales'!G2271))</x:f>
        <x:v>Newark</x:v>
      </x:c>
      <x:c r="K2271" s="84" t="str">
        <x:f>PROPER(TRIM('Raw Sales'!H2271))</x:f>
        <x:v>Retail Store</x:v>
      </x:c>
      <x:c r="L2271" s="84" t="str">
        <x:f>'Raw Sales'!I2271</x:f>
        <x:v>HOME-001</x:v>
      </x:c>
      <x:c r="M2271" s="84" t="str">
        <x:f>IFERROR(VLOOKUP(L2271,'Reference Data'!$A$5:$F$40,2,FALSE),"Unknown Product")</x:f>
        <x:v>Air Fryer</x:v>
      </x:c>
      <x:c r="N2271" s="84" t="str">
        <x:f>IFERROR(VLOOKUP(L2271,'Reference Data'!$A$5:$F$40,3,FALSE),"Unknown")</x:f>
        <x:v>Home &amp; Kitchen</x:v>
      </x:c>
      <x:c r="O2271" s="84" t="str">
        <x:f>IFERROR(VLOOKUP(L2271,'Reference Data'!$A$5:$F$40,4,FALSE),"Unknown")</x:f>
        <x:v>Small Appliances</x:v>
      </x:c>
      <x:c r="P2271" s="92" t="n">
        <x:f>IFERROR(VLOOKUP(L2271,'Reference Data'!$A$5:$F$40,5,FALSE),0)</x:f>
        <x:v>119</x:v>
      </x:c>
      <x:c r="Q2271" s="92" t="n">
        <x:f>IFERROR(VLOOKUP(L2271,'Reference Data'!$A$5:$F$40,6,FALSE),0)</x:f>
        <x:v>68</x:v>
      </x:c>
      <x:c r="R2271" s="84" t="n">
        <x:f>'Raw Sales'!J2271</x:f>
        <x:v>4</x:v>
      </x:c>
      <x:c r="S2271" s="87" t="n">
        <x:f>'Raw Sales'!K2271</x:f>
        <x:v>0.2</x:v>
      </x:c>
      <x:c r="T2271" s="93" t="n">
        <x:f>P2271*R2271</x:f>
        <x:v>476</x:v>
      </x:c>
      <x:c r="U2271" s="93" t="n">
        <x:f>T2271*S2271</x:f>
        <x:v>95.2</x:v>
      </x:c>
      <x:c r="V2271" s="93" t="str">
        <x:f>PROPER(TRIM('Raw Sales'!L2271))</x:f>
        <x:v>Completed</x:v>
      </x:c>
      <x:c r="W2271" s="93" t="n">
        <x:f>IF(V2271="Returned",0,T2271-U2271)</x:f>
        <x:v>380.8</x:v>
      </x:c>
      <x:c r="X2271" s="93" t="n">
        <x:f>IF(V2271="Returned",Q2271*R2271*10%,Q2271*R2271)</x:f>
        <x:v>272</x:v>
      </x:c>
      <x:c r="Y2271" s="93" t="n">
        <x:f>W2271-X2271</x:f>
        <x:v>108.80000000000001</x:v>
      </x:c>
      <x:c r="Z2271" s="94" t="n">
        <x:f>IFERROR(Y2271/W2271,0)</x:f>
        <x:v>0.28571428571428575</x:v>
      </x:c>
      <x:c r="AA2271" s="84" t="str">
        <x:f>PROPER(TRIM('Raw Sales'!M2271))</x:f>
        <x:v>Debit Card</x:v>
      </x:c>
      <x:c r="AB2271" s="84" t="str">
        <x:f>PROPER(TRIM('Raw Sales'!N2271))</x:f>
        <x:v>Maya Brooks</x:v>
      </x:c>
      <x:c r="AC2271" s="85" t="n">
        <x:f>'Raw Sales'!O2271</x:f>
        <x:v>45994</x:v>
      </x:c>
      <x:c r="AD2271" s="84" t="n">
        <x:f>AC2271-B2271</x:f>
        <x:v>0</x:v>
      </x:c>
      <x:c r="AE2271" s="84" t="str">
        <x:f>IF(COUNTIF($A$5:A2271,A2271)&gt;1,"Duplicate","Keep")</x:f>
        <x:v>Keep</x:v>
      </x:c>
      <x:c r="AF2271" s="84" t="str">
        <x:f>IF(OR(R2271&lt;=0,AC2271&lt;B2271,H2271="Unknown",M2271="Unknown Product"),"Review","Valid")</x:f>
        <x:v>Valid</x:v>
      </x:c>
      <x:c r="AG2271" s="84" t="n">
        <x:f>IF(AND(AE2271="Keep",AF2271="Valid"),1,0)</x:f>
        <x:v>1</x:v>
      </x:c>
      <x:c r="AH2271" s="84" t="n">
        <x:f>IF(AND(AG2271=1,OR('Dashboard'!$B$4="All",I2271='Dashboard'!$B$4),OR('Dashboard'!$E$4="All",N2271='Dashboard'!$E$4),OR('Dashboard'!$H$4="All",K2271='Dashboard'!$H$4),OR('Dashboard'!$K$4="All",C2271='Dashboard'!$K$4)),1,0)</x:f>
        <x:v>1</x:v>
      </x:c>
      <x:c r="AI2271" s="84" t="n">
        <x:f>IF(AND(AG2271=1,OR('Dashboard'!$B$4="All",I2271='Dashboard'!$B$4),OR('Dashboard'!$E$4="All",N2271='Dashboard'!$E$4),OR('Dashboard'!$H$4="All",K2271='Dashboard'!$H$4)),1,0)</x:f>
        <x:v>1</x:v>
      </x:c>
    </x:row>
    <x:row r="2272">
      <x:c r="A2272" s="84" t="str">
        <x:f>'Raw Sales'!A2272</x:f>
        <x:v>ORD-2025-00739</x:v>
      </x:c>
      <x:c r="B2272" s="85" t="n">
        <x:f>'Raw Sales'!B2272</x:f>
        <x:v>45994</x:v>
      </x:c>
      <x:c r="C2272" s="84" t="n">
        <x:f>YEAR(B2272)</x:f>
        <x:v>2025</x:v>
      </x:c>
      <x:c r="D2272" s="91" t="n">
        <x:f>DATE(YEAR(B2272),MONTH(B2272),1)</x:f>
        <x:v>45992</x:v>
      </x:c>
      <x:c r="E2272" s="84" t="str">
        <x:f>TEXT(B2272,"mmm")</x:f>
        <x:v>Dec</x:v>
      </x:c>
      <x:c r="F2272" s="84" t="str">
        <x:f>'Raw Sales'!C2272</x:f>
        <x:v>CUST-0205</x:v>
      </x:c>
      <x:c r="G2272" s="84" t="str">
        <x:f>PROPER(TRIM('Raw Sales'!D2272))</x:f>
        <x:v>Elena Young</x:v>
      </x:c>
      <x:c r="H2272" s="84" t="str">
        <x:f>IF(TRIM('Raw Sales'!E2272)="","Unknown",PROPER(TRIM('Raw Sales'!E2272)))</x:f>
        <x:v>Corporate</x:v>
      </x:c>
      <x:c r="I2272" s="84" t="str">
        <x:f>PROPER(TRIM('Raw Sales'!F2272))</x:f>
        <x:v>West</x:v>
      </x:c>
      <x:c r="J2272" s="84" t="str">
        <x:f>PROPER(TRIM('Raw Sales'!G2272))</x:f>
        <x:v>Denver</x:v>
      </x:c>
      <x:c r="K2272" s="84" t="str">
        <x:f>PROPER(TRIM('Raw Sales'!H2272))</x:f>
        <x:v>Marketplace</x:v>
      </x:c>
      <x:c r="L2272" s="84" t="str">
        <x:f>'Raw Sales'!I2272</x:f>
        <x:v>OFFC-006</x:v>
      </x:c>
      <x:c r="M2272" s="84" t="str">
        <x:f>IFERROR(VLOOKUP(L2272,'Reference Data'!$A$5:$F$40,2,FALSE),"Unknown Product")</x:f>
        <x:v>Monitor Stand</x:v>
      </x:c>
      <x:c r="N2272" s="84" t="str">
        <x:f>IFERROR(VLOOKUP(L2272,'Reference Data'!$A$5:$F$40,3,FALSE),"Unknown")</x:f>
        <x:v>Office</x:v>
      </x:c>
      <x:c r="O2272" s="84" t="str">
        <x:f>IFERROR(VLOOKUP(L2272,'Reference Data'!$A$5:$F$40,4,FALSE),"Unknown")</x:f>
        <x:v>Desk Accessories</x:v>
      </x:c>
      <x:c r="P2272" s="92" t="n">
        <x:f>IFERROR(VLOOKUP(L2272,'Reference Data'!$A$5:$F$40,5,FALSE),0)</x:f>
        <x:v>49</x:v>
      </x:c>
      <x:c r="Q2272" s="92" t="n">
        <x:f>IFERROR(VLOOKUP(L2272,'Reference Data'!$A$5:$F$40,6,FALSE),0)</x:f>
        <x:v>21</x:v>
      </x:c>
      <x:c r="R2272" s="84" t="n">
        <x:f>'Raw Sales'!J2272</x:f>
        <x:v>3</x:v>
      </x:c>
      <x:c r="S2272" s="87" t="n">
        <x:f>'Raw Sales'!K2272</x:f>
        <x:v>0.2</x:v>
      </x:c>
      <x:c r="T2272" s="93" t="n">
        <x:f>P2272*R2272</x:f>
        <x:v>147</x:v>
      </x:c>
      <x:c r="U2272" s="93" t="n">
        <x:f>T2272*S2272</x:f>
        <x:v>29.400000000000002</x:v>
      </x:c>
      <x:c r="V2272" s="93" t="str">
        <x:f>PROPER(TRIM('Raw Sales'!L2272))</x:f>
        <x:v>Completed</x:v>
      </x:c>
      <x:c r="W2272" s="93" t="n">
        <x:f>IF(V2272="Returned",0,T2272-U2272)</x:f>
        <x:v>117.6</x:v>
      </x:c>
      <x:c r="X2272" s="93" t="n">
        <x:f>IF(V2272="Returned",Q2272*R2272*10%,Q2272*R2272)</x:f>
        <x:v>63</x:v>
      </x:c>
      <x:c r="Y2272" s="93" t="n">
        <x:f>W2272-X2272</x:f>
        <x:v>54.599999999999994</x:v>
      </x:c>
      <x:c r="Z2272" s="94" t="n">
        <x:f>IFERROR(Y2272/W2272,0)</x:f>
        <x:v>0.46428571428571425</x:v>
      </x:c>
      <x:c r="AA2272" s="84" t="str">
        <x:f>PROPER(TRIM('Raw Sales'!M2272))</x:f>
        <x:v>Paypal</x:v>
      </x:c>
      <x:c r="AB2272" s="84" t="str">
        <x:f>PROPER(TRIM('Raw Sales'!N2272))</x:f>
        <x:v>Mia Chen</x:v>
      </x:c>
      <x:c r="AC2272" s="85" t="n">
        <x:f>'Raw Sales'!O2272</x:f>
        <x:v>45997</x:v>
      </x:c>
      <x:c r="AD2272" s="84" t="n">
        <x:f>AC2272-B2272</x:f>
        <x:v>3</x:v>
      </x:c>
      <x:c r="AE2272" s="84" t="str">
        <x:f>IF(COUNTIF($A$5:A2272,A2272)&gt;1,"Duplicate","Keep")</x:f>
        <x:v>Keep</x:v>
      </x:c>
      <x:c r="AF2272" s="84" t="str">
        <x:f>IF(OR(R2272&lt;=0,AC2272&lt;B2272,H2272="Unknown",M2272="Unknown Product"),"Review","Valid")</x:f>
        <x:v>Valid</x:v>
      </x:c>
      <x:c r="AG2272" s="84" t="n">
        <x:f>IF(AND(AE2272="Keep",AF2272="Valid"),1,0)</x:f>
        <x:v>1</x:v>
      </x:c>
      <x:c r="AH2272" s="84" t="n">
        <x:f>IF(AND(AG2272=1,OR('Dashboard'!$B$4="All",I2272='Dashboard'!$B$4),OR('Dashboard'!$E$4="All",N2272='Dashboard'!$E$4),OR('Dashboard'!$H$4="All",K2272='Dashboard'!$H$4),OR('Dashboard'!$K$4="All",C2272='Dashboard'!$K$4)),1,0)</x:f>
        <x:v>1</x:v>
      </x:c>
      <x:c r="AI2272" s="84" t="n">
        <x:f>IF(AND(AG2272=1,OR('Dashboard'!$B$4="All",I2272='Dashboard'!$B$4),OR('Dashboard'!$E$4="All",N2272='Dashboard'!$E$4),OR('Dashboard'!$H$4="All",K2272='Dashboard'!$H$4)),1,0)</x:f>
        <x:v>1</x:v>
      </x:c>
    </x:row>
    <x:row r="2273">
      <x:c r="A2273" s="84" t="str">
        <x:f>'Raw Sales'!A2273</x:f>
        <x:v>ORD-2025-00879</x:v>
      </x:c>
      <x:c r="B2273" s="85" t="n">
        <x:f>'Raw Sales'!B2273</x:f>
        <x:v>45994</x:v>
      </x:c>
      <x:c r="C2273" s="84" t="n">
        <x:f>YEAR(B2273)</x:f>
        <x:v>2025</x:v>
      </x:c>
      <x:c r="D2273" s="91" t="n">
        <x:f>DATE(YEAR(B2273),MONTH(B2273),1)</x:f>
        <x:v>45992</x:v>
      </x:c>
      <x:c r="E2273" s="84" t="str">
        <x:f>TEXT(B2273,"mmm")</x:f>
        <x:v>Dec</x:v>
      </x:c>
      <x:c r="F2273" s="84" t="str">
        <x:f>'Raw Sales'!C2273</x:f>
        <x:v>CUST-0125</x:v>
      </x:c>
      <x:c r="G2273" s="84" t="str">
        <x:f>PROPER(TRIM('Raw Sales'!D2273))</x:f>
        <x:v>Marcus Carter</x:v>
      </x:c>
      <x:c r="H2273" s="84" t="str">
        <x:f>IF(TRIM('Raw Sales'!E2273)="","Unknown",PROPER(TRIM('Raw Sales'!E2273)))</x:f>
        <x:v>Consumer</x:v>
      </x:c>
      <x:c r="I2273" s="84" t="str">
        <x:f>PROPER(TRIM('Raw Sales'!F2273))</x:f>
        <x:v>West</x:v>
      </x:c>
      <x:c r="J2273" s="84" t="str">
        <x:f>PROPER(TRIM('Raw Sales'!G2273))</x:f>
        <x:v>Phoenix</x:v>
      </x:c>
      <x:c r="K2273" s="84" t="str">
        <x:f>PROPER(TRIM('Raw Sales'!H2273))</x:f>
        <x:v>Retail Store</x:v>
      </x:c>
      <x:c r="L2273" s="84" t="str">
        <x:f>'Raw Sales'!I2273</x:f>
        <x:v>ELEC-003</x:v>
      </x:c>
      <x:c r="M2273" s="84" t="str">
        <x:f>IFERROR(VLOOKUP(L2273,'Reference Data'!$A$5:$F$40,2,FALSE),"Unknown Product")</x:f>
        <x:v>Bluetooth Speaker</x:v>
      </x:c>
      <x:c r="N2273" s="84" t="str">
        <x:f>IFERROR(VLOOKUP(L2273,'Reference Data'!$A$5:$F$40,3,FALSE),"Unknown")</x:f>
        <x:v>Electronics</x:v>
      </x:c>
      <x:c r="O2273" s="84" t="str">
        <x:f>IFERROR(VLOOKUP(L2273,'Reference Data'!$A$5:$F$40,4,FALSE),"Unknown")</x:f>
        <x:v>Audio</x:v>
      </x:c>
      <x:c r="P2273" s="92" t="n">
        <x:f>IFERROR(VLOOKUP(L2273,'Reference Data'!$A$5:$F$40,5,FALSE),0)</x:f>
        <x:v>89</x:v>
      </x:c>
      <x:c r="Q2273" s="92" t="n">
        <x:f>IFERROR(VLOOKUP(L2273,'Reference Data'!$A$5:$F$40,6,FALSE),0)</x:f>
        <x:v>44</x:v>
      </x:c>
      <x:c r="R2273" s="84" t="n">
        <x:f>'Raw Sales'!J2273</x:f>
        <x:v>1</x:v>
      </x:c>
      <x:c r="S2273" s="87" t="n">
        <x:f>'Raw Sales'!K2273</x:f>
        <x:v>0</x:v>
      </x:c>
      <x:c r="T2273" s="93" t="n">
        <x:f>P2273*R2273</x:f>
        <x:v>89</x:v>
      </x:c>
      <x:c r="U2273" s="93" t="n">
        <x:f>T2273*S2273</x:f>
        <x:v>0</x:v>
      </x:c>
      <x:c r="V2273" s="93" t="str">
        <x:f>PROPER(TRIM('Raw Sales'!L2273))</x:f>
        <x:v>Completed</x:v>
      </x:c>
      <x:c r="W2273" s="93" t="n">
        <x:f>IF(V2273="Returned",0,T2273-U2273)</x:f>
        <x:v>89</x:v>
      </x:c>
      <x:c r="X2273" s="93" t="n">
        <x:f>IF(V2273="Returned",Q2273*R2273*10%,Q2273*R2273)</x:f>
        <x:v>44</x:v>
      </x:c>
      <x:c r="Y2273" s="93" t="n">
        <x:f>W2273-X2273</x:f>
        <x:v>45</x:v>
      </x:c>
      <x:c r="Z2273" s="94" t="n">
        <x:f>IFERROR(Y2273/W2273,0)</x:f>
        <x:v>0.5056179775280899</x:v>
      </x:c>
      <x:c r="AA2273" s="84" t="str">
        <x:f>PROPER(TRIM('Raw Sales'!M2273))</x:f>
        <x:v>Credit Card</x:v>
      </x:c>
      <x:c r="AB2273" s="84" t="str">
        <x:f>PROPER(TRIM('Raw Sales'!N2273))</x:f>
        <x:v>Leo Martinez</x:v>
      </x:c>
      <x:c r="AC2273" s="85" t="n">
        <x:f>'Raw Sales'!O2273</x:f>
        <x:v>45994</x:v>
      </x:c>
      <x:c r="AD2273" s="84" t="n">
        <x:f>AC2273-B2273</x:f>
        <x:v>0</x:v>
      </x:c>
      <x:c r="AE2273" s="84" t="str">
        <x:f>IF(COUNTIF($A$5:A2273,A2273)&gt;1,"Duplicate","Keep")</x:f>
        <x:v>Keep</x:v>
      </x:c>
      <x:c r="AF2273" s="84" t="str">
        <x:f>IF(OR(R2273&lt;=0,AC2273&lt;B2273,H2273="Unknown",M2273="Unknown Product"),"Review","Valid")</x:f>
        <x:v>Valid</x:v>
      </x:c>
      <x:c r="AG2273" s="84" t="n">
        <x:f>IF(AND(AE2273="Keep",AF2273="Valid"),1,0)</x:f>
        <x:v>1</x:v>
      </x:c>
      <x:c r="AH2273" s="84" t="n">
        <x:f>IF(AND(AG2273=1,OR('Dashboard'!$B$4="All",I2273='Dashboard'!$B$4),OR('Dashboard'!$E$4="All",N2273='Dashboard'!$E$4),OR('Dashboard'!$H$4="All",K2273='Dashboard'!$H$4),OR('Dashboard'!$K$4="All",C2273='Dashboard'!$K$4)),1,0)</x:f>
        <x:v>1</x:v>
      </x:c>
      <x:c r="AI2273" s="84" t="n">
        <x:f>IF(AND(AG2273=1,OR('Dashboard'!$B$4="All",I2273='Dashboard'!$B$4),OR('Dashboard'!$E$4="All",N2273='Dashboard'!$E$4),OR('Dashboard'!$H$4="All",K2273='Dashboard'!$H$4)),1,0)</x:f>
        <x:v>1</x:v>
      </x:c>
    </x:row>
    <x:row r="2274">
      <x:c r="A2274" s="84" t="str">
        <x:f>'Raw Sales'!A2274</x:f>
        <x:v>ORD-2025-01275</x:v>
      </x:c>
      <x:c r="B2274" s="85" t="n">
        <x:f>'Raw Sales'!B2274</x:f>
        <x:v>45994</x:v>
      </x:c>
      <x:c r="C2274" s="84" t="n">
        <x:f>YEAR(B2274)</x:f>
        <x:v>2025</x:v>
      </x:c>
      <x:c r="D2274" s="91" t="n">
        <x:f>DATE(YEAR(B2274),MONTH(B2274),1)</x:f>
        <x:v>45992</x:v>
      </x:c>
      <x:c r="E2274" s="84" t="str">
        <x:f>TEXT(B2274,"mmm")</x:f>
        <x:v>Dec</x:v>
      </x:c>
      <x:c r="F2274" s="84" t="str">
        <x:f>'Raw Sales'!C2274</x:f>
        <x:v>CUST-0587</x:v>
      </x:c>
      <x:c r="G2274" s="84" t="str">
        <x:f>PROPER(TRIM('Raw Sales'!D2274))</x:f>
        <x:v>Marcus Young</x:v>
      </x:c>
      <x:c r="H2274" s="84" t="str">
        <x:f>IF(TRIM('Raw Sales'!E2274)="","Unknown",PROPER(TRIM('Raw Sales'!E2274)))</x:f>
        <x:v>Small Business</x:v>
      </x:c>
      <x:c r="I2274" s="84" t="str">
        <x:f>PROPER(TRIM('Raw Sales'!F2274))</x:f>
        <x:v>Northeast</x:v>
      </x:c>
      <x:c r="J2274" s="84" t="str">
        <x:f>PROPER(TRIM('Raw Sales'!G2274))</x:f>
        <x:v>Boston</x:v>
      </x:c>
      <x:c r="K2274" s="84" t="str">
        <x:f>PROPER(TRIM('Raw Sales'!H2274))</x:f>
        <x:v>Retail Store</x:v>
      </x:c>
      <x:c r="L2274" s="84" t="str">
        <x:f>'Raw Sales'!I2274</x:f>
        <x:v>ACCS-002</x:v>
      </x:c>
      <x:c r="M2274" s="84" t="str">
        <x:f>IFERROR(VLOOKUP(L2274,'Reference Data'!$A$5:$F$40,2,FALSE),"Unknown Product")</x:f>
        <x:v>Travel Backpack</x:v>
      </x:c>
      <x:c r="N2274" s="84" t="str">
        <x:f>IFERROR(VLOOKUP(L2274,'Reference Data'!$A$5:$F$40,3,FALSE),"Unknown")</x:f>
        <x:v>Accessories</x:v>
      </x:c>
      <x:c r="O2274" s="84" t="str">
        <x:f>IFERROR(VLOOKUP(L2274,'Reference Data'!$A$5:$F$40,4,FALSE),"Unknown")</x:f>
        <x:v>Bags</x:v>
      </x:c>
      <x:c r="P2274" s="92" t="n">
        <x:f>IFERROR(VLOOKUP(L2274,'Reference Data'!$A$5:$F$40,5,FALSE),0)</x:f>
        <x:v>89</x:v>
      </x:c>
      <x:c r="Q2274" s="92" t="n">
        <x:f>IFERROR(VLOOKUP(L2274,'Reference Data'!$A$5:$F$40,6,FALSE),0)</x:f>
        <x:v>36</x:v>
      </x:c>
      <x:c r="R2274" s="84" t="n">
        <x:f>'Raw Sales'!J2274</x:f>
        <x:v>2</x:v>
      </x:c>
      <x:c r="S2274" s="87" t="n">
        <x:f>'Raw Sales'!K2274</x:f>
        <x:v>0.1</x:v>
      </x:c>
      <x:c r="T2274" s="93" t="n">
        <x:f>P2274*R2274</x:f>
        <x:v>178</x:v>
      </x:c>
      <x:c r="U2274" s="93" t="n">
        <x:f>T2274*S2274</x:f>
        <x:v>17.8</x:v>
      </x:c>
      <x:c r="V2274" s="93" t="str">
        <x:f>PROPER(TRIM('Raw Sales'!L2274))</x:f>
        <x:v>Completed</x:v>
      </x:c>
      <x:c r="W2274" s="93" t="n">
        <x:f>IF(V2274="Returned",0,T2274-U2274)</x:f>
        <x:v>160.2</x:v>
      </x:c>
      <x:c r="X2274" s="93" t="n">
        <x:f>IF(V2274="Returned",Q2274*R2274*10%,Q2274*R2274)</x:f>
        <x:v>72</x:v>
      </x:c>
      <x:c r="Y2274" s="93" t="n">
        <x:f>W2274-X2274</x:f>
        <x:v>88.19999999999999</x:v>
      </x:c>
      <x:c r="Z2274" s="94" t="n">
        <x:f>IFERROR(Y2274/W2274,0)</x:f>
        <x:v>0.550561797752809</x:v>
      </x:c>
      <x:c r="AA2274" s="84" t="str">
        <x:f>PROPER(TRIM('Raw Sales'!M2274))</x:f>
        <x:v>Debit Card</x:v>
      </x:c>
      <x:c r="AB2274" s="84" t="str">
        <x:f>PROPER(TRIM('Raw Sales'!N2274))</x:f>
        <x:v>Ethan Cole</x:v>
      </x:c>
      <x:c r="AC2274" s="85" t="n">
        <x:f>'Raw Sales'!O2274</x:f>
        <x:v>45994</x:v>
      </x:c>
      <x:c r="AD2274" s="84" t="n">
        <x:f>AC2274-B2274</x:f>
        <x:v>0</x:v>
      </x:c>
      <x:c r="AE2274" s="84" t="str">
        <x:f>IF(COUNTIF($A$5:A2274,A2274)&gt;1,"Duplicate","Keep")</x:f>
        <x:v>Keep</x:v>
      </x:c>
      <x:c r="AF2274" s="84" t="str">
        <x:f>IF(OR(R2274&lt;=0,AC2274&lt;B2274,H2274="Unknown",M2274="Unknown Product"),"Review","Valid")</x:f>
        <x:v>Valid</x:v>
      </x:c>
      <x:c r="AG2274" s="84" t="n">
        <x:f>IF(AND(AE2274="Keep",AF2274="Valid"),1,0)</x:f>
        <x:v>1</x:v>
      </x:c>
      <x:c r="AH2274" s="84" t="n">
        <x:f>IF(AND(AG2274=1,OR('Dashboard'!$B$4="All",I2274='Dashboard'!$B$4),OR('Dashboard'!$E$4="All",N2274='Dashboard'!$E$4),OR('Dashboard'!$H$4="All",K2274='Dashboard'!$H$4),OR('Dashboard'!$K$4="All",C2274='Dashboard'!$K$4)),1,0)</x:f>
        <x:v>1</x:v>
      </x:c>
      <x:c r="AI2274" s="84" t="n">
        <x:f>IF(AND(AG2274=1,OR('Dashboard'!$B$4="All",I2274='Dashboard'!$B$4),OR('Dashboard'!$E$4="All",N2274='Dashboard'!$E$4),OR('Dashboard'!$H$4="All",K2274='Dashboard'!$H$4)),1,0)</x:f>
        <x:v>1</x:v>
      </x:c>
    </x:row>
    <x:row r="2275">
      <x:c r="A2275" s="84" t="str">
        <x:f>'Raw Sales'!A2275</x:f>
        <x:v>ORD-2025-01316</x:v>
      </x:c>
      <x:c r="B2275" s="85" t="n">
        <x:f>'Raw Sales'!B2275</x:f>
        <x:v>45994</x:v>
      </x:c>
      <x:c r="C2275" s="84" t="n">
        <x:f>YEAR(B2275)</x:f>
        <x:v>2025</x:v>
      </x:c>
      <x:c r="D2275" s="91" t="n">
        <x:f>DATE(YEAR(B2275),MONTH(B2275),1)</x:f>
        <x:v>45992</x:v>
      </x:c>
      <x:c r="E2275" s="84" t="str">
        <x:f>TEXT(B2275,"mmm")</x:f>
        <x:v>Dec</x:v>
      </x:c>
      <x:c r="F2275" s="84" t="str">
        <x:f>'Raw Sales'!C2275</x:f>
        <x:v>CUST-0549</x:v>
      </x:c>
      <x:c r="G2275" s="84" t="str">
        <x:f>PROPER(TRIM('Raw Sales'!D2275))</x:f>
        <x:v>Marcus Patel</x:v>
      </x:c>
      <x:c r="H2275" s="84" t="str">
        <x:f>IF(TRIM('Raw Sales'!E2275)="","Unknown",PROPER(TRIM('Raw Sales'!E2275)))</x:f>
        <x:v>Small Business</x:v>
      </x:c>
      <x:c r="I2275" s="84" t="str">
        <x:f>PROPER(TRIM('Raw Sales'!F2275))</x:f>
        <x:v>Northeast</x:v>
      </x:c>
      <x:c r="J2275" s="84" t="str">
        <x:f>PROPER(TRIM('Raw Sales'!G2275))</x:f>
        <x:v>Boston</x:v>
      </x:c>
      <x:c r="K2275" s="84" t="str">
        <x:f>PROPER(TRIM('Raw Sales'!H2275))</x:f>
        <x:v>Retail Store</x:v>
      </x:c>
      <x:c r="L2275" s="84" t="str">
        <x:f>'Raw Sales'!I2275</x:f>
        <x:v>ELEC-005</x:v>
      </x:c>
      <x:c r="M2275" s="84" t="str">
        <x:f>IFERROR(VLOOKUP(L2275,'Reference Data'!$A$5:$F$40,2,FALSE),"Unknown Product")</x:f>
        <x:v>HD Webcam</x:v>
      </x:c>
      <x:c r="N2275" s="84" t="str">
        <x:f>IFERROR(VLOOKUP(L2275,'Reference Data'!$A$5:$F$40,3,FALSE),"Unknown")</x:f>
        <x:v>Electronics</x:v>
      </x:c>
      <x:c r="O2275" s="84" t="str">
        <x:f>IFERROR(VLOOKUP(L2275,'Reference Data'!$A$5:$F$40,4,FALSE),"Unknown")</x:f>
        <x:v>Computer Accessories</x:v>
      </x:c>
      <x:c r="P2275" s="92" t="n">
        <x:f>IFERROR(VLOOKUP(L2275,'Reference Data'!$A$5:$F$40,5,FALSE),0)</x:f>
        <x:v>79</x:v>
      </x:c>
      <x:c r="Q2275" s="92" t="n">
        <x:f>IFERROR(VLOOKUP(L2275,'Reference Data'!$A$5:$F$40,6,FALSE),0)</x:f>
        <x:v>37</x:v>
      </x:c>
      <x:c r="R2275" s="84" t="n">
        <x:f>'Raw Sales'!J2275</x:f>
        <x:v>2</x:v>
      </x:c>
      <x:c r="S2275" s="87" t="n">
        <x:f>'Raw Sales'!K2275</x:f>
        <x:v>0</x:v>
      </x:c>
      <x:c r="T2275" s="93" t="n">
        <x:f>P2275*R2275</x:f>
        <x:v>158</x:v>
      </x:c>
      <x:c r="U2275" s="93" t="n">
        <x:f>T2275*S2275</x:f>
        <x:v>0</x:v>
      </x:c>
      <x:c r="V2275" s="93" t="str">
        <x:f>PROPER(TRIM('Raw Sales'!L2275))</x:f>
        <x:v>Completed</x:v>
      </x:c>
      <x:c r="W2275" s="93" t="n">
        <x:f>IF(V2275="Returned",0,T2275-U2275)</x:f>
        <x:v>158</x:v>
      </x:c>
      <x:c r="X2275" s="93" t="n">
        <x:f>IF(V2275="Returned",Q2275*R2275*10%,Q2275*R2275)</x:f>
        <x:v>74</x:v>
      </x:c>
      <x:c r="Y2275" s="93" t="n">
        <x:f>W2275-X2275</x:f>
        <x:v>84</x:v>
      </x:c>
      <x:c r="Z2275" s="94" t="n">
        <x:f>IFERROR(Y2275/W2275,0)</x:f>
        <x:v>0.5316455696202531</x:v>
      </x:c>
      <x:c r="AA2275" s="84" t="str">
        <x:f>PROPER(TRIM('Raw Sales'!M2275))</x:f>
        <x:v>Cash</x:v>
      </x:c>
      <x:c r="AB2275" s="84" t="str">
        <x:f>PROPER(TRIM('Raw Sales'!N2275))</x:f>
        <x:v>Ethan Cole</x:v>
      </x:c>
      <x:c r="AC2275" s="85" t="n">
        <x:f>'Raw Sales'!O2275</x:f>
        <x:v>45994</x:v>
      </x:c>
      <x:c r="AD2275" s="84" t="n">
        <x:f>AC2275-B2275</x:f>
        <x:v>0</x:v>
      </x:c>
      <x:c r="AE2275" s="84" t="str">
        <x:f>IF(COUNTIF($A$5:A2275,A2275)&gt;1,"Duplicate","Keep")</x:f>
        <x:v>Keep</x:v>
      </x:c>
      <x:c r="AF2275" s="84" t="str">
        <x:f>IF(OR(R2275&lt;=0,AC2275&lt;B2275,H2275="Unknown",M2275="Unknown Product"),"Review","Valid")</x:f>
        <x:v>Valid</x:v>
      </x:c>
      <x:c r="AG2275" s="84" t="n">
        <x:f>IF(AND(AE2275="Keep",AF2275="Valid"),1,0)</x:f>
        <x:v>1</x:v>
      </x:c>
      <x:c r="AH2275" s="84" t="n">
        <x:f>IF(AND(AG2275=1,OR('Dashboard'!$B$4="All",I2275='Dashboard'!$B$4),OR('Dashboard'!$E$4="All",N2275='Dashboard'!$E$4),OR('Dashboard'!$H$4="All",K2275='Dashboard'!$H$4),OR('Dashboard'!$K$4="All",C2275='Dashboard'!$K$4)),1,0)</x:f>
        <x:v>1</x:v>
      </x:c>
      <x:c r="AI2275" s="84" t="n">
        <x:f>IF(AND(AG2275=1,OR('Dashboard'!$B$4="All",I2275='Dashboard'!$B$4),OR('Dashboard'!$E$4="All",N2275='Dashboard'!$E$4),OR('Dashboard'!$H$4="All",K2275='Dashboard'!$H$4)),1,0)</x:f>
        <x:v>1</x:v>
      </x:c>
    </x:row>
    <x:row r="2276">
      <x:c r="A2276" s="84" t="str">
        <x:f>'Raw Sales'!A2276</x:f>
        <x:v>ORD-2025-02180</x:v>
      </x:c>
      <x:c r="B2276" s="85" t="n">
        <x:f>'Raw Sales'!B2276</x:f>
        <x:v>45994</x:v>
      </x:c>
      <x:c r="C2276" s="84" t="n">
        <x:f>YEAR(B2276)</x:f>
        <x:v>2025</x:v>
      </x:c>
      <x:c r="D2276" s="91" t="n">
        <x:f>DATE(YEAR(B2276),MONTH(B2276),1)</x:f>
        <x:v>45992</x:v>
      </x:c>
      <x:c r="E2276" s="84" t="str">
        <x:f>TEXT(B2276,"mmm")</x:f>
        <x:v>Dec</x:v>
      </x:c>
      <x:c r="F2276" s="84" t="str">
        <x:f>'Raw Sales'!C2276</x:f>
        <x:v>CUST-0125</x:v>
      </x:c>
      <x:c r="G2276" s="84" t="str">
        <x:f>PROPER(TRIM('Raw Sales'!D2276))</x:f>
        <x:v>Marcus Carter</x:v>
      </x:c>
      <x:c r="H2276" s="84" t="str">
        <x:f>IF(TRIM('Raw Sales'!E2276)="","Unknown",PROPER(TRIM('Raw Sales'!E2276)))</x:f>
        <x:v>Consumer</x:v>
      </x:c>
      <x:c r="I2276" s="84" t="str">
        <x:f>PROPER(TRIM('Raw Sales'!F2276))</x:f>
        <x:v>West</x:v>
      </x:c>
      <x:c r="J2276" s="84" t="str">
        <x:f>PROPER(TRIM('Raw Sales'!G2276))</x:f>
        <x:v>Phoenix</x:v>
      </x:c>
      <x:c r="K2276" s="84" t="str">
        <x:f>PROPER(TRIM('Raw Sales'!H2276))</x:f>
        <x:v>Retail Store</x:v>
      </x:c>
      <x:c r="L2276" s="84" t="str">
        <x:f>'Raw Sales'!I2276</x:f>
        <x:v>ACCS-005</x:v>
      </x:c>
      <x:c r="M2276" s="84" t="str">
        <x:f>IFERROR(VLOOKUP(L2276,'Reference Data'!$A$5:$F$40,2,FALSE),"Unknown Product")</x:f>
        <x:v>Protective Phone Case</x:v>
      </x:c>
      <x:c r="N2276" s="84" t="str">
        <x:f>IFERROR(VLOOKUP(L2276,'Reference Data'!$A$5:$F$40,3,FALSE),"Unknown")</x:f>
        <x:v>Accessories</x:v>
      </x:c>
      <x:c r="O2276" s="84" t="str">
        <x:f>IFERROR(VLOOKUP(L2276,'Reference Data'!$A$5:$F$40,4,FALSE),"Unknown")</x:f>
        <x:v>Mobile Accessories</x:v>
      </x:c>
      <x:c r="P2276" s="92" t="n">
        <x:f>IFERROR(VLOOKUP(L2276,'Reference Data'!$A$5:$F$40,5,FALSE),0)</x:f>
        <x:v>24</x:v>
      </x:c>
      <x:c r="Q2276" s="92" t="n">
        <x:f>IFERROR(VLOOKUP(L2276,'Reference Data'!$A$5:$F$40,6,FALSE),0)</x:f>
        <x:v>5</x:v>
      </x:c>
      <x:c r="R2276" s="84" t="n">
        <x:f>'Raw Sales'!J2276</x:f>
        <x:v>3</x:v>
      </x:c>
      <x:c r="S2276" s="87" t="n">
        <x:f>'Raw Sales'!K2276</x:f>
        <x:v>0.05</x:v>
      </x:c>
      <x:c r="T2276" s="93" t="n">
        <x:f>P2276*R2276</x:f>
        <x:v>72</x:v>
      </x:c>
      <x:c r="U2276" s="93" t="n">
        <x:f>T2276*S2276</x:f>
        <x:v>3.6</x:v>
      </x:c>
      <x:c r="V2276" s="93" t="str">
        <x:f>PROPER(TRIM('Raw Sales'!L2276))</x:f>
        <x:v>Completed</x:v>
      </x:c>
      <x:c r="W2276" s="93" t="n">
        <x:f>IF(V2276="Returned",0,T2276-U2276)</x:f>
        <x:v>68.4</x:v>
      </x:c>
      <x:c r="X2276" s="93" t="n">
        <x:f>IF(V2276="Returned",Q2276*R2276*10%,Q2276*R2276)</x:f>
        <x:v>15</x:v>
      </x:c>
      <x:c r="Y2276" s="93" t="n">
        <x:f>W2276-X2276</x:f>
        <x:v>53.400000000000006</x:v>
      </x:c>
      <x:c r="Z2276" s="94" t="n">
        <x:f>IFERROR(Y2276/W2276,0)</x:f>
        <x:v>0.7807017543859649</x:v>
      </x:c>
      <x:c r="AA2276" s="84" t="str">
        <x:f>PROPER(TRIM('Raw Sales'!M2276))</x:f>
        <x:v>Credit Card</x:v>
      </x:c>
      <x:c r="AB2276" s="84" t="str">
        <x:f>PROPER(TRIM('Raw Sales'!N2276))</x:f>
        <x:v>Nora Kim</x:v>
      </x:c>
      <x:c r="AC2276" s="85" t="n">
        <x:f>'Raw Sales'!O2276</x:f>
        <x:v>45995</x:v>
      </x:c>
      <x:c r="AD2276" s="84" t="n">
        <x:f>AC2276-B2276</x:f>
        <x:v>1</x:v>
      </x:c>
      <x:c r="AE2276" s="84" t="str">
        <x:f>IF(COUNTIF($A$5:A2276,A2276)&gt;1,"Duplicate","Keep")</x:f>
        <x:v>Keep</x:v>
      </x:c>
      <x:c r="AF2276" s="84" t="str">
        <x:f>IF(OR(R2276&lt;=0,AC2276&lt;B2276,H2276="Unknown",M2276="Unknown Product"),"Review","Valid")</x:f>
        <x:v>Valid</x:v>
      </x:c>
      <x:c r="AG2276" s="84" t="n">
        <x:f>IF(AND(AE2276="Keep",AF2276="Valid"),1,0)</x:f>
        <x:v>1</x:v>
      </x:c>
      <x:c r="AH2276" s="84" t="n">
        <x:f>IF(AND(AG2276=1,OR('Dashboard'!$B$4="All",I2276='Dashboard'!$B$4),OR('Dashboard'!$E$4="All",N2276='Dashboard'!$E$4),OR('Dashboard'!$H$4="All",K2276='Dashboard'!$H$4),OR('Dashboard'!$K$4="All",C2276='Dashboard'!$K$4)),1,0)</x:f>
        <x:v>1</x:v>
      </x:c>
      <x:c r="AI2276" s="84" t="n">
        <x:f>IF(AND(AG2276=1,OR('Dashboard'!$B$4="All",I2276='Dashboard'!$B$4),OR('Dashboard'!$E$4="All",N2276='Dashboard'!$E$4),OR('Dashboard'!$H$4="All",K2276='Dashboard'!$H$4)),1,0)</x:f>
        <x:v>1</x:v>
      </x:c>
    </x:row>
    <x:row r="2277">
      <x:c r="A2277" s="84" t="str">
        <x:f>'Raw Sales'!A2277</x:f>
        <x:v>ORD-2025-00869</x:v>
      </x:c>
      <x:c r="B2277" s="85" t="n">
        <x:f>'Raw Sales'!B2277</x:f>
        <x:v>45995</x:v>
      </x:c>
      <x:c r="C2277" s="84" t="n">
        <x:f>YEAR(B2277)</x:f>
        <x:v>2025</x:v>
      </x:c>
      <x:c r="D2277" s="91" t="n">
        <x:f>DATE(YEAR(B2277),MONTH(B2277),1)</x:f>
        <x:v>45992</x:v>
      </x:c>
      <x:c r="E2277" s="84" t="str">
        <x:f>TEXT(B2277,"mmm")</x:f>
        <x:v>Dec</x:v>
      </x:c>
      <x:c r="F2277" s="84" t="str">
        <x:f>'Raw Sales'!C2277</x:f>
        <x:v>CUST-0320</x:v>
      </x:c>
      <x:c r="G2277" s="84" t="str">
        <x:f>PROPER(TRIM('Raw Sales'!D2277))</x:f>
        <x:v>Theo Foster</x:v>
      </x:c>
      <x:c r="H2277" s="84" t="str">
        <x:f>IF(TRIM('Raw Sales'!E2277)="","Unknown",PROPER(TRIM('Raw Sales'!E2277)))</x:f>
        <x:v>Consumer</x:v>
      </x:c>
      <x:c r="I2277" s="84" t="str">
        <x:f>PROPER(TRIM('Raw Sales'!F2277))</x:f>
        <x:v>Midwest</x:v>
      </x:c>
      <x:c r="J2277" s="84" t="str">
        <x:f>PROPER(TRIM('Raw Sales'!G2277))</x:f>
        <x:v>Columbus</x:v>
      </x:c>
      <x:c r="K2277" s="84" t="str">
        <x:f>PROPER(TRIM('Raw Sales'!H2277))</x:f>
        <x:v>Online</x:v>
      </x:c>
      <x:c r="L2277" s="84" t="str">
        <x:f>'Raw Sales'!I2277</x:f>
        <x:v>CARE-001</x:v>
      </x:c>
      <x:c r="M2277" s="84" t="str">
        <x:f>IFERROR(VLOOKUP(L2277,'Reference Data'!$A$5:$F$40,2,FALSE),"Unknown Product")</x:f>
        <x:v>Ionic Hair Dryer</x:v>
      </x:c>
      <x:c r="N2277" s="84" t="str">
        <x:f>IFERROR(VLOOKUP(L2277,'Reference Data'!$A$5:$F$40,3,FALSE),"Unknown")</x:f>
        <x:v>Personal Care</x:v>
      </x:c>
      <x:c r="O2277" s="84" t="str">
        <x:f>IFERROR(VLOOKUP(L2277,'Reference Data'!$A$5:$F$40,4,FALSE),"Unknown")</x:f>
        <x:v>Hair Care</x:v>
      </x:c>
      <x:c r="P2277" s="92" t="n">
        <x:f>IFERROR(VLOOKUP(L2277,'Reference Data'!$A$5:$F$40,5,FALSE),0)</x:f>
        <x:v>54</x:v>
      </x:c>
      <x:c r="Q2277" s="92" t="n">
        <x:f>IFERROR(VLOOKUP(L2277,'Reference Data'!$A$5:$F$40,6,FALSE),0)</x:f>
        <x:v>25</x:v>
      </x:c>
      <x:c r="R2277" s="84" t="n">
        <x:f>'Raw Sales'!J2277</x:f>
        <x:v>2</x:v>
      </x:c>
      <x:c r="S2277" s="87" t="n">
        <x:f>'Raw Sales'!K2277</x:f>
        <x:v>0.05</x:v>
      </x:c>
      <x:c r="T2277" s="93" t="n">
        <x:f>P2277*R2277</x:f>
        <x:v>108</x:v>
      </x:c>
      <x:c r="U2277" s="93" t="n">
        <x:f>T2277*S2277</x:f>
        <x:v>5.4</x:v>
      </x:c>
      <x:c r="V2277" s="93" t="str">
        <x:f>PROPER(TRIM('Raw Sales'!L2277))</x:f>
        <x:v>Completed</x:v>
      </x:c>
      <x:c r="W2277" s="93" t="n">
        <x:f>IF(V2277="Returned",0,T2277-U2277)</x:f>
        <x:v>102.6</x:v>
      </x:c>
      <x:c r="X2277" s="93" t="n">
        <x:f>IF(V2277="Returned",Q2277*R2277*10%,Q2277*R2277)</x:f>
        <x:v>50</x:v>
      </x:c>
      <x:c r="Y2277" s="93" t="n">
        <x:f>W2277-X2277</x:f>
        <x:v>52.599999999999994</x:v>
      </x:c>
      <x:c r="Z2277" s="94" t="n">
        <x:f>IFERROR(Y2277/W2277,0)</x:f>
        <x:v>0.5126705653021443</x:v>
      </x:c>
      <x:c r="AA2277" s="84" t="str">
        <x:f>PROPER(TRIM('Raw Sales'!M2277))</x:f>
        <x:v>Credit Card</x:v>
      </x:c>
      <x:c r="AB2277" s="84" t="str">
        <x:f>PROPER(TRIM('Raw Sales'!N2277))</x:f>
        <x:v>Zoe Turner</x:v>
      </x:c>
      <x:c r="AC2277" s="85" t="n">
        <x:f>'Raw Sales'!O2277</x:f>
        <x:v>45998</x:v>
      </x:c>
      <x:c r="AD2277" s="84" t="n">
        <x:f>AC2277-B2277</x:f>
        <x:v>3</x:v>
      </x:c>
      <x:c r="AE2277" s="84" t="str">
        <x:f>IF(COUNTIF($A$5:A2277,A2277)&gt;1,"Duplicate","Keep")</x:f>
        <x:v>Keep</x:v>
      </x:c>
      <x:c r="AF2277" s="84" t="str">
        <x:f>IF(OR(R2277&lt;=0,AC2277&lt;B2277,H2277="Unknown",M2277="Unknown Product"),"Review","Valid")</x:f>
        <x:v>Valid</x:v>
      </x:c>
      <x:c r="AG2277" s="84" t="n">
        <x:f>IF(AND(AE2277="Keep",AF2277="Valid"),1,0)</x:f>
        <x:v>1</x:v>
      </x:c>
      <x:c r="AH2277" s="84" t="n">
        <x:f>IF(AND(AG2277=1,OR('Dashboard'!$B$4="All",I2277='Dashboard'!$B$4),OR('Dashboard'!$E$4="All",N2277='Dashboard'!$E$4),OR('Dashboard'!$H$4="All",K2277='Dashboard'!$H$4),OR('Dashboard'!$K$4="All",C2277='Dashboard'!$K$4)),1,0)</x:f>
        <x:v>1</x:v>
      </x:c>
      <x:c r="AI2277" s="84" t="n">
        <x:f>IF(AND(AG2277=1,OR('Dashboard'!$B$4="All",I2277='Dashboard'!$B$4),OR('Dashboard'!$E$4="All",N2277='Dashboard'!$E$4),OR('Dashboard'!$H$4="All",K2277='Dashboard'!$H$4)),1,0)</x:f>
        <x:v>1</x:v>
      </x:c>
    </x:row>
    <x:row r="2278">
      <x:c r="A2278" s="84" t="str">
        <x:f>'Raw Sales'!A2278</x:f>
        <x:v>ORD-2025-01408</x:v>
      </x:c>
      <x:c r="B2278" s="85" t="n">
        <x:f>'Raw Sales'!B2278</x:f>
        <x:v>45995</x:v>
      </x:c>
      <x:c r="C2278" s="84" t="n">
        <x:f>YEAR(B2278)</x:f>
        <x:v>2025</x:v>
      </x:c>
      <x:c r="D2278" s="91" t="n">
        <x:f>DATE(YEAR(B2278),MONTH(B2278),1)</x:f>
        <x:v>45992</x:v>
      </x:c>
      <x:c r="E2278" s="84" t="str">
        <x:f>TEXT(B2278,"mmm")</x:f>
        <x:v>Dec</x:v>
      </x:c>
      <x:c r="F2278" s="84" t="str">
        <x:f>'Raw Sales'!C2278</x:f>
        <x:v>CUST-0072</x:v>
      </x:c>
      <x:c r="G2278" s="84" t="str">
        <x:f>PROPER(TRIM('Raw Sales'!D2278))</x:f>
        <x:v>Nina Roberts</x:v>
      </x:c>
      <x:c r="H2278" s="84" t="str">
        <x:f>IF(TRIM('Raw Sales'!E2278)="","Unknown",PROPER(TRIM('Raw Sales'!E2278)))</x:f>
        <x:v>Corporate</x:v>
      </x:c>
      <x:c r="I2278" s="84" t="str">
        <x:f>PROPER(TRIM('Raw Sales'!F2278))</x:f>
        <x:v>Northeast</x:v>
      </x:c>
      <x:c r="J2278" s="84" t="str">
        <x:f>PROPER(TRIM('Raw Sales'!G2278))</x:f>
        <x:v>New York</x:v>
      </x:c>
      <x:c r="K2278" s="84" t="str">
        <x:f>PROPER(TRIM('Raw Sales'!H2278))</x:f>
        <x:v>Retail Store</x:v>
      </x:c>
      <x:c r="L2278" s="84" t="str">
        <x:f>'Raw Sales'!I2278</x:f>
        <x:v>HOME-006</x:v>
      </x:c>
      <x:c r="M2278" s="84" t="str">
        <x:f>IFERROR(VLOOKUP(L2278,'Reference Data'!$A$5:$F$40,2,FALSE),"Unknown Product")</x:f>
        <x:v>Food Storage Set</x:v>
      </x:c>
      <x:c r="N2278" s="84" t="str">
        <x:f>IFERROR(VLOOKUP(L2278,'Reference Data'!$A$5:$F$40,3,FALSE),"Unknown")</x:f>
        <x:v>Home &amp; Kitchen</x:v>
      </x:c>
      <x:c r="O2278" s="84" t="str">
        <x:f>IFERROR(VLOOKUP(L2278,'Reference Data'!$A$5:$F$40,4,FALSE),"Unknown")</x:f>
        <x:v>Kitchenware</x:v>
      </x:c>
      <x:c r="P2278" s="92" t="n">
        <x:f>IFERROR(VLOOKUP(L2278,'Reference Data'!$A$5:$F$40,5,FALSE),0)</x:f>
        <x:v>34</x:v>
      </x:c>
      <x:c r="Q2278" s="92" t="n">
        <x:f>IFERROR(VLOOKUP(L2278,'Reference Data'!$A$5:$F$40,6,FALSE),0)</x:f>
        <x:v>15</x:v>
      </x:c>
      <x:c r="R2278" s="84" t="n">
        <x:f>'Raw Sales'!J2278</x:f>
        <x:v>2</x:v>
      </x:c>
      <x:c r="S2278" s="87" t="n">
        <x:f>'Raw Sales'!K2278</x:f>
        <x:v>0</x:v>
      </x:c>
      <x:c r="T2278" s="93" t="n">
        <x:f>P2278*R2278</x:f>
        <x:v>68</x:v>
      </x:c>
      <x:c r="U2278" s="93" t="n">
        <x:f>T2278*S2278</x:f>
        <x:v>0</x:v>
      </x:c>
      <x:c r="V2278" s="93" t="str">
        <x:f>PROPER(TRIM('Raw Sales'!L2278))</x:f>
        <x:v>Completed</x:v>
      </x:c>
      <x:c r="W2278" s="93" t="n">
        <x:f>IF(V2278="Returned",0,T2278-U2278)</x:f>
        <x:v>68</x:v>
      </x:c>
      <x:c r="X2278" s="93" t="n">
        <x:f>IF(V2278="Returned",Q2278*R2278*10%,Q2278*R2278)</x:f>
        <x:v>30</x:v>
      </x:c>
      <x:c r="Y2278" s="93" t="n">
        <x:f>W2278-X2278</x:f>
        <x:v>38</x:v>
      </x:c>
      <x:c r="Z2278" s="94" t="n">
        <x:f>IFERROR(Y2278/W2278,0)</x:f>
        <x:v>0.5588235294117647</x:v>
      </x:c>
      <x:c r="AA2278" s="84" t="str">
        <x:f>PROPER(TRIM('Raw Sales'!M2278))</x:f>
        <x:v>Credit Card</x:v>
      </x:c>
      <x:c r="AB2278" s="84" t="str">
        <x:f>PROPER(TRIM('Raw Sales'!N2278))</x:f>
        <x:v>Sofia Bennett</x:v>
      </x:c>
      <x:c r="AC2278" s="85" t="n">
        <x:f>'Raw Sales'!O2278</x:f>
        <x:v>45995</x:v>
      </x:c>
      <x:c r="AD2278" s="84" t="n">
        <x:f>AC2278-B2278</x:f>
        <x:v>0</x:v>
      </x:c>
      <x:c r="AE2278" s="84" t="str">
        <x:f>IF(COUNTIF($A$5:A2278,A2278)&gt;1,"Duplicate","Keep")</x:f>
        <x:v>Keep</x:v>
      </x:c>
      <x:c r="AF2278" s="84" t="str">
        <x:f>IF(OR(R2278&lt;=0,AC2278&lt;B2278,H2278="Unknown",M2278="Unknown Product"),"Review","Valid")</x:f>
        <x:v>Valid</x:v>
      </x:c>
      <x:c r="AG2278" s="84" t="n">
        <x:f>IF(AND(AE2278="Keep",AF2278="Valid"),1,0)</x:f>
        <x:v>1</x:v>
      </x:c>
      <x:c r="AH2278" s="84" t="n">
        <x:f>IF(AND(AG2278=1,OR('Dashboard'!$B$4="All",I2278='Dashboard'!$B$4),OR('Dashboard'!$E$4="All",N2278='Dashboard'!$E$4),OR('Dashboard'!$H$4="All",K2278='Dashboard'!$H$4),OR('Dashboard'!$K$4="All",C2278='Dashboard'!$K$4)),1,0)</x:f>
        <x:v>1</x:v>
      </x:c>
      <x:c r="AI2278" s="84" t="n">
        <x:f>IF(AND(AG2278=1,OR('Dashboard'!$B$4="All",I2278='Dashboard'!$B$4),OR('Dashboard'!$E$4="All",N2278='Dashboard'!$E$4),OR('Dashboard'!$H$4="All",K2278='Dashboard'!$H$4)),1,0)</x:f>
        <x:v>1</x:v>
      </x:c>
    </x:row>
    <x:row r="2279">
      <x:c r="A2279" s="84" t="str">
        <x:f>'Raw Sales'!A2279</x:f>
        <x:v>ORD-2025-01823</x:v>
      </x:c>
      <x:c r="B2279" s="85" t="n">
        <x:f>'Raw Sales'!B2279</x:f>
        <x:v>45995</x:v>
      </x:c>
      <x:c r="C2279" s="84" t="n">
        <x:f>YEAR(B2279)</x:f>
        <x:v>2025</x:v>
      </x:c>
      <x:c r="D2279" s="91" t="n">
        <x:f>DATE(YEAR(B2279),MONTH(B2279),1)</x:f>
        <x:v>45992</x:v>
      </x:c>
      <x:c r="E2279" s="84" t="str">
        <x:f>TEXT(B2279,"mmm")</x:f>
        <x:v>Dec</x:v>
      </x:c>
      <x:c r="F2279" s="84" t="str">
        <x:f>'Raw Sales'!C2279</x:f>
        <x:v>CUST-0176</x:v>
      </x:c>
      <x:c r="G2279" s="84" t="str">
        <x:f>PROPER(TRIM('Raw Sales'!D2279))</x:f>
        <x:v>Grace Smith</x:v>
      </x:c>
      <x:c r="H2279" s="84" t="str">
        <x:f>IF(TRIM('Raw Sales'!E2279)="","Unknown",PROPER(TRIM('Raw Sales'!E2279)))</x:f>
        <x:v>Corporate</x:v>
      </x:c>
      <x:c r="I2279" s="84" t="str">
        <x:f>PROPER(TRIM('Raw Sales'!F2279))</x:f>
        <x:v>Northeast</x:v>
      </x:c>
      <x:c r="J2279" s="84" t="str">
        <x:f>PROPER(TRIM('Raw Sales'!G2279))</x:f>
        <x:v>New York</x:v>
      </x:c>
      <x:c r="K2279" s="84" t="str">
        <x:f>PROPER(TRIM('Raw Sales'!H2279))</x:f>
        <x:v>Marketplace</x:v>
      </x:c>
      <x:c r="L2279" s="84" t="str">
        <x:f>'Raw Sales'!I2279</x:f>
        <x:v>OFFC-005</x:v>
      </x:c>
      <x:c r="M2279" s="84" t="str">
        <x:f>IFERROR(VLOOKUP(L2279,'Reference Data'!$A$5:$F$40,2,FALSE),"Unknown Product")</x:f>
        <x:v>Wireless Keyboard</x:v>
      </x:c>
      <x:c r="N2279" s="84" t="str">
        <x:f>IFERROR(VLOOKUP(L2279,'Reference Data'!$A$5:$F$40,3,FALSE),"Unknown")</x:f>
        <x:v>Office</x:v>
      </x:c>
      <x:c r="O2279" s="84" t="str">
        <x:f>IFERROR(VLOOKUP(L2279,'Reference Data'!$A$5:$F$40,4,FALSE),"Unknown")</x:f>
        <x:v>Computer Accessories</x:v>
      </x:c>
      <x:c r="P2279" s="92" t="n">
        <x:f>IFERROR(VLOOKUP(L2279,'Reference Data'!$A$5:$F$40,5,FALSE),0)</x:f>
        <x:v>59</x:v>
      </x:c>
      <x:c r="Q2279" s="92" t="n">
        <x:f>IFERROR(VLOOKUP(L2279,'Reference Data'!$A$5:$F$40,6,FALSE),0)</x:f>
        <x:v>28</x:v>
      </x:c>
      <x:c r="R2279" s="84" t="n">
        <x:f>'Raw Sales'!J2279</x:f>
        <x:v>3</x:v>
      </x:c>
      <x:c r="S2279" s="87" t="n">
        <x:f>'Raw Sales'!K2279</x:f>
        <x:v>0.2</x:v>
      </x:c>
      <x:c r="T2279" s="93" t="n">
        <x:f>P2279*R2279</x:f>
        <x:v>177</x:v>
      </x:c>
      <x:c r="U2279" s="93" t="n">
        <x:f>T2279*S2279</x:f>
        <x:v>35.4</x:v>
      </x:c>
      <x:c r="V2279" s="93" t="str">
        <x:f>PROPER(TRIM('Raw Sales'!L2279))</x:f>
        <x:v>Completed</x:v>
      </x:c>
      <x:c r="W2279" s="93" t="n">
        <x:f>IF(V2279="Returned",0,T2279-U2279)</x:f>
        <x:v>141.6</x:v>
      </x:c>
      <x:c r="X2279" s="93" t="n">
        <x:f>IF(V2279="Returned",Q2279*R2279*10%,Q2279*R2279)</x:f>
        <x:v>84</x:v>
      </x:c>
      <x:c r="Y2279" s="93" t="n">
        <x:f>W2279-X2279</x:f>
        <x:v>57.599999999999994</x:v>
      </x:c>
      <x:c r="Z2279" s="94" t="n">
        <x:f>IFERROR(Y2279/W2279,0)</x:f>
        <x:v>0.4067796610169491</x:v>
      </x:c>
      <x:c r="AA2279" s="84" t="str">
        <x:f>PROPER(TRIM('Raw Sales'!M2279))</x:f>
        <x:v>Mobile Wallet</x:v>
      </x:c>
      <x:c r="AB2279" s="84" t="str">
        <x:f>PROPER(TRIM('Raw Sales'!N2279))</x:f>
        <x:v>Maya Brooks</x:v>
      </x:c>
      <x:c r="AC2279" s="85" t="n">
        <x:f>'Raw Sales'!O2279</x:f>
        <x:v>46000</x:v>
      </x:c>
      <x:c r="AD2279" s="84" t="n">
        <x:f>AC2279-B2279</x:f>
        <x:v>5</x:v>
      </x:c>
      <x:c r="AE2279" s="84" t="str">
        <x:f>IF(COUNTIF($A$5:A2279,A2279)&gt;1,"Duplicate","Keep")</x:f>
        <x:v>Keep</x:v>
      </x:c>
      <x:c r="AF2279" s="84" t="str">
        <x:f>IF(OR(R2279&lt;=0,AC2279&lt;B2279,H2279="Unknown",M2279="Unknown Product"),"Review","Valid")</x:f>
        <x:v>Valid</x:v>
      </x:c>
      <x:c r="AG2279" s="84" t="n">
        <x:f>IF(AND(AE2279="Keep",AF2279="Valid"),1,0)</x:f>
        <x:v>1</x:v>
      </x:c>
      <x:c r="AH2279" s="84" t="n">
        <x:f>IF(AND(AG2279=1,OR('Dashboard'!$B$4="All",I2279='Dashboard'!$B$4),OR('Dashboard'!$E$4="All",N2279='Dashboard'!$E$4),OR('Dashboard'!$H$4="All",K2279='Dashboard'!$H$4),OR('Dashboard'!$K$4="All",C2279='Dashboard'!$K$4)),1,0)</x:f>
        <x:v>1</x:v>
      </x:c>
      <x:c r="AI2279" s="84" t="n">
        <x:f>IF(AND(AG2279=1,OR('Dashboard'!$B$4="All",I2279='Dashboard'!$B$4),OR('Dashboard'!$E$4="All",N2279='Dashboard'!$E$4),OR('Dashboard'!$H$4="All",K2279='Dashboard'!$H$4)),1,0)</x:f>
        <x:v>1</x:v>
      </x:c>
    </x:row>
    <x:row r="2280">
      <x:c r="A2280" s="84" t="str">
        <x:f>'Raw Sales'!A2280</x:f>
        <x:v>ORD-2025-02087</x:v>
      </x:c>
      <x:c r="B2280" s="85" t="n">
        <x:f>'Raw Sales'!B2280</x:f>
        <x:v>45995</x:v>
      </x:c>
      <x:c r="C2280" s="84" t="n">
        <x:f>YEAR(B2280)</x:f>
        <x:v>2025</x:v>
      </x:c>
      <x:c r="D2280" s="91" t="n">
        <x:f>DATE(YEAR(B2280),MONTH(B2280),1)</x:f>
        <x:v>45992</x:v>
      </x:c>
      <x:c r="E2280" s="84" t="str">
        <x:f>TEXT(B2280,"mmm")</x:f>
        <x:v>Dec</x:v>
      </x:c>
      <x:c r="F2280" s="84" t="str">
        <x:f>'Raw Sales'!C2280</x:f>
        <x:v>CUST-0603</x:v>
      </x:c>
      <x:c r="G2280" s="84" t="str">
        <x:f>PROPER(TRIM('Raw Sales'!D2280))</x:f>
        <x:v>Elias Roberts</x:v>
      </x:c>
      <x:c r="H2280" s="84" t="str">
        <x:f>IF(TRIM('Raw Sales'!E2280)="","Unknown",PROPER(TRIM('Raw Sales'!E2280)))</x:f>
        <x:v>Consumer</x:v>
      </x:c>
      <x:c r="I2280" s="84" t="str">
        <x:f>PROPER(TRIM('Raw Sales'!F2280))</x:f>
        <x:v>Northeast</x:v>
      </x:c>
      <x:c r="J2280" s="84" t="str">
        <x:f>PROPER(TRIM('Raw Sales'!G2280))</x:f>
        <x:v>Newark</x:v>
      </x:c>
      <x:c r="K2280" s="84" t="str">
        <x:f>PROPER(TRIM('Raw Sales'!H2280))</x:f>
        <x:v>Marketplace</x:v>
      </x:c>
      <x:c r="L2280" s="84" t="str">
        <x:f>'Raw Sales'!I2280</x:f>
        <x:v>FITN-002</x:v>
      </x:c>
      <x:c r="M2280" s="84" t="str">
        <x:f>IFERROR(VLOOKUP(L2280,'Reference Data'!$A$5:$F$40,2,FALSE),"Unknown Product")</x:f>
        <x:v>Adjustable Dumbbell Set</x:v>
      </x:c>
      <x:c r="N2280" s="84" t="str">
        <x:f>IFERROR(VLOOKUP(L2280,'Reference Data'!$A$5:$F$40,3,FALSE),"Unknown")</x:f>
        <x:v>Fitness</x:v>
      </x:c>
      <x:c r="O2280" s="84" t="str">
        <x:f>IFERROR(VLOOKUP(L2280,'Reference Data'!$A$5:$F$40,4,FALSE),"Unknown")</x:f>
        <x:v>Strength</x:v>
      </x:c>
      <x:c r="P2280" s="92" t="n">
        <x:f>IFERROR(VLOOKUP(L2280,'Reference Data'!$A$5:$F$40,5,FALSE),0)</x:f>
        <x:v>99</x:v>
      </x:c>
      <x:c r="Q2280" s="92" t="n">
        <x:f>IFERROR(VLOOKUP(L2280,'Reference Data'!$A$5:$F$40,6,FALSE),0)</x:f>
        <x:v>57</x:v>
      </x:c>
      <x:c r="R2280" s="84" t="n">
        <x:f>'Raw Sales'!J2280</x:f>
        <x:v>3</x:v>
      </x:c>
      <x:c r="S2280" s="87" t="n">
        <x:f>'Raw Sales'!K2280</x:f>
        <x:v>0.1</x:v>
      </x:c>
      <x:c r="T2280" s="93" t="n">
        <x:f>P2280*R2280</x:f>
        <x:v>297</x:v>
      </x:c>
      <x:c r="U2280" s="93" t="n">
        <x:f>T2280*S2280</x:f>
        <x:v>29.700000000000003</x:v>
      </x:c>
      <x:c r="V2280" s="93" t="str">
        <x:f>PROPER(TRIM('Raw Sales'!L2280))</x:f>
        <x:v>Returned</x:v>
      </x:c>
      <x:c r="W2280" s="93" t="n">
        <x:f>IF(V2280="Returned",0,T2280-U2280)</x:f>
        <x:v>0</x:v>
      </x:c>
      <x:c r="X2280" s="93" t="n">
        <x:f>IF(V2280="Returned",Q2280*R2280*10%,Q2280*R2280)</x:f>
        <x:v>17.1</x:v>
      </x:c>
      <x:c r="Y2280" s="93" t="n">
        <x:f>W2280-X2280</x:f>
        <x:v>-17.1</x:v>
      </x:c>
      <x:c r="Z2280" s="94" t="n">
        <x:f>IFERROR(Y2280/W2280,0)</x:f>
        <x:v>0</x:v>
      </x:c>
      <x:c r="AA2280" s="84" t="str">
        <x:f>PROPER(TRIM('Raw Sales'!M2280))</x:f>
        <x:v>Debit Card</x:v>
      </x:c>
      <x:c r="AB2280" s="84" t="str">
        <x:f>PROPER(TRIM('Raw Sales'!N2280))</x:f>
        <x:v>Ethan Cole</x:v>
      </x:c>
      <x:c r="AC2280" s="85" t="n">
        <x:f>'Raw Sales'!O2280</x:f>
        <x:v>45999</x:v>
      </x:c>
      <x:c r="AD2280" s="84" t="n">
        <x:f>AC2280-B2280</x:f>
        <x:v>4</x:v>
      </x:c>
      <x:c r="AE2280" s="84" t="str">
        <x:f>IF(COUNTIF($A$5:A2280,A2280)&gt;1,"Duplicate","Keep")</x:f>
        <x:v>Keep</x:v>
      </x:c>
      <x:c r="AF2280" s="84" t="str">
        <x:f>IF(OR(R2280&lt;=0,AC2280&lt;B2280,H2280="Unknown",M2280="Unknown Product"),"Review","Valid")</x:f>
        <x:v>Valid</x:v>
      </x:c>
      <x:c r="AG2280" s="84" t="n">
        <x:f>IF(AND(AE2280="Keep",AF2280="Valid"),1,0)</x:f>
        <x:v>1</x:v>
      </x:c>
      <x:c r="AH2280" s="84" t="n">
        <x:f>IF(AND(AG2280=1,OR('Dashboard'!$B$4="All",I2280='Dashboard'!$B$4),OR('Dashboard'!$E$4="All",N2280='Dashboard'!$E$4),OR('Dashboard'!$H$4="All",K2280='Dashboard'!$H$4),OR('Dashboard'!$K$4="All",C2280='Dashboard'!$K$4)),1,0)</x:f>
        <x:v>1</x:v>
      </x:c>
      <x:c r="AI2280" s="84" t="n">
        <x:f>IF(AND(AG2280=1,OR('Dashboard'!$B$4="All",I2280='Dashboard'!$B$4),OR('Dashboard'!$E$4="All",N2280='Dashboard'!$E$4),OR('Dashboard'!$H$4="All",K2280='Dashboard'!$H$4)),1,0)</x:f>
        <x:v>1</x:v>
      </x:c>
    </x:row>
    <x:row r="2281">
      <x:c r="A2281" s="84" t="str">
        <x:f>'Raw Sales'!A2281</x:f>
        <x:v>ORD-2025-02231</x:v>
      </x:c>
      <x:c r="B2281" s="85" t="n">
        <x:f>'Raw Sales'!B2281</x:f>
        <x:v>45995</x:v>
      </x:c>
      <x:c r="C2281" s="84" t="n">
        <x:f>YEAR(B2281)</x:f>
        <x:v>2025</x:v>
      </x:c>
      <x:c r="D2281" s="91" t="n">
        <x:f>DATE(YEAR(B2281),MONTH(B2281),1)</x:f>
        <x:v>45992</x:v>
      </x:c>
      <x:c r="E2281" s="84" t="str">
        <x:f>TEXT(B2281,"mmm")</x:f>
        <x:v>Dec</x:v>
      </x:c>
      <x:c r="F2281" s="84" t="str">
        <x:f>'Raw Sales'!C2281</x:f>
        <x:v>CUST-0477</x:v>
      </x:c>
      <x:c r="G2281" s="84" t="str">
        <x:f>PROPER(TRIM('Raw Sales'!D2281))</x:f>
        <x:v>William Adams</x:v>
      </x:c>
      <x:c r="H2281" s="84" t="str">
        <x:f>IF(TRIM('Raw Sales'!E2281)="","Unknown",PROPER(TRIM('Raw Sales'!E2281)))</x:f>
        <x:v>Small Business</x:v>
      </x:c>
      <x:c r="I2281" s="84" t="str">
        <x:f>PROPER(TRIM('Raw Sales'!F2281))</x:f>
        <x:v>Southeast</x:v>
      </x:c>
      <x:c r="J2281" s="84" t="str">
        <x:f>PROPER(TRIM('Raw Sales'!G2281))</x:f>
        <x:v>Nashville</x:v>
      </x:c>
      <x:c r="K2281" s="84" t="str">
        <x:f>PROPER(TRIM('Raw Sales'!H2281))</x:f>
        <x:v>Retail Store</x:v>
      </x:c>
      <x:c r="L2281" s="84" t="str">
        <x:f>'Raw Sales'!I2281</x:f>
        <x:v>ELEC-003</x:v>
      </x:c>
      <x:c r="M2281" s="84" t="str">
        <x:f>IFERROR(VLOOKUP(L2281,'Reference Data'!$A$5:$F$40,2,FALSE),"Unknown Product")</x:f>
        <x:v>Bluetooth Speaker</x:v>
      </x:c>
      <x:c r="N2281" s="84" t="str">
        <x:f>IFERROR(VLOOKUP(L2281,'Reference Data'!$A$5:$F$40,3,FALSE),"Unknown")</x:f>
        <x:v>Electronics</x:v>
      </x:c>
      <x:c r="O2281" s="84" t="str">
        <x:f>IFERROR(VLOOKUP(L2281,'Reference Data'!$A$5:$F$40,4,FALSE),"Unknown")</x:f>
        <x:v>Audio</x:v>
      </x:c>
      <x:c r="P2281" s="92" t="n">
        <x:f>IFERROR(VLOOKUP(L2281,'Reference Data'!$A$5:$F$40,5,FALSE),0)</x:f>
        <x:v>89</x:v>
      </x:c>
      <x:c r="Q2281" s="92" t="n">
        <x:f>IFERROR(VLOOKUP(L2281,'Reference Data'!$A$5:$F$40,6,FALSE),0)</x:f>
        <x:v>44</x:v>
      </x:c>
      <x:c r="R2281" s="84" t="n">
        <x:f>'Raw Sales'!J2281</x:f>
        <x:v>2</x:v>
      </x:c>
      <x:c r="S2281" s="87" t="n">
        <x:f>'Raw Sales'!K2281</x:f>
        <x:v>0</x:v>
      </x:c>
      <x:c r="T2281" s="93" t="n">
        <x:f>P2281*R2281</x:f>
        <x:v>178</x:v>
      </x:c>
      <x:c r="U2281" s="93" t="n">
        <x:f>T2281*S2281</x:f>
        <x:v>0</x:v>
      </x:c>
      <x:c r="V2281" s="93" t="str">
        <x:f>PROPER(TRIM('Raw Sales'!L2281))</x:f>
        <x:v>Completed</x:v>
      </x:c>
      <x:c r="W2281" s="93" t="n">
        <x:f>IF(V2281="Returned",0,T2281-U2281)</x:f>
        <x:v>178</x:v>
      </x:c>
      <x:c r="X2281" s="93" t="n">
        <x:f>IF(V2281="Returned",Q2281*R2281*10%,Q2281*R2281)</x:f>
        <x:v>88</x:v>
      </x:c>
      <x:c r="Y2281" s="93" t="n">
        <x:f>W2281-X2281</x:f>
        <x:v>90</x:v>
      </x:c>
      <x:c r="Z2281" s="94" t="n">
        <x:f>IFERROR(Y2281/W2281,0)</x:f>
        <x:v>0.5056179775280899</x:v>
      </x:c>
      <x:c r="AA2281" s="84" t="str">
        <x:f>PROPER(TRIM('Raw Sales'!M2281))</x:f>
        <x:v>Mobile Wallet</x:v>
      </x:c>
      <x:c r="AB2281" s="84" t="str">
        <x:f>PROPER(TRIM('Raw Sales'!N2281))</x:f>
        <x:v>Noah Reed</x:v>
      </x:c>
      <x:c r="AC2281" s="85" t="n">
        <x:f>'Raw Sales'!O2281</x:f>
        <x:v>45995</x:v>
      </x:c>
      <x:c r="AD2281" s="84" t="n">
        <x:f>AC2281-B2281</x:f>
        <x:v>0</x:v>
      </x:c>
      <x:c r="AE2281" s="84" t="str">
        <x:f>IF(COUNTIF($A$5:A2281,A2281)&gt;1,"Duplicate","Keep")</x:f>
        <x:v>Keep</x:v>
      </x:c>
      <x:c r="AF2281" s="84" t="str">
        <x:f>IF(OR(R2281&lt;=0,AC2281&lt;B2281,H2281="Unknown",M2281="Unknown Product"),"Review","Valid")</x:f>
        <x:v>Valid</x:v>
      </x:c>
      <x:c r="AG2281" s="84" t="n">
        <x:f>IF(AND(AE2281="Keep",AF2281="Valid"),1,0)</x:f>
        <x:v>1</x:v>
      </x:c>
      <x:c r="AH2281" s="84" t="n">
        <x:f>IF(AND(AG2281=1,OR('Dashboard'!$B$4="All",I2281='Dashboard'!$B$4),OR('Dashboard'!$E$4="All",N2281='Dashboard'!$E$4),OR('Dashboard'!$H$4="All",K2281='Dashboard'!$H$4),OR('Dashboard'!$K$4="All",C2281='Dashboard'!$K$4)),1,0)</x:f>
        <x:v>1</x:v>
      </x:c>
      <x:c r="AI2281" s="84" t="n">
        <x:f>IF(AND(AG2281=1,OR('Dashboard'!$B$4="All",I2281='Dashboard'!$B$4),OR('Dashboard'!$E$4="All",N2281='Dashboard'!$E$4),OR('Dashboard'!$H$4="All",K2281='Dashboard'!$H$4)),1,0)</x:f>
        <x:v>1</x:v>
      </x:c>
    </x:row>
    <x:row r="2282">
      <x:c r="A2282" s="84" t="str">
        <x:f>'Raw Sales'!A2282</x:f>
        <x:v>ORD-2025-00216</x:v>
      </x:c>
      <x:c r="B2282" s="85" t="n">
        <x:f>'Raw Sales'!B2282</x:f>
        <x:v>45996</x:v>
      </x:c>
      <x:c r="C2282" s="84" t="n">
        <x:f>YEAR(B2282)</x:f>
        <x:v>2025</x:v>
      </x:c>
      <x:c r="D2282" s="91" t="n">
        <x:f>DATE(YEAR(B2282),MONTH(B2282),1)</x:f>
        <x:v>45992</x:v>
      </x:c>
      <x:c r="E2282" s="84" t="str">
        <x:f>TEXT(B2282,"mmm")</x:f>
        <x:v>Dec</x:v>
      </x:c>
      <x:c r="F2282" s="84" t="str">
        <x:f>'Raw Sales'!C2282</x:f>
        <x:v>CUST-0037</x:v>
      </x:c>
      <x:c r="G2282" s="84" t="str">
        <x:f>PROPER(TRIM('Raw Sales'!D2282))</x:f>
        <x:v>Isaac Garcia</x:v>
      </x:c>
      <x:c r="H2282" s="84" t="str">
        <x:f>IF(TRIM('Raw Sales'!E2282)="","Unknown",PROPER(TRIM('Raw Sales'!E2282)))</x:f>
        <x:v>Corporate</x:v>
      </x:c>
      <x:c r="I2282" s="84" t="str">
        <x:f>PROPER(TRIM('Raw Sales'!F2282))</x:f>
        <x:v>West</x:v>
      </x:c>
      <x:c r="J2282" s="84" t="str">
        <x:f>PROPER(TRIM('Raw Sales'!G2282))</x:f>
        <x:v>Los Angeles</x:v>
      </x:c>
      <x:c r="K2282" s="84" t="str">
        <x:f>PROPER(TRIM('Raw Sales'!H2282))</x:f>
        <x:v>Retail Store</x:v>
      </x:c>
      <x:c r="L2282" s="84" t="str">
        <x:f>'Raw Sales'!I2282</x:f>
        <x:v>ACCS-006</x:v>
      </x:c>
      <x:c r="M2282" s="84" t="str">
        <x:f>IFERROR(VLOOKUP(L2282,'Reference Data'!$A$5:$F$40,2,FALSE),"Unknown Product")</x:f>
        <x:v>Insulated Lunch Bag</x:v>
      </x:c>
      <x:c r="N2282" s="84" t="str">
        <x:f>IFERROR(VLOOKUP(L2282,'Reference Data'!$A$5:$F$40,3,FALSE),"Unknown")</x:f>
        <x:v>Accessories</x:v>
      </x:c>
      <x:c r="O2282" s="84" t="str">
        <x:f>IFERROR(VLOOKUP(L2282,'Reference Data'!$A$5:$F$40,4,FALSE),"Unknown")</x:f>
        <x:v>Bags</x:v>
      </x:c>
      <x:c r="P2282" s="92" t="n">
        <x:f>IFERROR(VLOOKUP(L2282,'Reference Data'!$A$5:$F$40,5,FALSE),0)</x:f>
        <x:v>29</x:v>
      </x:c>
      <x:c r="Q2282" s="92" t="n">
        <x:f>IFERROR(VLOOKUP(L2282,'Reference Data'!$A$5:$F$40,6,FALSE),0)</x:f>
        <x:v>10</x:v>
      </x:c>
      <x:c r="R2282" s="84" t="n">
        <x:f>'Raw Sales'!J2282</x:f>
        <x:v>1</x:v>
      </x:c>
      <x:c r="S2282" s="87" t="n">
        <x:f>'Raw Sales'!K2282</x:f>
        <x:v>0.05</x:v>
      </x:c>
      <x:c r="T2282" s="93" t="n">
        <x:f>P2282*R2282</x:f>
        <x:v>29</x:v>
      </x:c>
      <x:c r="U2282" s="93" t="n">
        <x:f>T2282*S2282</x:f>
        <x:v>1.4500000000000002</x:v>
      </x:c>
      <x:c r="V2282" s="93" t="str">
        <x:f>PROPER(TRIM('Raw Sales'!L2282))</x:f>
        <x:v>Completed</x:v>
      </x:c>
      <x:c r="W2282" s="93" t="n">
        <x:f>IF(V2282="Returned",0,T2282-U2282)</x:f>
        <x:v>27.55</x:v>
      </x:c>
      <x:c r="X2282" s="93" t="n">
        <x:f>IF(V2282="Returned",Q2282*R2282*10%,Q2282*R2282)</x:f>
        <x:v>10</x:v>
      </x:c>
      <x:c r="Y2282" s="93" t="n">
        <x:f>W2282-X2282</x:f>
        <x:v>17.55</x:v>
      </x:c>
      <x:c r="Z2282" s="94" t="n">
        <x:f>IFERROR(Y2282/W2282,0)</x:f>
        <x:v>0.6370235934664247</x:v>
      </x:c>
      <x:c r="AA2282" s="84" t="str">
        <x:f>PROPER(TRIM('Raw Sales'!M2282))</x:f>
        <x:v>Credit Card</x:v>
      </x:c>
      <x:c r="AB2282" s="84" t="str">
        <x:f>PROPER(TRIM('Raw Sales'!N2282))</x:f>
        <x:v>Mia Chen</x:v>
      </x:c>
      <x:c r="AC2282" s="85" t="n">
        <x:f>'Raw Sales'!O2282</x:f>
        <x:v>45996</x:v>
      </x:c>
      <x:c r="AD2282" s="84" t="n">
        <x:f>AC2282-B2282</x:f>
        <x:v>0</x:v>
      </x:c>
      <x:c r="AE2282" s="84" t="str">
        <x:f>IF(COUNTIF($A$5:A2282,A2282)&gt;1,"Duplicate","Keep")</x:f>
        <x:v>Keep</x:v>
      </x:c>
      <x:c r="AF2282" s="84" t="str">
        <x:f>IF(OR(R2282&lt;=0,AC2282&lt;B2282,H2282="Unknown",M2282="Unknown Product"),"Review","Valid")</x:f>
        <x:v>Valid</x:v>
      </x:c>
      <x:c r="AG2282" s="84" t="n">
        <x:f>IF(AND(AE2282="Keep",AF2282="Valid"),1,0)</x:f>
        <x:v>1</x:v>
      </x:c>
      <x:c r="AH2282" s="84" t="n">
        <x:f>IF(AND(AG2282=1,OR('Dashboard'!$B$4="All",I2282='Dashboard'!$B$4),OR('Dashboard'!$E$4="All",N2282='Dashboard'!$E$4),OR('Dashboard'!$H$4="All",K2282='Dashboard'!$H$4),OR('Dashboard'!$K$4="All",C2282='Dashboard'!$K$4)),1,0)</x:f>
        <x:v>1</x:v>
      </x:c>
      <x:c r="AI2282" s="84" t="n">
        <x:f>IF(AND(AG2282=1,OR('Dashboard'!$B$4="All",I2282='Dashboard'!$B$4),OR('Dashboard'!$E$4="All",N2282='Dashboard'!$E$4),OR('Dashboard'!$H$4="All",K2282='Dashboard'!$H$4)),1,0)</x:f>
        <x:v>1</x:v>
      </x:c>
    </x:row>
    <x:row r="2283">
      <x:c r="A2283" s="84" t="str">
        <x:f>'Raw Sales'!A2283</x:f>
        <x:v>ORD-2025-01987</x:v>
      </x:c>
      <x:c r="B2283" s="85" t="n">
        <x:f>'Raw Sales'!B2283</x:f>
        <x:v>45996</x:v>
      </x:c>
      <x:c r="C2283" s="84" t="n">
        <x:f>YEAR(B2283)</x:f>
        <x:v>2025</x:v>
      </x:c>
      <x:c r="D2283" s="91" t="n">
        <x:f>DATE(YEAR(B2283),MONTH(B2283),1)</x:f>
        <x:v>45992</x:v>
      </x:c>
      <x:c r="E2283" s="84" t="str">
        <x:f>TEXT(B2283,"mmm")</x:f>
        <x:v>Dec</x:v>
      </x:c>
      <x:c r="F2283" s="84" t="str">
        <x:f>'Raw Sales'!C2283</x:f>
        <x:v>CUST-0067</x:v>
      </x:c>
      <x:c r="G2283" s="84" t="str">
        <x:f>PROPER(TRIM('Raw Sales'!D2283))</x:f>
        <x:v>William Garcia</x:v>
      </x:c>
      <x:c r="H2283" s="84" t="str">
        <x:f>IF(TRIM('Raw Sales'!E2283)="","Unknown",PROPER(TRIM('Raw Sales'!E2283)))</x:f>
        <x:v>Consumer</x:v>
      </x:c>
      <x:c r="I2283" s="84" t="str">
        <x:f>PROPER(TRIM('Raw Sales'!F2283))</x:f>
        <x:v>West</x:v>
      </x:c>
      <x:c r="J2283" s="84" t="str">
        <x:f>PROPER(TRIM('Raw Sales'!G2283))</x:f>
        <x:v>Phoenix</x:v>
      </x:c>
      <x:c r="K2283" s="84" t="str">
        <x:f>PROPER(TRIM('Raw Sales'!H2283))</x:f>
        <x:v>Marketplace</x:v>
      </x:c>
      <x:c r="L2283" s="84" t="str">
        <x:f>'Raw Sales'!I2283</x:f>
        <x:v>ELEC-005</x:v>
      </x:c>
      <x:c r="M2283" s="84" t="str">
        <x:f>IFERROR(VLOOKUP(L2283,'Reference Data'!$A$5:$F$40,2,FALSE),"Unknown Product")</x:f>
        <x:v>HD Webcam</x:v>
      </x:c>
      <x:c r="N2283" s="84" t="str">
        <x:f>IFERROR(VLOOKUP(L2283,'Reference Data'!$A$5:$F$40,3,FALSE),"Unknown")</x:f>
        <x:v>Electronics</x:v>
      </x:c>
      <x:c r="O2283" s="84" t="str">
        <x:f>IFERROR(VLOOKUP(L2283,'Reference Data'!$A$5:$F$40,4,FALSE),"Unknown")</x:f>
        <x:v>Computer Accessories</x:v>
      </x:c>
      <x:c r="P2283" s="92" t="n">
        <x:f>IFERROR(VLOOKUP(L2283,'Reference Data'!$A$5:$F$40,5,FALSE),0)</x:f>
        <x:v>79</x:v>
      </x:c>
      <x:c r="Q2283" s="92" t="n">
        <x:f>IFERROR(VLOOKUP(L2283,'Reference Data'!$A$5:$F$40,6,FALSE),0)</x:f>
        <x:v>37</x:v>
      </x:c>
      <x:c r="R2283" s="84" t="n">
        <x:f>'Raw Sales'!J2283</x:f>
        <x:v>2</x:v>
      </x:c>
      <x:c r="S2283" s="87" t="n">
        <x:f>'Raw Sales'!K2283</x:f>
        <x:v>0.15</x:v>
      </x:c>
      <x:c r="T2283" s="93" t="n">
        <x:f>P2283*R2283</x:f>
        <x:v>158</x:v>
      </x:c>
      <x:c r="U2283" s="93" t="n">
        <x:f>T2283*S2283</x:f>
        <x:v>23.7</x:v>
      </x:c>
      <x:c r="V2283" s="93" t="str">
        <x:f>PROPER(TRIM('Raw Sales'!L2283))</x:f>
        <x:v>Returned</x:v>
      </x:c>
      <x:c r="W2283" s="93" t="n">
        <x:f>IF(V2283="Returned",0,T2283-U2283)</x:f>
        <x:v>0</x:v>
      </x:c>
      <x:c r="X2283" s="93" t="n">
        <x:f>IF(V2283="Returned",Q2283*R2283*10%,Q2283*R2283)</x:f>
        <x:v>7.4</x:v>
      </x:c>
      <x:c r="Y2283" s="93" t="n">
        <x:f>W2283-X2283</x:f>
        <x:v>-7.4</x:v>
      </x:c>
      <x:c r="Z2283" s="94" t="n">
        <x:f>IFERROR(Y2283/W2283,0)</x:f>
        <x:v>0</x:v>
      </x:c>
      <x:c r="AA2283" s="84" t="str">
        <x:f>PROPER(TRIM('Raw Sales'!M2283))</x:f>
        <x:v>Credit Card</x:v>
      </x:c>
      <x:c r="AB2283" s="84" t="str">
        <x:f>PROPER(TRIM('Raw Sales'!N2283))</x:f>
        <x:v>Nora Kim</x:v>
      </x:c>
      <x:c r="AC2283" s="85" t="n">
        <x:f>'Raw Sales'!O2283</x:f>
        <x:v>46002</x:v>
      </x:c>
      <x:c r="AD2283" s="84" t="n">
        <x:f>AC2283-B2283</x:f>
        <x:v>6</x:v>
      </x:c>
      <x:c r="AE2283" s="84" t="str">
        <x:f>IF(COUNTIF($A$5:A2283,A2283)&gt;1,"Duplicate","Keep")</x:f>
        <x:v>Keep</x:v>
      </x:c>
      <x:c r="AF2283" s="84" t="str">
        <x:f>IF(OR(R2283&lt;=0,AC2283&lt;B2283,H2283="Unknown",M2283="Unknown Product"),"Review","Valid")</x:f>
        <x:v>Valid</x:v>
      </x:c>
      <x:c r="AG2283" s="84" t="n">
        <x:f>IF(AND(AE2283="Keep",AF2283="Valid"),1,0)</x:f>
        <x:v>1</x:v>
      </x:c>
      <x:c r="AH2283" s="84" t="n">
        <x:f>IF(AND(AG2283=1,OR('Dashboard'!$B$4="All",I2283='Dashboard'!$B$4),OR('Dashboard'!$E$4="All",N2283='Dashboard'!$E$4),OR('Dashboard'!$H$4="All",K2283='Dashboard'!$H$4),OR('Dashboard'!$K$4="All",C2283='Dashboard'!$K$4)),1,0)</x:f>
        <x:v>1</x:v>
      </x:c>
      <x:c r="AI2283" s="84" t="n">
        <x:f>IF(AND(AG2283=1,OR('Dashboard'!$B$4="All",I2283='Dashboard'!$B$4),OR('Dashboard'!$E$4="All",N2283='Dashboard'!$E$4),OR('Dashboard'!$H$4="All",K2283='Dashboard'!$H$4)),1,0)</x:f>
        <x:v>1</x:v>
      </x:c>
    </x:row>
    <x:row r="2284">
      <x:c r="A2284" s="84" t="str">
        <x:f>'Raw Sales'!A2284</x:f>
        <x:v>ORD-2025-02095</x:v>
      </x:c>
      <x:c r="B2284" s="85" t="n">
        <x:f>'Raw Sales'!B2284</x:f>
        <x:v>45996</x:v>
      </x:c>
      <x:c r="C2284" s="84" t="n">
        <x:f>YEAR(B2284)</x:f>
        <x:v>2025</x:v>
      </x:c>
      <x:c r="D2284" s="91" t="n">
        <x:f>DATE(YEAR(B2284),MONTH(B2284),1)</x:f>
        <x:v>45992</x:v>
      </x:c>
      <x:c r="E2284" s="84" t="str">
        <x:f>TEXT(B2284,"mmm")</x:f>
        <x:v>Dec</x:v>
      </x:c>
      <x:c r="F2284" s="84" t="str">
        <x:f>'Raw Sales'!C2284</x:f>
        <x:v>CUST-0316</x:v>
      </x:c>
      <x:c r="G2284" s="84" t="str">
        <x:f>PROPER(TRIM('Raw Sales'!D2284))</x:f>
        <x:v>Jonah Nelson</x:v>
      </x:c>
      <x:c r="H2284" s="84" t="str">
        <x:f>IF(TRIM('Raw Sales'!E2284)="","Unknown",PROPER(TRIM('Raw Sales'!E2284)))</x:f>
        <x:v>Small Business</x:v>
      </x:c>
      <x:c r="I2284" s="84" t="str">
        <x:f>PROPER(TRIM('Raw Sales'!F2284))</x:f>
        <x:v>Midwest</x:v>
      </x:c>
      <x:c r="J2284" s="84" t="str">
        <x:f>PROPER(TRIM('Raw Sales'!G2284))</x:f>
        <x:v>Detroit</x:v>
      </x:c>
      <x:c r="K2284" s="84" t="str">
        <x:f>PROPER(TRIM('Raw Sales'!H2284))</x:f>
        <x:v>Retail Store</x:v>
      </x:c>
      <x:c r="L2284" s="84" t="str">
        <x:f>'Raw Sales'!I2284</x:f>
        <x:v>ELEC-001</x:v>
      </x:c>
      <x:c r="M2284" s="84" t="str">
        <x:f>IFERROR(VLOOKUP(L2284,'Reference Data'!$A$5:$F$40,2,FALSE),"Unknown Product")</x:f>
        <x:v>Wireless Earbuds</x:v>
      </x:c>
      <x:c r="N2284" s="84" t="str">
        <x:f>IFERROR(VLOOKUP(L2284,'Reference Data'!$A$5:$F$40,3,FALSE),"Unknown")</x:f>
        <x:v>Electronics</x:v>
      </x:c>
      <x:c r="O2284" s="84" t="str">
        <x:f>IFERROR(VLOOKUP(L2284,'Reference Data'!$A$5:$F$40,4,FALSE),"Unknown")</x:f>
        <x:v>Audio</x:v>
      </x:c>
      <x:c r="P2284" s="92" t="n">
        <x:f>IFERROR(VLOOKUP(L2284,'Reference Data'!$A$5:$F$40,5,FALSE),0)</x:f>
        <x:v>69</x:v>
      </x:c>
      <x:c r="Q2284" s="92" t="n">
        <x:f>IFERROR(VLOOKUP(L2284,'Reference Data'!$A$5:$F$40,6,FALSE),0)</x:f>
        <x:v>36</x:v>
      </x:c>
      <x:c r="R2284" s="84" t="n">
        <x:f>'Raw Sales'!J2284</x:f>
        <x:v>1</x:v>
      </x:c>
      <x:c r="S2284" s="87" t="n">
        <x:f>'Raw Sales'!K2284</x:f>
        <x:v>0.05</x:v>
      </x:c>
      <x:c r="T2284" s="93" t="n">
        <x:f>P2284*R2284</x:f>
        <x:v>69</x:v>
      </x:c>
      <x:c r="U2284" s="93" t="n">
        <x:f>T2284*S2284</x:f>
        <x:v>3.45</x:v>
      </x:c>
      <x:c r="V2284" s="93" t="str">
        <x:f>PROPER(TRIM('Raw Sales'!L2284))</x:f>
        <x:v>Completed</x:v>
      </x:c>
      <x:c r="W2284" s="93" t="n">
        <x:f>IF(V2284="Returned",0,T2284-U2284)</x:f>
        <x:v>65.55</x:v>
      </x:c>
      <x:c r="X2284" s="93" t="n">
        <x:f>IF(V2284="Returned",Q2284*R2284*10%,Q2284*R2284)</x:f>
        <x:v>36</x:v>
      </x:c>
      <x:c r="Y2284" s="93" t="n">
        <x:f>W2284-X2284</x:f>
        <x:v>29.549999999999997</x:v>
      </x:c>
      <x:c r="Z2284" s="94" t="n">
        <x:f>IFERROR(Y2284/W2284,0)</x:f>
        <x:v>0.45080091533180777</x:v>
      </x:c>
      <x:c r="AA2284" s="84" t="str">
        <x:f>PROPER(TRIM('Raw Sales'!M2284))</x:f>
        <x:v>Mobile Wallet</x:v>
      </x:c>
      <x:c r="AB2284" s="84" t="str">
        <x:f>PROPER(TRIM('Raw Sales'!N2284))</x:f>
        <x:v>Emma Hayes</x:v>
      </x:c>
      <x:c r="AC2284" s="85" t="n">
        <x:f>'Raw Sales'!O2284</x:f>
        <x:v>45997</x:v>
      </x:c>
      <x:c r="AD2284" s="84" t="n">
        <x:f>AC2284-B2284</x:f>
        <x:v>1</x:v>
      </x:c>
      <x:c r="AE2284" s="84" t="str">
        <x:f>IF(COUNTIF($A$5:A2284,A2284)&gt;1,"Duplicate","Keep")</x:f>
        <x:v>Keep</x:v>
      </x:c>
      <x:c r="AF2284" s="84" t="str">
        <x:f>IF(OR(R2284&lt;=0,AC2284&lt;B2284,H2284="Unknown",M2284="Unknown Product"),"Review","Valid")</x:f>
        <x:v>Valid</x:v>
      </x:c>
      <x:c r="AG2284" s="84" t="n">
        <x:f>IF(AND(AE2284="Keep",AF2284="Valid"),1,0)</x:f>
        <x:v>1</x:v>
      </x:c>
      <x:c r="AH2284" s="84" t="n">
        <x:f>IF(AND(AG2284=1,OR('Dashboard'!$B$4="All",I2284='Dashboard'!$B$4),OR('Dashboard'!$E$4="All",N2284='Dashboard'!$E$4),OR('Dashboard'!$H$4="All",K2284='Dashboard'!$H$4),OR('Dashboard'!$K$4="All",C2284='Dashboard'!$K$4)),1,0)</x:f>
        <x:v>1</x:v>
      </x:c>
      <x:c r="AI2284" s="84" t="n">
        <x:f>IF(AND(AG2284=1,OR('Dashboard'!$B$4="All",I2284='Dashboard'!$B$4),OR('Dashboard'!$E$4="All",N2284='Dashboard'!$E$4),OR('Dashboard'!$H$4="All",K2284='Dashboard'!$H$4)),1,0)</x:f>
        <x:v>1</x:v>
      </x:c>
    </x:row>
    <x:row r="2285">
      <x:c r="A2285" s="84" t="str">
        <x:f>'Raw Sales'!A2285</x:f>
        <x:v>ORD-2025-00122</x:v>
      </x:c>
      <x:c r="B2285" s="85" t="n">
        <x:f>'Raw Sales'!B2285</x:f>
        <x:v>45997</x:v>
      </x:c>
      <x:c r="C2285" s="84" t="n">
        <x:f>YEAR(B2285)</x:f>
        <x:v>2025</x:v>
      </x:c>
      <x:c r="D2285" s="91" t="n">
        <x:f>DATE(YEAR(B2285),MONTH(B2285),1)</x:f>
        <x:v>45992</x:v>
      </x:c>
      <x:c r="E2285" s="84" t="str">
        <x:f>TEXT(B2285,"mmm")</x:f>
        <x:v>Dec</x:v>
      </x:c>
      <x:c r="F2285" s="84" t="str">
        <x:f>'Raw Sales'!C2285</x:f>
        <x:v>CUST-0310</x:v>
      </x:c>
      <x:c r="G2285" s="84" t="str">
        <x:f>PROPER(TRIM('Raw Sales'!D2285))</x:f>
        <x:v>Marcus Patel</x:v>
      </x:c>
      <x:c r="H2285" s="84" t="str">
        <x:f>IF(TRIM('Raw Sales'!E2285)="","Unknown",PROPER(TRIM('Raw Sales'!E2285)))</x:f>
        <x:v>Unknown</x:v>
      </x:c>
      <x:c r="I2285" s="84" t="str">
        <x:f>PROPER(TRIM('Raw Sales'!F2285))</x:f>
        <x:v>Midwest</x:v>
      </x:c>
      <x:c r="J2285" s="84" t="str">
        <x:f>PROPER(TRIM('Raw Sales'!G2285))</x:f>
        <x:v>Columbus</x:v>
      </x:c>
      <x:c r="K2285" s="84" t="str">
        <x:f>PROPER(TRIM('Raw Sales'!H2285))</x:f>
        <x:v>Online</x:v>
      </x:c>
      <x:c r="L2285" s="84" t="str">
        <x:f>'Raw Sales'!I2285</x:f>
        <x:v>CARE-006</x:v>
      </x:c>
      <x:c r="M2285" s="84" t="str">
        <x:f>IFERROR(VLOOKUP(L2285,'Reference Data'!$A$5:$F$40,2,FALSE),"Unknown Product")</x:f>
        <x:v>Percussion Massage Gun</x:v>
      </x:c>
      <x:c r="N2285" s="84" t="str">
        <x:f>IFERROR(VLOOKUP(L2285,'Reference Data'!$A$5:$F$40,3,FALSE),"Unknown")</x:f>
        <x:v>Personal Care</x:v>
      </x:c>
      <x:c r="O2285" s="84" t="str">
        <x:f>IFERROR(VLOOKUP(L2285,'Reference Data'!$A$5:$F$40,4,FALSE),"Unknown")</x:f>
        <x:v>Wellness</x:v>
      </x:c>
      <x:c r="P2285" s="92" t="n">
        <x:f>IFERROR(VLOOKUP(L2285,'Reference Data'!$A$5:$F$40,5,FALSE),0)</x:f>
        <x:v>129</x:v>
      </x:c>
      <x:c r="Q2285" s="92" t="n">
        <x:f>IFERROR(VLOOKUP(L2285,'Reference Data'!$A$5:$F$40,6,FALSE),0)</x:f>
        <x:v>70</x:v>
      </x:c>
      <x:c r="R2285" s="84" t="n">
        <x:f>'Raw Sales'!J2285</x:f>
        <x:v>1</x:v>
      </x:c>
      <x:c r="S2285" s="87" t="n">
        <x:f>'Raw Sales'!K2285</x:f>
        <x:v>0.1</x:v>
      </x:c>
      <x:c r="T2285" s="93" t="n">
        <x:f>P2285*R2285</x:f>
        <x:v>129</x:v>
      </x:c>
      <x:c r="U2285" s="93" t="n">
        <x:f>T2285*S2285</x:f>
        <x:v>12.9</x:v>
      </x:c>
      <x:c r="V2285" s="93" t="str">
        <x:f>PROPER(TRIM('Raw Sales'!L2285))</x:f>
        <x:v>Completed</x:v>
      </x:c>
      <x:c r="W2285" s="93" t="n">
        <x:f>IF(V2285="Returned",0,T2285-U2285)</x:f>
        <x:v>116.1</x:v>
      </x:c>
      <x:c r="X2285" s="93" t="n">
        <x:f>IF(V2285="Returned",Q2285*R2285*10%,Q2285*R2285)</x:f>
        <x:v>70</x:v>
      </x:c>
      <x:c r="Y2285" s="93" t="n">
        <x:f>W2285-X2285</x:f>
        <x:v>46.099999999999994</x:v>
      </x:c>
      <x:c r="Z2285" s="94" t="n">
        <x:f>IFERROR(Y2285/W2285,0)</x:f>
        <x:v>0.3970714900947459</x:v>
      </x:c>
      <x:c r="AA2285" s="84" t="str">
        <x:f>PROPER(TRIM('Raw Sales'!M2285))</x:f>
        <x:v>Credit Card</x:v>
      </x:c>
      <x:c r="AB2285" s="84" t="str">
        <x:f>PROPER(TRIM('Raw Sales'!N2285))</x:f>
        <x:v>Emma Hayes</x:v>
      </x:c>
      <x:c r="AC2285" s="85" t="n">
        <x:f>'Raw Sales'!O2285</x:f>
        <x:v>45999</x:v>
      </x:c>
      <x:c r="AD2285" s="84" t="n">
        <x:f>AC2285-B2285</x:f>
        <x:v>2</x:v>
      </x:c>
      <x:c r="AE2285" s="84" t="str">
        <x:f>IF(COUNTIF($A$5:A2285,A2285)&gt;1,"Duplicate","Keep")</x:f>
        <x:v>Keep</x:v>
      </x:c>
      <x:c r="AF2285" s="84" t="str">
        <x:f>IF(OR(R2285&lt;=0,AC2285&lt;B2285,H2285="Unknown",M2285="Unknown Product"),"Review","Valid")</x:f>
        <x:v>Review</x:v>
      </x:c>
      <x:c r="AG2285" s="84" t="n">
        <x:f>IF(AND(AE2285="Keep",AF2285="Valid"),1,0)</x:f>
        <x:v>0</x:v>
      </x:c>
      <x:c r="AH2285" s="84" t="n">
        <x:f>IF(AND(AG2285=1,OR('Dashboard'!$B$4="All",I2285='Dashboard'!$B$4),OR('Dashboard'!$E$4="All",N2285='Dashboard'!$E$4),OR('Dashboard'!$H$4="All",K2285='Dashboard'!$H$4),OR('Dashboard'!$K$4="All",C2285='Dashboard'!$K$4)),1,0)</x:f>
        <x:v>0</x:v>
      </x:c>
      <x:c r="AI2285" s="84" t="n">
        <x:f>IF(AND(AG2285=1,OR('Dashboard'!$B$4="All",I2285='Dashboard'!$B$4),OR('Dashboard'!$E$4="All",N2285='Dashboard'!$E$4),OR('Dashboard'!$H$4="All",K2285='Dashboard'!$H$4)),1,0)</x:f>
        <x:v>0</x:v>
      </x:c>
    </x:row>
    <x:row r="2286">
      <x:c r="A2286" s="84" t="str">
        <x:f>'Raw Sales'!A2286</x:f>
        <x:v>ORD-2025-00528</x:v>
      </x:c>
      <x:c r="B2286" s="85" t="n">
        <x:f>'Raw Sales'!B2286</x:f>
        <x:v>45997</x:v>
      </x:c>
      <x:c r="C2286" s="84" t="n">
        <x:f>YEAR(B2286)</x:f>
        <x:v>2025</x:v>
      </x:c>
      <x:c r="D2286" s="91" t="n">
        <x:f>DATE(YEAR(B2286),MONTH(B2286),1)</x:f>
        <x:v>45992</x:v>
      </x:c>
      <x:c r="E2286" s="84" t="str">
        <x:f>TEXT(B2286,"mmm")</x:f>
        <x:v>Dec</x:v>
      </x:c>
      <x:c r="F2286" s="84" t="str">
        <x:f>'Raw Sales'!C2286</x:f>
        <x:v>CUST-0350</x:v>
      </x:c>
      <x:c r="G2286" s="84" t="str">
        <x:f>PROPER(TRIM('Raw Sales'!D2286))</x:f>
        <x:v>Victoria Lewis</x:v>
      </x:c>
      <x:c r="H2286" s="84" t="str">
        <x:f>IF(TRIM('Raw Sales'!E2286)="","Unknown",PROPER(TRIM('Raw Sales'!E2286)))</x:f>
        <x:v>Consumer</x:v>
      </x:c>
      <x:c r="I2286" s="84" t="str">
        <x:f>PROPER(TRIM('Raw Sales'!F2286))</x:f>
        <x:v>Northeast</x:v>
      </x:c>
      <x:c r="J2286" s="84" t="str">
        <x:f>PROPER(TRIM('Raw Sales'!G2286))</x:f>
        <x:v>Philadelphia</x:v>
      </x:c>
      <x:c r="K2286" s="84" t="str">
        <x:f>PROPER(TRIM('Raw Sales'!H2286))</x:f>
        <x:v>Marketplace</x:v>
      </x:c>
      <x:c r="L2286" s="84" t="str">
        <x:f>'Raw Sales'!I2286</x:f>
        <x:v>HOME-003</x:v>
      </x:c>
      <x:c r="M2286" s="84" t="str">
        <x:f>IFERROR(VLOOKUP(L2286,'Reference Data'!$A$5:$F$40,2,FALSE),"Unknown Product")</x:f>
        <x:v>Countertop Blender</x:v>
      </x:c>
      <x:c r="N2286" s="84" t="str">
        <x:f>IFERROR(VLOOKUP(L2286,'Reference Data'!$A$5:$F$40,3,FALSE),"Unknown")</x:f>
        <x:v>Home &amp; Kitchen</x:v>
      </x:c>
      <x:c r="O2286" s="84" t="str">
        <x:f>IFERROR(VLOOKUP(L2286,'Reference Data'!$A$5:$F$40,4,FALSE),"Unknown")</x:f>
        <x:v>Small Appliances</x:v>
      </x:c>
      <x:c r="P2286" s="92" t="n">
        <x:f>IFERROR(VLOOKUP(L2286,'Reference Data'!$A$5:$F$40,5,FALSE),0)</x:f>
        <x:v>89</x:v>
      </x:c>
      <x:c r="Q2286" s="92" t="n">
        <x:f>IFERROR(VLOOKUP(L2286,'Reference Data'!$A$5:$F$40,6,FALSE),0)</x:f>
        <x:v>46</x:v>
      </x:c>
      <x:c r="R2286" s="84" t="n">
        <x:f>'Raw Sales'!J2286</x:f>
        <x:v>2</x:v>
      </x:c>
      <x:c r="S2286" s="87" t="n">
        <x:f>'Raw Sales'!K2286</x:f>
        <x:v>0.1</x:v>
      </x:c>
      <x:c r="T2286" s="93" t="n">
        <x:f>P2286*R2286</x:f>
        <x:v>178</x:v>
      </x:c>
      <x:c r="U2286" s="93" t="n">
        <x:f>T2286*S2286</x:f>
        <x:v>17.8</x:v>
      </x:c>
      <x:c r="V2286" s="93" t="str">
        <x:f>PROPER(TRIM('Raw Sales'!L2286))</x:f>
        <x:v>Completed</x:v>
      </x:c>
      <x:c r="W2286" s="93" t="n">
        <x:f>IF(V2286="Returned",0,T2286-U2286)</x:f>
        <x:v>160.2</x:v>
      </x:c>
      <x:c r="X2286" s="93" t="n">
        <x:f>IF(V2286="Returned",Q2286*R2286*10%,Q2286*R2286)</x:f>
        <x:v>92</x:v>
      </x:c>
      <x:c r="Y2286" s="93" t="n">
        <x:f>W2286-X2286</x:f>
        <x:v>68.19999999999999</x:v>
      </x:c>
      <x:c r="Z2286" s="94" t="n">
        <x:f>IFERROR(Y2286/W2286,0)</x:f>
        <x:v>0.4257178526841448</x:v>
      </x:c>
      <x:c r="AA2286" s="84" t="str">
        <x:f>PROPER(TRIM('Raw Sales'!M2286))</x:f>
        <x:v>Paypal</x:v>
      </x:c>
      <x:c r="AB2286" s="84" t="str">
        <x:f>PROPER(TRIM('Raw Sales'!N2286))</x:f>
        <x:v>Sofia Bennett</x:v>
      </x:c>
      <x:c r="AC2286" s="85" t="n">
        <x:f>'Raw Sales'!O2286</x:f>
        <x:v>46003</x:v>
      </x:c>
      <x:c r="AD2286" s="84" t="n">
        <x:f>AC2286-B2286</x:f>
        <x:v>6</x:v>
      </x:c>
      <x:c r="AE2286" s="84" t="str">
        <x:f>IF(COUNTIF($A$5:A2286,A2286)&gt;1,"Duplicate","Keep")</x:f>
        <x:v>Keep</x:v>
      </x:c>
      <x:c r="AF2286" s="84" t="str">
        <x:f>IF(OR(R2286&lt;=0,AC2286&lt;B2286,H2286="Unknown",M2286="Unknown Product"),"Review","Valid")</x:f>
        <x:v>Valid</x:v>
      </x:c>
      <x:c r="AG2286" s="84" t="n">
        <x:f>IF(AND(AE2286="Keep",AF2286="Valid"),1,0)</x:f>
        <x:v>1</x:v>
      </x:c>
      <x:c r="AH2286" s="84" t="n">
        <x:f>IF(AND(AG2286=1,OR('Dashboard'!$B$4="All",I2286='Dashboard'!$B$4),OR('Dashboard'!$E$4="All",N2286='Dashboard'!$E$4),OR('Dashboard'!$H$4="All",K2286='Dashboard'!$H$4),OR('Dashboard'!$K$4="All",C2286='Dashboard'!$K$4)),1,0)</x:f>
        <x:v>1</x:v>
      </x:c>
      <x:c r="AI2286" s="84" t="n">
        <x:f>IF(AND(AG2286=1,OR('Dashboard'!$B$4="All",I2286='Dashboard'!$B$4),OR('Dashboard'!$E$4="All",N2286='Dashboard'!$E$4),OR('Dashboard'!$H$4="All",K2286='Dashboard'!$H$4)),1,0)</x:f>
        <x:v>1</x:v>
      </x:c>
    </x:row>
    <x:row r="2287">
      <x:c r="A2287" s="84" t="str">
        <x:f>'Raw Sales'!A2287</x:f>
        <x:v>ORD-2025-00528</x:v>
      </x:c>
      <x:c r="B2287" s="85" t="n">
        <x:f>'Raw Sales'!B2287</x:f>
        <x:v>45997</x:v>
      </x:c>
      <x:c r="C2287" s="84" t="n">
        <x:f>YEAR(B2287)</x:f>
        <x:v>2025</x:v>
      </x:c>
      <x:c r="D2287" s="91" t="n">
        <x:f>DATE(YEAR(B2287),MONTH(B2287),1)</x:f>
        <x:v>45992</x:v>
      </x:c>
      <x:c r="E2287" s="84" t="str">
        <x:f>TEXT(B2287,"mmm")</x:f>
        <x:v>Dec</x:v>
      </x:c>
      <x:c r="F2287" s="84" t="str">
        <x:f>'Raw Sales'!C2287</x:f>
        <x:v>CUST-0350</x:v>
      </x:c>
      <x:c r="G2287" s="84" t="str">
        <x:f>PROPER(TRIM('Raw Sales'!D2287))</x:f>
        <x:v>Victoria Lewis</x:v>
      </x:c>
      <x:c r="H2287" s="84" t="str">
        <x:f>IF(TRIM('Raw Sales'!E2287)="","Unknown",PROPER(TRIM('Raw Sales'!E2287)))</x:f>
        <x:v>Consumer</x:v>
      </x:c>
      <x:c r="I2287" s="84" t="str">
        <x:f>PROPER(TRIM('Raw Sales'!F2287))</x:f>
        <x:v>Northeast</x:v>
      </x:c>
      <x:c r="J2287" s="84" t="str">
        <x:f>PROPER(TRIM('Raw Sales'!G2287))</x:f>
        <x:v>Philadelphia</x:v>
      </x:c>
      <x:c r="K2287" s="84" t="str">
        <x:f>PROPER(TRIM('Raw Sales'!H2287))</x:f>
        <x:v>Marketplace</x:v>
      </x:c>
      <x:c r="L2287" s="84" t="str">
        <x:f>'Raw Sales'!I2287</x:f>
        <x:v>HOME-003</x:v>
      </x:c>
      <x:c r="M2287" s="84" t="str">
        <x:f>IFERROR(VLOOKUP(L2287,'Reference Data'!$A$5:$F$40,2,FALSE),"Unknown Product")</x:f>
        <x:v>Countertop Blender</x:v>
      </x:c>
      <x:c r="N2287" s="84" t="str">
        <x:f>IFERROR(VLOOKUP(L2287,'Reference Data'!$A$5:$F$40,3,FALSE),"Unknown")</x:f>
        <x:v>Home &amp; Kitchen</x:v>
      </x:c>
      <x:c r="O2287" s="84" t="str">
        <x:f>IFERROR(VLOOKUP(L2287,'Reference Data'!$A$5:$F$40,4,FALSE),"Unknown")</x:f>
        <x:v>Small Appliances</x:v>
      </x:c>
      <x:c r="P2287" s="92" t="n">
        <x:f>IFERROR(VLOOKUP(L2287,'Reference Data'!$A$5:$F$40,5,FALSE),0)</x:f>
        <x:v>89</x:v>
      </x:c>
      <x:c r="Q2287" s="92" t="n">
        <x:f>IFERROR(VLOOKUP(L2287,'Reference Data'!$A$5:$F$40,6,FALSE),0)</x:f>
        <x:v>46</x:v>
      </x:c>
      <x:c r="R2287" s="84" t="n">
        <x:f>'Raw Sales'!J2287</x:f>
        <x:v>2</x:v>
      </x:c>
      <x:c r="S2287" s="87" t="n">
        <x:f>'Raw Sales'!K2287</x:f>
        <x:v>0.1</x:v>
      </x:c>
      <x:c r="T2287" s="93" t="n">
        <x:f>P2287*R2287</x:f>
        <x:v>178</x:v>
      </x:c>
      <x:c r="U2287" s="93" t="n">
        <x:f>T2287*S2287</x:f>
        <x:v>17.8</x:v>
      </x:c>
      <x:c r="V2287" s="93" t="str">
        <x:f>PROPER(TRIM('Raw Sales'!L2287))</x:f>
        <x:v>Completed</x:v>
      </x:c>
      <x:c r="W2287" s="93" t="n">
        <x:f>IF(V2287="Returned",0,T2287-U2287)</x:f>
        <x:v>160.2</x:v>
      </x:c>
      <x:c r="X2287" s="93" t="n">
        <x:f>IF(V2287="Returned",Q2287*R2287*10%,Q2287*R2287)</x:f>
        <x:v>92</x:v>
      </x:c>
      <x:c r="Y2287" s="93" t="n">
        <x:f>W2287-X2287</x:f>
        <x:v>68.19999999999999</x:v>
      </x:c>
      <x:c r="Z2287" s="94" t="n">
        <x:f>IFERROR(Y2287/W2287,0)</x:f>
        <x:v>0.4257178526841448</x:v>
      </x:c>
      <x:c r="AA2287" s="84" t="str">
        <x:f>PROPER(TRIM('Raw Sales'!M2287))</x:f>
        <x:v>Paypal</x:v>
      </x:c>
      <x:c r="AB2287" s="84" t="str">
        <x:f>PROPER(TRIM('Raw Sales'!N2287))</x:f>
        <x:v>Sofia Bennett</x:v>
      </x:c>
      <x:c r="AC2287" s="85" t="n">
        <x:f>'Raw Sales'!O2287</x:f>
        <x:v>46003</x:v>
      </x:c>
      <x:c r="AD2287" s="84" t="n">
        <x:f>AC2287-B2287</x:f>
        <x:v>6</x:v>
      </x:c>
      <x:c r="AE2287" s="84" t="str">
        <x:f>IF(COUNTIF($A$5:A2287,A2287)&gt;1,"Duplicate","Keep")</x:f>
        <x:v>Duplicate</x:v>
      </x:c>
      <x:c r="AF2287" s="84" t="str">
        <x:f>IF(OR(R2287&lt;=0,AC2287&lt;B2287,H2287="Unknown",M2287="Unknown Product"),"Review","Valid")</x:f>
        <x:v>Valid</x:v>
      </x:c>
      <x:c r="AG2287" s="84" t="n">
        <x:f>IF(AND(AE2287="Keep",AF2287="Valid"),1,0)</x:f>
        <x:v>0</x:v>
      </x:c>
      <x:c r="AH2287" s="84" t="n">
        <x:f>IF(AND(AG2287=1,OR('Dashboard'!$B$4="All",I2287='Dashboard'!$B$4),OR('Dashboard'!$E$4="All",N2287='Dashboard'!$E$4),OR('Dashboard'!$H$4="All",K2287='Dashboard'!$H$4),OR('Dashboard'!$K$4="All",C2287='Dashboard'!$K$4)),1,0)</x:f>
        <x:v>0</x:v>
      </x:c>
      <x:c r="AI2287" s="84" t="n">
        <x:f>IF(AND(AG2287=1,OR('Dashboard'!$B$4="All",I2287='Dashboard'!$B$4),OR('Dashboard'!$E$4="All",N2287='Dashboard'!$E$4),OR('Dashboard'!$H$4="All",K2287='Dashboard'!$H$4)),1,0)</x:f>
        <x:v>0</x:v>
      </x:c>
    </x:row>
    <x:row r="2288">
      <x:c r="A2288" s="84" t="str">
        <x:f>'Raw Sales'!A2288</x:f>
        <x:v>ORD-2025-00835</x:v>
      </x:c>
      <x:c r="B2288" s="85" t="n">
        <x:f>'Raw Sales'!B2288</x:f>
        <x:v>45997</x:v>
      </x:c>
      <x:c r="C2288" s="84" t="n">
        <x:f>YEAR(B2288)</x:f>
        <x:v>2025</x:v>
      </x:c>
      <x:c r="D2288" s="91" t="n">
        <x:f>DATE(YEAR(B2288),MONTH(B2288),1)</x:f>
        <x:v>45992</x:v>
      </x:c>
      <x:c r="E2288" s="84" t="str">
        <x:f>TEXT(B2288,"mmm")</x:f>
        <x:v>Dec</x:v>
      </x:c>
      <x:c r="F2288" s="84" t="str">
        <x:f>'Raw Sales'!C2288</x:f>
        <x:v>CUST-0450</x:v>
      </x:c>
      <x:c r="G2288" s="84" t="str">
        <x:f>PROPER(TRIM('Raw Sales'!D2288))</x:f>
        <x:v>Samuel Garcia</x:v>
      </x:c>
      <x:c r="H2288" s="84" t="str">
        <x:f>IF(TRIM('Raw Sales'!E2288)="","Unknown",PROPER(TRIM('Raw Sales'!E2288)))</x:f>
        <x:v>Small Business</x:v>
      </x:c>
      <x:c r="I2288" s="84" t="str">
        <x:f>PROPER(TRIM('Raw Sales'!F2288))</x:f>
        <x:v>West</x:v>
      </x:c>
      <x:c r="J2288" s="84" t="str">
        <x:f>PROPER(TRIM('Raw Sales'!G2288))</x:f>
        <x:v>Seattle</x:v>
      </x:c>
      <x:c r="K2288" s="84" t="str">
        <x:f>PROPER(TRIM('Raw Sales'!H2288))</x:f>
        <x:v>Online</x:v>
      </x:c>
      <x:c r="L2288" s="84" t="str">
        <x:f>'Raw Sales'!I2288</x:f>
        <x:v>FITN-002</x:v>
      </x:c>
      <x:c r="M2288" s="84" t="str">
        <x:f>IFERROR(VLOOKUP(L2288,'Reference Data'!$A$5:$F$40,2,FALSE),"Unknown Product")</x:f>
        <x:v>Adjustable Dumbbell Set</x:v>
      </x:c>
      <x:c r="N2288" s="84" t="str">
        <x:f>IFERROR(VLOOKUP(L2288,'Reference Data'!$A$5:$F$40,3,FALSE),"Unknown")</x:f>
        <x:v>Fitness</x:v>
      </x:c>
      <x:c r="O2288" s="84" t="str">
        <x:f>IFERROR(VLOOKUP(L2288,'Reference Data'!$A$5:$F$40,4,FALSE),"Unknown")</x:f>
        <x:v>Strength</x:v>
      </x:c>
      <x:c r="P2288" s="92" t="n">
        <x:f>IFERROR(VLOOKUP(L2288,'Reference Data'!$A$5:$F$40,5,FALSE),0)</x:f>
        <x:v>99</x:v>
      </x:c>
      <x:c r="Q2288" s="92" t="n">
        <x:f>IFERROR(VLOOKUP(L2288,'Reference Data'!$A$5:$F$40,6,FALSE),0)</x:f>
        <x:v>57</x:v>
      </x:c>
      <x:c r="R2288" s="84" t="n">
        <x:f>'Raw Sales'!J2288</x:f>
        <x:v>1</x:v>
      </x:c>
      <x:c r="S2288" s="87" t="n">
        <x:f>'Raw Sales'!K2288</x:f>
        <x:v>0.15</x:v>
      </x:c>
      <x:c r="T2288" s="93" t="n">
        <x:f>P2288*R2288</x:f>
        <x:v>99</x:v>
      </x:c>
      <x:c r="U2288" s="93" t="n">
        <x:f>T2288*S2288</x:f>
        <x:v>14.85</x:v>
      </x:c>
      <x:c r="V2288" s="93" t="str">
        <x:f>PROPER(TRIM('Raw Sales'!L2288))</x:f>
        <x:v>Completed</x:v>
      </x:c>
      <x:c r="W2288" s="93" t="n">
        <x:f>IF(V2288="Returned",0,T2288-U2288)</x:f>
        <x:v>84.15</x:v>
      </x:c>
      <x:c r="X2288" s="93" t="n">
        <x:f>IF(V2288="Returned",Q2288*R2288*10%,Q2288*R2288)</x:f>
        <x:v>57</x:v>
      </x:c>
      <x:c r="Y2288" s="93" t="n">
        <x:f>W2288-X2288</x:f>
        <x:v>27.150000000000006</x:v>
      </x:c>
      <x:c r="Z2288" s="94" t="n">
        <x:f>IFERROR(Y2288/W2288,0)</x:f>
        <x:v>0.322638146167558</x:v>
      </x:c>
      <x:c r="AA2288" s="84" t="str">
        <x:f>PROPER(TRIM('Raw Sales'!M2288))</x:f>
        <x:v>Debit Card</x:v>
      </x:c>
      <x:c r="AB2288" s="84" t="str">
        <x:f>PROPER(TRIM('Raw Sales'!N2288))</x:f>
        <x:v>Nora Kim</x:v>
      </x:c>
      <x:c r="AC2288" s="85" t="n">
        <x:f>'Raw Sales'!O2288</x:f>
        <x:v>46001</x:v>
      </x:c>
      <x:c r="AD2288" s="84" t="n">
        <x:f>AC2288-B2288</x:f>
        <x:v>4</x:v>
      </x:c>
      <x:c r="AE2288" s="84" t="str">
        <x:f>IF(COUNTIF($A$5:A2288,A2288)&gt;1,"Duplicate","Keep")</x:f>
        <x:v>Keep</x:v>
      </x:c>
      <x:c r="AF2288" s="84" t="str">
        <x:f>IF(OR(R2288&lt;=0,AC2288&lt;B2288,H2288="Unknown",M2288="Unknown Product"),"Review","Valid")</x:f>
        <x:v>Valid</x:v>
      </x:c>
      <x:c r="AG2288" s="84" t="n">
        <x:f>IF(AND(AE2288="Keep",AF2288="Valid"),1,0)</x:f>
        <x:v>1</x:v>
      </x:c>
      <x:c r="AH2288" s="84" t="n">
        <x:f>IF(AND(AG2288=1,OR('Dashboard'!$B$4="All",I2288='Dashboard'!$B$4),OR('Dashboard'!$E$4="All",N2288='Dashboard'!$E$4),OR('Dashboard'!$H$4="All",K2288='Dashboard'!$H$4),OR('Dashboard'!$K$4="All",C2288='Dashboard'!$K$4)),1,0)</x:f>
        <x:v>1</x:v>
      </x:c>
      <x:c r="AI2288" s="84" t="n">
        <x:f>IF(AND(AG2288=1,OR('Dashboard'!$B$4="All",I2288='Dashboard'!$B$4),OR('Dashboard'!$E$4="All",N2288='Dashboard'!$E$4),OR('Dashboard'!$H$4="All",K2288='Dashboard'!$H$4)),1,0)</x:f>
        <x:v>1</x:v>
      </x:c>
    </x:row>
    <x:row r="2289">
      <x:c r="A2289" s="84" t="str">
        <x:f>'Raw Sales'!A2289</x:f>
        <x:v>ORD-2025-00952</x:v>
      </x:c>
      <x:c r="B2289" s="85" t="n">
        <x:f>'Raw Sales'!B2289</x:f>
        <x:v>45997</x:v>
      </x:c>
      <x:c r="C2289" s="84" t="n">
        <x:f>YEAR(B2289)</x:f>
        <x:v>2025</x:v>
      </x:c>
      <x:c r="D2289" s="91" t="n">
        <x:f>DATE(YEAR(B2289),MONTH(B2289),1)</x:f>
        <x:v>45992</x:v>
      </x:c>
      <x:c r="E2289" s="84" t="str">
        <x:f>TEXT(B2289,"mmm")</x:f>
        <x:v>Dec</x:v>
      </x:c>
      <x:c r="F2289" s="84" t="str">
        <x:f>'Raw Sales'!C2289</x:f>
        <x:v>CUST-0632</x:v>
      </x:c>
      <x:c r="G2289" s="84" t="str">
        <x:f>PROPER(TRIM('Raw Sales'!D2289))</x:f>
        <x:v>Caleb Adams</x:v>
      </x:c>
      <x:c r="H2289" s="84" t="str">
        <x:f>IF(TRIM('Raw Sales'!E2289)="","Unknown",PROPER(TRIM('Raw Sales'!E2289)))</x:f>
        <x:v>Consumer</x:v>
      </x:c>
      <x:c r="I2289" s="84" t="str">
        <x:f>PROPER(TRIM('Raw Sales'!F2289))</x:f>
        <x:v>West</x:v>
      </x:c>
      <x:c r="J2289" s="84" t="str">
        <x:f>PROPER(TRIM('Raw Sales'!G2289))</x:f>
        <x:v>Phoenix</x:v>
      </x:c>
      <x:c r="K2289" s="84" t="str">
        <x:f>PROPER(TRIM('Raw Sales'!H2289))</x:f>
        <x:v>Online</x:v>
      </x:c>
      <x:c r="L2289" s="84" t="str">
        <x:f>'Raw Sales'!I2289</x:f>
        <x:v>HOME-006</x:v>
      </x:c>
      <x:c r="M2289" s="84" t="str">
        <x:f>IFERROR(VLOOKUP(L2289,'Reference Data'!$A$5:$F$40,2,FALSE),"Unknown Product")</x:f>
        <x:v>Food Storage Set</x:v>
      </x:c>
      <x:c r="N2289" s="84" t="str">
        <x:f>IFERROR(VLOOKUP(L2289,'Reference Data'!$A$5:$F$40,3,FALSE),"Unknown")</x:f>
        <x:v>Home &amp; Kitchen</x:v>
      </x:c>
      <x:c r="O2289" s="84" t="str">
        <x:f>IFERROR(VLOOKUP(L2289,'Reference Data'!$A$5:$F$40,4,FALSE),"Unknown")</x:f>
        <x:v>Kitchenware</x:v>
      </x:c>
      <x:c r="P2289" s="92" t="n">
        <x:f>IFERROR(VLOOKUP(L2289,'Reference Data'!$A$5:$F$40,5,FALSE),0)</x:f>
        <x:v>34</x:v>
      </x:c>
      <x:c r="Q2289" s="92" t="n">
        <x:f>IFERROR(VLOOKUP(L2289,'Reference Data'!$A$5:$F$40,6,FALSE),0)</x:f>
        <x:v>15</x:v>
      </x:c>
      <x:c r="R2289" s="84" t="n">
        <x:f>'Raw Sales'!J2289</x:f>
        <x:v>1</x:v>
      </x:c>
      <x:c r="S2289" s="87" t="n">
        <x:f>'Raw Sales'!K2289</x:f>
        <x:v>0.05</x:v>
      </x:c>
      <x:c r="T2289" s="93" t="n">
        <x:f>P2289*R2289</x:f>
        <x:v>34</x:v>
      </x:c>
      <x:c r="U2289" s="93" t="n">
        <x:f>T2289*S2289</x:f>
        <x:v>1.7000000000000002</x:v>
      </x:c>
      <x:c r="V2289" s="93" t="str">
        <x:f>PROPER(TRIM('Raw Sales'!L2289))</x:f>
        <x:v>Completed</x:v>
      </x:c>
      <x:c r="W2289" s="93" t="n">
        <x:f>IF(V2289="Returned",0,T2289-U2289)</x:f>
        <x:v>32.3</x:v>
      </x:c>
      <x:c r="X2289" s="93" t="n">
        <x:f>IF(V2289="Returned",Q2289*R2289*10%,Q2289*R2289)</x:f>
        <x:v>15</x:v>
      </x:c>
      <x:c r="Y2289" s="93" t="n">
        <x:f>W2289-X2289</x:f>
        <x:v>17.299999999999997</x:v>
      </x:c>
      <x:c r="Z2289" s="94" t="n">
        <x:f>IFERROR(Y2289/W2289,0)</x:f>
        <x:v>0.5356037151702786</x:v>
      </x:c>
      <x:c r="AA2289" s="84" t="str">
        <x:f>PROPER(TRIM('Raw Sales'!M2289))</x:f>
        <x:v>Debit Card</x:v>
      </x:c>
      <x:c r="AB2289" s="84" t="str">
        <x:f>PROPER(TRIM('Raw Sales'!N2289))</x:f>
        <x:v>Mia Chen</x:v>
      </x:c>
      <x:c r="AC2289" s="85" t="n">
        <x:f>'Raw Sales'!O2289</x:f>
        <x:v>46000</x:v>
      </x:c>
      <x:c r="AD2289" s="84" t="n">
        <x:f>AC2289-B2289</x:f>
        <x:v>3</x:v>
      </x:c>
      <x:c r="AE2289" s="84" t="str">
        <x:f>IF(COUNTIF($A$5:A2289,A2289)&gt;1,"Duplicate","Keep")</x:f>
        <x:v>Keep</x:v>
      </x:c>
      <x:c r="AF2289" s="84" t="str">
        <x:f>IF(OR(R2289&lt;=0,AC2289&lt;B2289,H2289="Unknown",M2289="Unknown Product"),"Review","Valid")</x:f>
        <x:v>Valid</x:v>
      </x:c>
      <x:c r="AG2289" s="84" t="n">
        <x:f>IF(AND(AE2289="Keep",AF2289="Valid"),1,0)</x:f>
        <x:v>1</x:v>
      </x:c>
      <x:c r="AH2289" s="84" t="n">
        <x:f>IF(AND(AG2289=1,OR('Dashboard'!$B$4="All",I2289='Dashboard'!$B$4),OR('Dashboard'!$E$4="All",N2289='Dashboard'!$E$4),OR('Dashboard'!$H$4="All",K2289='Dashboard'!$H$4),OR('Dashboard'!$K$4="All",C2289='Dashboard'!$K$4)),1,0)</x:f>
        <x:v>1</x:v>
      </x:c>
      <x:c r="AI2289" s="84" t="n">
        <x:f>IF(AND(AG2289=1,OR('Dashboard'!$B$4="All",I2289='Dashboard'!$B$4),OR('Dashboard'!$E$4="All",N2289='Dashboard'!$E$4),OR('Dashboard'!$H$4="All",K2289='Dashboard'!$H$4)),1,0)</x:f>
        <x:v>1</x:v>
      </x:c>
    </x:row>
    <x:row r="2290">
      <x:c r="A2290" s="84" t="str">
        <x:f>'Raw Sales'!A2290</x:f>
        <x:v>ORD-2025-00824</x:v>
      </x:c>
      <x:c r="B2290" s="85" t="n">
        <x:f>'Raw Sales'!B2290</x:f>
        <x:v>45998</x:v>
      </x:c>
      <x:c r="C2290" s="84" t="n">
        <x:f>YEAR(B2290)</x:f>
        <x:v>2025</x:v>
      </x:c>
      <x:c r="D2290" s="91" t="n">
        <x:f>DATE(YEAR(B2290),MONTH(B2290),1)</x:f>
        <x:v>45992</x:v>
      </x:c>
      <x:c r="E2290" s="84" t="str">
        <x:f>TEXT(B2290,"mmm")</x:f>
        <x:v>Dec</x:v>
      </x:c>
      <x:c r="F2290" s="84" t="str">
        <x:f>'Raw Sales'!C2290</x:f>
        <x:v>CUST-0103</x:v>
      </x:c>
      <x:c r="G2290" s="84" t="str">
        <x:f>PROPER(TRIM('Raw Sales'!D2290))</x:f>
        <x:v>Layla Garcia</x:v>
      </x:c>
      <x:c r="H2290" s="84" t="str">
        <x:f>IF(TRIM('Raw Sales'!E2290)="","Unknown",PROPER(TRIM('Raw Sales'!E2290)))</x:f>
        <x:v>Consumer</x:v>
      </x:c>
      <x:c r="I2290" s="84" t="str">
        <x:f>PROPER(TRIM('Raw Sales'!F2290))</x:f>
        <x:v>Southeast</x:v>
      </x:c>
      <x:c r="J2290" s="84" t="str">
        <x:f>PROPER(TRIM('Raw Sales'!G2290))</x:f>
        <x:v>Atlanta</x:v>
      </x:c>
      <x:c r="K2290" s="84" t="str">
        <x:f>PROPER(TRIM('Raw Sales'!H2290))</x:f>
        <x:v>Retail Store</x:v>
      </x:c>
      <x:c r="L2290" s="84" t="str">
        <x:f>'Raw Sales'!I2290</x:f>
        <x:v>ELEC-006</x:v>
      </x:c>
      <x:c r="M2290" s="84" t="str">
        <x:f>IFERROR(VLOOKUP(L2290,'Reference Data'!$A$5:$F$40,2,FALSE),"Unknown Product")</x:f>
        <x:v>Portable SSD</x:v>
      </x:c>
      <x:c r="N2290" s="84" t="str">
        <x:f>IFERROR(VLOOKUP(L2290,'Reference Data'!$A$5:$F$40,3,FALSE),"Unknown")</x:f>
        <x:v>Electronics</x:v>
      </x:c>
      <x:c r="O2290" s="84" t="str">
        <x:f>IFERROR(VLOOKUP(L2290,'Reference Data'!$A$5:$F$40,4,FALSE),"Unknown")</x:f>
        <x:v>Storage</x:v>
      </x:c>
      <x:c r="P2290" s="92" t="n">
        <x:f>IFERROR(VLOOKUP(L2290,'Reference Data'!$A$5:$F$40,5,FALSE),0)</x:f>
        <x:v>129</x:v>
      </x:c>
      <x:c r="Q2290" s="92" t="n">
        <x:f>IFERROR(VLOOKUP(L2290,'Reference Data'!$A$5:$F$40,6,FALSE),0)</x:f>
        <x:v>75</x:v>
      </x:c>
      <x:c r="R2290" s="84" t="n">
        <x:f>'Raw Sales'!J2290</x:f>
        <x:v>1</x:v>
      </x:c>
      <x:c r="S2290" s="87" t="n">
        <x:f>'Raw Sales'!K2290</x:f>
        <x:v>0.05</x:v>
      </x:c>
      <x:c r="T2290" s="93" t="n">
        <x:f>P2290*R2290</x:f>
        <x:v>129</x:v>
      </x:c>
      <x:c r="U2290" s="93" t="n">
        <x:f>T2290*S2290</x:f>
        <x:v>6.45</x:v>
      </x:c>
      <x:c r="V2290" s="93" t="str">
        <x:f>PROPER(TRIM('Raw Sales'!L2290))</x:f>
        <x:v>Completed</x:v>
      </x:c>
      <x:c r="W2290" s="93" t="n">
        <x:f>IF(V2290="Returned",0,T2290-U2290)</x:f>
        <x:v>122.55</x:v>
      </x:c>
      <x:c r="X2290" s="93" t="n">
        <x:f>IF(V2290="Returned",Q2290*R2290*10%,Q2290*R2290)</x:f>
        <x:v>75</x:v>
      </x:c>
      <x:c r="Y2290" s="93" t="n">
        <x:f>W2290-X2290</x:f>
        <x:v>47.55</x:v>
      </x:c>
      <x:c r="Z2290" s="94" t="n">
        <x:f>IFERROR(Y2290/W2290,0)</x:f>
        <x:v>0.3880048959608323</x:v>
      </x:c>
      <x:c r="AA2290" s="84" t="str">
        <x:f>PROPER(TRIM('Raw Sales'!M2290))</x:f>
        <x:v>Credit Card</x:v>
      </x:c>
      <x:c r="AB2290" s="84" t="str">
        <x:f>PROPER(TRIM('Raw Sales'!N2290))</x:f>
        <x:v>Liam Parker</x:v>
      </x:c>
      <x:c r="AC2290" s="85" t="n">
        <x:f>'Raw Sales'!O2290</x:f>
        <x:v>45998</x:v>
      </x:c>
      <x:c r="AD2290" s="84" t="n">
        <x:f>AC2290-B2290</x:f>
        <x:v>0</x:v>
      </x:c>
      <x:c r="AE2290" s="84" t="str">
        <x:f>IF(COUNTIF($A$5:A2290,A2290)&gt;1,"Duplicate","Keep")</x:f>
        <x:v>Keep</x:v>
      </x:c>
      <x:c r="AF2290" s="84" t="str">
        <x:f>IF(OR(R2290&lt;=0,AC2290&lt;B2290,H2290="Unknown",M2290="Unknown Product"),"Review","Valid")</x:f>
        <x:v>Valid</x:v>
      </x:c>
      <x:c r="AG2290" s="84" t="n">
        <x:f>IF(AND(AE2290="Keep",AF2290="Valid"),1,0)</x:f>
        <x:v>1</x:v>
      </x:c>
      <x:c r="AH2290" s="84" t="n">
        <x:f>IF(AND(AG2290=1,OR('Dashboard'!$B$4="All",I2290='Dashboard'!$B$4),OR('Dashboard'!$E$4="All",N2290='Dashboard'!$E$4),OR('Dashboard'!$H$4="All",K2290='Dashboard'!$H$4),OR('Dashboard'!$K$4="All",C2290='Dashboard'!$K$4)),1,0)</x:f>
        <x:v>1</x:v>
      </x:c>
      <x:c r="AI2290" s="84" t="n">
        <x:f>IF(AND(AG2290=1,OR('Dashboard'!$B$4="All",I2290='Dashboard'!$B$4),OR('Dashboard'!$E$4="All",N2290='Dashboard'!$E$4),OR('Dashboard'!$H$4="All",K2290='Dashboard'!$H$4)),1,0)</x:f>
        <x:v>1</x:v>
      </x:c>
    </x:row>
    <x:row r="2291">
      <x:c r="A2291" s="84" t="str">
        <x:f>'Raw Sales'!A2291</x:f>
        <x:v>ORD-2025-00827</x:v>
      </x:c>
      <x:c r="B2291" s="85" t="n">
        <x:f>'Raw Sales'!B2291</x:f>
        <x:v>45998</x:v>
      </x:c>
      <x:c r="C2291" s="84" t="n">
        <x:f>YEAR(B2291)</x:f>
        <x:v>2025</x:v>
      </x:c>
      <x:c r="D2291" s="91" t="n">
        <x:f>DATE(YEAR(B2291),MONTH(B2291),1)</x:f>
        <x:v>45992</x:v>
      </x:c>
      <x:c r="E2291" s="84" t="str">
        <x:f>TEXT(B2291,"mmm")</x:f>
        <x:v>Dec</x:v>
      </x:c>
      <x:c r="F2291" s="84" t="str">
        <x:f>'Raw Sales'!C2291</x:f>
        <x:v>CUST-0345</x:v>
      </x:c>
      <x:c r="G2291" s="84" t="str">
        <x:f>PROPER(TRIM('Raw Sales'!D2291))</x:f>
        <x:v>Samuel Taylor</x:v>
      </x:c>
      <x:c r="H2291" s="84" t="str">
        <x:f>IF(TRIM('Raw Sales'!E2291)="","Unknown",PROPER(TRIM('Raw Sales'!E2291)))</x:f>
        <x:v>Consumer</x:v>
      </x:c>
      <x:c r="I2291" s="84" t="str">
        <x:f>PROPER(TRIM('Raw Sales'!F2291))</x:f>
        <x:v>Southeast</x:v>
      </x:c>
      <x:c r="J2291" s="84" t="str">
        <x:f>PROPER(TRIM('Raw Sales'!G2291))</x:f>
        <x:v>Charlotte</x:v>
      </x:c>
      <x:c r="K2291" s="84" t="str">
        <x:f>PROPER(TRIM('Raw Sales'!H2291))</x:f>
        <x:v>Retail Store</x:v>
      </x:c>
      <x:c r="L2291" s="84" t="str">
        <x:f>'Raw Sales'!I2291</x:f>
        <x:v>ACCS-003</x:v>
      </x:c>
      <x:c r="M2291" s="84" t="str">
        <x:f>IFERROR(VLOOKUP(L2291,'Reference Data'!$A$5:$F$40,2,FALSE),"Unknown Product")</x:f>
        <x:v>Polarized Sunglasses</x:v>
      </x:c>
      <x:c r="N2291" s="84" t="str">
        <x:f>IFERROR(VLOOKUP(L2291,'Reference Data'!$A$5:$F$40,3,FALSE),"Unknown")</x:f>
        <x:v>Accessories</x:v>
      </x:c>
      <x:c r="O2291" s="84" t="str">
        <x:f>IFERROR(VLOOKUP(L2291,'Reference Data'!$A$5:$F$40,4,FALSE),"Unknown")</x:f>
        <x:v>Eyewear</x:v>
      </x:c>
      <x:c r="P2291" s="92" t="n">
        <x:f>IFERROR(VLOOKUP(L2291,'Reference Data'!$A$5:$F$40,5,FALSE),0)</x:f>
        <x:v>59</x:v>
      </x:c>
      <x:c r="Q2291" s="92" t="n">
        <x:f>IFERROR(VLOOKUP(L2291,'Reference Data'!$A$5:$F$40,6,FALSE),0)</x:f>
        <x:v>17</x:v>
      </x:c>
      <x:c r="R2291" s="84" t="n">
        <x:f>'Raw Sales'!J2291</x:f>
        <x:v>1</x:v>
      </x:c>
      <x:c r="S2291" s="87" t="n">
        <x:f>'Raw Sales'!K2291</x:f>
        <x:v>0.05</x:v>
      </x:c>
      <x:c r="T2291" s="93" t="n">
        <x:f>P2291*R2291</x:f>
        <x:v>59</x:v>
      </x:c>
      <x:c r="U2291" s="93" t="n">
        <x:f>T2291*S2291</x:f>
        <x:v>2.95</x:v>
      </x:c>
      <x:c r="V2291" s="93" t="str">
        <x:f>PROPER(TRIM('Raw Sales'!L2291))</x:f>
        <x:v>Completed</x:v>
      </x:c>
      <x:c r="W2291" s="93" t="n">
        <x:f>IF(V2291="Returned",0,T2291-U2291)</x:f>
        <x:v>56.05</x:v>
      </x:c>
      <x:c r="X2291" s="93" t="n">
        <x:f>IF(V2291="Returned",Q2291*R2291*10%,Q2291*R2291)</x:f>
        <x:v>17</x:v>
      </x:c>
      <x:c r="Y2291" s="93" t="n">
        <x:f>W2291-X2291</x:f>
        <x:v>39.05</x:v>
      </x:c>
      <x:c r="Z2291" s="94" t="n">
        <x:f>IFERROR(Y2291/W2291,0)</x:f>
        <x:v>0.6966993755575379</x:v>
      </x:c>
      <x:c r="AA2291" s="84" t="str">
        <x:f>PROPER(TRIM('Raw Sales'!M2291))</x:f>
        <x:v>Cash</x:v>
      </x:c>
      <x:c r="AB2291" s="84" t="str">
        <x:f>PROPER(TRIM('Raw Sales'!N2291))</x:f>
        <x:v>Liam Parker</x:v>
      </x:c>
      <x:c r="AC2291" s="85" t="n">
        <x:f>'Raw Sales'!O2291</x:f>
        <x:v>45998</x:v>
      </x:c>
      <x:c r="AD2291" s="84" t="n">
        <x:f>AC2291-B2291</x:f>
        <x:v>0</x:v>
      </x:c>
      <x:c r="AE2291" s="84" t="str">
        <x:f>IF(COUNTIF($A$5:A2291,A2291)&gt;1,"Duplicate","Keep")</x:f>
        <x:v>Keep</x:v>
      </x:c>
      <x:c r="AF2291" s="84" t="str">
        <x:f>IF(OR(R2291&lt;=0,AC2291&lt;B2291,H2291="Unknown",M2291="Unknown Product"),"Review","Valid")</x:f>
        <x:v>Valid</x:v>
      </x:c>
      <x:c r="AG2291" s="84" t="n">
        <x:f>IF(AND(AE2291="Keep",AF2291="Valid"),1,0)</x:f>
        <x:v>1</x:v>
      </x:c>
      <x:c r="AH2291" s="84" t="n">
        <x:f>IF(AND(AG2291=1,OR('Dashboard'!$B$4="All",I2291='Dashboard'!$B$4),OR('Dashboard'!$E$4="All",N2291='Dashboard'!$E$4),OR('Dashboard'!$H$4="All",K2291='Dashboard'!$H$4),OR('Dashboard'!$K$4="All",C2291='Dashboard'!$K$4)),1,0)</x:f>
        <x:v>1</x:v>
      </x:c>
      <x:c r="AI2291" s="84" t="n">
        <x:f>IF(AND(AG2291=1,OR('Dashboard'!$B$4="All",I2291='Dashboard'!$B$4),OR('Dashboard'!$E$4="All",N2291='Dashboard'!$E$4),OR('Dashboard'!$H$4="All",K2291='Dashboard'!$H$4)),1,0)</x:f>
        <x:v>1</x:v>
      </x:c>
    </x:row>
    <x:row r="2292">
      <x:c r="A2292" s="84" t="str">
        <x:f>'Raw Sales'!A2292</x:f>
        <x:v>ORD-2025-01405</x:v>
      </x:c>
      <x:c r="B2292" s="85" t="n">
        <x:f>'Raw Sales'!B2292</x:f>
        <x:v>45998</x:v>
      </x:c>
      <x:c r="C2292" s="84" t="n">
        <x:f>YEAR(B2292)</x:f>
        <x:v>2025</x:v>
      </x:c>
      <x:c r="D2292" s="91" t="n">
        <x:f>DATE(YEAR(B2292),MONTH(B2292),1)</x:f>
        <x:v>45992</x:v>
      </x:c>
      <x:c r="E2292" s="84" t="str">
        <x:f>TEXT(B2292,"mmm")</x:f>
        <x:v>Dec</x:v>
      </x:c>
      <x:c r="F2292" s="84" t="str">
        <x:f>'Raw Sales'!C2292</x:f>
        <x:v>CUST-0004</x:v>
      </x:c>
      <x:c r="G2292" s="84" t="str">
        <x:f>PROPER(TRIM('Raw Sales'!D2292))</x:f>
        <x:v>Caleb Carter</x:v>
      </x:c>
      <x:c r="H2292" s="84" t="str">
        <x:f>IF(TRIM('Raw Sales'!E2292)="","Unknown",PROPER(TRIM('Raw Sales'!E2292)))</x:f>
        <x:v>Consumer</x:v>
      </x:c>
      <x:c r="I2292" s="84" t="str">
        <x:f>PROPER(TRIM('Raw Sales'!F2292))</x:f>
        <x:v>Southeast</x:v>
      </x:c>
      <x:c r="J2292" s="84" t="str">
        <x:f>PROPER(TRIM('Raw Sales'!G2292))</x:f>
        <x:v>Atlanta</x:v>
      </x:c>
      <x:c r="K2292" s="84" t="str">
        <x:f>PROPER(TRIM('Raw Sales'!H2292))</x:f>
        <x:v>Retail Store</x:v>
      </x:c>
      <x:c r="L2292" s="84" t="str">
        <x:f>'Raw Sales'!I2292</x:f>
        <x:v>HOME-006</x:v>
      </x:c>
      <x:c r="M2292" s="84" t="str">
        <x:f>IFERROR(VLOOKUP(L2292,'Reference Data'!$A$5:$F$40,2,FALSE),"Unknown Product")</x:f>
        <x:v>Food Storage Set</x:v>
      </x:c>
      <x:c r="N2292" s="84" t="str">
        <x:f>IFERROR(VLOOKUP(L2292,'Reference Data'!$A$5:$F$40,3,FALSE),"Unknown")</x:f>
        <x:v>Home &amp; Kitchen</x:v>
      </x:c>
      <x:c r="O2292" s="84" t="str">
        <x:f>IFERROR(VLOOKUP(L2292,'Reference Data'!$A$5:$F$40,4,FALSE),"Unknown")</x:f>
        <x:v>Kitchenware</x:v>
      </x:c>
      <x:c r="P2292" s="92" t="n">
        <x:f>IFERROR(VLOOKUP(L2292,'Reference Data'!$A$5:$F$40,5,FALSE),0)</x:f>
        <x:v>34</x:v>
      </x:c>
      <x:c r="Q2292" s="92" t="n">
        <x:f>IFERROR(VLOOKUP(L2292,'Reference Data'!$A$5:$F$40,6,FALSE),0)</x:f>
        <x:v>15</x:v>
      </x:c>
      <x:c r="R2292" s="84" t="n">
        <x:f>'Raw Sales'!J2292</x:f>
        <x:v>1</x:v>
      </x:c>
      <x:c r="S2292" s="87" t="n">
        <x:f>'Raw Sales'!K2292</x:f>
        <x:v>0.15</x:v>
      </x:c>
      <x:c r="T2292" s="93" t="n">
        <x:f>P2292*R2292</x:f>
        <x:v>34</x:v>
      </x:c>
      <x:c r="U2292" s="93" t="n">
        <x:f>T2292*S2292</x:f>
        <x:v>5.1</x:v>
      </x:c>
      <x:c r="V2292" s="93" t="str">
        <x:f>PROPER(TRIM('Raw Sales'!L2292))</x:f>
        <x:v>Completed</x:v>
      </x:c>
      <x:c r="W2292" s="93" t="n">
        <x:f>IF(V2292="Returned",0,T2292-U2292)</x:f>
        <x:v>28.9</x:v>
      </x:c>
      <x:c r="X2292" s="93" t="n">
        <x:f>IF(V2292="Returned",Q2292*R2292*10%,Q2292*R2292)</x:f>
        <x:v>15</x:v>
      </x:c>
      <x:c r="Y2292" s="93" t="n">
        <x:f>W2292-X2292</x:f>
        <x:v>13.899999999999999</x:v>
      </x:c>
      <x:c r="Z2292" s="94" t="n">
        <x:f>IFERROR(Y2292/W2292,0)</x:f>
        <x:v>0.4809688581314879</x:v>
      </x:c>
      <x:c r="AA2292" s="84" t="str">
        <x:f>PROPER(TRIM('Raw Sales'!M2292))</x:f>
        <x:v>Cash</x:v>
      </x:c>
      <x:c r="AB2292" s="84" t="str">
        <x:f>PROPER(TRIM('Raw Sales'!N2292))</x:f>
        <x:v>Liam Parker</x:v>
      </x:c>
      <x:c r="AC2292" s="85" t="n">
        <x:f>'Raw Sales'!O2292</x:f>
        <x:v>45998</x:v>
      </x:c>
      <x:c r="AD2292" s="84" t="n">
        <x:f>AC2292-B2292</x:f>
        <x:v>0</x:v>
      </x:c>
      <x:c r="AE2292" s="84" t="str">
        <x:f>IF(COUNTIF($A$5:A2292,A2292)&gt;1,"Duplicate","Keep")</x:f>
        <x:v>Keep</x:v>
      </x:c>
      <x:c r="AF2292" s="84" t="str">
        <x:f>IF(OR(R2292&lt;=0,AC2292&lt;B2292,H2292="Unknown",M2292="Unknown Product"),"Review","Valid")</x:f>
        <x:v>Valid</x:v>
      </x:c>
      <x:c r="AG2292" s="84" t="n">
        <x:f>IF(AND(AE2292="Keep",AF2292="Valid"),1,0)</x:f>
        <x:v>1</x:v>
      </x:c>
      <x:c r="AH2292" s="84" t="n">
        <x:f>IF(AND(AG2292=1,OR('Dashboard'!$B$4="All",I2292='Dashboard'!$B$4),OR('Dashboard'!$E$4="All",N2292='Dashboard'!$E$4),OR('Dashboard'!$H$4="All",K2292='Dashboard'!$H$4),OR('Dashboard'!$K$4="All",C2292='Dashboard'!$K$4)),1,0)</x:f>
        <x:v>1</x:v>
      </x:c>
      <x:c r="AI2292" s="84" t="n">
        <x:f>IF(AND(AG2292=1,OR('Dashboard'!$B$4="All",I2292='Dashboard'!$B$4),OR('Dashboard'!$E$4="All",N2292='Dashboard'!$E$4),OR('Dashboard'!$H$4="All",K2292='Dashboard'!$H$4)),1,0)</x:f>
        <x:v>1</x:v>
      </x:c>
    </x:row>
    <x:row r="2293">
      <x:c r="A2293" s="84" t="str">
        <x:f>'Raw Sales'!A2293</x:f>
        <x:v>ORD-2025-01921</x:v>
      </x:c>
      <x:c r="B2293" s="85" t="n">
        <x:f>'Raw Sales'!B2293</x:f>
        <x:v>45998</x:v>
      </x:c>
      <x:c r="C2293" s="84" t="n">
        <x:f>YEAR(B2293)</x:f>
        <x:v>2025</x:v>
      </x:c>
      <x:c r="D2293" s="91" t="n">
        <x:f>DATE(YEAR(B2293),MONTH(B2293),1)</x:f>
        <x:v>45992</x:v>
      </x:c>
      <x:c r="E2293" s="84" t="str">
        <x:f>TEXT(B2293,"mmm")</x:f>
        <x:v>Dec</x:v>
      </x:c>
      <x:c r="F2293" s="84" t="str">
        <x:f>'Raw Sales'!C2293</x:f>
        <x:v>CUST-0271</x:v>
      </x:c>
      <x:c r="G2293" s="84" t="str">
        <x:f>PROPER(TRIM('Raw Sales'!D2293))</x:f>
        <x:v>Jonah Nelson</x:v>
      </x:c>
      <x:c r="H2293" s="84" t="str">
        <x:f>IF(TRIM('Raw Sales'!E2293)="","Unknown",PROPER(TRIM('Raw Sales'!E2293)))</x:f>
        <x:v>Consumer</x:v>
      </x:c>
      <x:c r="I2293" s="84" t="str">
        <x:f>PROPER(TRIM('Raw Sales'!F2293))</x:f>
        <x:v>Midwest</x:v>
      </x:c>
      <x:c r="J2293" s="84" t="str">
        <x:f>PROPER(TRIM('Raw Sales'!G2293))</x:f>
        <x:v>Detroit</x:v>
      </x:c>
      <x:c r="K2293" s="84" t="str">
        <x:f>PROPER(TRIM('Raw Sales'!H2293))</x:f>
        <x:v>Retail Store</x:v>
      </x:c>
      <x:c r="L2293" s="84" t="str">
        <x:f>'Raw Sales'!I2293</x:f>
        <x:v>ELEC-006</x:v>
      </x:c>
      <x:c r="M2293" s="84" t="str">
        <x:f>IFERROR(VLOOKUP(L2293,'Reference Data'!$A$5:$F$40,2,FALSE),"Unknown Product")</x:f>
        <x:v>Portable SSD</x:v>
      </x:c>
      <x:c r="N2293" s="84" t="str">
        <x:f>IFERROR(VLOOKUP(L2293,'Reference Data'!$A$5:$F$40,3,FALSE),"Unknown")</x:f>
        <x:v>Electronics</x:v>
      </x:c>
      <x:c r="O2293" s="84" t="str">
        <x:f>IFERROR(VLOOKUP(L2293,'Reference Data'!$A$5:$F$40,4,FALSE),"Unknown")</x:f>
        <x:v>Storage</x:v>
      </x:c>
      <x:c r="P2293" s="92" t="n">
        <x:f>IFERROR(VLOOKUP(L2293,'Reference Data'!$A$5:$F$40,5,FALSE),0)</x:f>
        <x:v>129</x:v>
      </x:c>
      <x:c r="Q2293" s="92" t="n">
        <x:f>IFERROR(VLOOKUP(L2293,'Reference Data'!$A$5:$F$40,6,FALSE),0)</x:f>
        <x:v>75</x:v>
      </x:c>
      <x:c r="R2293" s="84" t="n">
        <x:f>'Raw Sales'!J2293</x:f>
        <x:v>4</x:v>
      </x:c>
      <x:c r="S2293" s="87" t="n">
        <x:f>'Raw Sales'!K2293</x:f>
        <x:v>0.05</x:v>
      </x:c>
      <x:c r="T2293" s="93" t="n">
        <x:f>P2293*R2293</x:f>
        <x:v>516</x:v>
      </x:c>
      <x:c r="U2293" s="93" t="n">
        <x:f>T2293*S2293</x:f>
        <x:v>25.8</x:v>
      </x:c>
      <x:c r="V2293" s="93" t="str">
        <x:f>PROPER(TRIM('Raw Sales'!L2293))</x:f>
        <x:v>Completed</x:v>
      </x:c>
      <x:c r="W2293" s="93" t="n">
        <x:f>IF(V2293="Returned",0,T2293-U2293)</x:f>
        <x:v>490.2</x:v>
      </x:c>
      <x:c r="X2293" s="93" t="n">
        <x:f>IF(V2293="Returned",Q2293*R2293*10%,Q2293*R2293)</x:f>
        <x:v>300</x:v>
      </x:c>
      <x:c r="Y2293" s="93" t="n">
        <x:f>W2293-X2293</x:f>
        <x:v>190.2</x:v>
      </x:c>
      <x:c r="Z2293" s="94" t="n">
        <x:f>IFERROR(Y2293/W2293,0)</x:f>
        <x:v>0.3880048959608323</x:v>
      </x:c>
      <x:c r="AA2293" s="84" t="str">
        <x:f>PROPER(TRIM('Raw Sales'!M2293))</x:f>
        <x:v>Cash</x:v>
      </x:c>
      <x:c r="AB2293" s="84" t="str">
        <x:f>PROPER(TRIM('Raw Sales'!N2293))</x:f>
        <x:v>Lucas Grant</x:v>
      </x:c>
      <x:c r="AC2293" s="85" t="n">
        <x:f>'Raw Sales'!O2293</x:f>
        <x:v>45999</x:v>
      </x:c>
      <x:c r="AD2293" s="84" t="n">
        <x:f>AC2293-B2293</x:f>
        <x:v>1</x:v>
      </x:c>
      <x:c r="AE2293" s="84" t="str">
        <x:f>IF(COUNTIF($A$5:A2293,A2293)&gt;1,"Duplicate","Keep")</x:f>
        <x:v>Keep</x:v>
      </x:c>
      <x:c r="AF2293" s="84" t="str">
        <x:f>IF(OR(R2293&lt;=0,AC2293&lt;B2293,H2293="Unknown",M2293="Unknown Product"),"Review","Valid")</x:f>
        <x:v>Valid</x:v>
      </x:c>
      <x:c r="AG2293" s="84" t="n">
        <x:f>IF(AND(AE2293="Keep",AF2293="Valid"),1,0)</x:f>
        <x:v>1</x:v>
      </x:c>
      <x:c r="AH2293" s="84" t="n">
        <x:f>IF(AND(AG2293=1,OR('Dashboard'!$B$4="All",I2293='Dashboard'!$B$4),OR('Dashboard'!$E$4="All",N2293='Dashboard'!$E$4),OR('Dashboard'!$H$4="All",K2293='Dashboard'!$H$4),OR('Dashboard'!$K$4="All",C2293='Dashboard'!$K$4)),1,0)</x:f>
        <x:v>1</x:v>
      </x:c>
      <x:c r="AI2293" s="84" t="n">
        <x:f>IF(AND(AG2293=1,OR('Dashboard'!$B$4="All",I2293='Dashboard'!$B$4),OR('Dashboard'!$E$4="All",N2293='Dashboard'!$E$4),OR('Dashboard'!$H$4="All",K2293='Dashboard'!$H$4)),1,0)</x:f>
        <x:v>1</x:v>
      </x:c>
    </x:row>
    <x:row r="2294">
      <x:c r="A2294" s="84" t="str">
        <x:f>'Raw Sales'!A2294</x:f>
        <x:v>ORD-2025-02039</x:v>
      </x:c>
      <x:c r="B2294" s="85" t="n">
        <x:f>'Raw Sales'!B2294</x:f>
        <x:v>45998</x:v>
      </x:c>
      <x:c r="C2294" s="84" t="n">
        <x:f>YEAR(B2294)</x:f>
        <x:v>2025</x:v>
      </x:c>
      <x:c r="D2294" s="91" t="n">
        <x:f>DATE(YEAR(B2294),MONTH(B2294),1)</x:f>
        <x:v>45992</x:v>
      </x:c>
      <x:c r="E2294" s="84" t="str">
        <x:f>TEXT(B2294,"mmm")</x:f>
        <x:v>Dec</x:v>
      </x:c>
      <x:c r="F2294" s="84" t="str">
        <x:f>'Raw Sales'!C2294</x:f>
        <x:v>CUST-0389</x:v>
      </x:c>
      <x:c r="G2294" s="84" t="str">
        <x:f>PROPER(TRIM('Raw Sales'!D2294))</x:f>
        <x:v>William Smith</x:v>
      </x:c>
      <x:c r="H2294" s="84" t="str">
        <x:f>IF(TRIM('Raw Sales'!E2294)="","Unknown",PROPER(TRIM('Raw Sales'!E2294)))</x:f>
        <x:v>Consumer</x:v>
      </x:c>
      <x:c r="I2294" s="84" t="str">
        <x:f>PROPER(TRIM('Raw Sales'!F2294))</x:f>
        <x:v>Southeast</x:v>
      </x:c>
      <x:c r="J2294" s="84" t="str">
        <x:f>PROPER(TRIM('Raw Sales'!G2294))</x:f>
        <x:v>Miami</x:v>
      </x:c>
      <x:c r="K2294" s="84" t="str">
        <x:f>PROPER(TRIM('Raw Sales'!H2294))</x:f>
        <x:v>Retail Store</x:v>
      </x:c>
      <x:c r="L2294" s="84" t="str">
        <x:f>'Raw Sales'!I2294</x:f>
        <x:v>CARE-006</x:v>
      </x:c>
      <x:c r="M2294" s="84" t="str">
        <x:f>IFERROR(VLOOKUP(L2294,'Reference Data'!$A$5:$F$40,2,FALSE),"Unknown Product")</x:f>
        <x:v>Percussion Massage Gun</x:v>
      </x:c>
      <x:c r="N2294" s="84" t="str">
        <x:f>IFERROR(VLOOKUP(L2294,'Reference Data'!$A$5:$F$40,3,FALSE),"Unknown")</x:f>
        <x:v>Personal Care</x:v>
      </x:c>
      <x:c r="O2294" s="84" t="str">
        <x:f>IFERROR(VLOOKUP(L2294,'Reference Data'!$A$5:$F$40,4,FALSE),"Unknown")</x:f>
        <x:v>Wellness</x:v>
      </x:c>
      <x:c r="P2294" s="92" t="n">
        <x:f>IFERROR(VLOOKUP(L2294,'Reference Data'!$A$5:$F$40,5,FALSE),0)</x:f>
        <x:v>129</x:v>
      </x:c>
      <x:c r="Q2294" s="92" t="n">
        <x:f>IFERROR(VLOOKUP(L2294,'Reference Data'!$A$5:$F$40,6,FALSE),0)</x:f>
        <x:v>70</x:v>
      </x:c>
      <x:c r="R2294" s="84" t="n">
        <x:f>'Raw Sales'!J2294</x:f>
        <x:v>1</x:v>
      </x:c>
      <x:c r="S2294" s="87" t="n">
        <x:f>'Raw Sales'!K2294</x:f>
        <x:v>0.1</x:v>
      </x:c>
      <x:c r="T2294" s="93" t="n">
        <x:f>P2294*R2294</x:f>
        <x:v>129</x:v>
      </x:c>
      <x:c r="U2294" s="93" t="n">
        <x:f>T2294*S2294</x:f>
        <x:v>12.9</x:v>
      </x:c>
      <x:c r="V2294" s="93" t="str">
        <x:f>PROPER(TRIM('Raw Sales'!L2294))</x:f>
        <x:v>Completed</x:v>
      </x:c>
      <x:c r="W2294" s="93" t="n">
        <x:f>IF(V2294="Returned",0,T2294-U2294)</x:f>
        <x:v>116.1</x:v>
      </x:c>
      <x:c r="X2294" s="93" t="n">
        <x:f>IF(V2294="Returned",Q2294*R2294*10%,Q2294*R2294)</x:f>
        <x:v>70</x:v>
      </x:c>
      <x:c r="Y2294" s="93" t="n">
        <x:f>W2294-X2294</x:f>
        <x:v>46.099999999999994</x:v>
      </x:c>
      <x:c r="Z2294" s="94" t="n">
        <x:f>IFERROR(Y2294/W2294,0)</x:f>
        <x:v>0.3970714900947459</x:v>
      </x:c>
      <x:c r="AA2294" s="84" t="str">
        <x:f>PROPER(TRIM('Raw Sales'!M2294))</x:f>
        <x:v>Credit Card</x:v>
      </x:c>
      <x:c r="AB2294" s="84" t="str">
        <x:f>PROPER(TRIM('Raw Sales'!N2294))</x:f>
        <x:v>Ava Mitchell</x:v>
      </x:c>
      <x:c r="AC2294" s="85" t="n">
        <x:f>'Raw Sales'!O2294</x:f>
        <x:v>45999</x:v>
      </x:c>
      <x:c r="AD2294" s="84" t="n">
        <x:f>AC2294-B2294</x:f>
        <x:v>1</x:v>
      </x:c>
      <x:c r="AE2294" s="84" t="str">
        <x:f>IF(COUNTIF($A$5:A2294,A2294)&gt;1,"Duplicate","Keep")</x:f>
        <x:v>Keep</x:v>
      </x:c>
      <x:c r="AF2294" s="84" t="str">
        <x:f>IF(OR(R2294&lt;=0,AC2294&lt;B2294,H2294="Unknown",M2294="Unknown Product"),"Review","Valid")</x:f>
        <x:v>Valid</x:v>
      </x:c>
      <x:c r="AG2294" s="84" t="n">
        <x:f>IF(AND(AE2294="Keep",AF2294="Valid"),1,0)</x:f>
        <x:v>1</x:v>
      </x:c>
      <x:c r="AH2294" s="84" t="n">
        <x:f>IF(AND(AG2294=1,OR('Dashboard'!$B$4="All",I2294='Dashboard'!$B$4),OR('Dashboard'!$E$4="All",N2294='Dashboard'!$E$4),OR('Dashboard'!$H$4="All",K2294='Dashboard'!$H$4),OR('Dashboard'!$K$4="All",C2294='Dashboard'!$K$4)),1,0)</x:f>
        <x:v>1</x:v>
      </x:c>
      <x:c r="AI2294" s="84" t="n">
        <x:f>IF(AND(AG2294=1,OR('Dashboard'!$B$4="All",I2294='Dashboard'!$B$4),OR('Dashboard'!$E$4="All",N2294='Dashboard'!$E$4),OR('Dashboard'!$H$4="All",K2294='Dashboard'!$H$4)),1,0)</x:f>
        <x:v>1</x:v>
      </x:c>
    </x:row>
    <x:row r="2295">
      <x:c r="A2295" s="84" t="str">
        <x:f>'Raw Sales'!A2295</x:f>
        <x:v>ORD-2025-02275</x:v>
      </x:c>
      <x:c r="B2295" s="85" t="n">
        <x:f>'Raw Sales'!B2295</x:f>
        <x:v>45998</x:v>
      </x:c>
      <x:c r="C2295" s="84" t="n">
        <x:f>YEAR(B2295)</x:f>
        <x:v>2025</x:v>
      </x:c>
      <x:c r="D2295" s="91" t="n">
        <x:f>DATE(YEAR(B2295),MONTH(B2295),1)</x:f>
        <x:v>45992</x:v>
      </x:c>
      <x:c r="E2295" s="84" t="str">
        <x:f>TEXT(B2295,"mmm")</x:f>
        <x:v>Dec</x:v>
      </x:c>
      <x:c r="F2295" s="84" t="str">
        <x:f>'Raw Sales'!C2295</x:f>
        <x:v>CUST-0392</x:v>
      </x:c>
      <x:c r="G2295" s="84" t="str">
        <x:f>PROPER(TRIM('Raw Sales'!D2295))</x:f>
        <x:v>Elias Nelson</x:v>
      </x:c>
      <x:c r="H2295" s="84" t="str">
        <x:f>IF(TRIM('Raw Sales'!E2295)="","Unknown",PROPER(TRIM('Raw Sales'!E2295)))</x:f>
        <x:v>Consumer</x:v>
      </x:c>
      <x:c r="I2295" s="84" t="str">
        <x:f>PROPER(TRIM('Raw Sales'!F2295))</x:f>
        <x:v>Northeast</x:v>
      </x:c>
      <x:c r="J2295" s="84" t="str">
        <x:f>PROPER(TRIM('Raw Sales'!G2295))</x:f>
        <x:v>Newark</x:v>
      </x:c>
      <x:c r="K2295" s="84" t="str">
        <x:f>PROPER(TRIM('Raw Sales'!H2295))</x:f>
        <x:v>Marketplace</x:v>
      </x:c>
      <x:c r="L2295" s="84" t="str">
        <x:f>'Raw Sales'!I2295</x:f>
        <x:v>ACCS-001</x:v>
      </x:c>
      <x:c r="M2295" s="84" t="str">
        <x:f>IFERROR(VLOOKUP(L2295,'Reference Data'!$A$5:$F$40,2,FALSE),"Unknown Product")</x:f>
        <x:v>Canvas Tote Bag</x:v>
      </x:c>
      <x:c r="N2295" s="84" t="str">
        <x:f>IFERROR(VLOOKUP(L2295,'Reference Data'!$A$5:$F$40,3,FALSE),"Unknown")</x:f>
        <x:v>Accessories</x:v>
      </x:c>
      <x:c r="O2295" s="84" t="str">
        <x:f>IFERROR(VLOOKUP(L2295,'Reference Data'!$A$5:$F$40,4,FALSE),"Unknown")</x:f>
        <x:v>Bags</x:v>
      </x:c>
      <x:c r="P2295" s="92" t="n">
        <x:f>IFERROR(VLOOKUP(L2295,'Reference Data'!$A$5:$F$40,5,FALSE),0)</x:f>
        <x:v>39</x:v>
      </x:c>
      <x:c r="Q2295" s="92" t="n">
        <x:f>IFERROR(VLOOKUP(L2295,'Reference Data'!$A$5:$F$40,6,FALSE),0)</x:f>
        <x:v>14</x:v>
      </x:c>
      <x:c r="R2295" s="84" t="n">
        <x:f>'Raw Sales'!J2295</x:f>
        <x:v>1</x:v>
      </x:c>
      <x:c r="S2295" s="87" t="n">
        <x:f>'Raw Sales'!K2295</x:f>
        <x:v>0.05</x:v>
      </x:c>
      <x:c r="T2295" s="93" t="n">
        <x:f>P2295*R2295</x:f>
        <x:v>39</x:v>
      </x:c>
      <x:c r="U2295" s="93" t="n">
        <x:f>T2295*S2295</x:f>
        <x:v>1.9500000000000002</x:v>
      </x:c>
      <x:c r="V2295" s="93" t="str">
        <x:f>PROPER(TRIM('Raw Sales'!L2295))</x:f>
        <x:v>Completed</x:v>
      </x:c>
      <x:c r="W2295" s="93" t="n">
        <x:f>IF(V2295="Returned",0,T2295-U2295)</x:f>
        <x:v>37.05</x:v>
      </x:c>
      <x:c r="X2295" s="93" t="n">
        <x:f>IF(V2295="Returned",Q2295*R2295*10%,Q2295*R2295)</x:f>
        <x:v>14</x:v>
      </x:c>
      <x:c r="Y2295" s="93" t="n">
        <x:f>W2295-X2295</x:f>
        <x:v>23.049999999999997</x:v>
      </x:c>
      <x:c r="Z2295" s="94" t="n">
        <x:f>IFERROR(Y2295/W2295,0)</x:f>
        <x:v>0.6221322537112011</x:v>
      </x:c>
      <x:c r="AA2295" s="84" t="str">
        <x:f>PROPER(TRIM('Raw Sales'!M2295))</x:f>
        <x:v>Paypal</x:v>
      </x:c>
      <x:c r="AB2295" s="84" t="str">
        <x:f>PROPER(TRIM('Raw Sales'!N2295))</x:f>
        <x:v>Sofia Bennett</x:v>
      </x:c>
      <x:c r="AC2295" s="85" t="n">
        <x:f>'Raw Sales'!O2295</x:f>
        <x:v>46005</x:v>
      </x:c>
      <x:c r="AD2295" s="84" t="n">
        <x:f>AC2295-B2295</x:f>
        <x:v>7</x:v>
      </x:c>
      <x:c r="AE2295" s="84" t="str">
        <x:f>IF(COUNTIF($A$5:A2295,A2295)&gt;1,"Duplicate","Keep")</x:f>
        <x:v>Keep</x:v>
      </x:c>
      <x:c r="AF2295" s="84" t="str">
        <x:f>IF(OR(R2295&lt;=0,AC2295&lt;B2295,H2295="Unknown",M2295="Unknown Product"),"Review","Valid")</x:f>
        <x:v>Valid</x:v>
      </x:c>
      <x:c r="AG2295" s="84" t="n">
        <x:f>IF(AND(AE2295="Keep",AF2295="Valid"),1,0)</x:f>
        <x:v>1</x:v>
      </x:c>
      <x:c r="AH2295" s="84" t="n">
        <x:f>IF(AND(AG2295=1,OR('Dashboard'!$B$4="All",I2295='Dashboard'!$B$4),OR('Dashboard'!$E$4="All",N2295='Dashboard'!$E$4),OR('Dashboard'!$H$4="All",K2295='Dashboard'!$H$4),OR('Dashboard'!$K$4="All",C2295='Dashboard'!$K$4)),1,0)</x:f>
        <x:v>1</x:v>
      </x:c>
      <x:c r="AI2295" s="84" t="n">
        <x:f>IF(AND(AG2295=1,OR('Dashboard'!$B$4="All",I2295='Dashboard'!$B$4),OR('Dashboard'!$E$4="All",N2295='Dashboard'!$E$4),OR('Dashboard'!$H$4="All",K2295='Dashboard'!$H$4)),1,0)</x:f>
        <x:v>1</x:v>
      </x:c>
    </x:row>
    <x:row r="2296">
      <x:c r="A2296" s="84" t="str">
        <x:f>'Raw Sales'!A2296</x:f>
        <x:v>ORD-2025-00837</x:v>
      </x:c>
      <x:c r="B2296" s="85" t="n">
        <x:f>'Raw Sales'!B2296</x:f>
        <x:v>45999</x:v>
      </x:c>
      <x:c r="C2296" s="84" t="n">
        <x:f>YEAR(B2296)</x:f>
        <x:v>2025</x:v>
      </x:c>
      <x:c r="D2296" s="91" t="n">
        <x:f>DATE(YEAR(B2296),MONTH(B2296),1)</x:f>
        <x:v>45992</x:v>
      </x:c>
      <x:c r="E2296" s="84" t="str">
        <x:f>TEXT(B2296,"mmm")</x:f>
        <x:v>Dec</x:v>
      </x:c>
      <x:c r="F2296" s="84" t="str">
        <x:f>'Raw Sales'!C2296</x:f>
        <x:v>CUST-0438</x:v>
      </x:c>
      <x:c r="G2296" s="84" t="str">
        <x:f>PROPER(TRIM('Raw Sales'!D2296))</x:f>
        <x:v>Isaac Ortiz</x:v>
      </x:c>
      <x:c r="H2296" s="84" t="str">
        <x:f>IF(TRIM('Raw Sales'!E2296)="","Unknown",PROPER(TRIM('Raw Sales'!E2296)))</x:f>
        <x:v>Consumer</x:v>
      </x:c>
      <x:c r="I2296" s="84" t="str">
        <x:f>PROPER(TRIM('Raw Sales'!F2296))</x:f>
        <x:v>Midwest</x:v>
      </x:c>
      <x:c r="J2296" s="84" t="str">
        <x:f>PROPER(TRIM('Raw Sales'!G2296))</x:f>
        <x:v>Columbus</x:v>
      </x:c>
      <x:c r="K2296" s="84" t="str">
        <x:f>PROPER(TRIM('Raw Sales'!H2296))</x:f>
        <x:v>Online</x:v>
      </x:c>
      <x:c r="L2296" s="84" t="str">
        <x:f>'Raw Sales'!I2296</x:f>
        <x:v>ELEC-003</x:v>
      </x:c>
      <x:c r="M2296" s="84" t="str">
        <x:f>IFERROR(VLOOKUP(L2296,'Reference Data'!$A$5:$F$40,2,FALSE),"Unknown Product")</x:f>
        <x:v>Bluetooth Speaker</x:v>
      </x:c>
      <x:c r="N2296" s="84" t="str">
        <x:f>IFERROR(VLOOKUP(L2296,'Reference Data'!$A$5:$F$40,3,FALSE),"Unknown")</x:f>
        <x:v>Electronics</x:v>
      </x:c>
      <x:c r="O2296" s="84" t="str">
        <x:f>IFERROR(VLOOKUP(L2296,'Reference Data'!$A$5:$F$40,4,FALSE),"Unknown")</x:f>
        <x:v>Audio</x:v>
      </x:c>
      <x:c r="P2296" s="92" t="n">
        <x:f>IFERROR(VLOOKUP(L2296,'Reference Data'!$A$5:$F$40,5,FALSE),0)</x:f>
        <x:v>89</x:v>
      </x:c>
      <x:c r="Q2296" s="92" t="n">
        <x:f>IFERROR(VLOOKUP(L2296,'Reference Data'!$A$5:$F$40,6,FALSE),0)</x:f>
        <x:v>44</x:v>
      </x:c>
      <x:c r="R2296" s="84" t="n">
        <x:f>'Raw Sales'!J2296</x:f>
        <x:v>1</x:v>
      </x:c>
      <x:c r="S2296" s="87" t="n">
        <x:f>'Raw Sales'!K2296</x:f>
        <x:v>0.1</x:v>
      </x:c>
      <x:c r="T2296" s="93" t="n">
        <x:f>P2296*R2296</x:f>
        <x:v>89</x:v>
      </x:c>
      <x:c r="U2296" s="93" t="n">
        <x:f>T2296*S2296</x:f>
        <x:v>8.9</x:v>
      </x:c>
      <x:c r="V2296" s="93" t="str">
        <x:f>PROPER(TRIM('Raw Sales'!L2296))</x:f>
        <x:v>Completed</x:v>
      </x:c>
      <x:c r="W2296" s="93" t="n">
        <x:f>IF(V2296="Returned",0,T2296-U2296)</x:f>
        <x:v>80.1</x:v>
      </x:c>
      <x:c r="X2296" s="93" t="n">
        <x:f>IF(V2296="Returned",Q2296*R2296*10%,Q2296*R2296)</x:f>
        <x:v>44</x:v>
      </x:c>
      <x:c r="Y2296" s="93" t="n">
        <x:f>W2296-X2296</x:f>
        <x:v>36.099999999999994</x:v>
      </x:c>
      <x:c r="Z2296" s="94" t="n">
        <x:f>IFERROR(Y2296/W2296,0)</x:f>
        <x:v>0.4506866416978776</x:v>
      </x:c>
      <x:c r="AA2296" s="84" t="str">
        <x:f>PROPER(TRIM('Raw Sales'!M2296))</x:f>
        <x:v>Credit Card</x:v>
      </x:c>
      <x:c r="AB2296" s="84" t="str">
        <x:f>PROPER(TRIM('Raw Sales'!N2296))</x:f>
        <x:v>Zoe Turner</x:v>
      </x:c>
      <x:c r="AC2296" s="85" t="n">
        <x:f>'Raw Sales'!O2296</x:f>
        <x:v>46004</x:v>
      </x:c>
      <x:c r="AD2296" s="84" t="n">
        <x:f>AC2296-B2296</x:f>
        <x:v>5</x:v>
      </x:c>
      <x:c r="AE2296" s="84" t="str">
        <x:f>IF(COUNTIF($A$5:A2296,A2296)&gt;1,"Duplicate","Keep")</x:f>
        <x:v>Keep</x:v>
      </x:c>
      <x:c r="AF2296" s="84" t="str">
        <x:f>IF(OR(R2296&lt;=0,AC2296&lt;B2296,H2296="Unknown",M2296="Unknown Product"),"Review","Valid")</x:f>
        <x:v>Valid</x:v>
      </x:c>
      <x:c r="AG2296" s="84" t="n">
        <x:f>IF(AND(AE2296="Keep",AF2296="Valid"),1,0)</x:f>
        <x:v>1</x:v>
      </x:c>
      <x:c r="AH2296" s="84" t="n">
        <x:f>IF(AND(AG2296=1,OR('Dashboard'!$B$4="All",I2296='Dashboard'!$B$4),OR('Dashboard'!$E$4="All",N2296='Dashboard'!$E$4),OR('Dashboard'!$H$4="All",K2296='Dashboard'!$H$4),OR('Dashboard'!$K$4="All",C2296='Dashboard'!$K$4)),1,0)</x:f>
        <x:v>1</x:v>
      </x:c>
      <x:c r="AI2296" s="84" t="n">
        <x:f>IF(AND(AG2296=1,OR('Dashboard'!$B$4="All",I2296='Dashboard'!$B$4),OR('Dashboard'!$E$4="All",N2296='Dashboard'!$E$4),OR('Dashboard'!$H$4="All",K2296='Dashboard'!$H$4)),1,0)</x:f>
        <x:v>1</x:v>
      </x:c>
    </x:row>
    <x:row r="2297">
      <x:c r="A2297" s="84" t="str">
        <x:f>'Raw Sales'!A2297</x:f>
        <x:v>ORD-2025-01077</x:v>
      </x:c>
      <x:c r="B2297" s="85" t="n">
        <x:f>'Raw Sales'!B2297</x:f>
        <x:v>45999</x:v>
      </x:c>
      <x:c r="C2297" s="84" t="n">
        <x:f>YEAR(B2297)</x:f>
        <x:v>2025</x:v>
      </x:c>
      <x:c r="D2297" s="91" t="n">
        <x:f>DATE(YEAR(B2297),MONTH(B2297),1)</x:f>
        <x:v>45992</x:v>
      </x:c>
      <x:c r="E2297" s="84" t="str">
        <x:f>TEXT(B2297,"mmm")</x:f>
        <x:v>Dec</x:v>
      </x:c>
      <x:c r="F2297" s="84" t="str">
        <x:f>'Raw Sales'!C2297</x:f>
        <x:v>CUST-0147</x:v>
      </x:c>
      <x:c r="G2297" s="84" t="str">
        <x:f>PROPER(TRIM('Raw Sales'!D2297))</x:f>
        <x:v>Isaac Khan</x:v>
      </x:c>
      <x:c r="H2297" s="84" t="str">
        <x:f>IF(TRIM('Raw Sales'!E2297)="","Unknown",PROPER(TRIM('Raw Sales'!E2297)))</x:f>
        <x:v>Corporate</x:v>
      </x:c>
      <x:c r="I2297" s="84" t="str">
        <x:f>PROPER(TRIM('Raw Sales'!F2297))</x:f>
        <x:v>Northeast</x:v>
      </x:c>
      <x:c r="J2297" s="84" t="str">
        <x:f>PROPER(TRIM('Raw Sales'!G2297))</x:f>
        <x:v>Boston</x:v>
      </x:c>
      <x:c r="K2297" s="84" t="str">
        <x:f>PROPER(TRIM('Raw Sales'!H2297))</x:f>
        <x:v>Retail Store</x:v>
      </x:c>
      <x:c r="L2297" s="84" t="str">
        <x:f>'Raw Sales'!I2297</x:f>
        <x:v>FITN-002</x:v>
      </x:c>
      <x:c r="M2297" s="84" t="str">
        <x:f>IFERROR(VLOOKUP(L2297,'Reference Data'!$A$5:$F$40,2,FALSE),"Unknown Product")</x:f>
        <x:v>Adjustable Dumbbell Set</x:v>
      </x:c>
      <x:c r="N2297" s="84" t="str">
        <x:f>IFERROR(VLOOKUP(L2297,'Reference Data'!$A$5:$F$40,3,FALSE),"Unknown")</x:f>
        <x:v>Fitness</x:v>
      </x:c>
      <x:c r="O2297" s="84" t="str">
        <x:f>IFERROR(VLOOKUP(L2297,'Reference Data'!$A$5:$F$40,4,FALSE),"Unknown")</x:f>
        <x:v>Strength</x:v>
      </x:c>
      <x:c r="P2297" s="92" t="n">
        <x:f>IFERROR(VLOOKUP(L2297,'Reference Data'!$A$5:$F$40,5,FALSE),0)</x:f>
        <x:v>99</x:v>
      </x:c>
      <x:c r="Q2297" s="92" t="n">
        <x:f>IFERROR(VLOOKUP(L2297,'Reference Data'!$A$5:$F$40,6,FALSE),0)</x:f>
        <x:v>57</x:v>
      </x:c>
      <x:c r="R2297" s="84" t="n">
        <x:f>'Raw Sales'!J2297</x:f>
        <x:v>1</x:v>
      </x:c>
      <x:c r="S2297" s="87" t="n">
        <x:f>'Raw Sales'!K2297</x:f>
        <x:v>0.15</x:v>
      </x:c>
      <x:c r="T2297" s="93" t="n">
        <x:f>P2297*R2297</x:f>
        <x:v>99</x:v>
      </x:c>
      <x:c r="U2297" s="93" t="n">
        <x:f>T2297*S2297</x:f>
        <x:v>14.85</x:v>
      </x:c>
      <x:c r="V2297" s="93" t="str">
        <x:f>PROPER(TRIM('Raw Sales'!L2297))</x:f>
        <x:v>Completed</x:v>
      </x:c>
      <x:c r="W2297" s="93" t="n">
        <x:f>IF(V2297="Returned",0,T2297-U2297)</x:f>
        <x:v>84.15</x:v>
      </x:c>
      <x:c r="X2297" s="93" t="n">
        <x:f>IF(V2297="Returned",Q2297*R2297*10%,Q2297*R2297)</x:f>
        <x:v>57</x:v>
      </x:c>
      <x:c r="Y2297" s="93" t="n">
        <x:f>W2297-X2297</x:f>
        <x:v>27.150000000000006</x:v>
      </x:c>
      <x:c r="Z2297" s="94" t="n">
        <x:f>IFERROR(Y2297/W2297,0)</x:f>
        <x:v>0.322638146167558</x:v>
      </x:c>
      <x:c r="AA2297" s="84" t="str">
        <x:f>PROPER(TRIM('Raw Sales'!M2297))</x:f>
        <x:v>Credit Card</x:v>
      </x:c>
      <x:c r="AB2297" s="84" t="str">
        <x:f>PROPER(TRIM('Raw Sales'!N2297))</x:f>
        <x:v>Maya Brooks</x:v>
      </x:c>
      <x:c r="AC2297" s="85" t="n">
        <x:f>'Raw Sales'!O2297</x:f>
        <x:v>45999</x:v>
      </x:c>
      <x:c r="AD2297" s="84" t="n">
        <x:f>AC2297-B2297</x:f>
        <x:v>0</x:v>
      </x:c>
      <x:c r="AE2297" s="84" t="str">
        <x:f>IF(COUNTIF($A$5:A2297,A2297)&gt;1,"Duplicate","Keep")</x:f>
        <x:v>Keep</x:v>
      </x:c>
      <x:c r="AF2297" s="84" t="str">
        <x:f>IF(OR(R2297&lt;=0,AC2297&lt;B2297,H2297="Unknown",M2297="Unknown Product"),"Review","Valid")</x:f>
        <x:v>Valid</x:v>
      </x:c>
      <x:c r="AG2297" s="84" t="n">
        <x:f>IF(AND(AE2297="Keep",AF2297="Valid"),1,0)</x:f>
        <x:v>1</x:v>
      </x:c>
      <x:c r="AH2297" s="84" t="n">
        <x:f>IF(AND(AG2297=1,OR('Dashboard'!$B$4="All",I2297='Dashboard'!$B$4),OR('Dashboard'!$E$4="All",N2297='Dashboard'!$E$4),OR('Dashboard'!$H$4="All",K2297='Dashboard'!$H$4),OR('Dashboard'!$K$4="All",C2297='Dashboard'!$K$4)),1,0)</x:f>
        <x:v>1</x:v>
      </x:c>
      <x:c r="AI2297" s="84" t="n">
        <x:f>IF(AND(AG2297=1,OR('Dashboard'!$B$4="All",I2297='Dashboard'!$B$4),OR('Dashboard'!$E$4="All",N2297='Dashboard'!$E$4),OR('Dashboard'!$H$4="All",K2297='Dashboard'!$H$4)),1,0)</x:f>
        <x:v>1</x:v>
      </x:c>
    </x:row>
    <x:row r="2298">
      <x:c r="A2298" s="84" t="str">
        <x:f>'Raw Sales'!A2298</x:f>
        <x:v>ORD-2025-01530</x:v>
      </x:c>
      <x:c r="B2298" s="85" t="n">
        <x:f>'Raw Sales'!B2298</x:f>
        <x:v>45999</x:v>
      </x:c>
      <x:c r="C2298" s="84" t="n">
        <x:f>YEAR(B2298)</x:f>
        <x:v>2025</x:v>
      </x:c>
      <x:c r="D2298" s="91" t="n">
        <x:f>DATE(YEAR(B2298),MONTH(B2298),1)</x:f>
        <x:v>45992</x:v>
      </x:c>
      <x:c r="E2298" s="84" t="str">
        <x:f>TEXT(B2298,"mmm")</x:f>
        <x:v>Dec</x:v>
      </x:c>
      <x:c r="F2298" s="84" t="str">
        <x:f>'Raw Sales'!C2298</x:f>
        <x:v>CUST-0145</x:v>
      </x:c>
      <x:c r="G2298" s="84" t="str">
        <x:f>PROPER(TRIM('Raw Sales'!D2298))</x:f>
        <x:v>Samuel Adams</x:v>
      </x:c>
      <x:c r="H2298" s="84" t="str">
        <x:f>IF(TRIM('Raw Sales'!E2298)="","Unknown",PROPER(TRIM('Raw Sales'!E2298)))</x:f>
        <x:v>Consumer</x:v>
      </x:c>
      <x:c r="I2298" s="84" t="str">
        <x:f>PROPER(TRIM('Raw Sales'!F2298))</x:f>
        <x:v>Southeast</x:v>
      </x:c>
      <x:c r="J2298" s="84" t="str">
        <x:f>PROPER(TRIM('Raw Sales'!G2298))</x:f>
        <x:v>Nashville</x:v>
      </x:c>
      <x:c r="K2298" s="84" t="str">
        <x:f>PROPER(TRIM('Raw Sales'!H2298))</x:f>
        <x:v>Marketplace</x:v>
      </x:c>
      <x:c r="L2298" s="84" t="str">
        <x:f>'Raw Sales'!I2298</x:f>
        <x:v>HOME-001</x:v>
      </x:c>
      <x:c r="M2298" s="84" t="str">
        <x:f>IFERROR(VLOOKUP(L2298,'Reference Data'!$A$5:$F$40,2,FALSE),"Unknown Product")</x:f>
        <x:v>Air Fryer</x:v>
      </x:c>
      <x:c r="N2298" s="84" t="str">
        <x:f>IFERROR(VLOOKUP(L2298,'Reference Data'!$A$5:$F$40,3,FALSE),"Unknown")</x:f>
        <x:v>Home &amp; Kitchen</x:v>
      </x:c>
      <x:c r="O2298" s="84" t="str">
        <x:f>IFERROR(VLOOKUP(L2298,'Reference Data'!$A$5:$F$40,4,FALSE),"Unknown")</x:f>
        <x:v>Small Appliances</x:v>
      </x:c>
      <x:c r="P2298" s="92" t="n">
        <x:f>IFERROR(VLOOKUP(L2298,'Reference Data'!$A$5:$F$40,5,FALSE),0)</x:f>
        <x:v>119</x:v>
      </x:c>
      <x:c r="Q2298" s="92" t="n">
        <x:f>IFERROR(VLOOKUP(L2298,'Reference Data'!$A$5:$F$40,6,FALSE),0)</x:f>
        <x:v>68</x:v>
      </x:c>
      <x:c r="R2298" s="84" t="n">
        <x:f>'Raw Sales'!J2298</x:f>
        <x:v>1</x:v>
      </x:c>
      <x:c r="S2298" s="87" t="n">
        <x:f>'Raw Sales'!K2298</x:f>
        <x:v>0.1</x:v>
      </x:c>
      <x:c r="T2298" s="93" t="n">
        <x:f>P2298*R2298</x:f>
        <x:v>119</x:v>
      </x:c>
      <x:c r="U2298" s="93" t="n">
        <x:f>T2298*S2298</x:f>
        <x:v>11.9</x:v>
      </x:c>
      <x:c r="V2298" s="93" t="str">
        <x:f>PROPER(TRIM('Raw Sales'!L2298))</x:f>
        <x:v>Completed</x:v>
      </x:c>
      <x:c r="W2298" s="93" t="n">
        <x:f>IF(V2298="Returned",0,T2298-U2298)</x:f>
        <x:v>107.1</x:v>
      </x:c>
      <x:c r="X2298" s="93" t="n">
        <x:f>IF(V2298="Returned",Q2298*R2298*10%,Q2298*R2298)</x:f>
        <x:v>68</x:v>
      </x:c>
      <x:c r="Y2298" s="93" t="n">
        <x:f>W2298-X2298</x:f>
        <x:v>39.099999999999994</x:v>
      </x:c>
      <x:c r="Z2298" s="94" t="n">
        <x:f>IFERROR(Y2298/W2298,0)</x:f>
        <x:v>0.36507936507936506</x:v>
      </x:c>
      <x:c r="AA2298" s="84" t="str">
        <x:f>PROPER(TRIM('Raw Sales'!M2298))</x:f>
        <x:v>Credit Card</x:v>
      </x:c>
      <x:c r="AB2298" s="84" t="str">
        <x:f>PROPER(TRIM('Raw Sales'!N2298))</x:f>
        <x:v>Noah Reed</x:v>
      </x:c>
      <x:c r="AC2298" s="85" t="n">
        <x:f>'Raw Sales'!O2298</x:f>
        <x:v>46005</x:v>
      </x:c>
      <x:c r="AD2298" s="84" t="n">
        <x:f>AC2298-B2298</x:f>
        <x:v>6</x:v>
      </x:c>
      <x:c r="AE2298" s="84" t="str">
        <x:f>IF(COUNTIF($A$5:A2298,A2298)&gt;1,"Duplicate","Keep")</x:f>
        <x:v>Keep</x:v>
      </x:c>
      <x:c r="AF2298" s="84" t="str">
        <x:f>IF(OR(R2298&lt;=0,AC2298&lt;B2298,H2298="Unknown",M2298="Unknown Product"),"Review","Valid")</x:f>
        <x:v>Valid</x:v>
      </x:c>
      <x:c r="AG2298" s="84" t="n">
        <x:f>IF(AND(AE2298="Keep",AF2298="Valid"),1,0)</x:f>
        <x:v>1</x:v>
      </x:c>
      <x:c r="AH2298" s="84" t="n">
        <x:f>IF(AND(AG2298=1,OR('Dashboard'!$B$4="All",I2298='Dashboard'!$B$4),OR('Dashboard'!$E$4="All",N2298='Dashboard'!$E$4),OR('Dashboard'!$H$4="All",K2298='Dashboard'!$H$4),OR('Dashboard'!$K$4="All",C2298='Dashboard'!$K$4)),1,0)</x:f>
        <x:v>1</x:v>
      </x:c>
      <x:c r="AI2298" s="84" t="n">
        <x:f>IF(AND(AG2298=1,OR('Dashboard'!$B$4="All",I2298='Dashboard'!$B$4),OR('Dashboard'!$E$4="All",N2298='Dashboard'!$E$4),OR('Dashboard'!$H$4="All",K2298='Dashboard'!$H$4)),1,0)</x:f>
        <x:v>1</x:v>
      </x:c>
    </x:row>
    <x:row r="2299">
      <x:c r="A2299" s="84" t="str">
        <x:f>'Raw Sales'!A2299</x:f>
        <x:v>ORD-2025-01586</x:v>
      </x:c>
      <x:c r="B2299" s="85" t="n">
        <x:f>'Raw Sales'!B2299</x:f>
        <x:v>45999</x:v>
      </x:c>
      <x:c r="C2299" s="84" t="n">
        <x:f>YEAR(B2299)</x:f>
        <x:v>2025</x:v>
      </x:c>
      <x:c r="D2299" s="91" t="n">
        <x:f>DATE(YEAR(B2299),MONTH(B2299),1)</x:f>
        <x:v>45992</x:v>
      </x:c>
      <x:c r="E2299" s="84" t="str">
        <x:f>TEXT(B2299,"mmm")</x:f>
        <x:v>Dec</x:v>
      </x:c>
      <x:c r="F2299" s="84" t="str">
        <x:f>'Raw Sales'!C2299</x:f>
        <x:v>CUST-0394</x:v>
      </x:c>
      <x:c r="G2299" s="84" t="str">
        <x:f>PROPER(TRIM('Raw Sales'!D2299))</x:f>
        <x:v>Priya Nelson</x:v>
      </x:c>
      <x:c r="H2299" s="84" t="str">
        <x:f>IF(TRIM('Raw Sales'!E2299)="","Unknown",PROPER(TRIM('Raw Sales'!E2299)))</x:f>
        <x:v>Unknown</x:v>
      </x:c>
      <x:c r="I2299" s="84" t="str">
        <x:f>PROPER(TRIM('Raw Sales'!F2299))</x:f>
        <x:v>West</x:v>
      </x:c>
      <x:c r="J2299" s="84" t="str">
        <x:f>PROPER(TRIM('Raw Sales'!G2299))</x:f>
        <x:v>Denver</x:v>
      </x:c>
      <x:c r="K2299" s="84" t="str">
        <x:f>PROPER(TRIM('Raw Sales'!H2299))</x:f>
        <x:v>Online</x:v>
      </x:c>
      <x:c r="L2299" s="84" t="str">
        <x:f>'Raw Sales'!I2299</x:f>
        <x:v>HOME-003</x:v>
      </x:c>
      <x:c r="M2299" s="84" t="str">
        <x:f>IFERROR(VLOOKUP(L2299,'Reference Data'!$A$5:$F$40,2,FALSE),"Unknown Product")</x:f>
        <x:v>Countertop Blender</x:v>
      </x:c>
      <x:c r="N2299" s="84" t="str">
        <x:f>IFERROR(VLOOKUP(L2299,'Reference Data'!$A$5:$F$40,3,FALSE),"Unknown")</x:f>
        <x:v>Home &amp; Kitchen</x:v>
      </x:c>
      <x:c r="O2299" s="84" t="str">
        <x:f>IFERROR(VLOOKUP(L2299,'Reference Data'!$A$5:$F$40,4,FALSE),"Unknown")</x:f>
        <x:v>Small Appliances</x:v>
      </x:c>
      <x:c r="P2299" s="92" t="n">
        <x:f>IFERROR(VLOOKUP(L2299,'Reference Data'!$A$5:$F$40,5,FALSE),0)</x:f>
        <x:v>89</x:v>
      </x:c>
      <x:c r="Q2299" s="92" t="n">
        <x:f>IFERROR(VLOOKUP(L2299,'Reference Data'!$A$5:$F$40,6,FALSE),0)</x:f>
        <x:v>46</x:v>
      </x:c>
      <x:c r="R2299" s="84" t="n">
        <x:f>'Raw Sales'!J2299</x:f>
        <x:v>6</x:v>
      </x:c>
      <x:c r="S2299" s="87" t="n">
        <x:f>'Raw Sales'!K2299</x:f>
        <x:v>0.1</x:v>
      </x:c>
      <x:c r="T2299" s="93" t="n">
        <x:f>P2299*R2299</x:f>
        <x:v>534</x:v>
      </x:c>
      <x:c r="U2299" s="93" t="n">
        <x:f>T2299*S2299</x:f>
        <x:v>53.400000000000006</x:v>
      </x:c>
      <x:c r="V2299" s="93" t="str">
        <x:f>PROPER(TRIM('Raw Sales'!L2299))</x:f>
        <x:v>Completed</x:v>
      </x:c>
      <x:c r="W2299" s="93" t="n">
        <x:f>IF(V2299="Returned",0,T2299-U2299)</x:f>
        <x:v>480.6</x:v>
      </x:c>
      <x:c r="X2299" s="93" t="n">
        <x:f>IF(V2299="Returned",Q2299*R2299*10%,Q2299*R2299)</x:f>
        <x:v>276</x:v>
      </x:c>
      <x:c r="Y2299" s="93" t="n">
        <x:f>W2299-X2299</x:f>
        <x:v>204.60000000000002</x:v>
      </x:c>
      <x:c r="Z2299" s="94" t="n">
        <x:f>IFERROR(Y2299/W2299,0)</x:f>
        <x:v>0.42571785268414486</x:v>
      </x:c>
      <x:c r="AA2299" s="84" t="str">
        <x:f>PROPER(TRIM('Raw Sales'!M2299))</x:f>
        <x:v>Paypal</x:v>
      </x:c>
      <x:c r="AB2299" s="84" t="str">
        <x:f>PROPER(TRIM('Raw Sales'!N2299))</x:f>
        <x:v>Nora Kim</x:v>
      </x:c>
      <x:c r="AC2299" s="85" t="n">
        <x:f>'Raw Sales'!O2299</x:f>
        <x:v>46002</x:v>
      </x:c>
      <x:c r="AD2299" s="84" t="n">
        <x:f>AC2299-B2299</x:f>
        <x:v>3</x:v>
      </x:c>
      <x:c r="AE2299" s="84" t="str">
        <x:f>IF(COUNTIF($A$5:A2299,A2299)&gt;1,"Duplicate","Keep")</x:f>
        <x:v>Keep</x:v>
      </x:c>
      <x:c r="AF2299" s="84" t="str">
        <x:f>IF(OR(R2299&lt;=0,AC2299&lt;B2299,H2299="Unknown",M2299="Unknown Product"),"Review","Valid")</x:f>
        <x:v>Review</x:v>
      </x:c>
      <x:c r="AG2299" s="84" t="n">
        <x:f>IF(AND(AE2299="Keep",AF2299="Valid"),1,0)</x:f>
        <x:v>0</x:v>
      </x:c>
      <x:c r="AH2299" s="84" t="n">
        <x:f>IF(AND(AG2299=1,OR('Dashboard'!$B$4="All",I2299='Dashboard'!$B$4),OR('Dashboard'!$E$4="All",N2299='Dashboard'!$E$4),OR('Dashboard'!$H$4="All",K2299='Dashboard'!$H$4),OR('Dashboard'!$K$4="All",C2299='Dashboard'!$K$4)),1,0)</x:f>
        <x:v>0</x:v>
      </x:c>
      <x:c r="AI2299" s="84" t="n">
        <x:f>IF(AND(AG2299=1,OR('Dashboard'!$B$4="All",I2299='Dashboard'!$B$4),OR('Dashboard'!$E$4="All",N2299='Dashboard'!$E$4),OR('Dashboard'!$H$4="All",K2299='Dashboard'!$H$4)),1,0)</x:f>
        <x:v>0</x:v>
      </x:c>
    </x:row>
    <x:row r="2300">
      <x:c r="A2300" s="84" t="str">
        <x:f>'Raw Sales'!A2300</x:f>
        <x:v>ORD-2025-01757</x:v>
      </x:c>
      <x:c r="B2300" s="85" t="n">
        <x:f>'Raw Sales'!B2300</x:f>
        <x:v>45999</x:v>
      </x:c>
      <x:c r="C2300" s="84" t="n">
        <x:f>YEAR(B2300)</x:f>
        <x:v>2025</x:v>
      </x:c>
      <x:c r="D2300" s="91" t="n">
        <x:f>DATE(YEAR(B2300),MONTH(B2300),1)</x:f>
        <x:v>45992</x:v>
      </x:c>
      <x:c r="E2300" s="84" t="str">
        <x:f>TEXT(B2300,"mmm")</x:f>
        <x:v>Dec</x:v>
      </x:c>
      <x:c r="F2300" s="84" t="str">
        <x:f>'Raw Sales'!C2300</x:f>
        <x:v>CUST-0271</x:v>
      </x:c>
      <x:c r="G2300" s="84" t="str">
        <x:f>PROPER(TRIM('Raw Sales'!D2300))</x:f>
        <x:v>Jonah Nelson</x:v>
      </x:c>
      <x:c r="H2300" s="84" t="str">
        <x:f>IF(TRIM('Raw Sales'!E2300)="","Unknown",PROPER(TRIM('Raw Sales'!E2300)))</x:f>
        <x:v>Consumer</x:v>
      </x:c>
      <x:c r="I2300" s="84" t="str">
        <x:f>PROPER(TRIM('Raw Sales'!F2300))</x:f>
        <x:v>Midwest</x:v>
      </x:c>
      <x:c r="J2300" s="84" t="str">
        <x:f>PROPER(TRIM('Raw Sales'!G2300))</x:f>
        <x:v>Detroit</x:v>
      </x:c>
      <x:c r="K2300" s="84" t="str">
        <x:f>PROPER(TRIM('Raw Sales'!H2300))</x:f>
        <x:v>Marketplace</x:v>
      </x:c>
      <x:c r="L2300" s="84" t="str">
        <x:f>'Raw Sales'!I2300</x:f>
        <x:v>HOME-006</x:v>
      </x:c>
      <x:c r="M2300" s="84" t="str">
        <x:f>IFERROR(VLOOKUP(L2300,'Reference Data'!$A$5:$F$40,2,FALSE),"Unknown Product")</x:f>
        <x:v>Food Storage Set</x:v>
      </x:c>
      <x:c r="N2300" s="84" t="str">
        <x:f>IFERROR(VLOOKUP(L2300,'Reference Data'!$A$5:$F$40,3,FALSE),"Unknown")</x:f>
        <x:v>Home &amp; Kitchen</x:v>
      </x:c>
      <x:c r="O2300" s="84" t="str">
        <x:f>IFERROR(VLOOKUP(L2300,'Reference Data'!$A$5:$F$40,4,FALSE),"Unknown")</x:f>
        <x:v>Kitchenware</x:v>
      </x:c>
      <x:c r="P2300" s="92" t="n">
        <x:f>IFERROR(VLOOKUP(L2300,'Reference Data'!$A$5:$F$40,5,FALSE),0)</x:f>
        <x:v>34</x:v>
      </x:c>
      <x:c r="Q2300" s="92" t="n">
        <x:f>IFERROR(VLOOKUP(L2300,'Reference Data'!$A$5:$F$40,6,FALSE),0)</x:f>
        <x:v>15</x:v>
      </x:c>
      <x:c r="R2300" s="84" t="n">
        <x:f>'Raw Sales'!J2300</x:f>
        <x:v>1</x:v>
      </x:c>
      <x:c r="S2300" s="87" t="n">
        <x:f>'Raw Sales'!K2300</x:f>
        <x:v>0.1</x:v>
      </x:c>
      <x:c r="T2300" s="93" t="n">
        <x:f>P2300*R2300</x:f>
        <x:v>34</x:v>
      </x:c>
      <x:c r="U2300" s="93" t="n">
        <x:f>T2300*S2300</x:f>
        <x:v>3.4000000000000004</x:v>
      </x:c>
      <x:c r="V2300" s="93" t="str">
        <x:f>PROPER(TRIM('Raw Sales'!L2300))</x:f>
        <x:v>Completed</x:v>
      </x:c>
      <x:c r="W2300" s="93" t="n">
        <x:f>IF(V2300="Returned",0,T2300-U2300)</x:f>
        <x:v>30.6</x:v>
      </x:c>
      <x:c r="X2300" s="93" t="n">
        <x:f>IF(V2300="Returned",Q2300*R2300*10%,Q2300*R2300)</x:f>
        <x:v>15</x:v>
      </x:c>
      <x:c r="Y2300" s="93" t="n">
        <x:f>W2300-X2300</x:f>
        <x:v>15.600000000000001</x:v>
      </x:c>
      <x:c r="Z2300" s="94" t="n">
        <x:f>IFERROR(Y2300/W2300,0)</x:f>
        <x:v>0.5098039215686275</x:v>
      </x:c>
      <x:c r="AA2300" s="84" t="str">
        <x:f>PROPER(TRIM('Raw Sales'!M2300))</x:f>
        <x:v>Debit Card</x:v>
      </x:c>
      <x:c r="AB2300" s="84" t="str">
        <x:f>PROPER(TRIM('Raw Sales'!N2300))</x:f>
        <x:v>Lucas Grant</x:v>
      </x:c>
      <x:c r="AC2300" s="85" t="n">
        <x:f>'Raw Sales'!O2300</x:f>
        <x:v>46004</x:v>
      </x:c>
      <x:c r="AD2300" s="84" t="n">
        <x:f>AC2300-B2300</x:f>
        <x:v>5</x:v>
      </x:c>
      <x:c r="AE2300" s="84" t="str">
        <x:f>IF(COUNTIF($A$5:A2300,A2300)&gt;1,"Duplicate","Keep")</x:f>
        <x:v>Keep</x:v>
      </x:c>
      <x:c r="AF2300" s="84" t="str">
        <x:f>IF(OR(R2300&lt;=0,AC2300&lt;B2300,H2300="Unknown",M2300="Unknown Product"),"Review","Valid")</x:f>
        <x:v>Valid</x:v>
      </x:c>
      <x:c r="AG2300" s="84" t="n">
        <x:f>IF(AND(AE2300="Keep",AF2300="Valid"),1,0)</x:f>
        <x:v>1</x:v>
      </x:c>
      <x:c r="AH2300" s="84" t="n">
        <x:f>IF(AND(AG2300=1,OR('Dashboard'!$B$4="All",I2300='Dashboard'!$B$4),OR('Dashboard'!$E$4="All",N2300='Dashboard'!$E$4),OR('Dashboard'!$H$4="All",K2300='Dashboard'!$H$4),OR('Dashboard'!$K$4="All",C2300='Dashboard'!$K$4)),1,0)</x:f>
        <x:v>1</x:v>
      </x:c>
      <x:c r="AI2300" s="84" t="n">
        <x:f>IF(AND(AG2300=1,OR('Dashboard'!$B$4="All",I2300='Dashboard'!$B$4),OR('Dashboard'!$E$4="All",N2300='Dashboard'!$E$4),OR('Dashboard'!$H$4="All",K2300='Dashboard'!$H$4)),1,0)</x:f>
        <x:v>1</x:v>
      </x:c>
    </x:row>
    <x:row r="2301">
      <x:c r="A2301" s="84" t="str">
        <x:f>'Raw Sales'!A2301</x:f>
        <x:v>ORD-2025-00183</x:v>
      </x:c>
      <x:c r="B2301" s="85" t="n">
        <x:f>'Raw Sales'!B2301</x:f>
        <x:v>46000</x:v>
      </x:c>
      <x:c r="C2301" s="84" t="n">
        <x:f>YEAR(B2301)</x:f>
        <x:v>2025</x:v>
      </x:c>
      <x:c r="D2301" s="91" t="n">
        <x:f>DATE(YEAR(B2301),MONTH(B2301),1)</x:f>
        <x:v>45992</x:v>
      </x:c>
      <x:c r="E2301" s="84" t="str">
        <x:f>TEXT(B2301,"mmm")</x:f>
        <x:v>Dec</x:v>
      </x:c>
      <x:c r="F2301" s="84" t="str">
        <x:f>'Raw Sales'!C2301</x:f>
        <x:v>CUST-0356</x:v>
      </x:c>
      <x:c r="G2301" s="84" t="str">
        <x:f>PROPER(TRIM('Raw Sales'!D2301))</x:f>
        <x:v>Grace Davis</x:v>
      </x:c>
      <x:c r="H2301" s="84" t="str">
        <x:f>IF(TRIM('Raw Sales'!E2301)="","Unknown",PROPER(TRIM('Raw Sales'!E2301)))</x:f>
        <x:v>Unknown</x:v>
      </x:c>
      <x:c r="I2301" s="84" t="str">
        <x:f>PROPER(TRIM('Raw Sales'!F2301))</x:f>
        <x:v>Northeast</x:v>
      </x:c>
      <x:c r="J2301" s="84" t="str">
        <x:f>PROPER(TRIM('Raw Sales'!G2301))</x:f>
        <x:v>Philadelphia</x:v>
      </x:c>
      <x:c r="K2301" s="84" t="str">
        <x:f>PROPER(TRIM('Raw Sales'!H2301))</x:f>
        <x:v>Online</x:v>
      </x:c>
      <x:c r="L2301" s="84" t="str">
        <x:f>'Raw Sales'!I2301</x:f>
        <x:v>ACCS-003</x:v>
      </x:c>
      <x:c r="M2301" s="84" t="str">
        <x:f>IFERROR(VLOOKUP(L2301,'Reference Data'!$A$5:$F$40,2,FALSE),"Unknown Product")</x:f>
        <x:v>Polarized Sunglasses</x:v>
      </x:c>
      <x:c r="N2301" s="84" t="str">
        <x:f>IFERROR(VLOOKUP(L2301,'Reference Data'!$A$5:$F$40,3,FALSE),"Unknown")</x:f>
        <x:v>Accessories</x:v>
      </x:c>
      <x:c r="O2301" s="84" t="str">
        <x:f>IFERROR(VLOOKUP(L2301,'Reference Data'!$A$5:$F$40,4,FALSE),"Unknown")</x:f>
        <x:v>Eyewear</x:v>
      </x:c>
      <x:c r="P2301" s="92" t="n">
        <x:f>IFERROR(VLOOKUP(L2301,'Reference Data'!$A$5:$F$40,5,FALSE),0)</x:f>
        <x:v>59</x:v>
      </x:c>
      <x:c r="Q2301" s="92" t="n">
        <x:f>IFERROR(VLOOKUP(L2301,'Reference Data'!$A$5:$F$40,6,FALSE),0)</x:f>
        <x:v>17</x:v>
      </x:c>
      <x:c r="R2301" s="84" t="n">
        <x:f>'Raw Sales'!J2301</x:f>
        <x:v>3</x:v>
      </x:c>
      <x:c r="S2301" s="87" t="n">
        <x:f>'Raw Sales'!K2301</x:f>
        <x:v>0.2</x:v>
      </x:c>
      <x:c r="T2301" s="93" t="n">
        <x:f>P2301*R2301</x:f>
        <x:v>177</x:v>
      </x:c>
      <x:c r="U2301" s="93" t="n">
        <x:f>T2301*S2301</x:f>
        <x:v>35.4</x:v>
      </x:c>
      <x:c r="V2301" s="93" t="str">
        <x:f>PROPER(TRIM('Raw Sales'!L2301))</x:f>
        <x:v>Completed</x:v>
      </x:c>
      <x:c r="W2301" s="93" t="n">
        <x:f>IF(V2301="Returned",0,T2301-U2301)</x:f>
        <x:v>141.6</x:v>
      </x:c>
      <x:c r="X2301" s="93" t="n">
        <x:f>IF(V2301="Returned",Q2301*R2301*10%,Q2301*R2301)</x:f>
        <x:v>51</x:v>
      </x:c>
      <x:c r="Y2301" s="93" t="n">
        <x:f>W2301-X2301</x:f>
        <x:v>90.6</x:v>
      </x:c>
      <x:c r="Z2301" s="94" t="n">
        <x:f>IFERROR(Y2301/W2301,0)</x:f>
        <x:v>0.6398305084745762</x:v>
      </x:c>
      <x:c r="AA2301" s="84" t="str">
        <x:f>PROPER(TRIM('Raw Sales'!M2301))</x:f>
        <x:v>Debit Card</x:v>
      </x:c>
      <x:c r="AB2301" s="84" t="str">
        <x:f>PROPER(TRIM('Raw Sales'!N2301))</x:f>
        <x:v>Sofia Bennett</x:v>
      </x:c>
      <x:c r="AC2301" s="85" t="n">
        <x:f>'Raw Sales'!O2301</x:f>
        <x:v>46003</x:v>
      </x:c>
      <x:c r="AD2301" s="84" t="n">
        <x:f>AC2301-B2301</x:f>
        <x:v>3</x:v>
      </x:c>
      <x:c r="AE2301" s="84" t="str">
        <x:f>IF(COUNTIF($A$5:A2301,A2301)&gt;1,"Duplicate","Keep")</x:f>
        <x:v>Keep</x:v>
      </x:c>
      <x:c r="AF2301" s="84" t="str">
        <x:f>IF(OR(R2301&lt;=0,AC2301&lt;B2301,H2301="Unknown",M2301="Unknown Product"),"Review","Valid")</x:f>
        <x:v>Review</x:v>
      </x:c>
      <x:c r="AG2301" s="84" t="n">
        <x:f>IF(AND(AE2301="Keep",AF2301="Valid"),1,0)</x:f>
        <x:v>0</x:v>
      </x:c>
      <x:c r="AH2301" s="84" t="n">
        <x:f>IF(AND(AG2301=1,OR('Dashboard'!$B$4="All",I2301='Dashboard'!$B$4),OR('Dashboard'!$E$4="All",N2301='Dashboard'!$E$4),OR('Dashboard'!$H$4="All",K2301='Dashboard'!$H$4),OR('Dashboard'!$K$4="All",C2301='Dashboard'!$K$4)),1,0)</x:f>
        <x:v>0</x:v>
      </x:c>
      <x:c r="AI2301" s="84" t="n">
        <x:f>IF(AND(AG2301=1,OR('Dashboard'!$B$4="All",I2301='Dashboard'!$B$4),OR('Dashboard'!$E$4="All",N2301='Dashboard'!$E$4),OR('Dashboard'!$H$4="All",K2301='Dashboard'!$H$4)),1,0)</x:f>
        <x:v>0</x:v>
      </x:c>
    </x:row>
    <x:row r="2302">
      <x:c r="A2302" s="84" t="str">
        <x:f>'Raw Sales'!A2302</x:f>
        <x:v>ORD-2025-00985</x:v>
      </x:c>
      <x:c r="B2302" s="85" t="n">
        <x:f>'Raw Sales'!B2302</x:f>
        <x:v>46000</x:v>
      </x:c>
      <x:c r="C2302" s="84" t="n">
        <x:f>YEAR(B2302)</x:f>
        <x:v>2025</x:v>
      </x:c>
      <x:c r="D2302" s="91" t="n">
        <x:f>DATE(YEAR(B2302),MONTH(B2302),1)</x:f>
        <x:v>45992</x:v>
      </x:c>
      <x:c r="E2302" s="84" t="str">
        <x:f>TEXT(B2302,"mmm")</x:f>
        <x:v>Dec</x:v>
      </x:c>
      <x:c r="F2302" s="84" t="str">
        <x:f>'Raw Sales'!C2302</x:f>
        <x:v>CUST-0145</x:v>
      </x:c>
      <x:c r="G2302" s="84" t="str">
        <x:f>PROPER(TRIM('Raw Sales'!D2302))</x:f>
        <x:v>Samuel Adams</x:v>
      </x:c>
      <x:c r="H2302" s="84" t="str">
        <x:f>IF(TRIM('Raw Sales'!E2302)="","Unknown",PROPER(TRIM('Raw Sales'!E2302)))</x:f>
        <x:v>Consumer</x:v>
      </x:c>
      <x:c r="I2302" s="84" t="str">
        <x:f>PROPER(TRIM('Raw Sales'!F2302))</x:f>
        <x:v>Southeast</x:v>
      </x:c>
      <x:c r="J2302" s="84" t="str">
        <x:f>PROPER(TRIM('Raw Sales'!G2302))</x:f>
        <x:v>Nashville</x:v>
      </x:c>
      <x:c r="K2302" s="84" t="str">
        <x:f>PROPER(TRIM('Raw Sales'!H2302))</x:f>
        <x:v>Online</x:v>
      </x:c>
      <x:c r="L2302" s="84" t="str">
        <x:f>'Raw Sales'!I2302</x:f>
        <x:v>CARE-001</x:v>
      </x:c>
      <x:c r="M2302" s="84" t="str">
        <x:f>IFERROR(VLOOKUP(L2302,'Reference Data'!$A$5:$F$40,2,FALSE),"Unknown Product")</x:f>
        <x:v>Ionic Hair Dryer</x:v>
      </x:c>
      <x:c r="N2302" s="84" t="str">
        <x:f>IFERROR(VLOOKUP(L2302,'Reference Data'!$A$5:$F$40,3,FALSE),"Unknown")</x:f>
        <x:v>Personal Care</x:v>
      </x:c>
      <x:c r="O2302" s="84" t="str">
        <x:f>IFERROR(VLOOKUP(L2302,'Reference Data'!$A$5:$F$40,4,FALSE),"Unknown")</x:f>
        <x:v>Hair Care</x:v>
      </x:c>
      <x:c r="P2302" s="92" t="n">
        <x:f>IFERROR(VLOOKUP(L2302,'Reference Data'!$A$5:$F$40,5,FALSE),0)</x:f>
        <x:v>54</x:v>
      </x:c>
      <x:c r="Q2302" s="92" t="n">
        <x:f>IFERROR(VLOOKUP(L2302,'Reference Data'!$A$5:$F$40,6,FALSE),0)</x:f>
        <x:v>25</x:v>
      </x:c>
      <x:c r="R2302" s="84" t="n">
        <x:f>'Raw Sales'!J2302</x:f>
        <x:v>2</x:v>
      </x:c>
      <x:c r="S2302" s="87" t="n">
        <x:f>'Raw Sales'!K2302</x:f>
        <x:v>0.2</x:v>
      </x:c>
      <x:c r="T2302" s="93" t="n">
        <x:f>P2302*R2302</x:f>
        <x:v>108</x:v>
      </x:c>
      <x:c r="U2302" s="93" t="n">
        <x:f>T2302*S2302</x:f>
        <x:v>21.6</x:v>
      </x:c>
      <x:c r="V2302" s="93" t="str">
        <x:f>PROPER(TRIM('Raw Sales'!L2302))</x:f>
        <x:v>Completed</x:v>
      </x:c>
      <x:c r="W2302" s="93" t="n">
        <x:f>IF(V2302="Returned",0,T2302-U2302)</x:f>
        <x:v>86.4</x:v>
      </x:c>
      <x:c r="X2302" s="93" t="n">
        <x:f>IF(V2302="Returned",Q2302*R2302*10%,Q2302*R2302)</x:f>
        <x:v>50</x:v>
      </x:c>
      <x:c r="Y2302" s="93" t="n">
        <x:f>W2302-X2302</x:f>
        <x:v>36.400000000000006</x:v>
      </x:c>
      <x:c r="Z2302" s="94" t="n">
        <x:f>IFERROR(Y2302/W2302,0)</x:f>
        <x:v>0.42129629629629634</x:v>
      </x:c>
      <x:c r="AA2302" s="84" t="str">
        <x:f>PROPER(TRIM('Raw Sales'!M2302))</x:f>
        <x:v>Paypal</x:v>
      </x:c>
      <x:c r="AB2302" s="84" t="str">
        <x:f>PROPER(TRIM('Raw Sales'!N2302))</x:f>
        <x:v>Noah Reed</x:v>
      </x:c>
      <x:c r="AC2302" s="85" t="n">
        <x:f>'Raw Sales'!O2302</x:f>
        <x:v>46004</x:v>
      </x:c>
      <x:c r="AD2302" s="84" t="n">
        <x:f>AC2302-B2302</x:f>
        <x:v>4</x:v>
      </x:c>
      <x:c r="AE2302" s="84" t="str">
        <x:f>IF(COUNTIF($A$5:A2302,A2302)&gt;1,"Duplicate","Keep")</x:f>
        <x:v>Keep</x:v>
      </x:c>
      <x:c r="AF2302" s="84" t="str">
        <x:f>IF(OR(R2302&lt;=0,AC2302&lt;B2302,H2302="Unknown",M2302="Unknown Product"),"Review","Valid")</x:f>
        <x:v>Valid</x:v>
      </x:c>
      <x:c r="AG2302" s="84" t="n">
        <x:f>IF(AND(AE2302="Keep",AF2302="Valid"),1,0)</x:f>
        <x:v>1</x:v>
      </x:c>
      <x:c r="AH2302" s="84" t="n">
        <x:f>IF(AND(AG2302=1,OR('Dashboard'!$B$4="All",I2302='Dashboard'!$B$4),OR('Dashboard'!$E$4="All",N2302='Dashboard'!$E$4),OR('Dashboard'!$H$4="All",K2302='Dashboard'!$H$4),OR('Dashboard'!$K$4="All",C2302='Dashboard'!$K$4)),1,0)</x:f>
        <x:v>1</x:v>
      </x:c>
      <x:c r="AI2302" s="84" t="n">
        <x:f>IF(AND(AG2302=1,OR('Dashboard'!$B$4="All",I2302='Dashboard'!$B$4),OR('Dashboard'!$E$4="All",N2302='Dashboard'!$E$4),OR('Dashboard'!$H$4="All",K2302='Dashboard'!$H$4)),1,0)</x:f>
        <x:v>1</x:v>
      </x:c>
    </x:row>
    <x:row r="2303">
      <x:c r="A2303" s="84" t="str">
        <x:f>'Raw Sales'!A2303</x:f>
        <x:v>ORD-2025-01458</x:v>
      </x:c>
      <x:c r="B2303" s="85" t="n">
        <x:f>'Raw Sales'!B2303</x:f>
        <x:v>46000</x:v>
      </x:c>
      <x:c r="C2303" s="84" t="n">
        <x:f>YEAR(B2303)</x:f>
        <x:v>2025</x:v>
      </x:c>
      <x:c r="D2303" s="91" t="n">
        <x:f>DATE(YEAR(B2303),MONTH(B2303),1)</x:f>
        <x:v>45992</x:v>
      </x:c>
      <x:c r="E2303" s="84" t="str">
        <x:f>TEXT(B2303,"mmm")</x:f>
        <x:v>Dec</x:v>
      </x:c>
      <x:c r="F2303" s="84" t="str">
        <x:f>'Raw Sales'!C2303</x:f>
        <x:v>CUST-0069</x:v>
      </x:c>
      <x:c r="G2303" s="84" t="str">
        <x:f>PROPER(TRIM('Raw Sales'!D2303))</x:f>
        <x:v>Nina Ortiz</x:v>
      </x:c>
      <x:c r="H2303" s="84" t="str">
        <x:f>IF(TRIM('Raw Sales'!E2303)="","Unknown",PROPER(TRIM('Raw Sales'!E2303)))</x:f>
        <x:v>Corporate</x:v>
      </x:c>
      <x:c r="I2303" s="84" t="str">
        <x:f>PROPER(TRIM('Raw Sales'!F2303))</x:f>
        <x:v>Midwest</x:v>
      </x:c>
      <x:c r="J2303" s="84" t="str">
        <x:f>PROPER(TRIM('Raw Sales'!G2303))</x:f>
        <x:v>Minneapolis</x:v>
      </x:c>
      <x:c r="K2303" s="84" t="str">
        <x:f>PROPER(TRIM('Raw Sales'!H2303))</x:f>
        <x:v>Marketplace</x:v>
      </x:c>
      <x:c r="L2303" s="84" t="str">
        <x:f>'Raw Sales'!I2303</x:f>
        <x:v>ACCS-001</x:v>
      </x:c>
      <x:c r="M2303" s="84" t="str">
        <x:f>IFERROR(VLOOKUP(L2303,'Reference Data'!$A$5:$F$40,2,FALSE),"Unknown Product")</x:f>
        <x:v>Canvas Tote Bag</x:v>
      </x:c>
      <x:c r="N2303" s="84" t="str">
        <x:f>IFERROR(VLOOKUP(L2303,'Reference Data'!$A$5:$F$40,3,FALSE),"Unknown")</x:f>
        <x:v>Accessories</x:v>
      </x:c>
      <x:c r="O2303" s="84" t="str">
        <x:f>IFERROR(VLOOKUP(L2303,'Reference Data'!$A$5:$F$40,4,FALSE),"Unknown")</x:f>
        <x:v>Bags</x:v>
      </x:c>
      <x:c r="P2303" s="92" t="n">
        <x:f>IFERROR(VLOOKUP(L2303,'Reference Data'!$A$5:$F$40,5,FALSE),0)</x:f>
        <x:v>39</x:v>
      </x:c>
      <x:c r="Q2303" s="92" t="n">
        <x:f>IFERROR(VLOOKUP(L2303,'Reference Data'!$A$5:$F$40,6,FALSE),0)</x:f>
        <x:v>14</x:v>
      </x:c>
      <x:c r="R2303" s="84" t="n">
        <x:f>'Raw Sales'!J2303</x:f>
        <x:v>2</x:v>
      </x:c>
      <x:c r="S2303" s="87" t="n">
        <x:f>'Raw Sales'!K2303</x:f>
        <x:v>0.05</x:v>
      </x:c>
      <x:c r="T2303" s="93" t="n">
        <x:f>P2303*R2303</x:f>
        <x:v>78</x:v>
      </x:c>
      <x:c r="U2303" s="93" t="n">
        <x:f>T2303*S2303</x:f>
        <x:v>3.9000000000000004</x:v>
      </x:c>
      <x:c r="V2303" s="93" t="str">
        <x:f>PROPER(TRIM('Raw Sales'!L2303))</x:f>
        <x:v>Completed</x:v>
      </x:c>
      <x:c r="W2303" s="93" t="n">
        <x:f>IF(V2303="Returned",0,T2303-U2303)</x:f>
        <x:v>74.1</x:v>
      </x:c>
      <x:c r="X2303" s="93" t="n">
        <x:f>IF(V2303="Returned",Q2303*R2303*10%,Q2303*R2303)</x:f>
        <x:v>28</x:v>
      </x:c>
      <x:c r="Y2303" s="93" t="n">
        <x:f>W2303-X2303</x:f>
        <x:v>46.099999999999994</x:v>
      </x:c>
      <x:c r="Z2303" s="94" t="n">
        <x:f>IFERROR(Y2303/W2303,0)</x:f>
        <x:v>0.6221322537112011</x:v>
      </x:c>
      <x:c r="AA2303" s="84" t="str">
        <x:f>PROPER(TRIM('Raw Sales'!M2303))</x:f>
        <x:v>Paypal</x:v>
      </x:c>
      <x:c r="AB2303" s="84" t="str">
        <x:f>PROPER(TRIM('Raw Sales'!N2303))</x:f>
        <x:v>Lucas Grant</x:v>
      </x:c>
      <x:c r="AC2303" s="85" t="n">
        <x:f>'Raw Sales'!O2303</x:f>
        <x:v>46007</x:v>
      </x:c>
      <x:c r="AD2303" s="84" t="n">
        <x:f>AC2303-B2303</x:f>
        <x:v>7</x:v>
      </x:c>
      <x:c r="AE2303" s="84" t="str">
        <x:f>IF(COUNTIF($A$5:A2303,A2303)&gt;1,"Duplicate","Keep")</x:f>
        <x:v>Keep</x:v>
      </x:c>
      <x:c r="AF2303" s="84" t="str">
        <x:f>IF(OR(R2303&lt;=0,AC2303&lt;B2303,H2303="Unknown",M2303="Unknown Product"),"Review","Valid")</x:f>
        <x:v>Valid</x:v>
      </x:c>
      <x:c r="AG2303" s="84" t="n">
        <x:f>IF(AND(AE2303="Keep",AF2303="Valid"),1,0)</x:f>
        <x:v>1</x:v>
      </x:c>
      <x:c r="AH2303" s="84" t="n">
        <x:f>IF(AND(AG2303=1,OR('Dashboard'!$B$4="All",I2303='Dashboard'!$B$4),OR('Dashboard'!$E$4="All",N2303='Dashboard'!$E$4),OR('Dashboard'!$H$4="All",K2303='Dashboard'!$H$4),OR('Dashboard'!$K$4="All",C2303='Dashboard'!$K$4)),1,0)</x:f>
        <x:v>1</x:v>
      </x:c>
      <x:c r="AI2303" s="84" t="n">
        <x:f>IF(AND(AG2303=1,OR('Dashboard'!$B$4="All",I2303='Dashboard'!$B$4),OR('Dashboard'!$E$4="All",N2303='Dashboard'!$E$4),OR('Dashboard'!$H$4="All",K2303='Dashboard'!$H$4)),1,0)</x:f>
        <x:v>1</x:v>
      </x:c>
    </x:row>
    <x:row r="2304">
      <x:c r="A2304" s="84" t="str">
        <x:f>'Raw Sales'!A2304</x:f>
        <x:v>ORD-2025-01462</x:v>
      </x:c>
      <x:c r="B2304" s="85" t="n">
        <x:f>'Raw Sales'!B2304</x:f>
        <x:v>46000</x:v>
      </x:c>
      <x:c r="C2304" s="84" t="n">
        <x:f>YEAR(B2304)</x:f>
        <x:v>2025</x:v>
      </x:c>
      <x:c r="D2304" s="91" t="n">
        <x:f>DATE(YEAR(B2304),MONTH(B2304),1)</x:f>
        <x:v>45992</x:v>
      </x:c>
      <x:c r="E2304" s="84" t="str">
        <x:f>TEXT(B2304,"mmm")</x:f>
        <x:v>Dec</x:v>
      </x:c>
      <x:c r="F2304" s="84" t="str">
        <x:f>'Raw Sales'!C2304</x:f>
        <x:v>CUST-0593</x:v>
      </x:c>
      <x:c r="G2304" s="84" t="str">
        <x:f>PROPER(TRIM('Raw Sales'!D2304))</x:f>
        <x:v>Nathan Johnson</x:v>
      </x:c>
      <x:c r="H2304" s="84" t="str">
        <x:f>IF(TRIM('Raw Sales'!E2304)="","Unknown",PROPER(TRIM('Raw Sales'!E2304)))</x:f>
        <x:v>Corporate</x:v>
      </x:c>
      <x:c r="I2304" s="84" t="str">
        <x:f>PROPER(TRIM('Raw Sales'!F2304))</x:f>
        <x:v>West</x:v>
      </x:c>
      <x:c r="J2304" s="84" t="str">
        <x:f>PROPER(TRIM('Raw Sales'!G2304))</x:f>
        <x:v>Denver</x:v>
      </x:c>
      <x:c r="K2304" s="84" t="str">
        <x:f>PROPER(TRIM('Raw Sales'!H2304))</x:f>
        <x:v>Online</x:v>
      </x:c>
      <x:c r="L2304" s="84" t="str">
        <x:f>'Raw Sales'!I2304</x:f>
        <x:v>CARE-004</x:v>
      </x:c>
      <x:c r="M2304" s="84" t="str">
        <x:f>IFERROR(VLOOKUP(L2304,'Reference Data'!$A$5:$F$40,2,FALSE),"Unknown Product")</x:f>
        <x:v>Electric Toothbrush</x:v>
      </x:c>
      <x:c r="N2304" s="84" t="str">
        <x:f>IFERROR(VLOOKUP(L2304,'Reference Data'!$A$5:$F$40,3,FALSE),"Unknown")</x:f>
        <x:v>Personal Care</x:v>
      </x:c>
      <x:c r="O2304" s="84" t="str">
        <x:f>IFERROR(VLOOKUP(L2304,'Reference Data'!$A$5:$F$40,4,FALSE),"Unknown")</x:f>
        <x:v>Oral Care</x:v>
      </x:c>
      <x:c r="P2304" s="92" t="n">
        <x:f>IFERROR(VLOOKUP(L2304,'Reference Data'!$A$5:$F$40,5,FALSE),0)</x:f>
        <x:v>69</x:v>
      </x:c>
      <x:c r="Q2304" s="92" t="n">
        <x:f>IFERROR(VLOOKUP(L2304,'Reference Data'!$A$5:$F$40,6,FALSE),0)</x:f>
        <x:v>31</x:v>
      </x:c>
      <x:c r="R2304" s="84" t="n">
        <x:f>'Raw Sales'!J2304</x:f>
        <x:v>6</x:v>
      </x:c>
      <x:c r="S2304" s="87" t="n">
        <x:f>'Raw Sales'!K2304</x:f>
        <x:v>0</x:v>
      </x:c>
      <x:c r="T2304" s="93" t="n">
        <x:f>P2304*R2304</x:f>
        <x:v>414</x:v>
      </x:c>
      <x:c r="U2304" s="93" t="n">
        <x:f>T2304*S2304</x:f>
        <x:v>0</x:v>
      </x:c>
      <x:c r="V2304" s="93" t="str">
        <x:f>PROPER(TRIM('Raw Sales'!L2304))</x:f>
        <x:v>Completed</x:v>
      </x:c>
      <x:c r="W2304" s="93" t="n">
        <x:f>IF(V2304="Returned",0,T2304-U2304)</x:f>
        <x:v>414</x:v>
      </x:c>
      <x:c r="X2304" s="93" t="n">
        <x:f>IF(V2304="Returned",Q2304*R2304*10%,Q2304*R2304)</x:f>
        <x:v>186</x:v>
      </x:c>
      <x:c r="Y2304" s="93" t="n">
        <x:f>W2304-X2304</x:f>
        <x:v>228</x:v>
      </x:c>
      <x:c r="Z2304" s="94" t="n">
        <x:f>IFERROR(Y2304/W2304,0)</x:f>
        <x:v>0.5507246376811594</x:v>
      </x:c>
      <x:c r="AA2304" s="84" t="str">
        <x:f>PROPER(TRIM('Raw Sales'!M2304))</x:f>
        <x:v>Mobile Wallet</x:v>
      </x:c>
      <x:c r="AB2304" s="84" t="str">
        <x:f>PROPER(TRIM('Raw Sales'!N2304))</x:f>
        <x:v>Mia Chen</x:v>
      </x:c>
      <x:c r="AC2304" s="85" t="n">
        <x:f>'Raw Sales'!O2304</x:f>
        <x:v>46003</x:v>
      </x:c>
      <x:c r="AD2304" s="84" t="n">
        <x:f>AC2304-B2304</x:f>
        <x:v>3</x:v>
      </x:c>
      <x:c r="AE2304" s="84" t="str">
        <x:f>IF(COUNTIF($A$5:A2304,A2304)&gt;1,"Duplicate","Keep")</x:f>
        <x:v>Keep</x:v>
      </x:c>
      <x:c r="AF2304" s="84" t="str">
        <x:f>IF(OR(R2304&lt;=0,AC2304&lt;B2304,H2304="Unknown",M2304="Unknown Product"),"Review","Valid")</x:f>
        <x:v>Valid</x:v>
      </x:c>
      <x:c r="AG2304" s="84" t="n">
        <x:f>IF(AND(AE2304="Keep",AF2304="Valid"),1,0)</x:f>
        <x:v>1</x:v>
      </x:c>
      <x:c r="AH2304" s="84" t="n">
        <x:f>IF(AND(AG2304=1,OR('Dashboard'!$B$4="All",I2304='Dashboard'!$B$4),OR('Dashboard'!$E$4="All",N2304='Dashboard'!$E$4),OR('Dashboard'!$H$4="All",K2304='Dashboard'!$H$4),OR('Dashboard'!$K$4="All",C2304='Dashboard'!$K$4)),1,0)</x:f>
        <x:v>1</x:v>
      </x:c>
      <x:c r="AI2304" s="84" t="n">
        <x:f>IF(AND(AG2304=1,OR('Dashboard'!$B$4="All",I2304='Dashboard'!$B$4),OR('Dashboard'!$E$4="All",N2304='Dashboard'!$E$4),OR('Dashboard'!$H$4="All",K2304='Dashboard'!$H$4)),1,0)</x:f>
        <x:v>1</x:v>
      </x:c>
    </x:row>
    <x:row r="2305">
      <x:c r="A2305" s="84" t="str">
        <x:f>'Raw Sales'!A2305</x:f>
        <x:v>ORD-2025-02069</x:v>
      </x:c>
      <x:c r="B2305" s="85" t="n">
        <x:f>'Raw Sales'!B2305</x:f>
        <x:v>46000</x:v>
      </x:c>
      <x:c r="C2305" s="84" t="n">
        <x:f>YEAR(B2305)</x:f>
        <x:v>2025</x:v>
      </x:c>
      <x:c r="D2305" s="91" t="n">
        <x:f>DATE(YEAR(B2305),MONTH(B2305),1)</x:f>
        <x:v>45992</x:v>
      </x:c>
      <x:c r="E2305" s="84" t="str">
        <x:f>TEXT(B2305,"mmm")</x:f>
        <x:v>Dec</x:v>
      </x:c>
      <x:c r="F2305" s="84" t="str">
        <x:f>'Raw Sales'!C2305</x:f>
        <x:v>CUST-0459</x:v>
      </x:c>
      <x:c r="G2305" s="84" t="str">
        <x:f>PROPER(TRIM('Raw Sales'!D2305))</x:f>
        <x:v>Theo Baker</x:v>
      </x:c>
      <x:c r="H2305" s="84" t="str">
        <x:f>IF(TRIM('Raw Sales'!E2305)="","Unknown",PROPER(TRIM('Raw Sales'!E2305)))</x:f>
        <x:v>Consumer</x:v>
      </x:c>
      <x:c r="I2305" s="84" t="str">
        <x:f>PROPER(TRIM('Raw Sales'!F2305))</x:f>
        <x:v>Southeast</x:v>
      </x:c>
      <x:c r="J2305" s="84" t="str">
        <x:f>PROPER(TRIM('Raw Sales'!G2305))</x:f>
        <x:v>Miami</x:v>
      </x:c>
      <x:c r="K2305" s="84" t="str">
        <x:f>PROPER(TRIM('Raw Sales'!H2305))</x:f>
        <x:v>Retail Store</x:v>
      </x:c>
      <x:c r="L2305" s="84" t="str">
        <x:f>'Raw Sales'!I2305</x:f>
        <x:v>ACCS-006</x:v>
      </x:c>
      <x:c r="M2305" s="84" t="str">
        <x:f>IFERROR(VLOOKUP(L2305,'Reference Data'!$A$5:$F$40,2,FALSE),"Unknown Product")</x:f>
        <x:v>Insulated Lunch Bag</x:v>
      </x:c>
      <x:c r="N2305" s="84" t="str">
        <x:f>IFERROR(VLOOKUP(L2305,'Reference Data'!$A$5:$F$40,3,FALSE),"Unknown")</x:f>
        <x:v>Accessories</x:v>
      </x:c>
      <x:c r="O2305" s="84" t="str">
        <x:f>IFERROR(VLOOKUP(L2305,'Reference Data'!$A$5:$F$40,4,FALSE),"Unknown")</x:f>
        <x:v>Bags</x:v>
      </x:c>
      <x:c r="P2305" s="92" t="n">
        <x:f>IFERROR(VLOOKUP(L2305,'Reference Data'!$A$5:$F$40,5,FALSE),0)</x:f>
        <x:v>29</x:v>
      </x:c>
      <x:c r="Q2305" s="92" t="n">
        <x:f>IFERROR(VLOOKUP(L2305,'Reference Data'!$A$5:$F$40,6,FALSE),0)</x:f>
        <x:v>10</x:v>
      </x:c>
      <x:c r="R2305" s="84" t="n">
        <x:f>'Raw Sales'!J2305</x:f>
        <x:v>1</x:v>
      </x:c>
      <x:c r="S2305" s="87" t="n">
        <x:f>'Raw Sales'!K2305</x:f>
        <x:v>0</x:v>
      </x:c>
      <x:c r="T2305" s="93" t="n">
        <x:f>P2305*R2305</x:f>
        <x:v>29</x:v>
      </x:c>
      <x:c r="U2305" s="93" t="n">
        <x:f>T2305*S2305</x:f>
        <x:v>0</x:v>
      </x:c>
      <x:c r="V2305" s="93" t="str">
        <x:f>PROPER(TRIM('Raw Sales'!L2305))</x:f>
        <x:v>Completed</x:v>
      </x:c>
      <x:c r="W2305" s="93" t="n">
        <x:f>IF(V2305="Returned",0,T2305-U2305)</x:f>
        <x:v>29</x:v>
      </x:c>
      <x:c r="X2305" s="93" t="n">
        <x:f>IF(V2305="Returned",Q2305*R2305*10%,Q2305*R2305)</x:f>
        <x:v>10</x:v>
      </x:c>
      <x:c r="Y2305" s="93" t="n">
        <x:f>W2305-X2305</x:f>
        <x:v>19</x:v>
      </x:c>
      <x:c r="Z2305" s="94" t="n">
        <x:f>IFERROR(Y2305/W2305,0)</x:f>
        <x:v>0.6551724137931034</x:v>
      </x:c>
      <x:c r="AA2305" s="84" t="str">
        <x:f>PROPER(TRIM('Raw Sales'!M2305))</x:f>
        <x:v>Credit Card</x:v>
      </x:c>
      <x:c r="AB2305" s="84" t="str">
        <x:f>PROPER(TRIM('Raw Sales'!N2305))</x:f>
        <x:v>Liam Parker</x:v>
      </x:c>
      <x:c r="AC2305" s="85" t="n">
        <x:f>'Raw Sales'!O2305</x:f>
        <x:v>46001</x:v>
      </x:c>
      <x:c r="AD2305" s="84" t="n">
        <x:f>AC2305-B2305</x:f>
        <x:v>1</x:v>
      </x:c>
      <x:c r="AE2305" s="84" t="str">
        <x:f>IF(COUNTIF($A$5:A2305,A2305)&gt;1,"Duplicate","Keep")</x:f>
        <x:v>Keep</x:v>
      </x:c>
      <x:c r="AF2305" s="84" t="str">
        <x:f>IF(OR(R2305&lt;=0,AC2305&lt;B2305,H2305="Unknown",M2305="Unknown Product"),"Review","Valid")</x:f>
        <x:v>Valid</x:v>
      </x:c>
      <x:c r="AG2305" s="84" t="n">
        <x:f>IF(AND(AE2305="Keep",AF2305="Valid"),1,0)</x:f>
        <x:v>1</x:v>
      </x:c>
      <x:c r="AH2305" s="84" t="n">
        <x:f>IF(AND(AG2305=1,OR('Dashboard'!$B$4="All",I2305='Dashboard'!$B$4),OR('Dashboard'!$E$4="All",N2305='Dashboard'!$E$4),OR('Dashboard'!$H$4="All",K2305='Dashboard'!$H$4),OR('Dashboard'!$K$4="All",C2305='Dashboard'!$K$4)),1,0)</x:f>
        <x:v>1</x:v>
      </x:c>
      <x:c r="AI2305" s="84" t="n">
        <x:f>IF(AND(AG2305=1,OR('Dashboard'!$B$4="All",I2305='Dashboard'!$B$4),OR('Dashboard'!$E$4="All",N2305='Dashboard'!$E$4),OR('Dashboard'!$H$4="All",K2305='Dashboard'!$H$4)),1,0)</x:f>
        <x:v>1</x:v>
      </x:c>
    </x:row>
    <x:row r="2306">
      <x:c r="A2306" s="84" t="str">
        <x:f>'Raw Sales'!A2306</x:f>
        <x:v>ORD-2025-02218</x:v>
      </x:c>
      <x:c r="B2306" s="85" t="n">
        <x:f>'Raw Sales'!B2306</x:f>
        <x:v>46000</x:v>
      </x:c>
      <x:c r="C2306" s="84" t="n">
        <x:f>YEAR(B2306)</x:f>
        <x:v>2025</x:v>
      </x:c>
      <x:c r="D2306" s="91" t="n">
        <x:f>DATE(YEAR(B2306),MONTH(B2306),1)</x:f>
        <x:v>45992</x:v>
      </x:c>
      <x:c r="E2306" s="84" t="str">
        <x:f>TEXT(B2306,"mmm")</x:f>
        <x:v>Dec</x:v>
      </x:c>
      <x:c r="F2306" s="84" t="str">
        <x:f>'Raw Sales'!C2306</x:f>
        <x:v>CUST-0310</x:v>
      </x:c>
      <x:c r="G2306" s="84" t="str">
        <x:f>PROPER(TRIM('Raw Sales'!D2306))</x:f>
        <x:v>Marcus Patel</x:v>
      </x:c>
      <x:c r="H2306" s="84" t="str">
        <x:f>IF(TRIM('Raw Sales'!E2306)="","Unknown",PROPER(TRIM('Raw Sales'!E2306)))</x:f>
        <x:v>Consumer</x:v>
      </x:c>
      <x:c r="I2306" s="84" t="str">
        <x:f>PROPER(TRIM('Raw Sales'!F2306))</x:f>
        <x:v>Midwest</x:v>
      </x:c>
      <x:c r="J2306" s="84" t="str">
        <x:f>PROPER(TRIM('Raw Sales'!G2306))</x:f>
        <x:v>Columbus</x:v>
      </x:c>
      <x:c r="K2306" s="84" t="str">
        <x:f>PROPER(TRIM('Raw Sales'!H2306))</x:f>
        <x:v>Online</x:v>
      </x:c>
      <x:c r="L2306" s="84" t="str">
        <x:f>'Raw Sales'!I2306</x:f>
        <x:v>ELEC-003</x:v>
      </x:c>
      <x:c r="M2306" s="84" t="str">
        <x:f>IFERROR(VLOOKUP(L2306,'Reference Data'!$A$5:$F$40,2,FALSE),"Unknown Product")</x:f>
        <x:v>Bluetooth Speaker</x:v>
      </x:c>
      <x:c r="N2306" s="84" t="str">
        <x:f>IFERROR(VLOOKUP(L2306,'Reference Data'!$A$5:$F$40,3,FALSE),"Unknown")</x:f>
        <x:v>Electronics</x:v>
      </x:c>
      <x:c r="O2306" s="84" t="str">
        <x:f>IFERROR(VLOOKUP(L2306,'Reference Data'!$A$5:$F$40,4,FALSE),"Unknown")</x:f>
        <x:v>Audio</x:v>
      </x:c>
      <x:c r="P2306" s="92" t="n">
        <x:f>IFERROR(VLOOKUP(L2306,'Reference Data'!$A$5:$F$40,5,FALSE),0)</x:f>
        <x:v>89</x:v>
      </x:c>
      <x:c r="Q2306" s="92" t="n">
        <x:f>IFERROR(VLOOKUP(L2306,'Reference Data'!$A$5:$F$40,6,FALSE),0)</x:f>
        <x:v>44</x:v>
      </x:c>
      <x:c r="R2306" s="84" t="n">
        <x:f>'Raw Sales'!J2306</x:f>
        <x:v>1</x:v>
      </x:c>
      <x:c r="S2306" s="87" t="n">
        <x:f>'Raw Sales'!K2306</x:f>
        <x:v>0</x:v>
      </x:c>
      <x:c r="T2306" s="93" t="n">
        <x:f>P2306*R2306</x:f>
        <x:v>89</x:v>
      </x:c>
      <x:c r="U2306" s="93" t="n">
        <x:f>T2306*S2306</x:f>
        <x:v>0</x:v>
      </x:c>
      <x:c r="V2306" s="93" t="str">
        <x:f>PROPER(TRIM('Raw Sales'!L2306))</x:f>
        <x:v>Completed</x:v>
      </x:c>
      <x:c r="W2306" s="93" t="n">
        <x:f>IF(V2306="Returned",0,T2306-U2306)</x:f>
        <x:v>89</x:v>
      </x:c>
      <x:c r="X2306" s="93" t="n">
        <x:f>IF(V2306="Returned",Q2306*R2306*10%,Q2306*R2306)</x:f>
        <x:v>44</x:v>
      </x:c>
      <x:c r="Y2306" s="93" t="n">
        <x:f>W2306-X2306</x:f>
        <x:v>45</x:v>
      </x:c>
      <x:c r="Z2306" s="94" t="n">
        <x:f>IFERROR(Y2306/W2306,0)</x:f>
        <x:v>0.5056179775280899</x:v>
      </x:c>
      <x:c r="AA2306" s="84" t="str">
        <x:f>PROPER(TRIM('Raw Sales'!M2306))</x:f>
        <x:v>Mobile Wallet</x:v>
      </x:c>
      <x:c r="AB2306" s="84" t="str">
        <x:f>PROPER(TRIM('Raw Sales'!N2306))</x:f>
        <x:v>Zoe Turner</x:v>
      </x:c>
      <x:c r="AC2306" s="85" t="n">
        <x:f>'Raw Sales'!O2306</x:f>
        <x:v>46005</x:v>
      </x:c>
      <x:c r="AD2306" s="84" t="n">
        <x:f>AC2306-B2306</x:f>
        <x:v>5</x:v>
      </x:c>
      <x:c r="AE2306" s="84" t="str">
        <x:f>IF(COUNTIF($A$5:A2306,A2306)&gt;1,"Duplicate","Keep")</x:f>
        <x:v>Keep</x:v>
      </x:c>
      <x:c r="AF2306" s="84" t="str">
        <x:f>IF(OR(R2306&lt;=0,AC2306&lt;B2306,H2306="Unknown",M2306="Unknown Product"),"Review","Valid")</x:f>
        <x:v>Valid</x:v>
      </x:c>
      <x:c r="AG2306" s="84" t="n">
        <x:f>IF(AND(AE2306="Keep",AF2306="Valid"),1,0)</x:f>
        <x:v>1</x:v>
      </x:c>
      <x:c r="AH2306" s="84" t="n">
        <x:f>IF(AND(AG2306=1,OR('Dashboard'!$B$4="All",I2306='Dashboard'!$B$4),OR('Dashboard'!$E$4="All",N2306='Dashboard'!$E$4),OR('Dashboard'!$H$4="All",K2306='Dashboard'!$H$4),OR('Dashboard'!$K$4="All",C2306='Dashboard'!$K$4)),1,0)</x:f>
        <x:v>1</x:v>
      </x:c>
      <x:c r="AI2306" s="84" t="n">
        <x:f>IF(AND(AG2306=1,OR('Dashboard'!$B$4="All",I2306='Dashboard'!$B$4),OR('Dashboard'!$E$4="All",N2306='Dashboard'!$E$4),OR('Dashboard'!$H$4="All",K2306='Dashboard'!$H$4)),1,0)</x:f>
        <x:v>1</x:v>
      </x:c>
    </x:row>
    <x:row r="2307">
      <x:c r="A2307" s="84" t="str">
        <x:f>'Raw Sales'!A2307</x:f>
        <x:v>ORD-2025-00155</x:v>
      </x:c>
      <x:c r="B2307" s="85" t="n">
        <x:f>'Raw Sales'!B2307</x:f>
        <x:v>46001</x:v>
      </x:c>
      <x:c r="C2307" s="84" t="n">
        <x:f>YEAR(B2307)</x:f>
        <x:v>2025</x:v>
      </x:c>
      <x:c r="D2307" s="91" t="n">
        <x:f>DATE(YEAR(B2307),MONTH(B2307),1)</x:f>
        <x:v>45992</x:v>
      </x:c>
      <x:c r="E2307" s="84" t="str">
        <x:f>TEXT(B2307,"mmm")</x:f>
        <x:v>Dec</x:v>
      </x:c>
      <x:c r="F2307" s="84" t="str">
        <x:f>'Raw Sales'!C2307</x:f>
        <x:v>CUST-0362</x:v>
      </x:c>
      <x:c r="G2307" s="84" t="str">
        <x:f>PROPER(TRIM('Raw Sales'!D2307))</x:f>
        <x:v>Samuel Moore</x:v>
      </x:c>
      <x:c r="H2307" s="84" t="str">
        <x:f>IF(TRIM('Raw Sales'!E2307)="","Unknown",PROPER(TRIM('Raw Sales'!E2307)))</x:f>
        <x:v>Corporate</x:v>
      </x:c>
      <x:c r="I2307" s="84" t="str">
        <x:f>PROPER(TRIM('Raw Sales'!F2307))</x:f>
        <x:v>West</x:v>
      </x:c>
      <x:c r="J2307" s="84" t="str">
        <x:f>PROPER(TRIM('Raw Sales'!G2307))</x:f>
        <x:v>Los Angeles</x:v>
      </x:c>
      <x:c r="K2307" s="84" t="str">
        <x:f>PROPER(TRIM('Raw Sales'!H2307))</x:f>
        <x:v>Retail Store</x:v>
      </x:c>
      <x:c r="L2307" s="84" t="str">
        <x:f>'Raw Sales'!I2307</x:f>
        <x:v>ELEC-001</x:v>
      </x:c>
      <x:c r="M2307" s="84" t="str">
        <x:f>IFERROR(VLOOKUP(L2307,'Reference Data'!$A$5:$F$40,2,FALSE),"Unknown Product")</x:f>
        <x:v>Wireless Earbuds</x:v>
      </x:c>
      <x:c r="N2307" s="84" t="str">
        <x:f>IFERROR(VLOOKUP(L2307,'Reference Data'!$A$5:$F$40,3,FALSE),"Unknown")</x:f>
        <x:v>Electronics</x:v>
      </x:c>
      <x:c r="O2307" s="84" t="str">
        <x:f>IFERROR(VLOOKUP(L2307,'Reference Data'!$A$5:$F$40,4,FALSE),"Unknown")</x:f>
        <x:v>Audio</x:v>
      </x:c>
      <x:c r="P2307" s="92" t="n">
        <x:f>IFERROR(VLOOKUP(L2307,'Reference Data'!$A$5:$F$40,5,FALSE),0)</x:f>
        <x:v>69</x:v>
      </x:c>
      <x:c r="Q2307" s="92" t="n">
        <x:f>IFERROR(VLOOKUP(L2307,'Reference Data'!$A$5:$F$40,6,FALSE),0)</x:f>
        <x:v>36</x:v>
      </x:c>
      <x:c r="R2307" s="84" t="n">
        <x:f>'Raw Sales'!J2307</x:f>
        <x:v>6</x:v>
      </x:c>
      <x:c r="S2307" s="87" t="n">
        <x:f>'Raw Sales'!K2307</x:f>
        <x:v>0</x:v>
      </x:c>
      <x:c r="T2307" s="93" t="n">
        <x:f>P2307*R2307</x:f>
        <x:v>414</x:v>
      </x:c>
      <x:c r="U2307" s="93" t="n">
        <x:f>T2307*S2307</x:f>
        <x:v>0</x:v>
      </x:c>
      <x:c r="V2307" s="93" t="str">
        <x:f>PROPER(TRIM('Raw Sales'!L2307))</x:f>
        <x:v>Completed</x:v>
      </x:c>
      <x:c r="W2307" s="93" t="n">
        <x:f>IF(V2307="Returned",0,T2307-U2307)</x:f>
        <x:v>414</x:v>
      </x:c>
      <x:c r="X2307" s="93" t="n">
        <x:f>IF(V2307="Returned",Q2307*R2307*10%,Q2307*R2307)</x:f>
        <x:v>216</x:v>
      </x:c>
      <x:c r="Y2307" s="93" t="n">
        <x:f>W2307-X2307</x:f>
        <x:v>198</x:v>
      </x:c>
      <x:c r="Z2307" s="94" t="n">
        <x:f>IFERROR(Y2307/W2307,0)</x:f>
        <x:v>0.4782608695652174</x:v>
      </x:c>
      <x:c r="AA2307" s="84" t="str">
        <x:f>PROPER(TRIM('Raw Sales'!M2307))</x:f>
        <x:v>Mobile Wallet</x:v>
      </x:c>
      <x:c r="AB2307" s="84" t="str">
        <x:f>PROPER(TRIM('Raw Sales'!N2307))</x:f>
        <x:v>Nora Kim</x:v>
      </x:c>
      <x:c r="AC2307" s="85" t="n">
        <x:f>'Raw Sales'!O2307</x:f>
        <x:v>46001</x:v>
      </x:c>
      <x:c r="AD2307" s="84" t="n">
        <x:f>AC2307-B2307</x:f>
        <x:v>0</x:v>
      </x:c>
      <x:c r="AE2307" s="84" t="str">
        <x:f>IF(COUNTIF($A$5:A2307,A2307)&gt;1,"Duplicate","Keep")</x:f>
        <x:v>Keep</x:v>
      </x:c>
      <x:c r="AF2307" s="84" t="str">
        <x:f>IF(OR(R2307&lt;=0,AC2307&lt;B2307,H2307="Unknown",M2307="Unknown Product"),"Review","Valid")</x:f>
        <x:v>Valid</x:v>
      </x:c>
      <x:c r="AG2307" s="84" t="n">
        <x:f>IF(AND(AE2307="Keep",AF2307="Valid"),1,0)</x:f>
        <x:v>1</x:v>
      </x:c>
      <x:c r="AH2307" s="84" t="n">
        <x:f>IF(AND(AG2307=1,OR('Dashboard'!$B$4="All",I2307='Dashboard'!$B$4),OR('Dashboard'!$E$4="All",N2307='Dashboard'!$E$4),OR('Dashboard'!$H$4="All",K2307='Dashboard'!$H$4),OR('Dashboard'!$K$4="All",C2307='Dashboard'!$K$4)),1,0)</x:f>
        <x:v>1</x:v>
      </x:c>
      <x:c r="AI2307" s="84" t="n">
        <x:f>IF(AND(AG2307=1,OR('Dashboard'!$B$4="All",I2307='Dashboard'!$B$4),OR('Dashboard'!$E$4="All",N2307='Dashboard'!$E$4),OR('Dashboard'!$H$4="All",K2307='Dashboard'!$H$4)),1,0)</x:f>
        <x:v>1</x:v>
      </x:c>
    </x:row>
    <x:row r="2308">
      <x:c r="A2308" s="84" t="str">
        <x:f>'Raw Sales'!A2308</x:f>
        <x:v>ORD-2025-00558</x:v>
      </x:c>
      <x:c r="B2308" s="85" t="n">
        <x:f>'Raw Sales'!B2308</x:f>
        <x:v>46001</x:v>
      </x:c>
      <x:c r="C2308" s="84" t="n">
        <x:f>YEAR(B2308)</x:f>
        <x:v>2025</x:v>
      </x:c>
      <x:c r="D2308" s="91" t="n">
        <x:f>DATE(YEAR(B2308),MONTH(B2308),1)</x:f>
        <x:v>45992</x:v>
      </x:c>
      <x:c r="E2308" s="84" t="str">
        <x:f>TEXT(B2308,"mmm")</x:f>
        <x:v>Dec</x:v>
      </x:c>
      <x:c r="F2308" s="84" t="str">
        <x:f>'Raw Sales'!C2308</x:f>
        <x:v>CUST-0234</x:v>
      </x:c>
      <x:c r="G2308" s="84" t="str">
        <x:f>PROPER(TRIM('Raw Sales'!D2308))</x:f>
        <x:v>William Quinn</x:v>
      </x:c>
      <x:c r="H2308" s="84" t="str">
        <x:f>IF(TRIM('Raw Sales'!E2308)="","Unknown",PROPER(TRIM('Raw Sales'!E2308)))</x:f>
        <x:v>Consumer</x:v>
      </x:c>
      <x:c r="I2308" s="84" t="str">
        <x:f>PROPER(TRIM('Raw Sales'!F2308))</x:f>
        <x:v>West</x:v>
      </x:c>
      <x:c r="J2308" s="84" t="str">
        <x:f>PROPER(TRIM('Raw Sales'!G2308))</x:f>
        <x:v>Seattle</x:v>
      </x:c>
      <x:c r="K2308" s="84" t="str">
        <x:f>PROPER(TRIM('Raw Sales'!H2308))</x:f>
        <x:v>Online</x:v>
      </x:c>
      <x:c r="L2308" s="84" t="str">
        <x:f>'Raw Sales'!I2308</x:f>
        <x:v>HOME-006</x:v>
      </x:c>
      <x:c r="M2308" s="84" t="str">
        <x:f>IFERROR(VLOOKUP(L2308,'Reference Data'!$A$5:$F$40,2,FALSE),"Unknown Product")</x:f>
        <x:v>Food Storage Set</x:v>
      </x:c>
      <x:c r="N2308" s="84" t="str">
        <x:f>IFERROR(VLOOKUP(L2308,'Reference Data'!$A$5:$F$40,3,FALSE),"Unknown")</x:f>
        <x:v>Home &amp; Kitchen</x:v>
      </x:c>
      <x:c r="O2308" s="84" t="str">
        <x:f>IFERROR(VLOOKUP(L2308,'Reference Data'!$A$5:$F$40,4,FALSE),"Unknown")</x:f>
        <x:v>Kitchenware</x:v>
      </x:c>
      <x:c r="P2308" s="92" t="n">
        <x:f>IFERROR(VLOOKUP(L2308,'Reference Data'!$A$5:$F$40,5,FALSE),0)</x:f>
        <x:v>34</x:v>
      </x:c>
      <x:c r="Q2308" s="92" t="n">
        <x:f>IFERROR(VLOOKUP(L2308,'Reference Data'!$A$5:$F$40,6,FALSE),0)</x:f>
        <x:v>15</x:v>
      </x:c>
      <x:c r="R2308" s="84" t="n">
        <x:f>'Raw Sales'!J2308</x:f>
        <x:v>1</x:v>
      </x:c>
      <x:c r="S2308" s="87" t="n">
        <x:f>'Raw Sales'!K2308</x:f>
        <x:v>0.15</x:v>
      </x:c>
      <x:c r="T2308" s="93" t="n">
        <x:f>P2308*R2308</x:f>
        <x:v>34</x:v>
      </x:c>
      <x:c r="U2308" s="93" t="n">
        <x:f>T2308*S2308</x:f>
        <x:v>5.1</x:v>
      </x:c>
      <x:c r="V2308" s="93" t="str">
        <x:f>PROPER(TRIM('Raw Sales'!L2308))</x:f>
        <x:v>Completed</x:v>
      </x:c>
      <x:c r="W2308" s="93" t="n">
        <x:f>IF(V2308="Returned",0,T2308-U2308)</x:f>
        <x:v>28.9</x:v>
      </x:c>
      <x:c r="X2308" s="93" t="n">
        <x:f>IF(V2308="Returned",Q2308*R2308*10%,Q2308*R2308)</x:f>
        <x:v>15</x:v>
      </x:c>
      <x:c r="Y2308" s="93" t="n">
        <x:f>W2308-X2308</x:f>
        <x:v>13.899999999999999</x:v>
      </x:c>
      <x:c r="Z2308" s="94" t="n">
        <x:f>IFERROR(Y2308/W2308,0)</x:f>
        <x:v>0.4809688581314879</x:v>
      </x:c>
      <x:c r="AA2308" s="84" t="str">
        <x:f>PROPER(TRIM('Raw Sales'!M2308))</x:f>
        <x:v>Mobile Wallet</x:v>
      </x:c>
      <x:c r="AB2308" s="84" t="str">
        <x:f>PROPER(TRIM('Raw Sales'!N2308))</x:f>
        <x:v>Mia Chen</x:v>
      </x:c>
      <x:c r="AC2308" s="85" t="n">
        <x:f>'Raw Sales'!O2308</x:f>
        <x:v>46003</x:v>
      </x:c>
      <x:c r="AD2308" s="84" t="n">
        <x:f>AC2308-B2308</x:f>
        <x:v>2</x:v>
      </x:c>
      <x:c r="AE2308" s="84" t="str">
        <x:f>IF(COUNTIF($A$5:A2308,A2308)&gt;1,"Duplicate","Keep")</x:f>
        <x:v>Keep</x:v>
      </x:c>
      <x:c r="AF2308" s="84" t="str">
        <x:f>IF(OR(R2308&lt;=0,AC2308&lt;B2308,H2308="Unknown",M2308="Unknown Product"),"Review","Valid")</x:f>
        <x:v>Valid</x:v>
      </x:c>
      <x:c r="AG2308" s="84" t="n">
        <x:f>IF(AND(AE2308="Keep",AF2308="Valid"),1,0)</x:f>
        <x:v>1</x:v>
      </x:c>
      <x:c r="AH2308" s="84" t="n">
        <x:f>IF(AND(AG2308=1,OR('Dashboard'!$B$4="All",I2308='Dashboard'!$B$4),OR('Dashboard'!$E$4="All",N2308='Dashboard'!$E$4),OR('Dashboard'!$H$4="All",K2308='Dashboard'!$H$4),OR('Dashboard'!$K$4="All",C2308='Dashboard'!$K$4)),1,0)</x:f>
        <x:v>1</x:v>
      </x:c>
      <x:c r="AI2308" s="84" t="n">
        <x:f>IF(AND(AG2308=1,OR('Dashboard'!$B$4="All",I2308='Dashboard'!$B$4),OR('Dashboard'!$E$4="All",N2308='Dashboard'!$E$4),OR('Dashboard'!$H$4="All",K2308='Dashboard'!$H$4)),1,0)</x:f>
        <x:v>1</x:v>
      </x:c>
    </x:row>
    <x:row r="2309">
      <x:c r="A2309" s="84" t="str">
        <x:f>'Raw Sales'!A2309</x:f>
        <x:v>ORD-2025-00912</x:v>
      </x:c>
      <x:c r="B2309" s="85" t="n">
        <x:f>'Raw Sales'!B2309</x:f>
        <x:v>46001</x:v>
      </x:c>
      <x:c r="C2309" s="84" t="n">
        <x:f>YEAR(B2309)</x:f>
        <x:v>2025</x:v>
      </x:c>
      <x:c r="D2309" s="91" t="n">
        <x:f>DATE(YEAR(B2309),MONTH(B2309),1)</x:f>
        <x:v>45992</x:v>
      </x:c>
      <x:c r="E2309" s="84" t="str">
        <x:f>TEXT(B2309,"mmm")</x:f>
        <x:v>Dec</x:v>
      </x:c>
      <x:c r="F2309" s="84" t="str">
        <x:f>'Raw Sales'!C2309</x:f>
        <x:v>CUST-0141</x:v>
      </x:c>
      <x:c r="G2309" s="84" t="str">
        <x:f>PROPER(TRIM('Raw Sales'!D2309))</x:f>
        <x:v>Victoria Taylor</x:v>
      </x:c>
      <x:c r="H2309" s="84" t="str">
        <x:f>IF(TRIM('Raw Sales'!E2309)="","Unknown",PROPER(TRIM('Raw Sales'!E2309)))</x:f>
        <x:v>Consumer</x:v>
      </x:c>
      <x:c r="I2309" s="84" t="str">
        <x:f>PROPER(TRIM('Raw Sales'!F2309))</x:f>
        <x:v>Midwest</x:v>
      </x:c>
      <x:c r="J2309" s="84" t="str">
        <x:f>PROPER(TRIM('Raw Sales'!G2309))</x:f>
        <x:v>Minneapolis</x:v>
      </x:c>
      <x:c r="K2309" s="84" t="str">
        <x:f>PROPER(TRIM('Raw Sales'!H2309))</x:f>
        <x:v>Marketplace</x:v>
      </x:c>
      <x:c r="L2309" s="84" t="str">
        <x:f>'Raw Sales'!I2309</x:f>
        <x:v>ELEC-002</x:v>
      </x:c>
      <x:c r="M2309" s="84" t="str">
        <x:f>IFERROR(VLOOKUP(L2309,'Reference Data'!$A$5:$F$40,2,FALSE),"Unknown Product")</x:f>
        <x:v>Smartwatch</x:v>
      </x:c>
      <x:c r="N2309" s="84" t="str">
        <x:f>IFERROR(VLOOKUP(L2309,'Reference Data'!$A$5:$F$40,3,FALSE),"Unknown")</x:f>
        <x:v>Electronics</x:v>
      </x:c>
      <x:c r="O2309" s="84" t="str">
        <x:f>IFERROR(VLOOKUP(L2309,'Reference Data'!$A$5:$F$40,4,FALSE),"Unknown")</x:f>
        <x:v>Wearables</x:v>
      </x:c>
      <x:c r="P2309" s="92" t="n">
        <x:f>IFERROR(VLOOKUP(L2309,'Reference Data'!$A$5:$F$40,5,FALSE),0)</x:f>
        <x:v>159</x:v>
      </x:c>
      <x:c r="Q2309" s="92" t="n">
        <x:f>IFERROR(VLOOKUP(L2309,'Reference Data'!$A$5:$F$40,6,FALSE),0)</x:f>
        <x:v>92</x:v>
      </x:c>
      <x:c r="R2309" s="84" t="n">
        <x:f>'Raw Sales'!J2309</x:f>
        <x:v>2</x:v>
      </x:c>
      <x:c r="S2309" s="87" t="n">
        <x:f>'Raw Sales'!K2309</x:f>
        <x:v>0</x:v>
      </x:c>
      <x:c r="T2309" s="93" t="n">
        <x:f>P2309*R2309</x:f>
        <x:v>318</x:v>
      </x:c>
      <x:c r="U2309" s="93" t="n">
        <x:f>T2309*S2309</x:f>
        <x:v>0</x:v>
      </x:c>
      <x:c r="V2309" s="93" t="str">
        <x:f>PROPER(TRIM('Raw Sales'!L2309))</x:f>
        <x:v>Completed</x:v>
      </x:c>
      <x:c r="W2309" s="93" t="n">
        <x:f>IF(V2309="Returned",0,T2309-U2309)</x:f>
        <x:v>318</x:v>
      </x:c>
      <x:c r="X2309" s="93" t="n">
        <x:f>IF(V2309="Returned",Q2309*R2309*10%,Q2309*R2309)</x:f>
        <x:v>184</x:v>
      </x:c>
      <x:c r="Y2309" s="93" t="n">
        <x:f>W2309-X2309</x:f>
        <x:v>134</x:v>
      </x:c>
      <x:c r="Z2309" s="94" t="n">
        <x:f>IFERROR(Y2309/W2309,0)</x:f>
        <x:v>0.42138364779874216</x:v>
      </x:c>
      <x:c r="AA2309" s="84" t="str">
        <x:f>PROPER(TRIM('Raw Sales'!M2309))</x:f>
        <x:v>Debit Card</x:v>
      </x:c>
      <x:c r="AB2309" s="84" t="str">
        <x:f>PROPER(TRIM('Raw Sales'!N2309))</x:f>
        <x:v>Lucas Grant</x:v>
      </x:c>
      <x:c r="AC2309" s="85" t="n">
        <x:f>'Raw Sales'!O2309</x:f>
        <x:v>46009</x:v>
      </x:c>
      <x:c r="AD2309" s="84" t="n">
        <x:f>AC2309-B2309</x:f>
        <x:v>8</x:v>
      </x:c>
      <x:c r="AE2309" s="84" t="str">
        <x:f>IF(COUNTIF($A$5:A2309,A2309)&gt;1,"Duplicate","Keep")</x:f>
        <x:v>Keep</x:v>
      </x:c>
      <x:c r="AF2309" s="84" t="str">
        <x:f>IF(OR(R2309&lt;=0,AC2309&lt;B2309,H2309="Unknown",M2309="Unknown Product"),"Review","Valid")</x:f>
        <x:v>Valid</x:v>
      </x:c>
      <x:c r="AG2309" s="84" t="n">
        <x:f>IF(AND(AE2309="Keep",AF2309="Valid"),1,0)</x:f>
        <x:v>1</x:v>
      </x:c>
      <x:c r="AH2309" s="84" t="n">
        <x:f>IF(AND(AG2309=1,OR('Dashboard'!$B$4="All",I2309='Dashboard'!$B$4),OR('Dashboard'!$E$4="All",N2309='Dashboard'!$E$4),OR('Dashboard'!$H$4="All",K2309='Dashboard'!$H$4),OR('Dashboard'!$K$4="All",C2309='Dashboard'!$K$4)),1,0)</x:f>
        <x:v>1</x:v>
      </x:c>
      <x:c r="AI2309" s="84" t="n">
        <x:f>IF(AND(AG2309=1,OR('Dashboard'!$B$4="All",I2309='Dashboard'!$B$4),OR('Dashboard'!$E$4="All",N2309='Dashboard'!$E$4),OR('Dashboard'!$H$4="All",K2309='Dashboard'!$H$4)),1,0)</x:f>
        <x:v>1</x:v>
      </x:c>
    </x:row>
    <x:row r="2310">
      <x:c r="A2310" s="84" t="str">
        <x:f>'Raw Sales'!A2310</x:f>
        <x:v>ORD-2025-00993</x:v>
      </x:c>
      <x:c r="B2310" s="85" t="n">
        <x:f>'Raw Sales'!B2310</x:f>
        <x:v>46001</x:v>
      </x:c>
      <x:c r="C2310" s="84" t="n">
        <x:f>YEAR(B2310)</x:f>
        <x:v>2025</x:v>
      </x:c>
      <x:c r="D2310" s="91" t="n">
        <x:f>DATE(YEAR(B2310),MONTH(B2310),1)</x:f>
        <x:v>45992</x:v>
      </x:c>
      <x:c r="E2310" s="84" t="str">
        <x:f>TEXT(B2310,"mmm")</x:f>
        <x:v>Dec</x:v>
      </x:c>
      <x:c r="F2310" s="84" t="str">
        <x:f>'Raw Sales'!C2310</x:f>
        <x:v>CUST-0221</x:v>
      </x:c>
      <x:c r="G2310" s="84" t="str">
        <x:f>PROPER(TRIM('Raw Sales'!D2310))</x:f>
        <x:v>Priya Irwin</x:v>
      </x:c>
      <x:c r="H2310" s="84" t="str">
        <x:f>IF(TRIM('Raw Sales'!E2310)="","Unknown",PROPER(TRIM('Raw Sales'!E2310)))</x:f>
        <x:v>Consumer</x:v>
      </x:c>
      <x:c r="I2310" s="84" t="str">
        <x:f>PROPER(TRIM('Raw Sales'!F2310))</x:f>
        <x:v>Southeast</x:v>
      </x:c>
      <x:c r="J2310" s="84" t="str">
        <x:f>PROPER(TRIM('Raw Sales'!G2310))</x:f>
        <x:v>Charlotte</x:v>
      </x:c>
      <x:c r="K2310" s="84" t="str">
        <x:f>PROPER(TRIM('Raw Sales'!H2310))</x:f>
        <x:v>Marketplace</x:v>
      </x:c>
      <x:c r="L2310" s="84" t="str">
        <x:f>'Raw Sales'!I2310</x:f>
        <x:v>FITN-003</x:v>
      </x:c>
      <x:c r="M2310" s="84" t="str">
        <x:f>IFERROR(VLOOKUP(L2310,'Reference Data'!$A$5:$F$40,2,FALSE),"Unknown Product")</x:f>
        <x:v>Resistance Band Set</x:v>
      </x:c>
      <x:c r="N2310" s="84" t="str">
        <x:f>IFERROR(VLOOKUP(L2310,'Reference Data'!$A$5:$F$40,3,FALSE),"Unknown")</x:f>
        <x:v>Fitness</x:v>
      </x:c>
      <x:c r="O2310" s="84" t="str">
        <x:f>IFERROR(VLOOKUP(L2310,'Reference Data'!$A$5:$F$40,4,FALSE),"Unknown")</x:f>
        <x:v>Strength</x:v>
      </x:c>
      <x:c r="P2310" s="92" t="n">
        <x:f>IFERROR(VLOOKUP(L2310,'Reference Data'!$A$5:$F$40,5,FALSE),0)</x:f>
        <x:v>24</x:v>
      </x:c>
      <x:c r="Q2310" s="92" t="n">
        <x:f>IFERROR(VLOOKUP(L2310,'Reference Data'!$A$5:$F$40,6,FALSE),0)</x:f>
        <x:v>8</x:v>
      </x:c>
      <x:c r="R2310" s="84" t="n">
        <x:f>'Raw Sales'!J2310</x:f>
        <x:v>1</x:v>
      </x:c>
      <x:c r="S2310" s="87" t="n">
        <x:f>'Raw Sales'!K2310</x:f>
        <x:v>0.05</x:v>
      </x:c>
      <x:c r="T2310" s="93" t="n">
        <x:f>P2310*R2310</x:f>
        <x:v>24</x:v>
      </x:c>
      <x:c r="U2310" s="93" t="n">
        <x:f>T2310*S2310</x:f>
        <x:v>1.2000000000000002</x:v>
      </x:c>
      <x:c r="V2310" s="93" t="str">
        <x:f>PROPER(TRIM('Raw Sales'!L2310))</x:f>
        <x:v>Completed</x:v>
      </x:c>
      <x:c r="W2310" s="93" t="n">
        <x:f>IF(V2310="Returned",0,T2310-U2310)</x:f>
        <x:v>22.8</x:v>
      </x:c>
      <x:c r="X2310" s="93" t="n">
        <x:f>IF(V2310="Returned",Q2310*R2310*10%,Q2310*R2310)</x:f>
        <x:v>8</x:v>
      </x:c>
      <x:c r="Y2310" s="93" t="n">
        <x:f>W2310-X2310</x:f>
        <x:v>14.8</x:v>
      </x:c>
      <x:c r="Z2310" s="94" t="n">
        <x:f>IFERROR(Y2310/W2310,0)</x:f>
        <x:v>0.6491228070175439</x:v>
      </x:c>
      <x:c r="AA2310" s="84" t="str">
        <x:f>PROPER(TRIM('Raw Sales'!M2310))</x:f>
        <x:v>Credit Card</x:v>
      </x:c>
      <x:c r="AB2310" s="84" t="str">
        <x:f>PROPER(TRIM('Raw Sales'!N2310))</x:f>
        <x:v>Liam Parker</x:v>
      </x:c>
      <x:c r="AC2310" s="85" t="n">
        <x:f>'Raw Sales'!O2310</x:f>
        <x:v>46005</x:v>
      </x:c>
      <x:c r="AD2310" s="84" t="n">
        <x:f>AC2310-B2310</x:f>
        <x:v>4</x:v>
      </x:c>
      <x:c r="AE2310" s="84" t="str">
        <x:f>IF(COUNTIF($A$5:A2310,A2310)&gt;1,"Duplicate","Keep")</x:f>
        <x:v>Keep</x:v>
      </x:c>
      <x:c r="AF2310" s="84" t="str">
        <x:f>IF(OR(R2310&lt;=0,AC2310&lt;B2310,H2310="Unknown",M2310="Unknown Product"),"Review","Valid")</x:f>
        <x:v>Valid</x:v>
      </x:c>
      <x:c r="AG2310" s="84" t="n">
        <x:f>IF(AND(AE2310="Keep",AF2310="Valid"),1,0)</x:f>
        <x:v>1</x:v>
      </x:c>
      <x:c r="AH2310" s="84" t="n">
        <x:f>IF(AND(AG2310=1,OR('Dashboard'!$B$4="All",I2310='Dashboard'!$B$4),OR('Dashboard'!$E$4="All",N2310='Dashboard'!$E$4),OR('Dashboard'!$H$4="All",K2310='Dashboard'!$H$4),OR('Dashboard'!$K$4="All",C2310='Dashboard'!$K$4)),1,0)</x:f>
        <x:v>1</x:v>
      </x:c>
      <x:c r="AI2310" s="84" t="n">
        <x:f>IF(AND(AG2310=1,OR('Dashboard'!$B$4="All",I2310='Dashboard'!$B$4),OR('Dashboard'!$E$4="All",N2310='Dashboard'!$E$4),OR('Dashboard'!$H$4="All",K2310='Dashboard'!$H$4)),1,0)</x:f>
        <x:v>1</x:v>
      </x:c>
    </x:row>
    <x:row r="2311">
      <x:c r="A2311" s="84" t="str">
        <x:f>'Raw Sales'!A2311</x:f>
        <x:v>ORD-2025-01699</x:v>
      </x:c>
      <x:c r="B2311" s="85" t="n">
        <x:f>'Raw Sales'!B2311</x:f>
        <x:v>46001</x:v>
      </x:c>
      <x:c r="C2311" s="84" t="n">
        <x:f>YEAR(B2311)</x:f>
        <x:v>2025</x:v>
      </x:c>
      <x:c r="D2311" s="91" t="n">
        <x:f>DATE(YEAR(B2311),MONTH(B2311),1)</x:f>
        <x:v>45992</x:v>
      </x:c>
      <x:c r="E2311" s="84" t="str">
        <x:f>TEXT(B2311,"mmm")</x:f>
        <x:v>Dec</x:v>
      </x:c>
      <x:c r="F2311" s="84" t="str">
        <x:f>'Raw Sales'!C2311</x:f>
        <x:v>CUST-0045</x:v>
      </x:c>
      <x:c r="G2311" s="84" t="str">
        <x:f>PROPER(TRIM('Raw Sales'!D2311))</x:f>
        <x:v>Nina Foster</x:v>
      </x:c>
      <x:c r="H2311" s="84" t="str">
        <x:f>IF(TRIM('Raw Sales'!E2311)="","Unknown",PROPER(TRIM('Raw Sales'!E2311)))</x:f>
        <x:v>Small Business</x:v>
      </x:c>
      <x:c r="I2311" s="84" t="str">
        <x:f>PROPER(TRIM('Raw Sales'!F2311))</x:f>
        <x:v>Northeast</x:v>
      </x:c>
      <x:c r="J2311" s="84" t="str">
        <x:f>PROPER(TRIM('Raw Sales'!G2311))</x:f>
        <x:v>Boston</x:v>
      </x:c>
      <x:c r="K2311" s="84" t="str">
        <x:f>PROPER(TRIM('Raw Sales'!H2311))</x:f>
        <x:v>Marketplace</x:v>
      </x:c>
      <x:c r="L2311" s="84" t="str">
        <x:f>'Raw Sales'!I2311</x:f>
        <x:v>HOME-002</x:v>
      </x:c>
      <x:c r="M2311" s="84" t="str">
        <x:f>IFERROR(VLOOKUP(L2311,'Reference Data'!$A$5:$F$40,2,FALSE),"Unknown Product")</x:f>
        <x:v>Electric Kettle</x:v>
      </x:c>
      <x:c r="N2311" s="84" t="str">
        <x:f>IFERROR(VLOOKUP(L2311,'Reference Data'!$A$5:$F$40,3,FALSE),"Unknown")</x:f>
        <x:v>Home &amp; Kitchen</x:v>
      </x:c>
      <x:c r="O2311" s="84" t="str">
        <x:f>IFERROR(VLOOKUP(L2311,'Reference Data'!$A$5:$F$40,4,FALSE),"Unknown")</x:f>
        <x:v>Small Appliances</x:v>
      </x:c>
      <x:c r="P2311" s="92" t="n">
        <x:f>IFERROR(VLOOKUP(L2311,'Reference Data'!$A$5:$F$40,5,FALSE),0)</x:f>
        <x:v>49</x:v>
      </x:c>
      <x:c r="Q2311" s="92" t="n">
        <x:f>IFERROR(VLOOKUP(L2311,'Reference Data'!$A$5:$F$40,6,FALSE),0)</x:f>
        <x:v>23</x:v>
      </x:c>
      <x:c r="R2311" s="84" t="n">
        <x:f>'Raw Sales'!J2311</x:f>
        <x:v>1</x:v>
      </x:c>
      <x:c r="S2311" s="87" t="n">
        <x:f>'Raw Sales'!K2311</x:f>
        <x:v>0.2</x:v>
      </x:c>
      <x:c r="T2311" s="93" t="n">
        <x:f>P2311*R2311</x:f>
        <x:v>49</x:v>
      </x:c>
      <x:c r="U2311" s="93" t="n">
        <x:f>T2311*S2311</x:f>
        <x:v>9.8</x:v>
      </x:c>
      <x:c r="V2311" s="93" t="str">
        <x:f>PROPER(TRIM('Raw Sales'!L2311))</x:f>
        <x:v>Completed</x:v>
      </x:c>
      <x:c r="W2311" s="93" t="n">
        <x:f>IF(V2311="Returned",0,T2311-U2311)</x:f>
        <x:v>39.2</x:v>
      </x:c>
      <x:c r="X2311" s="93" t="n">
        <x:f>IF(V2311="Returned",Q2311*R2311*10%,Q2311*R2311)</x:f>
        <x:v>23</x:v>
      </x:c>
      <x:c r="Y2311" s="93" t="n">
        <x:f>W2311-X2311</x:f>
        <x:v>16.200000000000003</x:v>
      </x:c>
      <x:c r="Z2311" s="94" t="n">
        <x:f>IFERROR(Y2311/W2311,0)</x:f>
        <x:v>0.41326530612244905</x:v>
      </x:c>
      <x:c r="AA2311" s="84" t="str">
        <x:f>PROPER(TRIM('Raw Sales'!M2311))</x:f>
        <x:v>Paypal</x:v>
      </x:c>
      <x:c r="AB2311" s="84" t="str">
        <x:f>PROPER(TRIM('Raw Sales'!N2311))</x:f>
        <x:v>Maya Brooks</x:v>
      </x:c>
      <x:c r="AC2311" s="85" t="n">
        <x:f>'Raw Sales'!O2311</x:f>
        <x:v>46007</x:v>
      </x:c>
      <x:c r="AD2311" s="84" t="n">
        <x:f>AC2311-B2311</x:f>
        <x:v>6</x:v>
      </x:c>
      <x:c r="AE2311" s="84" t="str">
        <x:f>IF(COUNTIF($A$5:A2311,A2311)&gt;1,"Duplicate","Keep")</x:f>
        <x:v>Keep</x:v>
      </x:c>
      <x:c r="AF2311" s="84" t="str">
        <x:f>IF(OR(R2311&lt;=0,AC2311&lt;B2311,H2311="Unknown",M2311="Unknown Product"),"Review","Valid")</x:f>
        <x:v>Valid</x:v>
      </x:c>
      <x:c r="AG2311" s="84" t="n">
        <x:f>IF(AND(AE2311="Keep",AF2311="Valid"),1,0)</x:f>
        <x:v>1</x:v>
      </x:c>
      <x:c r="AH2311" s="84" t="n">
        <x:f>IF(AND(AG2311=1,OR('Dashboard'!$B$4="All",I2311='Dashboard'!$B$4),OR('Dashboard'!$E$4="All",N2311='Dashboard'!$E$4),OR('Dashboard'!$H$4="All",K2311='Dashboard'!$H$4),OR('Dashboard'!$K$4="All",C2311='Dashboard'!$K$4)),1,0)</x:f>
        <x:v>1</x:v>
      </x:c>
      <x:c r="AI2311" s="84" t="n">
        <x:f>IF(AND(AG2311=1,OR('Dashboard'!$B$4="All",I2311='Dashboard'!$B$4),OR('Dashboard'!$E$4="All",N2311='Dashboard'!$E$4),OR('Dashboard'!$H$4="All",K2311='Dashboard'!$H$4)),1,0)</x:f>
        <x:v>1</x:v>
      </x:c>
    </x:row>
    <x:row r="2312">
      <x:c r="A2312" s="84" t="str">
        <x:f>'Raw Sales'!A2312</x:f>
        <x:v>ORD-2025-00224</x:v>
      </x:c>
      <x:c r="B2312" s="85" t="n">
        <x:f>'Raw Sales'!B2312</x:f>
        <x:v>46002</x:v>
      </x:c>
      <x:c r="C2312" s="84" t="n">
        <x:f>YEAR(B2312)</x:f>
        <x:v>2025</x:v>
      </x:c>
      <x:c r="D2312" s="91" t="n">
        <x:f>DATE(YEAR(B2312),MONTH(B2312),1)</x:f>
        <x:v>45992</x:v>
      </x:c>
      <x:c r="E2312" s="84" t="str">
        <x:f>TEXT(B2312,"mmm")</x:f>
        <x:v>Dec</x:v>
      </x:c>
      <x:c r="F2312" s="84" t="str">
        <x:f>'Raw Sales'!C2312</x:f>
        <x:v>CUST-0360</x:v>
      </x:c>
      <x:c r="G2312" s="84" t="str">
        <x:f>PROPER(TRIM('Raw Sales'!D2312))</x:f>
        <x:v>Elena Taylor</x:v>
      </x:c>
      <x:c r="H2312" s="84" t="str">
        <x:f>IF(TRIM('Raw Sales'!E2312)="","Unknown",PROPER(TRIM('Raw Sales'!E2312)))</x:f>
        <x:v>Corporate</x:v>
      </x:c>
      <x:c r="I2312" s="84" t="str">
        <x:f>PROPER(TRIM('Raw Sales'!F2312))</x:f>
        <x:v>Northeast</x:v>
      </x:c>
      <x:c r="J2312" s="84" t="str">
        <x:f>PROPER(TRIM('Raw Sales'!G2312))</x:f>
        <x:v>New York</x:v>
      </x:c>
      <x:c r="K2312" s="84" t="str">
        <x:f>PROPER(TRIM('Raw Sales'!H2312))</x:f>
        <x:v>Marketplace</x:v>
      </x:c>
      <x:c r="L2312" s="84" t="str">
        <x:f>'Raw Sales'!I2312</x:f>
        <x:v>HOME-006</x:v>
      </x:c>
      <x:c r="M2312" s="84" t="str">
        <x:f>IFERROR(VLOOKUP(L2312,'Reference Data'!$A$5:$F$40,2,FALSE),"Unknown Product")</x:f>
        <x:v>Food Storage Set</x:v>
      </x:c>
      <x:c r="N2312" s="84" t="str">
        <x:f>IFERROR(VLOOKUP(L2312,'Reference Data'!$A$5:$F$40,3,FALSE),"Unknown")</x:f>
        <x:v>Home &amp; Kitchen</x:v>
      </x:c>
      <x:c r="O2312" s="84" t="str">
        <x:f>IFERROR(VLOOKUP(L2312,'Reference Data'!$A$5:$F$40,4,FALSE),"Unknown")</x:f>
        <x:v>Kitchenware</x:v>
      </x:c>
      <x:c r="P2312" s="92" t="n">
        <x:f>IFERROR(VLOOKUP(L2312,'Reference Data'!$A$5:$F$40,5,FALSE),0)</x:f>
        <x:v>34</x:v>
      </x:c>
      <x:c r="Q2312" s="92" t="n">
        <x:f>IFERROR(VLOOKUP(L2312,'Reference Data'!$A$5:$F$40,6,FALSE),0)</x:f>
        <x:v>15</x:v>
      </x:c>
      <x:c r="R2312" s="84" t="n">
        <x:f>'Raw Sales'!J2312</x:f>
        <x:v>4</x:v>
      </x:c>
      <x:c r="S2312" s="87" t="n">
        <x:f>'Raw Sales'!K2312</x:f>
        <x:v>0.1</x:v>
      </x:c>
      <x:c r="T2312" s="93" t="n">
        <x:f>P2312*R2312</x:f>
        <x:v>136</x:v>
      </x:c>
      <x:c r="U2312" s="93" t="n">
        <x:f>T2312*S2312</x:f>
        <x:v>13.600000000000001</x:v>
      </x:c>
      <x:c r="V2312" s="93" t="str">
        <x:f>PROPER(TRIM('Raw Sales'!L2312))</x:f>
        <x:v>Completed</x:v>
      </x:c>
      <x:c r="W2312" s="93" t="n">
        <x:f>IF(V2312="Returned",0,T2312-U2312)</x:f>
        <x:v>122.4</x:v>
      </x:c>
      <x:c r="X2312" s="93" t="n">
        <x:f>IF(V2312="Returned",Q2312*R2312*10%,Q2312*R2312)</x:f>
        <x:v>60</x:v>
      </x:c>
      <x:c r="Y2312" s="93" t="n">
        <x:f>W2312-X2312</x:f>
        <x:v>62.400000000000006</x:v>
      </x:c>
      <x:c r="Z2312" s="94" t="n">
        <x:f>IFERROR(Y2312/W2312,0)</x:f>
        <x:v>0.5098039215686275</x:v>
      </x:c>
      <x:c r="AA2312" s="84" t="str">
        <x:f>PROPER(TRIM('Raw Sales'!M2312))</x:f>
        <x:v>Debit Card</x:v>
      </x:c>
      <x:c r="AB2312" s="84" t="str">
        <x:f>PROPER(TRIM('Raw Sales'!N2312))</x:f>
        <x:v>Ethan Cole</x:v>
      </x:c>
      <x:c r="AC2312" s="85" t="n">
        <x:f>'Raw Sales'!O2312</x:f>
        <x:v>46007</x:v>
      </x:c>
      <x:c r="AD2312" s="84" t="n">
        <x:f>AC2312-B2312</x:f>
        <x:v>5</x:v>
      </x:c>
      <x:c r="AE2312" s="84" t="str">
        <x:f>IF(COUNTIF($A$5:A2312,A2312)&gt;1,"Duplicate","Keep")</x:f>
        <x:v>Keep</x:v>
      </x:c>
      <x:c r="AF2312" s="84" t="str">
        <x:f>IF(OR(R2312&lt;=0,AC2312&lt;B2312,H2312="Unknown",M2312="Unknown Product"),"Review","Valid")</x:f>
        <x:v>Valid</x:v>
      </x:c>
      <x:c r="AG2312" s="84" t="n">
        <x:f>IF(AND(AE2312="Keep",AF2312="Valid"),1,0)</x:f>
        <x:v>1</x:v>
      </x:c>
      <x:c r="AH2312" s="84" t="n">
        <x:f>IF(AND(AG2312=1,OR('Dashboard'!$B$4="All",I2312='Dashboard'!$B$4),OR('Dashboard'!$E$4="All",N2312='Dashboard'!$E$4),OR('Dashboard'!$H$4="All",K2312='Dashboard'!$H$4),OR('Dashboard'!$K$4="All",C2312='Dashboard'!$K$4)),1,0)</x:f>
        <x:v>1</x:v>
      </x:c>
      <x:c r="AI2312" s="84" t="n">
        <x:f>IF(AND(AG2312=1,OR('Dashboard'!$B$4="All",I2312='Dashboard'!$B$4),OR('Dashboard'!$E$4="All",N2312='Dashboard'!$E$4),OR('Dashboard'!$H$4="All",K2312='Dashboard'!$H$4)),1,0)</x:f>
        <x:v>1</x:v>
      </x:c>
    </x:row>
    <x:row r="2313">
      <x:c r="A2313" s="84" t="str">
        <x:f>'Raw Sales'!A2313</x:f>
        <x:v>ORD-2025-00288</x:v>
      </x:c>
      <x:c r="B2313" s="85" t="n">
        <x:f>'Raw Sales'!B2313</x:f>
        <x:v>46002</x:v>
      </x:c>
      <x:c r="C2313" s="84" t="n">
        <x:f>YEAR(B2313)</x:f>
        <x:v>2025</x:v>
      </x:c>
      <x:c r="D2313" s="91" t="n">
        <x:f>DATE(YEAR(B2313),MONTH(B2313),1)</x:f>
        <x:v>45992</x:v>
      </x:c>
      <x:c r="E2313" s="84" t="str">
        <x:f>TEXT(B2313,"mmm")</x:f>
        <x:v>Dec</x:v>
      </x:c>
      <x:c r="F2313" s="84" t="str">
        <x:f>'Raw Sales'!C2313</x:f>
        <x:v>CUST-0479</x:v>
      </x:c>
      <x:c r="G2313" s="84" t="str">
        <x:f>PROPER(TRIM('Raw Sales'!D2313))</x:f>
        <x:v>Zara Taylor</x:v>
      </x:c>
      <x:c r="H2313" s="84" t="str">
        <x:f>IF(TRIM('Raw Sales'!E2313)="","Unknown",PROPER(TRIM('Raw Sales'!E2313)))</x:f>
        <x:v>Consumer</x:v>
      </x:c>
      <x:c r="I2313" s="84" t="str">
        <x:f>PROPER(TRIM('Raw Sales'!F2313))</x:f>
        <x:v>West</x:v>
      </x:c>
      <x:c r="J2313" s="84" t="str">
        <x:f>PROPER(TRIM('Raw Sales'!G2313))</x:f>
        <x:v>Phoenix</x:v>
      </x:c>
      <x:c r="K2313" s="84" t="str">
        <x:f>PROPER(TRIM('Raw Sales'!H2313))</x:f>
        <x:v>Retail Store</x:v>
      </x:c>
      <x:c r="L2313" s="84" t="str">
        <x:f>'Raw Sales'!I2313</x:f>
        <x:v>HOME-005</x:v>
      </x:c>
      <x:c r="M2313" s="84" t="str">
        <x:f>IFERROR(VLOOKUP(L2313,'Reference Data'!$A$5:$F$40,2,FALSE),"Unknown Product")</x:f>
        <x:v>Cordless Vacuum</x:v>
      </x:c>
      <x:c r="N2313" s="84" t="str">
        <x:f>IFERROR(VLOOKUP(L2313,'Reference Data'!$A$5:$F$40,3,FALSE),"Unknown")</x:f>
        <x:v>Home &amp; Kitchen</x:v>
      </x:c>
      <x:c r="O2313" s="84" t="str">
        <x:f>IFERROR(VLOOKUP(L2313,'Reference Data'!$A$5:$F$40,4,FALSE),"Unknown")</x:f>
        <x:v>Cleaning</x:v>
      </x:c>
      <x:c r="P2313" s="92" t="n">
        <x:f>IFERROR(VLOOKUP(L2313,'Reference Data'!$A$5:$F$40,5,FALSE),0)</x:f>
        <x:v>179</x:v>
      </x:c>
      <x:c r="Q2313" s="92" t="n">
        <x:f>IFERROR(VLOOKUP(L2313,'Reference Data'!$A$5:$F$40,6,FALSE),0)</x:f>
        <x:v>102</x:v>
      </x:c>
      <x:c r="R2313" s="84" t="n">
        <x:f>'Raw Sales'!J2313</x:f>
        <x:v>4</x:v>
      </x:c>
      <x:c r="S2313" s="87" t="n">
        <x:f>'Raw Sales'!K2313</x:f>
        <x:v>0</x:v>
      </x:c>
      <x:c r="T2313" s="93" t="n">
        <x:f>P2313*R2313</x:f>
        <x:v>716</x:v>
      </x:c>
      <x:c r="U2313" s="93" t="n">
        <x:f>T2313*S2313</x:f>
        <x:v>0</x:v>
      </x:c>
      <x:c r="V2313" s="93" t="str">
        <x:f>PROPER(TRIM('Raw Sales'!L2313))</x:f>
        <x:v>Completed</x:v>
      </x:c>
      <x:c r="W2313" s="93" t="n">
        <x:f>IF(V2313="Returned",0,T2313-U2313)</x:f>
        <x:v>716</x:v>
      </x:c>
      <x:c r="X2313" s="93" t="n">
        <x:f>IF(V2313="Returned",Q2313*R2313*10%,Q2313*R2313)</x:f>
        <x:v>408</x:v>
      </x:c>
      <x:c r="Y2313" s="93" t="n">
        <x:f>W2313-X2313</x:f>
        <x:v>308</x:v>
      </x:c>
      <x:c r="Z2313" s="94" t="n">
        <x:f>IFERROR(Y2313/W2313,0)</x:f>
        <x:v>0.4301675977653631</x:v>
      </x:c>
      <x:c r="AA2313" s="84" t="str">
        <x:f>PROPER(TRIM('Raw Sales'!M2313))</x:f>
        <x:v>Credit Card</x:v>
      </x:c>
      <x:c r="AB2313" s="84" t="str">
        <x:f>PROPER(TRIM('Raw Sales'!N2313))</x:f>
        <x:v>Nora Kim</x:v>
      </x:c>
      <x:c r="AC2313" s="85" t="n">
        <x:f>'Raw Sales'!O2313</x:f>
        <x:v>46002</x:v>
      </x:c>
      <x:c r="AD2313" s="84" t="n">
        <x:f>AC2313-B2313</x:f>
        <x:v>0</x:v>
      </x:c>
      <x:c r="AE2313" s="84" t="str">
        <x:f>IF(COUNTIF($A$5:A2313,A2313)&gt;1,"Duplicate","Keep")</x:f>
        <x:v>Keep</x:v>
      </x:c>
      <x:c r="AF2313" s="84" t="str">
        <x:f>IF(OR(R2313&lt;=0,AC2313&lt;B2313,H2313="Unknown",M2313="Unknown Product"),"Review","Valid")</x:f>
        <x:v>Valid</x:v>
      </x:c>
      <x:c r="AG2313" s="84" t="n">
        <x:f>IF(AND(AE2313="Keep",AF2313="Valid"),1,0)</x:f>
        <x:v>1</x:v>
      </x:c>
      <x:c r="AH2313" s="84" t="n">
        <x:f>IF(AND(AG2313=1,OR('Dashboard'!$B$4="All",I2313='Dashboard'!$B$4),OR('Dashboard'!$E$4="All",N2313='Dashboard'!$E$4),OR('Dashboard'!$H$4="All",K2313='Dashboard'!$H$4),OR('Dashboard'!$K$4="All",C2313='Dashboard'!$K$4)),1,0)</x:f>
        <x:v>1</x:v>
      </x:c>
      <x:c r="AI2313" s="84" t="n">
        <x:f>IF(AND(AG2313=1,OR('Dashboard'!$B$4="All",I2313='Dashboard'!$B$4),OR('Dashboard'!$E$4="All",N2313='Dashboard'!$E$4),OR('Dashboard'!$H$4="All",K2313='Dashboard'!$H$4)),1,0)</x:f>
        <x:v>1</x:v>
      </x:c>
    </x:row>
    <x:row r="2314">
      <x:c r="A2314" s="84" t="str">
        <x:f>'Raw Sales'!A2314</x:f>
        <x:v>ORD-2025-00330</x:v>
      </x:c>
      <x:c r="B2314" s="85" t="n">
        <x:f>'Raw Sales'!B2314</x:f>
        <x:v>46002</x:v>
      </x:c>
      <x:c r="C2314" s="84" t="n">
        <x:f>YEAR(B2314)</x:f>
        <x:v>2025</x:v>
      </x:c>
      <x:c r="D2314" s="91" t="n">
        <x:f>DATE(YEAR(B2314),MONTH(B2314),1)</x:f>
        <x:v>45992</x:v>
      </x:c>
      <x:c r="E2314" s="84" t="str">
        <x:f>TEXT(B2314,"mmm")</x:f>
        <x:v>Dec</x:v>
      </x:c>
      <x:c r="F2314" s="84" t="str">
        <x:f>'Raw Sales'!C2314</x:f>
        <x:v>CUST-0240</x:v>
      </x:c>
      <x:c r="G2314" s="84" t="str">
        <x:f>PROPER(TRIM('Raw Sales'!D2314))</x:f>
        <x:v>Elena Garcia</x:v>
      </x:c>
      <x:c r="H2314" s="84" t="str">
        <x:f>IF(TRIM('Raw Sales'!E2314)="","Unknown",PROPER(TRIM('Raw Sales'!E2314)))</x:f>
        <x:v>Consumer</x:v>
      </x:c>
      <x:c r="I2314" s="84" t="str">
        <x:f>PROPER(TRIM('Raw Sales'!F2314))</x:f>
        <x:v>Midwest</x:v>
      </x:c>
      <x:c r="J2314" s="84" t="str">
        <x:f>PROPER(TRIM('Raw Sales'!G2314))</x:f>
        <x:v>Detroit</x:v>
      </x:c>
      <x:c r="K2314" s="84" t="str">
        <x:f>PROPER(TRIM('Raw Sales'!H2314))</x:f>
        <x:v>Online</x:v>
      </x:c>
      <x:c r="L2314" s="84" t="str">
        <x:f>'Raw Sales'!I2314</x:f>
        <x:v>ELEC-003</x:v>
      </x:c>
      <x:c r="M2314" s="84" t="str">
        <x:f>IFERROR(VLOOKUP(L2314,'Reference Data'!$A$5:$F$40,2,FALSE),"Unknown Product")</x:f>
        <x:v>Bluetooth Speaker</x:v>
      </x:c>
      <x:c r="N2314" s="84" t="str">
        <x:f>IFERROR(VLOOKUP(L2314,'Reference Data'!$A$5:$F$40,3,FALSE),"Unknown")</x:f>
        <x:v>Electronics</x:v>
      </x:c>
      <x:c r="O2314" s="84" t="str">
        <x:f>IFERROR(VLOOKUP(L2314,'Reference Data'!$A$5:$F$40,4,FALSE),"Unknown")</x:f>
        <x:v>Audio</x:v>
      </x:c>
      <x:c r="P2314" s="92" t="n">
        <x:f>IFERROR(VLOOKUP(L2314,'Reference Data'!$A$5:$F$40,5,FALSE),0)</x:f>
        <x:v>89</x:v>
      </x:c>
      <x:c r="Q2314" s="92" t="n">
        <x:f>IFERROR(VLOOKUP(L2314,'Reference Data'!$A$5:$F$40,6,FALSE),0)</x:f>
        <x:v>44</x:v>
      </x:c>
      <x:c r="R2314" s="84" t="n">
        <x:f>'Raw Sales'!J2314</x:f>
        <x:v>1</x:v>
      </x:c>
      <x:c r="S2314" s="87" t="n">
        <x:f>'Raw Sales'!K2314</x:f>
        <x:v>0.15</x:v>
      </x:c>
      <x:c r="T2314" s="93" t="n">
        <x:f>P2314*R2314</x:f>
        <x:v>89</x:v>
      </x:c>
      <x:c r="U2314" s="93" t="n">
        <x:f>T2314*S2314</x:f>
        <x:v>13.35</x:v>
      </x:c>
      <x:c r="V2314" s="93" t="str">
        <x:f>PROPER(TRIM('Raw Sales'!L2314))</x:f>
        <x:v>Completed</x:v>
      </x:c>
      <x:c r="W2314" s="93" t="n">
        <x:f>IF(V2314="Returned",0,T2314-U2314)</x:f>
        <x:v>75.65</x:v>
      </x:c>
      <x:c r="X2314" s="93" t="n">
        <x:f>IF(V2314="Returned",Q2314*R2314*10%,Q2314*R2314)</x:f>
        <x:v>44</x:v>
      </x:c>
      <x:c r="Y2314" s="93" t="n">
        <x:f>W2314-X2314</x:f>
        <x:v>31.650000000000006</x:v>
      </x:c>
      <x:c r="Z2314" s="94" t="n">
        <x:f>IFERROR(Y2314/W2314,0)</x:f>
        <x:v>0.4183740912095176</x:v>
      </x:c>
      <x:c r="AA2314" s="84" t="str">
        <x:f>PROPER(TRIM('Raw Sales'!M2314))</x:f>
        <x:v>Credit Card</x:v>
      </x:c>
      <x:c r="AB2314" s="84" t="str">
        <x:f>PROPER(TRIM('Raw Sales'!N2314))</x:f>
        <x:v>Lucas Grant</x:v>
      </x:c>
      <x:c r="AC2314" s="85" t="n">
        <x:f>'Raw Sales'!O2314</x:f>
        <x:v>46005</x:v>
      </x:c>
      <x:c r="AD2314" s="84" t="n">
        <x:f>AC2314-B2314</x:f>
        <x:v>3</x:v>
      </x:c>
      <x:c r="AE2314" s="84" t="str">
        <x:f>IF(COUNTIF($A$5:A2314,A2314)&gt;1,"Duplicate","Keep")</x:f>
        <x:v>Keep</x:v>
      </x:c>
      <x:c r="AF2314" s="84" t="str">
        <x:f>IF(OR(R2314&lt;=0,AC2314&lt;B2314,H2314="Unknown",M2314="Unknown Product"),"Review","Valid")</x:f>
        <x:v>Valid</x:v>
      </x:c>
      <x:c r="AG2314" s="84" t="n">
        <x:f>IF(AND(AE2314="Keep",AF2314="Valid"),1,0)</x:f>
        <x:v>1</x:v>
      </x:c>
      <x:c r="AH2314" s="84" t="n">
        <x:f>IF(AND(AG2314=1,OR('Dashboard'!$B$4="All",I2314='Dashboard'!$B$4),OR('Dashboard'!$E$4="All",N2314='Dashboard'!$E$4),OR('Dashboard'!$H$4="All",K2314='Dashboard'!$H$4),OR('Dashboard'!$K$4="All",C2314='Dashboard'!$K$4)),1,0)</x:f>
        <x:v>1</x:v>
      </x:c>
      <x:c r="AI2314" s="84" t="n">
        <x:f>IF(AND(AG2314=1,OR('Dashboard'!$B$4="All",I2314='Dashboard'!$B$4),OR('Dashboard'!$E$4="All",N2314='Dashboard'!$E$4),OR('Dashboard'!$H$4="All",K2314='Dashboard'!$H$4)),1,0)</x:f>
        <x:v>1</x:v>
      </x:c>
    </x:row>
    <x:row r="2315">
      <x:c r="A2315" s="84" t="str">
        <x:f>'Raw Sales'!A2315</x:f>
        <x:v>ORD-2025-01063</x:v>
      </x:c>
      <x:c r="B2315" s="85" t="n">
        <x:f>'Raw Sales'!B2315</x:f>
        <x:v>46002</x:v>
      </x:c>
      <x:c r="C2315" s="84" t="n">
        <x:f>YEAR(B2315)</x:f>
        <x:v>2025</x:v>
      </x:c>
      <x:c r="D2315" s="91" t="n">
        <x:f>DATE(YEAR(B2315),MONTH(B2315),1)</x:f>
        <x:v>45992</x:v>
      </x:c>
      <x:c r="E2315" s="84" t="str">
        <x:f>TEXT(B2315,"mmm")</x:f>
        <x:v>Dec</x:v>
      </x:c>
      <x:c r="F2315" s="84" t="str">
        <x:f>'Raw Sales'!C2315</x:f>
        <x:v>CUST-0311</x:v>
      </x:c>
      <x:c r="G2315" s="84" t="str">
        <x:f>PROPER(TRIM('Raw Sales'!D2315))</x:f>
        <x:v>Amelia Evans</x:v>
      </x:c>
      <x:c r="H2315" s="84" t="str">
        <x:f>IF(TRIM('Raw Sales'!E2315)="","Unknown",PROPER(TRIM('Raw Sales'!E2315)))</x:f>
        <x:v>Consumer</x:v>
      </x:c>
      <x:c r="I2315" s="84" t="str">
        <x:f>PROPER(TRIM('Raw Sales'!F2315))</x:f>
        <x:v>Midwest</x:v>
      </x:c>
      <x:c r="J2315" s="84" t="str">
        <x:f>PROPER(TRIM('Raw Sales'!G2315))</x:f>
        <x:v>Detroit</x:v>
      </x:c>
      <x:c r="K2315" s="84" t="str">
        <x:f>PROPER(TRIM('Raw Sales'!H2315))</x:f>
        <x:v>Online</x:v>
      </x:c>
      <x:c r="L2315" s="84" t="str">
        <x:f>'Raw Sales'!I2315</x:f>
        <x:v>OFFC-005</x:v>
      </x:c>
      <x:c r="M2315" s="84" t="str">
        <x:f>IFERROR(VLOOKUP(L2315,'Reference Data'!$A$5:$F$40,2,FALSE),"Unknown Product")</x:f>
        <x:v>Wireless Keyboard</x:v>
      </x:c>
      <x:c r="N2315" s="84" t="str">
        <x:f>IFERROR(VLOOKUP(L2315,'Reference Data'!$A$5:$F$40,3,FALSE),"Unknown")</x:f>
        <x:v>Office</x:v>
      </x:c>
      <x:c r="O2315" s="84" t="str">
        <x:f>IFERROR(VLOOKUP(L2315,'Reference Data'!$A$5:$F$40,4,FALSE),"Unknown")</x:f>
        <x:v>Computer Accessories</x:v>
      </x:c>
      <x:c r="P2315" s="92" t="n">
        <x:f>IFERROR(VLOOKUP(L2315,'Reference Data'!$A$5:$F$40,5,FALSE),0)</x:f>
        <x:v>59</x:v>
      </x:c>
      <x:c r="Q2315" s="92" t="n">
        <x:f>IFERROR(VLOOKUP(L2315,'Reference Data'!$A$5:$F$40,6,FALSE),0)</x:f>
        <x:v>28</x:v>
      </x:c>
      <x:c r="R2315" s="84" t="n">
        <x:f>'Raw Sales'!J2315</x:f>
        <x:v>1</x:v>
      </x:c>
      <x:c r="S2315" s="87" t="n">
        <x:f>'Raw Sales'!K2315</x:f>
        <x:v>0.05</x:v>
      </x:c>
      <x:c r="T2315" s="93" t="n">
        <x:f>P2315*R2315</x:f>
        <x:v>59</x:v>
      </x:c>
      <x:c r="U2315" s="93" t="n">
        <x:f>T2315*S2315</x:f>
        <x:v>2.95</x:v>
      </x:c>
      <x:c r="V2315" s="93" t="str">
        <x:f>PROPER(TRIM('Raw Sales'!L2315))</x:f>
        <x:v>Completed</x:v>
      </x:c>
      <x:c r="W2315" s="93" t="n">
        <x:f>IF(V2315="Returned",0,T2315-U2315)</x:f>
        <x:v>56.05</x:v>
      </x:c>
      <x:c r="X2315" s="93" t="n">
        <x:f>IF(V2315="Returned",Q2315*R2315*10%,Q2315*R2315)</x:f>
        <x:v>28</x:v>
      </x:c>
      <x:c r="Y2315" s="93" t="n">
        <x:f>W2315-X2315</x:f>
        <x:v>28.049999999999997</x:v>
      </x:c>
      <x:c r="Z2315" s="94" t="n">
        <x:f>IFERROR(Y2315/W2315,0)</x:f>
        <x:v>0.5004460303300624</x:v>
      </x:c>
      <x:c r="AA2315" s="84" t="str">
        <x:f>PROPER(TRIM('Raw Sales'!M2315))</x:f>
        <x:v>Paypal</x:v>
      </x:c>
      <x:c r="AB2315" s="84" t="str">
        <x:f>PROPER(TRIM('Raw Sales'!N2315))</x:f>
        <x:v>Emma Hayes</x:v>
      </x:c>
      <x:c r="AC2315" s="85" t="n">
        <x:f>'Raw Sales'!O2315</x:f>
        <x:v>46008</x:v>
      </x:c>
      <x:c r="AD2315" s="84" t="n">
        <x:f>AC2315-B2315</x:f>
        <x:v>6</x:v>
      </x:c>
      <x:c r="AE2315" s="84" t="str">
        <x:f>IF(COUNTIF($A$5:A2315,A2315)&gt;1,"Duplicate","Keep")</x:f>
        <x:v>Keep</x:v>
      </x:c>
      <x:c r="AF2315" s="84" t="str">
        <x:f>IF(OR(R2315&lt;=0,AC2315&lt;B2315,H2315="Unknown",M2315="Unknown Product"),"Review","Valid")</x:f>
        <x:v>Valid</x:v>
      </x:c>
      <x:c r="AG2315" s="84" t="n">
        <x:f>IF(AND(AE2315="Keep",AF2315="Valid"),1,0)</x:f>
        <x:v>1</x:v>
      </x:c>
      <x:c r="AH2315" s="84" t="n">
        <x:f>IF(AND(AG2315=1,OR('Dashboard'!$B$4="All",I2315='Dashboard'!$B$4),OR('Dashboard'!$E$4="All",N2315='Dashboard'!$E$4),OR('Dashboard'!$H$4="All",K2315='Dashboard'!$H$4),OR('Dashboard'!$K$4="All",C2315='Dashboard'!$K$4)),1,0)</x:f>
        <x:v>1</x:v>
      </x:c>
      <x:c r="AI2315" s="84" t="n">
        <x:f>IF(AND(AG2315=1,OR('Dashboard'!$B$4="All",I2315='Dashboard'!$B$4),OR('Dashboard'!$E$4="All",N2315='Dashboard'!$E$4),OR('Dashboard'!$H$4="All",K2315='Dashboard'!$H$4)),1,0)</x:f>
        <x:v>1</x:v>
      </x:c>
    </x:row>
    <x:row r="2316">
      <x:c r="A2316" s="84" t="str">
        <x:f>'Raw Sales'!A2316</x:f>
        <x:v>ORD-2025-01087</x:v>
      </x:c>
      <x:c r="B2316" s="85" t="n">
        <x:f>'Raw Sales'!B2316</x:f>
        <x:v>46002</x:v>
      </x:c>
      <x:c r="C2316" s="84" t="n">
        <x:f>YEAR(B2316)</x:f>
        <x:v>2025</x:v>
      </x:c>
      <x:c r="D2316" s="91" t="n">
        <x:f>DATE(YEAR(B2316),MONTH(B2316),1)</x:f>
        <x:v>45992</x:v>
      </x:c>
      <x:c r="E2316" s="84" t="str">
        <x:f>TEXT(B2316,"mmm")</x:f>
        <x:v>Dec</x:v>
      </x:c>
      <x:c r="F2316" s="84" t="str">
        <x:f>'Raw Sales'!C2316</x:f>
        <x:v>CUST-0021</x:v>
      </x:c>
      <x:c r="G2316" s="84" t="str">
        <x:f>PROPER(TRIM('Raw Sales'!D2316))</x:f>
        <x:v>Elena Adams</x:v>
      </x:c>
      <x:c r="H2316" s="84" t="str">
        <x:f>IF(TRIM('Raw Sales'!E2316)="","Unknown",PROPER(TRIM('Raw Sales'!E2316)))</x:f>
        <x:v>Consumer</x:v>
      </x:c>
      <x:c r="I2316" s="84" t="str">
        <x:f>PROPER(TRIM('Raw Sales'!F2316))</x:f>
        <x:v>West</x:v>
      </x:c>
      <x:c r="J2316" s="84" t="str">
        <x:f>PROPER(TRIM('Raw Sales'!G2316))</x:f>
        <x:v>Denver</x:v>
      </x:c>
      <x:c r="K2316" s="84" t="str">
        <x:f>PROPER(TRIM('Raw Sales'!H2316))</x:f>
        <x:v>Online</x:v>
      </x:c>
      <x:c r="L2316" s="84" t="str">
        <x:f>'Raw Sales'!I2316</x:f>
        <x:v>OFFC-003</x:v>
      </x:c>
      <x:c r="M2316" s="84" t="str">
        <x:f>IFERROR(VLOOKUP(L2316,'Reference Data'!$A$5:$F$40,2,FALSE),"Unknown Product")</x:f>
        <x:v>LED Desk Lamp</x:v>
      </x:c>
      <x:c r="N2316" s="84" t="str">
        <x:f>IFERROR(VLOOKUP(L2316,'Reference Data'!$A$5:$F$40,3,FALSE),"Unknown")</x:f>
        <x:v>Office</x:v>
      </x:c>
      <x:c r="O2316" s="84" t="str">
        <x:f>IFERROR(VLOOKUP(L2316,'Reference Data'!$A$5:$F$40,4,FALSE),"Unknown")</x:f>
        <x:v>Desk Accessories</x:v>
      </x:c>
      <x:c r="P2316" s="92" t="n">
        <x:f>IFERROR(VLOOKUP(L2316,'Reference Data'!$A$5:$F$40,5,FALSE),0)</x:f>
        <x:v>45</x:v>
      </x:c>
      <x:c r="Q2316" s="92" t="n">
        <x:f>IFERROR(VLOOKUP(L2316,'Reference Data'!$A$5:$F$40,6,FALSE),0)</x:f>
        <x:v>20</x:v>
      </x:c>
      <x:c r="R2316" s="84" t="n">
        <x:f>'Raw Sales'!J2316</x:f>
        <x:v>1</x:v>
      </x:c>
      <x:c r="S2316" s="87" t="n">
        <x:f>'Raw Sales'!K2316</x:f>
        <x:v>0.2</x:v>
      </x:c>
      <x:c r="T2316" s="93" t="n">
        <x:f>P2316*R2316</x:f>
        <x:v>45</x:v>
      </x:c>
      <x:c r="U2316" s="93" t="n">
        <x:f>T2316*S2316</x:f>
        <x:v>9</x:v>
      </x:c>
      <x:c r="V2316" s="93" t="str">
        <x:f>PROPER(TRIM('Raw Sales'!L2316))</x:f>
        <x:v>Completed</x:v>
      </x:c>
      <x:c r="W2316" s="93" t="n">
        <x:f>IF(V2316="Returned",0,T2316-U2316)</x:f>
        <x:v>36</x:v>
      </x:c>
      <x:c r="X2316" s="93" t="n">
        <x:f>IF(V2316="Returned",Q2316*R2316*10%,Q2316*R2316)</x:f>
        <x:v>20</x:v>
      </x:c>
      <x:c r="Y2316" s="93" t="n">
        <x:f>W2316-X2316</x:f>
        <x:v>16</x:v>
      </x:c>
      <x:c r="Z2316" s="94" t="n">
        <x:f>IFERROR(Y2316/W2316,0)</x:f>
        <x:v>0.4444444444444444</x:v>
      </x:c>
      <x:c r="AA2316" s="84" t="str">
        <x:f>PROPER(TRIM('Raw Sales'!M2316))</x:f>
        <x:v>Credit Card</x:v>
      </x:c>
      <x:c r="AB2316" s="84" t="str">
        <x:f>PROPER(TRIM('Raw Sales'!N2316))</x:f>
        <x:v>Leo Martinez</x:v>
      </x:c>
      <x:c r="AC2316" s="85" t="n">
        <x:f>'Raw Sales'!O2316</x:f>
        <x:v>46006</x:v>
      </x:c>
      <x:c r="AD2316" s="84" t="n">
        <x:f>AC2316-B2316</x:f>
        <x:v>4</x:v>
      </x:c>
      <x:c r="AE2316" s="84" t="str">
        <x:f>IF(COUNTIF($A$5:A2316,A2316)&gt;1,"Duplicate","Keep")</x:f>
        <x:v>Keep</x:v>
      </x:c>
      <x:c r="AF2316" s="84" t="str">
        <x:f>IF(OR(R2316&lt;=0,AC2316&lt;B2316,H2316="Unknown",M2316="Unknown Product"),"Review","Valid")</x:f>
        <x:v>Valid</x:v>
      </x:c>
      <x:c r="AG2316" s="84" t="n">
        <x:f>IF(AND(AE2316="Keep",AF2316="Valid"),1,0)</x:f>
        <x:v>1</x:v>
      </x:c>
      <x:c r="AH2316" s="84" t="n">
        <x:f>IF(AND(AG2316=1,OR('Dashboard'!$B$4="All",I2316='Dashboard'!$B$4),OR('Dashboard'!$E$4="All",N2316='Dashboard'!$E$4),OR('Dashboard'!$H$4="All",K2316='Dashboard'!$H$4),OR('Dashboard'!$K$4="All",C2316='Dashboard'!$K$4)),1,0)</x:f>
        <x:v>1</x:v>
      </x:c>
      <x:c r="AI2316" s="84" t="n">
        <x:f>IF(AND(AG2316=1,OR('Dashboard'!$B$4="All",I2316='Dashboard'!$B$4),OR('Dashboard'!$E$4="All",N2316='Dashboard'!$E$4),OR('Dashboard'!$H$4="All",K2316='Dashboard'!$H$4)),1,0)</x:f>
        <x:v>1</x:v>
      </x:c>
    </x:row>
    <x:row r="2317">
      <x:c r="A2317" s="84" t="str">
        <x:f>'Raw Sales'!A2317</x:f>
        <x:v>ORD-2025-01375</x:v>
      </x:c>
      <x:c r="B2317" s="85" t="n">
        <x:f>'Raw Sales'!B2317</x:f>
        <x:v>46002</x:v>
      </x:c>
      <x:c r="C2317" s="84" t="n">
        <x:f>YEAR(B2317)</x:f>
        <x:v>2025</x:v>
      </x:c>
      <x:c r="D2317" s="91" t="n">
        <x:f>DATE(YEAR(B2317),MONTH(B2317),1)</x:f>
        <x:v>45992</x:v>
      </x:c>
      <x:c r="E2317" s="84" t="str">
        <x:f>TEXT(B2317,"mmm")</x:f>
        <x:v>Dec</x:v>
      </x:c>
      <x:c r="F2317" s="84" t="str">
        <x:f>'Raw Sales'!C2317</x:f>
        <x:v>CUST-0070</x:v>
      </x:c>
      <x:c r="G2317" s="84" t="str">
        <x:f>PROPER(TRIM('Raw Sales'!D2317))</x:f>
        <x:v>Elena Hall</x:v>
      </x:c>
      <x:c r="H2317" s="84" t="str">
        <x:f>IF(TRIM('Raw Sales'!E2317)="","Unknown",PROPER(TRIM('Raw Sales'!E2317)))</x:f>
        <x:v>Small Business</x:v>
      </x:c>
      <x:c r="I2317" s="84" t="str">
        <x:f>PROPER(TRIM('Raw Sales'!F2317))</x:f>
        <x:v>West</x:v>
      </x:c>
      <x:c r="J2317" s="84" t="str">
        <x:f>PROPER(TRIM('Raw Sales'!G2317))</x:f>
        <x:v>Seattle</x:v>
      </x:c>
      <x:c r="K2317" s="84" t="str">
        <x:f>PROPER(TRIM('Raw Sales'!H2317))</x:f>
        <x:v>Marketplace</x:v>
      </x:c>
      <x:c r="L2317" s="84" t="str">
        <x:f>'Raw Sales'!I2317</x:f>
        <x:v>ACCS-005</x:v>
      </x:c>
      <x:c r="M2317" s="84" t="str">
        <x:f>IFERROR(VLOOKUP(L2317,'Reference Data'!$A$5:$F$40,2,FALSE),"Unknown Product")</x:f>
        <x:v>Protective Phone Case</x:v>
      </x:c>
      <x:c r="N2317" s="84" t="str">
        <x:f>IFERROR(VLOOKUP(L2317,'Reference Data'!$A$5:$F$40,3,FALSE),"Unknown")</x:f>
        <x:v>Accessories</x:v>
      </x:c>
      <x:c r="O2317" s="84" t="str">
        <x:f>IFERROR(VLOOKUP(L2317,'Reference Data'!$A$5:$F$40,4,FALSE),"Unknown")</x:f>
        <x:v>Mobile Accessories</x:v>
      </x:c>
      <x:c r="P2317" s="92" t="n">
        <x:f>IFERROR(VLOOKUP(L2317,'Reference Data'!$A$5:$F$40,5,FALSE),0)</x:f>
        <x:v>24</x:v>
      </x:c>
      <x:c r="Q2317" s="92" t="n">
        <x:f>IFERROR(VLOOKUP(L2317,'Reference Data'!$A$5:$F$40,6,FALSE),0)</x:f>
        <x:v>5</x:v>
      </x:c>
      <x:c r="R2317" s="84" t="n">
        <x:f>'Raw Sales'!J2317</x:f>
        <x:v>3</x:v>
      </x:c>
      <x:c r="S2317" s="87" t="n">
        <x:f>'Raw Sales'!K2317</x:f>
        <x:v>0.1</x:v>
      </x:c>
      <x:c r="T2317" s="93" t="n">
        <x:f>P2317*R2317</x:f>
        <x:v>72</x:v>
      </x:c>
      <x:c r="U2317" s="93" t="n">
        <x:f>T2317*S2317</x:f>
        <x:v>7.2</x:v>
      </x:c>
      <x:c r="V2317" s="93" t="str">
        <x:f>PROPER(TRIM('Raw Sales'!L2317))</x:f>
        <x:v>Completed</x:v>
      </x:c>
      <x:c r="W2317" s="93" t="n">
        <x:f>IF(V2317="Returned",0,T2317-U2317)</x:f>
        <x:v>64.8</x:v>
      </x:c>
      <x:c r="X2317" s="93" t="n">
        <x:f>IF(V2317="Returned",Q2317*R2317*10%,Q2317*R2317)</x:f>
        <x:v>15</x:v>
      </x:c>
      <x:c r="Y2317" s="93" t="n">
        <x:f>W2317-X2317</x:f>
        <x:v>49.8</x:v>
      </x:c>
      <x:c r="Z2317" s="94" t="n">
        <x:f>IFERROR(Y2317/W2317,0)</x:f>
        <x:v>0.7685185185185185</x:v>
      </x:c>
      <x:c r="AA2317" s="84" t="str">
        <x:f>PROPER(TRIM('Raw Sales'!M2317))</x:f>
        <x:v>Paypal</x:v>
      </x:c>
      <x:c r="AB2317" s="84" t="str">
        <x:f>PROPER(TRIM('Raw Sales'!N2317))</x:f>
        <x:v>Leo Martinez</x:v>
      </x:c>
      <x:c r="AC2317" s="85" t="n">
        <x:f>'Raw Sales'!O2317</x:f>
        <x:v>46005</x:v>
      </x:c>
      <x:c r="AD2317" s="84" t="n">
        <x:f>AC2317-B2317</x:f>
        <x:v>3</x:v>
      </x:c>
      <x:c r="AE2317" s="84" t="str">
        <x:f>IF(COUNTIF($A$5:A2317,A2317)&gt;1,"Duplicate","Keep")</x:f>
        <x:v>Keep</x:v>
      </x:c>
      <x:c r="AF2317" s="84" t="str">
        <x:f>IF(OR(R2317&lt;=0,AC2317&lt;B2317,H2317="Unknown",M2317="Unknown Product"),"Review","Valid")</x:f>
        <x:v>Valid</x:v>
      </x:c>
      <x:c r="AG2317" s="84" t="n">
        <x:f>IF(AND(AE2317="Keep",AF2317="Valid"),1,0)</x:f>
        <x:v>1</x:v>
      </x:c>
      <x:c r="AH2317" s="84" t="n">
        <x:f>IF(AND(AG2317=1,OR('Dashboard'!$B$4="All",I2317='Dashboard'!$B$4),OR('Dashboard'!$E$4="All",N2317='Dashboard'!$E$4),OR('Dashboard'!$H$4="All",K2317='Dashboard'!$H$4),OR('Dashboard'!$K$4="All",C2317='Dashboard'!$K$4)),1,0)</x:f>
        <x:v>1</x:v>
      </x:c>
      <x:c r="AI2317" s="84" t="n">
        <x:f>IF(AND(AG2317=1,OR('Dashboard'!$B$4="All",I2317='Dashboard'!$B$4),OR('Dashboard'!$E$4="All",N2317='Dashboard'!$E$4),OR('Dashboard'!$H$4="All",K2317='Dashboard'!$H$4)),1,0)</x:f>
        <x:v>1</x:v>
      </x:c>
    </x:row>
    <x:row r="2318">
      <x:c r="A2318" s="84" t="str">
        <x:f>'Raw Sales'!A2318</x:f>
        <x:v>ORD-2025-01851</x:v>
      </x:c>
      <x:c r="B2318" s="85" t="n">
        <x:f>'Raw Sales'!B2318</x:f>
        <x:v>46002</x:v>
      </x:c>
      <x:c r="C2318" s="84" t="n">
        <x:f>YEAR(B2318)</x:f>
        <x:v>2025</x:v>
      </x:c>
      <x:c r="D2318" s="91" t="n">
        <x:f>DATE(YEAR(B2318),MONTH(B2318),1)</x:f>
        <x:v>45992</x:v>
      </x:c>
      <x:c r="E2318" s="84" t="str">
        <x:f>TEXT(B2318,"mmm")</x:f>
        <x:v>Dec</x:v>
      </x:c>
      <x:c r="F2318" s="84" t="str">
        <x:f>'Raw Sales'!C2318</x:f>
        <x:v>CUST-0566</x:v>
      </x:c>
      <x:c r="G2318" s="84" t="str">
        <x:f>PROPER(TRIM('Raw Sales'!D2318))</x:f>
        <x:v>Jonah Quinn</x:v>
      </x:c>
      <x:c r="H2318" s="84" t="str">
        <x:f>IF(TRIM('Raw Sales'!E2318)="","Unknown",PROPER(TRIM('Raw Sales'!E2318)))</x:f>
        <x:v>Small Business</x:v>
      </x:c>
      <x:c r="I2318" s="84" t="str">
        <x:f>PROPER(TRIM('Raw Sales'!F2318))</x:f>
        <x:v>Northeast</x:v>
      </x:c>
      <x:c r="J2318" s="84" t="str">
        <x:f>PROPER(TRIM('Raw Sales'!G2318))</x:f>
        <x:v>New York</x:v>
      </x:c>
      <x:c r="K2318" s="84" t="str">
        <x:f>PROPER(TRIM('Raw Sales'!H2318))</x:f>
        <x:v>Online</x:v>
      </x:c>
      <x:c r="L2318" s="84" t="str">
        <x:f>'Raw Sales'!I2318</x:f>
        <x:v>ACCS-004</x:v>
      </x:c>
      <x:c r="M2318" s="84" t="str">
        <x:f>IFERROR(VLOOKUP(L2318,'Reference Data'!$A$5:$F$40,2,FALSE),"Unknown Product")</x:f>
        <x:v>Leather Wallet</x:v>
      </x:c>
      <x:c r="N2318" s="84" t="str">
        <x:f>IFERROR(VLOOKUP(L2318,'Reference Data'!$A$5:$F$40,3,FALSE),"Unknown")</x:f>
        <x:v>Accessories</x:v>
      </x:c>
      <x:c r="O2318" s="84" t="str">
        <x:f>IFERROR(VLOOKUP(L2318,'Reference Data'!$A$5:$F$40,4,FALSE),"Unknown")</x:f>
        <x:v>Wallets</x:v>
      </x:c>
      <x:c r="P2318" s="92" t="n">
        <x:f>IFERROR(VLOOKUP(L2318,'Reference Data'!$A$5:$F$40,5,FALSE),0)</x:f>
        <x:v>49</x:v>
      </x:c>
      <x:c r="Q2318" s="92" t="n">
        <x:f>IFERROR(VLOOKUP(L2318,'Reference Data'!$A$5:$F$40,6,FALSE),0)</x:f>
        <x:v>18</x:v>
      </x:c>
      <x:c r="R2318" s="84" t="n">
        <x:f>'Raw Sales'!J2318</x:f>
        <x:v>4</x:v>
      </x:c>
      <x:c r="S2318" s="87" t="n">
        <x:f>'Raw Sales'!K2318</x:f>
        <x:v>0.1</x:v>
      </x:c>
      <x:c r="T2318" s="93" t="n">
        <x:f>P2318*R2318</x:f>
        <x:v>196</x:v>
      </x:c>
      <x:c r="U2318" s="93" t="n">
        <x:f>T2318*S2318</x:f>
        <x:v>19.6</x:v>
      </x:c>
      <x:c r="V2318" s="93" t="str">
        <x:f>PROPER(TRIM('Raw Sales'!L2318))</x:f>
        <x:v>Completed</x:v>
      </x:c>
      <x:c r="W2318" s="93" t="n">
        <x:f>IF(V2318="Returned",0,T2318-U2318)</x:f>
        <x:v>176.4</x:v>
      </x:c>
      <x:c r="X2318" s="93" t="n">
        <x:f>IF(V2318="Returned",Q2318*R2318*10%,Q2318*R2318)</x:f>
        <x:v>72</x:v>
      </x:c>
      <x:c r="Y2318" s="93" t="n">
        <x:f>W2318-X2318</x:f>
        <x:v>104.4</x:v>
      </x:c>
      <x:c r="Z2318" s="94" t="n">
        <x:f>IFERROR(Y2318/W2318,0)</x:f>
        <x:v>0.5918367346938775</x:v>
      </x:c>
      <x:c r="AA2318" s="84" t="str">
        <x:f>PROPER(TRIM('Raw Sales'!M2318))</x:f>
        <x:v>Paypal</x:v>
      </x:c>
      <x:c r="AB2318" s="84" t="str">
        <x:f>PROPER(TRIM('Raw Sales'!N2318))</x:f>
        <x:v>Maya Brooks</x:v>
      </x:c>
      <x:c r="AC2318" s="85" t="n">
        <x:f>'Raw Sales'!O2318</x:f>
        <x:v>46006</x:v>
      </x:c>
      <x:c r="AD2318" s="84" t="n">
        <x:f>AC2318-B2318</x:f>
        <x:v>4</x:v>
      </x:c>
      <x:c r="AE2318" s="84" t="str">
        <x:f>IF(COUNTIF($A$5:A2318,A2318)&gt;1,"Duplicate","Keep")</x:f>
        <x:v>Keep</x:v>
      </x:c>
      <x:c r="AF2318" s="84" t="str">
        <x:f>IF(OR(R2318&lt;=0,AC2318&lt;B2318,H2318="Unknown",M2318="Unknown Product"),"Review","Valid")</x:f>
        <x:v>Valid</x:v>
      </x:c>
      <x:c r="AG2318" s="84" t="n">
        <x:f>IF(AND(AE2318="Keep",AF2318="Valid"),1,0)</x:f>
        <x:v>1</x:v>
      </x:c>
      <x:c r="AH2318" s="84" t="n">
        <x:f>IF(AND(AG2318=1,OR('Dashboard'!$B$4="All",I2318='Dashboard'!$B$4),OR('Dashboard'!$E$4="All",N2318='Dashboard'!$E$4),OR('Dashboard'!$H$4="All",K2318='Dashboard'!$H$4),OR('Dashboard'!$K$4="All",C2318='Dashboard'!$K$4)),1,0)</x:f>
        <x:v>1</x:v>
      </x:c>
      <x:c r="AI2318" s="84" t="n">
        <x:f>IF(AND(AG2318=1,OR('Dashboard'!$B$4="All",I2318='Dashboard'!$B$4),OR('Dashboard'!$E$4="All",N2318='Dashboard'!$E$4),OR('Dashboard'!$H$4="All",K2318='Dashboard'!$H$4)),1,0)</x:f>
        <x:v>1</x:v>
      </x:c>
    </x:row>
    <x:row r="2319">
      <x:c r="A2319" s="84" t="str">
        <x:f>'Raw Sales'!A2319</x:f>
        <x:v>ORD-2025-01868</x:v>
      </x:c>
      <x:c r="B2319" s="85" t="n">
        <x:f>'Raw Sales'!B2319</x:f>
        <x:v>46002</x:v>
      </x:c>
      <x:c r="C2319" s="84" t="n">
        <x:f>YEAR(B2319)</x:f>
        <x:v>2025</x:v>
      </x:c>
      <x:c r="D2319" s="91" t="n">
        <x:f>DATE(YEAR(B2319),MONTH(B2319),1)</x:f>
        <x:v>45992</x:v>
      </x:c>
      <x:c r="E2319" s="84" t="str">
        <x:f>TEXT(B2319,"mmm")</x:f>
        <x:v>Dec</x:v>
      </x:c>
      <x:c r="F2319" s="84" t="str">
        <x:f>'Raw Sales'!C2319</x:f>
        <x:v>CUST-0297</x:v>
      </x:c>
      <x:c r="G2319" s="84" t="str">
        <x:f>PROPER(TRIM('Raw Sales'!D2319))</x:f>
        <x:v>Nathan Davis</x:v>
      </x:c>
      <x:c r="H2319" s="84" t="str">
        <x:f>IF(TRIM('Raw Sales'!E2319)="","Unknown",PROPER(TRIM('Raw Sales'!E2319)))</x:f>
        <x:v>Consumer</x:v>
      </x:c>
      <x:c r="I2319" s="84" t="str">
        <x:f>PROPER(TRIM('Raw Sales'!F2319))</x:f>
        <x:v>Midwest</x:v>
      </x:c>
      <x:c r="J2319" s="84" t="str">
        <x:f>PROPER(TRIM('Raw Sales'!G2319))</x:f>
        <x:v>Minneapolis</x:v>
      </x:c>
      <x:c r="K2319" s="84" t="str">
        <x:f>PROPER(TRIM('Raw Sales'!H2319))</x:f>
        <x:v>Online</x:v>
      </x:c>
      <x:c r="L2319" s="84" t="str">
        <x:f>'Raw Sales'!I2319</x:f>
        <x:v>ACCS-005</x:v>
      </x:c>
      <x:c r="M2319" s="84" t="str">
        <x:f>IFERROR(VLOOKUP(L2319,'Reference Data'!$A$5:$F$40,2,FALSE),"Unknown Product")</x:f>
        <x:v>Protective Phone Case</x:v>
      </x:c>
      <x:c r="N2319" s="84" t="str">
        <x:f>IFERROR(VLOOKUP(L2319,'Reference Data'!$A$5:$F$40,3,FALSE),"Unknown")</x:f>
        <x:v>Accessories</x:v>
      </x:c>
      <x:c r="O2319" s="84" t="str">
        <x:f>IFERROR(VLOOKUP(L2319,'Reference Data'!$A$5:$F$40,4,FALSE),"Unknown")</x:f>
        <x:v>Mobile Accessories</x:v>
      </x:c>
      <x:c r="P2319" s="92" t="n">
        <x:f>IFERROR(VLOOKUP(L2319,'Reference Data'!$A$5:$F$40,5,FALSE),0)</x:f>
        <x:v>24</x:v>
      </x:c>
      <x:c r="Q2319" s="92" t="n">
        <x:f>IFERROR(VLOOKUP(L2319,'Reference Data'!$A$5:$F$40,6,FALSE),0)</x:f>
        <x:v>5</x:v>
      </x:c>
      <x:c r="R2319" s="84" t="n">
        <x:f>'Raw Sales'!J2319</x:f>
        <x:v>1</x:v>
      </x:c>
      <x:c r="S2319" s="87" t="n">
        <x:f>'Raw Sales'!K2319</x:f>
        <x:v>0.1</x:v>
      </x:c>
      <x:c r="T2319" s="93" t="n">
        <x:f>P2319*R2319</x:f>
        <x:v>24</x:v>
      </x:c>
      <x:c r="U2319" s="93" t="n">
        <x:f>T2319*S2319</x:f>
        <x:v>2.4000000000000004</x:v>
      </x:c>
      <x:c r="V2319" s="93" t="str">
        <x:f>PROPER(TRIM('Raw Sales'!L2319))</x:f>
        <x:v>Completed</x:v>
      </x:c>
      <x:c r="W2319" s="93" t="n">
        <x:f>IF(V2319="Returned",0,T2319-U2319)</x:f>
        <x:v>21.6</x:v>
      </x:c>
      <x:c r="X2319" s="93" t="n">
        <x:f>IF(V2319="Returned",Q2319*R2319*10%,Q2319*R2319)</x:f>
        <x:v>5</x:v>
      </x:c>
      <x:c r="Y2319" s="93" t="n">
        <x:f>W2319-X2319</x:f>
        <x:v>16.6</x:v>
      </x:c>
      <x:c r="Z2319" s="94" t="n">
        <x:f>IFERROR(Y2319/W2319,0)</x:f>
        <x:v>0.7685185185185185</x:v>
      </x:c>
      <x:c r="AA2319" s="84" t="str">
        <x:f>PROPER(TRIM('Raw Sales'!M2319))</x:f>
        <x:v>Credit Card</x:v>
      </x:c>
      <x:c r="AB2319" s="84" t="str">
        <x:f>PROPER(TRIM('Raw Sales'!N2319))</x:f>
        <x:v>Emma Hayes</x:v>
      </x:c>
      <x:c r="AC2319" s="85" t="n">
        <x:f>'Raw Sales'!O2319</x:f>
        <x:v>46006</x:v>
      </x:c>
      <x:c r="AD2319" s="84" t="n">
        <x:f>AC2319-B2319</x:f>
        <x:v>4</x:v>
      </x:c>
      <x:c r="AE2319" s="84" t="str">
        <x:f>IF(COUNTIF($A$5:A2319,A2319)&gt;1,"Duplicate","Keep")</x:f>
        <x:v>Keep</x:v>
      </x:c>
      <x:c r="AF2319" s="84" t="str">
        <x:f>IF(OR(R2319&lt;=0,AC2319&lt;B2319,H2319="Unknown",M2319="Unknown Product"),"Review","Valid")</x:f>
        <x:v>Valid</x:v>
      </x:c>
      <x:c r="AG2319" s="84" t="n">
        <x:f>IF(AND(AE2319="Keep",AF2319="Valid"),1,0)</x:f>
        <x:v>1</x:v>
      </x:c>
      <x:c r="AH2319" s="84" t="n">
        <x:f>IF(AND(AG2319=1,OR('Dashboard'!$B$4="All",I2319='Dashboard'!$B$4),OR('Dashboard'!$E$4="All",N2319='Dashboard'!$E$4),OR('Dashboard'!$H$4="All",K2319='Dashboard'!$H$4),OR('Dashboard'!$K$4="All",C2319='Dashboard'!$K$4)),1,0)</x:f>
        <x:v>1</x:v>
      </x:c>
      <x:c r="AI2319" s="84" t="n">
        <x:f>IF(AND(AG2319=1,OR('Dashboard'!$B$4="All",I2319='Dashboard'!$B$4),OR('Dashboard'!$E$4="All",N2319='Dashboard'!$E$4),OR('Dashboard'!$H$4="All",K2319='Dashboard'!$H$4)),1,0)</x:f>
        <x:v>1</x:v>
      </x:c>
    </x:row>
    <x:row r="2320">
      <x:c r="A2320" s="84" t="str">
        <x:f>'Raw Sales'!A2320</x:f>
        <x:v>ORD-2025-02161</x:v>
      </x:c>
      <x:c r="B2320" s="85" t="n">
        <x:f>'Raw Sales'!B2320</x:f>
        <x:v>46002</x:v>
      </x:c>
      <x:c r="C2320" s="84" t="n">
        <x:f>YEAR(B2320)</x:f>
        <x:v>2025</x:v>
      </x:c>
      <x:c r="D2320" s="91" t="n">
        <x:f>DATE(YEAR(B2320),MONTH(B2320),1)</x:f>
        <x:v>45992</x:v>
      </x:c>
      <x:c r="E2320" s="84" t="str">
        <x:f>TEXT(B2320,"mmm")</x:f>
        <x:v>Dec</x:v>
      </x:c>
      <x:c r="F2320" s="84" t="str">
        <x:f>'Raw Sales'!C2320</x:f>
        <x:v>CUST-0154</x:v>
      </x:c>
      <x:c r="G2320" s="84" t="str">
        <x:f>PROPER(TRIM('Raw Sales'!D2320))</x:f>
        <x:v>Priya Moore</x:v>
      </x:c>
      <x:c r="H2320" s="84" t="str">
        <x:f>IF(TRIM('Raw Sales'!E2320)="","Unknown",PROPER(TRIM('Raw Sales'!E2320)))</x:f>
        <x:v>Consumer</x:v>
      </x:c>
      <x:c r="I2320" s="84" t="str">
        <x:f>PROPER(TRIM('Raw Sales'!F2320))</x:f>
        <x:v>West</x:v>
      </x:c>
      <x:c r="J2320" s="84" t="str">
        <x:f>PROPER(TRIM('Raw Sales'!G2320))</x:f>
        <x:v>Denver</x:v>
      </x:c>
      <x:c r="K2320" s="84" t="str">
        <x:f>PROPER(TRIM('Raw Sales'!H2320))</x:f>
        <x:v>Marketplace</x:v>
      </x:c>
      <x:c r="L2320" s="84" t="str">
        <x:f>'Raw Sales'!I2320</x:f>
        <x:v>ELEC-004</x:v>
      </x:c>
      <x:c r="M2320" s="84" t="str">
        <x:f>IFERROR(VLOOKUP(L2320,'Reference Data'!$A$5:$F$40,2,FALSE),"Unknown Product")</x:f>
        <x:v>Power Bank</x:v>
      </x:c>
      <x:c r="N2320" s="84" t="str">
        <x:f>IFERROR(VLOOKUP(L2320,'Reference Data'!$A$5:$F$40,3,FALSE),"Unknown")</x:f>
        <x:v>Electronics</x:v>
      </x:c>
      <x:c r="O2320" s="84" t="str">
        <x:f>IFERROR(VLOOKUP(L2320,'Reference Data'!$A$5:$F$40,4,FALSE),"Unknown")</x:f>
        <x:v>Mobile Accessories</x:v>
      </x:c>
      <x:c r="P2320" s="92" t="n">
        <x:f>IFERROR(VLOOKUP(L2320,'Reference Data'!$A$5:$F$40,5,FALSE),0)</x:f>
        <x:v>39</x:v>
      </x:c>
      <x:c r="Q2320" s="92" t="n">
        <x:f>IFERROR(VLOOKUP(L2320,'Reference Data'!$A$5:$F$40,6,FALSE),0)</x:f>
        <x:v>18</x:v>
      </x:c>
      <x:c r="R2320" s="84" t="n">
        <x:f>'Raw Sales'!J2320</x:f>
        <x:v>1</x:v>
      </x:c>
      <x:c r="S2320" s="87" t="n">
        <x:f>'Raw Sales'!K2320</x:f>
        <x:v>0.15</x:v>
      </x:c>
      <x:c r="T2320" s="93" t="n">
        <x:f>P2320*R2320</x:f>
        <x:v>39</x:v>
      </x:c>
      <x:c r="U2320" s="93" t="n">
        <x:f>T2320*S2320</x:f>
        <x:v>5.85</x:v>
      </x:c>
      <x:c r="V2320" s="93" t="str">
        <x:f>PROPER(TRIM('Raw Sales'!L2320))</x:f>
        <x:v>Completed</x:v>
      </x:c>
      <x:c r="W2320" s="93" t="n">
        <x:f>IF(V2320="Returned",0,T2320-U2320)</x:f>
        <x:v>33.15</x:v>
      </x:c>
      <x:c r="X2320" s="93" t="n">
        <x:f>IF(V2320="Returned",Q2320*R2320*10%,Q2320*R2320)</x:f>
        <x:v>18</x:v>
      </x:c>
      <x:c r="Y2320" s="93" t="n">
        <x:f>W2320-X2320</x:f>
        <x:v>15.149999999999999</x:v>
      </x:c>
      <x:c r="Z2320" s="94" t="n">
        <x:f>IFERROR(Y2320/W2320,0)</x:f>
        <x:v>0.45701357466063347</x:v>
      </x:c>
      <x:c r="AA2320" s="84" t="str">
        <x:f>PROPER(TRIM('Raw Sales'!M2320))</x:f>
        <x:v>Mobile Wallet</x:v>
      </x:c>
      <x:c r="AB2320" s="84" t="str">
        <x:f>PROPER(TRIM('Raw Sales'!N2320))</x:f>
        <x:v>Leo Martinez</x:v>
      </x:c>
      <x:c r="AC2320" s="85" t="n">
        <x:f>'Raw Sales'!O2320</x:f>
        <x:v>46008</x:v>
      </x:c>
      <x:c r="AD2320" s="84" t="n">
        <x:f>AC2320-B2320</x:f>
        <x:v>6</x:v>
      </x:c>
      <x:c r="AE2320" s="84" t="str">
        <x:f>IF(COUNTIF($A$5:A2320,A2320)&gt;1,"Duplicate","Keep")</x:f>
        <x:v>Keep</x:v>
      </x:c>
      <x:c r="AF2320" s="84" t="str">
        <x:f>IF(OR(R2320&lt;=0,AC2320&lt;B2320,H2320="Unknown",M2320="Unknown Product"),"Review","Valid")</x:f>
        <x:v>Valid</x:v>
      </x:c>
      <x:c r="AG2320" s="84" t="n">
        <x:f>IF(AND(AE2320="Keep",AF2320="Valid"),1,0)</x:f>
        <x:v>1</x:v>
      </x:c>
      <x:c r="AH2320" s="84" t="n">
        <x:f>IF(AND(AG2320=1,OR('Dashboard'!$B$4="All",I2320='Dashboard'!$B$4),OR('Dashboard'!$E$4="All",N2320='Dashboard'!$E$4),OR('Dashboard'!$H$4="All",K2320='Dashboard'!$H$4),OR('Dashboard'!$K$4="All",C2320='Dashboard'!$K$4)),1,0)</x:f>
        <x:v>1</x:v>
      </x:c>
      <x:c r="AI2320" s="84" t="n">
        <x:f>IF(AND(AG2320=1,OR('Dashboard'!$B$4="All",I2320='Dashboard'!$B$4),OR('Dashboard'!$E$4="All",N2320='Dashboard'!$E$4),OR('Dashboard'!$H$4="All",K2320='Dashboard'!$H$4)),1,0)</x:f>
        <x:v>1</x:v>
      </x:c>
    </x:row>
    <x:row r="2321">
      <x:c r="A2321" s="84" t="str">
        <x:f>'Raw Sales'!A2321</x:f>
        <x:v>ORD-2025-02264</x:v>
      </x:c>
      <x:c r="B2321" s="85" t="n">
        <x:f>'Raw Sales'!B2321</x:f>
        <x:v>46002</x:v>
      </x:c>
      <x:c r="C2321" s="84" t="n">
        <x:f>YEAR(B2321)</x:f>
        <x:v>2025</x:v>
      </x:c>
      <x:c r="D2321" s="91" t="n">
        <x:f>DATE(YEAR(B2321),MONTH(B2321),1)</x:f>
        <x:v>45992</x:v>
      </x:c>
      <x:c r="E2321" s="84" t="str">
        <x:f>TEXT(B2321,"mmm")</x:f>
        <x:v>Dec</x:v>
      </x:c>
      <x:c r="F2321" s="84" t="str">
        <x:f>'Raw Sales'!C2321</x:f>
        <x:v>CUST-0366</x:v>
      </x:c>
      <x:c r="G2321" s="84" t="str">
        <x:f>PROPER(TRIM('Raw Sales'!D2321))</x:f>
        <x:v>Priya Foster</x:v>
      </x:c>
      <x:c r="H2321" s="84" t="str">
        <x:f>IF(TRIM('Raw Sales'!E2321)="","Unknown",PROPER(TRIM('Raw Sales'!E2321)))</x:f>
        <x:v>Corporate</x:v>
      </x:c>
      <x:c r="I2321" s="84" t="str">
        <x:f>PROPER(TRIM('Raw Sales'!F2321))</x:f>
        <x:v>Southeast</x:v>
      </x:c>
      <x:c r="J2321" s="84" t="str">
        <x:f>PROPER(TRIM('Raw Sales'!G2321))</x:f>
        <x:v>Charlotte</x:v>
      </x:c>
      <x:c r="K2321" s="84" t="str">
        <x:f>PROPER(TRIM('Raw Sales'!H2321))</x:f>
        <x:v>Retail Store</x:v>
      </x:c>
      <x:c r="L2321" s="84" t="str">
        <x:f>'Raw Sales'!I2321</x:f>
        <x:v>ACCS-006</x:v>
      </x:c>
      <x:c r="M2321" s="84" t="str">
        <x:f>IFERROR(VLOOKUP(L2321,'Reference Data'!$A$5:$F$40,2,FALSE),"Unknown Product")</x:f>
        <x:v>Insulated Lunch Bag</x:v>
      </x:c>
      <x:c r="N2321" s="84" t="str">
        <x:f>IFERROR(VLOOKUP(L2321,'Reference Data'!$A$5:$F$40,3,FALSE),"Unknown")</x:f>
        <x:v>Accessories</x:v>
      </x:c>
      <x:c r="O2321" s="84" t="str">
        <x:f>IFERROR(VLOOKUP(L2321,'Reference Data'!$A$5:$F$40,4,FALSE),"Unknown")</x:f>
        <x:v>Bags</x:v>
      </x:c>
      <x:c r="P2321" s="92" t="n">
        <x:f>IFERROR(VLOOKUP(L2321,'Reference Data'!$A$5:$F$40,5,FALSE),0)</x:f>
        <x:v>29</x:v>
      </x:c>
      <x:c r="Q2321" s="92" t="n">
        <x:f>IFERROR(VLOOKUP(L2321,'Reference Data'!$A$5:$F$40,6,FALSE),0)</x:f>
        <x:v>10</x:v>
      </x:c>
      <x:c r="R2321" s="84" t="n">
        <x:f>'Raw Sales'!J2321</x:f>
        <x:v>3</x:v>
      </x:c>
      <x:c r="S2321" s="87" t="n">
        <x:f>'Raw Sales'!K2321</x:f>
        <x:v>0.15</x:v>
      </x:c>
      <x:c r="T2321" s="93" t="n">
        <x:f>P2321*R2321</x:f>
        <x:v>87</x:v>
      </x:c>
      <x:c r="U2321" s="93" t="n">
        <x:f>T2321*S2321</x:f>
        <x:v>13.049999999999999</x:v>
      </x:c>
      <x:c r="V2321" s="93" t="str">
        <x:f>PROPER(TRIM('Raw Sales'!L2321))</x:f>
        <x:v>Completed</x:v>
      </x:c>
      <x:c r="W2321" s="93" t="n">
        <x:f>IF(V2321="Returned",0,T2321-U2321)</x:f>
        <x:v>73.95</x:v>
      </x:c>
      <x:c r="X2321" s="93" t="n">
        <x:f>IF(V2321="Returned",Q2321*R2321*10%,Q2321*R2321)</x:f>
        <x:v>30</x:v>
      </x:c>
      <x:c r="Y2321" s="93" t="n">
        <x:f>W2321-X2321</x:f>
        <x:v>43.95</x:v>
      </x:c>
      <x:c r="Z2321" s="94" t="n">
        <x:f>IFERROR(Y2321/W2321,0)</x:f>
        <x:v>0.5943204868154158</x:v>
      </x:c>
      <x:c r="AA2321" s="84" t="str">
        <x:f>PROPER(TRIM('Raw Sales'!M2321))</x:f>
        <x:v>Credit Card</x:v>
      </x:c>
      <x:c r="AB2321" s="84" t="str">
        <x:f>PROPER(TRIM('Raw Sales'!N2321))</x:f>
        <x:v>Noah Reed</x:v>
      </x:c>
      <x:c r="AC2321" s="85" t="n">
        <x:f>'Raw Sales'!O2321</x:f>
        <x:v>46002</x:v>
      </x:c>
      <x:c r="AD2321" s="84" t="n">
        <x:f>AC2321-B2321</x:f>
        <x:v>0</x:v>
      </x:c>
      <x:c r="AE2321" s="84" t="str">
        <x:f>IF(COUNTIF($A$5:A2321,A2321)&gt;1,"Duplicate","Keep")</x:f>
        <x:v>Keep</x:v>
      </x:c>
      <x:c r="AF2321" s="84" t="str">
        <x:f>IF(OR(R2321&lt;=0,AC2321&lt;B2321,H2321="Unknown",M2321="Unknown Product"),"Review","Valid")</x:f>
        <x:v>Valid</x:v>
      </x:c>
      <x:c r="AG2321" s="84" t="n">
        <x:f>IF(AND(AE2321="Keep",AF2321="Valid"),1,0)</x:f>
        <x:v>1</x:v>
      </x:c>
      <x:c r="AH2321" s="84" t="n">
        <x:f>IF(AND(AG2321=1,OR('Dashboard'!$B$4="All",I2321='Dashboard'!$B$4),OR('Dashboard'!$E$4="All",N2321='Dashboard'!$E$4),OR('Dashboard'!$H$4="All",K2321='Dashboard'!$H$4),OR('Dashboard'!$K$4="All",C2321='Dashboard'!$K$4)),1,0)</x:f>
        <x:v>1</x:v>
      </x:c>
      <x:c r="AI2321" s="84" t="n">
        <x:f>IF(AND(AG2321=1,OR('Dashboard'!$B$4="All",I2321='Dashboard'!$B$4),OR('Dashboard'!$E$4="All",N2321='Dashboard'!$E$4),OR('Dashboard'!$H$4="All",K2321='Dashboard'!$H$4)),1,0)</x:f>
        <x:v>1</x:v>
      </x:c>
    </x:row>
    <x:row r="2322">
      <x:c r="A2322" s="84" t="str">
        <x:f>'Raw Sales'!A2322</x:f>
        <x:v>ORD-2025-00328</x:v>
      </x:c>
      <x:c r="B2322" s="85" t="n">
        <x:f>'Raw Sales'!B2322</x:f>
        <x:v>46003</x:v>
      </x:c>
      <x:c r="C2322" s="84" t="n">
        <x:f>YEAR(B2322)</x:f>
        <x:v>2025</x:v>
      </x:c>
      <x:c r="D2322" s="91" t="n">
        <x:f>DATE(YEAR(B2322),MONTH(B2322),1)</x:f>
        <x:v>45992</x:v>
      </x:c>
      <x:c r="E2322" s="84" t="str">
        <x:f>TEXT(B2322,"mmm")</x:f>
        <x:v>Dec</x:v>
      </x:c>
      <x:c r="F2322" s="84" t="str">
        <x:f>'Raw Sales'!C2322</x:f>
        <x:v>CUST-0084</x:v>
      </x:c>
      <x:c r="G2322" s="84" t="str">
        <x:f>PROPER(TRIM('Raw Sales'!D2322))</x:f>
        <x:v>Marcus Davis</x:v>
      </x:c>
      <x:c r="H2322" s="84" t="str">
        <x:f>IF(TRIM('Raw Sales'!E2322)="","Unknown",PROPER(TRIM('Raw Sales'!E2322)))</x:f>
        <x:v>Corporate</x:v>
      </x:c>
      <x:c r="I2322" s="84" t="str">
        <x:f>PROPER(TRIM('Raw Sales'!F2322))</x:f>
        <x:v>Southeast</x:v>
      </x:c>
      <x:c r="J2322" s="84" t="str">
        <x:f>PROPER(TRIM('Raw Sales'!G2322))</x:f>
        <x:v>Miami</x:v>
      </x:c>
      <x:c r="K2322" s="84" t="str">
        <x:f>PROPER(TRIM('Raw Sales'!H2322))</x:f>
        <x:v>Marketplace</x:v>
      </x:c>
      <x:c r="L2322" s="84" t="str">
        <x:f>'Raw Sales'!I2322</x:f>
        <x:v>ELEC-006</x:v>
      </x:c>
      <x:c r="M2322" s="84" t="str">
        <x:f>IFERROR(VLOOKUP(L2322,'Reference Data'!$A$5:$F$40,2,FALSE),"Unknown Product")</x:f>
        <x:v>Portable SSD</x:v>
      </x:c>
      <x:c r="N2322" s="84" t="str">
        <x:f>IFERROR(VLOOKUP(L2322,'Reference Data'!$A$5:$F$40,3,FALSE),"Unknown")</x:f>
        <x:v>Electronics</x:v>
      </x:c>
      <x:c r="O2322" s="84" t="str">
        <x:f>IFERROR(VLOOKUP(L2322,'Reference Data'!$A$5:$F$40,4,FALSE),"Unknown")</x:f>
        <x:v>Storage</x:v>
      </x:c>
      <x:c r="P2322" s="92" t="n">
        <x:f>IFERROR(VLOOKUP(L2322,'Reference Data'!$A$5:$F$40,5,FALSE),0)</x:f>
        <x:v>129</x:v>
      </x:c>
      <x:c r="Q2322" s="92" t="n">
        <x:f>IFERROR(VLOOKUP(L2322,'Reference Data'!$A$5:$F$40,6,FALSE),0)</x:f>
        <x:v>75</x:v>
      </x:c>
      <x:c r="R2322" s="84" t="n">
        <x:f>'Raw Sales'!J2322</x:f>
        <x:v>4</x:v>
      </x:c>
      <x:c r="S2322" s="87" t="n">
        <x:f>'Raw Sales'!K2322</x:f>
        <x:v>0.15</x:v>
      </x:c>
      <x:c r="T2322" s="93" t="n">
        <x:f>P2322*R2322</x:f>
        <x:v>516</x:v>
      </x:c>
      <x:c r="U2322" s="93" t="n">
        <x:f>T2322*S2322</x:f>
        <x:v>77.39999999999999</x:v>
      </x:c>
      <x:c r="V2322" s="93" t="str">
        <x:f>PROPER(TRIM('Raw Sales'!L2322))</x:f>
        <x:v>Completed</x:v>
      </x:c>
      <x:c r="W2322" s="93" t="n">
        <x:f>IF(V2322="Returned",0,T2322-U2322)</x:f>
        <x:v>438.6</x:v>
      </x:c>
      <x:c r="X2322" s="93" t="n">
        <x:f>IF(V2322="Returned",Q2322*R2322*10%,Q2322*R2322)</x:f>
        <x:v>300</x:v>
      </x:c>
      <x:c r="Y2322" s="93" t="n">
        <x:f>W2322-X2322</x:f>
        <x:v>138.60000000000002</x:v>
      </x:c>
      <x:c r="Z2322" s="94" t="n">
        <x:f>IFERROR(Y2322/W2322,0)</x:f>
        <x:v>0.31600547195622436</x:v>
      </x:c>
      <x:c r="AA2322" s="84" t="str">
        <x:f>PROPER(TRIM('Raw Sales'!M2322))</x:f>
        <x:v>Credit Card</x:v>
      </x:c>
      <x:c r="AB2322" s="84" t="str">
        <x:f>PROPER(TRIM('Raw Sales'!N2322))</x:f>
        <x:v>Ava Mitchell</x:v>
      </x:c>
      <x:c r="AC2322" s="85" t="n">
        <x:f>'Raw Sales'!O2322</x:f>
        <x:v>46011</x:v>
      </x:c>
      <x:c r="AD2322" s="84" t="n">
        <x:f>AC2322-B2322</x:f>
        <x:v>8</x:v>
      </x:c>
      <x:c r="AE2322" s="84" t="str">
        <x:f>IF(COUNTIF($A$5:A2322,A2322)&gt;1,"Duplicate","Keep")</x:f>
        <x:v>Keep</x:v>
      </x:c>
      <x:c r="AF2322" s="84" t="str">
        <x:f>IF(OR(R2322&lt;=0,AC2322&lt;B2322,H2322="Unknown",M2322="Unknown Product"),"Review","Valid")</x:f>
        <x:v>Valid</x:v>
      </x:c>
      <x:c r="AG2322" s="84" t="n">
        <x:f>IF(AND(AE2322="Keep",AF2322="Valid"),1,0)</x:f>
        <x:v>1</x:v>
      </x:c>
      <x:c r="AH2322" s="84" t="n">
        <x:f>IF(AND(AG2322=1,OR('Dashboard'!$B$4="All",I2322='Dashboard'!$B$4),OR('Dashboard'!$E$4="All",N2322='Dashboard'!$E$4),OR('Dashboard'!$H$4="All",K2322='Dashboard'!$H$4),OR('Dashboard'!$K$4="All",C2322='Dashboard'!$K$4)),1,0)</x:f>
        <x:v>1</x:v>
      </x:c>
      <x:c r="AI2322" s="84" t="n">
        <x:f>IF(AND(AG2322=1,OR('Dashboard'!$B$4="All",I2322='Dashboard'!$B$4),OR('Dashboard'!$E$4="All",N2322='Dashboard'!$E$4),OR('Dashboard'!$H$4="All",K2322='Dashboard'!$H$4)),1,0)</x:f>
        <x:v>1</x:v>
      </x:c>
    </x:row>
    <x:row r="2323">
      <x:c r="A2323" s="84" t="str">
        <x:f>'Raw Sales'!A2323</x:f>
        <x:v>ORD-2025-00431</x:v>
      </x:c>
      <x:c r="B2323" s="85" t="n">
        <x:f>'Raw Sales'!B2323</x:f>
        <x:v>46003</x:v>
      </x:c>
      <x:c r="C2323" s="84" t="n">
        <x:f>YEAR(B2323)</x:f>
        <x:v>2025</x:v>
      </x:c>
      <x:c r="D2323" s="91" t="n">
        <x:f>DATE(YEAR(B2323),MONTH(B2323),1)</x:f>
        <x:v>45992</x:v>
      </x:c>
      <x:c r="E2323" s="84" t="str">
        <x:f>TEXT(B2323,"mmm")</x:f>
        <x:v>Dec</x:v>
      </x:c>
      <x:c r="F2323" s="84" t="str">
        <x:f>'Raw Sales'!C2323</x:f>
        <x:v>CUST-0328</x:v>
      </x:c>
      <x:c r="G2323" s="84" t="str">
        <x:f>PROPER(TRIM('Raw Sales'!D2323))</x:f>
        <x:v>Elena Khan</x:v>
      </x:c>
      <x:c r="H2323" s="84" t="str">
        <x:f>IF(TRIM('Raw Sales'!E2323)="","Unknown",PROPER(TRIM('Raw Sales'!E2323)))</x:f>
        <x:v>Small Business</x:v>
      </x:c>
      <x:c r="I2323" s="84" t="str">
        <x:f>PROPER(TRIM('Raw Sales'!F2323))</x:f>
        <x:v>Southeast</x:v>
      </x:c>
      <x:c r="J2323" s="84" t="str">
        <x:f>PROPER(TRIM('Raw Sales'!G2323))</x:f>
        <x:v>Charlotte</x:v>
      </x:c>
      <x:c r="K2323" s="84" t="str">
        <x:f>PROPER(TRIM('Raw Sales'!H2323))</x:f>
        <x:v>Marketplace</x:v>
      </x:c>
      <x:c r="L2323" s="84" t="str">
        <x:f>'Raw Sales'!I2323</x:f>
        <x:v>ACCS-003</x:v>
      </x:c>
      <x:c r="M2323" s="84" t="str">
        <x:f>IFERROR(VLOOKUP(L2323,'Reference Data'!$A$5:$F$40,2,FALSE),"Unknown Product")</x:f>
        <x:v>Polarized Sunglasses</x:v>
      </x:c>
      <x:c r="N2323" s="84" t="str">
        <x:f>IFERROR(VLOOKUP(L2323,'Reference Data'!$A$5:$F$40,3,FALSE),"Unknown")</x:f>
        <x:v>Accessories</x:v>
      </x:c>
      <x:c r="O2323" s="84" t="str">
        <x:f>IFERROR(VLOOKUP(L2323,'Reference Data'!$A$5:$F$40,4,FALSE),"Unknown")</x:f>
        <x:v>Eyewear</x:v>
      </x:c>
      <x:c r="P2323" s="92" t="n">
        <x:f>IFERROR(VLOOKUP(L2323,'Reference Data'!$A$5:$F$40,5,FALSE),0)</x:f>
        <x:v>59</x:v>
      </x:c>
      <x:c r="Q2323" s="92" t="n">
        <x:f>IFERROR(VLOOKUP(L2323,'Reference Data'!$A$5:$F$40,6,FALSE),0)</x:f>
        <x:v>17</x:v>
      </x:c>
      <x:c r="R2323" s="84" t="n">
        <x:f>'Raw Sales'!J2323</x:f>
        <x:v>2</x:v>
      </x:c>
      <x:c r="S2323" s="87" t="n">
        <x:f>'Raw Sales'!K2323</x:f>
        <x:v>0.1</x:v>
      </x:c>
      <x:c r="T2323" s="93" t="n">
        <x:f>P2323*R2323</x:f>
        <x:v>118</x:v>
      </x:c>
      <x:c r="U2323" s="93" t="n">
        <x:f>T2323*S2323</x:f>
        <x:v>11.8</x:v>
      </x:c>
      <x:c r="V2323" s="93" t="str">
        <x:f>PROPER(TRIM('Raw Sales'!L2323))</x:f>
        <x:v>Completed</x:v>
      </x:c>
      <x:c r="W2323" s="93" t="n">
        <x:f>IF(V2323="Returned",0,T2323-U2323)</x:f>
        <x:v>106.2</x:v>
      </x:c>
      <x:c r="X2323" s="93" t="n">
        <x:f>IF(V2323="Returned",Q2323*R2323*10%,Q2323*R2323)</x:f>
        <x:v>34</x:v>
      </x:c>
      <x:c r="Y2323" s="93" t="n">
        <x:f>W2323-X2323</x:f>
        <x:v>72.2</x:v>
      </x:c>
      <x:c r="Z2323" s="94" t="n">
        <x:f>IFERROR(Y2323/W2323,0)</x:f>
        <x:v>0.67984934086629</x:v>
      </x:c>
      <x:c r="AA2323" s="84" t="str">
        <x:f>PROPER(TRIM('Raw Sales'!M2323))</x:f>
        <x:v>Mobile Wallet</x:v>
      </x:c>
      <x:c r="AB2323" s="84" t="str">
        <x:f>PROPER(TRIM('Raw Sales'!N2323))</x:f>
        <x:v>Liam Parker</x:v>
      </x:c>
      <x:c r="AC2323" s="85" t="n">
        <x:f>'Raw Sales'!O2323</x:f>
        <x:v>46007</x:v>
      </x:c>
      <x:c r="AD2323" s="84" t="n">
        <x:f>AC2323-B2323</x:f>
        <x:v>4</x:v>
      </x:c>
      <x:c r="AE2323" s="84" t="str">
        <x:f>IF(COUNTIF($A$5:A2323,A2323)&gt;1,"Duplicate","Keep")</x:f>
        <x:v>Keep</x:v>
      </x:c>
      <x:c r="AF2323" s="84" t="str">
        <x:f>IF(OR(R2323&lt;=0,AC2323&lt;B2323,H2323="Unknown",M2323="Unknown Product"),"Review","Valid")</x:f>
        <x:v>Valid</x:v>
      </x:c>
      <x:c r="AG2323" s="84" t="n">
        <x:f>IF(AND(AE2323="Keep",AF2323="Valid"),1,0)</x:f>
        <x:v>1</x:v>
      </x:c>
      <x:c r="AH2323" s="84" t="n">
        <x:f>IF(AND(AG2323=1,OR('Dashboard'!$B$4="All",I2323='Dashboard'!$B$4),OR('Dashboard'!$E$4="All",N2323='Dashboard'!$E$4),OR('Dashboard'!$H$4="All",K2323='Dashboard'!$H$4),OR('Dashboard'!$K$4="All",C2323='Dashboard'!$K$4)),1,0)</x:f>
        <x:v>1</x:v>
      </x:c>
      <x:c r="AI2323" s="84" t="n">
        <x:f>IF(AND(AG2323=1,OR('Dashboard'!$B$4="All",I2323='Dashboard'!$B$4),OR('Dashboard'!$E$4="All",N2323='Dashboard'!$E$4),OR('Dashboard'!$H$4="All",K2323='Dashboard'!$H$4)),1,0)</x:f>
        <x:v>1</x:v>
      </x:c>
    </x:row>
    <x:row r="2324">
      <x:c r="A2324" s="84" t="str">
        <x:f>'Raw Sales'!A2324</x:f>
        <x:v>ORD-2025-00494</x:v>
      </x:c>
      <x:c r="B2324" s="85" t="n">
        <x:f>'Raw Sales'!B2324</x:f>
        <x:v>46003</x:v>
      </x:c>
      <x:c r="C2324" s="84" t="n">
        <x:f>YEAR(B2324)</x:f>
        <x:v>2025</x:v>
      </x:c>
      <x:c r="D2324" s="91" t="n">
        <x:f>DATE(YEAR(B2324),MONTH(B2324),1)</x:f>
        <x:v>45992</x:v>
      </x:c>
      <x:c r="E2324" s="84" t="str">
        <x:f>TEXT(B2324,"mmm")</x:f>
        <x:v>Dec</x:v>
      </x:c>
      <x:c r="F2324" s="84" t="str">
        <x:f>'Raw Sales'!C2324</x:f>
        <x:v>CUST-0577</x:v>
      </x:c>
      <x:c r="G2324" s="84" t="str">
        <x:f>PROPER(TRIM('Raw Sales'!D2324))</x:f>
        <x:v>Grace Young</x:v>
      </x:c>
      <x:c r="H2324" s="84" t="str">
        <x:f>IF(TRIM('Raw Sales'!E2324)="","Unknown",PROPER(TRIM('Raw Sales'!E2324)))</x:f>
        <x:v>Consumer</x:v>
      </x:c>
      <x:c r="I2324" s="84" t="str">
        <x:f>PROPER(TRIM('Raw Sales'!F2324))</x:f>
        <x:v>Southeast</x:v>
      </x:c>
      <x:c r="J2324" s="84" t="str">
        <x:f>PROPER(TRIM('Raw Sales'!G2324))</x:f>
        <x:v>Charlotte</x:v>
      </x:c>
      <x:c r="K2324" s="84" t="str">
        <x:f>PROPER(TRIM('Raw Sales'!H2324))</x:f>
        <x:v>Online</x:v>
      </x:c>
      <x:c r="L2324" s="84" t="str">
        <x:f>'Raw Sales'!I2324</x:f>
        <x:v>ELEC-005</x:v>
      </x:c>
      <x:c r="M2324" s="84" t="str">
        <x:f>IFERROR(VLOOKUP(L2324,'Reference Data'!$A$5:$F$40,2,FALSE),"Unknown Product")</x:f>
        <x:v>HD Webcam</x:v>
      </x:c>
      <x:c r="N2324" s="84" t="str">
        <x:f>IFERROR(VLOOKUP(L2324,'Reference Data'!$A$5:$F$40,3,FALSE),"Unknown")</x:f>
        <x:v>Electronics</x:v>
      </x:c>
      <x:c r="O2324" s="84" t="str">
        <x:f>IFERROR(VLOOKUP(L2324,'Reference Data'!$A$5:$F$40,4,FALSE),"Unknown")</x:f>
        <x:v>Computer Accessories</x:v>
      </x:c>
      <x:c r="P2324" s="92" t="n">
        <x:f>IFERROR(VLOOKUP(L2324,'Reference Data'!$A$5:$F$40,5,FALSE),0)</x:f>
        <x:v>79</x:v>
      </x:c>
      <x:c r="Q2324" s="92" t="n">
        <x:f>IFERROR(VLOOKUP(L2324,'Reference Data'!$A$5:$F$40,6,FALSE),0)</x:f>
        <x:v>37</x:v>
      </x:c>
      <x:c r="R2324" s="84" t="n">
        <x:f>'Raw Sales'!J2324</x:f>
        <x:v>2</x:v>
      </x:c>
      <x:c r="S2324" s="87" t="n">
        <x:f>'Raw Sales'!K2324</x:f>
        <x:v>0.15</x:v>
      </x:c>
      <x:c r="T2324" s="93" t="n">
        <x:f>P2324*R2324</x:f>
        <x:v>158</x:v>
      </x:c>
      <x:c r="U2324" s="93" t="n">
        <x:f>T2324*S2324</x:f>
        <x:v>23.7</x:v>
      </x:c>
      <x:c r="V2324" s="93" t="str">
        <x:f>PROPER(TRIM('Raw Sales'!L2324))</x:f>
        <x:v>Completed</x:v>
      </x:c>
      <x:c r="W2324" s="93" t="n">
        <x:f>IF(V2324="Returned",0,T2324-U2324)</x:f>
        <x:v>134.3</x:v>
      </x:c>
      <x:c r="X2324" s="93" t="n">
        <x:f>IF(V2324="Returned",Q2324*R2324*10%,Q2324*R2324)</x:f>
        <x:v>74</x:v>
      </x:c>
      <x:c r="Y2324" s="93" t="n">
        <x:f>W2324-X2324</x:f>
        <x:v>60.30000000000001</x:v>
      </x:c>
      <x:c r="Z2324" s="94" t="n">
        <x:f>IFERROR(Y2324/W2324,0)</x:f>
        <x:v>0.4489947877885332</x:v>
      </x:c>
      <x:c r="AA2324" s="84" t="str">
        <x:f>PROPER(TRIM('Raw Sales'!M2324))</x:f>
        <x:v>Debit Card</x:v>
      </x:c>
      <x:c r="AB2324" s="84" t="str">
        <x:f>PROPER(TRIM('Raw Sales'!N2324))</x:f>
        <x:v>Ava Mitchell</x:v>
      </x:c>
      <x:c r="AC2324" s="85" t="n">
        <x:f>'Raw Sales'!O2324</x:f>
        <x:v>46009</x:v>
      </x:c>
      <x:c r="AD2324" s="84" t="n">
        <x:f>AC2324-B2324</x:f>
        <x:v>6</x:v>
      </x:c>
      <x:c r="AE2324" s="84" t="str">
        <x:f>IF(COUNTIF($A$5:A2324,A2324)&gt;1,"Duplicate","Keep")</x:f>
        <x:v>Keep</x:v>
      </x:c>
      <x:c r="AF2324" s="84" t="str">
        <x:f>IF(OR(R2324&lt;=0,AC2324&lt;B2324,H2324="Unknown",M2324="Unknown Product"),"Review","Valid")</x:f>
        <x:v>Valid</x:v>
      </x:c>
      <x:c r="AG2324" s="84" t="n">
        <x:f>IF(AND(AE2324="Keep",AF2324="Valid"),1,0)</x:f>
        <x:v>1</x:v>
      </x:c>
      <x:c r="AH2324" s="84" t="n">
        <x:f>IF(AND(AG2324=1,OR('Dashboard'!$B$4="All",I2324='Dashboard'!$B$4),OR('Dashboard'!$E$4="All",N2324='Dashboard'!$E$4),OR('Dashboard'!$H$4="All",K2324='Dashboard'!$H$4),OR('Dashboard'!$K$4="All",C2324='Dashboard'!$K$4)),1,0)</x:f>
        <x:v>1</x:v>
      </x:c>
      <x:c r="AI2324" s="84" t="n">
        <x:f>IF(AND(AG2324=1,OR('Dashboard'!$B$4="All",I2324='Dashboard'!$B$4),OR('Dashboard'!$E$4="All",N2324='Dashboard'!$E$4),OR('Dashboard'!$H$4="All",K2324='Dashboard'!$H$4)),1,0)</x:f>
        <x:v>1</x:v>
      </x:c>
    </x:row>
    <x:row r="2325">
      <x:c r="A2325" s="84" t="str">
        <x:f>'Raw Sales'!A2325</x:f>
        <x:v>ORD-2025-00537</x:v>
      </x:c>
      <x:c r="B2325" s="85" t="n">
        <x:f>'Raw Sales'!B2325</x:f>
        <x:v>46003</x:v>
      </x:c>
      <x:c r="C2325" s="84" t="n">
        <x:f>YEAR(B2325)</x:f>
        <x:v>2025</x:v>
      </x:c>
      <x:c r="D2325" s="91" t="n">
        <x:f>DATE(YEAR(B2325),MONTH(B2325),1)</x:f>
        <x:v>45992</x:v>
      </x:c>
      <x:c r="E2325" s="84" t="str">
        <x:f>TEXT(B2325,"mmm")</x:f>
        <x:v>Dec</x:v>
      </x:c>
      <x:c r="F2325" s="84" t="str">
        <x:f>'Raw Sales'!C2325</x:f>
        <x:v>CUST-0005</x:v>
      </x:c>
      <x:c r="G2325" s="84" t="str">
        <x:f>PROPER(TRIM('Raw Sales'!D2325))</x:f>
        <x:v>Zara Hall</x:v>
      </x:c>
      <x:c r="H2325" s="84" t="str">
        <x:f>IF(TRIM('Raw Sales'!E2325)="","Unknown",PROPER(TRIM('Raw Sales'!E2325)))</x:f>
        <x:v>Consumer</x:v>
      </x:c>
      <x:c r="I2325" s="84" t="str">
        <x:f>PROPER(TRIM('Raw Sales'!F2325))</x:f>
        <x:v>Midwest</x:v>
      </x:c>
      <x:c r="J2325" s="84" t="str">
        <x:f>PROPER(TRIM('Raw Sales'!G2325))</x:f>
        <x:v>Columbus</x:v>
      </x:c>
      <x:c r="K2325" s="84" t="str">
        <x:f>PROPER(TRIM('Raw Sales'!H2325))</x:f>
        <x:v>Marketplace</x:v>
      </x:c>
      <x:c r="L2325" s="84" t="str">
        <x:f>'Raw Sales'!I2325</x:f>
        <x:v>CARE-003</x:v>
      </x:c>
      <x:c r="M2325" s="84" t="str">
        <x:f>IFERROR(VLOOKUP(L2325,'Reference Data'!$A$5:$F$40,2,FALSE),"Unknown Product")</x:f>
        <x:v>Facial Cleanser</x:v>
      </x:c>
      <x:c r="N2325" s="84" t="str">
        <x:f>IFERROR(VLOOKUP(L2325,'Reference Data'!$A$5:$F$40,3,FALSE),"Unknown")</x:f>
        <x:v>Personal Care</x:v>
      </x:c>
      <x:c r="O2325" s="84" t="str">
        <x:f>IFERROR(VLOOKUP(L2325,'Reference Data'!$A$5:$F$40,4,FALSE),"Unknown")</x:f>
        <x:v>Skin Care</x:v>
      </x:c>
      <x:c r="P2325" s="92" t="n">
        <x:f>IFERROR(VLOOKUP(L2325,'Reference Data'!$A$5:$F$40,5,FALSE),0)</x:f>
        <x:v>18</x:v>
      </x:c>
      <x:c r="Q2325" s="92" t="n">
        <x:f>IFERROR(VLOOKUP(L2325,'Reference Data'!$A$5:$F$40,6,FALSE),0)</x:f>
        <x:v>6</x:v>
      </x:c>
      <x:c r="R2325" s="84" t="n">
        <x:f>'Raw Sales'!J2325</x:f>
        <x:v>1</x:v>
      </x:c>
      <x:c r="S2325" s="87" t="n">
        <x:f>'Raw Sales'!K2325</x:f>
        <x:v>0.05</x:v>
      </x:c>
      <x:c r="T2325" s="93" t="n">
        <x:f>P2325*R2325</x:f>
        <x:v>18</x:v>
      </x:c>
      <x:c r="U2325" s="93" t="n">
        <x:f>T2325*S2325</x:f>
        <x:v>0.9</x:v>
      </x:c>
      <x:c r="V2325" s="93" t="str">
        <x:f>PROPER(TRIM('Raw Sales'!L2325))</x:f>
        <x:v>Completed</x:v>
      </x:c>
      <x:c r="W2325" s="93" t="n">
        <x:f>IF(V2325="Returned",0,T2325-U2325)</x:f>
        <x:v>17.1</x:v>
      </x:c>
      <x:c r="X2325" s="93" t="n">
        <x:f>IF(V2325="Returned",Q2325*R2325*10%,Q2325*R2325)</x:f>
        <x:v>6</x:v>
      </x:c>
      <x:c r="Y2325" s="93" t="n">
        <x:f>W2325-X2325</x:f>
        <x:v>11.100000000000001</x:v>
      </x:c>
      <x:c r="Z2325" s="94" t="n">
        <x:f>IFERROR(Y2325/W2325,0)</x:f>
        <x:v>0.6491228070175439</x:v>
      </x:c>
      <x:c r="AA2325" s="84" t="str">
        <x:f>PROPER(TRIM('Raw Sales'!M2325))</x:f>
        <x:v>Credit Card</x:v>
      </x:c>
      <x:c r="AB2325" s="84" t="str">
        <x:f>PROPER(TRIM('Raw Sales'!N2325))</x:f>
        <x:v>Zoe Turner</x:v>
      </x:c>
      <x:c r="AC2325" s="85" t="n">
        <x:f>'Raw Sales'!O2325</x:f>
        <x:v>46010</x:v>
      </x:c>
      <x:c r="AD2325" s="84" t="n">
        <x:f>AC2325-B2325</x:f>
        <x:v>7</x:v>
      </x:c>
      <x:c r="AE2325" s="84" t="str">
        <x:f>IF(COUNTIF($A$5:A2325,A2325)&gt;1,"Duplicate","Keep")</x:f>
        <x:v>Keep</x:v>
      </x:c>
      <x:c r="AF2325" s="84" t="str">
        <x:f>IF(OR(R2325&lt;=0,AC2325&lt;B2325,H2325="Unknown",M2325="Unknown Product"),"Review","Valid")</x:f>
        <x:v>Valid</x:v>
      </x:c>
      <x:c r="AG2325" s="84" t="n">
        <x:f>IF(AND(AE2325="Keep",AF2325="Valid"),1,0)</x:f>
        <x:v>1</x:v>
      </x:c>
      <x:c r="AH2325" s="84" t="n">
        <x:f>IF(AND(AG2325=1,OR('Dashboard'!$B$4="All",I2325='Dashboard'!$B$4),OR('Dashboard'!$E$4="All",N2325='Dashboard'!$E$4),OR('Dashboard'!$H$4="All",K2325='Dashboard'!$H$4),OR('Dashboard'!$K$4="All",C2325='Dashboard'!$K$4)),1,0)</x:f>
        <x:v>1</x:v>
      </x:c>
      <x:c r="AI2325" s="84" t="n">
        <x:f>IF(AND(AG2325=1,OR('Dashboard'!$B$4="All",I2325='Dashboard'!$B$4),OR('Dashboard'!$E$4="All",N2325='Dashboard'!$E$4),OR('Dashboard'!$H$4="All",K2325='Dashboard'!$H$4)),1,0)</x:f>
        <x:v>1</x:v>
      </x:c>
    </x:row>
    <x:row r="2326">
      <x:c r="A2326" s="84" t="str">
        <x:f>'Raw Sales'!A2326</x:f>
        <x:v>ORD-2025-00764</x:v>
      </x:c>
      <x:c r="B2326" s="85" t="n">
        <x:f>'Raw Sales'!B2326</x:f>
        <x:v>46003</x:v>
      </x:c>
      <x:c r="C2326" s="84" t="n">
        <x:f>YEAR(B2326)</x:f>
        <x:v>2025</x:v>
      </x:c>
      <x:c r="D2326" s="91" t="n">
        <x:f>DATE(YEAR(B2326),MONTH(B2326),1)</x:f>
        <x:v>45992</x:v>
      </x:c>
      <x:c r="E2326" s="84" t="str">
        <x:f>TEXT(B2326,"mmm")</x:f>
        <x:v>Dec</x:v>
      </x:c>
      <x:c r="F2326" s="84" t="str">
        <x:f>'Raw Sales'!C2326</x:f>
        <x:v>CUST-0076</x:v>
      </x:c>
      <x:c r="G2326" s="84" t="str">
        <x:f>PROPER(TRIM('Raw Sales'!D2326))</x:f>
        <x:v>Jonah Patel</x:v>
      </x:c>
      <x:c r="H2326" s="84" t="str">
        <x:f>IF(TRIM('Raw Sales'!E2326)="","Unknown",PROPER(TRIM('Raw Sales'!E2326)))</x:f>
        <x:v>Small Business</x:v>
      </x:c>
      <x:c r="I2326" s="84" t="str">
        <x:f>PROPER(TRIM('Raw Sales'!F2326))</x:f>
        <x:v>Southeast</x:v>
      </x:c>
      <x:c r="J2326" s="84" t="str">
        <x:f>PROPER(TRIM('Raw Sales'!G2326))</x:f>
        <x:v>Charlotte</x:v>
      </x:c>
      <x:c r="K2326" s="84" t="str">
        <x:f>PROPER(TRIM('Raw Sales'!H2326))</x:f>
        <x:v>Online</x:v>
      </x:c>
      <x:c r="L2326" s="84" t="str">
        <x:f>'Raw Sales'!I2326</x:f>
        <x:v>ELEC-001</x:v>
      </x:c>
      <x:c r="M2326" s="84" t="str">
        <x:f>IFERROR(VLOOKUP(L2326,'Reference Data'!$A$5:$F$40,2,FALSE),"Unknown Product")</x:f>
        <x:v>Wireless Earbuds</x:v>
      </x:c>
      <x:c r="N2326" s="84" t="str">
        <x:f>IFERROR(VLOOKUP(L2326,'Reference Data'!$A$5:$F$40,3,FALSE),"Unknown")</x:f>
        <x:v>Electronics</x:v>
      </x:c>
      <x:c r="O2326" s="84" t="str">
        <x:f>IFERROR(VLOOKUP(L2326,'Reference Data'!$A$5:$F$40,4,FALSE),"Unknown")</x:f>
        <x:v>Audio</x:v>
      </x:c>
      <x:c r="P2326" s="92" t="n">
        <x:f>IFERROR(VLOOKUP(L2326,'Reference Data'!$A$5:$F$40,5,FALSE),0)</x:f>
        <x:v>69</x:v>
      </x:c>
      <x:c r="Q2326" s="92" t="n">
        <x:f>IFERROR(VLOOKUP(L2326,'Reference Data'!$A$5:$F$40,6,FALSE),0)</x:f>
        <x:v>36</x:v>
      </x:c>
      <x:c r="R2326" s="84" t="n">
        <x:f>'Raw Sales'!J2326</x:f>
        <x:v>1</x:v>
      </x:c>
      <x:c r="S2326" s="87" t="n">
        <x:f>'Raw Sales'!K2326</x:f>
        <x:v>0.15</x:v>
      </x:c>
      <x:c r="T2326" s="93" t="n">
        <x:f>P2326*R2326</x:f>
        <x:v>69</x:v>
      </x:c>
      <x:c r="U2326" s="93" t="n">
        <x:f>T2326*S2326</x:f>
        <x:v>10.35</x:v>
      </x:c>
      <x:c r="V2326" s="93" t="str">
        <x:f>PROPER(TRIM('Raw Sales'!L2326))</x:f>
        <x:v>Completed</x:v>
      </x:c>
      <x:c r="W2326" s="93" t="n">
        <x:f>IF(V2326="Returned",0,T2326-U2326)</x:f>
        <x:v>58.65</x:v>
      </x:c>
      <x:c r="X2326" s="93" t="n">
        <x:f>IF(V2326="Returned",Q2326*R2326*10%,Q2326*R2326)</x:f>
        <x:v>36</x:v>
      </x:c>
      <x:c r="Y2326" s="93" t="n">
        <x:f>W2326-X2326</x:f>
        <x:v>22.65</x:v>
      </x:c>
      <x:c r="Z2326" s="94" t="n">
        <x:f>IFERROR(Y2326/W2326,0)</x:f>
        <x:v>0.38618925831202044</x:v>
      </x:c>
      <x:c r="AA2326" s="84" t="str">
        <x:f>PROPER(TRIM('Raw Sales'!M2326))</x:f>
        <x:v>Mobile Wallet</x:v>
      </x:c>
      <x:c r="AB2326" s="84" t="str">
        <x:f>PROPER(TRIM('Raw Sales'!N2326))</x:f>
        <x:v>Liam Parker</x:v>
      </x:c>
      <x:c r="AC2326" s="85" t="n">
        <x:f>'Raw Sales'!O2326</x:f>
        <x:v>46005</x:v>
      </x:c>
      <x:c r="AD2326" s="84" t="n">
        <x:f>AC2326-B2326</x:f>
        <x:v>2</x:v>
      </x:c>
      <x:c r="AE2326" s="84" t="str">
        <x:f>IF(COUNTIF($A$5:A2326,A2326)&gt;1,"Duplicate","Keep")</x:f>
        <x:v>Keep</x:v>
      </x:c>
      <x:c r="AF2326" s="84" t="str">
        <x:f>IF(OR(R2326&lt;=0,AC2326&lt;B2326,H2326="Unknown",M2326="Unknown Product"),"Review","Valid")</x:f>
        <x:v>Valid</x:v>
      </x:c>
      <x:c r="AG2326" s="84" t="n">
        <x:f>IF(AND(AE2326="Keep",AF2326="Valid"),1,0)</x:f>
        <x:v>1</x:v>
      </x:c>
      <x:c r="AH2326" s="84" t="n">
        <x:f>IF(AND(AG2326=1,OR('Dashboard'!$B$4="All",I2326='Dashboard'!$B$4),OR('Dashboard'!$E$4="All",N2326='Dashboard'!$E$4),OR('Dashboard'!$H$4="All",K2326='Dashboard'!$H$4),OR('Dashboard'!$K$4="All",C2326='Dashboard'!$K$4)),1,0)</x:f>
        <x:v>1</x:v>
      </x:c>
      <x:c r="AI2326" s="84" t="n">
        <x:f>IF(AND(AG2326=1,OR('Dashboard'!$B$4="All",I2326='Dashboard'!$B$4),OR('Dashboard'!$E$4="All",N2326='Dashboard'!$E$4),OR('Dashboard'!$H$4="All",K2326='Dashboard'!$H$4)),1,0)</x:f>
        <x:v>1</x:v>
      </x:c>
    </x:row>
    <x:row r="2327">
      <x:c r="A2327" s="84" t="str">
        <x:f>'Raw Sales'!A2327</x:f>
        <x:v>ORD-2025-00864</x:v>
      </x:c>
      <x:c r="B2327" s="85" t="n">
        <x:f>'Raw Sales'!B2327</x:f>
        <x:v>46003</x:v>
      </x:c>
      <x:c r="C2327" s="84" t="n">
        <x:f>YEAR(B2327)</x:f>
        <x:v>2025</x:v>
      </x:c>
      <x:c r="D2327" s="91" t="n">
        <x:f>DATE(YEAR(B2327),MONTH(B2327),1)</x:f>
        <x:v>45992</x:v>
      </x:c>
      <x:c r="E2327" s="84" t="str">
        <x:f>TEXT(B2327,"mmm")</x:f>
        <x:v>Dec</x:v>
      </x:c>
      <x:c r="F2327" s="84" t="str">
        <x:f>'Raw Sales'!C2327</x:f>
        <x:v>CUST-0342</x:v>
      </x:c>
      <x:c r="G2327" s="84" t="str">
        <x:f>PROPER(TRIM('Raw Sales'!D2327))</x:f>
        <x:v>Nathan Carter</x:v>
      </x:c>
      <x:c r="H2327" s="84" t="str">
        <x:f>IF(TRIM('Raw Sales'!E2327)="","Unknown",PROPER(TRIM('Raw Sales'!E2327)))</x:f>
        <x:v>Small Business</x:v>
      </x:c>
      <x:c r="I2327" s="84" t="str">
        <x:f>PROPER(TRIM('Raw Sales'!F2327))</x:f>
        <x:v>Northeast</x:v>
      </x:c>
      <x:c r="J2327" s="84" t="str">
        <x:f>PROPER(TRIM('Raw Sales'!G2327))</x:f>
        <x:v>New York</x:v>
      </x:c>
      <x:c r="K2327" s="84" t="str">
        <x:f>PROPER(TRIM('Raw Sales'!H2327))</x:f>
        <x:v>Retail Store</x:v>
      </x:c>
      <x:c r="L2327" s="84" t="str">
        <x:f>'Raw Sales'!I2327</x:f>
        <x:v>FITN-003</x:v>
      </x:c>
      <x:c r="M2327" s="84" t="str">
        <x:f>IFERROR(VLOOKUP(L2327,'Reference Data'!$A$5:$F$40,2,FALSE),"Unknown Product")</x:f>
        <x:v>Resistance Band Set</x:v>
      </x:c>
      <x:c r="N2327" s="84" t="str">
        <x:f>IFERROR(VLOOKUP(L2327,'Reference Data'!$A$5:$F$40,3,FALSE),"Unknown")</x:f>
        <x:v>Fitness</x:v>
      </x:c>
      <x:c r="O2327" s="84" t="str">
        <x:f>IFERROR(VLOOKUP(L2327,'Reference Data'!$A$5:$F$40,4,FALSE),"Unknown")</x:f>
        <x:v>Strength</x:v>
      </x:c>
      <x:c r="P2327" s="92" t="n">
        <x:f>IFERROR(VLOOKUP(L2327,'Reference Data'!$A$5:$F$40,5,FALSE),0)</x:f>
        <x:v>24</x:v>
      </x:c>
      <x:c r="Q2327" s="92" t="n">
        <x:f>IFERROR(VLOOKUP(L2327,'Reference Data'!$A$5:$F$40,6,FALSE),0)</x:f>
        <x:v>8</x:v>
      </x:c>
      <x:c r="R2327" s="84" t="n">
        <x:f>'Raw Sales'!J2327</x:f>
        <x:v>3</x:v>
      </x:c>
      <x:c r="S2327" s="87" t="n">
        <x:f>'Raw Sales'!K2327</x:f>
        <x:v>0.1</x:v>
      </x:c>
      <x:c r="T2327" s="93" t="n">
        <x:f>P2327*R2327</x:f>
        <x:v>72</x:v>
      </x:c>
      <x:c r="U2327" s="93" t="n">
        <x:f>T2327*S2327</x:f>
        <x:v>7.2</x:v>
      </x:c>
      <x:c r="V2327" s="93" t="str">
        <x:f>PROPER(TRIM('Raw Sales'!L2327))</x:f>
        <x:v>Completed</x:v>
      </x:c>
      <x:c r="W2327" s="93" t="n">
        <x:f>IF(V2327="Returned",0,T2327-U2327)</x:f>
        <x:v>64.8</x:v>
      </x:c>
      <x:c r="X2327" s="93" t="n">
        <x:f>IF(V2327="Returned",Q2327*R2327*10%,Q2327*R2327)</x:f>
        <x:v>24</x:v>
      </x:c>
      <x:c r="Y2327" s="93" t="n">
        <x:f>W2327-X2327</x:f>
        <x:v>40.8</x:v>
      </x:c>
      <x:c r="Z2327" s="94" t="n">
        <x:f>IFERROR(Y2327/W2327,0)</x:f>
        <x:v>0.6296296296296297</x:v>
      </x:c>
      <x:c r="AA2327" s="84" t="str">
        <x:f>PROPER(TRIM('Raw Sales'!M2327))</x:f>
        <x:v>Debit Card</x:v>
      </x:c>
      <x:c r="AB2327" s="84" t="str">
        <x:f>PROPER(TRIM('Raw Sales'!N2327))</x:f>
        <x:v>Sofia Bennett</x:v>
      </x:c>
      <x:c r="AC2327" s="85" t="n">
        <x:f>'Raw Sales'!O2327</x:f>
        <x:v>46003</x:v>
      </x:c>
      <x:c r="AD2327" s="84" t="n">
        <x:f>AC2327-B2327</x:f>
        <x:v>0</x:v>
      </x:c>
      <x:c r="AE2327" s="84" t="str">
        <x:f>IF(COUNTIF($A$5:A2327,A2327)&gt;1,"Duplicate","Keep")</x:f>
        <x:v>Keep</x:v>
      </x:c>
      <x:c r="AF2327" s="84" t="str">
        <x:f>IF(OR(R2327&lt;=0,AC2327&lt;B2327,H2327="Unknown",M2327="Unknown Product"),"Review","Valid")</x:f>
        <x:v>Valid</x:v>
      </x:c>
      <x:c r="AG2327" s="84" t="n">
        <x:f>IF(AND(AE2327="Keep",AF2327="Valid"),1,0)</x:f>
        <x:v>1</x:v>
      </x:c>
      <x:c r="AH2327" s="84" t="n">
        <x:f>IF(AND(AG2327=1,OR('Dashboard'!$B$4="All",I2327='Dashboard'!$B$4),OR('Dashboard'!$E$4="All",N2327='Dashboard'!$E$4),OR('Dashboard'!$H$4="All",K2327='Dashboard'!$H$4),OR('Dashboard'!$K$4="All",C2327='Dashboard'!$K$4)),1,0)</x:f>
        <x:v>1</x:v>
      </x:c>
      <x:c r="AI2327" s="84" t="n">
        <x:f>IF(AND(AG2327=1,OR('Dashboard'!$B$4="All",I2327='Dashboard'!$B$4),OR('Dashboard'!$E$4="All",N2327='Dashboard'!$E$4),OR('Dashboard'!$H$4="All",K2327='Dashboard'!$H$4)),1,0)</x:f>
        <x:v>1</x:v>
      </x:c>
    </x:row>
    <x:row r="2328">
      <x:c r="A2328" s="84" t="str">
        <x:f>'Raw Sales'!A2328</x:f>
        <x:v>ORD-2025-02059</x:v>
      </x:c>
      <x:c r="B2328" s="85" t="n">
        <x:f>'Raw Sales'!B2328</x:f>
        <x:v>46003</x:v>
      </x:c>
      <x:c r="C2328" s="84" t="n">
        <x:f>YEAR(B2328)</x:f>
        <x:v>2025</x:v>
      </x:c>
      <x:c r="D2328" s="91" t="n">
        <x:f>DATE(YEAR(B2328),MONTH(B2328),1)</x:f>
        <x:v>45992</x:v>
      </x:c>
      <x:c r="E2328" s="84" t="str">
        <x:f>TEXT(B2328,"mmm")</x:f>
        <x:v>Dec</x:v>
      </x:c>
      <x:c r="F2328" s="84" t="str">
        <x:f>'Raw Sales'!C2328</x:f>
        <x:v>CUST-0622</x:v>
      </x:c>
      <x:c r="G2328" s="84" t="str">
        <x:f>PROPER(TRIM('Raw Sales'!D2328))</x:f>
        <x:v>Marcus Khan</x:v>
      </x:c>
      <x:c r="H2328" s="84" t="str">
        <x:f>IF(TRIM('Raw Sales'!E2328)="","Unknown",PROPER(TRIM('Raw Sales'!E2328)))</x:f>
        <x:v>Consumer</x:v>
      </x:c>
      <x:c r="I2328" s="84" t="str">
        <x:f>PROPER(TRIM('Raw Sales'!F2328))</x:f>
        <x:v>West</x:v>
      </x:c>
      <x:c r="J2328" s="84" t="str">
        <x:f>PROPER(TRIM('Raw Sales'!G2328))</x:f>
        <x:v>Denver</x:v>
      </x:c>
      <x:c r="K2328" s="84" t="str">
        <x:f>PROPER(TRIM('Raw Sales'!H2328))</x:f>
        <x:v>Online</x:v>
      </x:c>
      <x:c r="L2328" s="84" t="str">
        <x:f>'Raw Sales'!I2328</x:f>
        <x:v>ACCS-005</x:v>
      </x:c>
      <x:c r="M2328" s="84" t="str">
        <x:f>IFERROR(VLOOKUP(L2328,'Reference Data'!$A$5:$F$40,2,FALSE),"Unknown Product")</x:f>
        <x:v>Protective Phone Case</x:v>
      </x:c>
      <x:c r="N2328" s="84" t="str">
        <x:f>IFERROR(VLOOKUP(L2328,'Reference Data'!$A$5:$F$40,3,FALSE),"Unknown")</x:f>
        <x:v>Accessories</x:v>
      </x:c>
      <x:c r="O2328" s="84" t="str">
        <x:f>IFERROR(VLOOKUP(L2328,'Reference Data'!$A$5:$F$40,4,FALSE),"Unknown")</x:f>
        <x:v>Mobile Accessories</x:v>
      </x:c>
      <x:c r="P2328" s="92" t="n">
        <x:f>IFERROR(VLOOKUP(L2328,'Reference Data'!$A$5:$F$40,5,FALSE),0)</x:f>
        <x:v>24</x:v>
      </x:c>
      <x:c r="Q2328" s="92" t="n">
        <x:f>IFERROR(VLOOKUP(L2328,'Reference Data'!$A$5:$F$40,6,FALSE),0)</x:f>
        <x:v>5</x:v>
      </x:c>
      <x:c r="R2328" s="84" t="n">
        <x:f>'Raw Sales'!J2328</x:f>
        <x:v>1</x:v>
      </x:c>
      <x:c r="S2328" s="87" t="n">
        <x:f>'Raw Sales'!K2328</x:f>
        <x:v>0.15</x:v>
      </x:c>
      <x:c r="T2328" s="93" t="n">
        <x:f>P2328*R2328</x:f>
        <x:v>24</x:v>
      </x:c>
      <x:c r="U2328" s="93" t="n">
        <x:f>T2328*S2328</x:f>
        <x:v>3.5999999999999996</x:v>
      </x:c>
      <x:c r="V2328" s="93" t="str">
        <x:f>PROPER(TRIM('Raw Sales'!L2328))</x:f>
        <x:v>Completed</x:v>
      </x:c>
      <x:c r="W2328" s="93" t="n">
        <x:f>IF(V2328="Returned",0,T2328-U2328)</x:f>
        <x:v>20.4</x:v>
      </x:c>
      <x:c r="X2328" s="93" t="n">
        <x:f>IF(V2328="Returned",Q2328*R2328*10%,Q2328*R2328)</x:f>
        <x:v>5</x:v>
      </x:c>
      <x:c r="Y2328" s="93" t="n">
        <x:f>W2328-X2328</x:f>
        <x:v>15.399999999999999</x:v>
      </x:c>
      <x:c r="Z2328" s="94" t="n">
        <x:f>IFERROR(Y2328/W2328,0)</x:f>
        <x:v>0.7549019607843137</x:v>
      </x:c>
      <x:c r="AA2328" s="84" t="str">
        <x:f>PROPER(TRIM('Raw Sales'!M2328))</x:f>
        <x:v>Credit Card</x:v>
      </x:c>
      <x:c r="AB2328" s="84" t="str">
        <x:f>PROPER(TRIM('Raw Sales'!N2328))</x:f>
        <x:v>Nora Kim</x:v>
      </x:c>
      <x:c r="AC2328" s="85" t="n">
        <x:f>'Raw Sales'!O2328</x:f>
        <x:v>46008</x:v>
      </x:c>
      <x:c r="AD2328" s="84" t="n">
        <x:f>AC2328-B2328</x:f>
        <x:v>5</x:v>
      </x:c>
      <x:c r="AE2328" s="84" t="str">
        <x:f>IF(COUNTIF($A$5:A2328,A2328)&gt;1,"Duplicate","Keep")</x:f>
        <x:v>Keep</x:v>
      </x:c>
      <x:c r="AF2328" s="84" t="str">
        <x:f>IF(OR(R2328&lt;=0,AC2328&lt;B2328,H2328="Unknown",M2328="Unknown Product"),"Review","Valid")</x:f>
        <x:v>Valid</x:v>
      </x:c>
      <x:c r="AG2328" s="84" t="n">
        <x:f>IF(AND(AE2328="Keep",AF2328="Valid"),1,0)</x:f>
        <x:v>1</x:v>
      </x:c>
      <x:c r="AH2328" s="84" t="n">
        <x:f>IF(AND(AG2328=1,OR('Dashboard'!$B$4="All",I2328='Dashboard'!$B$4),OR('Dashboard'!$E$4="All",N2328='Dashboard'!$E$4),OR('Dashboard'!$H$4="All",K2328='Dashboard'!$H$4),OR('Dashboard'!$K$4="All",C2328='Dashboard'!$K$4)),1,0)</x:f>
        <x:v>1</x:v>
      </x:c>
      <x:c r="AI2328" s="84" t="n">
        <x:f>IF(AND(AG2328=1,OR('Dashboard'!$B$4="All",I2328='Dashboard'!$B$4),OR('Dashboard'!$E$4="All",N2328='Dashboard'!$E$4),OR('Dashboard'!$H$4="All",K2328='Dashboard'!$H$4)),1,0)</x:f>
        <x:v>1</x:v>
      </x:c>
    </x:row>
    <x:row r="2329">
      <x:c r="A2329" s="84" t="str">
        <x:f>'Raw Sales'!A2329</x:f>
        <x:v>ORD-2025-02357</x:v>
      </x:c>
      <x:c r="B2329" s="85" t="n">
        <x:f>'Raw Sales'!B2329</x:f>
        <x:v>46003</x:v>
      </x:c>
      <x:c r="C2329" s="84" t="n">
        <x:f>YEAR(B2329)</x:f>
        <x:v>2025</x:v>
      </x:c>
      <x:c r="D2329" s="91" t="n">
        <x:f>DATE(YEAR(B2329),MONTH(B2329),1)</x:f>
        <x:v>45992</x:v>
      </x:c>
      <x:c r="E2329" s="84" t="str">
        <x:f>TEXT(B2329,"mmm")</x:f>
        <x:v>Dec</x:v>
      </x:c>
      <x:c r="F2329" s="84" t="str">
        <x:f>'Raw Sales'!C2329</x:f>
        <x:v>CUST-0261</x:v>
      </x:c>
      <x:c r="G2329" s="84" t="str">
        <x:f>PROPER(TRIM('Raw Sales'!D2329))</x:f>
        <x:v>Elias Evans</x:v>
      </x:c>
      <x:c r="H2329" s="84" t="str">
        <x:f>IF(TRIM('Raw Sales'!E2329)="","Unknown",PROPER(TRIM('Raw Sales'!E2329)))</x:f>
        <x:v>Consumer</x:v>
      </x:c>
      <x:c r="I2329" s="84" t="str">
        <x:f>PROPER(TRIM('Raw Sales'!F2329))</x:f>
        <x:v>Northeast</x:v>
      </x:c>
      <x:c r="J2329" s="84" t="str">
        <x:f>PROPER(TRIM('Raw Sales'!G2329))</x:f>
        <x:v>Philadelphia</x:v>
      </x:c>
      <x:c r="K2329" s="84" t="str">
        <x:f>PROPER(TRIM('Raw Sales'!H2329))</x:f>
        <x:v>Online</x:v>
      </x:c>
      <x:c r="L2329" s="84" t="str">
        <x:f>'Raw Sales'!I2329</x:f>
        <x:v>ELEC-001</x:v>
      </x:c>
      <x:c r="M2329" s="84" t="str">
        <x:f>IFERROR(VLOOKUP(L2329,'Reference Data'!$A$5:$F$40,2,FALSE),"Unknown Product")</x:f>
        <x:v>Wireless Earbuds</x:v>
      </x:c>
      <x:c r="N2329" s="84" t="str">
        <x:f>IFERROR(VLOOKUP(L2329,'Reference Data'!$A$5:$F$40,3,FALSE),"Unknown")</x:f>
        <x:v>Electronics</x:v>
      </x:c>
      <x:c r="O2329" s="84" t="str">
        <x:f>IFERROR(VLOOKUP(L2329,'Reference Data'!$A$5:$F$40,4,FALSE),"Unknown")</x:f>
        <x:v>Audio</x:v>
      </x:c>
      <x:c r="P2329" s="92" t="n">
        <x:f>IFERROR(VLOOKUP(L2329,'Reference Data'!$A$5:$F$40,5,FALSE),0)</x:f>
        <x:v>69</x:v>
      </x:c>
      <x:c r="Q2329" s="92" t="n">
        <x:f>IFERROR(VLOOKUP(L2329,'Reference Data'!$A$5:$F$40,6,FALSE),0)</x:f>
        <x:v>36</x:v>
      </x:c>
      <x:c r="R2329" s="84" t="n">
        <x:f>'Raw Sales'!J2329</x:f>
        <x:v>2</x:v>
      </x:c>
      <x:c r="S2329" s="87" t="n">
        <x:f>'Raw Sales'!K2329</x:f>
        <x:v>0.05</x:v>
      </x:c>
      <x:c r="T2329" s="93" t="n">
        <x:f>P2329*R2329</x:f>
        <x:v>138</x:v>
      </x:c>
      <x:c r="U2329" s="93" t="n">
        <x:f>T2329*S2329</x:f>
        <x:v>6.9</x:v>
      </x:c>
      <x:c r="V2329" s="93" t="str">
        <x:f>PROPER(TRIM('Raw Sales'!L2329))</x:f>
        <x:v>Completed</x:v>
      </x:c>
      <x:c r="W2329" s="93" t="n">
        <x:f>IF(V2329="Returned",0,T2329-U2329)</x:f>
        <x:v>131.1</x:v>
      </x:c>
      <x:c r="X2329" s="93" t="n">
        <x:f>IF(V2329="Returned",Q2329*R2329*10%,Q2329*R2329)</x:f>
        <x:v>72</x:v>
      </x:c>
      <x:c r="Y2329" s="93" t="n">
        <x:f>W2329-X2329</x:f>
        <x:v>59.099999999999994</x:v>
      </x:c>
      <x:c r="Z2329" s="94" t="n">
        <x:f>IFERROR(Y2329/W2329,0)</x:f>
        <x:v>0.45080091533180777</x:v>
      </x:c>
      <x:c r="AA2329" s="84" t="str">
        <x:f>PROPER(TRIM('Raw Sales'!M2329))</x:f>
        <x:v>Debit Card</x:v>
      </x:c>
      <x:c r="AB2329" s="84" t="str">
        <x:f>PROPER(TRIM('Raw Sales'!N2329))</x:f>
        <x:v>Sofia Bennett</x:v>
      </x:c>
      <x:c r="AC2329" s="85" t="n">
        <x:f>'Raw Sales'!O2329</x:f>
        <x:v>46008</x:v>
      </x:c>
      <x:c r="AD2329" s="84" t="n">
        <x:f>AC2329-B2329</x:f>
        <x:v>5</x:v>
      </x:c>
      <x:c r="AE2329" s="84" t="str">
        <x:f>IF(COUNTIF($A$5:A2329,A2329)&gt;1,"Duplicate","Keep")</x:f>
        <x:v>Keep</x:v>
      </x:c>
      <x:c r="AF2329" s="84" t="str">
        <x:f>IF(OR(R2329&lt;=0,AC2329&lt;B2329,H2329="Unknown",M2329="Unknown Product"),"Review","Valid")</x:f>
        <x:v>Valid</x:v>
      </x:c>
      <x:c r="AG2329" s="84" t="n">
        <x:f>IF(AND(AE2329="Keep",AF2329="Valid"),1,0)</x:f>
        <x:v>1</x:v>
      </x:c>
      <x:c r="AH2329" s="84" t="n">
        <x:f>IF(AND(AG2329=1,OR('Dashboard'!$B$4="All",I2329='Dashboard'!$B$4),OR('Dashboard'!$E$4="All",N2329='Dashboard'!$E$4),OR('Dashboard'!$H$4="All",K2329='Dashboard'!$H$4),OR('Dashboard'!$K$4="All",C2329='Dashboard'!$K$4)),1,0)</x:f>
        <x:v>1</x:v>
      </x:c>
      <x:c r="AI2329" s="84" t="n">
        <x:f>IF(AND(AG2329=1,OR('Dashboard'!$B$4="All",I2329='Dashboard'!$B$4),OR('Dashboard'!$E$4="All",N2329='Dashboard'!$E$4),OR('Dashboard'!$H$4="All",K2329='Dashboard'!$H$4)),1,0)</x:f>
        <x:v>1</x:v>
      </x:c>
    </x:row>
    <x:row r="2330">
      <x:c r="A2330" s="84" t="str">
        <x:f>'Raw Sales'!A2330</x:f>
        <x:v>ORD-2025-00107</x:v>
      </x:c>
      <x:c r="B2330" s="85" t="n">
        <x:f>'Raw Sales'!B2330</x:f>
        <x:v>46004</x:v>
      </x:c>
      <x:c r="C2330" s="84" t="n">
        <x:f>YEAR(B2330)</x:f>
        <x:v>2025</x:v>
      </x:c>
      <x:c r="D2330" s="91" t="n">
        <x:f>DATE(YEAR(B2330),MONTH(B2330),1)</x:f>
        <x:v>45992</x:v>
      </x:c>
      <x:c r="E2330" s="84" t="str">
        <x:f>TEXT(B2330,"mmm")</x:f>
        <x:v>Dec</x:v>
      </x:c>
      <x:c r="F2330" s="84" t="str">
        <x:f>'Raw Sales'!C2330</x:f>
        <x:v>CUST-0154</x:v>
      </x:c>
      <x:c r="G2330" s="84" t="str">
        <x:f>PROPER(TRIM('Raw Sales'!D2330))</x:f>
        <x:v>Priya Moore</x:v>
      </x:c>
      <x:c r="H2330" s="84" t="str">
        <x:f>IF(TRIM('Raw Sales'!E2330)="","Unknown",PROPER(TRIM('Raw Sales'!E2330)))</x:f>
        <x:v>Consumer</x:v>
      </x:c>
      <x:c r="I2330" s="84" t="str">
        <x:f>PROPER(TRIM('Raw Sales'!F2330))</x:f>
        <x:v>West</x:v>
      </x:c>
      <x:c r="J2330" s="84" t="str">
        <x:f>PROPER(TRIM('Raw Sales'!G2330))</x:f>
        <x:v>Denver</x:v>
      </x:c>
      <x:c r="K2330" s="84" t="str">
        <x:f>PROPER(TRIM('Raw Sales'!H2330))</x:f>
        <x:v>Marketplace</x:v>
      </x:c>
      <x:c r="L2330" s="84" t="str">
        <x:f>'Raw Sales'!I2330</x:f>
        <x:v>CARE-005</x:v>
      </x:c>
      <x:c r="M2330" s="84" t="str">
        <x:f>IFERROR(VLOOKUP(L2330,'Reference Data'!$A$5:$F$40,2,FALSE),"Unknown Product")</x:f>
        <x:v>Skin Care Starter Kit</x:v>
      </x:c>
      <x:c r="N2330" s="84" t="str">
        <x:f>IFERROR(VLOOKUP(L2330,'Reference Data'!$A$5:$F$40,3,FALSE),"Unknown")</x:f>
        <x:v>Personal Care</x:v>
      </x:c>
      <x:c r="O2330" s="84" t="str">
        <x:f>IFERROR(VLOOKUP(L2330,'Reference Data'!$A$5:$F$40,4,FALSE),"Unknown")</x:f>
        <x:v>Skin Care</x:v>
      </x:c>
      <x:c r="P2330" s="92" t="n">
        <x:f>IFERROR(VLOOKUP(L2330,'Reference Data'!$A$5:$F$40,5,FALSE),0)</x:f>
        <x:v>58</x:v>
      </x:c>
      <x:c r="Q2330" s="92" t="n">
        <x:f>IFERROR(VLOOKUP(L2330,'Reference Data'!$A$5:$F$40,6,FALSE),0)</x:f>
        <x:v>24</x:v>
      </x:c>
      <x:c r="R2330" s="84" t="n">
        <x:f>'Raw Sales'!J2330</x:f>
        <x:v>1</x:v>
      </x:c>
      <x:c r="S2330" s="87" t="n">
        <x:f>'Raw Sales'!K2330</x:f>
        <x:v>0.05</x:v>
      </x:c>
      <x:c r="T2330" s="93" t="n">
        <x:f>P2330*R2330</x:f>
        <x:v>58</x:v>
      </x:c>
      <x:c r="U2330" s="93" t="n">
        <x:f>T2330*S2330</x:f>
        <x:v>2.9000000000000004</x:v>
      </x:c>
      <x:c r="V2330" s="93" t="str">
        <x:f>PROPER(TRIM('Raw Sales'!L2330))</x:f>
        <x:v>Completed</x:v>
      </x:c>
      <x:c r="W2330" s="93" t="n">
        <x:f>IF(V2330="Returned",0,T2330-U2330)</x:f>
        <x:v>55.1</x:v>
      </x:c>
      <x:c r="X2330" s="93" t="n">
        <x:f>IF(V2330="Returned",Q2330*R2330*10%,Q2330*R2330)</x:f>
        <x:v>24</x:v>
      </x:c>
      <x:c r="Y2330" s="93" t="n">
        <x:f>W2330-X2330</x:f>
        <x:v>31.1</x:v>
      </x:c>
      <x:c r="Z2330" s="94" t="n">
        <x:f>IFERROR(Y2330/W2330,0)</x:f>
        <x:v>0.5644283121597097</x:v>
      </x:c>
      <x:c r="AA2330" s="84" t="str">
        <x:f>PROPER(TRIM('Raw Sales'!M2330))</x:f>
        <x:v>Credit Card</x:v>
      </x:c>
      <x:c r="AB2330" s="84" t="str">
        <x:f>PROPER(TRIM('Raw Sales'!N2330))</x:f>
        <x:v>Nora Kim</x:v>
      </x:c>
      <x:c r="AC2330" s="85" t="n">
        <x:f>'Raw Sales'!O2330</x:f>
        <x:v>46009</x:v>
      </x:c>
      <x:c r="AD2330" s="84" t="n">
        <x:f>AC2330-B2330</x:f>
        <x:v>5</x:v>
      </x:c>
      <x:c r="AE2330" s="84" t="str">
        <x:f>IF(COUNTIF($A$5:A2330,A2330)&gt;1,"Duplicate","Keep")</x:f>
        <x:v>Keep</x:v>
      </x:c>
      <x:c r="AF2330" s="84" t="str">
        <x:f>IF(OR(R2330&lt;=0,AC2330&lt;B2330,H2330="Unknown",M2330="Unknown Product"),"Review","Valid")</x:f>
        <x:v>Valid</x:v>
      </x:c>
      <x:c r="AG2330" s="84" t="n">
        <x:f>IF(AND(AE2330="Keep",AF2330="Valid"),1,0)</x:f>
        <x:v>1</x:v>
      </x:c>
      <x:c r="AH2330" s="84" t="n">
        <x:f>IF(AND(AG2330=1,OR('Dashboard'!$B$4="All",I2330='Dashboard'!$B$4),OR('Dashboard'!$E$4="All",N2330='Dashboard'!$E$4),OR('Dashboard'!$H$4="All",K2330='Dashboard'!$H$4),OR('Dashboard'!$K$4="All",C2330='Dashboard'!$K$4)),1,0)</x:f>
        <x:v>1</x:v>
      </x:c>
      <x:c r="AI2330" s="84" t="n">
        <x:f>IF(AND(AG2330=1,OR('Dashboard'!$B$4="All",I2330='Dashboard'!$B$4),OR('Dashboard'!$E$4="All",N2330='Dashboard'!$E$4),OR('Dashboard'!$H$4="All",K2330='Dashboard'!$H$4)),1,0)</x:f>
        <x:v>1</x:v>
      </x:c>
    </x:row>
    <x:row r="2331">
      <x:c r="A2331" s="84" t="str">
        <x:f>'Raw Sales'!A2331</x:f>
        <x:v>ORD-2025-00484</x:v>
      </x:c>
      <x:c r="B2331" s="85" t="n">
        <x:f>'Raw Sales'!B2331</x:f>
        <x:v>46004</x:v>
      </x:c>
      <x:c r="C2331" s="84" t="n">
        <x:f>YEAR(B2331)</x:f>
        <x:v>2025</x:v>
      </x:c>
      <x:c r="D2331" s="91" t="n">
        <x:f>DATE(YEAR(B2331),MONTH(B2331),1)</x:f>
        <x:v>45992</x:v>
      </x:c>
      <x:c r="E2331" s="84" t="str">
        <x:f>TEXT(B2331,"mmm")</x:f>
        <x:v>Dec</x:v>
      </x:c>
      <x:c r="F2331" s="84" t="str">
        <x:f>'Raw Sales'!C2331</x:f>
        <x:v>CUST-0171</x:v>
      </x:c>
      <x:c r="G2331" s="84" t="str">
        <x:f>PROPER(TRIM('Raw Sales'!D2331))</x:f>
        <x:v>Jonah Nelson</x:v>
      </x:c>
      <x:c r="H2331" s="84" t="str">
        <x:f>IF(TRIM('Raw Sales'!E2331)="","Unknown",PROPER(TRIM('Raw Sales'!E2331)))</x:f>
        <x:v>Small Business</x:v>
      </x:c>
      <x:c r="I2331" s="84" t="str">
        <x:f>PROPER(TRIM('Raw Sales'!F2331))</x:f>
        <x:v>Southeast</x:v>
      </x:c>
      <x:c r="J2331" s="84" t="str">
        <x:f>PROPER(TRIM('Raw Sales'!G2331))</x:f>
        <x:v>Atlanta</x:v>
      </x:c>
      <x:c r="K2331" s="84" t="str">
        <x:f>PROPER(TRIM('Raw Sales'!H2331))</x:f>
        <x:v>Retail Store</x:v>
      </x:c>
      <x:c r="L2331" s="84" t="str">
        <x:f>'Raw Sales'!I2331</x:f>
        <x:v>OFFC-002</x:v>
      </x:c>
      <x:c r="M2331" s="84" t="str">
        <x:f>IFERROR(VLOOKUP(L2331,'Reference Data'!$A$5:$F$40,2,FALSE),"Unknown Product")</x:f>
        <x:v>Standing Desk</x:v>
      </x:c>
      <x:c r="N2331" s="84" t="str">
        <x:f>IFERROR(VLOOKUP(L2331,'Reference Data'!$A$5:$F$40,3,FALSE),"Unknown")</x:f>
        <x:v>Office</x:v>
      </x:c>
      <x:c r="O2331" s="84" t="str">
        <x:f>IFERROR(VLOOKUP(L2331,'Reference Data'!$A$5:$F$40,4,FALSE),"Unknown")</x:f>
        <x:v>Furniture</x:v>
      </x:c>
      <x:c r="P2331" s="92" t="n">
        <x:f>IFERROR(VLOOKUP(L2331,'Reference Data'!$A$5:$F$40,5,FALSE),0)</x:f>
        <x:v>399</x:v>
      </x:c>
      <x:c r="Q2331" s="92" t="n">
        <x:f>IFERROR(VLOOKUP(L2331,'Reference Data'!$A$5:$F$40,6,FALSE),0)</x:f>
        <x:v>235</x:v>
      </x:c>
      <x:c r="R2331" s="84" t="n">
        <x:f>'Raw Sales'!J2331</x:f>
        <x:v>1</x:v>
      </x:c>
      <x:c r="S2331" s="87" t="n">
        <x:f>'Raw Sales'!K2331</x:f>
        <x:v>0.05</x:v>
      </x:c>
      <x:c r="T2331" s="93" t="n">
        <x:f>P2331*R2331</x:f>
        <x:v>399</x:v>
      </x:c>
      <x:c r="U2331" s="93" t="n">
        <x:f>T2331*S2331</x:f>
        <x:v>19.950000000000003</x:v>
      </x:c>
      <x:c r="V2331" s="93" t="str">
        <x:f>PROPER(TRIM('Raw Sales'!L2331))</x:f>
        <x:v>Completed</x:v>
      </x:c>
      <x:c r="W2331" s="93" t="n">
        <x:f>IF(V2331="Returned",0,T2331-U2331)</x:f>
        <x:v>379.05</x:v>
      </x:c>
      <x:c r="X2331" s="93" t="n">
        <x:f>IF(V2331="Returned",Q2331*R2331*10%,Q2331*R2331)</x:f>
        <x:v>235</x:v>
      </x:c>
      <x:c r="Y2331" s="93" t="n">
        <x:f>W2331-X2331</x:f>
        <x:v>144.05</x:v>
      </x:c>
      <x:c r="Z2331" s="94" t="n">
        <x:f>IFERROR(Y2331/W2331,0)</x:f>
        <x:v>0.38002901991821664</x:v>
      </x:c>
      <x:c r="AA2331" s="84" t="str">
        <x:f>PROPER(TRIM('Raw Sales'!M2331))</x:f>
        <x:v>Credit Card</x:v>
      </x:c>
      <x:c r="AB2331" s="84" t="str">
        <x:f>PROPER(TRIM('Raw Sales'!N2331))</x:f>
        <x:v>Ava Mitchell</x:v>
      </x:c>
      <x:c r="AC2331" s="85" t="n">
        <x:f>'Raw Sales'!O2331</x:f>
        <x:v>46004</x:v>
      </x:c>
      <x:c r="AD2331" s="84" t="n">
        <x:f>AC2331-B2331</x:f>
        <x:v>0</x:v>
      </x:c>
      <x:c r="AE2331" s="84" t="str">
        <x:f>IF(COUNTIF($A$5:A2331,A2331)&gt;1,"Duplicate","Keep")</x:f>
        <x:v>Keep</x:v>
      </x:c>
      <x:c r="AF2331" s="84" t="str">
        <x:f>IF(OR(R2331&lt;=0,AC2331&lt;B2331,H2331="Unknown",M2331="Unknown Product"),"Review","Valid")</x:f>
        <x:v>Valid</x:v>
      </x:c>
      <x:c r="AG2331" s="84" t="n">
        <x:f>IF(AND(AE2331="Keep",AF2331="Valid"),1,0)</x:f>
        <x:v>1</x:v>
      </x:c>
      <x:c r="AH2331" s="84" t="n">
        <x:f>IF(AND(AG2331=1,OR('Dashboard'!$B$4="All",I2331='Dashboard'!$B$4),OR('Dashboard'!$E$4="All",N2331='Dashboard'!$E$4),OR('Dashboard'!$H$4="All",K2331='Dashboard'!$H$4),OR('Dashboard'!$K$4="All",C2331='Dashboard'!$K$4)),1,0)</x:f>
        <x:v>1</x:v>
      </x:c>
      <x:c r="AI2331" s="84" t="n">
        <x:f>IF(AND(AG2331=1,OR('Dashboard'!$B$4="All",I2331='Dashboard'!$B$4),OR('Dashboard'!$E$4="All",N2331='Dashboard'!$E$4),OR('Dashboard'!$H$4="All",K2331='Dashboard'!$H$4)),1,0)</x:f>
        <x:v>1</x:v>
      </x:c>
    </x:row>
    <x:row r="2332">
      <x:c r="A2332" s="84" t="str">
        <x:f>'Raw Sales'!A2332</x:f>
        <x:v>ORD-2025-01320</x:v>
      </x:c>
      <x:c r="B2332" s="85" t="n">
        <x:f>'Raw Sales'!B2332</x:f>
        <x:v>46004</x:v>
      </x:c>
      <x:c r="C2332" s="84" t="n">
        <x:f>YEAR(B2332)</x:f>
        <x:v>2025</x:v>
      </x:c>
      <x:c r="D2332" s="91" t="n">
        <x:f>DATE(YEAR(B2332),MONTH(B2332),1)</x:f>
        <x:v>45992</x:v>
      </x:c>
      <x:c r="E2332" s="84" t="str">
        <x:f>TEXT(B2332,"mmm")</x:f>
        <x:v>Dec</x:v>
      </x:c>
      <x:c r="F2332" s="84" t="str">
        <x:f>'Raw Sales'!C2332</x:f>
        <x:v>CUST-0417</x:v>
      </x:c>
      <x:c r="G2332" s="84" t="str">
        <x:f>PROPER(TRIM('Raw Sales'!D2332))</x:f>
        <x:v>Amelia Evans</x:v>
      </x:c>
      <x:c r="H2332" s="84" t="str">
        <x:f>IF(TRIM('Raw Sales'!E2332)="","Unknown",PROPER(TRIM('Raw Sales'!E2332)))</x:f>
        <x:v>Consumer</x:v>
      </x:c>
      <x:c r="I2332" s="84" t="str">
        <x:f>PROPER(TRIM('Raw Sales'!F2332))</x:f>
        <x:v>Northeast</x:v>
      </x:c>
      <x:c r="J2332" s="84" t="str">
        <x:f>PROPER(TRIM('Raw Sales'!G2332))</x:f>
        <x:v>Boston</x:v>
      </x:c>
      <x:c r="K2332" s="84" t="str">
        <x:f>PROPER(TRIM('Raw Sales'!H2332))</x:f>
        <x:v>Retail Store</x:v>
      </x:c>
      <x:c r="L2332" s="84" t="str">
        <x:f>'Raw Sales'!I2332</x:f>
        <x:v>ELEC-001</x:v>
      </x:c>
      <x:c r="M2332" s="84" t="str">
        <x:f>IFERROR(VLOOKUP(L2332,'Reference Data'!$A$5:$F$40,2,FALSE),"Unknown Product")</x:f>
        <x:v>Wireless Earbuds</x:v>
      </x:c>
      <x:c r="N2332" s="84" t="str">
        <x:f>IFERROR(VLOOKUP(L2332,'Reference Data'!$A$5:$F$40,3,FALSE),"Unknown")</x:f>
        <x:v>Electronics</x:v>
      </x:c>
      <x:c r="O2332" s="84" t="str">
        <x:f>IFERROR(VLOOKUP(L2332,'Reference Data'!$A$5:$F$40,4,FALSE),"Unknown")</x:f>
        <x:v>Audio</x:v>
      </x:c>
      <x:c r="P2332" s="92" t="n">
        <x:f>IFERROR(VLOOKUP(L2332,'Reference Data'!$A$5:$F$40,5,FALSE),0)</x:f>
        <x:v>69</x:v>
      </x:c>
      <x:c r="Q2332" s="92" t="n">
        <x:f>IFERROR(VLOOKUP(L2332,'Reference Data'!$A$5:$F$40,6,FALSE),0)</x:f>
        <x:v>36</x:v>
      </x:c>
      <x:c r="R2332" s="84" t="n">
        <x:f>'Raw Sales'!J2332</x:f>
        <x:v>1</x:v>
      </x:c>
      <x:c r="S2332" s="87" t="n">
        <x:f>'Raw Sales'!K2332</x:f>
        <x:v>0.1</x:v>
      </x:c>
      <x:c r="T2332" s="93" t="n">
        <x:f>P2332*R2332</x:f>
        <x:v>69</x:v>
      </x:c>
      <x:c r="U2332" s="93" t="n">
        <x:f>T2332*S2332</x:f>
        <x:v>6.9</x:v>
      </x:c>
      <x:c r="V2332" s="93" t="str">
        <x:f>PROPER(TRIM('Raw Sales'!L2332))</x:f>
        <x:v>Completed</x:v>
      </x:c>
      <x:c r="W2332" s="93" t="n">
        <x:f>IF(V2332="Returned",0,T2332-U2332)</x:f>
        <x:v>62.1</x:v>
      </x:c>
      <x:c r="X2332" s="93" t="n">
        <x:f>IF(V2332="Returned",Q2332*R2332*10%,Q2332*R2332)</x:f>
        <x:v>36</x:v>
      </x:c>
      <x:c r="Y2332" s="93" t="n">
        <x:f>W2332-X2332</x:f>
        <x:v>26.1</x:v>
      </x:c>
      <x:c r="Z2332" s="94" t="n">
        <x:f>IFERROR(Y2332/W2332,0)</x:f>
        <x:v>0.4202898550724638</x:v>
      </x:c>
      <x:c r="AA2332" s="84" t="str">
        <x:f>PROPER(TRIM('Raw Sales'!M2332))</x:f>
        <x:v>Cash</x:v>
      </x:c>
      <x:c r="AB2332" s="84" t="str">
        <x:f>PROPER(TRIM('Raw Sales'!N2332))</x:f>
        <x:v>Maya Brooks</x:v>
      </x:c>
      <x:c r="AC2332" s="85" t="n">
        <x:f>'Raw Sales'!O2332</x:f>
        <x:v>46005</x:v>
      </x:c>
      <x:c r="AD2332" s="84" t="n">
        <x:f>AC2332-B2332</x:f>
        <x:v>1</x:v>
      </x:c>
      <x:c r="AE2332" s="84" t="str">
        <x:f>IF(COUNTIF($A$5:A2332,A2332)&gt;1,"Duplicate","Keep")</x:f>
        <x:v>Keep</x:v>
      </x:c>
      <x:c r="AF2332" s="84" t="str">
        <x:f>IF(OR(R2332&lt;=0,AC2332&lt;B2332,H2332="Unknown",M2332="Unknown Product"),"Review","Valid")</x:f>
        <x:v>Valid</x:v>
      </x:c>
      <x:c r="AG2332" s="84" t="n">
        <x:f>IF(AND(AE2332="Keep",AF2332="Valid"),1,0)</x:f>
        <x:v>1</x:v>
      </x:c>
      <x:c r="AH2332" s="84" t="n">
        <x:f>IF(AND(AG2332=1,OR('Dashboard'!$B$4="All",I2332='Dashboard'!$B$4),OR('Dashboard'!$E$4="All",N2332='Dashboard'!$E$4),OR('Dashboard'!$H$4="All",K2332='Dashboard'!$H$4),OR('Dashboard'!$K$4="All",C2332='Dashboard'!$K$4)),1,0)</x:f>
        <x:v>1</x:v>
      </x:c>
      <x:c r="AI2332" s="84" t="n">
        <x:f>IF(AND(AG2332=1,OR('Dashboard'!$B$4="All",I2332='Dashboard'!$B$4),OR('Dashboard'!$E$4="All",N2332='Dashboard'!$E$4),OR('Dashboard'!$H$4="All",K2332='Dashboard'!$H$4)),1,0)</x:f>
        <x:v>1</x:v>
      </x:c>
    </x:row>
    <x:row r="2333">
      <x:c r="A2333" s="84" t="str">
        <x:f>'Raw Sales'!A2333</x:f>
        <x:v>ORD-2025-02303</x:v>
      </x:c>
      <x:c r="B2333" s="85" t="n">
        <x:f>'Raw Sales'!B2333</x:f>
        <x:v>46004</x:v>
      </x:c>
      <x:c r="C2333" s="84" t="n">
        <x:f>YEAR(B2333)</x:f>
        <x:v>2025</x:v>
      </x:c>
      <x:c r="D2333" s="91" t="n">
        <x:f>DATE(YEAR(B2333),MONTH(B2333),1)</x:f>
        <x:v>45992</x:v>
      </x:c>
      <x:c r="E2333" s="84" t="str">
        <x:f>TEXT(B2333,"mmm")</x:f>
        <x:v>Dec</x:v>
      </x:c>
      <x:c r="F2333" s="84" t="str">
        <x:f>'Raw Sales'!C2333</x:f>
        <x:v>CUST-0462</x:v>
      </x:c>
      <x:c r="G2333" s="84" t="str">
        <x:f>PROPER(TRIM('Raw Sales'!D2333))</x:f>
        <x:v>Grace Johnson</x:v>
      </x:c>
      <x:c r="H2333" s="84" t="str">
        <x:f>IF(TRIM('Raw Sales'!E2333)="","Unknown",PROPER(TRIM('Raw Sales'!E2333)))</x:f>
        <x:v>Consumer</x:v>
      </x:c>
      <x:c r="I2333" s="84" t="str">
        <x:f>PROPER(TRIM('Raw Sales'!F2333))</x:f>
        <x:v>Northeast</x:v>
      </x:c>
      <x:c r="J2333" s="84" t="str">
        <x:f>PROPER(TRIM('Raw Sales'!G2333))</x:f>
        <x:v>Philadelphia</x:v>
      </x:c>
      <x:c r="K2333" s="84" t="str">
        <x:f>PROPER(TRIM('Raw Sales'!H2333))</x:f>
        <x:v>Online</x:v>
      </x:c>
      <x:c r="L2333" s="84" t="str">
        <x:f>'Raw Sales'!I2333</x:f>
        <x:v>ACCS-003</x:v>
      </x:c>
      <x:c r="M2333" s="84" t="str">
        <x:f>IFERROR(VLOOKUP(L2333,'Reference Data'!$A$5:$F$40,2,FALSE),"Unknown Product")</x:f>
        <x:v>Polarized Sunglasses</x:v>
      </x:c>
      <x:c r="N2333" s="84" t="str">
        <x:f>IFERROR(VLOOKUP(L2333,'Reference Data'!$A$5:$F$40,3,FALSE),"Unknown")</x:f>
        <x:v>Accessories</x:v>
      </x:c>
      <x:c r="O2333" s="84" t="str">
        <x:f>IFERROR(VLOOKUP(L2333,'Reference Data'!$A$5:$F$40,4,FALSE),"Unknown")</x:f>
        <x:v>Eyewear</x:v>
      </x:c>
      <x:c r="P2333" s="92" t="n">
        <x:f>IFERROR(VLOOKUP(L2333,'Reference Data'!$A$5:$F$40,5,FALSE),0)</x:f>
        <x:v>59</x:v>
      </x:c>
      <x:c r="Q2333" s="92" t="n">
        <x:f>IFERROR(VLOOKUP(L2333,'Reference Data'!$A$5:$F$40,6,FALSE),0)</x:f>
        <x:v>17</x:v>
      </x:c>
      <x:c r="R2333" s="84" t="n">
        <x:f>'Raw Sales'!J2333</x:f>
        <x:v>1</x:v>
      </x:c>
      <x:c r="S2333" s="87" t="n">
        <x:f>'Raw Sales'!K2333</x:f>
        <x:v>0</x:v>
      </x:c>
      <x:c r="T2333" s="93" t="n">
        <x:f>P2333*R2333</x:f>
        <x:v>59</x:v>
      </x:c>
      <x:c r="U2333" s="93" t="n">
        <x:f>T2333*S2333</x:f>
        <x:v>0</x:v>
      </x:c>
      <x:c r="V2333" s="93" t="str">
        <x:f>PROPER(TRIM('Raw Sales'!L2333))</x:f>
        <x:v>Completed</x:v>
      </x:c>
      <x:c r="W2333" s="93" t="n">
        <x:f>IF(V2333="Returned",0,T2333-U2333)</x:f>
        <x:v>59</x:v>
      </x:c>
      <x:c r="X2333" s="93" t="n">
        <x:f>IF(V2333="Returned",Q2333*R2333*10%,Q2333*R2333)</x:f>
        <x:v>17</x:v>
      </x:c>
      <x:c r="Y2333" s="93" t="n">
        <x:f>W2333-X2333</x:f>
        <x:v>42</x:v>
      </x:c>
      <x:c r="Z2333" s="94" t="n">
        <x:f>IFERROR(Y2333/W2333,0)</x:f>
        <x:v>0.711864406779661</x:v>
      </x:c>
      <x:c r="AA2333" s="84" t="str">
        <x:f>PROPER(TRIM('Raw Sales'!M2333))</x:f>
        <x:v>Debit Card</x:v>
      </x:c>
      <x:c r="AB2333" s="84" t="str">
        <x:f>PROPER(TRIM('Raw Sales'!N2333))</x:f>
        <x:v>Ethan Cole</x:v>
      </x:c>
      <x:c r="AC2333" s="85" t="n">
        <x:f>'Raw Sales'!O2333</x:f>
        <x:v>46007</x:v>
      </x:c>
      <x:c r="AD2333" s="84" t="n">
        <x:f>AC2333-B2333</x:f>
        <x:v>3</x:v>
      </x:c>
      <x:c r="AE2333" s="84" t="str">
        <x:f>IF(COUNTIF($A$5:A2333,A2333)&gt;1,"Duplicate","Keep")</x:f>
        <x:v>Keep</x:v>
      </x:c>
      <x:c r="AF2333" s="84" t="str">
        <x:f>IF(OR(R2333&lt;=0,AC2333&lt;B2333,H2333="Unknown",M2333="Unknown Product"),"Review","Valid")</x:f>
        <x:v>Valid</x:v>
      </x:c>
      <x:c r="AG2333" s="84" t="n">
        <x:f>IF(AND(AE2333="Keep",AF2333="Valid"),1,0)</x:f>
        <x:v>1</x:v>
      </x:c>
      <x:c r="AH2333" s="84" t="n">
        <x:f>IF(AND(AG2333=1,OR('Dashboard'!$B$4="All",I2333='Dashboard'!$B$4),OR('Dashboard'!$E$4="All",N2333='Dashboard'!$E$4),OR('Dashboard'!$H$4="All",K2333='Dashboard'!$H$4),OR('Dashboard'!$K$4="All",C2333='Dashboard'!$K$4)),1,0)</x:f>
        <x:v>1</x:v>
      </x:c>
      <x:c r="AI2333" s="84" t="n">
        <x:f>IF(AND(AG2333=1,OR('Dashboard'!$B$4="All",I2333='Dashboard'!$B$4),OR('Dashboard'!$E$4="All",N2333='Dashboard'!$E$4),OR('Dashboard'!$H$4="All",K2333='Dashboard'!$H$4)),1,0)</x:f>
        <x:v>1</x:v>
      </x:c>
    </x:row>
    <x:row r="2334">
      <x:c r="A2334" s="84" t="str">
        <x:f>'Raw Sales'!A2334</x:f>
        <x:v>ORD-2025-00273</x:v>
      </x:c>
      <x:c r="B2334" s="85" t="n">
        <x:f>'Raw Sales'!B2334</x:f>
        <x:v>46005</x:v>
      </x:c>
      <x:c r="C2334" s="84" t="n">
        <x:f>YEAR(B2334)</x:f>
        <x:v>2025</x:v>
      </x:c>
      <x:c r="D2334" s="91" t="n">
        <x:f>DATE(YEAR(B2334),MONTH(B2334),1)</x:f>
        <x:v>45992</x:v>
      </x:c>
      <x:c r="E2334" s="84" t="str">
        <x:f>TEXT(B2334,"mmm")</x:f>
        <x:v>Dec</x:v>
      </x:c>
      <x:c r="F2334" s="84" t="str">
        <x:f>'Raw Sales'!C2334</x:f>
        <x:v>CUST-0457</x:v>
      </x:c>
      <x:c r="G2334" s="84" t="str">
        <x:f>PROPER(TRIM('Raw Sales'!D2334))</x:f>
        <x:v>Amelia Carter</x:v>
      </x:c>
      <x:c r="H2334" s="84" t="str">
        <x:f>IF(TRIM('Raw Sales'!E2334)="","Unknown",PROPER(TRIM('Raw Sales'!E2334)))</x:f>
        <x:v>Small Business</x:v>
      </x:c>
      <x:c r="I2334" s="84" t="str">
        <x:f>PROPER(TRIM('Raw Sales'!F2334))</x:f>
        <x:v>Midwest</x:v>
      </x:c>
      <x:c r="J2334" s="84" t="str">
        <x:f>PROPER(TRIM('Raw Sales'!G2334))</x:f>
        <x:v>Columbus</x:v>
      </x:c>
      <x:c r="K2334" s="84" t="str">
        <x:f>PROPER(TRIM('Raw Sales'!H2334))</x:f>
        <x:v>Retail Store</x:v>
      </x:c>
      <x:c r="L2334" s="84" t="str">
        <x:f>'Raw Sales'!I2334</x:f>
        <x:v>ACCS-003</x:v>
      </x:c>
      <x:c r="M2334" s="84" t="str">
        <x:f>IFERROR(VLOOKUP(L2334,'Reference Data'!$A$5:$F$40,2,FALSE),"Unknown Product")</x:f>
        <x:v>Polarized Sunglasses</x:v>
      </x:c>
      <x:c r="N2334" s="84" t="str">
        <x:f>IFERROR(VLOOKUP(L2334,'Reference Data'!$A$5:$F$40,3,FALSE),"Unknown")</x:f>
        <x:v>Accessories</x:v>
      </x:c>
      <x:c r="O2334" s="84" t="str">
        <x:f>IFERROR(VLOOKUP(L2334,'Reference Data'!$A$5:$F$40,4,FALSE),"Unknown")</x:f>
        <x:v>Eyewear</x:v>
      </x:c>
      <x:c r="P2334" s="92" t="n">
        <x:f>IFERROR(VLOOKUP(L2334,'Reference Data'!$A$5:$F$40,5,FALSE),0)</x:f>
        <x:v>59</x:v>
      </x:c>
      <x:c r="Q2334" s="92" t="n">
        <x:f>IFERROR(VLOOKUP(L2334,'Reference Data'!$A$5:$F$40,6,FALSE),0)</x:f>
        <x:v>17</x:v>
      </x:c>
      <x:c r="R2334" s="84" t="n">
        <x:f>'Raw Sales'!J2334</x:f>
        <x:v>1</x:v>
      </x:c>
      <x:c r="S2334" s="87" t="n">
        <x:f>'Raw Sales'!K2334</x:f>
        <x:v>0</x:v>
      </x:c>
      <x:c r="T2334" s="93" t="n">
        <x:f>P2334*R2334</x:f>
        <x:v>59</x:v>
      </x:c>
      <x:c r="U2334" s="93" t="n">
        <x:f>T2334*S2334</x:f>
        <x:v>0</x:v>
      </x:c>
      <x:c r="V2334" s="93" t="str">
        <x:f>PROPER(TRIM('Raw Sales'!L2334))</x:f>
        <x:v>Completed</x:v>
      </x:c>
      <x:c r="W2334" s="93" t="n">
        <x:f>IF(V2334="Returned",0,T2334-U2334)</x:f>
        <x:v>59</x:v>
      </x:c>
      <x:c r="X2334" s="93" t="n">
        <x:f>IF(V2334="Returned",Q2334*R2334*10%,Q2334*R2334)</x:f>
        <x:v>17</x:v>
      </x:c>
      <x:c r="Y2334" s="93" t="n">
        <x:f>W2334-X2334</x:f>
        <x:v>42</x:v>
      </x:c>
      <x:c r="Z2334" s="94" t="n">
        <x:f>IFERROR(Y2334/W2334,0)</x:f>
        <x:v>0.711864406779661</x:v>
      </x:c>
      <x:c r="AA2334" s="84" t="str">
        <x:f>PROPER(TRIM('Raw Sales'!M2334))</x:f>
        <x:v>Credit Card</x:v>
      </x:c>
      <x:c r="AB2334" s="84" t="str">
        <x:f>PROPER(TRIM('Raw Sales'!N2334))</x:f>
        <x:v>Emma Hayes</x:v>
      </x:c>
      <x:c r="AC2334" s="85" t="n">
        <x:f>'Raw Sales'!O2334</x:f>
        <x:v>46006</x:v>
      </x:c>
      <x:c r="AD2334" s="84" t="n">
        <x:f>AC2334-B2334</x:f>
        <x:v>1</x:v>
      </x:c>
      <x:c r="AE2334" s="84" t="str">
        <x:f>IF(COUNTIF($A$5:A2334,A2334)&gt;1,"Duplicate","Keep")</x:f>
        <x:v>Keep</x:v>
      </x:c>
      <x:c r="AF2334" s="84" t="str">
        <x:f>IF(OR(R2334&lt;=0,AC2334&lt;B2334,H2334="Unknown",M2334="Unknown Product"),"Review","Valid")</x:f>
        <x:v>Valid</x:v>
      </x:c>
      <x:c r="AG2334" s="84" t="n">
        <x:f>IF(AND(AE2334="Keep",AF2334="Valid"),1,0)</x:f>
        <x:v>1</x:v>
      </x:c>
      <x:c r="AH2334" s="84" t="n">
        <x:f>IF(AND(AG2334=1,OR('Dashboard'!$B$4="All",I2334='Dashboard'!$B$4),OR('Dashboard'!$E$4="All",N2334='Dashboard'!$E$4),OR('Dashboard'!$H$4="All",K2334='Dashboard'!$H$4),OR('Dashboard'!$K$4="All",C2334='Dashboard'!$K$4)),1,0)</x:f>
        <x:v>1</x:v>
      </x:c>
      <x:c r="AI2334" s="84" t="n">
        <x:f>IF(AND(AG2334=1,OR('Dashboard'!$B$4="All",I2334='Dashboard'!$B$4),OR('Dashboard'!$E$4="All",N2334='Dashboard'!$E$4),OR('Dashboard'!$H$4="All",K2334='Dashboard'!$H$4)),1,0)</x:f>
        <x:v>1</x:v>
      </x:c>
    </x:row>
    <x:row r="2335">
      <x:c r="A2335" s="84" t="str">
        <x:f>'Raw Sales'!A2335</x:f>
        <x:v>ORD-2025-00373</x:v>
      </x:c>
      <x:c r="B2335" s="85" t="n">
        <x:f>'Raw Sales'!B2335</x:f>
        <x:v>46005</x:v>
      </x:c>
      <x:c r="C2335" s="84" t="n">
        <x:f>YEAR(B2335)</x:f>
        <x:v>2025</x:v>
      </x:c>
      <x:c r="D2335" s="91" t="n">
        <x:f>DATE(YEAR(B2335),MONTH(B2335),1)</x:f>
        <x:v>45992</x:v>
      </x:c>
      <x:c r="E2335" s="84" t="str">
        <x:f>TEXT(B2335,"mmm")</x:f>
        <x:v>Dec</x:v>
      </x:c>
      <x:c r="F2335" s="84" t="str">
        <x:f>'Raw Sales'!C2335</x:f>
        <x:v>CUST-0281</x:v>
      </x:c>
      <x:c r="G2335" s="84" t="str">
        <x:f>PROPER(TRIM('Raw Sales'!D2335))</x:f>
        <x:v>Jonah Foster</x:v>
      </x:c>
      <x:c r="H2335" s="84" t="str">
        <x:f>IF(TRIM('Raw Sales'!E2335)="","Unknown",PROPER(TRIM('Raw Sales'!E2335)))</x:f>
        <x:v>Consumer</x:v>
      </x:c>
      <x:c r="I2335" s="84" t="str">
        <x:f>PROPER(TRIM('Raw Sales'!F2335))</x:f>
        <x:v>Midwest</x:v>
      </x:c>
      <x:c r="J2335" s="84" t="str">
        <x:f>PROPER(TRIM('Raw Sales'!G2335))</x:f>
        <x:v>Detroit</x:v>
      </x:c>
      <x:c r="K2335" s="84" t="str">
        <x:f>PROPER(TRIM('Raw Sales'!H2335))</x:f>
        <x:v>Online</x:v>
      </x:c>
      <x:c r="L2335" s="84" t="str">
        <x:f>'Raw Sales'!I2335</x:f>
        <x:v>ELEC-001</x:v>
      </x:c>
      <x:c r="M2335" s="84" t="str">
        <x:f>IFERROR(VLOOKUP(L2335,'Reference Data'!$A$5:$F$40,2,FALSE),"Unknown Product")</x:f>
        <x:v>Wireless Earbuds</x:v>
      </x:c>
      <x:c r="N2335" s="84" t="str">
        <x:f>IFERROR(VLOOKUP(L2335,'Reference Data'!$A$5:$F$40,3,FALSE),"Unknown")</x:f>
        <x:v>Electronics</x:v>
      </x:c>
      <x:c r="O2335" s="84" t="str">
        <x:f>IFERROR(VLOOKUP(L2335,'Reference Data'!$A$5:$F$40,4,FALSE),"Unknown")</x:f>
        <x:v>Audio</x:v>
      </x:c>
      <x:c r="P2335" s="92" t="n">
        <x:f>IFERROR(VLOOKUP(L2335,'Reference Data'!$A$5:$F$40,5,FALSE),0)</x:f>
        <x:v>69</x:v>
      </x:c>
      <x:c r="Q2335" s="92" t="n">
        <x:f>IFERROR(VLOOKUP(L2335,'Reference Data'!$A$5:$F$40,6,FALSE),0)</x:f>
        <x:v>36</x:v>
      </x:c>
      <x:c r="R2335" s="84" t="n">
        <x:f>'Raw Sales'!J2335</x:f>
        <x:v>1</x:v>
      </x:c>
      <x:c r="S2335" s="87" t="n">
        <x:f>'Raw Sales'!K2335</x:f>
        <x:v>0.2</x:v>
      </x:c>
      <x:c r="T2335" s="93" t="n">
        <x:f>P2335*R2335</x:f>
        <x:v>69</x:v>
      </x:c>
      <x:c r="U2335" s="93" t="n">
        <x:f>T2335*S2335</x:f>
        <x:v>13.8</x:v>
      </x:c>
      <x:c r="V2335" s="93" t="str">
        <x:f>PROPER(TRIM('Raw Sales'!L2335))</x:f>
        <x:v>Completed</x:v>
      </x:c>
      <x:c r="W2335" s="93" t="n">
        <x:f>IF(V2335="Returned",0,T2335-U2335)</x:f>
        <x:v>55.2</x:v>
      </x:c>
      <x:c r="X2335" s="93" t="n">
        <x:f>IF(V2335="Returned",Q2335*R2335*10%,Q2335*R2335)</x:f>
        <x:v>36</x:v>
      </x:c>
      <x:c r="Y2335" s="93" t="n">
        <x:f>W2335-X2335</x:f>
        <x:v>19.200000000000003</x:v>
      </x:c>
      <x:c r="Z2335" s="94" t="n">
        <x:f>IFERROR(Y2335/W2335,0)</x:f>
        <x:v>0.3478260869565218</x:v>
      </x:c>
      <x:c r="AA2335" s="84" t="str">
        <x:f>PROPER(TRIM('Raw Sales'!M2335))</x:f>
        <x:v>Mobile Wallet</x:v>
      </x:c>
      <x:c r="AB2335" s="84" t="str">
        <x:f>PROPER(TRIM('Raw Sales'!N2335))</x:f>
        <x:v>Lucas Grant</x:v>
      </x:c>
      <x:c r="AC2335" s="85" t="n">
        <x:f>'Raw Sales'!O2335</x:f>
        <x:v>46009</x:v>
      </x:c>
      <x:c r="AD2335" s="84" t="n">
        <x:f>AC2335-B2335</x:f>
        <x:v>4</x:v>
      </x:c>
      <x:c r="AE2335" s="84" t="str">
        <x:f>IF(COUNTIF($A$5:A2335,A2335)&gt;1,"Duplicate","Keep")</x:f>
        <x:v>Keep</x:v>
      </x:c>
      <x:c r="AF2335" s="84" t="str">
        <x:f>IF(OR(R2335&lt;=0,AC2335&lt;B2335,H2335="Unknown",M2335="Unknown Product"),"Review","Valid")</x:f>
        <x:v>Valid</x:v>
      </x:c>
      <x:c r="AG2335" s="84" t="n">
        <x:f>IF(AND(AE2335="Keep",AF2335="Valid"),1,0)</x:f>
        <x:v>1</x:v>
      </x:c>
      <x:c r="AH2335" s="84" t="n">
        <x:f>IF(AND(AG2335=1,OR('Dashboard'!$B$4="All",I2335='Dashboard'!$B$4),OR('Dashboard'!$E$4="All",N2335='Dashboard'!$E$4),OR('Dashboard'!$H$4="All",K2335='Dashboard'!$H$4),OR('Dashboard'!$K$4="All",C2335='Dashboard'!$K$4)),1,0)</x:f>
        <x:v>1</x:v>
      </x:c>
      <x:c r="AI2335" s="84" t="n">
        <x:f>IF(AND(AG2335=1,OR('Dashboard'!$B$4="All",I2335='Dashboard'!$B$4),OR('Dashboard'!$E$4="All",N2335='Dashboard'!$E$4),OR('Dashboard'!$H$4="All",K2335='Dashboard'!$H$4)),1,0)</x:f>
        <x:v>1</x:v>
      </x:c>
    </x:row>
    <x:row r="2336">
      <x:c r="A2336" s="84" t="str">
        <x:f>'Raw Sales'!A2336</x:f>
        <x:v>ORD-2025-00854</x:v>
      </x:c>
      <x:c r="B2336" s="85" t="n">
        <x:f>'Raw Sales'!B2336</x:f>
        <x:v>46005</x:v>
      </x:c>
      <x:c r="C2336" s="84" t="n">
        <x:f>YEAR(B2336)</x:f>
        <x:v>2025</x:v>
      </x:c>
      <x:c r="D2336" s="91" t="n">
        <x:f>DATE(YEAR(B2336),MONTH(B2336),1)</x:f>
        <x:v>45992</x:v>
      </x:c>
      <x:c r="E2336" s="84" t="str">
        <x:f>TEXT(B2336,"mmm")</x:f>
        <x:v>Dec</x:v>
      </x:c>
      <x:c r="F2336" s="84" t="str">
        <x:f>'Raw Sales'!C2336</x:f>
        <x:v>CUST-0180</x:v>
      </x:c>
      <x:c r="G2336" s="84" t="str">
        <x:f>PROPER(TRIM('Raw Sales'!D2336))</x:f>
        <x:v>Chloe Irwin</x:v>
      </x:c>
      <x:c r="H2336" s="84" t="str">
        <x:f>IF(TRIM('Raw Sales'!E2336)="","Unknown",PROPER(TRIM('Raw Sales'!E2336)))</x:f>
        <x:v>Unknown</x:v>
      </x:c>
      <x:c r="I2336" s="84" t="str">
        <x:f>PROPER(TRIM('Raw Sales'!F2336))</x:f>
        <x:v>Southeast</x:v>
      </x:c>
      <x:c r="J2336" s="84" t="str">
        <x:f>PROPER(TRIM('Raw Sales'!G2336))</x:f>
        <x:v>Miami</x:v>
      </x:c>
      <x:c r="K2336" s="84" t="str">
        <x:f>PROPER(TRIM('Raw Sales'!H2336))</x:f>
        <x:v>Online</x:v>
      </x:c>
      <x:c r="L2336" s="84" t="str">
        <x:f>'Raw Sales'!I2336</x:f>
        <x:v>FITN-005</x:v>
      </x:c>
      <x:c r="M2336" s="84" t="str">
        <x:f>IFERROR(VLOOKUP(L2336,'Reference Data'!$A$5:$F$40,2,FALSE),"Unknown Product")</x:f>
        <x:v>Sports Water Bottle</x:v>
      </x:c>
      <x:c r="N2336" s="84" t="str">
        <x:f>IFERROR(VLOOKUP(L2336,'Reference Data'!$A$5:$F$40,3,FALSE),"Unknown")</x:f>
        <x:v>Fitness</x:v>
      </x:c>
      <x:c r="O2336" s="84" t="str">
        <x:f>IFERROR(VLOOKUP(L2336,'Reference Data'!$A$5:$F$40,4,FALSE),"Unknown")</x:f>
        <x:v>Accessories</x:v>
      </x:c>
      <x:c r="P2336" s="92" t="n">
        <x:f>IFERROR(VLOOKUP(L2336,'Reference Data'!$A$5:$F$40,5,FALSE),0)</x:f>
        <x:v>22</x:v>
      </x:c>
      <x:c r="Q2336" s="92" t="n">
        <x:f>IFERROR(VLOOKUP(L2336,'Reference Data'!$A$5:$F$40,6,FALSE),0)</x:f>
        <x:v>7</x:v>
      </x:c>
      <x:c r="R2336" s="84" t="n">
        <x:f>'Raw Sales'!J2336</x:f>
        <x:v>3</x:v>
      </x:c>
      <x:c r="S2336" s="87" t="n">
        <x:f>'Raw Sales'!K2336</x:f>
        <x:v>0</x:v>
      </x:c>
      <x:c r="T2336" s="93" t="n">
        <x:f>P2336*R2336</x:f>
        <x:v>66</x:v>
      </x:c>
      <x:c r="U2336" s="93" t="n">
        <x:f>T2336*S2336</x:f>
        <x:v>0</x:v>
      </x:c>
      <x:c r="V2336" s="93" t="str">
        <x:f>PROPER(TRIM('Raw Sales'!L2336))</x:f>
        <x:v>Returned</x:v>
      </x:c>
      <x:c r="W2336" s="93" t="n">
        <x:f>IF(V2336="Returned",0,T2336-U2336)</x:f>
        <x:v>0</x:v>
      </x:c>
      <x:c r="X2336" s="93" t="n">
        <x:f>IF(V2336="Returned",Q2336*R2336*10%,Q2336*R2336)</x:f>
        <x:v>2.1</x:v>
      </x:c>
      <x:c r="Y2336" s="93" t="n">
        <x:f>W2336-X2336</x:f>
        <x:v>-2.1</x:v>
      </x:c>
      <x:c r="Z2336" s="94" t="n">
        <x:f>IFERROR(Y2336/W2336,0)</x:f>
        <x:v>0</x:v>
      </x:c>
      <x:c r="AA2336" s="84" t="str">
        <x:f>PROPER(TRIM('Raw Sales'!M2336))</x:f>
        <x:v>Debit Card</x:v>
      </x:c>
      <x:c r="AB2336" s="84" t="str">
        <x:f>PROPER(TRIM('Raw Sales'!N2336))</x:f>
        <x:v>Ava Mitchell</x:v>
      </x:c>
      <x:c r="AC2336" s="85" t="n">
        <x:f>'Raw Sales'!O2336</x:f>
        <x:v>46008</x:v>
      </x:c>
      <x:c r="AD2336" s="84" t="n">
        <x:f>AC2336-B2336</x:f>
        <x:v>3</x:v>
      </x:c>
      <x:c r="AE2336" s="84" t="str">
        <x:f>IF(COUNTIF($A$5:A2336,A2336)&gt;1,"Duplicate","Keep")</x:f>
        <x:v>Keep</x:v>
      </x:c>
      <x:c r="AF2336" s="84" t="str">
        <x:f>IF(OR(R2336&lt;=0,AC2336&lt;B2336,H2336="Unknown",M2336="Unknown Product"),"Review","Valid")</x:f>
        <x:v>Review</x:v>
      </x:c>
      <x:c r="AG2336" s="84" t="n">
        <x:f>IF(AND(AE2336="Keep",AF2336="Valid"),1,0)</x:f>
        <x:v>0</x:v>
      </x:c>
      <x:c r="AH2336" s="84" t="n">
        <x:f>IF(AND(AG2336=1,OR('Dashboard'!$B$4="All",I2336='Dashboard'!$B$4),OR('Dashboard'!$E$4="All",N2336='Dashboard'!$E$4),OR('Dashboard'!$H$4="All",K2336='Dashboard'!$H$4),OR('Dashboard'!$K$4="All",C2336='Dashboard'!$K$4)),1,0)</x:f>
        <x:v>0</x:v>
      </x:c>
      <x:c r="AI2336" s="84" t="n">
        <x:f>IF(AND(AG2336=1,OR('Dashboard'!$B$4="All",I2336='Dashboard'!$B$4),OR('Dashboard'!$E$4="All",N2336='Dashboard'!$E$4),OR('Dashboard'!$H$4="All",K2336='Dashboard'!$H$4)),1,0)</x:f>
        <x:v>0</x:v>
      </x:c>
    </x:row>
    <x:row r="2337">
      <x:c r="A2337" s="84" t="str">
        <x:f>'Raw Sales'!A2337</x:f>
        <x:v>ORD-2025-01109</x:v>
      </x:c>
      <x:c r="B2337" s="85" t="n">
        <x:f>'Raw Sales'!B2337</x:f>
        <x:v>46005</x:v>
      </x:c>
      <x:c r="C2337" s="84" t="n">
        <x:f>YEAR(B2337)</x:f>
        <x:v>2025</x:v>
      </x:c>
      <x:c r="D2337" s="91" t="n">
        <x:f>DATE(YEAR(B2337),MONTH(B2337),1)</x:f>
        <x:v>45992</x:v>
      </x:c>
      <x:c r="E2337" s="84" t="str">
        <x:f>TEXT(B2337,"mmm")</x:f>
        <x:v>Dec</x:v>
      </x:c>
      <x:c r="F2337" s="84" t="str">
        <x:f>'Raw Sales'!C2337</x:f>
        <x:v>CUST-0571</x:v>
      </x:c>
      <x:c r="G2337" s="84" t="str">
        <x:f>PROPER(TRIM('Raw Sales'!D2337))</x:f>
        <x:v>Elias Smith</x:v>
      </x:c>
      <x:c r="H2337" s="84" t="str">
        <x:f>IF(TRIM('Raw Sales'!E2337)="","Unknown",PROPER(TRIM('Raw Sales'!E2337)))</x:f>
        <x:v>Consumer</x:v>
      </x:c>
      <x:c r="I2337" s="84" t="str">
        <x:f>PROPER(TRIM('Raw Sales'!F2337))</x:f>
        <x:v>Southeast</x:v>
      </x:c>
      <x:c r="J2337" s="84" t="str">
        <x:f>PROPER(TRIM('Raw Sales'!G2337))</x:f>
        <x:v>Miami</x:v>
      </x:c>
      <x:c r="K2337" s="84" t="str">
        <x:f>PROPER(TRIM('Raw Sales'!H2337))</x:f>
        <x:v>Marketplace</x:v>
      </x:c>
      <x:c r="L2337" s="84" t="str">
        <x:f>'Raw Sales'!I2337</x:f>
        <x:v>ELEC-006</x:v>
      </x:c>
      <x:c r="M2337" s="84" t="str">
        <x:f>IFERROR(VLOOKUP(L2337,'Reference Data'!$A$5:$F$40,2,FALSE),"Unknown Product")</x:f>
        <x:v>Portable SSD</x:v>
      </x:c>
      <x:c r="N2337" s="84" t="str">
        <x:f>IFERROR(VLOOKUP(L2337,'Reference Data'!$A$5:$F$40,3,FALSE),"Unknown")</x:f>
        <x:v>Electronics</x:v>
      </x:c>
      <x:c r="O2337" s="84" t="str">
        <x:f>IFERROR(VLOOKUP(L2337,'Reference Data'!$A$5:$F$40,4,FALSE),"Unknown")</x:f>
        <x:v>Storage</x:v>
      </x:c>
      <x:c r="P2337" s="92" t="n">
        <x:f>IFERROR(VLOOKUP(L2337,'Reference Data'!$A$5:$F$40,5,FALSE),0)</x:f>
        <x:v>129</x:v>
      </x:c>
      <x:c r="Q2337" s="92" t="n">
        <x:f>IFERROR(VLOOKUP(L2337,'Reference Data'!$A$5:$F$40,6,FALSE),0)</x:f>
        <x:v>75</x:v>
      </x:c>
      <x:c r="R2337" s="84" t="n">
        <x:f>'Raw Sales'!J2337</x:f>
        <x:v>1</x:v>
      </x:c>
      <x:c r="S2337" s="87" t="n">
        <x:f>'Raw Sales'!K2337</x:f>
        <x:v>0.2</x:v>
      </x:c>
      <x:c r="T2337" s="93" t="n">
        <x:f>P2337*R2337</x:f>
        <x:v>129</x:v>
      </x:c>
      <x:c r="U2337" s="93" t="n">
        <x:f>T2337*S2337</x:f>
        <x:v>25.8</x:v>
      </x:c>
      <x:c r="V2337" s="93" t="str">
        <x:f>PROPER(TRIM('Raw Sales'!L2337))</x:f>
        <x:v>Completed</x:v>
      </x:c>
      <x:c r="W2337" s="93" t="n">
        <x:f>IF(V2337="Returned",0,T2337-U2337)</x:f>
        <x:v>103.2</x:v>
      </x:c>
      <x:c r="X2337" s="93" t="n">
        <x:f>IF(V2337="Returned",Q2337*R2337*10%,Q2337*R2337)</x:f>
        <x:v>75</x:v>
      </x:c>
      <x:c r="Y2337" s="93" t="n">
        <x:f>W2337-X2337</x:f>
        <x:v>28.200000000000003</x:v>
      </x:c>
      <x:c r="Z2337" s="94" t="n">
        <x:f>IFERROR(Y2337/W2337,0)</x:f>
        <x:v>0.2732558139534884</x:v>
      </x:c>
      <x:c r="AA2337" s="84" t="str">
        <x:f>PROPER(TRIM('Raw Sales'!M2337))</x:f>
        <x:v>Paypal</x:v>
      </x:c>
      <x:c r="AB2337" s="84" t="str">
        <x:f>PROPER(TRIM('Raw Sales'!N2337))</x:f>
        <x:v>Noah Reed</x:v>
      </x:c>
      <x:c r="AC2337" s="85" t="n">
        <x:f>'Raw Sales'!O2337</x:f>
        <x:v>46010</x:v>
      </x:c>
      <x:c r="AD2337" s="84" t="n">
        <x:f>AC2337-B2337</x:f>
        <x:v>5</x:v>
      </x:c>
      <x:c r="AE2337" s="84" t="str">
        <x:f>IF(COUNTIF($A$5:A2337,A2337)&gt;1,"Duplicate","Keep")</x:f>
        <x:v>Keep</x:v>
      </x:c>
      <x:c r="AF2337" s="84" t="str">
        <x:f>IF(OR(R2337&lt;=0,AC2337&lt;B2337,H2337="Unknown",M2337="Unknown Product"),"Review","Valid")</x:f>
        <x:v>Valid</x:v>
      </x:c>
      <x:c r="AG2337" s="84" t="n">
        <x:f>IF(AND(AE2337="Keep",AF2337="Valid"),1,0)</x:f>
        <x:v>1</x:v>
      </x:c>
      <x:c r="AH2337" s="84" t="n">
        <x:f>IF(AND(AG2337=1,OR('Dashboard'!$B$4="All",I2337='Dashboard'!$B$4),OR('Dashboard'!$E$4="All",N2337='Dashboard'!$E$4),OR('Dashboard'!$H$4="All",K2337='Dashboard'!$H$4),OR('Dashboard'!$K$4="All",C2337='Dashboard'!$K$4)),1,0)</x:f>
        <x:v>1</x:v>
      </x:c>
      <x:c r="AI2337" s="84" t="n">
        <x:f>IF(AND(AG2337=1,OR('Dashboard'!$B$4="All",I2337='Dashboard'!$B$4),OR('Dashboard'!$E$4="All",N2337='Dashboard'!$E$4),OR('Dashboard'!$H$4="All",K2337='Dashboard'!$H$4)),1,0)</x:f>
        <x:v>1</x:v>
      </x:c>
    </x:row>
    <x:row r="2338">
      <x:c r="A2338" s="84" t="str">
        <x:f>'Raw Sales'!A2338</x:f>
        <x:v>ORD-2025-01147</x:v>
      </x:c>
      <x:c r="B2338" s="85" t="n">
        <x:f>'Raw Sales'!B2338</x:f>
        <x:v>46005</x:v>
      </x:c>
      <x:c r="C2338" s="84" t="n">
        <x:f>YEAR(B2338)</x:f>
        <x:v>2025</x:v>
      </x:c>
      <x:c r="D2338" s="91" t="n">
        <x:f>DATE(YEAR(B2338),MONTH(B2338),1)</x:f>
        <x:v>45992</x:v>
      </x:c>
      <x:c r="E2338" s="84" t="str">
        <x:f>TEXT(B2338,"mmm")</x:f>
        <x:v>Dec</x:v>
      </x:c>
      <x:c r="F2338" s="84" t="str">
        <x:f>'Raw Sales'!C2338</x:f>
        <x:v>CUST-0048</x:v>
      </x:c>
      <x:c r="G2338" s="84" t="str">
        <x:f>PROPER(TRIM('Raw Sales'!D2338))</x:f>
        <x:v>Nathan Walker</x:v>
      </x:c>
      <x:c r="H2338" s="84" t="str">
        <x:f>IF(TRIM('Raw Sales'!E2338)="","Unknown",PROPER(TRIM('Raw Sales'!E2338)))</x:f>
        <x:v>Consumer</x:v>
      </x:c>
      <x:c r="I2338" s="84" t="str">
        <x:f>PROPER(TRIM('Raw Sales'!F2338))</x:f>
        <x:v>West</x:v>
      </x:c>
      <x:c r="J2338" s="84" t="str">
        <x:f>PROPER(TRIM('Raw Sales'!G2338))</x:f>
        <x:v>Denver</x:v>
      </x:c>
      <x:c r="K2338" s="84" t="str">
        <x:f>PROPER(TRIM('Raw Sales'!H2338))</x:f>
        <x:v>Marketplace</x:v>
      </x:c>
      <x:c r="L2338" s="84" t="str">
        <x:f>'Raw Sales'!I2338</x:f>
        <x:v>HOME-003</x:v>
      </x:c>
      <x:c r="M2338" s="84" t="str">
        <x:f>IFERROR(VLOOKUP(L2338,'Reference Data'!$A$5:$F$40,2,FALSE),"Unknown Product")</x:f>
        <x:v>Countertop Blender</x:v>
      </x:c>
      <x:c r="N2338" s="84" t="str">
        <x:f>IFERROR(VLOOKUP(L2338,'Reference Data'!$A$5:$F$40,3,FALSE),"Unknown")</x:f>
        <x:v>Home &amp; Kitchen</x:v>
      </x:c>
      <x:c r="O2338" s="84" t="str">
        <x:f>IFERROR(VLOOKUP(L2338,'Reference Data'!$A$5:$F$40,4,FALSE),"Unknown")</x:f>
        <x:v>Small Appliances</x:v>
      </x:c>
      <x:c r="P2338" s="92" t="n">
        <x:f>IFERROR(VLOOKUP(L2338,'Reference Data'!$A$5:$F$40,5,FALSE),0)</x:f>
        <x:v>89</x:v>
      </x:c>
      <x:c r="Q2338" s="92" t="n">
        <x:f>IFERROR(VLOOKUP(L2338,'Reference Data'!$A$5:$F$40,6,FALSE),0)</x:f>
        <x:v>46</x:v>
      </x:c>
      <x:c r="R2338" s="84" t="n">
        <x:f>'Raw Sales'!J2338</x:f>
        <x:v>2</x:v>
      </x:c>
      <x:c r="S2338" s="87" t="n">
        <x:f>'Raw Sales'!K2338</x:f>
        <x:v>0.1</x:v>
      </x:c>
      <x:c r="T2338" s="93" t="n">
        <x:f>P2338*R2338</x:f>
        <x:v>178</x:v>
      </x:c>
      <x:c r="U2338" s="93" t="n">
        <x:f>T2338*S2338</x:f>
        <x:v>17.8</x:v>
      </x:c>
      <x:c r="V2338" s="93" t="str">
        <x:f>PROPER(TRIM('Raw Sales'!L2338))</x:f>
        <x:v>Completed</x:v>
      </x:c>
      <x:c r="W2338" s="93" t="n">
        <x:f>IF(V2338="Returned",0,T2338-U2338)</x:f>
        <x:v>160.2</x:v>
      </x:c>
      <x:c r="X2338" s="93" t="n">
        <x:f>IF(V2338="Returned",Q2338*R2338*10%,Q2338*R2338)</x:f>
        <x:v>92</x:v>
      </x:c>
      <x:c r="Y2338" s="93" t="n">
        <x:f>W2338-X2338</x:f>
        <x:v>68.19999999999999</x:v>
      </x:c>
      <x:c r="Z2338" s="94" t="n">
        <x:f>IFERROR(Y2338/W2338,0)</x:f>
        <x:v>0.4257178526841448</x:v>
      </x:c>
      <x:c r="AA2338" s="84" t="str">
        <x:f>PROPER(TRIM('Raw Sales'!M2338))</x:f>
        <x:v>Debit Card</x:v>
      </x:c>
      <x:c r="AB2338" s="84" t="str">
        <x:f>PROPER(TRIM('Raw Sales'!N2338))</x:f>
        <x:v>Leo Martinez</x:v>
      </x:c>
      <x:c r="AC2338" s="85" t="n">
        <x:f>'Raw Sales'!O2338</x:f>
        <x:v>46012</x:v>
      </x:c>
      <x:c r="AD2338" s="84" t="n">
        <x:f>AC2338-B2338</x:f>
        <x:v>7</x:v>
      </x:c>
      <x:c r="AE2338" s="84" t="str">
        <x:f>IF(COUNTIF($A$5:A2338,A2338)&gt;1,"Duplicate","Keep")</x:f>
        <x:v>Keep</x:v>
      </x:c>
      <x:c r="AF2338" s="84" t="str">
        <x:f>IF(OR(R2338&lt;=0,AC2338&lt;B2338,H2338="Unknown",M2338="Unknown Product"),"Review","Valid")</x:f>
        <x:v>Valid</x:v>
      </x:c>
      <x:c r="AG2338" s="84" t="n">
        <x:f>IF(AND(AE2338="Keep",AF2338="Valid"),1,0)</x:f>
        <x:v>1</x:v>
      </x:c>
      <x:c r="AH2338" s="84" t="n">
        <x:f>IF(AND(AG2338=1,OR('Dashboard'!$B$4="All",I2338='Dashboard'!$B$4),OR('Dashboard'!$E$4="All",N2338='Dashboard'!$E$4),OR('Dashboard'!$H$4="All",K2338='Dashboard'!$H$4),OR('Dashboard'!$K$4="All",C2338='Dashboard'!$K$4)),1,0)</x:f>
        <x:v>1</x:v>
      </x:c>
      <x:c r="AI2338" s="84" t="n">
        <x:f>IF(AND(AG2338=1,OR('Dashboard'!$B$4="All",I2338='Dashboard'!$B$4),OR('Dashboard'!$E$4="All",N2338='Dashboard'!$E$4),OR('Dashboard'!$H$4="All",K2338='Dashboard'!$H$4)),1,0)</x:f>
        <x:v>1</x:v>
      </x:c>
    </x:row>
    <x:row r="2339">
      <x:c r="A2339" s="84" t="str">
        <x:f>'Raw Sales'!A2339</x:f>
        <x:v>ORD-2025-01192</x:v>
      </x:c>
      <x:c r="B2339" s="85" t="n">
        <x:f>'Raw Sales'!B2339</x:f>
        <x:v>46005</x:v>
      </x:c>
      <x:c r="C2339" s="84" t="n">
        <x:f>YEAR(B2339)</x:f>
        <x:v>2025</x:v>
      </x:c>
      <x:c r="D2339" s="91" t="n">
        <x:f>DATE(YEAR(B2339),MONTH(B2339),1)</x:f>
        <x:v>45992</x:v>
      </x:c>
      <x:c r="E2339" s="84" t="str">
        <x:f>TEXT(B2339,"mmm")</x:f>
        <x:v>Dec</x:v>
      </x:c>
      <x:c r="F2339" s="84" t="str">
        <x:f>'Raw Sales'!C2339</x:f>
        <x:v>CUST-0183</x:v>
      </x:c>
      <x:c r="G2339" s="84" t="str">
        <x:f>PROPER(TRIM('Raw Sales'!D2339))</x:f>
        <x:v>Jasmine Taylor</x:v>
      </x:c>
      <x:c r="H2339" s="84" t="str">
        <x:f>IF(TRIM('Raw Sales'!E2339)="","Unknown",PROPER(TRIM('Raw Sales'!E2339)))</x:f>
        <x:v>Corporate</x:v>
      </x:c>
      <x:c r="I2339" s="84" t="str">
        <x:f>PROPER(TRIM('Raw Sales'!F2339))</x:f>
        <x:v>West</x:v>
      </x:c>
      <x:c r="J2339" s="84" t="str">
        <x:f>PROPER(TRIM('Raw Sales'!G2339))</x:f>
        <x:v>Denver</x:v>
      </x:c>
      <x:c r="K2339" s="84" t="str">
        <x:f>PROPER(TRIM('Raw Sales'!H2339))</x:f>
        <x:v>Retail Store</x:v>
      </x:c>
      <x:c r="L2339" s="84" t="str">
        <x:f>'Raw Sales'!I2339</x:f>
        <x:v>HOME-001</x:v>
      </x:c>
      <x:c r="M2339" s="84" t="str">
        <x:f>IFERROR(VLOOKUP(L2339,'Reference Data'!$A$5:$F$40,2,FALSE),"Unknown Product")</x:f>
        <x:v>Air Fryer</x:v>
      </x:c>
      <x:c r="N2339" s="84" t="str">
        <x:f>IFERROR(VLOOKUP(L2339,'Reference Data'!$A$5:$F$40,3,FALSE),"Unknown")</x:f>
        <x:v>Home &amp; Kitchen</x:v>
      </x:c>
      <x:c r="O2339" s="84" t="str">
        <x:f>IFERROR(VLOOKUP(L2339,'Reference Data'!$A$5:$F$40,4,FALSE),"Unknown")</x:f>
        <x:v>Small Appliances</x:v>
      </x:c>
      <x:c r="P2339" s="92" t="n">
        <x:f>IFERROR(VLOOKUP(L2339,'Reference Data'!$A$5:$F$40,5,FALSE),0)</x:f>
        <x:v>119</x:v>
      </x:c>
      <x:c r="Q2339" s="92" t="n">
        <x:f>IFERROR(VLOOKUP(L2339,'Reference Data'!$A$5:$F$40,6,FALSE),0)</x:f>
        <x:v>68</x:v>
      </x:c>
      <x:c r="R2339" s="84" t="n">
        <x:f>'Raw Sales'!J2339</x:f>
        <x:v>2</x:v>
      </x:c>
      <x:c r="S2339" s="87" t="n">
        <x:f>'Raw Sales'!K2339</x:f>
        <x:v>0.05</x:v>
      </x:c>
      <x:c r="T2339" s="93" t="n">
        <x:f>P2339*R2339</x:f>
        <x:v>238</x:v>
      </x:c>
      <x:c r="U2339" s="93" t="n">
        <x:f>T2339*S2339</x:f>
        <x:v>11.9</x:v>
      </x:c>
      <x:c r="V2339" s="93" t="str">
        <x:f>PROPER(TRIM('Raw Sales'!L2339))</x:f>
        <x:v>Completed</x:v>
      </x:c>
      <x:c r="W2339" s="93" t="n">
        <x:f>IF(V2339="Returned",0,T2339-U2339)</x:f>
        <x:v>226.1</x:v>
      </x:c>
      <x:c r="X2339" s="93" t="n">
        <x:f>IF(V2339="Returned",Q2339*R2339*10%,Q2339*R2339)</x:f>
        <x:v>136</x:v>
      </x:c>
      <x:c r="Y2339" s="93" t="n">
        <x:f>W2339-X2339</x:f>
        <x:v>90.1</x:v>
      </x:c>
      <x:c r="Z2339" s="94" t="n">
        <x:f>IFERROR(Y2339/W2339,0)</x:f>
        <x:v>0.39849624060150374</x:v>
      </x:c>
      <x:c r="AA2339" s="84" t="str">
        <x:f>PROPER(TRIM('Raw Sales'!M2339))</x:f>
        <x:v>Debit Card</x:v>
      </x:c>
      <x:c r="AB2339" s="84" t="str">
        <x:f>PROPER(TRIM('Raw Sales'!N2339))</x:f>
        <x:v>Nora Kim</x:v>
      </x:c>
      <x:c r="AC2339" s="85" t="n">
        <x:f>'Raw Sales'!O2339</x:f>
        <x:v>46005</x:v>
      </x:c>
      <x:c r="AD2339" s="84" t="n">
        <x:f>AC2339-B2339</x:f>
        <x:v>0</x:v>
      </x:c>
      <x:c r="AE2339" s="84" t="str">
        <x:f>IF(COUNTIF($A$5:A2339,A2339)&gt;1,"Duplicate","Keep")</x:f>
        <x:v>Keep</x:v>
      </x:c>
      <x:c r="AF2339" s="84" t="str">
        <x:f>IF(OR(R2339&lt;=0,AC2339&lt;B2339,H2339="Unknown",M2339="Unknown Product"),"Review","Valid")</x:f>
        <x:v>Valid</x:v>
      </x:c>
      <x:c r="AG2339" s="84" t="n">
        <x:f>IF(AND(AE2339="Keep",AF2339="Valid"),1,0)</x:f>
        <x:v>1</x:v>
      </x:c>
      <x:c r="AH2339" s="84" t="n">
        <x:f>IF(AND(AG2339=1,OR('Dashboard'!$B$4="All",I2339='Dashboard'!$B$4),OR('Dashboard'!$E$4="All",N2339='Dashboard'!$E$4),OR('Dashboard'!$H$4="All",K2339='Dashboard'!$H$4),OR('Dashboard'!$K$4="All",C2339='Dashboard'!$K$4)),1,0)</x:f>
        <x:v>1</x:v>
      </x:c>
      <x:c r="AI2339" s="84" t="n">
        <x:f>IF(AND(AG2339=1,OR('Dashboard'!$B$4="All",I2339='Dashboard'!$B$4),OR('Dashboard'!$E$4="All",N2339='Dashboard'!$E$4),OR('Dashboard'!$H$4="All",K2339='Dashboard'!$H$4)),1,0)</x:f>
        <x:v>1</x:v>
      </x:c>
    </x:row>
    <x:row r="2340">
      <x:c r="A2340" s="84" t="str">
        <x:f>'Raw Sales'!A2340</x:f>
        <x:v>ORD-2025-01547</x:v>
      </x:c>
      <x:c r="B2340" s="85" t="n">
        <x:f>'Raw Sales'!B2340</x:f>
        <x:v>46005</x:v>
      </x:c>
      <x:c r="C2340" s="84" t="n">
        <x:f>YEAR(B2340)</x:f>
        <x:v>2025</x:v>
      </x:c>
      <x:c r="D2340" s="91" t="n">
        <x:f>DATE(YEAR(B2340),MONTH(B2340),1)</x:f>
        <x:v>45992</x:v>
      </x:c>
      <x:c r="E2340" s="84" t="str">
        <x:f>TEXT(B2340,"mmm")</x:f>
        <x:v>Dec</x:v>
      </x:c>
      <x:c r="F2340" s="84" t="str">
        <x:f>'Raw Sales'!C2340</x:f>
        <x:v>CUST-0210</x:v>
      </x:c>
      <x:c r="G2340" s="84" t="str">
        <x:f>PROPER(TRIM('Raw Sales'!D2340))</x:f>
        <x:v>Jonah Walker</x:v>
      </x:c>
      <x:c r="H2340" s="84" t="str">
        <x:f>IF(TRIM('Raw Sales'!E2340)="","Unknown",PROPER(TRIM('Raw Sales'!E2340)))</x:f>
        <x:v>Consumer</x:v>
      </x:c>
      <x:c r="I2340" s="84" t="str">
        <x:f>PROPER(TRIM('Raw Sales'!F2340))</x:f>
        <x:v>West</x:v>
      </x:c>
      <x:c r="J2340" s="84" t="str">
        <x:f>PROPER(TRIM('Raw Sales'!G2340))</x:f>
        <x:v>Los Angeles</x:v>
      </x:c>
      <x:c r="K2340" s="84" t="str">
        <x:f>PROPER(TRIM('Raw Sales'!H2340))</x:f>
        <x:v>Online</x:v>
      </x:c>
      <x:c r="L2340" s="84" t="str">
        <x:f>'Raw Sales'!I2340</x:f>
        <x:v>ELEC-006</x:v>
      </x:c>
      <x:c r="M2340" s="84" t="str">
        <x:f>IFERROR(VLOOKUP(L2340,'Reference Data'!$A$5:$F$40,2,FALSE),"Unknown Product")</x:f>
        <x:v>Portable SSD</x:v>
      </x:c>
      <x:c r="N2340" s="84" t="str">
        <x:f>IFERROR(VLOOKUP(L2340,'Reference Data'!$A$5:$F$40,3,FALSE),"Unknown")</x:f>
        <x:v>Electronics</x:v>
      </x:c>
      <x:c r="O2340" s="84" t="str">
        <x:f>IFERROR(VLOOKUP(L2340,'Reference Data'!$A$5:$F$40,4,FALSE),"Unknown")</x:f>
        <x:v>Storage</x:v>
      </x:c>
      <x:c r="P2340" s="92" t="n">
        <x:f>IFERROR(VLOOKUP(L2340,'Reference Data'!$A$5:$F$40,5,FALSE),0)</x:f>
        <x:v>129</x:v>
      </x:c>
      <x:c r="Q2340" s="92" t="n">
        <x:f>IFERROR(VLOOKUP(L2340,'Reference Data'!$A$5:$F$40,6,FALSE),0)</x:f>
        <x:v>75</x:v>
      </x:c>
      <x:c r="R2340" s="84" t="n">
        <x:f>'Raw Sales'!J2340</x:f>
        <x:v>4</x:v>
      </x:c>
      <x:c r="S2340" s="87" t="n">
        <x:f>'Raw Sales'!K2340</x:f>
        <x:v>0.2</x:v>
      </x:c>
      <x:c r="T2340" s="93" t="n">
        <x:f>P2340*R2340</x:f>
        <x:v>516</x:v>
      </x:c>
      <x:c r="U2340" s="93" t="n">
        <x:f>T2340*S2340</x:f>
        <x:v>103.2</x:v>
      </x:c>
      <x:c r="V2340" s="93" t="str">
        <x:f>PROPER(TRIM('Raw Sales'!L2340))</x:f>
        <x:v>Completed</x:v>
      </x:c>
      <x:c r="W2340" s="93" t="n">
        <x:f>IF(V2340="Returned",0,T2340-U2340)</x:f>
        <x:v>412.8</x:v>
      </x:c>
      <x:c r="X2340" s="93" t="n">
        <x:f>IF(V2340="Returned",Q2340*R2340*10%,Q2340*R2340)</x:f>
        <x:v>300</x:v>
      </x:c>
      <x:c r="Y2340" s="93" t="n">
        <x:f>W2340-X2340</x:f>
        <x:v>112.80000000000001</x:v>
      </x:c>
      <x:c r="Z2340" s="94" t="n">
        <x:f>IFERROR(Y2340/W2340,0)</x:f>
        <x:v>0.2732558139534884</x:v>
      </x:c>
      <x:c r="AA2340" s="84" t="str">
        <x:f>PROPER(TRIM('Raw Sales'!M2340))</x:f>
        <x:v>Debit Card</x:v>
      </x:c>
      <x:c r="AB2340" s="84" t="str">
        <x:f>PROPER(TRIM('Raw Sales'!N2340))</x:f>
        <x:v>Mia Chen</x:v>
      </x:c>
      <x:c r="AC2340" s="85" t="n">
        <x:f>'Raw Sales'!O2340</x:f>
        <x:v>46009</x:v>
      </x:c>
      <x:c r="AD2340" s="84" t="n">
        <x:f>AC2340-B2340</x:f>
        <x:v>4</x:v>
      </x:c>
      <x:c r="AE2340" s="84" t="str">
        <x:f>IF(COUNTIF($A$5:A2340,A2340)&gt;1,"Duplicate","Keep")</x:f>
        <x:v>Keep</x:v>
      </x:c>
      <x:c r="AF2340" s="84" t="str">
        <x:f>IF(OR(R2340&lt;=0,AC2340&lt;B2340,H2340="Unknown",M2340="Unknown Product"),"Review","Valid")</x:f>
        <x:v>Valid</x:v>
      </x:c>
      <x:c r="AG2340" s="84" t="n">
        <x:f>IF(AND(AE2340="Keep",AF2340="Valid"),1,0)</x:f>
        <x:v>1</x:v>
      </x:c>
      <x:c r="AH2340" s="84" t="n">
        <x:f>IF(AND(AG2340=1,OR('Dashboard'!$B$4="All",I2340='Dashboard'!$B$4),OR('Dashboard'!$E$4="All",N2340='Dashboard'!$E$4),OR('Dashboard'!$H$4="All",K2340='Dashboard'!$H$4),OR('Dashboard'!$K$4="All",C2340='Dashboard'!$K$4)),1,0)</x:f>
        <x:v>1</x:v>
      </x:c>
      <x:c r="AI2340" s="84" t="n">
        <x:f>IF(AND(AG2340=1,OR('Dashboard'!$B$4="All",I2340='Dashboard'!$B$4),OR('Dashboard'!$E$4="All",N2340='Dashboard'!$E$4),OR('Dashboard'!$H$4="All",K2340='Dashboard'!$H$4)),1,0)</x:f>
        <x:v>1</x:v>
      </x:c>
    </x:row>
    <x:row r="2341">
      <x:c r="A2341" s="84" t="str">
        <x:f>'Raw Sales'!A2341</x:f>
        <x:v>ORD-2025-00044</x:v>
      </x:c>
      <x:c r="B2341" s="85" t="n">
        <x:f>'Raw Sales'!B2341</x:f>
        <x:v>46006</x:v>
      </x:c>
      <x:c r="C2341" s="84" t="n">
        <x:f>YEAR(B2341)</x:f>
        <x:v>2025</x:v>
      </x:c>
      <x:c r="D2341" s="91" t="n">
        <x:f>DATE(YEAR(B2341),MONTH(B2341),1)</x:f>
        <x:v>45992</x:v>
      </x:c>
      <x:c r="E2341" s="84" t="str">
        <x:f>TEXT(B2341,"mmm")</x:f>
        <x:v>Dec</x:v>
      </x:c>
      <x:c r="F2341" s="84" t="str">
        <x:f>'Raw Sales'!C2341</x:f>
        <x:v>CUST-0063</x:v>
      </x:c>
      <x:c r="G2341" s="84" t="str">
        <x:f>PROPER(TRIM('Raw Sales'!D2341))</x:f>
        <x:v>Jonah Irwin</x:v>
      </x:c>
      <x:c r="H2341" s="84" t="str">
        <x:f>IF(TRIM('Raw Sales'!E2341)="","Unknown",PROPER(TRIM('Raw Sales'!E2341)))</x:f>
        <x:v>Small Business</x:v>
      </x:c>
      <x:c r="I2341" s="84" t="str">
        <x:f>PROPER(TRIM('Raw Sales'!F2341))</x:f>
        <x:v>Midwest</x:v>
      </x:c>
      <x:c r="J2341" s="84" t="str">
        <x:f>PROPER(TRIM('Raw Sales'!G2341))</x:f>
        <x:v>Detroit</x:v>
      </x:c>
      <x:c r="K2341" s="84" t="str">
        <x:f>PROPER(TRIM('Raw Sales'!H2341))</x:f>
        <x:v>Marketplace</x:v>
      </x:c>
      <x:c r="L2341" s="84" t="str">
        <x:f>'Raw Sales'!I2341</x:f>
        <x:v>CARE-002</x:v>
      </x:c>
      <x:c r="M2341" s="84" t="str">
        <x:f>IFERROR(VLOOKUP(L2341,'Reference Data'!$A$5:$F$40,2,FALSE),"Unknown Product")</x:f>
        <x:v>Rechargeable Trimmer</x:v>
      </x:c>
      <x:c r="N2341" s="84" t="str">
        <x:f>IFERROR(VLOOKUP(L2341,'Reference Data'!$A$5:$F$40,3,FALSE),"Unknown")</x:f>
        <x:v>Personal Care</x:v>
      </x:c>
      <x:c r="O2341" s="84" t="str">
        <x:f>IFERROR(VLOOKUP(L2341,'Reference Data'!$A$5:$F$40,4,FALSE),"Unknown")</x:f>
        <x:v>Grooming</x:v>
      </x:c>
      <x:c r="P2341" s="92" t="n">
        <x:f>IFERROR(VLOOKUP(L2341,'Reference Data'!$A$5:$F$40,5,FALSE),0)</x:f>
        <x:v>45</x:v>
      </x:c>
      <x:c r="Q2341" s="92" t="n">
        <x:f>IFERROR(VLOOKUP(L2341,'Reference Data'!$A$5:$F$40,6,FALSE),0)</x:f>
        <x:v>19</x:v>
      </x:c>
      <x:c r="R2341" s="84" t="n">
        <x:f>'Raw Sales'!J2341</x:f>
        <x:v>1</x:v>
      </x:c>
      <x:c r="S2341" s="87" t="n">
        <x:f>'Raw Sales'!K2341</x:f>
        <x:v>0.15</x:v>
      </x:c>
      <x:c r="T2341" s="93" t="n">
        <x:f>P2341*R2341</x:f>
        <x:v>45</x:v>
      </x:c>
      <x:c r="U2341" s="93" t="n">
        <x:f>T2341*S2341</x:f>
        <x:v>6.75</x:v>
      </x:c>
      <x:c r="V2341" s="93" t="str">
        <x:f>PROPER(TRIM('Raw Sales'!L2341))</x:f>
        <x:v>Completed</x:v>
      </x:c>
      <x:c r="W2341" s="93" t="n">
        <x:f>IF(V2341="Returned",0,T2341-U2341)</x:f>
        <x:v>38.25</x:v>
      </x:c>
      <x:c r="X2341" s="93" t="n">
        <x:f>IF(V2341="Returned",Q2341*R2341*10%,Q2341*R2341)</x:f>
        <x:v>19</x:v>
      </x:c>
      <x:c r="Y2341" s="93" t="n">
        <x:f>W2341-X2341</x:f>
        <x:v>19.25</x:v>
      </x:c>
      <x:c r="Z2341" s="94" t="n">
        <x:f>IFERROR(Y2341/W2341,0)</x:f>
        <x:v>0.5032679738562091</x:v>
      </x:c>
      <x:c r="AA2341" s="84" t="str">
        <x:f>PROPER(TRIM('Raw Sales'!M2341))</x:f>
        <x:v>Credit Card</x:v>
      </x:c>
      <x:c r="AB2341" s="84" t="str">
        <x:f>PROPER(TRIM('Raw Sales'!N2341))</x:f>
        <x:v>Zoe Turner</x:v>
      </x:c>
      <x:c r="AC2341" s="85" t="n">
        <x:f>'Raw Sales'!O2341</x:f>
        <x:v>46012</x:v>
      </x:c>
      <x:c r="AD2341" s="84" t="n">
        <x:f>AC2341-B2341</x:f>
        <x:v>6</x:v>
      </x:c>
      <x:c r="AE2341" s="84" t="str">
        <x:f>IF(COUNTIF($A$5:A2341,A2341)&gt;1,"Duplicate","Keep")</x:f>
        <x:v>Keep</x:v>
      </x:c>
      <x:c r="AF2341" s="84" t="str">
        <x:f>IF(OR(R2341&lt;=0,AC2341&lt;B2341,H2341="Unknown",M2341="Unknown Product"),"Review","Valid")</x:f>
        <x:v>Valid</x:v>
      </x:c>
      <x:c r="AG2341" s="84" t="n">
        <x:f>IF(AND(AE2341="Keep",AF2341="Valid"),1,0)</x:f>
        <x:v>1</x:v>
      </x:c>
      <x:c r="AH2341" s="84" t="n">
        <x:f>IF(AND(AG2341=1,OR('Dashboard'!$B$4="All",I2341='Dashboard'!$B$4),OR('Dashboard'!$E$4="All",N2341='Dashboard'!$E$4),OR('Dashboard'!$H$4="All",K2341='Dashboard'!$H$4),OR('Dashboard'!$K$4="All",C2341='Dashboard'!$K$4)),1,0)</x:f>
        <x:v>1</x:v>
      </x:c>
      <x:c r="AI2341" s="84" t="n">
        <x:f>IF(AND(AG2341=1,OR('Dashboard'!$B$4="All",I2341='Dashboard'!$B$4),OR('Dashboard'!$E$4="All",N2341='Dashboard'!$E$4),OR('Dashboard'!$H$4="All",K2341='Dashboard'!$H$4)),1,0)</x:f>
        <x:v>1</x:v>
      </x:c>
    </x:row>
    <x:row r="2342">
      <x:c r="A2342" s="84" t="str">
        <x:f>'Raw Sales'!A2342</x:f>
        <x:v>ORD-2025-00618</x:v>
      </x:c>
      <x:c r="B2342" s="85" t="n">
        <x:f>'Raw Sales'!B2342</x:f>
        <x:v>46006</x:v>
      </x:c>
      <x:c r="C2342" s="84" t="n">
        <x:f>YEAR(B2342)</x:f>
        <x:v>2025</x:v>
      </x:c>
      <x:c r="D2342" s="91" t="n">
        <x:f>DATE(YEAR(B2342),MONTH(B2342),1)</x:f>
        <x:v>45992</x:v>
      </x:c>
      <x:c r="E2342" s="84" t="str">
        <x:f>TEXT(B2342,"mmm")</x:f>
        <x:v>Dec</x:v>
      </x:c>
      <x:c r="F2342" s="84" t="str">
        <x:f>'Raw Sales'!C2342</x:f>
        <x:v>CUST-0611</x:v>
      </x:c>
      <x:c r="G2342" s="84" t="str">
        <x:f>PROPER(TRIM('Raw Sales'!D2342))</x:f>
        <x:v>Aiden Irwin</x:v>
      </x:c>
      <x:c r="H2342" s="84" t="str">
        <x:f>IF(TRIM('Raw Sales'!E2342)="","Unknown",PROPER(TRIM('Raw Sales'!E2342)))</x:f>
        <x:v>Corporate</x:v>
      </x:c>
      <x:c r="I2342" s="84" t="str">
        <x:f>PROPER(TRIM('Raw Sales'!F2342))</x:f>
        <x:v>Midwest</x:v>
      </x:c>
      <x:c r="J2342" s="84" t="str">
        <x:f>PROPER(TRIM('Raw Sales'!G2342))</x:f>
        <x:v>Chicago</x:v>
      </x:c>
      <x:c r="K2342" s="84" t="str">
        <x:f>PROPER(TRIM('Raw Sales'!H2342))</x:f>
        <x:v>Marketplace</x:v>
      </x:c>
      <x:c r="L2342" s="84" t="str">
        <x:f>'Raw Sales'!I2342</x:f>
        <x:v>CARE-004</x:v>
      </x:c>
      <x:c r="M2342" s="84" t="str">
        <x:f>IFERROR(VLOOKUP(L2342,'Reference Data'!$A$5:$F$40,2,FALSE),"Unknown Product")</x:f>
        <x:v>Electric Toothbrush</x:v>
      </x:c>
      <x:c r="N2342" s="84" t="str">
        <x:f>IFERROR(VLOOKUP(L2342,'Reference Data'!$A$5:$F$40,3,FALSE),"Unknown")</x:f>
        <x:v>Personal Care</x:v>
      </x:c>
      <x:c r="O2342" s="84" t="str">
        <x:f>IFERROR(VLOOKUP(L2342,'Reference Data'!$A$5:$F$40,4,FALSE),"Unknown")</x:f>
        <x:v>Oral Care</x:v>
      </x:c>
      <x:c r="P2342" s="92" t="n">
        <x:f>IFERROR(VLOOKUP(L2342,'Reference Data'!$A$5:$F$40,5,FALSE),0)</x:f>
        <x:v>69</x:v>
      </x:c>
      <x:c r="Q2342" s="92" t="n">
        <x:f>IFERROR(VLOOKUP(L2342,'Reference Data'!$A$5:$F$40,6,FALSE),0)</x:f>
        <x:v>31</x:v>
      </x:c>
      <x:c r="R2342" s="84" t="n">
        <x:f>'Raw Sales'!J2342</x:f>
        <x:v>4</x:v>
      </x:c>
      <x:c r="S2342" s="87" t="n">
        <x:f>'Raw Sales'!K2342</x:f>
        <x:v>0.15</x:v>
      </x:c>
      <x:c r="T2342" s="93" t="n">
        <x:f>P2342*R2342</x:f>
        <x:v>276</x:v>
      </x:c>
      <x:c r="U2342" s="93" t="n">
        <x:f>T2342*S2342</x:f>
        <x:v>41.4</x:v>
      </x:c>
      <x:c r="V2342" s="93" t="str">
        <x:f>PROPER(TRIM('Raw Sales'!L2342))</x:f>
        <x:v>Completed</x:v>
      </x:c>
      <x:c r="W2342" s="93" t="n">
        <x:f>IF(V2342="Returned",0,T2342-U2342)</x:f>
        <x:v>234.6</x:v>
      </x:c>
      <x:c r="X2342" s="93" t="n">
        <x:f>IF(V2342="Returned",Q2342*R2342*10%,Q2342*R2342)</x:f>
        <x:v>124</x:v>
      </x:c>
      <x:c r="Y2342" s="93" t="n">
        <x:f>W2342-X2342</x:f>
        <x:v>110.6</x:v>
      </x:c>
      <x:c r="Z2342" s="94" t="n">
        <x:f>IFERROR(Y2342/W2342,0)</x:f>
        <x:v>0.4714407502131287</x:v>
      </x:c>
      <x:c r="AA2342" s="84" t="str">
        <x:f>PROPER(TRIM('Raw Sales'!M2342))</x:f>
        <x:v>Debit Card</x:v>
      </x:c>
      <x:c r="AB2342" s="84" t="str">
        <x:f>PROPER(TRIM('Raw Sales'!N2342))</x:f>
        <x:v>Lucas Grant</x:v>
      </x:c>
      <x:c r="AC2342" s="85" t="n">
        <x:f>'Raw Sales'!O2342</x:f>
        <x:v>46011</x:v>
      </x:c>
      <x:c r="AD2342" s="84" t="n">
        <x:f>AC2342-B2342</x:f>
        <x:v>5</x:v>
      </x:c>
      <x:c r="AE2342" s="84" t="str">
        <x:f>IF(COUNTIF($A$5:A2342,A2342)&gt;1,"Duplicate","Keep")</x:f>
        <x:v>Keep</x:v>
      </x:c>
      <x:c r="AF2342" s="84" t="str">
        <x:f>IF(OR(R2342&lt;=0,AC2342&lt;B2342,H2342="Unknown",M2342="Unknown Product"),"Review","Valid")</x:f>
        <x:v>Valid</x:v>
      </x:c>
      <x:c r="AG2342" s="84" t="n">
        <x:f>IF(AND(AE2342="Keep",AF2342="Valid"),1,0)</x:f>
        <x:v>1</x:v>
      </x:c>
      <x:c r="AH2342" s="84" t="n">
        <x:f>IF(AND(AG2342=1,OR('Dashboard'!$B$4="All",I2342='Dashboard'!$B$4),OR('Dashboard'!$E$4="All",N2342='Dashboard'!$E$4),OR('Dashboard'!$H$4="All",K2342='Dashboard'!$H$4),OR('Dashboard'!$K$4="All",C2342='Dashboard'!$K$4)),1,0)</x:f>
        <x:v>1</x:v>
      </x:c>
      <x:c r="AI2342" s="84" t="n">
        <x:f>IF(AND(AG2342=1,OR('Dashboard'!$B$4="All",I2342='Dashboard'!$B$4),OR('Dashboard'!$E$4="All",N2342='Dashboard'!$E$4),OR('Dashboard'!$H$4="All",K2342='Dashboard'!$H$4)),1,0)</x:f>
        <x:v>1</x:v>
      </x:c>
    </x:row>
    <x:row r="2343">
      <x:c r="A2343" s="84" t="str">
        <x:f>'Raw Sales'!A2343</x:f>
        <x:v>ORD-2025-00712</x:v>
      </x:c>
      <x:c r="B2343" s="85" t="n">
        <x:f>'Raw Sales'!B2343</x:f>
        <x:v>46006</x:v>
      </x:c>
      <x:c r="C2343" s="84" t="n">
        <x:f>YEAR(B2343)</x:f>
        <x:v>2025</x:v>
      </x:c>
      <x:c r="D2343" s="91" t="n">
        <x:f>DATE(YEAR(B2343),MONTH(B2343),1)</x:f>
        <x:v>45992</x:v>
      </x:c>
      <x:c r="E2343" s="84" t="str">
        <x:f>TEXT(B2343,"mmm")</x:f>
        <x:v>Dec</x:v>
      </x:c>
      <x:c r="F2343" s="84" t="str">
        <x:f>'Raw Sales'!C2343</x:f>
        <x:v>CUST-0189</x:v>
      </x:c>
      <x:c r="G2343" s="84" t="str">
        <x:f>PROPER(TRIM('Raw Sales'!D2343))</x:f>
        <x:v>Marcus Taylor</x:v>
      </x:c>
      <x:c r="H2343" s="84" t="str">
        <x:f>IF(TRIM('Raw Sales'!E2343)="","Unknown",PROPER(TRIM('Raw Sales'!E2343)))</x:f>
        <x:v>Consumer</x:v>
      </x:c>
      <x:c r="I2343" s="84" t="str">
        <x:f>PROPER(TRIM('Raw Sales'!F2343))</x:f>
        <x:v>Midwest</x:v>
      </x:c>
      <x:c r="J2343" s="84" t="str">
        <x:f>PROPER(TRIM('Raw Sales'!G2343))</x:f>
        <x:v>Chicago</x:v>
      </x:c>
      <x:c r="K2343" s="84" t="str">
        <x:f>PROPER(TRIM('Raw Sales'!H2343))</x:f>
        <x:v>Online</x:v>
      </x:c>
      <x:c r="L2343" s="84" t="str">
        <x:f>'Raw Sales'!I2343</x:f>
        <x:v>ACCS-001</x:v>
      </x:c>
      <x:c r="M2343" s="84" t="str">
        <x:f>IFERROR(VLOOKUP(L2343,'Reference Data'!$A$5:$F$40,2,FALSE),"Unknown Product")</x:f>
        <x:v>Canvas Tote Bag</x:v>
      </x:c>
      <x:c r="N2343" s="84" t="str">
        <x:f>IFERROR(VLOOKUP(L2343,'Reference Data'!$A$5:$F$40,3,FALSE),"Unknown")</x:f>
        <x:v>Accessories</x:v>
      </x:c>
      <x:c r="O2343" s="84" t="str">
        <x:f>IFERROR(VLOOKUP(L2343,'Reference Data'!$A$5:$F$40,4,FALSE),"Unknown")</x:f>
        <x:v>Bags</x:v>
      </x:c>
      <x:c r="P2343" s="92" t="n">
        <x:f>IFERROR(VLOOKUP(L2343,'Reference Data'!$A$5:$F$40,5,FALSE),0)</x:f>
        <x:v>39</x:v>
      </x:c>
      <x:c r="Q2343" s="92" t="n">
        <x:f>IFERROR(VLOOKUP(L2343,'Reference Data'!$A$5:$F$40,6,FALSE),0)</x:f>
        <x:v>14</x:v>
      </x:c>
      <x:c r="R2343" s="84" t="n">
        <x:f>'Raw Sales'!J2343</x:f>
        <x:v>1</x:v>
      </x:c>
      <x:c r="S2343" s="87" t="n">
        <x:f>'Raw Sales'!K2343</x:f>
        <x:v>0.15</x:v>
      </x:c>
      <x:c r="T2343" s="93" t="n">
        <x:f>P2343*R2343</x:f>
        <x:v>39</x:v>
      </x:c>
      <x:c r="U2343" s="93" t="n">
        <x:f>T2343*S2343</x:f>
        <x:v>5.85</x:v>
      </x:c>
      <x:c r="V2343" s="93" t="str">
        <x:f>PROPER(TRIM('Raw Sales'!L2343))</x:f>
        <x:v>Completed</x:v>
      </x:c>
      <x:c r="W2343" s="93" t="n">
        <x:f>IF(V2343="Returned",0,T2343-U2343)</x:f>
        <x:v>33.15</x:v>
      </x:c>
      <x:c r="X2343" s="93" t="n">
        <x:f>IF(V2343="Returned",Q2343*R2343*10%,Q2343*R2343)</x:f>
        <x:v>14</x:v>
      </x:c>
      <x:c r="Y2343" s="93" t="n">
        <x:f>W2343-X2343</x:f>
        <x:v>19.15</x:v>
      </x:c>
      <x:c r="Z2343" s="94" t="n">
        <x:f>IFERROR(Y2343/W2343,0)</x:f>
        <x:v>0.5776772247360482</x:v>
      </x:c>
      <x:c r="AA2343" s="84" t="str">
        <x:f>PROPER(TRIM('Raw Sales'!M2343))</x:f>
        <x:v>Debit Card</x:v>
      </x:c>
      <x:c r="AB2343" s="84" t="str">
        <x:f>PROPER(TRIM('Raw Sales'!N2343))</x:f>
        <x:v>Zoe Turner</x:v>
      </x:c>
      <x:c r="AC2343" s="85" t="n">
        <x:f>'Raw Sales'!O2343</x:f>
        <x:v>46011</x:v>
      </x:c>
      <x:c r="AD2343" s="84" t="n">
        <x:f>AC2343-B2343</x:f>
        <x:v>5</x:v>
      </x:c>
      <x:c r="AE2343" s="84" t="str">
        <x:f>IF(COUNTIF($A$5:A2343,A2343)&gt;1,"Duplicate","Keep")</x:f>
        <x:v>Keep</x:v>
      </x:c>
      <x:c r="AF2343" s="84" t="str">
        <x:f>IF(OR(R2343&lt;=0,AC2343&lt;B2343,H2343="Unknown",M2343="Unknown Product"),"Review","Valid")</x:f>
        <x:v>Valid</x:v>
      </x:c>
      <x:c r="AG2343" s="84" t="n">
        <x:f>IF(AND(AE2343="Keep",AF2343="Valid"),1,0)</x:f>
        <x:v>1</x:v>
      </x:c>
      <x:c r="AH2343" s="84" t="n">
        <x:f>IF(AND(AG2343=1,OR('Dashboard'!$B$4="All",I2343='Dashboard'!$B$4),OR('Dashboard'!$E$4="All",N2343='Dashboard'!$E$4),OR('Dashboard'!$H$4="All",K2343='Dashboard'!$H$4),OR('Dashboard'!$K$4="All",C2343='Dashboard'!$K$4)),1,0)</x:f>
        <x:v>1</x:v>
      </x:c>
      <x:c r="AI2343" s="84" t="n">
        <x:f>IF(AND(AG2343=1,OR('Dashboard'!$B$4="All",I2343='Dashboard'!$B$4),OR('Dashboard'!$E$4="All",N2343='Dashboard'!$E$4),OR('Dashboard'!$H$4="All",K2343='Dashboard'!$H$4)),1,0)</x:f>
        <x:v>1</x:v>
      </x:c>
    </x:row>
    <x:row r="2344">
      <x:c r="A2344" s="84" t="str">
        <x:f>'Raw Sales'!A2344</x:f>
        <x:v>ORD-2025-01702</x:v>
      </x:c>
      <x:c r="B2344" s="85" t="n">
        <x:f>'Raw Sales'!B2344</x:f>
        <x:v>46006</x:v>
      </x:c>
      <x:c r="C2344" s="84" t="n">
        <x:f>YEAR(B2344)</x:f>
        <x:v>2025</x:v>
      </x:c>
      <x:c r="D2344" s="91" t="n">
        <x:f>DATE(YEAR(B2344),MONTH(B2344),1)</x:f>
        <x:v>45992</x:v>
      </x:c>
      <x:c r="E2344" s="84" t="str">
        <x:f>TEXT(B2344,"mmm")</x:f>
        <x:v>Dec</x:v>
      </x:c>
      <x:c r="F2344" s="84" t="str">
        <x:f>'Raw Sales'!C2344</x:f>
        <x:v>CUST-0356</x:v>
      </x:c>
      <x:c r="G2344" s="84" t="str">
        <x:f>PROPER(TRIM('Raw Sales'!D2344))</x:f>
        <x:v>Grace Davis</x:v>
      </x:c>
      <x:c r="H2344" s="84" t="str">
        <x:f>IF(TRIM('Raw Sales'!E2344)="","Unknown",PROPER(TRIM('Raw Sales'!E2344)))</x:f>
        <x:v>Consumer</x:v>
      </x:c>
      <x:c r="I2344" s="84" t="str">
        <x:f>PROPER(TRIM('Raw Sales'!F2344))</x:f>
        <x:v>Northeast</x:v>
      </x:c>
      <x:c r="J2344" s="84" t="str">
        <x:f>PROPER(TRIM('Raw Sales'!G2344))</x:f>
        <x:v>Philadelphia</x:v>
      </x:c>
      <x:c r="K2344" s="84" t="str">
        <x:f>PROPER(TRIM('Raw Sales'!H2344))</x:f>
        <x:v>Online</x:v>
      </x:c>
      <x:c r="L2344" s="84" t="str">
        <x:f>'Raw Sales'!I2344</x:f>
        <x:v>ELEC-001</x:v>
      </x:c>
      <x:c r="M2344" s="84" t="str">
        <x:f>IFERROR(VLOOKUP(L2344,'Reference Data'!$A$5:$F$40,2,FALSE),"Unknown Product")</x:f>
        <x:v>Wireless Earbuds</x:v>
      </x:c>
      <x:c r="N2344" s="84" t="str">
        <x:f>IFERROR(VLOOKUP(L2344,'Reference Data'!$A$5:$F$40,3,FALSE),"Unknown")</x:f>
        <x:v>Electronics</x:v>
      </x:c>
      <x:c r="O2344" s="84" t="str">
        <x:f>IFERROR(VLOOKUP(L2344,'Reference Data'!$A$5:$F$40,4,FALSE),"Unknown")</x:f>
        <x:v>Audio</x:v>
      </x:c>
      <x:c r="P2344" s="92" t="n">
        <x:f>IFERROR(VLOOKUP(L2344,'Reference Data'!$A$5:$F$40,5,FALSE),0)</x:f>
        <x:v>69</x:v>
      </x:c>
      <x:c r="Q2344" s="92" t="n">
        <x:f>IFERROR(VLOOKUP(L2344,'Reference Data'!$A$5:$F$40,6,FALSE),0)</x:f>
        <x:v>36</x:v>
      </x:c>
      <x:c r="R2344" s="84" t="n">
        <x:f>'Raw Sales'!J2344</x:f>
        <x:v>4</x:v>
      </x:c>
      <x:c r="S2344" s="87" t="n">
        <x:f>'Raw Sales'!K2344</x:f>
        <x:v>0.1</x:v>
      </x:c>
      <x:c r="T2344" s="93" t="n">
        <x:f>P2344*R2344</x:f>
        <x:v>276</x:v>
      </x:c>
      <x:c r="U2344" s="93" t="n">
        <x:f>T2344*S2344</x:f>
        <x:v>27.6</x:v>
      </x:c>
      <x:c r="V2344" s="93" t="str">
        <x:f>PROPER(TRIM('Raw Sales'!L2344))</x:f>
        <x:v>Completed</x:v>
      </x:c>
      <x:c r="W2344" s="93" t="n">
        <x:f>IF(V2344="Returned",0,T2344-U2344)</x:f>
        <x:v>248.4</x:v>
      </x:c>
      <x:c r="X2344" s="93" t="n">
        <x:f>IF(V2344="Returned",Q2344*R2344*10%,Q2344*R2344)</x:f>
        <x:v>144</x:v>
      </x:c>
      <x:c r="Y2344" s="93" t="n">
        <x:f>W2344-X2344</x:f>
        <x:v>104.4</x:v>
      </x:c>
      <x:c r="Z2344" s="94" t="n">
        <x:f>IFERROR(Y2344/W2344,0)</x:f>
        <x:v>0.4202898550724638</x:v>
      </x:c>
      <x:c r="AA2344" s="84" t="str">
        <x:f>PROPER(TRIM('Raw Sales'!M2344))</x:f>
        <x:v>Mobile Wallet</x:v>
      </x:c>
      <x:c r="AB2344" s="84" t="str">
        <x:f>PROPER(TRIM('Raw Sales'!N2344))</x:f>
        <x:v>Maya Brooks</x:v>
      </x:c>
      <x:c r="AC2344" s="85" t="n">
        <x:f>'Raw Sales'!O2344</x:f>
        <x:v>46009</x:v>
      </x:c>
      <x:c r="AD2344" s="84" t="n">
        <x:f>AC2344-B2344</x:f>
        <x:v>3</x:v>
      </x:c>
      <x:c r="AE2344" s="84" t="str">
        <x:f>IF(COUNTIF($A$5:A2344,A2344)&gt;1,"Duplicate","Keep")</x:f>
        <x:v>Keep</x:v>
      </x:c>
      <x:c r="AF2344" s="84" t="str">
        <x:f>IF(OR(R2344&lt;=0,AC2344&lt;B2344,H2344="Unknown",M2344="Unknown Product"),"Review","Valid")</x:f>
        <x:v>Valid</x:v>
      </x:c>
      <x:c r="AG2344" s="84" t="n">
        <x:f>IF(AND(AE2344="Keep",AF2344="Valid"),1,0)</x:f>
        <x:v>1</x:v>
      </x:c>
      <x:c r="AH2344" s="84" t="n">
        <x:f>IF(AND(AG2344=1,OR('Dashboard'!$B$4="All",I2344='Dashboard'!$B$4),OR('Dashboard'!$E$4="All",N2344='Dashboard'!$E$4),OR('Dashboard'!$H$4="All",K2344='Dashboard'!$H$4),OR('Dashboard'!$K$4="All",C2344='Dashboard'!$K$4)),1,0)</x:f>
        <x:v>1</x:v>
      </x:c>
      <x:c r="AI2344" s="84" t="n">
        <x:f>IF(AND(AG2344=1,OR('Dashboard'!$B$4="All",I2344='Dashboard'!$B$4),OR('Dashboard'!$E$4="All",N2344='Dashboard'!$E$4),OR('Dashboard'!$H$4="All",K2344='Dashboard'!$H$4)),1,0)</x:f>
        <x:v>1</x:v>
      </x:c>
    </x:row>
    <x:row r="2345">
      <x:c r="A2345" s="84" t="str">
        <x:f>'Raw Sales'!A2345</x:f>
        <x:v>ORD-2025-02308</x:v>
      </x:c>
      <x:c r="B2345" s="85" t="n">
        <x:f>'Raw Sales'!B2345</x:f>
        <x:v>46006</x:v>
      </x:c>
      <x:c r="C2345" s="84" t="n">
        <x:f>YEAR(B2345)</x:f>
        <x:v>2025</x:v>
      </x:c>
      <x:c r="D2345" s="91" t="n">
        <x:f>DATE(YEAR(B2345),MONTH(B2345),1)</x:f>
        <x:v>45992</x:v>
      </x:c>
      <x:c r="E2345" s="84" t="str">
        <x:f>TEXT(B2345,"mmm")</x:f>
        <x:v>Dec</x:v>
      </x:c>
      <x:c r="F2345" s="84" t="str">
        <x:f>'Raw Sales'!C2345</x:f>
        <x:v>CUST-0354</x:v>
      </x:c>
      <x:c r="G2345" s="84" t="str">
        <x:f>PROPER(TRIM('Raw Sales'!D2345))</x:f>
        <x:v>Jasmine Quinn</x:v>
      </x:c>
      <x:c r="H2345" s="84" t="str">
        <x:f>IF(TRIM('Raw Sales'!E2345)="","Unknown",PROPER(TRIM('Raw Sales'!E2345)))</x:f>
        <x:v>Consumer</x:v>
      </x:c>
      <x:c r="I2345" s="84" t="str">
        <x:f>PROPER(TRIM('Raw Sales'!F2345))</x:f>
        <x:v>Northeast</x:v>
      </x:c>
      <x:c r="J2345" s="84" t="str">
        <x:f>PROPER(TRIM('Raw Sales'!G2345))</x:f>
        <x:v>Philadelphia</x:v>
      </x:c>
      <x:c r="K2345" s="84" t="str">
        <x:f>PROPER(TRIM('Raw Sales'!H2345))</x:f>
        <x:v>Online</x:v>
      </x:c>
      <x:c r="L2345" s="84" t="str">
        <x:f>'Raw Sales'!I2345</x:f>
        <x:v>ACCS-001</x:v>
      </x:c>
      <x:c r="M2345" s="84" t="str">
        <x:f>IFERROR(VLOOKUP(L2345,'Reference Data'!$A$5:$F$40,2,FALSE),"Unknown Product")</x:f>
        <x:v>Canvas Tote Bag</x:v>
      </x:c>
      <x:c r="N2345" s="84" t="str">
        <x:f>IFERROR(VLOOKUP(L2345,'Reference Data'!$A$5:$F$40,3,FALSE),"Unknown")</x:f>
        <x:v>Accessories</x:v>
      </x:c>
      <x:c r="O2345" s="84" t="str">
        <x:f>IFERROR(VLOOKUP(L2345,'Reference Data'!$A$5:$F$40,4,FALSE),"Unknown")</x:f>
        <x:v>Bags</x:v>
      </x:c>
      <x:c r="P2345" s="92" t="n">
        <x:f>IFERROR(VLOOKUP(L2345,'Reference Data'!$A$5:$F$40,5,FALSE),0)</x:f>
        <x:v>39</x:v>
      </x:c>
      <x:c r="Q2345" s="92" t="n">
        <x:f>IFERROR(VLOOKUP(L2345,'Reference Data'!$A$5:$F$40,6,FALSE),0)</x:f>
        <x:v>14</x:v>
      </x:c>
      <x:c r="R2345" s="84" t="n">
        <x:f>'Raw Sales'!J2345</x:f>
        <x:v>2</x:v>
      </x:c>
      <x:c r="S2345" s="87" t="n">
        <x:f>'Raw Sales'!K2345</x:f>
        <x:v>0</x:v>
      </x:c>
      <x:c r="T2345" s="93" t="n">
        <x:f>P2345*R2345</x:f>
        <x:v>78</x:v>
      </x:c>
      <x:c r="U2345" s="93" t="n">
        <x:f>T2345*S2345</x:f>
        <x:v>0</x:v>
      </x:c>
      <x:c r="V2345" s="93" t="str">
        <x:f>PROPER(TRIM('Raw Sales'!L2345))</x:f>
        <x:v>Completed</x:v>
      </x:c>
      <x:c r="W2345" s="93" t="n">
        <x:f>IF(V2345="Returned",0,T2345-U2345)</x:f>
        <x:v>78</x:v>
      </x:c>
      <x:c r="X2345" s="93" t="n">
        <x:f>IF(V2345="Returned",Q2345*R2345*10%,Q2345*R2345)</x:f>
        <x:v>28</x:v>
      </x:c>
      <x:c r="Y2345" s="93" t="n">
        <x:f>W2345-X2345</x:f>
        <x:v>50</x:v>
      </x:c>
      <x:c r="Z2345" s="94" t="n">
        <x:f>IFERROR(Y2345/W2345,0)</x:f>
        <x:v>0.6410256410256411</x:v>
      </x:c>
      <x:c r="AA2345" s="84" t="str">
        <x:f>PROPER(TRIM('Raw Sales'!M2345))</x:f>
        <x:v>Credit Card</x:v>
      </x:c>
      <x:c r="AB2345" s="84" t="str">
        <x:f>PROPER(TRIM('Raw Sales'!N2345))</x:f>
        <x:v>Ethan Cole</x:v>
      </x:c>
      <x:c r="AC2345" s="85" t="n">
        <x:f>'Raw Sales'!O2345</x:f>
        <x:v>46008</x:v>
      </x:c>
      <x:c r="AD2345" s="84" t="n">
        <x:f>AC2345-B2345</x:f>
        <x:v>2</x:v>
      </x:c>
      <x:c r="AE2345" s="84" t="str">
        <x:f>IF(COUNTIF($A$5:A2345,A2345)&gt;1,"Duplicate","Keep")</x:f>
        <x:v>Keep</x:v>
      </x:c>
      <x:c r="AF2345" s="84" t="str">
        <x:f>IF(OR(R2345&lt;=0,AC2345&lt;B2345,H2345="Unknown",M2345="Unknown Product"),"Review","Valid")</x:f>
        <x:v>Valid</x:v>
      </x:c>
      <x:c r="AG2345" s="84" t="n">
        <x:f>IF(AND(AE2345="Keep",AF2345="Valid"),1,0)</x:f>
        <x:v>1</x:v>
      </x:c>
      <x:c r="AH2345" s="84" t="n">
        <x:f>IF(AND(AG2345=1,OR('Dashboard'!$B$4="All",I2345='Dashboard'!$B$4),OR('Dashboard'!$E$4="All",N2345='Dashboard'!$E$4),OR('Dashboard'!$H$4="All",K2345='Dashboard'!$H$4),OR('Dashboard'!$K$4="All",C2345='Dashboard'!$K$4)),1,0)</x:f>
        <x:v>1</x:v>
      </x:c>
      <x:c r="AI2345" s="84" t="n">
        <x:f>IF(AND(AG2345=1,OR('Dashboard'!$B$4="All",I2345='Dashboard'!$B$4),OR('Dashboard'!$E$4="All",N2345='Dashboard'!$E$4),OR('Dashboard'!$H$4="All",K2345='Dashboard'!$H$4)),1,0)</x:f>
        <x:v>1</x:v>
      </x:c>
    </x:row>
    <x:row r="2346">
      <x:c r="A2346" s="84" t="str">
        <x:f>'Raw Sales'!A2346</x:f>
        <x:v>ORD-2025-00355</x:v>
      </x:c>
      <x:c r="B2346" s="85" t="n">
        <x:f>'Raw Sales'!B2346</x:f>
        <x:v>46007</x:v>
      </x:c>
      <x:c r="C2346" s="84" t="n">
        <x:f>YEAR(B2346)</x:f>
        <x:v>2025</x:v>
      </x:c>
      <x:c r="D2346" s="91" t="n">
        <x:f>DATE(YEAR(B2346),MONTH(B2346),1)</x:f>
        <x:v>45992</x:v>
      </x:c>
      <x:c r="E2346" s="84" t="str">
        <x:f>TEXT(B2346,"mmm")</x:f>
        <x:v>Dec</x:v>
      </x:c>
      <x:c r="F2346" s="84" t="str">
        <x:f>'Raw Sales'!C2346</x:f>
        <x:v>CUST-0065</x:v>
      </x:c>
      <x:c r="G2346" s="84" t="str">
        <x:f>PROPER(TRIM('Raw Sales'!D2346))</x:f>
        <x:v>Marcus Young</x:v>
      </x:c>
      <x:c r="H2346" s="84" t="str">
        <x:f>IF(TRIM('Raw Sales'!E2346)="","Unknown",PROPER(TRIM('Raw Sales'!E2346)))</x:f>
        <x:v>Small Business</x:v>
      </x:c>
      <x:c r="I2346" s="84" t="str">
        <x:f>PROPER(TRIM('Raw Sales'!F2346))</x:f>
        <x:v>West</x:v>
      </x:c>
      <x:c r="J2346" s="84" t="str">
        <x:f>PROPER(TRIM('Raw Sales'!G2346))</x:f>
        <x:v>Seattle</x:v>
      </x:c>
      <x:c r="K2346" s="84" t="str">
        <x:f>PROPER(TRIM('Raw Sales'!H2346))</x:f>
        <x:v>Retail Store</x:v>
      </x:c>
      <x:c r="L2346" s="84" t="str">
        <x:f>'Raw Sales'!I2346</x:f>
        <x:v>ELEC-001</x:v>
      </x:c>
      <x:c r="M2346" s="84" t="str">
        <x:f>IFERROR(VLOOKUP(L2346,'Reference Data'!$A$5:$F$40,2,FALSE),"Unknown Product")</x:f>
        <x:v>Wireless Earbuds</x:v>
      </x:c>
      <x:c r="N2346" s="84" t="str">
        <x:f>IFERROR(VLOOKUP(L2346,'Reference Data'!$A$5:$F$40,3,FALSE),"Unknown")</x:f>
        <x:v>Electronics</x:v>
      </x:c>
      <x:c r="O2346" s="84" t="str">
        <x:f>IFERROR(VLOOKUP(L2346,'Reference Data'!$A$5:$F$40,4,FALSE),"Unknown")</x:f>
        <x:v>Audio</x:v>
      </x:c>
      <x:c r="P2346" s="92" t="n">
        <x:f>IFERROR(VLOOKUP(L2346,'Reference Data'!$A$5:$F$40,5,FALSE),0)</x:f>
        <x:v>69</x:v>
      </x:c>
      <x:c r="Q2346" s="92" t="n">
        <x:f>IFERROR(VLOOKUP(L2346,'Reference Data'!$A$5:$F$40,6,FALSE),0)</x:f>
        <x:v>36</x:v>
      </x:c>
      <x:c r="R2346" s="84" t="n">
        <x:f>'Raw Sales'!J2346</x:f>
        <x:v>2</x:v>
      </x:c>
      <x:c r="S2346" s="87" t="n">
        <x:f>'Raw Sales'!K2346</x:f>
        <x:v>0.1</x:v>
      </x:c>
      <x:c r="T2346" s="93" t="n">
        <x:f>P2346*R2346</x:f>
        <x:v>138</x:v>
      </x:c>
      <x:c r="U2346" s="93" t="n">
        <x:f>T2346*S2346</x:f>
        <x:v>13.8</x:v>
      </x:c>
      <x:c r="V2346" s="93" t="str">
        <x:f>PROPER(TRIM('Raw Sales'!L2346))</x:f>
        <x:v>Completed</x:v>
      </x:c>
      <x:c r="W2346" s="93" t="n">
        <x:f>IF(V2346="Returned",0,T2346-U2346)</x:f>
        <x:v>124.2</x:v>
      </x:c>
      <x:c r="X2346" s="93" t="n">
        <x:f>IF(V2346="Returned",Q2346*R2346*10%,Q2346*R2346)</x:f>
        <x:v>72</x:v>
      </x:c>
      <x:c r="Y2346" s="93" t="n">
        <x:f>W2346-X2346</x:f>
        <x:v>52.2</x:v>
      </x:c>
      <x:c r="Z2346" s="94" t="n">
        <x:f>IFERROR(Y2346/W2346,0)</x:f>
        <x:v>0.4202898550724638</x:v>
      </x:c>
      <x:c r="AA2346" s="84" t="str">
        <x:f>PROPER(TRIM('Raw Sales'!M2346))</x:f>
        <x:v>Mobile Wallet</x:v>
      </x:c>
      <x:c r="AB2346" s="84" t="str">
        <x:f>PROPER(TRIM('Raw Sales'!N2346))</x:f>
        <x:v>Mia Chen</x:v>
      </x:c>
      <x:c r="AC2346" s="85" t="n">
        <x:f>'Raw Sales'!O2346</x:f>
        <x:v>46007</x:v>
      </x:c>
      <x:c r="AD2346" s="84" t="n">
        <x:f>AC2346-B2346</x:f>
        <x:v>0</x:v>
      </x:c>
      <x:c r="AE2346" s="84" t="str">
        <x:f>IF(COUNTIF($A$5:A2346,A2346)&gt;1,"Duplicate","Keep")</x:f>
        <x:v>Keep</x:v>
      </x:c>
      <x:c r="AF2346" s="84" t="str">
        <x:f>IF(OR(R2346&lt;=0,AC2346&lt;B2346,H2346="Unknown",M2346="Unknown Product"),"Review","Valid")</x:f>
        <x:v>Valid</x:v>
      </x:c>
      <x:c r="AG2346" s="84" t="n">
        <x:f>IF(AND(AE2346="Keep",AF2346="Valid"),1,0)</x:f>
        <x:v>1</x:v>
      </x:c>
      <x:c r="AH2346" s="84" t="n">
        <x:f>IF(AND(AG2346=1,OR('Dashboard'!$B$4="All",I2346='Dashboard'!$B$4),OR('Dashboard'!$E$4="All",N2346='Dashboard'!$E$4),OR('Dashboard'!$H$4="All",K2346='Dashboard'!$H$4),OR('Dashboard'!$K$4="All",C2346='Dashboard'!$K$4)),1,0)</x:f>
        <x:v>1</x:v>
      </x:c>
      <x:c r="AI2346" s="84" t="n">
        <x:f>IF(AND(AG2346=1,OR('Dashboard'!$B$4="All",I2346='Dashboard'!$B$4),OR('Dashboard'!$E$4="All",N2346='Dashboard'!$E$4),OR('Dashboard'!$H$4="All",K2346='Dashboard'!$H$4)),1,0)</x:f>
        <x:v>1</x:v>
      </x:c>
    </x:row>
    <x:row r="2347">
      <x:c r="A2347" s="84" t="str">
        <x:f>'Raw Sales'!A2347</x:f>
        <x:v>ORD-2025-02040</x:v>
      </x:c>
      <x:c r="B2347" s="85" t="n">
        <x:f>'Raw Sales'!B2347</x:f>
        <x:v>46007</x:v>
      </x:c>
      <x:c r="C2347" s="84" t="n">
        <x:f>YEAR(B2347)</x:f>
        <x:v>2025</x:v>
      </x:c>
      <x:c r="D2347" s="91" t="n">
        <x:f>DATE(YEAR(B2347),MONTH(B2347),1)</x:f>
        <x:v>45992</x:v>
      </x:c>
      <x:c r="E2347" s="84" t="str">
        <x:f>TEXT(B2347,"mmm")</x:f>
        <x:v>Dec</x:v>
      </x:c>
      <x:c r="F2347" s="84" t="str">
        <x:f>'Raw Sales'!C2347</x:f>
        <x:v>CUST-0555</x:v>
      </x:c>
      <x:c r="G2347" s="84" t="str">
        <x:f>PROPER(TRIM('Raw Sales'!D2347))</x:f>
        <x:v>Marcus Nelson</x:v>
      </x:c>
      <x:c r="H2347" s="84" t="str">
        <x:f>IF(TRIM('Raw Sales'!E2347)="","Unknown",PROPER(TRIM('Raw Sales'!E2347)))</x:f>
        <x:v>Corporate</x:v>
      </x:c>
      <x:c r="I2347" s="84" t="str">
        <x:f>PROPER(TRIM('Raw Sales'!F2347))</x:f>
        <x:v>West</x:v>
      </x:c>
      <x:c r="J2347" s="84" t="str">
        <x:f>PROPER(TRIM('Raw Sales'!G2347))</x:f>
        <x:v>Seattle</x:v>
      </x:c>
      <x:c r="K2347" s="84" t="str">
        <x:f>PROPER(TRIM('Raw Sales'!H2347))</x:f>
        <x:v>Online</x:v>
      </x:c>
      <x:c r="L2347" s="84" t="str">
        <x:f>'Raw Sales'!I2347</x:f>
        <x:v>OFFC-005</x:v>
      </x:c>
      <x:c r="M2347" s="84" t="str">
        <x:f>IFERROR(VLOOKUP(L2347,'Reference Data'!$A$5:$F$40,2,FALSE),"Unknown Product")</x:f>
        <x:v>Wireless Keyboard</x:v>
      </x:c>
      <x:c r="N2347" s="84" t="str">
        <x:f>IFERROR(VLOOKUP(L2347,'Reference Data'!$A$5:$F$40,3,FALSE),"Unknown")</x:f>
        <x:v>Office</x:v>
      </x:c>
      <x:c r="O2347" s="84" t="str">
        <x:f>IFERROR(VLOOKUP(L2347,'Reference Data'!$A$5:$F$40,4,FALSE),"Unknown")</x:f>
        <x:v>Computer Accessories</x:v>
      </x:c>
      <x:c r="P2347" s="92" t="n">
        <x:f>IFERROR(VLOOKUP(L2347,'Reference Data'!$A$5:$F$40,5,FALSE),0)</x:f>
        <x:v>59</x:v>
      </x:c>
      <x:c r="Q2347" s="92" t="n">
        <x:f>IFERROR(VLOOKUP(L2347,'Reference Data'!$A$5:$F$40,6,FALSE),0)</x:f>
        <x:v>28</x:v>
      </x:c>
      <x:c r="R2347" s="84" t="n">
        <x:f>'Raw Sales'!J2347</x:f>
        <x:v>6</x:v>
      </x:c>
      <x:c r="S2347" s="87" t="n">
        <x:f>'Raw Sales'!K2347</x:f>
        <x:v>0.05</x:v>
      </x:c>
      <x:c r="T2347" s="93" t="n">
        <x:f>P2347*R2347</x:f>
        <x:v>354</x:v>
      </x:c>
      <x:c r="U2347" s="93" t="n">
        <x:f>T2347*S2347</x:f>
        <x:v>17.7</x:v>
      </x:c>
      <x:c r="V2347" s="93" t="str">
        <x:f>PROPER(TRIM('Raw Sales'!L2347))</x:f>
        <x:v>Completed</x:v>
      </x:c>
      <x:c r="W2347" s="93" t="n">
        <x:f>IF(V2347="Returned",0,T2347-U2347)</x:f>
        <x:v>336.3</x:v>
      </x:c>
      <x:c r="X2347" s="93" t="n">
        <x:f>IF(V2347="Returned",Q2347*R2347*10%,Q2347*R2347)</x:f>
        <x:v>168</x:v>
      </x:c>
      <x:c r="Y2347" s="93" t="n">
        <x:f>W2347-X2347</x:f>
        <x:v>168.3</x:v>
      </x:c>
      <x:c r="Z2347" s="94" t="n">
        <x:f>IFERROR(Y2347/W2347,0)</x:f>
        <x:v>0.5004460303300624</x:v>
      </x:c>
      <x:c r="AA2347" s="84" t="str">
        <x:f>PROPER(TRIM('Raw Sales'!M2347))</x:f>
        <x:v>Debit Card</x:v>
      </x:c>
      <x:c r="AB2347" s="84" t="str">
        <x:f>PROPER(TRIM('Raw Sales'!N2347))</x:f>
        <x:v>Mia Chen</x:v>
      </x:c>
      <x:c r="AC2347" s="85" t="n">
        <x:f>'Raw Sales'!O2347</x:f>
        <x:v>46012</x:v>
      </x:c>
      <x:c r="AD2347" s="84" t="n">
        <x:f>AC2347-B2347</x:f>
        <x:v>5</x:v>
      </x:c>
      <x:c r="AE2347" s="84" t="str">
        <x:f>IF(COUNTIF($A$5:A2347,A2347)&gt;1,"Duplicate","Keep")</x:f>
        <x:v>Keep</x:v>
      </x:c>
      <x:c r="AF2347" s="84" t="str">
        <x:f>IF(OR(R2347&lt;=0,AC2347&lt;B2347,H2347="Unknown",M2347="Unknown Product"),"Review","Valid")</x:f>
        <x:v>Valid</x:v>
      </x:c>
      <x:c r="AG2347" s="84" t="n">
        <x:f>IF(AND(AE2347="Keep",AF2347="Valid"),1,0)</x:f>
        <x:v>1</x:v>
      </x:c>
      <x:c r="AH2347" s="84" t="n">
        <x:f>IF(AND(AG2347=1,OR('Dashboard'!$B$4="All",I2347='Dashboard'!$B$4),OR('Dashboard'!$E$4="All",N2347='Dashboard'!$E$4),OR('Dashboard'!$H$4="All",K2347='Dashboard'!$H$4),OR('Dashboard'!$K$4="All",C2347='Dashboard'!$K$4)),1,0)</x:f>
        <x:v>1</x:v>
      </x:c>
      <x:c r="AI2347" s="84" t="n">
        <x:f>IF(AND(AG2347=1,OR('Dashboard'!$B$4="All",I2347='Dashboard'!$B$4),OR('Dashboard'!$E$4="All",N2347='Dashboard'!$E$4),OR('Dashboard'!$H$4="All",K2347='Dashboard'!$H$4)),1,0)</x:f>
        <x:v>1</x:v>
      </x:c>
    </x:row>
    <x:row r="2348">
      <x:c r="A2348" s="84" t="str">
        <x:f>'Raw Sales'!A2348</x:f>
        <x:v>ORD-2025-02149</x:v>
      </x:c>
      <x:c r="B2348" s="85" t="n">
        <x:f>'Raw Sales'!B2348</x:f>
        <x:v>46007</x:v>
      </x:c>
      <x:c r="C2348" s="84" t="n">
        <x:f>YEAR(B2348)</x:f>
        <x:v>2025</x:v>
      </x:c>
      <x:c r="D2348" s="91" t="n">
        <x:f>DATE(YEAR(B2348),MONTH(B2348),1)</x:f>
        <x:v>45992</x:v>
      </x:c>
      <x:c r="E2348" s="84" t="str">
        <x:f>TEXT(B2348,"mmm")</x:f>
        <x:v>Dec</x:v>
      </x:c>
      <x:c r="F2348" s="84" t="str">
        <x:f>'Raw Sales'!C2348</x:f>
        <x:v>CUST-0013</x:v>
      </x:c>
      <x:c r="G2348" s="84" t="str">
        <x:f>PROPER(TRIM('Raw Sales'!D2348))</x:f>
        <x:v>Marcus Moore</x:v>
      </x:c>
      <x:c r="H2348" s="84" t="str">
        <x:f>IF(TRIM('Raw Sales'!E2348)="","Unknown",PROPER(TRIM('Raw Sales'!E2348)))</x:f>
        <x:v>Consumer</x:v>
      </x:c>
      <x:c r="I2348" s="84" t="str">
        <x:f>PROPER(TRIM('Raw Sales'!F2348))</x:f>
        <x:v>Midwest</x:v>
      </x:c>
      <x:c r="J2348" s="84" t="str">
        <x:f>PROPER(TRIM('Raw Sales'!G2348))</x:f>
        <x:v>Columbus</x:v>
      </x:c>
      <x:c r="K2348" s="84" t="str">
        <x:f>PROPER(TRIM('Raw Sales'!H2348))</x:f>
        <x:v>Retail Store</x:v>
      </x:c>
      <x:c r="L2348" s="84" t="str">
        <x:f>'Raw Sales'!I2348</x:f>
        <x:v>ELEC-005</x:v>
      </x:c>
      <x:c r="M2348" s="84" t="str">
        <x:f>IFERROR(VLOOKUP(L2348,'Reference Data'!$A$5:$F$40,2,FALSE),"Unknown Product")</x:f>
        <x:v>HD Webcam</x:v>
      </x:c>
      <x:c r="N2348" s="84" t="str">
        <x:f>IFERROR(VLOOKUP(L2348,'Reference Data'!$A$5:$F$40,3,FALSE),"Unknown")</x:f>
        <x:v>Electronics</x:v>
      </x:c>
      <x:c r="O2348" s="84" t="str">
        <x:f>IFERROR(VLOOKUP(L2348,'Reference Data'!$A$5:$F$40,4,FALSE),"Unknown")</x:f>
        <x:v>Computer Accessories</x:v>
      </x:c>
      <x:c r="P2348" s="92" t="n">
        <x:f>IFERROR(VLOOKUP(L2348,'Reference Data'!$A$5:$F$40,5,FALSE),0)</x:f>
        <x:v>79</x:v>
      </x:c>
      <x:c r="Q2348" s="92" t="n">
        <x:f>IFERROR(VLOOKUP(L2348,'Reference Data'!$A$5:$F$40,6,FALSE),0)</x:f>
        <x:v>37</x:v>
      </x:c>
      <x:c r="R2348" s="84" t="n">
        <x:f>'Raw Sales'!J2348</x:f>
        <x:v>4</x:v>
      </x:c>
      <x:c r="S2348" s="87" t="n">
        <x:f>'Raw Sales'!K2348</x:f>
        <x:v>0.1</x:v>
      </x:c>
      <x:c r="T2348" s="93" t="n">
        <x:f>P2348*R2348</x:f>
        <x:v>316</x:v>
      </x:c>
      <x:c r="U2348" s="93" t="n">
        <x:f>T2348*S2348</x:f>
        <x:v>31.6</x:v>
      </x:c>
      <x:c r="V2348" s="93" t="str">
        <x:f>PROPER(TRIM('Raw Sales'!L2348))</x:f>
        <x:v>Completed</x:v>
      </x:c>
      <x:c r="W2348" s="93" t="n">
        <x:f>IF(V2348="Returned",0,T2348-U2348)</x:f>
        <x:v>284.4</x:v>
      </x:c>
      <x:c r="X2348" s="93" t="n">
        <x:f>IF(V2348="Returned",Q2348*R2348*10%,Q2348*R2348)</x:f>
        <x:v>148</x:v>
      </x:c>
      <x:c r="Y2348" s="93" t="n">
        <x:f>W2348-X2348</x:f>
        <x:v>136.39999999999998</x:v>
      </x:c>
      <x:c r="Z2348" s="94" t="n">
        <x:f>IFERROR(Y2348/W2348,0)</x:f>
        <x:v>0.4796061884669479</x:v>
      </x:c>
      <x:c r="AA2348" s="84" t="str">
        <x:f>PROPER(TRIM('Raw Sales'!M2348))</x:f>
        <x:v>Debit Card</x:v>
      </x:c>
      <x:c r="AB2348" s="84" t="str">
        <x:f>PROPER(TRIM('Raw Sales'!N2348))</x:f>
        <x:v>Lucas Grant</x:v>
      </x:c>
      <x:c r="AC2348" s="85" t="n">
        <x:f>'Raw Sales'!O2348</x:f>
        <x:v>46007</x:v>
      </x:c>
      <x:c r="AD2348" s="84" t="n">
        <x:f>AC2348-B2348</x:f>
        <x:v>0</x:v>
      </x:c>
      <x:c r="AE2348" s="84" t="str">
        <x:f>IF(COUNTIF($A$5:A2348,A2348)&gt;1,"Duplicate","Keep")</x:f>
        <x:v>Keep</x:v>
      </x:c>
      <x:c r="AF2348" s="84" t="str">
        <x:f>IF(OR(R2348&lt;=0,AC2348&lt;B2348,H2348="Unknown",M2348="Unknown Product"),"Review","Valid")</x:f>
        <x:v>Valid</x:v>
      </x:c>
      <x:c r="AG2348" s="84" t="n">
        <x:f>IF(AND(AE2348="Keep",AF2348="Valid"),1,0)</x:f>
        <x:v>1</x:v>
      </x:c>
      <x:c r="AH2348" s="84" t="n">
        <x:f>IF(AND(AG2348=1,OR('Dashboard'!$B$4="All",I2348='Dashboard'!$B$4),OR('Dashboard'!$E$4="All",N2348='Dashboard'!$E$4),OR('Dashboard'!$H$4="All",K2348='Dashboard'!$H$4),OR('Dashboard'!$K$4="All",C2348='Dashboard'!$K$4)),1,0)</x:f>
        <x:v>1</x:v>
      </x:c>
      <x:c r="AI2348" s="84" t="n">
        <x:f>IF(AND(AG2348=1,OR('Dashboard'!$B$4="All",I2348='Dashboard'!$B$4),OR('Dashboard'!$E$4="All",N2348='Dashboard'!$E$4),OR('Dashboard'!$H$4="All",K2348='Dashboard'!$H$4)),1,0)</x:f>
        <x:v>1</x:v>
      </x:c>
    </x:row>
    <x:row r="2349">
      <x:c r="A2349" s="84" t="str">
        <x:f>'Raw Sales'!A2349</x:f>
        <x:v>ORD-2025-02199</x:v>
      </x:c>
      <x:c r="B2349" s="85" t="n">
        <x:f>'Raw Sales'!B2349</x:f>
        <x:v>46007</x:v>
      </x:c>
      <x:c r="C2349" s="84" t="n">
        <x:f>YEAR(B2349)</x:f>
        <x:v>2025</x:v>
      </x:c>
      <x:c r="D2349" s="91" t="n">
        <x:f>DATE(YEAR(B2349),MONTH(B2349),1)</x:f>
        <x:v>45992</x:v>
      </x:c>
      <x:c r="E2349" s="84" t="str">
        <x:f>TEXT(B2349,"mmm")</x:f>
        <x:v>Dec</x:v>
      </x:c>
      <x:c r="F2349" s="84" t="str">
        <x:f>'Raw Sales'!C2349</x:f>
        <x:v>CUST-0300</x:v>
      </x:c>
      <x:c r="G2349" s="84" t="str">
        <x:f>PROPER(TRIM('Raw Sales'!D2349))</x:f>
        <x:v>Owen Baker</x:v>
      </x:c>
      <x:c r="H2349" s="84" t="str">
        <x:f>IF(TRIM('Raw Sales'!E2349)="","Unknown",PROPER(TRIM('Raw Sales'!E2349)))</x:f>
        <x:v>Corporate</x:v>
      </x:c>
      <x:c r="I2349" s="84" t="str">
        <x:f>PROPER(TRIM('Raw Sales'!F2349))</x:f>
        <x:v>Northeast</x:v>
      </x:c>
      <x:c r="J2349" s="84" t="str">
        <x:f>PROPER(TRIM('Raw Sales'!G2349))</x:f>
        <x:v>Boston</x:v>
      </x:c>
      <x:c r="K2349" s="84" t="str">
        <x:f>PROPER(TRIM('Raw Sales'!H2349))</x:f>
        <x:v>Retail Store</x:v>
      </x:c>
      <x:c r="L2349" s="84" t="str">
        <x:f>'Raw Sales'!I2349</x:f>
        <x:v>HOME-005</x:v>
      </x:c>
      <x:c r="M2349" s="84" t="str">
        <x:f>IFERROR(VLOOKUP(L2349,'Reference Data'!$A$5:$F$40,2,FALSE),"Unknown Product")</x:f>
        <x:v>Cordless Vacuum</x:v>
      </x:c>
      <x:c r="N2349" s="84" t="str">
        <x:f>IFERROR(VLOOKUP(L2349,'Reference Data'!$A$5:$F$40,3,FALSE),"Unknown")</x:f>
        <x:v>Home &amp; Kitchen</x:v>
      </x:c>
      <x:c r="O2349" s="84" t="str">
        <x:f>IFERROR(VLOOKUP(L2349,'Reference Data'!$A$5:$F$40,4,FALSE),"Unknown")</x:f>
        <x:v>Cleaning</x:v>
      </x:c>
      <x:c r="P2349" s="92" t="n">
        <x:f>IFERROR(VLOOKUP(L2349,'Reference Data'!$A$5:$F$40,5,FALSE),0)</x:f>
        <x:v>179</x:v>
      </x:c>
      <x:c r="Q2349" s="92" t="n">
        <x:f>IFERROR(VLOOKUP(L2349,'Reference Data'!$A$5:$F$40,6,FALSE),0)</x:f>
        <x:v>102</x:v>
      </x:c>
      <x:c r="R2349" s="84" t="n">
        <x:f>'Raw Sales'!J2349</x:f>
        <x:v>4</x:v>
      </x:c>
      <x:c r="S2349" s="87" t="n">
        <x:f>'Raw Sales'!K2349</x:f>
        <x:v>0.05</x:v>
      </x:c>
      <x:c r="T2349" s="93" t="n">
        <x:f>P2349*R2349</x:f>
        <x:v>716</x:v>
      </x:c>
      <x:c r="U2349" s="93" t="n">
        <x:f>T2349*S2349</x:f>
        <x:v>35.800000000000004</x:v>
      </x:c>
      <x:c r="V2349" s="93" t="str">
        <x:f>PROPER(TRIM('Raw Sales'!L2349))</x:f>
        <x:v>Completed</x:v>
      </x:c>
      <x:c r="W2349" s="93" t="n">
        <x:f>IF(V2349="Returned",0,T2349-U2349)</x:f>
        <x:v>680.2</x:v>
      </x:c>
      <x:c r="X2349" s="93" t="n">
        <x:f>IF(V2349="Returned",Q2349*R2349*10%,Q2349*R2349)</x:f>
        <x:v>408</x:v>
      </x:c>
      <x:c r="Y2349" s="93" t="n">
        <x:f>W2349-X2349</x:f>
        <x:v>272.20000000000005</x:v>
      </x:c>
      <x:c r="Z2349" s="94" t="n">
        <x:f>IFERROR(Y2349/W2349,0)</x:f>
        <x:v>0.4001764187003823</x:v>
      </x:c>
      <x:c r="AA2349" s="84" t="str">
        <x:f>PROPER(TRIM('Raw Sales'!M2349))</x:f>
        <x:v>Credit Card</x:v>
      </x:c>
      <x:c r="AB2349" s="84" t="str">
        <x:f>PROPER(TRIM('Raw Sales'!N2349))</x:f>
        <x:v>Sofia Bennett</x:v>
      </x:c>
      <x:c r="AC2349" s="85" t="n">
        <x:f>'Raw Sales'!O2349</x:f>
        <x:v>46008</x:v>
      </x:c>
      <x:c r="AD2349" s="84" t="n">
        <x:f>AC2349-B2349</x:f>
        <x:v>1</x:v>
      </x:c>
      <x:c r="AE2349" s="84" t="str">
        <x:f>IF(COUNTIF($A$5:A2349,A2349)&gt;1,"Duplicate","Keep")</x:f>
        <x:v>Keep</x:v>
      </x:c>
      <x:c r="AF2349" s="84" t="str">
        <x:f>IF(OR(R2349&lt;=0,AC2349&lt;B2349,H2349="Unknown",M2349="Unknown Product"),"Review","Valid")</x:f>
        <x:v>Valid</x:v>
      </x:c>
      <x:c r="AG2349" s="84" t="n">
        <x:f>IF(AND(AE2349="Keep",AF2349="Valid"),1,0)</x:f>
        <x:v>1</x:v>
      </x:c>
      <x:c r="AH2349" s="84" t="n">
        <x:f>IF(AND(AG2349=1,OR('Dashboard'!$B$4="All",I2349='Dashboard'!$B$4),OR('Dashboard'!$E$4="All",N2349='Dashboard'!$E$4),OR('Dashboard'!$H$4="All",K2349='Dashboard'!$H$4),OR('Dashboard'!$K$4="All",C2349='Dashboard'!$K$4)),1,0)</x:f>
        <x:v>1</x:v>
      </x:c>
      <x:c r="AI2349" s="84" t="n">
        <x:f>IF(AND(AG2349=1,OR('Dashboard'!$B$4="All",I2349='Dashboard'!$B$4),OR('Dashboard'!$E$4="All",N2349='Dashboard'!$E$4),OR('Dashboard'!$H$4="All",K2349='Dashboard'!$H$4)),1,0)</x:f>
        <x:v>1</x:v>
      </x:c>
    </x:row>
    <x:row r="2350">
      <x:c r="A2350" s="84" t="str">
        <x:f>'Raw Sales'!A2350</x:f>
        <x:v>ORD-2025-01321</x:v>
      </x:c>
      <x:c r="B2350" s="85" t="n">
        <x:f>'Raw Sales'!B2350</x:f>
        <x:v>46008</x:v>
      </x:c>
      <x:c r="C2350" s="84" t="n">
        <x:f>YEAR(B2350)</x:f>
        <x:v>2025</x:v>
      </x:c>
      <x:c r="D2350" s="91" t="n">
        <x:f>DATE(YEAR(B2350),MONTH(B2350),1)</x:f>
        <x:v>45992</x:v>
      </x:c>
      <x:c r="E2350" s="84" t="str">
        <x:f>TEXT(B2350,"mmm")</x:f>
        <x:v>Dec</x:v>
      </x:c>
      <x:c r="F2350" s="84" t="str">
        <x:f>'Raw Sales'!C2350</x:f>
        <x:v>CUST-0481</x:v>
      </x:c>
      <x:c r="G2350" s="84" t="str">
        <x:f>PROPER(TRIM('Raw Sales'!D2350))</x:f>
        <x:v>Marcus Hall</x:v>
      </x:c>
      <x:c r="H2350" s="84" t="str">
        <x:f>IF(TRIM('Raw Sales'!E2350)="","Unknown",PROPER(TRIM('Raw Sales'!E2350)))</x:f>
        <x:v>Small Business</x:v>
      </x:c>
      <x:c r="I2350" s="84" t="str">
        <x:f>PROPER(TRIM('Raw Sales'!F2350))</x:f>
        <x:v>Northeast</x:v>
      </x:c>
      <x:c r="J2350" s="84" t="str">
        <x:f>PROPER(TRIM('Raw Sales'!G2350))</x:f>
        <x:v>Newark</x:v>
      </x:c>
      <x:c r="K2350" s="84" t="str">
        <x:f>PROPER(TRIM('Raw Sales'!H2350))</x:f>
        <x:v>Retail Store</x:v>
      </x:c>
      <x:c r="L2350" s="84" t="str">
        <x:f>'Raw Sales'!I2350</x:f>
        <x:v>OFFC-006</x:v>
      </x:c>
      <x:c r="M2350" s="84" t="str">
        <x:f>IFERROR(VLOOKUP(L2350,'Reference Data'!$A$5:$F$40,2,FALSE),"Unknown Product")</x:f>
        <x:v>Monitor Stand</x:v>
      </x:c>
      <x:c r="N2350" s="84" t="str">
        <x:f>IFERROR(VLOOKUP(L2350,'Reference Data'!$A$5:$F$40,3,FALSE),"Unknown")</x:f>
        <x:v>Office</x:v>
      </x:c>
      <x:c r="O2350" s="84" t="str">
        <x:f>IFERROR(VLOOKUP(L2350,'Reference Data'!$A$5:$F$40,4,FALSE),"Unknown")</x:f>
        <x:v>Desk Accessories</x:v>
      </x:c>
      <x:c r="P2350" s="92" t="n">
        <x:f>IFERROR(VLOOKUP(L2350,'Reference Data'!$A$5:$F$40,5,FALSE),0)</x:f>
        <x:v>49</x:v>
      </x:c>
      <x:c r="Q2350" s="92" t="n">
        <x:f>IFERROR(VLOOKUP(L2350,'Reference Data'!$A$5:$F$40,6,FALSE),0)</x:f>
        <x:v>21</x:v>
      </x:c>
      <x:c r="R2350" s="84" t="n">
        <x:f>'Raw Sales'!J2350</x:f>
        <x:v>1</x:v>
      </x:c>
      <x:c r="S2350" s="87" t="n">
        <x:f>'Raw Sales'!K2350</x:f>
        <x:v>0.1</x:v>
      </x:c>
      <x:c r="T2350" s="93" t="n">
        <x:f>P2350*R2350</x:f>
        <x:v>49</x:v>
      </x:c>
      <x:c r="U2350" s="93" t="n">
        <x:f>T2350*S2350</x:f>
        <x:v>4.9</x:v>
      </x:c>
      <x:c r="V2350" s="93" t="str">
        <x:f>PROPER(TRIM('Raw Sales'!L2350))</x:f>
        <x:v>Completed</x:v>
      </x:c>
      <x:c r="W2350" s="93" t="n">
        <x:f>IF(V2350="Returned",0,T2350-U2350)</x:f>
        <x:v>44.1</x:v>
      </x:c>
      <x:c r="X2350" s="93" t="n">
        <x:f>IF(V2350="Returned",Q2350*R2350*10%,Q2350*R2350)</x:f>
        <x:v>21</x:v>
      </x:c>
      <x:c r="Y2350" s="93" t="n">
        <x:f>W2350-X2350</x:f>
        <x:v>23.1</x:v>
      </x:c>
      <x:c r="Z2350" s="94" t="n">
        <x:f>IFERROR(Y2350/W2350,0)</x:f>
        <x:v>0.5238095238095238</x:v>
      </x:c>
      <x:c r="AA2350" s="84" t="str">
        <x:f>PROPER(TRIM('Raw Sales'!M2350))</x:f>
        <x:v>Debit Card</x:v>
      </x:c>
      <x:c r="AB2350" s="84" t="str">
        <x:f>PROPER(TRIM('Raw Sales'!N2350))</x:f>
        <x:v>Sofia Bennett</x:v>
      </x:c>
      <x:c r="AC2350" s="85" t="n">
        <x:f>'Raw Sales'!O2350</x:f>
        <x:v>46008</x:v>
      </x:c>
      <x:c r="AD2350" s="84" t="n">
        <x:f>AC2350-B2350</x:f>
        <x:v>0</x:v>
      </x:c>
      <x:c r="AE2350" s="84" t="str">
        <x:f>IF(COUNTIF($A$5:A2350,A2350)&gt;1,"Duplicate","Keep")</x:f>
        <x:v>Keep</x:v>
      </x:c>
      <x:c r="AF2350" s="84" t="str">
        <x:f>IF(OR(R2350&lt;=0,AC2350&lt;B2350,H2350="Unknown",M2350="Unknown Product"),"Review","Valid")</x:f>
        <x:v>Valid</x:v>
      </x:c>
      <x:c r="AG2350" s="84" t="n">
        <x:f>IF(AND(AE2350="Keep",AF2350="Valid"),1,0)</x:f>
        <x:v>1</x:v>
      </x:c>
      <x:c r="AH2350" s="84" t="n">
        <x:f>IF(AND(AG2350=1,OR('Dashboard'!$B$4="All",I2350='Dashboard'!$B$4),OR('Dashboard'!$E$4="All",N2350='Dashboard'!$E$4),OR('Dashboard'!$H$4="All",K2350='Dashboard'!$H$4),OR('Dashboard'!$K$4="All",C2350='Dashboard'!$K$4)),1,0)</x:f>
        <x:v>1</x:v>
      </x:c>
      <x:c r="AI2350" s="84" t="n">
        <x:f>IF(AND(AG2350=1,OR('Dashboard'!$B$4="All",I2350='Dashboard'!$B$4),OR('Dashboard'!$E$4="All",N2350='Dashboard'!$E$4),OR('Dashboard'!$H$4="All",K2350='Dashboard'!$H$4)),1,0)</x:f>
        <x:v>1</x:v>
      </x:c>
    </x:row>
    <x:row r="2351">
      <x:c r="A2351" s="84" t="str">
        <x:f>'Raw Sales'!A2351</x:f>
        <x:v>ORD-2025-01781</x:v>
      </x:c>
      <x:c r="B2351" s="85" t="n">
        <x:f>'Raw Sales'!B2351</x:f>
        <x:v>46008</x:v>
      </x:c>
      <x:c r="C2351" s="84" t="n">
        <x:f>YEAR(B2351)</x:f>
        <x:v>2025</x:v>
      </x:c>
      <x:c r="D2351" s="91" t="n">
        <x:f>DATE(YEAR(B2351),MONTH(B2351),1)</x:f>
        <x:v>45992</x:v>
      </x:c>
      <x:c r="E2351" s="84" t="str">
        <x:f>TEXT(B2351,"mmm")</x:f>
        <x:v>Dec</x:v>
      </x:c>
      <x:c r="F2351" s="84" t="str">
        <x:f>'Raw Sales'!C2351</x:f>
        <x:v>CUST-0124</x:v>
      </x:c>
      <x:c r="G2351" s="84" t="str">
        <x:f>PROPER(TRIM('Raw Sales'!D2351))</x:f>
        <x:v>Priya Lewis</x:v>
      </x:c>
      <x:c r="H2351" s="84" t="str">
        <x:f>IF(TRIM('Raw Sales'!E2351)="","Unknown",PROPER(TRIM('Raw Sales'!E2351)))</x:f>
        <x:v>Consumer</x:v>
      </x:c>
      <x:c r="I2351" s="84" t="str">
        <x:f>PROPER(TRIM('Raw Sales'!F2351))</x:f>
        <x:v>Midwest</x:v>
      </x:c>
      <x:c r="J2351" s="84" t="str">
        <x:f>PROPER(TRIM('Raw Sales'!G2351))</x:f>
        <x:v>Chicago</x:v>
      </x:c>
      <x:c r="K2351" s="84" t="str">
        <x:f>PROPER(TRIM('Raw Sales'!H2351))</x:f>
        <x:v>Online</x:v>
      </x:c>
      <x:c r="L2351" s="84" t="str">
        <x:f>'Raw Sales'!I2351</x:f>
        <x:v>HOME-001</x:v>
      </x:c>
      <x:c r="M2351" s="84" t="str">
        <x:f>IFERROR(VLOOKUP(L2351,'Reference Data'!$A$5:$F$40,2,FALSE),"Unknown Product")</x:f>
        <x:v>Air Fryer</x:v>
      </x:c>
      <x:c r="N2351" s="84" t="str">
        <x:f>IFERROR(VLOOKUP(L2351,'Reference Data'!$A$5:$F$40,3,FALSE),"Unknown")</x:f>
        <x:v>Home &amp; Kitchen</x:v>
      </x:c>
      <x:c r="O2351" s="84" t="str">
        <x:f>IFERROR(VLOOKUP(L2351,'Reference Data'!$A$5:$F$40,4,FALSE),"Unknown")</x:f>
        <x:v>Small Appliances</x:v>
      </x:c>
      <x:c r="P2351" s="92" t="n">
        <x:f>IFERROR(VLOOKUP(L2351,'Reference Data'!$A$5:$F$40,5,FALSE),0)</x:f>
        <x:v>119</x:v>
      </x:c>
      <x:c r="Q2351" s="92" t="n">
        <x:f>IFERROR(VLOOKUP(L2351,'Reference Data'!$A$5:$F$40,6,FALSE),0)</x:f>
        <x:v>68</x:v>
      </x:c>
      <x:c r="R2351" s="84" t="n">
        <x:f>'Raw Sales'!J2351</x:f>
        <x:v>3</x:v>
      </x:c>
      <x:c r="S2351" s="87" t="n">
        <x:f>'Raw Sales'!K2351</x:f>
        <x:v>0.1</x:v>
      </x:c>
      <x:c r="T2351" s="93" t="n">
        <x:f>P2351*R2351</x:f>
        <x:v>357</x:v>
      </x:c>
      <x:c r="U2351" s="93" t="n">
        <x:f>T2351*S2351</x:f>
        <x:v>35.7</x:v>
      </x:c>
      <x:c r="V2351" s="93" t="str">
        <x:f>PROPER(TRIM('Raw Sales'!L2351))</x:f>
        <x:v>Completed</x:v>
      </x:c>
      <x:c r="W2351" s="93" t="n">
        <x:f>IF(V2351="Returned",0,T2351-U2351)</x:f>
        <x:v>321.3</x:v>
      </x:c>
      <x:c r="X2351" s="93" t="n">
        <x:f>IF(V2351="Returned",Q2351*R2351*10%,Q2351*R2351)</x:f>
        <x:v>204</x:v>
      </x:c>
      <x:c r="Y2351" s="93" t="n">
        <x:f>W2351-X2351</x:f>
        <x:v>117.30000000000001</x:v>
      </x:c>
      <x:c r="Z2351" s="94" t="n">
        <x:f>IFERROR(Y2351/W2351,0)</x:f>
        <x:v>0.3650793650793651</x:v>
      </x:c>
      <x:c r="AA2351" s="84" t="str">
        <x:f>PROPER(TRIM('Raw Sales'!M2351))</x:f>
        <x:v>Credit Card</x:v>
      </x:c>
      <x:c r="AB2351" s="84" t="str">
        <x:f>PROPER(TRIM('Raw Sales'!N2351))</x:f>
        <x:v>Lucas Grant</x:v>
      </x:c>
      <x:c r="AC2351" s="85" t="n">
        <x:f>'Raw Sales'!O2351</x:f>
        <x:v>46012</x:v>
      </x:c>
      <x:c r="AD2351" s="84" t="n">
        <x:f>AC2351-B2351</x:f>
        <x:v>4</x:v>
      </x:c>
      <x:c r="AE2351" s="84" t="str">
        <x:f>IF(COUNTIF($A$5:A2351,A2351)&gt;1,"Duplicate","Keep")</x:f>
        <x:v>Keep</x:v>
      </x:c>
      <x:c r="AF2351" s="84" t="str">
        <x:f>IF(OR(R2351&lt;=0,AC2351&lt;B2351,H2351="Unknown",M2351="Unknown Product"),"Review","Valid")</x:f>
        <x:v>Valid</x:v>
      </x:c>
      <x:c r="AG2351" s="84" t="n">
        <x:f>IF(AND(AE2351="Keep",AF2351="Valid"),1,0)</x:f>
        <x:v>1</x:v>
      </x:c>
      <x:c r="AH2351" s="84" t="n">
        <x:f>IF(AND(AG2351=1,OR('Dashboard'!$B$4="All",I2351='Dashboard'!$B$4),OR('Dashboard'!$E$4="All",N2351='Dashboard'!$E$4),OR('Dashboard'!$H$4="All",K2351='Dashboard'!$H$4),OR('Dashboard'!$K$4="All",C2351='Dashboard'!$K$4)),1,0)</x:f>
        <x:v>1</x:v>
      </x:c>
      <x:c r="AI2351" s="84" t="n">
        <x:f>IF(AND(AG2351=1,OR('Dashboard'!$B$4="All",I2351='Dashboard'!$B$4),OR('Dashboard'!$E$4="All",N2351='Dashboard'!$E$4),OR('Dashboard'!$H$4="All",K2351='Dashboard'!$H$4)),1,0)</x:f>
        <x:v>1</x:v>
      </x:c>
    </x:row>
    <x:row r="2352">
      <x:c r="A2352" s="84" t="str">
        <x:f>'Raw Sales'!A2352</x:f>
        <x:v>ORD-2025-00100</x:v>
      </x:c>
      <x:c r="B2352" s="85" t="n">
        <x:f>'Raw Sales'!B2352</x:f>
        <x:v>46009</x:v>
      </x:c>
      <x:c r="C2352" s="84" t="n">
        <x:f>YEAR(B2352)</x:f>
        <x:v>2025</x:v>
      </x:c>
      <x:c r="D2352" s="91" t="n">
        <x:f>DATE(YEAR(B2352),MONTH(B2352),1)</x:f>
        <x:v>45992</x:v>
      </x:c>
      <x:c r="E2352" s="84" t="str">
        <x:f>TEXT(B2352,"mmm")</x:f>
        <x:v>Dec</x:v>
      </x:c>
      <x:c r="F2352" s="84" t="str">
        <x:f>'Raw Sales'!C2352</x:f>
        <x:v>CUST-0320</x:v>
      </x:c>
      <x:c r="G2352" s="84" t="str">
        <x:f>PROPER(TRIM('Raw Sales'!D2352))</x:f>
        <x:v>Theo Foster</x:v>
      </x:c>
      <x:c r="H2352" s="84" t="str">
        <x:f>IF(TRIM('Raw Sales'!E2352)="","Unknown",PROPER(TRIM('Raw Sales'!E2352)))</x:f>
        <x:v>Consumer</x:v>
      </x:c>
      <x:c r="I2352" s="84" t="str">
        <x:f>PROPER(TRIM('Raw Sales'!F2352))</x:f>
        <x:v>Midwest</x:v>
      </x:c>
      <x:c r="J2352" s="84" t="str">
        <x:f>PROPER(TRIM('Raw Sales'!G2352))</x:f>
        <x:v>Columbus</x:v>
      </x:c>
      <x:c r="K2352" s="84" t="str">
        <x:f>PROPER(TRIM('Raw Sales'!H2352))</x:f>
        <x:v>Online</x:v>
      </x:c>
      <x:c r="L2352" s="84" t="str">
        <x:f>'Raw Sales'!I2352</x:f>
        <x:v>HOME-006</x:v>
      </x:c>
      <x:c r="M2352" s="84" t="str">
        <x:f>IFERROR(VLOOKUP(L2352,'Reference Data'!$A$5:$F$40,2,FALSE),"Unknown Product")</x:f>
        <x:v>Food Storage Set</x:v>
      </x:c>
      <x:c r="N2352" s="84" t="str">
        <x:f>IFERROR(VLOOKUP(L2352,'Reference Data'!$A$5:$F$40,3,FALSE),"Unknown")</x:f>
        <x:v>Home &amp; Kitchen</x:v>
      </x:c>
      <x:c r="O2352" s="84" t="str">
        <x:f>IFERROR(VLOOKUP(L2352,'Reference Data'!$A$5:$F$40,4,FALSE),"Unknown")</x:f>
        <x:v>Kitchenware</x:v>
      </x:c>
      <x:c r="P2352" s="92" t="n">
        <x:f>IFERROR(VLOOKUP(L2352,'Reference Data'!$A$5:$F$40,5,FALSE),0)</x:f>
        <x:v>34</x:v>
      </x:c>
      <x:c r="Q2352" s="92" t="n">
        <x:f>IFERROR(VLOOKUP(L2352,'Reference Data'!$A$5:$F$40,6,FALSE),0)</x:f>
        <x:v>15</x:v>
      </x:c>
      <x:c r="R2352" s="84" t="n">
        <x:f>'Raw Sales'!J2352</x:f>
        <x:v>2</x:v>
      </x:c>
      <x:c r="S2352" s="87" t="n">
        <x:f>'Raw Sales'!K2352</x:f>
        <x:v>0.15</x:v>
      </x:c>
      <x:c r="T2352" s="93" t="n">
        <x:f>P2352*R2352</x:f>
        <x:v>68</x:v>
      </x:c>
      <x:c r="U2352" s="93" t="n">
        <x:f>T2352*S2352</x:f>
        <x:v>10.2</x:v>
      </x:c>
      <x:c r="V2352" s="93" t="str">
        <x:f>PROPER(TRIM('Raw Sales'!L2352))</x:f>
        <x:v>Completed</x:v>
      </x:c>
      <x:c r="W2352" s="93" t="n">
        <x:f>IF(V2352="Returned",0,T2352-U2352)</x:f>
        <x:v>57.8</x:v>
      </x:c>
      <x:c r="X2352" s="93" t="n">
        <x:f>IF(V2352="Returned",Q2352*R2352*10%,Q2352*R2352)</x:f>
        <x:v>30</x:v>
      </x:c>
      <x:c r="Y2352" s="93" t="n">
        <x:f>W2352-X2352</x:f>
        <x:v>27.799999999999997</x:v>
      </x:c>
      <x:c r="Z2352" s="94" t="n">
        <x:f>IFERROR(Y2352/W2352,0)</x:f>
        <x:v>0.4809688581314879</x:v>
      </x:c>
      <x:c r="AA2352" s="84" t="str">
        <x:f>PROPER(TRIM('Raw Sales'!M2352))</x:f>
        <x:v>Debit Card</x:v>
      </x:c>
      <x:c r="AB2352" s="84" t="str">
        <x:f>PROPER(TRIM('Raw Sales'!N2352))</x:f>
        <x:v>Zoe Turner</x:v>
      </x:c>
      <x:c r="AC2352" s="85" t="n">
        <x:f>'Raw Sales'!O2352</x:f>
        <x:v>46015</x:v>
      </x:c>
      <x:c r="AD2352" s="84" t="n">
        <x:f>AC2352-B2352</x:f>
        <x:v>6</x:v>
      </x:c>
      <x:c r="AE2352" s="84" t="str">
        <x:f>IF(COUNTIF($A$5:A2352,A2352)&gt;1,"Duplicate","Keep")</x:f>
        <x:v>Keep</x:v>
      </x:c>
      <x:c r="AF2352" s="84" t="str">
        <x:f>IF(OR(R2352&lt;=0,AC2352&lt;B2352,H2352="Unknown",M2352="Unknown Product"),"Review","Valid")</x:f>
        <x:v>Valid</x:v>
      </x:c>
      <x:c r="AG2352" s="84" t="n">
        <x:f>IF(AND(AE2352="Keep",AF2352="Valid"),1,0)</x:f>
        <x:v>1</x:v>
      </x:c>
      <x:c r="AH2352" s="84" t="n">
        <x:f>IF(AND(AG2352=1,OR('Dashboard'!$B$4="All",I2352='Dashboard'!$B$4),OR('Dashboard'!$E$4="All",N2352='Dashboard'!$E$4),OR('Dashboard'!$H$4="All",K2352='Dashboard'!$H$4),OR('Dashboard'!$K$4="All",C2352='Dashboard'!$K$4)),1,0)</x:f>
        <x:v>1</x:v>
      </x:c>
      <x:c r="AI2352" s="84" t="n">
        <x:f>IF(AND(AG2352=1,OR('Dashboard'!$B$4="All",I2352='Dashboard'!$B$4),OR('Dashboard'!$E$4="All",N2352='Dashboard'!$E$4),OR('Dashboard'!$H$4="All",K2352='Dashboard'!$H$4)),1,0)</x:f>
        <x:v>1</x:v>
      </x:c>
    </x:row>
    <x:row r="2353">
      <x:c r="A2353" s="84" t="str">
        <x:f>'Raw Sales'!A2353</x:f>
        <x:v>ORD-2025-00151</x:v>
      </x:c>
      <x:c r="B2353" s="85" t="n">
        <x:f>'Raw Sales'!B2353</x:f>
        <x:v>46009</x:v>
      </x:c>
      <x:c r="C2353" s="84" t="n">
        <x:f>YEAR(B2353)</x:f>
        <x:v>2025</x:v>
      </x:c>
      <x:c r="D2353" s="91" t="n">
        <x:f>DATE(YEAR(B2353),MONTH(B2353),1)</x:f>
        <x:v>45992</x:v>
      </x:c>
      <x:c r="E2353" s="84" t="str">
        <x:f>TEXT(B2353,"mmm")</x:f>
        <x:v>Dec</x:v>
      </x:c>
      <x:c r="F2353" s="84" t="str">
        <x:f>'Raw Sales'!C2353</x:f>
        <x:v>CUST-0018</x:v>
      </x:c>
      <x:c r="G2353" s="84" t="str">
        <x:f>PROPER(TRIM('Raw Sales'!D2353))</x:f>
        <x:v>Priya Nelson</x:v>
      </x:c>
      <x:c r="H2353" s="84" t="str">
        <x:f>IF(TRIM('Raw Sales'!E2353)="","Unknown",PROPER(TRIM('Raw Sales'!E2353)))</x:f>
        <x:v>Consumer</x:v>
      </x:c>
      <x:c r="I2353" s="84" t="str">
        <x:f>PROPER(TRIM('Raw Sales'!F2353))</x:f>
        <x:v>Southeast</x:v>
      </x:c>
      <x:c r="J2353" s="84" t="str">
        <x:f>PROPER(TRIM('Raw Sales'!G2353))</x:f>
        <x:v>Miami</x:v>
      </x:c>
      <x:c r="K2353" s="84" t="str">
        <x:f>PROPER(TRIM('Raw Sales'!H2353))</x:f>
        <x:v>Online</x:v>
      </x:c>
      <x:c r="L2353" s="84" t="str">
        <x:f>'Raw Sales'!I2353</x:f>
        <x:v>CARE-006</x:v>
      </x:c>
      <x:c r="M2353" s="84" t="str">
        <x:f>IFERROR(VLOOKUP(L2353,'Reference Data'!$A$5:$F$40,2,FALSE),"Unknown Product")</x:f>
        <x:v>Percussion Massage Gun</x:v>
      </x:c>
      <x:c r="N2353" s="84" t="str">
        <x:f>IFERROR(VLOOKUP(L2353,'Reference Data'!$A$5:$F$40,3,FALSE),"Unknown")</x:f>
        <x:v>Personal Care</x:v>
      </x:c>
      <x:c r="O2353" s="84" t="str">
        <x:f>IFERROR(VLOOKUP(L2353,'Reference Data'!$A$5:$F$40,4,FALSE),"Unknown")</x:f>
        <x:v>Wellness</x:v>
      </x:c>
      <x:c r="P2353" s="92" t="n">
        <x:f>IFERROR(VLOOKUP(L2353,'Reference Data'!$A$5:$F$40,5,FALSE),0)</x:f>
        <x:v>129</x:v>
      </x:c>
      <x:c r="Q2353" s="92" t="n">
        <x:f>IFERROR(VLOOKUP(L2353,'Reference Data'!$A$5:$F$40,6,FALSE),0)</x:f>
        <x:v>70</x:v>
      </x:c>
      <x:c r="R2353" s="84" t="n">
        <x:f>'Raw Sales'!J2353</x:f>
        <x:v>1</x:v>
      </x:c>
      <x:c r="S2353" s="87" t="n">
        <x:f>'Raw Sales'!K2353</x:f>
        <x:v>0.2</x:v>
      </x:c>
      <x:c r="T2353" s="93" t="n">
        <x:f>P2353*R2353</x:f>
        <x:v>129</x:v>
      </x:c>
      <x:c r="U2353" s="93" t="n">
        <x:f>T2353*S2353</x:f>
        <x:v>25.8</x:v>
      </x:c>
      <x:c r="V2353" s="93" t="str">
        <x:f>PROPER(TRIM('Raw Sales'!L2353))</x:f>
        <x:v>Completed</x:v>
      </x:c>
      <x:c r="W2353" s="93" t="n">
        <x:f>IF(V2353="Returned",0,T2353-U2353)</x:f>
        <x:v>103.2</x:v>
      </x:c>
      <x:c r="X2353" s="93" t="n">
        <x:f>IF(V2353="Returned",Q2353*R2353*10%,Q2353*R2353)</x:f>
        <x:v>70</x:v>
      </x:c>
      <x:c r="Y2353" s="93" t="n">
        <x:f>W2353-X2353</x:f>
        <x:v>33.2</x:v>
      </x:c>
      <x:c r="Z2353" s="94" t="n">
        <x:f>IFERROR(Y2353/W2353,0)</x:f>
        <x:v>0.32170542635658916</x:v>
      </x:c>
      <x:c r="AA2353" s="84" t="str">
        <x:f>PROPER(TRIM('Raw Sales'!M2353))</x:f>
        <x:v>Debit Card</x:v>
      </x:c>
      <x:c r="AB2353" s="84" t="str">
        <x:f>PROPER(TRIM('Raw Sales'!N2353))</x:f>
        <x:v>Liam Parker</x:v>
      </x:c>
      <x:c r="AC2353" s="85" t="n">
        <x:f>'Raw Sales'!O2353</x:f>
        <x:v>46011</x:v>
      </x:c>
      <x:c r="AD2353" s="84" t="n">
        <x:f>AC2353-B2353</x:f>
        <x:v>2</x:v>
      </x:c>
      <x:c r="AE2353" s="84" t="str">
        <x:f>IF(COUNTIF($A$5:A2353,A2353)&gt;1,"Duplicate","Keep")</x:f>
        <x:v>Keep</x:v>
      </x:c>
      <x:c r="AF2353" s="84" t="str">
        <x:f>IF(OR(R2353&lt;=0,AC2353&lt;B2353,H2353="Unknown",M2353="Unknown Product"),"Review","Valid")</x:f>
        <x:v>Valid</x:v>
      </x:c>
      <x:c r="AG2353" s="84" t="n">
        <x:f>IF(AND(AE2353="Keep",AF2353="Valid"),1,0)</x:f>
        <x:v>1</x:v>
      </x:c>
      <x:c r="AH2353" s="84" t="n">
        <x:f>IF(AND(AG2353=1,OR('Dashboard'!$B$4="All",I2353='Dashboard'!$B$4),OR('Dashboard'!$E$4="All",N2353='Dashboard'!$E$4),OR('Dashboard'!$H$4="All",K2353='Dashboard'!$H$4),OR('Dashboard'!$K$4="All",C2353='Dashboard'!$K$4)),1,0)</x:f>
        <x:v>1</x:v>
      </x:c>
      <x:c r="AI2353" s="84" t="n">
        <x:f>IF(AND(AG2353=1,OR('Dashboard'!$B$4="All",I2353='Dashboard'!$B$4),OR('Dashboard'!$E$4="All",N2353='Dashboard'!$E$4),OR('Dashboard'!$H$4="All",K2353='Dashboard'!$H$4)),1,0)</x:f>
        <x:v>1</x:v>
      </x:c>
    </x:row>
    <x:row r="2354">
      <x:c r="A2354" s="84" t="str">
        <x:f>'Raw Sales'!A2354</x:f>
        <x:v>ORD-2025-01112</x:v>
      </x:c>
      <x:c r="B2354" s="85" t="n">
        <x:f>'Raw Sales'!B2354</x:f>
        <x:v>46009</x:v>
      </x:c>
      <x:c r="C2354" s="84" t="n">
        <x:f>YEAR(B2354)</x:f>
        <x:v>2025</x:v>
      </x:c>
      <x:c r="D2354" s="91" t="n">
        <x:f>DATE(YEAR(B2354),MONTH(B2354),1)</x:f>
        <x:v>45992</x:v>
      </x:c>
      <x:c r="E2354" s="84" t="str">
        <x:f>TEXT(B2354,"mmm")</x:f>
        <x:v>Dec</x:v>
      </x:c>
      <x:c r="F2354" s="84" t="str">
        <x:f>'Raw Sales'!C2354</x:f>
        <x:v>CUST-0239</x:v>
      </x:c>
      <x:c r="G2354" s="84" t="str">
        <x:f>PROPER(TRIM('Raw Sales'!D2354))</x:f>
        <x:v>Nathan Roberts</x:v>
      </x:c>
      <x:c r="H2354" s="84" t="str">
        <x:f>IF(TRIM('Raw Sales'!E2354)="","Unknown",PROPER(TRIM('Raw Sales'!E2354)))</x:f>
        <x:v>Small Business</x:v>
      </x:c>
      <x:c r="I2354" s="84" t="str">
        <x:f>PROPER(TRIM('Raw Sales'!F2354))</x:f>
        <x:v>Midwest</x:v>
      </x:c>
      <x:c r="J2354" s="84" t="str">
        <x:f>PROPER(TRIM('Raw Sales'!G2354))</x:f>
        <x:v>Detroit</x:v>
      </x:c>
      <x:c r="K2354" s="84" t="str">
        <x:f>PROPER(TRIM('Raw Sales'!H2354))</x:f>
        <x:v>Marketplace</x:v>
      </x:c>
      <x:c r="L2354" s="84" t="str">
        <x:f>'Raw Sales'!I2354</x:f>
        <x:v>HOME-005</x:v>
      </x:c>
      <x:c r="M2354" s="84" t="str">
        <x:f>IFERROR(VLOOKUP(L2354,'Reference Data'!$A$5:$F$40,2,FALSE),"Unknown Product")</x:f>
        <x:v>Cordless Vacuum</x:v>
      </x:c>
      <x:c r="N2354" s="84" t="str">
        <x:f>IFERROR(VLOOKUP(L2354,'Reference Data'!$A$5:$F$40,3,FALSE),"Unknown")</x:f>
        <x:v>Home &amp; Kitchen</x:v>
      </x:c>
      <x:c r="O2354" s="84" t="str">
        <x:f>IFERROR(VLOOKUP(L2354,'Reference Data'!$A$5:$F$40,4,FALSE),"Unknown")</x:f>
        <x:v>Cleaning</x:v>
      </x:c>
      <x:c r="P2354" s="92" t="n">
        <x:f>IFERROR(VLOOKUP(L2354,'Reference Data'!$A$5:$F$40,5,FALSE),0)</x:f>
        <x:v>179</x:v>
      </x:c>
      <x:c r="Q2354" s="92" t="n">
        <x:f>IFERROR(VLOOKUP(L2354,'Reference Data'!$A$5:$F$40,6,FALSE),0)</x:f>
        <x:v>102</x:v>
      </x:c>
      <x:c r="R2354" s="84" t="n">
        <x:f>'Raw Sales'!J2354</x:f>
        <x:v>1</x:v>
      </x:c>
      <x:c r="S2354" s="87" t="n">
        <x:f>'Raw Sales'!K2354</x:f>
        <x:v>0</x:v>
      </x:c>
      <x:c r="T2354" s="93" t="n">
        <x:f>P2354*R2354</x:f>
        <x:v>179</x:v>
      </x:c>
      <x:c r="U2354" s="93" t="n">
        <x:f>T2354*S2354</x:f>
        <x:v>0</x:v>
      </x:c>
      <x:c r="V2354" s="93" t="str">
        <x:f>PROPER(TRIM('Raw Sales'!L2354))</x:f>
        <x:v>Completed</x:v>
      </x:c>
      <x:c r="W2354" s="93" t="n">
        <x:f>IF(V2354="Returned",0,T2354-U2354)</x:f>
        <x:v>179</x:v>
      </x:c>
      <x:c r="X2354" s="93" t="n">
        <x:f>IF(V2354="Returned",Q2354*R2354*10%,Q2354*R2354)</x:f>
        <x:v>102</x:v>
      </x:c>
      <x:c r="Y2354" s="93" t="n">
        <x:f>W2354-X2354</x:f>
        <x:v>77</x:v>
      </x:c>
      <x:c r="Z2354" s="94" t="n">
        <x:f>IFERROR(Y2354/W2354,0)</x:f>
        <x:v>0.4301675977653631</x:v>
      </x:c>
      <x:c r="AA2354" s="84" t="str">
        <x:f>PROPER(TRIM('Raw Sales'!M2354))</x:f>
        <x:v>Debit Card</x:v>
      </x:c>
      <x:c r="AB2354" s="84" t="str">
        <x:f>PROPER(TRIM('Raw Sales'!N2354))</x:f>
        <x:v>Emma Hayes</x:v>
      </x:c>
      <x:c r="AC2354" s="85" t="n">
        <x:f>'Raw Sales'!O2354</x:f>
        <x:v>46012</x:v>
      </x:c>
      <x:c r="AD2354" s="84" t="n">
        <x:f>AC2354-B2354</x:f>
        <x:v>3</x:v>
      </x:c>
      <x:c r="AE2354" s="84" t="str">
        <x:f>IF(COUNTIF($A$5:A2354,A2354)&gt;1,"Duplicate","Keep")</x:f>
        <x:v>Keep</x:v>
      </x:c>
      <x:c r="AF2354" s="84" t="str">
        <x:f>IF(OR(R2354&lt;=0,AC2354&lt;B2354,H2354="Unknown",M2354="Unknown Product"),"Review","Valid")</x:f>
        <x:v>Valid</x:v>
      </x:c>
      <x:c r="AG2354" s="84" t="n">
        <x:f>IF(AND(AE2354="Keep",AF2354="Valid"),1,0)</x:f>
        <x:v>1</x:v>
      </x:c>
      <x:c r="AH2354" s="84" t="n">
        <x:f>IF(AND(AG2354=1,OR('Dashboard'!$B$4="All",I2354='Dashboard'!$B$4),OR('Dashboard'!$E$4="All",N2354='Dashboard'!$E$4),OR('Dashboard'!$H$4="All",K2354='Dashboard'!$H$4),OR('Dashboard'!$K$4="All",C2354='Dashboard'!$K$4)),1,0)</x:f>
        <x:v>1</x:v>
      </x:c>
      <x:c r="AI2354" s="84" t="n">
        <x:f>IF(AND(AG2354=1,OR('Dashboard'!$B$4="All",I2354='Dashboard'!$B$4),OR('Dashboard'!$E$4="All",N2354='Dashboard'!$E$4),OR('Dashboard'!$H$4="All",K2354='Dashboard'!$H$4)),1,0)</x:f>
        <x:v>1</x:v>
      </x:c>
    </x:row>
    <x:row r="2355">
      <x:c r="A2355" s="84" t="str">
        <x:f>'Raw Sales'!A2355</x:f>
        <x:v>ORD-2025-01296</x:v>
      </x:c>
      <x:c r="B2355" s="85" t="n">
        <x:f>'Raw Sales'!B2355</x:f>
        <x:v>46009</x:v>
      </x:c>
      <x:c r="C2355" s="84" t="n">
        <x:f>YEAR(B2355)</x:f>
        <x:v>2025</x:v>
      </x:c>
      <x:c r="D2355" s="91" t="n">
        <x:f>DATE(YEAR(B2355),MONTH(B2355),1)</x:f>
        <x:v>45992</x:v>
      </x:c>
      <x:c r="E2355" s="84" t="str">
        <x:f>TEXT(B2355,"mmm")</x:f>
        <x:v>Dec</x:v>
      </x:c>
      <x:c r="F2355" s="84" t="str">
        <x:f>'Raw Sales'!C2355</x:f>
        <x:v>CUST-0558</x:v>
      </x:c>
      <x:c r="G2355" s="84" t="str">
        <x:f>PROPER(TRIM('Raw Sales'!D2355))</x:f>
        <x:v>Elias Irwin</x:v>
      </x:c>
      <x:c r="H2355" s="84" t="str">
        <x:f>IF(TRIM('Raw Sales'!E2355)="","Unknown",PROPER(TRIM('Raw Sales'!E2355)))</x:f>
        <x:v>Corporate</x:v>
      </x:c>
      <x:c r="I2355" s="84" t="str">
        <x:f>PROPER(TRIM('Raw Sales'!F2355))</x:f>
        <x:v>Northeast</x:v>
      </x:c>
      <x:c r="J2355" s="84" t="str">
        <x:f>PROPER(TRIM('Raw Sales'!G2355))</x:f>
        <x:v>Philadelphia</x:v>
      </x:c>
      <x:c r="K2355" s="84" t="str">
        <x:f>PROPER(TRIM('Raw Sales'!H2355))</x:f>
        <x:v>Retail Store</x:v>
      </x:c>
      <x:c r="L2355" s="84" t="str">
        <x:f>'Raw Sales'!I2355</x:f>
        <x:v>OFFC-005</x:v>
      </x:c>
      <x:c r="M2355" s="84" t="str">
        <x:f>IFERROR(VLOOKUP(L2355,'Reference Data'!$A$5:$F$40,2,FALSE),"Unknown Product")</x:f>
        <x:v>Wireless Keyboard</x:v>
      </x:c>
      <x:c r="N2355" s="84" t="str">
        <x:f>IFERROR(VLOOKUP(L2355,'Reference Data'!$A$5:$F$40,3,FALSE),"Unknown")</x:f>
        <x:v>Office</x:v>
      </x:c>
      <x:c r="O2355" s="84" t="str">
        <x:f>IFERROR(VLOOKUP(L2355,'Reference Data'!$A$5:$F$40,4,FALSE),"Unknown")</x:f>
        <x:v>Computer Accessories</x:v>
      </x:c>
      <x:c r="P2355" s="92" t="n">
        <x:f>IFERROR(VLOOKUP(L2355,'Reference Data'!$A$5:$F$40,5,FALSE),0)</x:f>
        <x:v>59</x:v>
      </x:c>
      <x:c r="Q2355" s="92" t="n">
        <x:f>IFERROR(VLOOKUP(L2355,'Reference Data'!$A$5:$F$40,6,FALSE),0)</x:f>
        <x:v>28</x:v>
      </x:c>
      <x:c r="R2355" s="84" t="n">
        <x:f>'Raw Sales'!J2355</x:f>
        <x:v>3</x:v>
      </x:c>
      <x:c r="S2355" s="87" t="n">
        <x:f>'Raw Sales'!K2355</x:f>
        <x:v>0.1</x:v>
      </x:c>
      <x:c r="T2355" s="93" t="n">
        <x:f>P2355*R2355</x:f>
        <x:v>177</x:v>
      </x:c>
      <x:c r="U2355" s="93" t="n">
        <x:f>T2355*S2355</x:f>
        <x:v>17.7</x:v>
      </x:c>
      <x:c r="V2355" s="93" t="str">
        <x:f>PROPER(TRIM('Raw Sales'!L2355))</x:f>
        <x:v>Completed</x:v>
      </x:c>
      <x:c r="W2355" s="93" t="n">
        <x:f>IF(V2355="Returned",0,T2355-U2355)</x:f>
        <x:v>159.3</x:v>
      </x:c>
      <x:c r="X2355" s="93" t="n">
        <x:f>IF(V2355="Returned",Q2355*R2355*10%,Q2355*R2355)</x:f>
        <x:v>84</x:v>
      </x:c>
      <x:c r="Y2355" s="93" t="n">
        <x:f>W2355-X2355</x:f>
        <x:v>75.30000000000001</x:v>
      </x:c>
      <x:c r="Z2355" s="94" t="n">
        <x:f>IFERROR(Y2355/W2355,0)</x:f>
        <x:v>0.47269303201506596</x:v>
      </x:c>
      <x:c r="AA2355" s="84" t="str">
        <x:f>PROPER(TRIM('Raw Sales'!M2355))</x:f>
        <x:v>Cash</x:v>
      </x:c>
      <x:c r="AB2355" s="84" t="str">
        <x:f>PROPER(TRIM('Raw Sales'!N2355))</x:f>
        <x:v>Sofia Bennett</x:v>
      </x:c>
      <x:c r="AC2355" s="85" t="n">
        <x:f>'Raw Sales'!O2355</x:f>
        <x:v>46010</x:v>
      </x:c>
      <x:c r="AD2355" s="84" t="n">
        <x:f>AC2355-B2355</x:f>
        <x:v>1</x:v>
      </x:c>
      <x:c r="AE2355" s="84" t="str">
        <x:f>IF(COUNTIF($A$5:A2355,A2355)&gt;1,"Duplicate","Keep")</x:f>
        <x:v>Keep</x:v>
      </x:c>
      <x:c r="AF2355" s="84" t="str">
        <x:f>IF(OR(R2355&lt;=0,AC2355&lt;B2355,H2355="Unknown",M2355="Unknown Product"),"Review","Valid")</x:f>
        <x:v>Valid</x:v>
      </x:c>
      <x:c r="AG2355" s="84" t="n">
        <x:f>IF(AND(AE2355="Keep",AF2355="Valid"),1,0)</x:f>
        <x:v>1</x:v>
      </x:c>
      <x:c r="AH2355" s="84" t="n">
        <x:f>IF(AND(AG2355=1,OR('Dashboard'!$B$4="All",I2355='Dashboard'!$B$4),OR('Dashboard'!$E$4="All",N2355='Dashboard'!$E$4),OR('Dashboard'!$H$4="All",K2355='Dashboard'!$H$4),OR('Dashboard'!$K$4="All",C2355='Dashboard'!$K$4)),1,0)</x:f>
        <x:v>1</x:v>
      </x:c>
      <x:c r="AI2355" s="84" t="n">
        <x:f>IF(AND(AG2355=1,OR('Dashboard'!$B$4="All",I2355='Dashboard'!$B$4),OR('Dashboard'!$E$4="All",N2355='Dashboard'!$E$4),OR('Dashboard'!$H$4="All",K2355='Dashboard'!$H$4)),1,0)</x:f>
        <x:v>1</x:v>
      </x:c>
    </x:row>
    <x:row r="2356">
      <x:c r="A2356" s="84" t="str">
        <x:f>'Raw Sales'!A2356</x:f>
        <x:v>ORD-2025-01449</x:v>
      </x:c>
      <x:c r="B2356" s="85" t="n">
        <x:f>'Raw Sales'!B2356</x:f>
        <x:v>46009</x:v>
      </x:c>
      <x:c r="C2356" s="84" t="n">
        <x:f>YEAR(B2356)</x:f>
        <x:v>2025</x:v>
      </x:c>
      <x:c r="D2356" s="91" t="n">
        <x:f>DATE(YEAR(B2356),MONTH(B2356),1)</x:f>
        <x:v>45992</x:v>
      </x:c>
      <x:c r="E2356" s="84" t="str">
        <x:f>TEXT(B2356,"mmm")</x:f>
        <x:v>Dec</x:v>
      </x:c>
      <x:c r="F2356" s="84" t="str">
        <x:f>'Raw Sales'!C2356</x:f>
        <x:v>CUST-0211</x:v>
      </x:c>
      <x:c r="G2356" s="84" t="str">
        <x:f>PROPER(TRIM('Raw Sales'!D2356))</x:f>
        <x:v>Caleb Roberts</x:v>
      </x:c>
      <x:c r="H2356" s="84" t="str">
        <x:f>IF(TRIM('Raw Sales'!E2356)="","Unknown",PROPER(TRIM('Raw Sales'!E2356)))</x:f>
        <x:v>Consumer</x:v>
      </x:c>
      <x:c r="I2356" s="84" t="str">
        <x:f>PROPER(TRIM('Raw Sales'!F2356))</x:f>
        <x:v>Northeast</x:v>
      </x:c>
      <x:c r="J2356" s="84" t="str">
        <x:f>PROPER(TRIM('Raw Sales'!G2356))</x:f>
        <x:v>New York</x:v>
      </x:c>
      <x:c r="K2356" s="84" t="str">
        <x:f>PROPER(TRIM('Raw Sales'!H2356))</x:f>
        <x:v>Online</x:v>
      </x:c>
      <x:c r="L2356" s="84" t="str">
        <x:f>'Raw Sales'!I2356</x:f>
        <x:v>HOME-004</x:v>
      </x:c>
      <x:c r="M2356" s="84" t="str">
        <x:f>IFERROR(VLOOKUP(L2356,'Reference Data'!$A$5:$F$40,2,FALSE),"Unknown Product")</x:f>
        <x:v>Coffee Maker</x:v>
      </x:c>
      <x:c r="N2356" s="84" t="str">
        <x:f>IFERROR(VLOOKUP(L2356,'Reference Data'!$A$5:$F$40,3,FALSE),"Unknown")</x:f>
        <x:v>Home &amp; Kitchen</x:v>
      </x:c>
      <x:c r="O2356" s="84" t="str">
        <x:f>IFERROR(VLOOKUP(L2356,'Reference Data'!$A$5:$F$40,4,FALSE),"Unknown")</x:f>
        <x:v>Small Appliances</x:v>
      </x:c>
      <x:c r="P2356" s="92" t="n">
        <x:f>IFERROR(VLOOKUP(L2356,'Reference Data'!$A$5:$F$40,5,FALSE),0)</x:f>
        <x:v>99</x:v>
      </x:c>
      <x:c r="Q2356" s="92" t="n">
        <x:f>IFERROR(VLOOKUP(L2356,'Reference Data'!$A$5:$F$40,6,FALSE),0)</x:f>
        <x:v>51</x:v>
      </x:c>
      <x:c r="R2356" s="84" t="n">
        <x:f>'Raw Sales'!J2356</x:f>
        <x:v>1</x:v>
      </x:c>
      <x:c r="S2356" s="87" t="n">
        <x:f>'Raw Sales'!K2356</x:f>
        <x:v>0</x:v>
      </x:c>
      <x:c r="T2356" s="93" t="n">
        <x:f>P2356*R2356</x:f>
        <x:v>99</x:v>
      </x:c>
      <x:c r="U2356" s="93" t="n">
        <x:f>T2356*S2356</x:f>
        <x:v>0</x:v>
      </x:c>
      <x:c r="V2356" s="93" t="str">
        <x:f>PROPER(TRIM('Raw Sales'!L2356))</x:f>
        <x:v>Completed</x:v>
      </x:c>
      <x:c r="W2356" s="93" t="n">
        <x:f>IF(V2356="Returned",0,T2356-U2356)</x:f>
        <x:v>99</x:v>
      </x:c>
      <x:c r="X2356" s="93" t="n">
        <x:f>IF(V2356="Returned",Q2356*R2356*10%,Q2356*R2356)</x:f>
        <x:v>51</x:v>
      </x:c>
      <x:c r="Y2356" s="93" t="n">
        <x:f>W2356-X2356</x:f>
        <x:v>48</x:v>
      </x:c>
      <x:c r="Z2356" s="94" t="n">
        <x:f>IFERROR(Y2356/W2356,0)</x:f>
        <x:v>0.48484848484848486</x:v>
      </x:c>
      <x:c r="AA2356" s="84" t="str">
        <x:f>PROPER(TRIM('Raw Sales'!M2356))</x:f>
        <x:v>Mobile Wallet</x:v>
      </x:c>
      <x:c r="AB2356" s="84" t="str">
        <x:f>PROPER(TRIM('Raw Sales'!N2356))</x:f>
        <x:v>Ethan Cole</x:v>
      </x:c>
      <x:c r="AC2356" s="85" t="n">
        <x:f>'Raw Sales'!O2356</x:f>
        <x:v>46014</x:v>
      </x:c>
      <x:c r="AD2356" s="84" t="n">
        <x:f>AC2356-B2356</x:f>
        <x:v>5</x:v>
      </x:c>
      <x:c r="AE2356" s="84" t="str">
        <x:f>IF(COUNTIF($A$5:A2356,A2356)&gt;1,"Duplicate","Keep")</x:f>
        <x:v>Keep</x:v>
      </x:c>
      <x:c r="AF2356" s="84" t="str">
        <x:f>IF(OR(R2356&lt;=0,AC2356&lt;B2356,H2356="Unknown",M2356="Unknown Product"),"Review","Valid")</x:f>
        <x:v>Valid</x:v>
      </x:c>
      <x:c r="AG2356" s="84" t="n">
        <x:f>IF(AND(AE2356="Keep",AF2356="Valid"),1,0)</x:f>
        <x:v>1</x:v>
      </x:c>
      <x:c r="AH2356" s="84" t="n">
        <x:f>IF(AND(AG2356=1,OR('Dashboard'!$B$4="All",I2356='Dashboard'!$B$4),OR('Dashboard'!$E$4="All",N2356='Dashboard'!$E$4),OR('Dashboard'!$H$4="All",K2356='Dashboard'!$H$4),OR('Dashboard'!$K$4="All",C2356='Dashboard'!$K$4)),1,0)</x:f>
        <x:v>1</x:v>
      </x:c>
      <x:c r="AI2356" s="84" t="n">
        <x:f>IF(AND(AG2356=1,OR('Dashboard'!$B$4="All",I2356='Dashboard'!$B$4),OR('Dashboard'!$E$4="All",N2356='Dashboard'!$E$4),OR('Dashboard'!$H$4="All",K2356='Dashboard'!$H$4)),1,0)</x:f>
        <x:v>1</x:v>
      </x:c>
    </x:row>
    <x:row r="2357">
      <x:c r="A2357" s="84" t="str">
        <x:f>'Raw Sales'!A2357</x:f>
        <x:v>ORD-2025-01685</x:v>
      </x:c>
      <x:c r="B2357" s="85" t="n">
        <x:f>'Raw Sales'!B2357</x:f>
        <x:v>46009</x:v>
      </x:c>
      <x:c r="C2357" s="84" t="n">
        <x:f>YEAR(B2357)</x:f>
        <x:v>2025</x:v>
      </x:c>
      <x:c r="D2357" s="91" t="n">
        <x:f>DATE(YEAR(B2357),MONTH(B2357),1)</x:f>
        <x:v>45992</x:v>
      </x:c>
      <x:c r="E2357" s="84" t="str">
        <x:f>TEXT(B2357,"mmm")</x:f>
        <x:v>Dec</x:v>
      </x:c>
      <x:c r="F2357" s="84" t="str">
        <x:f>'Raw Sales'!C2357</x:f>
        <x:v>CUST-0326</x:v>
      </x:c>
      <x:c r="G2357" s="84" t="str">
        <x:f>PROPER(TRIM('Raw Sales'!D2357))</x:f>
        <x:v>Marcus Quinn</x:v>
      </x:c>
      <x:c r="H2357" s="84" t="str">
        <x:f>IF(TRIM('Raw Sales'!E2357)="","Unknown",PROPER(TRIM('Raw Sales'!E2357)))</x:f>
        <x:v>Corporate</x:v>
      </x:c>
      <x:c r="I2357" s="84" t="str">
        <x:f>PROPER(TRIM('Raw Sales'!F2357))</x:f>
        <x:v>Southeast</x:v>
      </x:c>
      <x:c r="J2357" s="84" t="str">
        <x:f>PROPER(TRIM('Raw Sales'!G2357))</x:f>
        <x:v>Nashville</x:v>
      </x:c>
      <x:c r="K2357" s="84" t="str">
        <x:f>PROPER(TRIM('Raw Sales'!H2357))</x:f>
        <x:v>Online</x:v>
      </x:c>
      <x:c r="L2357" s="84" t="str">
        <x:f>'Raw Sales'!I2357</x:f>
        <x:v>ELEC-002</x:v>
      </x:c>
      <x:c r="M2357" s="84" t="str">
        <x:f>IFERROR(VLOOKUP(L2357,'Reference Data'!$A$5:$F$40,2,FALSE),"Unknown Product")</x:f>
        <x:v>Smartwatch</x:v>
      </x:c>
      <x:c r="N2357" s="84" t="str">
        <x:f>IFERROR(VLOOKUP(L2357,'Reference Data'!$A$5:$F$40,3,FALSE),"Unknown")</x:f>
        <x:v>Electronics</x:v>
      </x:c>
      <x:c r="O2357" s="84" t="str">
        <x:f>IFERROR(VLOOKUP(L2357,'Reference Data'!$A$5:$F$40,4,FALSE),"Unknown")</x:f>
        <x:v>Wearables</x:v>
      </x:c>
      <x:c r="P2357" s="92" t="n">
        <x:f>IFERROR(VLOOKUP(L2357,'Reference Data'!$A$5:$F$40,5,FALSE),0)</x:f>
        <x:v>159</x:v>
      </x:c>
      <x:c r="Q2357" s="92" t="n">
        <x:f>IFERROR(VLOOKUP(L2357,'Reference Data'!$A$5:$F$40,6,FALSE),0)</x:f>
        <x:v>92</x:v>
      </x:c>
      <x:c r="R2357" s="84" t="n">
        <x:f>'Raw Sales'!J2357</x:f>
        <x:v>4</x:v>
      </x:c>
      <x:c r="S2357" s="87" t="n">
        <x:f>'Raw Sales'!K2357</x:f>
        <x:v>0.15</x:v>
      </x:c>
      <x:c r="T2357" s="93" t="n">
        <x:f>P2357*R2357</x:f>
        <x:v>636</x:v>
      </x:c>
      <x:c r="U2357" s="93" t="n">
        <x:f>T2357*S2357</x:f>
        <x:v>95.39999999999999</x:v>
      </x:c>
      <x:c r="V2357" s="93" t="str">
        <x:f>PROPER(TRIM('Raw Sales'!L2357))</x:f>
        <x:v>Completed</x:v>
      </x:c>
      <x:c r="W2357" s="93" t="n">
        <x:f>IF(V2357="Returned",0,T2357-U2357)</x:f>
        <x:v>540.6</x:v>
      </x:c>
      <x:c r="X2357" s="93" t="n">
        <x:f>IF(V2357="Returned",Q2357*R2357*10%,Q2357*R2357)</x:f>
        <x:v>368</x:v>
      </x:c>
      <x:c r="Y2357" s="93" t="n">
        <x:f>W2357-X2357</x:f>
        <x:v>172.60000000000002</x:v>
      </x:c>
      <x:c r="Z2357" s="94" t="n">
        <x:f>IFERROR(Y2357/W2357,0)</x:f>
        <x:v>0.31927487976322605</x:v>
      </x:c>
      <x:c r="AA2357" s="84" t="str">
        <x:f>PROPER(TRIM('Raw Sales'!M2357))</x:f>
        <x:v>Credit Card</x:v>
      </x:c>
      <x:c r="AB2357" s="84" t="str">
        <x:f>PROPER(TRIM('Raw Sales'!N2357))</x:f>
        <x:v>Liam Parker</x:v>
      </x:c>
      <x:c r="AC2357" s="85" t="n">
        <x:f>'Raw Sales'!O2357</x:f>
        <x:v>46012</x:v>
      </x:c>
      <x:c r="AD2357" s="84" t="n">
        <x:f>AC2357-B2357</x:f>
        <x:v>3</x:v>
      </x:c>
      <x:c r="AE2357" s="84" t="str">
        <x:f>IF(COUNTIF($A$5:A2357,A2357)&gt;1,"Duplicate","Keep")</x:f>
        <x:v>Keep</x:v>
      </x:c>
      <x:c r="AF2357" s="84" t="str">
        <x:f>IF(OR(R2357&lt;=0,AC2357&lt;B2357,H2357="Unknown",M2357="Unknown Product"),"Review","Valid")</x:f>
        <x:v>Valid</x:v>
      </x:c>
      <x:c r="AG2357" s="84" t="n">
        <x:f>IF(AND(AE2357="Keep",AF2357="Valid"),1,0)</x:f>
        <x:v>1</x:v>
      </x:c>
      <x:c r="AH2357" s="84" t="n">
        <x:f>IF(AND(AG2357=1,OR('Dashboard'!$B$4="All",I2357='Dashboard'!$B$4),OR('Dashboard'!$E$4="All",N2357='Dashboard'!$E$4),OR('Dashboard'!$H$4="All",K2357='Dashboard'!$H$4),OR('Dashboard'!$K$4="All",C2357='Dashboard'!$K$4)),1,0)</x:f>
        <x:v>1</x:v>
      </x:c>
      <x:c r="AI2357" s="84" t="n">
        <x:f>IF(AND(AG2357=1,OR('Dashboard'!$B$4="All",I2357='Dashboard'!$B$4),OR('Dashboard'!$E$4="All",N2357='Dashboard'!$E$4),OR('Dashboard'!$H$4="All",K2357='Dashboard'!$H$4)),1,0)</x:f>
        <x:v>1</x:v>
      </x:c>
    </x:row>
    <x:row r="2358">
      <x:c r="A2358" s="84" t="str">
        <x:f>'Raw Sales'!A2358</x:f>
        <x:v>ORD-2025-01710</x:v>
      </x:c>
      <x:c r="B2358" s="85" t="n">
        <x:f>'Raw Sales'!B2358</x:f>
        <x:v>46009</x:v>
      </x:c>
      <x:c r="C2358" s="84" t="n">
        <x:f>YEAR(B2358)</x:f>
        <x:v>2025</x:v>
      </x:c>
      <x:c r="D2358" s="91" t="n">
        <x:f>DATE(YEAR(B2358),MONTH(B2358),1)</x:f>
        <x:v>45992</x:v>
      </x:c>
      <x:c r="E2358" s="84" t="str">
        <x:f>TEXT(B2358,"mmm")</x:f>
        <x:v>Dec</x:v>
      </x:c>
      <x:c r="F2358" s="84" t="str">
        <x:f>'Raw Sales'!C2358</x:f>
        <x:v>CUST-0128</x:v>
      </x:c>
      <x:c r="G2358" s="84" t="str">
        <x:f>PROPER(TRIM('Raw Sales'!D2358))</x:f>
        <x:v>Zara Patel</x:v>
      </x:c>
      <x:c r="H2358" s="84" t="str">
        <x:f>IF(TRIM('Raw Sales'!E2358)="","Unknown",PROPER(TRIM('Raw Sales'!E2358)))</x:f>
        <x:v>Consumer</x:v>
      </x:c>
      <x:c r="I2358" s="84" t="str">
        <x:f>PROPER(TRIM('Raw Sales'!F2358))</x:f>
        <x:v>Midwest</x:v>
      </x:c>
      <x:c r="J2358" s="84" t="str">
        <x:f>PROPER(TRIM('Raw Sales'!G2358))</x:f>
        <x:v>Detroit</x:v>
      </x:c>
      <x:c r="K2358" s="84" t="str">
        <x:f>PROPER(TRIM('Raw Sales'!H2358))</x:f>
        <x:v>Marketplace</x:v>
      </x:c>
      <x:c r="L2358" s="84" t="str">
        <x:f>'Raw Sales'!I2358</x:f>
        <x:v>OFFC-002</x:v>
      </x:c>
      <x:c r="M2358" s="84" t="str">
        <x:f>IFERROR(VLOOKUP(L2358,'Reference Data'!$A$5:$F$40,2,FALSE),"Unknown Product")</x:f>
        <x:v>Standing Desk</x:v>
      </x:c>
      <x:c r="N2358" s="84" t="str">
        <x:f>IFERROR(VLOOKUP(L2358,'Reference Data'!$A$5:$F$40,3,FALSE),"Unknown")</x:f>
        <x:v>Office</x:v>
      </x:c>
      <x:c r="O2358" s="84" t="str">
        <x:f>IFERROR(VLOOKUP(L2358,'Reference Data'!$A$5:$F$40,4,FALSE),"Unknown")</x:f>
        <x:v>Furniture</x:v>
      </x:c>
      <x:c r="P2358" s="92" t="n">
        <x:f>IFERROR(VLOOKUP(L2358,'Reference Data'!$A$5:$F$40,5,FALSE),0)</x:f>
        <x:v>399</x:v>
      </x:c>
      <x:c r="Q2358" s="92" t="n">
        <x:f>IFERROR(VLOOKUP(L2358,'Reference Data'!$A$5:$F$40,6,FALSE),0)</x:f>
        <x:v>235</x:v>
      </x:c>
      <x:c r="R2358" s="84" t="n">
        <x:f>'Raw Sales'!J2358</x:f>
        <x:v>2</x:v>
      </x:c>
      <x:c r="S2358" s="87" t="n">
        <x:f>'Raw Sales'!K2358</x:f>
        <x:v>0.1</x:v>
      </x:c>
      <x:c r="T2358" s="93" t="n">
        <x:f>P2358*R2358</x:f>
        <x:v>798</x:v>
      </x:c>
      <x:c r="U2358" s="93" t="n">
        <x:f>T2358*S2358</x:f>
        <x:v>79.80000000000001</x:v>
      </x:c>
      <x:c r="V2358" s="93" t="str">
        <x:f>PROPER(TRIM('Raw Sales'!L2358))</x:f>
        <x:v>Completed</x:v>
      </x:c>
      <x:c r="W2358" s="93" t="n">
        <x:f>IF(V2358="Returned",0,T2358-U2358)</x:f>
        <x:v>718.2</x:v>
      </x:c>
      <x:c r="X2358" s="93" t="n">
        <x:f>IF(V2358="Returned",Q2358*R2358*10%,Q2358*R2358)</x:f>
        <x:v>470</x:v>
      </x:c>
      <x:c r="Y2358" s="93" t="n">
        <x:f>W2358-X2358</x:f>
        <x:v>248.20000000000005</x:v>
      </x:c>
      <x:c r="Z2358" s="94" t="n">
        <x:f>IFERROR(Y2358/W2358,0)</x:f>
        <x:v>0.3455861876914509</x:v>
      </x:c>
      <x:c r="AA2358" s="84" t="str">
        <x:f>PROPER(TRIM('Raw Sales'!M2358))</x:f>
        <x:v>Paypal</x:v>
      </x:c>
      <x:c r="AB2358" s="84" t="str">
        <x:f>PROPER(TRIM('Raw Sales'!N2358))</x:f>
        <x:v>Emma Hayes</x:v>
      </x:c>
      <x:c r="AC2358" s="85" t="n">
        <x:f>'Raw Sales'!O2358</x:f>
        <x:v>46014</x:v>
      </x:c>
      <x:c r="AD2358" s="84" t="n">
        <x:f>AC2358-B2358</x:f>
        <x:v>5</x:v>
      </x:c>
      <x:c r="AE2358" s="84" t="str">
        <x:f>IF(COUNTIF($A$5:A2358,A2358)&gt;1,"Duplicate","Keep")</x:f>
        <x:v>Keep</x:v>
      </x:c>
      <x:c r="AF2358" s="84" t="str">
        <x:f>IF(OR(R2358&lt;=0,AC2358&lt;B2358,H2358="Unknown",M2358="Unknown Product"),"Review","Valid")</x:f>
        <x:v>Valid</x:v>
      </x:c>
      <x:c r="AG2358" s="84" t="n">
        <x:f>IF(AND(AE2358="Keep",AF2358="Valid"),1,0)</x:f>
        <x:v>1</x:v>
      </x:c>
      <x:c r="AH2358" s="84" t="n">
        <x:f>IF(AND(AG2358=1,OR('Dashboard'!$B$4="All",I2358='Dashboard'!$B$4),OR('Dashboard'!$E$4="All",N2358='Dashboard'!$E$4),OR('Dashboard'!$H$4="All",K2358='Dashboard'!$H$4),OR('Dashboard'!$K$4="All",C2358='Dashboard'!$K$4)),1,0)</x:f>
        <x:v>1</x:v>
      </x:c>
      <x:c r="AI2358" s="84" t="n">
        <x:f>IF(AND(AG2358=1,OR('Dashboard'!$B$4="All",I2358='Dashboard'!$B$4),OR('Dashboard'!$E$4="All",N2358='Dashboard'!$E$4),OR('Dashboard'!$H$4="All",K2358='Dashboard'!$H$4)),1,0)</x:f>
        <x:v>1</x:v>
      </x:c>
    </x:row>
    <x:row r="2359">
      <x:c r="A2359" s="84" t="str">
        <x:f>'Raw Sales'!A2359</x:f>
        <x:v>ORD-2025-01920</x:v>
      </x:c>
      <x:c r="B2359" s="85" t="n">
        <x:f>'Raw Sales'!B2359</x:f>
        <x:v>46009</x:v>
      </x:c>
      <x:c r="C2359" s="84" t="n">
        <x:f>YEAR(B2359)</x:f>
        <x:v>2025</x:v>
      </x:c>
      <x:c r="D2359" s="91" t="n">
        <x:f>DATE(YEAR(B2359),MONTH(B2359),1)</x:f>
        <x:v>45992</x:v>
      </x:c>
      <x:c r="E2359" s="84" t="str">
        <x:f>TEXT(B2359,"mmm")</x:f>
        <x:v>Dec</x:v>
      </x:c>
      <x:c r="F2359" s="84" t="str">
        <x:f>'Raw Sales'!C2359</x:f>
        <x:v>CUST-0003</x:v>
      </x:c>
      <x:c r="G2359" s="84" t="str">
        <x:f>PROPER(TRIM('Raw Sales'!D2359))</x:f>
        <x:v>Victoria Foster</x:v>
      </x:c>
      <x:c r="H2359" s="84" t="str">
        <x:f>IF(TRIM('Raw Sales'!E2359)="","Unknown",PROPER(TRIM('Raw Sales'!E2359)))</x:f>
        <x:v>Consumer</x:v>
      </x:c>
      <x:c r="I2359" s="84" t="str">
        <x:f>PROPER(TRIM('Raw Sales'!F2359))</x:f>
        <x:v>West</x:v>
      </x:c>
      <x:c r="J2359" s="84" t="str">
        <x:f>PROPER(TRIM('Raw Sales'!G2359))</x:f>
        <x:v>Seattle</x:v>
      </x:c>
      <x:c r="K2359" s="84" t="str">
        <x:f>PROPER(TRIM('Raw Sales'!H2359))</x:f>
        <x:v>Retail Store</x:v>
      </x:c>
      <x:c r="L2359" s="84" t="str">
        <x:f>'Raw Sales'!I2359</x:f>
        <x:v>ELEC-003</x:v>
      </x:c>
      <x:c r="M2359" s="84" t="str">
        <x:f>IFERROR(VLOOKUP(L2359,'Reference Data'!$A$5:$F$40,2,FALSE),"Unknown Product")</x:f>
        <x:v>Bluetooth Speaker</x:v>
      </x:c>
      <x:c r="N2359" s="84" t="str">
        <x:f>IFERROR(VLOOKUP(L2359,'Reference Data'!$A$5:$F$40,3,FALSE),"Unknown")</x:f>
        <x:v>Electronics</x:v>
      </x:c>
      <x:c r="O2359" s="84" t="str">
        <x:f>IFERROR(VLOOKUP(L2359,'Reference Data'!$A$5:$F$40,4,FALSE),"Unknown")</x:f>
        <x:v>Audio</x:v>
      </x:c>
      <x:c r="P2359" s="92" t="n">
        <x:f>IFERROR(VLOOKUP(L2359,'Reference Data'!$A$5:$F$40,5,FALSE),0)</x:f>
        <x:v>89</x:v>
      </x:c>
      <x:c r="Q2359" s="92" t="n">
        <x:f>IFERROR(VLOOKUP(L2359,'Reference Data'!$A$5:$F$40,6,FALSE),0)</x:f>
        <x:v>44</x:v>
      </x:c>
      <x:c r="R2359" s="84" t="n">
        <x:f>'Raw Sales'!J2359</x:f>
        <x:v>4</x:v>
      </x:c>
      <x:c r="S2359" s="87" t="n">
        <x:f>'Raw Sales'!K2359</x:f>
        <x:v>0.1</x:v>
      </x:c>
      <x:c r="T2359" s="93" t="n">
        <x:f>P2359*R2359</x:f>
        <x:v>356</x:v>
      </x:c>
      <x:c r="U2359" s="93" t="n">
        <x:f>T2359*S2359</x:f>
        <x:v>35.6</x:v>
      </x:c>
      <x:c r="V2359" s="93" t="str">
        <x:f>PROPER(TRIM('Raw Sales'!L2359))</x:f>
        <x:v>Completed</x:v>
      </x:c>
      <x:c r="W2359" s="93" t="n">
        <x:f>IF(V2359="Returned",0,T2359-U2359)</x:f>
        <x:v>320.4</x:v>
      </x:c>
      <x:c r="X2359" s="93" t="n">
        <x:f>IF(V2359="Returned",Q2359*R2359*10%,Q2359*R2359)</x:f>
        <x:v>176</x:v>
      </x:c>
      <x:c r="Y2359" s="93" t="n">
        <x:f>W2359-X2359</x:f>
        <x:v>144.39999999999998</x:v>
      </x:c>
      <x:c r="Z2359" s="94" t="n">
        <x:f>IFERROR(Y2359/W2359,0)</x:f>
        <x:v>0.4506866416978776</x:v>
      </x:c>
      <x:c r="AA2359" s="84" t="str">
        <x:f>PROPER(TRIM('Raw Sales'!M2359))</x:f>
        <x:v>Credit Card</x:v>
      </x:c>
      <x:c r="AB2359" s="84" t="str">
        <x:f>PROPER(TRIM('Raw Sales'!N2359))</x:f>
        <x:v>Nora Kim</x:v>
      </x:c>
      <x:c r="AC2359" s="85" t="n">
        <x:f>'Raw Sales'!O2359</x:f>
        <x:v>46009</x:v>
      </x:c>
      <x:c r="AD2359" s="84" t="n">
        <x:f>AC2359-B2359</x:f>
        <x:v>0</x:v>
      </x:c>
      <x:c r="AE2359" s="84" t="str">
        <x:f>IF(COUNTIF($A$5:A2359,A2359)&gt;1,"Duplicate","Keep")</x:f>
        <x:v>Keep</x:v>
      </x:c>
      <x:c r="AF2359" s="84" t="str">
        <x:f>IF(OR(R2359&lt;=0,AC2359&lt;B2359,H2359="Unknown",M2359="Unknown Product"),"Review","Valid")</x:f>
        <x:v>Valid</x:v>
      </x:c>
      <x:c r="AG2359" s="84" t="n">
        <x:f>IF(AND(AE2359="Keep",AF2359="Valid"),1,0)</x:f>
        <x:v>1</x:v>
      </x:c>
      <x:c r="AH2359" s="84" t="n">
        <x:f>IF(AND(AG2359=1,OR('Dashboard'!$B$4="All",I2359='Dashboard'!$B$4),OR('Dashboard'!$E$4="All",N2359='Dashboard'!$E$4),OR('Dashboard'!$H$4="All",K2359='Dashboard'!$H$4),OR('Dashboard'!$K$4="All",C2359='Dashboard'!$K$4)),1,0)</x:f>
        <x:v>1</x:v>
      </x:c>
      <x:c r="AI2359" s="84" t="n">
        <x:f>IF(AND(AG2359=1,OR('Dashboard'!$B$4="All",I2359='Dashboard'!$B$4),OR('Dashboard'!$E$4="All",N2359='Dashboard'!$E$4),OR('Dashboard'!$H$4="All",K2359='Dashboard'!$H$4)),1,0)</x:f>
        <x:v>1</x:v>
      </x:c>
    </x:row>
    <x:row r="2360">
      <x:c r="A2360" s="84" t="str">
        <x:f>'Raw Sales'!A2360</x:f>
        <x:v>ORD-2025-02121</x:v>
      </x:c>
      <x:c r="B2360" s="85" t="n">
        <x:f>'Raw Sales'!B2360</x:f>
        <x:v>46009</x:v>
      </x:c>
      <x:c r="C2360" s="84" t="n">
        <x:f>YEAR(B2360)</x:f>
        <x:v>2025</x:v>
      </x:c>
      <x:c r="D2360" s="91" t="n">
        <x:f>DATE(YEAR(B2360),MONTH(B2360),1)</x:f>
        <x:v>45992</x:v>
      </x:c>
      <x:c r="E2360" s="84" t="str">
        <x:f>TEXT(B2360,"mmm")</x:f>
        <x:v>Dec</x:v>
      </x:c>
      <x:c r="F2360" s="84" t="str">
        <x:f>'Raw Sales'!C2360</x:f>
        <x:v>CUST-0129</x:v>
      </x:c>
      <x:c r="G2360" s="84" t="str">
        <x:f>PROPER(TRIM('Raw Sales'!D2360))</x:f>
        <x:v>Owen Walker</x:v>
      </x:c>
      <x:c r="H2360" s="84" t="str">
        <x:f>IF(TRIM('Raw Sales'!E2360)="","Unknown",PROPER(TRIM('Raw Sales'!E2360)))</x:f>
        <x:v>Corporate</x:v>
      </x:c>
      <x:c r="I2360" s="84" t="str">
        <x:f>PROPER(TRIM('Raw Sales'!F2360))</x:f>
        <x:v>Midwest</x:v>
      </x:c>
      <x:c r="J2360" s="84" t="str">
        <x:f>PROPER(TRIM('Raw Sales'!G2360))</x:f>
        <x:v>Chicago</x:v>
      </x:c>
      <x:c r="K2360" s="84" t="str">
        <x:f>PROPER(TRIM('Raw Sales'!H2360))</x:f>
        <x:v>Retail Store</x:v>
      </x:c>
      <x:c r="L2360" s="84" t="str">
        <x:f>'Raw Sales'!I2360</x:f>
        <x:v>HOME-002</x:v>
      </x:c>
      <x:c r="M2360" s="84" t="str">
        <x:f>IFERROR(VLOOKUP(L2360,'Reference Data'!$A$5:$F$40,2,FALSE),"Unknown Product")</x:f>
        <x:v>Electric Kettle</x:v>
      </x:c>
      <x:c r="N2360" s="84" t="str">
        <x:f>IFERROR(VLOOKUP(L2360,'Reference Data'!$A$5:$F$40,3,FALSE),"Unknown")</x:f>
        <x:v>Home &amp; Kitchen</x:v>
      </x:c>
      <x:c r="O2360" s="84" t="str">
        <x:f>IFERROR(VLOOKUP(L2360,'Reference Data'!$A$5:$F$40,4,FALSE),"Unknown")</x:f>
        <x:v>Small Appliances</x:v>
      </x:c>
      <x:c r="P2360" s="92" t="n">
        <x:f>IFERROR(VLOOKUP(L2360,'Reference Data'!$A$5:$F$40,5,FALSE),0)</x:f>
        <x:v>49</x:v>
      </x:c>
      <x:c r="Q2360" s="92" t="n">
        <x:f>IFERROR(VLOOKUP(L2360,'Reference Data'!$A$5:$F$40,6,FALSE),0)</x:f>
        <x:v>23</x:v>
      </x:c>
      <x:c r="R2360" s="84" t="n">
        <x:f>'Raw Sales'!J2360</x:f>
        <x:v>1</x:v>
      </x:c>
      <x:c r="S2360" s="87" t="n">
        <x:f>'Raw Sales'!K2360</x:f>
        <x:v>0</x:v>
      </x:c>
      <x:c r="T2360" s="93" t="n">
        <x:f>P2360*R2360</x:f>
        <x:v>49</x:v>
      </x:c>
      <x:c r="U2360" s="93" t="n">
        <x:f>T2360*S2360</x:f>
        <x:v>0</x:v>
      </x:c>
      <x:c r="V2360" s="93" t="str">
        <x:f>PROPER(TRIM('Raw Sales'!L2360))</x:f>
        <x:v>Completed</x:v>
      </x:c>
      <x:c r="W2360" s="93" t="n">
        <x:f>IF(V2360="Returned",0,T2360-U2360)</x:f>
        <x:v>49</x:v>
      </x:c>
      <x:c r="X2360" s="93" t="n">
        <x:f>IF(V2360="Returned",Q2360*R2360*10%,Q2360*R2360)</x:f>
        <x:v>23</x:v>
      </x:c>
      <x:c r="Y2360" s="93" t="n">
        <x:f>W2360-X2360</x:f>
        <x:v>26</x:v>
      </x:c>
      <x:c r="Z2360" s="94" t="n">
        <x:f>IFERROR(Y2360/W2360,0)</x:f>
        <x:v>0.5306122448979592</x:v>
      </x:c>
      <x:c r="AA2360" s="84" t="str">
        <x:f>PROPER(TRIM('Raw Sales'!M2360))</x:f>
        <x:v>Credit Card</x:v>
      </x:c>
      <x:c r="AB2360" s="84" t="str">
        <x:f>PROPER(TRIM('Raw Sales'!N2360))</x:f>
        <x:v>Lucas Grant</x:v>
      </x:c>
      <x:c r="AC2360" s="85" t="n">
        <x:f>'Raw Sales'!O2360</x:f>
        <x:v>46010</x:v>
      </x:c>
      <x:c r="AD2360" s="84" t="n">
        <x:f>AC2360-B2360</x:f>
        <x:v>1</x:v>
      </x:c>
      <x:c r="AE2360" s="84" t="str">
        <x:f>IF(COUNTIF($A$5:A2360,A2360)&gt;1,"Duplicate","Keep")</x:f>
        <x:v>Keep</x:v>
      </x:c>
      <x:c r="AF2360" s="84" t="str">
        <x:f>IF(OR(R2360&lt;=0,AC2360&lt;B2360,H2360="Unknown",M2360="Unknown Product"),"Review","Valid")</x:f>
        <x:v>Valid</x:v>
      </x:c>
      <x:c r="AG2360" s="84" t="n">
        <x:f>IF(AND(AE2360="Keep",AF2360="Valid"),1,0)</x:f>
        <x:v>1</x:v>
      </x:c>
      <x:c r="AH2360" s="84" t="n">
        <x:f>IF(AND(AG2360=1,OR('Dashboard'!$B$4="All",I2360='Dashboard'!$B$4),OR('Dashboard'!$E$4="All",N2360='Dashboard'!$E$4),OR('Dashboard'!$H$4="All",K2360='Dashboard'!$H$4),OR('Dashboard'!$K$4="All",C2360='Dashboard'!$K$4)),1,0)</x:f>
        <x:v>1</x:v>
      </x:c>
      <x:c r="AI2360" s="84" t="n">
        <x:f>IF(AND(AG2360=1,OR('Dashboard'!$B$4="All",I2360='Dashboard'!$B$4),OR('Dashboard'!$E$4="All",N2360='Dashboard'!$E$4),OR('Dashboard'!$H$4="All",K2360='Dashboard'!$H$4)),1,0)</x:f>
        <x:v>1</x:v>
      </x:c>
    </x:row>
    <x:row r="2361">
      <x:c r="A2361" s="84" t="str">
        <x:f>'Raw Sales'!A2361</x:f>
        <x:v>ORD-2025-00150</x:v>
      </x:c>
      <x:c r="B2361" s="85" t="n">
        <x:f>'Raw Sales'!B2361</x:f>
        <x:v>46010</x:v>
      </x:c>
      <x:c r="C2361" s="84" t="n">
        <x:f>YEAR(B2361)</x:f>
        <x:v>2025</x:v>
      </x:c>
      <x:c r="D2361" s="91" t="n">
        <x:f>DATE(YEAR(B2361),MONTH(B2361),1)</x:f>
        <x:v>45992</x:v>
      </x:c>
      <x:c r="E2361" s="84" t="str">
        <x:f>TEXT(B2361,"mmm")</x:f>
        <x:v>Dec</x:v>
      </x:c>
      <x:c r="F2361" s="84" t="str">
        <x:f>'Raw Sales'!C2361</x:f>
        <x:v>CUST-0252</x:v>
      </x:c>
      <x:c r="G2361" s="84" t="str">
        <x:f>PROPER(TRIM('Raw Sales'!D2361))</x:f>
        <x:v>Theo Carter</x:v>
      </x:c>
      <x:c r="H2361" s="84" t="str">
        <x:f>IF(TRIM('Raw Sales'!E2361)="","Unknown",PROPER(TRIM('Raw Sales'!E2361)))</x:f>
        <x:v>Consumer</x:v>
      </x:c>
      <x:c r="I2361" s="84" t="str">
        <x:f>PROPER(TRIM('Raw Sales'!F2361))</x:f>
        <x:v>Midwest</x:v>
      </x:c>
      <x:c r="J2361" s="84" t="str">
        <x:f>PROPER(TRIM('Raw Sales'!G2361))</x:f>
        <x:v>Columbus</x:v>
      </x:c>
      <x:c r="K2361" s="84" t="str">
        <x:f>PROPER(TRIM('Raw Sales'!H2361))</x:f>
        <x:v>Retail Store</x:v>
      </x:c>
      <x:c r="L2361" s="84" t="str">
        <x:f>'Raw Sales'!I2361</x:f>
        <x:v>OFFC-006</x:v>
      </x:c>
      <x:c r="M2361" s="84" t="str">
        <x:f>IFERROR(VLOOKUP(L2361,'Reference Data'!$A$5:$F$40,2,FALSE),"Unknown Product")</x:f>
        <x:v>Monitor Stand</x:v>
      </x:c>
      <x:c r="N2361" s="84" t="str">
        <x:f>IFERROR(VLOOKUP(L2361,'Reference Data'!$A$5:$F$40,3,FALSE),"Unknown")</x:f>
        <x:v>Office</x:v>
      </x:c>
      <x:c r="O2361" s="84" t="str">
        <x:f>IFERROR(VLOOKUP(L2361,'Reference Data'!$A$5:$F$40,4,FALSE),"Unknown")</x:f>
        <x:v>Desk Accessories</x:v>
      </x:c>
      <x:c r="P2361" s="92" t="n">
        <x:f>IFERROR(VLOOKUP(L2361,'Reference Data'!$A$5:$F$40,5,FALSE),0)</x:f>
        <x:v>49</x:v>
      </x:c>
      <x:c r="Q2361" s="92" t="n">
        <x:f>IFERROR(VLOOKUP(L2361,'Reference Data'!$A$5:$F$40,6,FALSE),0)</x:f>
        <x:v>21</x:v>
      </x:c>
      <x:c r="R2361" s="84" t="n">
        <x:f>'Raw Sales'!J2361</x:f>
        <x:v>2</x:v>
      </x:c>
      <x:c r="S2361" s="87" t="n">
        <x:f>'Raw Sales'!K2361</x:f>
        <x:v>0.05</x:v>
      </x:c>
      <x:c r="T2361" s="93" t="n">
        <x:f>P2361*R2361</x:f>
        <x:v>98</x:v>
      </x:c>
      <x:c r="U2361" s="93" t="n">
        <x:f>T2361*S2361</x:f>
        <x:v>4.9</x:v>
      </x:c>
      <x:c r="V2361" s="93" t="str">
        <x:f>PROPER(TRIM('Raw Sales'!L2361))</x:f>
        <x:v>Completed</x:v>
      </x:c>
      <x:c r="W2361" s="93" t="n">
        <x:f>IF(V2361="Returned",0,T2361-U2361)</x:f>
        <x:v>93.1</x:v>
      </x:c>
      <x:c r="X2361" s="93" t="n">
        <x:f>IF(V2361="Returned",Q2361*R2361*10%,Q2361*R2361)</x:f>
        <x:v>42</x:v>
      </x:c>
      <x:c r="Y2361" s="93" t="n">
        <x:f>W2361-X2361</x:f>
        <x:v>51.099999999999994</x:v>
      </x:c>
      <x:c r="Z2361" s="94" t="n">
        <x:f>IFERROR(Y2361/W2361,0)</x:f>
        <x:v>0.5488721804511278</x:v>
      </x:c>
      <x:c r="AA2361" s="84" t="str">
        <x:f>PROPER(TRIM('Raw Sales'!M2361))</x:f>
        <x:v>Cash</x:v>
      </x:c>
      <x:c r="AB2361" s="84" t="str">
        <x:f>PROPER(TRIM('Raw Sales'!N2361))</x:f>
        <x:v>Lucas Grant</x:v>
      </x:c>
      <x:c r="AC2361" s="85" t="n">
        <x:f>'Raw Sales'!O2361</x:f>
        <x:v>46010</x:v>
      </x:c>
      <x:c r="AD2361" s="84" t="n">
        <x:f>AC2361-B2361</x:f>
        <x:v>0</x:v>
      </x:c>
      <x:c r="AE2361" s="84" t="str">
        <x:f>IF(COUNTIF($A$5:A2361,A2361)&gt;1,"Duplicate","Keep")</x:f>
        <x:v>Keep</x:v>
      </x:c>
      <x:c r="AF2361" s="84" t="str">
        <x:f>IF(OR(R2361&lt;=0,AC2361&lt;B2361,H2361="Unknown",M2361="Unknown Product"),"Review","Valid")</x:f>
        <x:v>Valid</x:v>
      </x:c>
      <x:c r="AG2361" s="84" t="n">
        <x:f>IF(AND(AE2361="Keep",AF2361="Valid"),1,0)</x:f>
        <x:v>1</x:v>
      </x:c>
      <x:c r="AH2361" s="84" t="n">
        <x:f>IF(AND(AG2361=1,OR('Dashboard'!$B$4="All",I2361='Dashboard'!$B$4),OR('Dashboard'!$E$4="All",N2361='Dashboard'!$E$4),OR('Dashboard'!$H$4="All",K2361='Dashboard'!$H$4),OR('Dashboard'!$K$4="All",C2361='Dashboard'!$K$4)),1,0)</x:f>
        <x:v>1</x:v>
      </x:c>
      <x:c r="AI2361" s="84" t="n">
        <x:f>IF(AND(AG2361=1,OR('Dashboard'!$B$4="All",I2361='Dashboard'!$B$4),OR('Dashboard'!$E$4="All",N2361='Dashboard'!$E$4),OR('Dashboard'!$H$4="All",K2361='Dashboard'!$H$4)),1,0)</x:f>
        <x:v>1</x:v>
      </x:c>
    </x:row>
    <x:row r="2362">
      <x:c r="A2362" s="84" t="str">
        <x:f>'Raw Sales'!A2362</x:f>
        <x:v>ORD-2025-00697</x:v>
      </x:c>
      <x:c r="B2362" s="85" t="n">
        <x:f>'Raw Sales'!B2362</x:f>
        <x:v>46010</x:v>
      </x:c>
      <x:c r="C2362" s="84" t="n">
        <x:f>YEAR(B2362)</x:f>
        <x:v>2025</x:v>
      </x:c>
      <x:c r="D2362" s="91" t="n">
        <x:f>DATE(YEAR(B2362),MONTH(B2362),1)</x:f>
        <x:v>45992</x:v>
      </x:c>
      <x:c r="E2362" s="84" t="str">
        <x:f>TEXT(B2362,"mmm")</x:f>
        <x:v>Dec</x:v>
      </x:c>
      <x:c r="F2362" s="84" t="str">
        <x:f>'Raw Sales'!C2362</x:f>
        <x:v>CUST-0529</x:v>
      </x:c>
      <x:c r="G2362" s="84" t="str">
        <x:f>PROPER(TRIM('Raw Sales'!D2362))</x:f>
        <x:v>Grace Hall</x:v>
      </x:c>
      <x:c r="H2362" s="84" t="str">
        <x:f>IF(TRIM('Raw Sales'!E2362)="","Unknown",PROPER(TRIM('Raw Sales'!E2362)))</x:f>
        <x:v>Consumer</x:v>
      </x:c>
      <x:c r="I2362" s="84" t="str">
        <x:f>PROPER(TRIM('Raw Sales'!F2362))</x:f>
        <x:v>Northeast</x:v>
      </x:c>
      <x:c r="J2362" s="84" t="str">
        <x:f>PROPER(TRIM('Raw Sales'!G2362))</x:f>
        <x:v>Newark</x:v>
      </x:c>
      <x:c r="K2362" s="84" t="str">
        <x:f>PROPER(TRIM('Raw Sales'!H2362))</x:f>
        <x:v>Marketplace</x:v>
      </x:c>
      <x:c r="L2362" s="84" t="str">
        <x:f>'Raw Sales'!I2362</x:f>
        <x:v>ELEC-003</x:v>
      </x:c>
      <x:c r="M2362" s="84" t="str">
        <x:f>IFERROR(VLOOKUP(L2362,'Reference Data'!$A$5:$F$40,2,FALSE),"Unknown Product")</x:f>
        <x:v>Bluetooth Speaker</x:v>
      </x:c>
      <x:c r="N2362" s="84" t="str">
        <x:f>IFERROR(VLOOKUP(L2362,'Reference Data'!$A$5:$F$40,3,FALSE),"Unknown")</x:f>
        <x:v>Electronics</x:v>
      </x:c>
      <x:c r="O2362" s="84" t="str">
        <x:f>IFERROR(VLOOKUP(L2362,'Reference Data'!$A$5:$F$40,4,FALSE),"Unknown")</x:f>
        <x:v>Audio</x:v>
      </x:c>
      <x:c r="P2362" s="92" t="n">
        <x:f>IFERROR(VLOOKUP(L2362,'Reference Data'!$A$5:$F$40,5,FALSE),0)</x:f>
        <x:v>89</x:v>
      </x:c>
      <x:c r="Q2362" s="92" t="n">
        <x:f>IFERROR(VLOOKUP(L2362,'Reference Data'!$A$5:$F$40,6,FALSE),0)</x:f>
        <x:v>44</x:v>
      </x:c>
      <x:c r="R2362" s="84" t="n">
        <x:f>'Raw Sales'!J2362</x:f>
        <x:v>1</x:v>
      </x:c>
      <x:c r="S2362" s="87" t="n">
        <x:f>'Raw Sales'!K2362</x:f>
        <x:v>0</x:v>
      </x:c>
      <x:c r="T2362" s="93" t="n">
        <x:f>P2362*R2362</x:f>
        <x:v>89</x:v>
      </x:c>
      <x:c r="U2362" s="93" t="n">
        <x:f>T2362*S2362</x:f>
        <x:v>0</x:v>
      </x:c>
      <x:c r="V2362" s="93" t="str">
        <x:f>PROPER(TRIM('Raw Sales'!L2362))</x:f>
        <x:v>Completed</x:v>
      </x:c>
      <x:c r="W2362" s="93" t="n">
        <x:f>IF(V2362="Returned",0,T2362-U2362)</x:f>
        <x:v>89</x:v>
      </x:c>
      <x:c r="X2362" s="93" t="n">
        <x:f>IF(V2362="Returned",Q2362*R2362*10%,Q2362*R2362)</x:f>
        <x:v>44</x:v>
      </x:c>
      <x:c r="Y2362" s="93" t="n">
        <x:f>W2362-X2362</x:f>
        <x:v>45</x:v>
      </x:c>
      <x:c r="Z2362" s="94" t="n">
        <x:f>IFERROR(Y2362/W2362,0)</x:f>
        <x:v>0.5056179775280899</x:v>
      </x:c>
      <x:c r="AA2362" s="84" t="str">
        <x:f>PROPER(TRIM('Raw Sales'!M2362))</x:f>
        <x:v>Credit Card</x:v>
      </x:c>
      <x:c r="AB2362" s="84" t="str">
        <x:f>PROPER(TRIM('Raw Sales'!N2362))</x:f>
        <x:v>Sofia Bennett</x:v>
      </x:c>
      <x:c r="AC2362" s="85" t="n">
        <x:f>'Raw Sales'!O2362</x:f>
        <x:v>46016</x:v>
      </x:c>
      <x:c r="AD2362" s="84" t="n">
        <x:f>AC2362-B2362</x:f>
        <x:v>6</x:v>
      </x:c>
      <x:c r="AE2362" s="84" t="str">
        <x:f>IF(COUNTIF($A$5:A2362,A2362)&gt;1,"Duplicate","Keep")</x:f>
        <x:v>Keep</x:v>
      </x:c>
      <x:c r="AF2362" s="84" t="str">
        <x:f>IF(OR(R2362&lt;=0,AC2362&lt;B2362,H2362="Unknown",M2362="Unknown Product"),"Review","Valid")</x:f>
        <x:v>Valid</x:v>
      </x:c>
      <x:c r="AG2362" s="84" t="n">
        <x:f>IF(AND(AE2362="Keep",AF2362="Valid"),1,0)</x:f>
        <x:v>1</x:v>
      </x:c>
      <x:c r="AH2362" s="84" t="n">
        <x:f>IF(AND(AG2362=1,OR('Dashboard'!$B$4="All",I2362='Dashboard'!$B$4),OR('Dashboard'!$E$4="All",N2362='Dashboard'!$E$4),OR('Dashboard'!$H$4="All",K2362='Dashboard'!$H$4),OR('Dashboard'!$K$4="All",C2362='Dashboard'!$K$4)),1,0)</x:f>
        <x:v>1</x:v>
      </x:c>
      <x:c r="AI2362" s="84" t="n">
        <x:f>IF(AND(AG2362=1,OR('Dashboard'!$B$4="All",I2362='Dashboard'!$B$4),OR('Dashboard'!$E$4="All",N2362='Dashboard'!$E$4),OR('Dashboard'!$H$4="All",K2362='Dashboard'!$H$4)),1,0)</x:f>
        <x:v>1</x:v>
      </x:c>
    </x:row>
    <x:row r="2363">
      <x:c r="A2363" s="84" t="str">
        <x:f>'Raw Sales'!A2363</x:f>
        <x:v>ORD-2025-01033</x:v>
      </x:c>
      <x:c r="B2363" s="85" t="n">
        <x:f>'Raw Sales'!B2363</x:f>
        <x:v>46010</x:v>
      </x:c>
      <x:c r="C2363" s="84" t="n">
        <x:f>YEAR(B2363)</x:f>
        <x:v>2025</x:v>
      </x:c>
      <x:c r="D2363" s="91" t="n">
        <x:f>DATE(YEAR(B2363),MONTH(B2363),1)</x:f>
        <x:v>45992</x:v>
      </x:c>
      <x:c r="E2363" s="84" t="str">
        <x:f>TEXT(B2363,"mmm")</x:f>
        <x:v>Dec</x:v>
      </x:c>
      <x:c r="F2363" s="84" t="str">
        <x:f>'Raw Sales'!C2363</x:f>
        <x:v>CUST-0207</x:v>
      </x:c>
      <x:c r="G2363" s="84" t="str">
        <x:f>PROPER(TRIM('Raw Sales'!D2363))</x:f>
        <x:v>Marcus Khan</x:v>
      </x:c>
      <x:c r="H2363" s="84" t="str">
        <x:f>IF(TRIM('Raw Sales'!E2363)="","Unknown",PROPER(TRIM('Raw Sales'!E2363)))</x:f>
        <x:v>Consumer</x:v>
      </x:c>
      <x:c r="I2363" s="84" t="str">
        <x:f>PROPER(TRIM('Raw Sales'!F2363))</x:f>
        <x:v>Southeast</x:v>
      </x:c>
      <x:c r="J2363" s="84" t="str">
        <x:f>PROPER(TRIM('Raw Sales'!G2363))</x:f>
        <x:v>Atlanta</x:v>
      </x:c>
      <x:c r="K2363" s="84" t="str">
        <x:f>PROPER(TRIM('Raw Sales'!H2363))</x:f>
        <x:v>Marketplace</x:v>
      </x:c>
      <x:c r="L2363" s="84" t="str">
        <x:f>'Raw Sales'!I2363</x:f>
        <x:v>HOME-003</x:v>
      </x:c>
      <x:c r="M2363" s="84" t="str">
        <x:f>IFERROR(VLOOKUP(L2363,'Reference Data'!$A$5:$F$40,2,FALSE),"Unknown Product")</x:f>
        <x:v>Countertop Blender</x:v>
      </x:c>
      <x:c r="N2363" s="84" t="str">
        <x:f>IFERROR(VLOOKUP(L2363,'Reference Data'!$A$5:$F$40,3,FALSE),"Unknown")</x:f>
        <x:v>Home &amp; Kitchen</x:v>
      </x:c>
      <x:c r="O2363" s="84" t="str">
        <x:f>IFERROR(VLOOKUP(L2363,'Reference Data'!$A$5:$F$40,4,FALSE),"Unknown")</x:f>
        <x:v>Small Appliances</x:v>
      </x:c>
      <x:c r="P2363" s="92" t="n">
        <x:f>IFERROR(VLOOKUP(L2363,'Reference Data'!$A$5:$F$40,5,FALSE),0)</x:f>
        <x:v>89</x:v>
      </x:c>
      <x:c r="Q2363" s="92" t="n">
        <x:f>IFERROR(VLOOKUP(L2363,'Reference Data'!$A$5:$F$40,6,FALSE),0)</x:f>
        <x:v>46</x:v>
      </x:c>
      <x:c r="R2363" s="84" t="n">
        <x:f>'Raw Sales'!J2363</x:f>
        <x:v>1</x:v>
      </x:c>
      <x:c r="S2363" s="87" t="n">
        <x:f>'Raw Sales'!K2363</x:f>
        <x:v>0.05</x:v>
      </x:c>
      <x:c r="T2363" s="93" t="n">
        <x:f>P2363*R2363</x:f>
        <x:v>89</x:v>
      </x:c>
      <x:c r="U2363" s="93" t="n">
        <x:f>T2363*S2363</x:f>
        <x:v>4.45</x:v>
      </x:c>
      <x:c r="V2363" s="93" t="str">
        <x:f>PROPER(TRIM('Raw Sales'!L2363))</x:f>
        <x:v>Completed</x:v>
      </x:c>
      <x:c r="W2363" s="93" t="n">
        <x:f>IF(V2363="Returned",0,T2363-U2363)</x:f>
        <x:v>84.55</x:v>
      </x:c>
      <x:c r="X2363" s="93" t="n">
        <x:f>IF(V2363="Returned",Q2363*R2363*10%,Q2363*R2363)</x:f>
        <x:v>46</x:v>
      </x:c>
      <x:c r="Y2363" s="93" t="n">
        <x:f>W2363-X2363</x:f>
        <x:v>38.55</x:v>
      </x:c>
      <x:c r="Z2363" s="94" t="n">
        <x:f>IFERROR(Y2363/W2363,0)</x:f>
        <x:v>0.4559432288586635</x:v>
      </x:c>
      <x:c r="AA2363" s="84" t="str">
        <x:f>PROPER(TRIM('Raw Sales'!M2363))</x:f>
        <x:v>Debit Card</x:v>
      </x:c>
      <x:c r="AB2363" s="84" t="str">
        <x:f>PROPER(TRIM('Raw Sales'!N2363))</x:f>
        <x:v>Noah Reed</x:v>
      </x:c>
      <x:c r="AC2363" s="85" t="n">
        <x:f>'Raw Sales'!O2363</x:f>
        <x:v>46013</x:v>
      </x:c>
      <x:c r="AD2363" s="84" t="n">
        <x:f>AC2363-B2363</x:f>
        <x:v>3</x:v>
      </x:c>
      <x:c r="AE2363" s="84" t="str">
        <x:f>IF(COUNTIF($A$5:A2363,A2363)&gt;1,"Duplicate","Keep")</x:f>
        <x:v>Keep</x:v>
      </x:c>
      <x:c r="AF2363" s="84" t="str">
        <x:f>IF(OR(R2363&lt;=0,AC2363&lt;B2363,H2363="Unknown",M2363="Unknown Product"),"Review","Valid")</x:f>
        <x:v>Valid</x:v>
      </x:c>
      <x:c r="AG2363" s="84" t="n">
        <x:f>IF(AND(AE2363="Keep",AF2363="Valid"),1,0)</x:f>
        <x:v>1</x:v>
      </x:c>
      <x:c r="AH2363" s="84" t="n">
        <x:f>IF(AND(AG2363=1,OR('Dashboard'!$B$4="All",I2363='Dashboard'!$B$4),OR('Dashboard'!$E$4="All",N2363='Dashboard'!$E$4),OR('Dashboard'!$H$4="All",K2363='Dashboard'!$H$4),OR('Dashboard'!$K$4="All",C2363='Dashboard'!$K$4)),1,0)</x:f>
        <x:v>1</x:v>
      </x:c>
      <x:c r="AI2363" s="84" t="n">
        <x:f>IF(AND(AG2363=1,OR('Dashboard'!$B$4="All",I2363='Dashboard'!$B$4),OR('Dashboard'!$E$4="All",N2363='Dashboard'!$E$4),OR('Dashboard'!$H$4="All",K2363='Dashboard'!$H$4)),1,0)</x:f>
        <x:v>1</x:v>
      </x:c>
    </x:row>
    <x:row r="2364">
      <x:c r="A2364" s="84" t="str">
        <x:f>'Raw Sales'!A2364</x:f>
        <x:v>ORD-2025-01105</x:v>
      </x:c>
      <x:c r="B2364" s="85" t="n">
        <x:f>'Raw Sales'!B2364</x:f>
        <x:v>46010</x:v>
      </x:c>
      <x:c r="C2364" s="84" t="n">
        <x:f>YEAR(B2364)</x:f>
        <x:v>2025</x:v>
      </x:c>
      <x:c r="D2364" s="91" t="n">
        <x:f>DATE(YEAR(B2364),MONTH(B2364),1)</x:f>
        <x:v>45992</x:v>
      </x:c>
      <x:c r="E2364" s="84" t="str">
        <x:f>TEXT(B2364,"mmm")</x:f>
        <x:v>Dec</x:v>
      </x:c>
      <x:c r="F2364" s="84" t="str">
        <x:f>'Raw Sales'!C2364</x:f>
        <x:v>CUST-0410</x:v>
      </x:c>
      <x:c r="G2364" s="84" t="str">
        <x:f>PROPER(TRIM('Raw Sales'!D2364))</x:f>
        <x:v>Jasmine Quinn</x:v>
      </x:c>
      <x:c r="H2364" s="84" t="str">
        <x:f>IF(TRIM('Raw Sales'!E2364)="","Unknown",PROPER(TRIM('Raw Sales'!E2364)))</x:f>
        <x:v>Consumer</x:v>
      </x:c>
      <x:c r="I2364" s="84" t="str">
        <x:f>PROPER(TRIM('Raw Sales'!F2364))</x:f>
        <x:v>Midwest</x:v>
      </x:c>
      <x:c r="J2364" s="84" t="str">
        <x:f>PROPER(TRIM('Raw Sales'!G2364))</x:f>
        <x:v>Chicago</x:v>
      </x:c>
      <x:c r="K2364" s="84" t="str">
        <x:f>PROPER(TRIM('Raw Sales'!H2364))</x:f>
        <x:v>Retail Store</x:v>
      </x:c>
      <x:c r="L2364" s="84" t="str">
        <x:f>'Raw Sales'!I2364</x:f>
        <x:v>ELEC-005</x:v>
      </x:c>
      <x:c r="M2364" s="84" t="str">
        <x:f>IFERROR(VLOOKUP(L2364,'Reference Data'!$A$5:$F$40,2,FALSE),"Unknown Product")</x:f>
        <x:v>HD Webcam</x:v>
      </x:c>
      <x:c r="N2364" s="84" t="str">
        <x:f>IFERROR(VLOOKUP(L2364,'Reference Data'!$A$5:$F$40,3,FALSE),"Unknown")</x:f>
        <x:v>Electronics</x:v>
      </x:c>
      <x:c r="O2364" s="84" t="str">
        <x:f>IFERROR(VLOOKUP(L2364,'Reference Data'!$A$5:$F$40,4,FALSE),"Unknown")</x:f>
        <x:v>Computer Accessories</x:v>
      </x:c>
      <x:c r="P2364" s="92" t="n">
        <x:f>IFERROR(VLOOKUP(L2364,'Reference Data'!$A$5:$F$40,5,FALSE),0)</x:f>
        <x:v>79</x:v>
      </x:c>
      <x:c r="Q2364" s="92" t="n">
        <x:f>IFERROR(VLOOKUP(L2364,'Reference Data'!$A$5:$F$40,6,FALSE),0)</x:f>
        <x:v>37</x:v>
      </x:c>
      <x:c r="R2364" s="84" t="n">
        <x:f>'Raw Sales'!J2364</x:f>
        <x:v>2</x:v>
      </x:c>
      <x:c r="S2364" s="87" t="n">
        <x:f>'Raw Sales'!K2364</x:f>
        <x:v>0.05</x:v>
      </x:c>
      <x:c r="T2364" s="93" t="n">
        <x:f>P2364*R2364</x:f>
        <x:v>158</x:v>
      </x:c>
      <x:c r="U2364" s="93" t="n">
        <x:f>T2364*S2364</x:f>
        <x:v>7.9</x:v>
      </x:c>
      <x:c r="V2364" s="93" t="str">
        <x:f>PROPER(TRIM('Raw Sales'!L2364))</x:f>
        <x:v>Completed</x:v>
      </x:c>
      <x:c r="W2364" s="93" t="n">
        <x:f>IF(V2364="Returned",0,T2364-U2364)</x:f>
        <x:v>150.1</x:v>
      </x:c>
      <x:c r="X2364" s="93" t="n">
        <x:f>IF(V2364="Returned",Q2364*R2364*10%,Q2364*R2364)</x:f>
        <x:v>74</x:v>
      </x:c>
      <x:c r="Y2364" s="93" t="n">
        <x:f>W2364-X2364</x:f>
        <x:v>76.1</x:v>
      </x:c>
      <x:c r="Z2364" s="94" t="n">
        <x:f>IFERROR(Y2364/W2364,0)</x:f>
        <x:v>0.5069953364423717</x:v>
      </x:c>
      <x:c r="AA2364" s="84" t="str">
        <x:f>PROPER(TRIM('Raw Sales'!M2364))</x:f>
        <x:v>Mobile Wallet</x:v>
      </x:c>
      <x:c r="AB2364" s="84" t="str">
        <x:f>PROPER(TRIM('Raw Sales'!N2364))</x:f>
        <x:v>Zoe Turner</x:v>
      </x:c>
      <x:c r="AC2364" s="85" t="n">
        <x:f>'Raw Sales'!O2364</x:f>
        <x:v>46010</x:v>
      </x:c>
      <x:c r="AD2364" s="84" t="n">
        <x:f>AC2364-B2364</x:f>
        <x:v>0</x:v>
      </x:c>
      <x:c r="AE2364" s="84" t="str">
        <x:f>IF(COUNTIF($A$5:A2364,A2364)&gt;1,"Duplicate","Keep")</x:f>
        <x:v>Keep</x:v>
      </x:c>
      <x:c r="AF2364" s="84" t="str">
        <x:f>IF(OR(R2364&lt;=0,AC2364&lt;B2364,H2364="Unknown",M2364="Unknown Product"),"Review","Valid")</x:f>
        <x:v>Valid</x:v>
      </x:c>
      <x:c r="AG2364" s="84" t="n">
        <x:f>IF(AND(AE2364="Keep",AF2364="Valid"),1,0)</x:f>
        <x:v>1</x:v>
      </x:c>
      <x:c r="AH2364" s="84" t="n">
        <x:f>IF(AND(AG2364=1,OR('Dashboard'!$B$4="All",I2364='Dashboard'!$B$4),OR('Dashboard'!$E$4="All",N2364='Dashboard'!$E$4),OR('Dashboard'!$H$4="All",K2364='Dashboard'!$H$4),OR('Dashboard'!$K$4="All",C2364='Dashboard'!$K$4)),1,0)</x:f>
        <x:v>1</x:v>
      </x:c>
      <x:c r="AI2364" s="84" t="n">
        <x:f>IF(AND(AG2364=1,OR('Dashboard'!$B$4="All",I2364='Dashboard'!$B$4),OR('Dashboard'!$E$4="All",N2364='Dashboard'!$E$4),OR('Dashboard'!$H$4="All",K2364='Dashboard'!$H$4)),1,0)</x:f>
        <x:v>1</x:v>
      </x:c>
    </x:row>
    <x:row r="2365">
      <x:c r="A2365" s="84" t="str">
        <x:f>'Raw Sales'!A2365</x:f>
        <x:v>ORD-2025-01371</x:v>
      </x:c>
      <x:c r="B2365" s="85" t="n">
        <x:f>'Raw Sales'!B2365</x:f>
        <x:v>46010</x:v>
      </x:c>
      <x:c r="C2365" s="84" t="n">
        <x:f>YEAR(B2365)</x:f>
        <x:v>2025</x:v>
      </x:c>
      <x:c r="D2365" s="91" t="n">
        <x:f>DATE(YEAR(B2365),MONTH(B2365),1)</x:f>
        <x:v>45992</x:v>
      </x:c>
      <x:c r="E2365" s="84" t="str">
        <x:f>TEXT(B2365,"mmm")</x:f>
        <x:v>Dec</x:v>
      </x:c>
      <x:c r="F2365" s="84" t="str">
        <x:f>'Raw Sales'!C2365</x:f>
        <x:v>CUST-0621</x:v>
      </x:c>
      <x:c r="G2365" s="84" t="str">
        <x:f>PROPER(TRIM('Raw Sales'!D2365))</x:f>
        <x:v>Sara Hall</x:v>
      </x:c>
      <x:c r="H2365" s="84" t="str">
        <x:f>IF(TRIM('Raw Sales'!E2365)="","Unknown",PROPER(TRIM('Raw Sales'!E2365)))</x:f>
        <x:v>Consumer</x:v>
      </x:c>
      <x:c r="I2365" s="84" t="str">
        <x:f>PROPER(TRIM('Raw Sales'!F2365))</x:f>
        <x:v>Northeast</x:v>
      </x:c>
      <x:c r="J2365" s="84" t="str">
        <x:f>PROPER(TRIM('Raw Sales'!G2365))</x:f>
        <x:v>Philadelphia</x:v>
      </x:c>
      <x:c r="K2365" s="84" t="str">
        <x:f>PROPER(TRIM('Raw Sales'!H2365))</x:f>
        <x:v>Online</x:v>
      </x:c>
      <x:c r="L2365" s="84" t="str">
        <x:f>'Raw Sales'!I2365</x:f>
        <x:v>ACCS-006</x:v>
      </x:c>
      <x:c r="M2365" s="84" t="str">
        <x:f>IFERROR(VLOOKUP(L2365,'Reference Data'!$A$5:$F$40,2,FALSE),"Unknown Product")</x:f>
        <x:v>Insulated Lunch Bag</x:v>
      </x:c>
      <x:c r="N2365" s="84" t="str">
        <x:f>IFERROR(VLOOKUP(L2365,'Reference Data'!$A$5:$F$40,3,FALSE),"Unknown")</x:f>
        <x:v>Accessories</x:v>
      </x:c>
      <x:c r="O2365" s="84" t="str">
        <x:f>IFERROR(VLOOKUP(L2365,'Reference Data'!$A$5:$F$40,4,FALSE),"Unknown")</x:f>
        <x:v>Bags</x:v>
      </x:c>
      <x:c r="P2365" s="92" t="n">
        <x:f>IFERROR(VLOOKUP(L2365,'Reference Data'!$A$5:$F$40,5,FALSE),0)</x:f>
        <x:v>29</x:v>
      </x:c>
      <x:c r="Q2365" s="92" t="n">
        <x:f>IFERROR(VLOOKUP(L2365,'Reference Data'!$A$5:$F$40,6,FALSE),0)</x:f>
        <x:v>10</x:v>
      </x:c>
      <x:c r="R2365" s="84" t="n">
        <x:f>'Raw Sales'!J2365</x:f>
        <x:v>2</x:v>
      </x:c>
      <x:c r="S2365" s="87" t="n">
        <x:f>'Raw Sales'!K2365</x:f>
        <x:v>0.1</x:v>
      </x:c>
      <x:c r="T2365" s="93" t="n">
        <x:f>P2365*R2365</x:f>
        <x:v>58</x:v>
      </x:c>
      <x:c r="U2365" s="93" t="n">
        <x:f>T2365*S2365</x:f>
        <x:v>5.800000000000001</x:v>
      </x:c>
      <x:c r="V2365" s="93" t="str">
        <x:f>PROPER(TRIM('Raw Sales'!L2365))</x:f>
        <x:v>Completed</x:v>
      </x:c>
      <x:c r="W2365" s="93" t="n">
        <x:f>IF(V2365="Returned",0,T2365-U2365)</x:f>
        <x:v>52.2</x:v>
      </x:c>
      <x:c r="X2365" s="93" t="n">
        <x:f>IF(V2365="Returned",Q2365*R2365*10%,Q2365*R2365)</x:f>
        <x:v>20</x:v>
      </x:c>
      <x:c r="Y2365" s="93" t="n">
        <x:f>W2365-X2365</x:f>
        <x:v>32.2</x:v>
      </x:c>
      <x:c r="Z2365" s="94" t="n">
        <x:f>IFERROR(Y2365/W2365,0)</x:f>
        <x:v>0.6168582375478927</x:v>
      </x:c>
      <x:c r="AA2365" s="84" t="str">
        <x:f>PROPER(TRIM('Raw Sales'!M2365))</x:f>
        <x:v>Paypal</x:v>
      </x:c>
      <x:c r="AB2365" s="84" t="str">
        <x:f>PROPER(TRIM('Raw Sales'!N2365))</x:f>
        <x:v>Maya Brooks</x:v>
      </x:c>
      <x:c r="AC2365" s="85" t="n">
        <x:f>'Raw Sales'!O2365</x:f>
        <x:v>46012</x:v>
      </x:c>
      <x:c r="AD2365" s="84" t="n">
        <x:f>AC2365-B2365</x:f>
        <x:v>2</x:v>
      </x:c>
      <x:c r="AE2365" s="84" t="str">
        <x:f>IF(COUNTIF($A$5:A2365,A2365)&gt;1,"Duplicate","Keep")</x:f>
        <x:v>Keep</x:v>
      </x:c>
      <x:c r="AF2365" s="84" t="str">
        <x:f>IF(OR(R2365&lt;=0,AC2365&lt;B2365,H2365="Unknown",M2365="Unknown Product"),"Review","Valid")</x:f>
        <x:v>Valid</x:v>
      </x:c>
      <x:c r="AG2365" s="84" t="n">
        <x:f>IF(AND(AE2365="Keep",AF2365="Valid"),1,0)</x:f>
        <x:v>1</x:v>
      </x:c>
      <x:c r="AH2365" s="84" t="n">
        <x:f>IF(AND(AG2365=1,OR('Dashboard'!$B$4="All",I2365='Dashboard'!$B$4),OR('Dashboard'!$E$4="All",N2365='Dashboard'!$E$4),OR('Dashboard'!$H$4="All",K2365='Dashboard'!$H$4),OR('Dashboard'!$K$4="All",C2365='Dashboard'!$K$4)),1,0)</x:f>
        <x:v>1</x:v>
      </x:c>
      <x:c r="AI2365" s="84" t="n">
        <x:f>IF(AND(AG2365=1,OR('Dashboard'!$B$4="All",I2365='Dashboard'!$B$4),OR('Dashboard'!$E$4="All",N2365='Dashboard'!$E$4),OR('Dashboard'!$H$4="All",K2365='Dashboard'!$H$4)),1,0)</x:f>
        <x:v>1</x:v>
      </x:c>
    </x:row>
    <x:row r="2366">
      <x:c r="A2366" s="84" t="str">
        <x:f>'Raw Sales'!A2366</x:f>
        <x:v>ORD-2025-01425</x:v>
      </x:c>
      <x:c r="B2366" s="85" t="n">
        <x:f>'Raw Sales'!B2366</x:f>
        <x:v>46010</x:v>
      </x:c>
      <x:c r="C2366" s="84" t="n">
        <x:f>YEAR(B2366)</x:f>
        <x:v>2025</x:v>
      </x:c>
      <x:c r="D2366" s="91" t="n">
        <x:f>DATE(YEAR(B2366),MONTH(B2366),1)</x:f>
        <x:v>45992</x:v>
      </x:c>
      <x:c r="E2366" s="84" t="str">
        <x:f>TEXT(B2366,"mmm")</x:f>
        <x:v>Dec</x:v>
      </x:c>
      <x:c r="F2366" s="84" t="str">
        <x:f>'Raw Sales'!C2366</x:f>
        <x:v>CUST-0565</x:v>
      </x:c>
      <x:c r="G2366" s="84" t="str">
        <x:f>PROPER(TRIM('Raw Sales'!D2366))</x:f>
        <x:v>Nathan Taylor</x:v>
      </x:c>
      <x:c r="H2366" s="84" t="str">
        <x:f>IF(TRIM('Raw Sales'!E2366)="","Unknown",PROPER(TRIM('Raw Sales'!E2366)))</x:f>
        <x:v>Consumer</x:v>
      </x:c>
      <x:c r="I2366" s="84" t="str">
        <x:f>PROPER(TRIM('Raw Sales'!F2366))</x:f>
        <x:v>West</x:v>
      </x:c>
      <x:c r="J2366" s="84" t="str">
        <x:f>PROPER(TRIM('Raw Sales'!G2366))</x:f>
        <x:v>Phoenix</x:v>
      </x:c>
      <x:c r="K2366" s="84" t="str">
        <x:f>PROPER(TRIM('Raw Sales'!H2366))</x:f>
        <x:v>Retail Store</x:v>
      </x:c>
      <x:c r="L2366" s="84" t="str">
        <x:f>'Raw Sales'!I2366</x:f>
        <x:v>ELEC-003</x:v>
      </x:c>
      <x:c r="M2366" s="84" t="str">
        <x:f>IFERROR(VLOOKUP(L2366,'Reference Data'!$A$5:$F$40,2,FALSE),"Unknown Product")</x:f>
        <x:v>Bluetooth Speaker</x:v>
      </x:c>
      <x:c r="N2366" s="84" t="str">
        <x:f>IFERROR(VLOOKUP(L2366,'Reference Data'!$A$5:$F$40,3,FALSE),"Unknown")</x:f>
        <x:v>Electronics</x:v>
      </x:c>
      <x:c r="O2366" s="84" t="str">
        <x:f>IFERROR(VLOOKUP(L2366,'Reference Data'!$A$5:$F$40,4,FALSE),"Unknown")</x:f>
        <x:v>Audio</x:v>
      </x:c>
      <x:c r="P2366" s="92" t="n">
        <x:f>IFERROR(VLOOKUP(L2366,'Reference Data'!$A$5:$F$40,5,FALSE),0)</x:f>
        <x:v>89</x:v>
      </x:c>
      <x:c r="Q2366" s="92" t="n">
        <x:f>IFERROR(VLOOKUP(L2366,'Reference Data'!$A$5:$F$40,6,FALSE),0)</x:f>
        <x:v>44</x:v>
      </x:c>
      <x:c r="R2366" s="84" t="n">
        <x:f>'Raw Sales'!J2366</x:f>
        <x:v>1</x:v>
      </x:c>
      <x:c r="S2366" s="87" t="n">
        <x:f>'Raw Sales'!K2366</x:f>
        <x:v>0.1</x:v>
      </x:c>
      <x:c r="T2366" s="93" t="n">
        <x:f>P2366*R2366</x:f>
        <x:v>89</x:v>
      </x:c>
      <x:c r="U2366" s="93" t="n">
        <x:f>T2366*S2366</x:f>
        <x:v>8.9</x:v>
      </x:c>
      <x:c r="V2366" s="93" t="str">
        <x:f>PROPER(TRIM('Raw Sales'!L2366))</x:f>
        <x:v>Completed</x:v>
      </x:c>
      <x:c r="W2366" s="93" t="n">
        <x:f>IF(V2366="Returned",0,T2366-U2366)</x:f>
        <x:v>80.1</x:v>
      </x:c>
      <x:c r="X2366" s="93" t="n">
        <x:f>IF(V2366="Returned",Q2366*R2366*10%,Q2366*R2366)</x:f>
        <x:v>44</x:v>
      </x:c>
      <x:c r="Y2366" s="93" t="n">
        <x:f>W2366-X2366</x:f>
        <x:v>36.099999999999994</x:v>
      </x:c>
      <x:c r="Z2366" s="94" t="n">
        <x:f>IFERROR(Y2366/W2366,0)</x:f>
        <x:v>0.4506866416978776</x:v>
      </x:c>
      <x:c r="AA2366" s="84" t="str">
        <x:f>PROPER(TRIM('Raw Sales'!M2366))</x:f>
        <x:v>Credit Card</x:v>
      </x:c>
      <x:c r="AB2366" s="84" t="str">
        <x:f>PROPER(TRIM('Raw Sales'!N2366))</x:f>
        <x:v>Leo Martinez</x:v>
      </x:c>
      <x:c r="AC2366" s="85" t="n">
        <x:f>'Raw Sales'!O2366</x:f>
        <x:v>46010</x:v>
      </x:c>
      <x:c r="AD2366" s="84" t="n">
        <x:f>AC2366-B2366</x:f>
        <x:v>0</x:v>
      </x:c>
      <x:c r="AE2366" s="84" t="str">
        <x:f>IF(COUNTIF($A$5:A2366,A2366)&gt;1,"Duplicate","Keep")</x:f>
        <x:v>Keep</x:v>
      </x:c>
      <x:c r="AF2366" s="84" t="str">
        <x:f>IF(OR(R2366&lt;=0,AC2366&lt;B2366,H2366="Unknown",M2366="Unknown Product"),"Review","Valid")</x:f>
        <x:v>Valid</x:v>
      </x:c>
      <x:c r="AG2366" s="84" t="n">
        <x:f>IF(AND(AE2366="Keep",AF2366="Valid"),1,0)</x:f>
        <x:v>1</x:v>
      </x:c>
      <x:c r="AH2366" s="84" t="n">
        <x:f>IF(AND(AG2366=1,OR('Dashboard'!$B$4="All",I2366='Dashboard'!$B$4),OR('Dashboard'!$E$4="All",N2366='Dashboard'!$E$4),OR('Dashboard'!$H$4="All",K2366='Dashboard'!$H$4),OR('Dashboard'!$K$4="All",C2366='Dashboard'!$K$4)),1,0)</x:f>
        <x:v>1</x:v>
      </x:c>
      <x:c r="AI2366" s="84" t="n">
        <x:f>IF(AND(AG2366=1,OR('Dashboard'!$B$4="All",I2366='Dashboard'!$B$4),OR('Dashboard'!$E$4="All",N2366='Dashboard'!$E$4),OR('Dashboard'!$H$4="All",K2366='Dashboard'!$H$4)),1,0)</x:f>
        <x:v>1</x:v>
      </x:c>
    </x:row>
    <x:row r="2367">
      <x:c r="A2367" s="84" t="str">
        <x:f>'Raw Sales'!A2367</x:f>
        <x:v>ORD-2025-01554</x:v>
      </x:c>
      <x:c r="B2367" s="85" t="n">
        <x:f>'Raw Sales'!B2367</x:f>
        <x:v>46010</x:v>
      </x:c>
      <x:c r="C2367" s="84" t="n">
        <x:f>YEAR(B2367)</x:f>
        <x:v>2025</x:v>
      </x:c>
      <x:c r="D2367" s="91" t="n">
        <x:f>DATE(YEAR(B2367),MONTH(B2367),1)</x:f>
        <x:v>45992</x:v>
      </x:c>
      <x:c r="E2367" s="84" t="str">
        <x:f>TEXT(B2367,"mmm")</x:f>
        <x:v>Dec</x:v>
      </x:c>
      <x:c r="F2367" s="84" t="str">
        <x:f>'Raw Sales'!C2367</x:f>
        <x:v>CUST-0298</x:v>
      </x:c>
      <x:c r="G2367" s="84" t="str">
        <x:f>PROPER(TRIM('Raw Sales'!D2367))</x:f>
        <x:v>Jasmine Roberts</x:v>
      </x:c>
      <x:c r="H2367" s="84" t="str">
        <x:f>IF(TRIM('Raw Sales'!E2367)="","Unknown",PROPER(TRIM('Raw Sales'!E2367)))</x:f>
        <x:v>Consumer</x:v>
      </x:c>
      <x:c r="I2367" s="84" t="str">
        <x:f>PROPER(TRIM('Raw Sales'!F2367))</x:f>
        <x:v>West</x:v>
      </x:c>
      <x:c r="J2367" s="84" t="str">
        <x:f>PROPER(TRIM('Raw Sales'!G2367))</x:f>
        <x:v>Los Angeles</x:v>
      </x:c>
      <x:c r="K2367" s="84" t="str">
        <x:f>PROPER(TRIM('Raw Sales'!H2367))</x:f>
        <x:v>Online</x:v>
      </x:c>
      <x:c r="L2367" s="84" t="str">
        <x:f>'Raw Sales'!I2367</x:f>
        <x:v>ACCS-005</x:v>
      </x:c>
      <x:c r="M2367" s="84" t="str">
        <x:f>IFERROR(VLOOKUP(L2367,'Reference Data'!$A$5:$F$40,2,FALSE),"Unknown Product")</x:f>
        <x:v>Protective Phone Case</x:v>
      </x:c>
      <x:c r="N2367" s="84" t="str">
        <x:f>IFERROR(VLOOKUP(L2367,'Reference Data'!$A$5:$F$40,3,FALSE),"Unknown")</x:f>
        <x:v>Accessories</x:v>
      </x:c>
      <x:c r="O2367" s="84" t="str">
        <x:f>IFERROR(VLOOKUP(L2367,'Reference Data'!$A$5:$F$40,4,FALSE),"Unknown")</x:f>
        <x:v>Mobile Accessories</x:v>
      </x:c>
      <x:c r="P2367" s="92" t="n">
        <x:f>IFERROR(VLOOKUP(L2367,'Reference Data'!$A$5:$F$40,5,FALSE),0)</x:f>
        <x:v>24</x:v>
      </x:c>
      <x:c r="Q2367" s="92" t="n">
        <x:f>IFERROR(VLOOKUP(L2367,'Reference Data'!$A$5:$F$40,6,FALSE),0)</x:f>
        <x:v>5</x:v>
      </x:c>
      <x:c r="R2367" s="84" t="n">
        <x:f>'Raw Sales'!J2367</x:f>
        <x:v>4</x:v>
      </x:c>
      <x:c r="S2367" s="87" t="n">
        <x:f>'Raw Sales'!K2367</x:f>
        <x:v>0</x:v>
      </x:c>
      <x:c r="T2367" s="93" t="n">
        <x:f>P2367*R2367</x:f>
        <x:v>96</x:v>
      </x:c>
      <x:c r="U2367" s="93" t="n">
        <x:f>T2367*S2367</x:f>
        <x:v>0</x:v>
      </x:c>
      <x:c r="V2367" s="93" t="str">
        <x:f>PROPER(TRIM('Raw Sales'!L2367))</x:f>
        <x:v>Completed</x:v>
      </x:c>
      <x:c r="W2367" s="93" t="n">
        <x:f>IF(V2367="Returned",0,T2367-U2367)</x:f>
        <x:v>96</x:v>
      </x:c>
      <x:c r="X2367" s="93" t="n">
        <x:f>IF(V2367="Returned",Q2367*R2367*10%,Q2367*R2367)</x:f>
        <x:v>20</x:v>
      </x:c>
      <x:c r="Y2367" s="93" t="n">
        <x:f>W2367-X2367</x:f>
        <x:v>76</x:v>
      </x:c>
      <x:c r="Z2367" s="94" t="n">
        <x:f>IFERROR(Y2367/W2367,0)</x:f>
        <x:v>0.7916666666666666</x:v>
      </x:c>
      <x:c r="AA2367" s="84" t="str">
        <x:f>PROPER(TRIM('Raw Sales'!M2367))</x:f>
        <x:v>Debit Card</x:v>
      </x:c>
      <x:c r="AB2367" s="84" t="str">
        <x:f>PROPER(TRIM('Raw Sales'!N2367))</x:f>
        <x:v>Nora Kim</x:v>
      </x:c>
      <x:c r="AC2367" s="85" t="n">
        <x:f>'Raw Sales'!O2367</x:f>
        <x:v>46015</x:v>
      </x:c>
      <x:c r="AD2367" s="84" t="n">
        <x:f>AC2367-B2367</x:f>
        <x:v>5</x:v>
      </x:c>
      <x:c r="AE2367" s="84" t="str">
        <x:f>IF(COUNTIF($A$5:A2367,A2367)&gt;1,"Duplicate","Keep")</x:f>
        <x:v>Keep</x:v>
      </x:c>
      <x:c r="AF2367" s="84" t="str">
        <x:f>IF(OR(R2367&lt;=0,AC2367&lt;B2367,H2367="Unknown",M2367="Unknown Product"),"Review","Valid")</x:f>
        <x:v>Valid</x:v>
      </x:c>
      <x:c r="AG2367" s="84" t="n">
        <x:f>IF(AND(AE2367="Keep",AF2367="Valid"),1,0)</x:f>
        <x:v>1</x:v>
      </x:c>
      <x:c r="AH2367" s="84" t="n">
        <x:f>IF(AND(AG2367=1,OR('Dashboard'!$B$4="All",I2367='Dashboard'!$B$4),OR('Dashboard'!$E$4="All",N2367='Dashboard'!$E$4),OR('Dashboard'!$H$4="All",K2367='Dashboard'!$H$4),OR('Dashboard'!$K$4="All",C2367='Dashboard'!$K$4)),1,0)</x:f>
        <x:v>1</x:v>
      </x:c>
      <x:c r="AI2367" s="84" t="n">
        <x:f>IF(AND(AG2367=1,OR('Dashboard'!$B$4="All",I2367='Dashboard'!$B$4),OR('Dashboard'!$E$4="All",N2367='Dashboard'!$E$4),OR('Dashboard'!$H$4="All",K2367='Dashboard'!$H$4)),1,0)</x:f>
        <x:v>1</x:v>
      </x:c>
    </x:row>
    <x:row r="2368">
      <x:c r="A2368" s="84" t="str">
        <x:f>'Raw Sales'!A2368</x:f>
        <x:v>ORD-2025-01786</x:v>
      </x:c>
      <x:c r="B2368" s="85" t="n">
        <x:f>'Raw Sales'!B2368</x:f>
        <x:v>46010</x:v>
      </x:c>
      <x:c r="C2368" s="84" t="n">
        <x:f>YEAR(B2368)</x:f>
        <x:v>2025</x:v>
      </x:c>
      <x:c r="D2368" s="91" t="n">
        <x:f>DATE(YEAR(B2368),MONTH(B2368),1)</x:f>
        <x:v>45992</x:v>
      </x:c>
      <x:c r="E2368" s="84" t="str">
        <x:f>TEXT(B2368,"mmm")</x:f>
        <x:v>Dec</x:v>
      </x:c>
      <x:c r="F2368" s="84" t="str">
        <x:f>'Raw Sales'!C2368</x:f>
        <x:v>CUST-0068</x:v>
      </x:c>
      <x:c r="G2368" s="84" t="str">
        <x:f>PROPER(TRIM('Raw Sales'!D2368))</x:f>
        <x:v>Grace Ortiz</x:v>
      </x:c>
      <x:c r="H2368" s="84" t="str">
        <x:f>IF(TRIM('Raw Sales'!E2368)="","Unknown",PROPER(TRIM('Raw Sales'!E2368)))</x:f>
        <x:v>Consumer</x:v>
      </x:c>
      <x:c r="I2368" s="84" t="str">
        <x:f>PROPER(TRIM('Raw Sales'!F2368))</x:f>
        <x:v>West</x:v>
      </x:c>
      <x:c r="J2368" s="84" t="str">
        <x:f>PROPER(TRIM('Raw Sales'!G2368))</x:f>
        <x:v>Los Angeles</x:v>
      </x:c>
      <x:c r="K2368" s="84" t="str">
        <x:f>PROPER(TRIM('Raw Sales'!H2368))</x:f>
        <x:v>Retail Store</x:v>
      </x:c>
      <x:c r="L2368" s="84" t="str">
        <x:f>'Raw Sales'!I2368</x:f>
        <x:v>ELEC-004</x:v>
      </x:c>
      <x:c r="M2368" s="84" t="str">
        <x:f>IFERROR(VLOOKUP(L2368,'Reference Data'!$A$5:$F$40,2,FALSE),"Unknown Product")</x:f>
        <x:v>Power Bank</x:v>
      </x:c>
      <x:c r="N2368" s="84" t="str">
        <x:f>IFERROR(VLOOKUP(L2368,'Reference Data'!$A$5:$F$40,3,FALSE),"Unknown")</x:f>
        <x:v>Electronics</x:v>
      </x:c>
      <x:c r="O2368" s="84" t="str">
        <x:f>IFERROR(VLOOKUP(L2368,'Reference Data'!$A$5:$F$40,4,FALSE),"Unknown")</x:f>
        <x:v>Mobile Accessories</x:v>
      </x:c>
      <x:c r="P2368" s="92" t="n">
        <x:f>IFERROR(VLOOKUP(L2368,'Reference Data'!$A$5:$F$40,5,FALSE),0)</x:f>
        <x:v>39</x:v>
      </x:c>
      <x:c r="Q2368" s="92" t="n">
        <x:f>IFERROR(VLOOKUP(L2368,'Reference Data'!$A$5:$F$40,6,FALSE),0)</x:f>
        <x:v>18</x:v>
      </x:c>
      <x:c r="R2368" s="84" t="n">
        <x:f>'Raw Sales'!J2368</x:f>
        <x:v>3</x:v>
      </x:c>
      <x:c r="S2368" s="87" t="n">
        <x:f>'Raw Sales'!K2368</x:f>
        <x:v>0.05</x:v>
      </x:c>
      <x:c r="T2368" s="93" t="n">
        <x:f>P2368*R2368</x:f>
        <x:v>117</x:v>
      </x:c>
      <x:c r="U2368" s="93" t="n">
        <x:f>T2368*S2368</x:f>
        <x:v>5.8500000000000005</x:v>
      </x:c>
      <x:c r="V2368" s="93" t="str">
        <x:f>PROPER(TRIM('Raw Sales'!L2368))</x:f>
        <x:v>Completed</x:v>
      </x:c>
      <x:c r="W2368" s="93" t="n">
        <x:f>IF(V2368="Returned",0,T2368-U2368)</x:f>
        <x:v>111.15</x:v>
      </x:c>
      <x:c r="X2368" s="93" t="n">
        <x:f>IF(V2368="Returned",Q2368*R2368*10%,Q2368*R2368)</x:f>
        <x:v>54</x:v>
      </x:c>
      <x:c r="Y2368" s="93" t="n">
        <x:f>W2368-X2368</x:f>
        <x:v>57.150000000000006</x:v>
      </x:c>
      <x:c r="Z2368" s="94" t="n">
        <x:f>IFERROR(Y2368/W2368,0)</x:f>
        <x:v>0.51417004048583</x:v>
      </x:c>
      <x:c r="AA2368" s="84" t="str">
        <x:f>PROPER(TRIM('Raw Sales'!M2368))</x:f>
        <x:v>Debit Card</x:v>
      </x:c>
      <x:c r="AB2368" s="84" t="str">
        <x:f>PROPER(TRIM('Raw Sales'!N2368))</x:f>
        <x:v>Mia Chen</x:v>
      </x:c>
      <x:c r="AC2368" s="85" t="n">
        <x:f>'Raw Sales'!O2368</x:f>
        <x:v>46011</x:v>
      </x:c>
      <x:c r="AD2368" s="84" t="n">
        <x:f>AC2368-B2368</x:f>
        <x:v>1</x:v>
      </x:c>
      <x:c r="AE2368" s="84" t="str">
        <x:f>IF(COUNTIF($A$5:A2368,A2368)&gt;1,"Duplicate","Keep")</x:f>
        <x:v>Keep</x:v>
      </x:c>
      <x:c r="AF2368" s="84" t="str">
        <x:f>IF(OR(R2368&lt;=0,AC2368&lt;B2368,H2368="Unknown",M2368="Unknown Product"),"Review","Valid")</x:f>
        <x:v>Valid</x:v>
      </x:c>
      <x:c r="AG2368" s="84" t="n">
        <x:f>IF(AND(AE2368="Keep",AF2368="Valid"),1,0)</x:f>
        <x:v>1</x:v>
      </x:c>
      <x:c r="AH2368" s="84" t="n">
        <x:f>IF(AND(AG2368=1,OR('Dashboard'!$B$4="All",I2368='Dashboard'!$B$4),OR('Dashboard'!$E$4="All",N2368='Dashboard'!$E$4),OR('Dashboard'!$H$4="All",K2368='Dashboard'!$H$4),OR('Dashboard'!$K$4="All",C2368='Dashboard'!$K$4)),1,0)</x:f>
        <x:v>1</x:v>
      </x:c>
      <x:c r="AI2368" s="84" t="n">
        <x:f>IF(AND(AG2368=1,OR('Dashboard'!$B$4="All",I2368='Dashboard'!$B$4),OR('Dashboard'!$E$4="All",N2368='Dashboard'!$E$4),OR('Dashboard'!$H$4="All",K2368='Dashboard'!$H$4)),1,0)</x:f>
        <x:v>1</x:v>
      </x:c>
    </x:row>
    <x:row r="2369">
      <x:c r="A2369" s="84" t="str">
        <x:f>'Raw Sales'!A2369</x:f>
        <x:v>ORD-2025-00221</x:v>
      </x:c>
      <x:c r="B2369" s="85" t="n">
        <x:f>'Raw Sales'!B2369</x:f>
        <x:v>46011</x:v>
      </x:c>
      <x:c r="C2369" s="84" t="n">
        <x:f>YEAR(B2369)</x:f>
        <x:v>2025</x:v>
      </x:c>
      <x:c r="D2369" s="91" t="n">
        <x:f>DATE(YEAR(B2369),MONTH(B2369),1)</x:f>
        <x:v>45992</x:v>
      </x:c>
      <x:c r="E2369" s="84" t="str">
        <x:f>TEXT(B2369,"mmm")</x:f>
        <x:v>Dec</x:v>
      </x:c>
      <x:c r="F2369" s="84" t="str">
        <x:f>'Raw Sales'!C2369</x:f>
        <x:v>CUST-0079</x:v>
      </x:c>
      <x:c r="G2369" s="84" t="str">
        <x:f>PROPER(TRIM('Raw Sales'!D2369))</x:f>
        <x:v>Isaac Foster</x:v>
      </x:c>
      <x:c r="H2369" s="84" t="str">
        <x:f>IF(TRIM('Raw Sales'!E2369)="","Unknown",PROPER(TRIM('Raw Sales'!E2369)))</x:f>
        <x:v>Consumer</x:v>
      </x:c>
      <x:c r="I2369" s="84" t="str">
        <x:f>PROPER(TRIM('Raw Sales'!F2369))</x:f>
        <x:v>Midwest</x:v>
      </x:c>
      <x:c r="J2369" s="84" t="str">
        <x:f>PROPER(TRIM('Raw Sales'!G2369))</x:f>
        <x:v>Minneapolis</x:v>
      </x:c>
      <x:c r="K2369" s="84" t="str">
        <x:f>PROPER(TRIM('Raw Sales'!H2369))</x:f>
        <x:v>Retail Store</x:v>
      </x:c>
      <x:c r="L2369" s="84" t="str">
        <x:f>'Raw Sales'!I2369</x:f>
        <x:v>OFFC-006</x:v>
      </x:c>
      <x:c r="M2369" s="84" t="str">
        <x:f>IFERROR(VLOOKUP(L2369,'Reference Data'!$A$5:$F$40,2,FALSE),"Unknown Product")</x:f>
        <x:v>Monitor Stand</x:v>
      </x:c>
      <x:c r="N2369" s="84" t="str">
        <x:f>IFERROR(VLOOKUP(L2369,'Reference Data'!$A$5:$F$40,3,FALSE),"Unknown")</x:f>
        <x:v>Office</x:v>
      </x:c>
      <x:c r="O2369" s="84" t="str">
        <x:f>IFERROR(VLOOKUP(L2369,'Reference Data'!$A$5:$F$40,4,FALSE),"Unknown")</x:f>
        <x:v>Desk Accessories</x:v>
      </x:c>
      <x:c r="P2369" s="92" t="n">
        <x:f>IFERROR(VLOOKUP(L2369,'Reference Data'!$A$5:$F$40,5,FALSE),0)</x:f>
        <x:v>49</x:v>
      </x:c>
      <x:c r="Q2369" s="92" t="n">
        <x:f>IFERROR(VLOOKUP(L2369,'Reference Data'!$A$5:$F$40,6,FALSE),0)</x:f>
        <x:v>21</x:v>
      </x:c>
      <x:c r="R2369" s="84" t="n">
        <x:f>'Raw Sales'!J2369</x:f>
        <x:v>1</x:v>
      </x:c>
      <x:c r="S2369" s="87" t="n">
        <x:f>'Raw Sales'!K2369</x:f>
        <x:v>0.1</x:v>
      </x:c>
      <x:c r="T2369" s="93" t="n">
        <x:f>P2369*R2369</x:f>
        <x:v>49</x:v>
      </x:c>
      <x:c r="U2369" s="93" t="n">
        <x:f>T2369*S2369</x:f>
        <x:v>4.9</x:v>
      </x:c>
      <x:c r="V2369" s="93" t="str">
        <x:f>PROPER(TRIM('Raw Sales'!L2369))</x:f>
        <x:v>Completed</x:v>
      </x:c>
      <x:c r="W2369" s="93" t="n">
        <x:f>IF(V2369="Returned",0,T2369-U2369)</x:f>
        <x:v>44.1</x:v>
      </x:c>
      <x:c r="X2369" s="93" t="n">
        <x:f>IF(V2369="Returned",Q2369*R2369*10%,Q2369*R2369)</x:f>
        <x:v>21</x:v>
      </x:c>
      <x:c r="Y2369" s="93" t="n">
        <x:f>W2369-X2369</x:f>
        <x:v>23.1</x:v>
      </x:c>
      <x:c r="Z2369" s="94" t="n">
        <x:f>IFERROR(Y2369/W2369,0)</x:f>
        <x:v>0.5238095238095238</x:v>
      </x:c>
      <x:c r="AA2369" s="84" t="str">
        <x:f>PROPER(TRIM('Raw Sales'!M2369))</x:f>
        <x:v>Debit Card</x:v>
      </x:c>
      <x:c r="AB2369" s="84" t="str">
        <x:f>PROPER(TRIM('Raw Sales'!N2369))</x:f>
        <x:v>Zoe Turner</x:v>
      </x:c>
      <x:c r="AC2369" s="85" t="n">
        <x:f>'Raw Sales'!O2369</x:f>
        <x:v>46011</x:v>
      </x:c>
      <x:c r="AD2369" s="84" t="n">
        <x:f>AC2369-B2369</x:f>
        <x:v>0</x:v>
      </x:c>
      <x:c r="AE2369" s="84" t="str">
        <x:f>IF(COUNTIF($A$5:A2369,A2369)&gt;1,"Duplicate","Keep")</x:f>
        <x:v>Keep</x:v>
      </x:c>
      <x:c r="AF2369" s="84" t="str">
        <x:f>IF(OR(R2369&lt;=0,AC2369&lt;B2369,H2369="Unknown",M2369="Unknown Product"),"Review","Valid")</x:f>
        <x:v>Valid</x:v>
      </x:c>
      <x:c r="AG2369" s="84" t="n">
        <x:f>IF(AND(AE2369="Keep",AF2369="Valid"),1,0)</x:f>
        <x:v>1</x:v>
      </x:c>
      <x:c r="AH2369" s="84" t="n">
        <x:f>IF(AND(AG2369=1,OR('Dashboard'!$B$4="All",I2369='Dashboard'!$B$4),OR('Dashboard'!$E$4="All",N2369='Dashboard'!$E$4),OR('Dashboard'!$H$4="All",K2369='Dashboard'!$H$4),OR('Dashboard'!$K$4="All",C2369='Dashboard'!$K$4)),1,0)</x:f>
        <x:v>1</x:v>
      </x:c>
      <x:c r="AI2369" s="84" t="n">
        <x:f>IF(AND(AG2369=1,OR('Dashboard'!$B$4="All",I2369='Dashboard'!$B$4),OR('Dashboard'!$E$4="All",N2369='Dashboard'!$E$4),OR('Dashboard'!$H$4="All",K2369='Dashboard'!$H$4)),1,0)</x:f>
        <x:v>1</x:v>
      </x:c>
    </x:row>
    <x:row r="2370">
      <x:c r="A2370" s="84" t="str">
        <x:f>'Raw Sales'!A2370</x:f>
        <x:v>ORD-2025-00611</x:v>
      </x:c>
      <x:c r="B2370" s="85" t="n">
        <x:f>'Raw Sales'!B2370</x:f>
        <x:v>46011</x:v>
      </x:c>
      <x:c r="C2370" s="84" t="n">
        <x:f>YEAR(B2370)</x:f>
        <x:v>2025</x:v>
      </x:c>
      <x:c r="D2370" s="91" t="n">
        <x:f>DATE(YEAR(B2370),MONTH(B2370),1)</x:f>
        <x:v>45992</x:v>
      </x:c>
      <x:c r="E2370" s="84" t="str">
        <x:f>TEXT(B2370,"mmm")</x:f>
        <x:v>Dec</x:v>
      </x:c>
      <x:c r="F2370" s="84" t="str">
        <x:f>'Raw Sales'!C2370</x:f>
        <x:v>CUST-0060</x:v>
      </x:c>
      <x:c r="G2370" s="84" t="str">
        <x:f>PROPER(TRIM('Raw Sales'!D2370))</x:f>
        <x:v>Amelia Roberts</x:v>
      </x:c>
      <x:c r="H2370" s="84" t="str">
        <x:f>IF(TRIM('Raw Sales'!E2370)="","Unknown",PROPER(TRIM('Raw Sales'!E2370)))</x:f>
        <x:v>Corporate</x:v>
      </x:c>
      <x:c r="I2370" s="84" t="str">
        <x:f>PROPER(TRIM('Raw Sales'!F2370))</x:f>
        <x:v>Midwest</x:v>
      </x:c>
      <x:c r="J2370" s="84" t="str">
        <x:f>PROPER(TRIM('Raw Sales'!G2370))</x:f>
        <x:v>Chicago</x:v>
      </x:c>
      <x:c r="K2370" s="84" t="str">
        <x:f>PROPER(TRIM('Raw Sales'!H2370))</x:f>
        <x:v>Retail Store</x:v>
      </x:c>
      <x:c r="L2370" s="84" t="str">
        <x:f>'Raw Sales'!I2370</x:f>
        <x:v>OFFC-002</x:v>
      </x:c>
      <x:c r="M2370" s="84" t="str">
        <x:f>IFERROR(VLOOKUP(L2370,'Reference Data'!$A$5:$F$40,2,FALSE),"Unknown Product")</x:f>
        <x:v>Standing Desk</x:v>
      </x:c>
      <x:c r="N2370" s="84" t="str">
        <x:f>IFERROR(VLOOKUP(L2370,'Reference Data'!$A$5:$F$40,3,FALSE),"Unknown")</x:f>
        <x:v>Office</x:v>
      </x:c>
      <x:c r="O2370" s="84" t="str">
        <x:f>IFERROR(VLOOKUP(L2370,'Reference Data'!$A$5:$F$40,4,FALSE),"Unknown")</x:f>
        <x:v>Furniture</x:v>
      </x:c>
      <x:c r="P2370" s="92" t="n">
        <x:f>IFERROR(VLOOKUP(L2370,'Reference Data'!$A$5:$F$40,5,FALSE),0)</x:f>
        <x:v>399</x:v>
      </x:c>
      <x:c r="Q2370" s="92" t="n">
        <x:f>IFERROR(VLOOKUP(L2370,'Reference Data'!$A$5:$F$40,6,FALSE),0)</x:f>
        <x:v>235</x:v>
      </x:c>
      <x:c r="R2370" s="84" t="n">
        <x:f>'Raw Sales'!J2370</x:f>
        <x:v>8</x:v>
      </x:c>
      <x:c r="S2370" s="87" t="n">
        <x:f>'Raw Sales'!K2370</x:f>
        <x:v>0.1</x:v>
      </x:c>
      <x:c r="T2370" s="93" t="n">
        <x:f>P2370*R2370</x:f>
        <x:v>3192</x:v>
      </x:c>
      <x:c r="U2370" s="93" t="n">
        <x:f>T2370*S2370</x:f>
        <x:v>319.20000000000005</x:v>
      </x:c>
      <x:c r="V2370" s="93" t="str">
        <x:f>PROPER(TRIM('Raw Sales'!L2370))</x:f>
        <x:v>Completed</x:v>
      </x:c>
      <x:c r="W2370" s="93" t="n">
        <x:f>IF(V2370="Returned",0,T2370-U2370)</x:f>
        <x:v>2872.8</x:v>
      </x:c>
      <x:c r="X2370" s="93" t="n">
        <x:f>IF(V2370="Returned",Q2370*R2370*10%,Q2370*R2370)</x:f>
        <x:v>1880</x:v>
      </x:c>
      <x:c r="Y2370" s="93" t="n">
        <x:f>W2370-X2370</x:f>
        <x:v>992.8000000000002</x:v>
      </x:c>
      <x:c r="Z2370" s="94" t="n">
        <x:f>IFERROR(Y2370/W2370,0)</x:f>
        <x:v>0.3455861876914509</x:v>
      </x:c>
      <x:c r="AA2370" s="84" t="str">
        <x:f>PROPER(TRIM('Raw Sales'!M2370))</x:f>
        <x:v>Debit Card</x:v>
      </x:c>
      <x:c r="AB2370" s="84" t="str">
        <x:f>PROPER(TRIM('Raw Sales'!N2370))</x:f>
        <x:v>Emma Hayes</x:v>
      </x:c>
      <x:c r="AC2370" s="85" t="n">
        <x:f>'Raw Sales'!O2370</x:f>
        <x:v>46011</x:v>
      </x:c>
      <x:c r="AD2370" s="84" t="n">
        <x:f>AC2370-B2370</x:f>
        <x:v>0</x:v>
      </x:c>
      <x:c r="AE2370" s="84" t="str">
        <x:f>IF(COUNTIF($A$5:A2370,A2370)&gt;1,"Duplicate","Keep")</x:f>
        <x:v>Keep</x:v>
      </x:c>
      <x:c r="AF2370" s="84" t="str">
        <x:f>IF(OR(R2370&lt;=0,AC2370&lt;B2370,H2370="Unknown",M2370="Unknown Product"),"Review","Valid")</x:f>
        <x:v>Valid</x:v>
      </x:c>
      <x:c r="AG2370" s="84" t="n">
        <x:f>IF(AND(AE2370="Keep",AF2370="Valid"),1,0)</x:f>
        <x:v>1</x:v>
      </x:c>
      <x:c r="AH2370" s="84" t="n">
        <x:f>IF(AND(AG2370=1,OR('Dashboard'!$B$4="All",I2370='Dashboard'!$B$4),OR('Dashboard'!$E$4="All",N2370='Dashboard'!$E$4),OR('Dashboard'!$H$4="All",K2370='Dashboard'!$H$4),OR('Dashboard'!$K$4="All",C2370='Dashboard'!$K$4)),1,0)</x:f>
        <x:v>1</x:v>
      </x:c>
      <x:c r="AI2370" s="84" t="n">
        <x:f>IF(AND(AG2370=1,OR('Dashboard'!$B$4="All",I2370='Dashboard'!$B$4),OR('Dashboard'!$E$4="All",N2370='Dashboard'!$E$4),OR('Dashboard'!$H$4="All",K2370='Dashboard'!$H$4)),1,0)</x:f>
        <x:v>1</x:v>
      </x:c>
    </x:row>
    <x:row r="2371">
      <x:c r="A2371" s="84" t="str">
        <x:f>'Raw Sales'!A2371</x:f>
        <x:v>ORD-2025-00787</x:v>
      </x:c>
      <x:c r="B2371" s="85" t="n">
        <x:f>'Raw Sales'!B2371</x:f>
        <x:v>46011</x:v>
      </x:c>
      <x:c r="C2371" s="84" t="n">
        <x:f>YEAR(B2371)</x:f>
        <x:v>2025</x:v>
      </x:c>
      <x:c r="D2371" s="91" t="n">
        <x:f>DATE(YEAR(B2371),MONTH(B2371),1)</x:f>
        <x:v>45992</x:v>
      </x:c>
      <x:c r="E2371" s="84" t="str">
        <x:f>TEXT(B2371,"mmm")</x:f>
        <x:v>Dec</x:v>
      </x:c>
      <x:c r="F2371" s="84" t="str">
        <x:f>'Raw Sales'!C2371</x:f>
        <x:v>CUST-0050</x:v>
      </x:c>
      <x:c r="G2371" s="84" t="str">
        <x:f>PROPER(TRIM('Raw Sales'!D2371))</x:f>
        <x:v>Isaac Davis</x:v>
      </x:c>
      <x:c r="H2371" s="84" t="str">
        <x:f>IF(TRIM('Raw Sales'!E2371)="","Unknown",PROPER(TRIM('Raw Sales'!E2371)))</x:f>
        <x:v>Consumer</x:v>
      </x:c>
      <x:c r="I2371" s="84" t="str">
        <x:f>PROPER(TRIM('Raw Sales'!F2371))</x:f>
        <x:v>Northeast</x:v>
      </x:c>
      <x:c r="J2371" s="84" t="str">
        <x:f>PROPER(TRIM('Raw Sales'!G2371))</x:f>
        <x:v>Newark</x:v>
      </x:c>
      <x:c r="K2371" s="84" t="str">
        <x:f>PROPER(TRIM('Raw Sales'!H2371))</x:f>
        <x:v>Online</x:v>
      </x:c>
      <x:c r="L2371" s="84" t="str">
        <x:f>'Raw Sales'!I2371</x:f>
        <x:v>CARE-003</x:v>
      </x:c>
      <x:c r="M2371" s="84" t="str">
        <x:f>IFERROR(VLOOKUP(L2371,'Reference Data'!$A$5:$F$40,2,FALSE),"Unknown Product")</x:f>
        <x:v>Facial Cleanser</x:v>
      </x:c>
      <x:c r="N2371" s="84" t="str">
        <x:f>IFERROR(VLOOKUP(L2371,'Reference Data'!$A$5:$F$40,3,FALSE),"Unknown")</x:f>
        <x:v>Personal Care</x:v>
      </x:c>
      <x:c r="O2371" s="84" t="str">
        <x:f>IFERROR(VLOOKUP(L2371,'Reference Data'!$A$5:$F$40,4,FALSE),"Unknown")</x:f>
        <x:v>Skin Care</x:v>
      </x:c>
      <x:c r="P2371" s="92" t="n">
        <x:f>IFERROR(VLOOKUP(L2371,'Reference Data'!$A$5:$F$40,5,FALSE),0)</x:f>
        <x:v>18</x:v>
      </x:c>
      <x:c r="Q2371" s="92" t="n">
        <x:f>IFERROR(VLOOKUP(L2371,'Reference Data'!$A$5:$F$40,6,FALSE),0)</x:f>
        <x:v>6</x:v>
      </x:c>
      <x:c r="R2371" s="84" t="n">
        <x:f>'Raw Sales'!J2371</x:f>
        <x:v>1</x:v>
      </x:c>
      <x:c r="S2371" s="87" t="n">
        <x:f>'Raw Sales'!K2371</x:f>
        <x:v>0.05</x:v>
      </x:c>
      <x:c r="T2371" s="93" t="n">
        <x:f>P2371*R2371</x:f>
        <x:v>18</x:v>
      </x:c>
      <x:c r="U2371" s="93" t="n">
        <x:f>T2371*S2371</x:f>
        <x:v>0.9</x:v>
      </x:c>
      <x:c r="V2371" s="93" t="str">
        <x:f>PROPER(TRIM('Raw Sales'!L2371))</x:f>
        <x:v>Completed</x:v>
      </x:c>
      <x:c r="W2371" s="93" t="n">
        <x:f>IF(V2371="Returned",0,T2371-U2371)</x:f>
        <x:v>17.1</x:v>
      </x:c>
      <x:c r="X2371" s="93" t="n">
        <x:f>IF(V2371="Returned",Q2371*R2371*10%,Q2371*R2371)</x:f>
        <x:v>6</x:v>
      </x:c>
      <x:c r="Y2371" s="93" t="n">
        <x:f>W2371-X2371</x:f>
        <x:v>11.100000000000001</x:v>
      </x:c>
      <x:c r="Z2371" s="94" t="n">
        <x:f>IFERROR(Y2371/W2371,0)</x:f>
        <x:v>0.6491228070175439</x:v>
      </x:c>
      <x:c r="AA2371" s="84" t="str">
        <x:f>PROPER(TRIM('Raw Sales'!M2371))</x:f>
        <x:v>Paypal</x:v>
      </x:c>
      <x:c r="AB2371" s="84" t="str">
        <x:f>PROPER(TRIM('Raw Sales'!N2371))</x:f>
        <x:v>Ethan Cole</x:v>
      </x:c>
      <x:c r="AC2371" s="85" t="n">
        <x:f>'Raw Sales'!O2371</x:f>
        <x:v>46015</x:v>
      </x:c>
      <x:c r="AD2371" s="84" t="n">
        <x:f>AC2371-B2371</x:f>
        <x:v>4</x:v>
      </x:c>
      <x:c r="AE2371" s="84" t="str">
        <x:f>IF(COUNTIF($A$5:A2371,A2371)&gt;1,"Duplicate","Keep")</x:f>
        <x:v>Keep</x:v>
      </x:c>
      <x:c r="AF2371" s="84" t="str">
        <x:f>IF(OR(R2371&lt;=0,AC2371&lt;B2371,H2371="Unknown",M2371="Unknown Product"),"Review","Valid")</x:f>
        <x:v>Valid</x:v>
      </x:c>
      <x:c r="AG2371" s="84" t="n">
        <x:f>IF(AND(AE2371="Keep",AF2371="Valid"),1,0)</x:f>
        <x:v>1</x:v>
      </x:c>
      <x:c r="AH2371" s="84" t="n">
        <x:f>IF(AND(AG2371=1,OR('Dashboard'!$B$4="All",I2371='Dashboard'!$B$4),OR('Dashboard'!$E$4="All",N2371='Dashboard'!$E$4),OR('Dashboard'!$H$4="All",K2371='Dashboard'!$H$4),OR('Dashboard'!$K$4="All",C2371='Dashboard'!$K$4)),1,0)</x:f>
        <x:v>1</x:v>
      </x:c>
      <x:c r="AI2371" s="84" t="n">
        <x:f>IF(AND(AG2371=1,OR('Dashboard'!$B$4="All",I2371='Dashboard'!$B$4),OR('Dashboard'!$E$4="All",N2371='Dashboard'!$E$4),OR('Dashboard'!$H$4="All",K2371='Dashboard'!$H$4)),1,0)</x:f>
        <x:v>1</x:v>
      </x:c>
    </x:row>
    <x:row r="2372">
      <x:c r="A2372" s="84" t="str">
        <x:f>'Raw Sales'!A2372</x:f>
        <x:v>ORD-2025-01838</x:v>
      </x:c>
      <x:c r="B2372" s="85" t="n">
        <x:f>'Raw Sales'!B2372</x:f>
        <x:v>46011</x:v>
      </x:c>
      <x:c r="C2372" s="84" t="n">
        <x:f>YEAR(B2372)</x:f>
        <x:v>2025</x:v>
      </x:c>
      <x:c r="D2372" s="91" t="n">
        <x:f>DATE(YEAR(B2372),MONTH(B2372),1)</x:f>
        <x:v>45992</x:v>
      </x:c>
      <x:c r="E2372" s="84" t="str">
        <x:f>TEXT(B2372,"mmm")</x:f>
        <x:v>Dec</x:v>
      </x:c>
      <x:c r="F2372" s="84" t="str">
        <x:f>'Raw Sales'!C2372</x:f>
        <x:v>CUST-0220</x:v>
      </x:c>
      <x:c r="G2372" s="84" t="str">
        <x:f>PROPER(TRIM('Raw Sales'!D2372))</x:f>
        <x:v>Isaac Smith</x:v>
      </x:c>
      <x:c r="H2372" s="84" t="str">
        <x:f>IF(TRIM('Raw Sales'!E2372)="","Unknown",PROPER(TRIM('Raw Sales'!E2372)))</x:f>
        <x:v>Consumer</x:v>
      </x:c>
      <x:c r="I2372" s="84" t="str">
        <x:f>PROPER(TRIM('Raw Sales'!F2372))</x:f>
        <x:v>Midwest</x:v>
      </x:c>
      <x:c r="J2372" s="84" t="str">
        <x:f>PROPER(TRIM('Raw Sales'!G2372))</x:f>
        <x:v>Detroit</x:v>
      </x:c>
      <x:c r="K2372" s="84" t="str">
        <x:f>PROPER(TRIM('Raw Sales'!H2372))</x:f>
        <x:v>Online</x:v>
      </x:c>
      <x:c r="L2372" s="84" t="str">
        <x:f>'Raw Sales'!I2372</x:f>
        <x:v>FITN-001</x:v>
      </x:c>
      <x:c r="M2372" s="84" t="str">
        <x:f>IFERROR(VLOOKUP(L2372,'Reference Data'!$A$5:$F$40,2,FALSE),"Unknown Product")</x:f>
        <x:v>Yoga Mat</x:v>
      </x:c>
      <x:c r="N2372" s="84" t="str">
        <x:f>IFERROR(VLOOKUP(L2372,'Reference Data'!$A$5:$F$40,3,FALSE),"Unknown")</x:f>
        <x:v>Fitness</x:v>
      </x:c>
      <x:c r="O2372" s="84" t="str">
        <x:f>IFERROR(VLOOKUP(L2372,'Reference Data'!$A$5:$F$40,4,FALSE),"Unknown")</x:f>
        <x:v>Yoga</x:v>
      </x:c>
      <x:c r="P2372" s="92" t="n">
        <x:f>IFERROR(VLOOKUP(L2372,'Reference Data'!$A$5:$F$40,5,FALSE),0)</x:f>
        <x:v>35</x:v>
      </x:c>
      <x:c r="Q2372" s="92" t="n">
        <x:f>IFERROR(VLOOKUP(L2372,'Reference Data'!$A$5:$F$40,6,FALSE),0)</x:f>
        <x:v>13</x:v>
      </x:c>
      <x:c r="R2372" s="84" t="n">
        <x:f>'Raw Sales'!J2372</x:f>
        <x:v>1</x:v>
      </x:c>
      <x:c r="S2372" s="87" t="n">
        <x:f>'Raw Sales'!K2372</x:f>
        <x:v>0</x:v>
      </x:c>
      <x:c r="T2372" s="93" t="n">
        <x:f>P2372*R2372</x:f>
        <x:v>35</x:v>
      </x:c>
      <x:c r="U2372" s="93" t="n">
        <x:f>T2372*S2372</x:f>
        <x:v>0</x:v>
      </x:c>
      <x:c r="V2372" s="93" t="str">
        <x:f>PROPER(TRIM('Raw Sales'!L2372))</x:f>
        <x:v>Completed</x:v>
      </x:c>
      <x:c r="W2372" s="93" t="n">
        <x:f>IF(V2372="Returned",0,T2372-U2372)</x:f>
        <x:v>35</x:v>
      </x:c>
      <x:c r="X2372" s="93" t="n">
        <x:f>IF(V2372="Returned",Q2372*R2372*10%,Q2372*R2372)</x:f>
        <x:v>13</x:v>
      </x:c>
      <x:c r="Y2372" s="93" t="n">
        <x:f>W2372-X2372</x:f>
        <x:v>22</x:v>
      </x:c>
      <x:c r="Z2372" s="94" t="n">
        <x:f>IFERROR(Y2372/W2372,0)</x:f>
        <x:v>0.6285714285714286</x:v>
      </x:c>
      <x:c r="AA2372" s="84" t="str">
        <x:f>PROPER(TRIM('Raw Sales'!M2372))</x:f>
        <x:v>Credit Card</x:v>
      </x:c>
      <x:c r="AB2372" s="84" t="str">
        <x:f>PROPER(TRIM('Raw Sales'!N2372))</x:f>
        <x:v>Emma Hayes</x:v>
      </x:c>
      <x:c r="AC2372" s="85" t="n">
        <x:f>'Raw Sales'!O2372</x:f>
        <x:v>46014</x:v>
      </x:c>
      <x:c r="AD2372" s="84" t="n">
        <x:f>AC2372-B2372</x:f>
        <x:v>3</x:v>
      </x:c>
      <x:c r="AE2372" s="84" t="str">
        <x:f>IF(COUNTIF($A$5:A2372,A2372)&gt;1,"Duplicate","Keep")</x:f>
        <x:v>Keep</x:v>
      </x:c>
      <x:c r="AF2372" s="84" t="str">
        <x:f>IF(OR(R2372&lt;=0,AC2372&lt;B2372,H2372="Unknown",M2372="Unknown Product"),"Review","Valid")</x:f>
        <x:v>Valid</x:v>
      </x:c>
      <x:c r="AG2372" s="84" t="n">
        <x:f>IF(AND(AE2372="Keep",AF2372="Valid"),1,0)</x:f>
        <x:v>1</x:v>
      </x:c>
      <x:c r="AH2372" s="84" t="n">
        <x:f>IF(AND(AG2372=1,OR('Dashboard'!$B$4="All",I2372='Dashboard'!$B$4),OR('Dashboard'!$E$4="All",N2372='Dashboard'!$E$4),OR('Dashboard'!$H$4="All",K2372='Dashboard'!$H$4),OR('Dashboard'!$K$4="All",C2372='Dashboard'!$K$4)),1,0)</x:f>
        <x:v>1</x:v>
      </x:c>
      <x:c r="AI2372" s="84" t="n">
        <x:f>IF(AND(AG2372=1,OR('Dashboard'!$B$4="All",I2372='Dashboard'!$B$4),OR('Dashboard'!$E$4="All",N2372='Dashboard'!$E$4),OR('Dashboard'!$H$4="All",K2372='Dashboard'!$H$4)),1,0)</x:f>
        <x:v>1</x:v>
      </x:c>
    </x:row>
    <x:row r="2373">
      <x:c r="A2373" s="84" t="str">
        <x:f>'Raw Sales'!A2373</x:f>
        <x:v>ORD-2025-02079</x:v>
      </x:c>
      <x:c r="B2373" s="85" t="n">
        <x:f>'Raw Sales'!B2373</x:f>
        <x:v>46011</x:v>
      </x:c>
      <x:c r="C2373" s="84" t="n">
        <x:f>YEAR(B2373)</x:f>
        <x:v>2025</x:v>
      </x:c>
      <x:c r="D2373" s="91" t="n">
        <x:f>DATE(YEAR(B2373),MONTH(B2373),1)</x:f>
        <x:v>45992</x:v>
      </x:c>
      <x:c r="E2373" s="84" t="str">
        <x:f>TEXT(B2373,"mmm")</x:f>
        <x:v>Dec</x:v>
      </x:c>
      <x:c r="F2373" s="84" t="str">
        <x:f>'Raw Sales'!C2373</x:f>
        <x:v>CUST-0458</x:v>
      </x:c>
      <x:c r="G2373" s="84" t="str">
        <x:f>PROPER(TRIM('Raw Sales'!D2373))</x:f>
        <x:v>Samuel Carter</x:v>
      </x:c>
      <x:c r="H2373" s="84" t="str">
        <x:f>IF(TRIM('Raw Sales'!E2373)="","Unknown",PROPER(TRIM('Raw Sales'!E2373)))</x:f>
        <x:v>Consumer</x:v>
      </x:c>
      <x:c r="I2373" s="84" t="str">
        <x:f>PROPER(TRIM('Raw Sales'!F2373))</x:f>
        <x:v>Southeast</x:v>
      </x:c>
      <x:c r="J2373" s="84" t="str">
        <x:f>PROPER(TRIM('Raw Sales'!G2373))</x:f>
        <x:v>Atlanta</x:v>
      </x:c>
      <x:c r="K2373" s="84" t="str">
        <x:f>PROPER(TRIM('Raw Sales'!H2373))</x:f>
        <x:v>Retail Store</x:v>
      </x:c>
      <x:c r="L2373" s="84" t="str">
        <x:f>'Raw Sales'!I2373</x:f>
        <x:v>HOME-003</x:v>
      </x:c>
      <x:c r="M2373" s="84" t="str">
        <x:f>IFERROR(VLOOKUP(L2373,'Reference Data'!$A$5:$F$40,2,FALSE),"Unknown Product")</x:f>
        <x:v>Countertop Blender</x:v>
      </x:c>
      <x:c r="N2373" s="84" t="str">
        <x:f>IFERROR(VLOOKUP(L2373,'Reference Data'!$A$5:$F$40,3,FALSE),"Unknown")</x:f>
        <x:v>Home &amp; Kitchen</x:v>
      </x:c>
      <x:c r="O2373" s="84" t="str">
        <x:f>IFERROR(VLOOKUP(L2373,'Reference Data'!$A$5:$F$40,4,FALSE),"Unknown")</x:f>
        <x:v>Small Appliances</x:v>
      </x:c>
      <x:c r="P2373" s="92" t="n">
        <x:f>IFERROR(VLOOKUP(L2373,'Reference Data'!$A$5:$F$40,5,FALSE),0)</x:f>
        <x:v>89</x:v>
      </x:c>
      <x:c r="Q2373" s="92" t="n">
        <x:f>IFERROR(VLOOKUP(L2373,'Reference Data'!$A$5:$F$40,6,FALSE),0)</x:f>
        <x:v>46</x:v>
      </x:c>
      <x:c r="R2373" s="84" t="n">
        <x:f>'Raw Sales'!J2373</x:f>
        <x:v>2</x:v>
      </x:c>
      <x:c r="S2373" s="87" t="n">
        <x:f>'Raw Sales'!K2373</x:f>
        <x:v>0.1</x:v>
      </x:c>
      <x:c r="T2373" s="93" t="n">
        <x:f>P2373*R2373</x:f>
        <x:v>178</x:v>
      </x:c>
      <x:c r="U2373" s="93" t="n">
        <x:f>T2373*S2373</x:f>
        <x:v>17.8</x:v>
      </x:c>
      <x:c r="V2373" s="93" t="str">
        <x:f>PROPER(TRIM('Raw Sales'!L2373))</x:f>
        <x:v>Completed</x:v>
      </x:c>
      <x:c r="W2373" s="93" t="n">
        <x:f>IF(V2373="Returned",0,T2373-U2373)</x:f>
        <x:v>160.2</x:v>
      </x:c>
      <x:c r="X2373" s="93" t="n">
        <x:f>IF(V2373="Returned",Q2373*R2373*10%,Q2373*R2373)</x:f>
        <x:v>92</x:v>
      </x:c>
      <x:c r="Y2373" s="93" t="n">
        <x:f>W2373-X2373</x:f>
        <x:v>68.19999999999999</x:v>
      </x:c>
      <x:c r="Z2373" s="94" t="n">
        <x:f>IFERROR(Y2373/W2373,0)</x:f>
        <x:v>0.4257178526841448</x:v>
      </x:c>
      <x:c r="AA2373" s="84" t="str">
        <x:f>PROPER(TRIM('Raw Sales'!M2373))</x:f>
        <x:v>Debit Card</x:v>
      </x:c>
      <x:c r="AB2373" s="84" t="str">
        <x:f>PROPER(TRIM('Raw Sales'!N2373))</x:f>
        <x:v>Noah Reed</x:v>
      </x:c>
      <x:c r="AC2373" s="85" t="n">
        <x:f>'Raw Sales'!O2373</x:f>
        <x:v>46011</x:v>
      </x:c>
      <x:c r="AD2373" s="84" t="n">
        <x:f>AC2373-B2373</x:f>
        <x:v>0</x:v>
      </x:c>
      <x:c r="AE2373" s="84" t="str">
        <x:f>IF(COUNTIF($A$5:A2373,A2373)&gt;1,"Duplicate","Keep")</x:f>
        <x:v>Keep</x:v>
      </x:c>
      <x:c r="AF2373" s="84" t="str">
        <x:f>IF(OR(R2373&lt;=0,AC2373&lt;B2373,H2373="Unknown",M2373="Unknown Product"),"Review","Valid")</x:f>
        <x:v>Valid</x:v>
      </x:c>
      <x:c r="AG2373" s="84" t="n">
        <x:f>IF(AND(AE2373="Keep",AF2373="Valid"),1,0)</x:f>
        <x:v>1</x:v>
      </x:c>
      <x:c r="AH2373" s="84" t="n">
        <x:f>IF(AND(AG2373=1,OR('Dashboard'!$B$4="All",I2373='Dashboard'!$B$4),OR('Dashboard'!$E$4="All",N2373='Dashboard'!$E$4),OR('Dashboard'!$H$4="All",K2373='Dashboard'!$H$4),OR('Dashboard'!$K$4="All",C2373='Dashboard'!$K$4)),1,0)</x:f>
        <x:v>1</x:v>
      </x:c>
      <x:c r="AI2373" s="84" t="n">
        <x:f>IF(AND(AG2373=1,OR('Dashboard'!$B$4="All",I2373='Dashboard'!$B$4),OR('Dashboard'!$E$4="All",N2373='Dashboard'!$E$4),OR('Dashboard'!$H$4="All",K2373='Dashboard'!$H$4)),1,0)</x:f>
        <x:v>1</x:v>
      </x:c>
    </x:row>
    <x:row r="2374">
      <x:c r="A2374" s="84" t="str">
        <x:f>'Raw Sales'!A2374</x:f>
        <x:v>ORD-2025-02099</x:v>
      </x:c>
      <x:c r="B2374" s="85" t="n">
        <x:f>'Raw Sales'!B2374</x:f>
        <x:v>46011</x:v>
      </x:c>
      <x:c r="C2374" s="84" t="n">
        <x:f>YEAR(B2374)</x:f>
        <x:v>2025</x:v>
      </x:c>
      <x:c r="D2374" s="91" t="n">
        <x:f>DATE(YEAR(B2374),MONTH(B2374),1)</x:f>
        <x:v>45992</x:v>
      </x:c>
      <x:c r="E2374" s="84" t="str">
        <x:f>TEXT(B2374,"mmm")</x:f>
        <x:v>Dec</x:v>
      </x:c>
      <x:c r="F2374" s="84" t="str">
        <x:f>'Raw Sales'!C2374</x:f>
        <x:v>CUST-0395</x:v>
      </x:c>
      <x:c r="G2374" s="84" t="str">
        <x:f>PROPER(TRIM('Raw Sales'!D2374))</x:f>
        <x:v>Sara Baker</x:v>
      </x:c>
      <x:c r="H2374" s="84" t="str">
        <x:f>IF(TRIM('Raw Sales'!E2374)="","Unknown",PROPER(TRIM('Raw Sales'!E2374)))</x:f>
        <x:v>Consumer</x:v>
      </x:c>
      <x:c r="I2374" s="84" t="str">
        <x:f>PROPER(TRIM('Raw Sales'!F2374))</x:f>
        <x:v>West</x:v>
      </x:c>
      <x:c r="J2374" s="84" t="str">
        <x:f>PROPER(TRIM('Raw Sales'!G2374))</x:f>
        <x:v>Denver</x:v>
      </x:c>
      <x:c r="K2374" s="84" t="str">
        <x:f>PROPER(TRIM('Raw Sales'!H2374))</x:f>
        <x:v>Online</x:v>
      </x:c>
      <x:c r="L2374" s="84" t="str">
        <x:f>'Raw Sales'!I2374</x:f>
        <x:v>OFFC-002</x:v>
      </x:c>
      <x:c r="M2374" s="84" t="str">
        <x:f>IFERROR(VLOOKUP(L2374,'Reference Data'!$A$5:$F$40,2,FALSE),"Unknown Product")</x:f>
        <x:v>Standing Desk</x:v>
      </x:c>
      <x:c r="N2374" s="84" t="str">
        <x:f>IFERROR(VLOOKUP(L2374,'Reference Data'!$A$5:$F$40,3,FALSE),"Unknown")</x:f>
        <x:v>Office</x:v>
      </x:c>
      <x:c r="O2374" s="84" t="str">
        <x:f>IFERROR(VLOOKUP(L2374,'Reference Data'!$A$5:$F$40,4,FALSE),"Unknown")</x:f>
        <x:v>Furniture</x:v>
      </x:c>
      <x:c r="P2374" s="92" t="n">
        <x:f>IFERROR(VLOOKUP(L2374,'Reference Data'!$A$5:$F$40,5,FALSE),0)</x:f>
        <x:v>399</x:v>
      </x:c>
      <x:c r="Q2374" s="92" t="n">
        <x:f>IFERROR(VLOOKUP(L2374,'Reference Data'!$A$5:$F$40,6,FALSE),0)</x:f>
        <x:v>235</x:v>
      </x:c>
      <x:c r="R2374" s="84" t="n">
        <x:f>'Raw Sales'!J2374</x:f>
        <x:v>1</x:v>
      </x:c>
      <x:c r="S2374" s="87" t="n">
        <x:f>'Raw Sales'!K2374</x:f>
        <x:v>0.1</x:v>
      </x:c>
      <x:c r="T2374" s="93" t="n">
        <x:f>P2374*R2374</x:f>
        <x:v>399</x:v>
      </x:c>
      <x:c r="U2374" s="93" t="n">
        <x:f>T2374*S2374</x:f>
        <x:v>39.900000000000006</x:v>
      </x:c>
      <x:c r="V2374" s="93" t="str">
        <x:f>PROPER(TRIM('Raw Sales'!L2374))</x:f>
        <x:v>Completed</x:v>
      </x:c>
      <x:c r="W2374" s="93" t="n">
        <x:f>IF(V2374="Returned",0,T2374-U2374)</x:f>
        <x:v>359.1</x:v>
      </x:c>
      <x:c r="X2374" s="93" t="n">
        <x:f>IF(V2374="Returned",Q2374*R2374*10%,Q2374*R2374)</x:f>
        <x:v>235</x:v>
      </x:c>
      <x:c r="Y2374" s="93" t="n">
        <x:f>W2374-X2374</x:f>
        <x:v>124.10000000000002</x:v>
      </x:c>
      <x:c r="Z2374" s="94" t="n">
        <x:f>IFERROR(Y2374/W2374,0)</x:f>
        <x:v>0.3455861876914509</x:v>
      </x:c>
      <x:c r="AA2374" s="84" t="str">
        <x:f>PROPER(TRIM('Raw Sales'!M2374))</x:f>
        <x:v>Credit Card</x:v>
      </x:c>
      <x:c r="AB2374" s="84" t="str">
        <x:f>PROPER(TRIM('Raw Sales'!N2374))</x:f>
        <x:v>Nora Kim</x:v>
      </x:c>
      <x:c r="AC2374" s="85" t="n">
        <x:f>'Raw Sales'!O2374</x:f>
        <x:v>46013</x:v>
      </x:c>
      <x:c r="AD2374" s="84" t="n">
        <x:f>AC2374-B2374</x:f>
        <x:v>2</x:v>
      </x:c>
      <x:c r="AE2374" s="84" t="str">
        <x:f>IF(COUNTIF($A$5:A2374,A2374)&gt;1,"Duplicate","Keep")</x:f>
        <x:v>Keep</x:v>
      </x:c>
      <x:c r="AF2374" s="84" t="str">
        <x:f>IF(OR(R2374&lt;=0,AC2374&lt;B2374,H2374="Unknown",M2374="Unknown Product"),"Review","Valid")</x:f>
        <x:v>Valid</x:v>
      </x:c>
      <x:c r="AG2374" s="84" t="n">
        <x:f>IF(AND(AE2374="Keep",AF2374="Valid"),1,0)</x:f>
        <x:v>1</x:v>
      </x:c>
      <x:c r="AH2374" s="84" t="n">
        <x:f>IF(AND(AG2374=1,OR('Dashboard'!$B$4="All",I2374='Dashboard'!$B$4),OR('Dashboard'!$E$4="All",N2374='Dashboard'!$E$4),OR('Dashboard'!$H$4="All",K2374='Dashboard'!$H$4),OR('Dashboard'!$K$4="All",C2374='Dashboard'!$K$4)),1,0)</x:f>
        <x:v>1</x:v>
      </x:c>
      <x:c r="AI2374" s="84" t="n">
        <x:f>IF(AND(AG2374=1,OR('Dashboard'!$B$4="All",I2374='Dashboard'!$B$4),OR('Dashboard'!$E$4="All",N2374='Dashboard'!$E$4),OR('Dashboard'!$H$4="All",K2374='Dashboard'!$H$4)),1,0)</x:f>
        <x:v>1</x:v>
      </x:c>
    </x:row>
    <x:row r="2375">
      <x:c r="A2375" s="84" t="str">
        <x:f>'Raw Sales'!A2375</x:f>
        <x:v>ORD-2025-01146</x:v>
      </x:c>
      <x:c r="B2375" s="85" t="n">
        <x:f>'Raw Sales'!B2375</x:f>
        <x:v>46012</x:v>
      </x:c>
      <x:c r="C2375" s="84" t="n">
        <x:f>YEAR(B2375)</x:f>
        <x:v>2025</x:v>
      </x:c>
      <x:c r="D2375" s="91" t="n">
        <x:f>DATE(YEAR(B2375),MONTH(B2375),1)</x:f>
        <x:v>45992</x:v>
      </x:c>
      <x:c r="E2375" s="84" t="str">
        <x:f>TEXT(B2375,"mmm")</x:f>
        <x:v>Dec</x:v>
      </x:c>
      <x:c r="F2375" s="84" t="str">
        <x:f>'Raw Sales'!C2375</x:f>
        <x:v>CUST-0618</x:v>
      </x:c>
      <x:c r="G2375" s="84" t="str">
        <x:f>PROPER(TRIM('Raw Sales'!D2375))</x:f>
        <x:v>Layla Nelson</x:v>
      </x:c>
      <x:c r="H2375" s="84" t="str">
        <x:f>IF(TRIM('Raw Sales'!E2375)="","Unknown",PROPER(TRIM('Raw Sales'!E2375)))</x:f>
        <x:v>Consumer</x:v>
      </x:c>
      <x:c r="I2375" s="84" t="str">
        <x:f>PROPER(TRIM('Raw Sales'!F2375))</x:f>
        <x:v>Northeast</x:v>
      </x:c>
      <x:c r="J2375" s="84" t="str">
        <x:f>PROPER(TRIM('Raw Sales'!G2375))</x:f>
        <x:v>Philadelphia</x:v>
      </x:c>
      <x:c r="K2375" s="84" t="str">
        <x:f>PROPER(TRIM('Raw Sales'!H2375))</x:f>
        <x:v>Online</x:v>
      </x:c>
      <x:c r="L2375" s="84" t="str">
        <x:f>'Raw Sales'!I2375</x:f>
        <x:v>FITN-004</x:v>
      </x:c>
      <x:c r="M2375" s="84" t="str">
        <x:f>IFERROR(VLOOKUP(L2375,'Reference Data'!$A$5:$F$40,2,FALSE),"Unknown Product")</x:f>
        <x:v>Fitness Tracker</x:v>
      </x:c>
      <x:c r="N2375" s="84" t="str">
        <x:f>IFERROR(VLOOKUP(L2375,'Reference Data'!$A$5:$F$40,3,FALSE),"Unknown")</x:f>
        <x:v>Fitness</x:v>
      </x:c>
      <x:c r="O2375" s="84" t="str">
        <x:f>IFERROR(VLOOKUP(L2375,'Reference Data'!$A$5:$F$40,4,FALSE),"Unknown")</x:f>
        <x:v>Wearables</x:v>
      </x:c>
      <x:c r="P2375" s="92" t="n">
        <x:f>IFERROR(VLOOKUP(L2375,'Reference Data'!$A$5:$F$40,5,FALSE),0)</x:f>
        <x:v>89</x:v>
      </x:c>
      <x:c r="Q2375" s="92" t="n">
        <x:f>IFERROR(VLOOKUP(L2375,'Reference Data'!$A$5:$F$40,6,FALSE),0)</x:f>
        <x:v>44</x:v>
      </x:c>
      <x:c r="R2375" s="84" t="n">
        <x:f>'Raw Sales'!J2375</x:f>
        <x:v>2</x:v>
      </x:c>
      <x:c r="S2375" s="87" t="n">
        <x:f>'Raw Sales'!K2375</x:f>
        <x:v>0</x:v>
      </x:c>
      <x:c r="T2375" s="93" t="n">
        <x:f>P2375*R2375</x:f>
        <x:v>178</x:v>
      </x:c>
      <x:c r="U2375" s="93" t="n">
        <x:f>T2375*S2375</x:f>
        <x:v>0</x:v>
      </x:c>
      <x:c r="V2375" s="93" t="str">
        <x:f>PROPER(TRIM('Raw Sales'!L2375))</x:f>
        <x:v>Completed</x:v>
      </x:c>
      <x:c r="W2375" s="93" t="n">
        <x:f>IF(V2375="Returned",0,T2375-U2375)</x:f>
        <x:v>178</x:v>
      </x:c>
      <x:c r="X2375" s="93" t="n">
        <x:f>IF(V2375="Returned",Q2375*R2375*10%,Q2375*R2375)</x:f>
        <x:v>88</x:v>
      </x:c>
      <x:c r="Y2375" s="93" t="n">
        <x:f>W2375-X2375</x:f>
        <x:v>90</x:v>
      </x:c>
      <x:c r="Z2375" s="94" t="n">
        <x:f>IFERROR(Y2375/W2375,0)</x:f>
        <x:v>0.5056179775280899</x:v>
      </x:c>
      <x:c r="AA2375" s="84" t="str">
        <x:f>PROPER(TRIM('Raw Sales'!M2375))</x:f>
        <x:v>Credit Card</x:v>
      </x:c>
      <x:c r="AB2375" s="84" t="str">
        <x:f>PROPER(TRIM('Raw Sales'!N2375))</x:f>
        <x:v>Ethan Cole</x:v>
      </x:c>
      <x:c r="AC2375" s="85" t="n">
        <x:f>'Raw Sales'!O2375</x:f>
        <x:v>46015</x:v>
      </x:c>
      <x:c r="AD2375" s="84" t="n">
        <x:f>AC2375-B2375</x:f>
        <x:v>3</x:v>
      </x:c>
      <x:c r="AE2375" s="84" t="str">
        <x:f>IF(COUNTIF($A$5:A2375,A2375)&gt;1,"Duplicate","Keep")</x:f>
        <x:v>Keep</x:v>
      </x:c>
      <x:c r="AF2375" s="84" t="str">
        <x:f>IF(OR(R2375&lt;=0,AC2375&lt;B2375,H2375="Unknown",M2375="Unknown Product"),"Review","Valid")</x:f>
        <x:v>Valid</x:v>
      </x:c>
      <x:c r="AG2375" s="84" t="n">
        <x:f>IF(AND(AE2375="Keep",AF2375="Valid"),1,0)</x:f>
        <x:v>1</x:v>
      </x:c>
      <x:c r="AH2375" s="84" t="n">
        <x:f>IF(AND(AG2375=1,OR('Dashboard'!$B$4="All",I2375='Dashboard'!$B$4),OR('Dashboard'!$E$4="All",N2375='Dashboard'!$E$4),OR('Dashboard'!$H$4="All",K2375='Dashboard'!$H$4),OR('Dashboard'!$K$4="All",C2375='Dashboard'!$K$4)),1,0)</x:f>
        <x:v>1</x:v>
      </x:c>
      <x:c r="AI2375" s="84" t="n">
        <x:f>IF(AND(AG2375=1,OR('Dashboard'!$B$4="All",I2375='Dashboard'!$B$4),OR('Dashboard'!$E$4="All",N2375='Dashboard'!$E$4),OR('Dashboard'!$H$4="All",K2375='Dashboard'!$H$4)),1,0)</x:f>
        <x:v>1</x:v>
      </x:c>
    </x:row>
    <x:row r="2376">
      <x:c r="A2376" s="84" t="str">
        <x:f>'Raw Sales'!A2376</x:f>
        <x:v>ORD-2025-01182</x:v>
      </x:c>
      <x:c r="B2376" s="85" t="n">
        <x:f>'Raw Sales'!B2376</x:f>
        <x:v>46012</x:v>
      </x:c>
      <x:c r="C2376" s="84" t="n">
        <x:f>YEAR(B2376)</x:f>
        <x:v>2025</x:v>
      </x:c>
      <x:c r="D2376" s="91" t="n">
        <x:f>DATE(YEAR(B2376),MONTH(B2376),1)</x:f>
        <x:v>45992</x:v>
      </x:c>
      <x:c r="E2376" s="84" t="str">
        <x:f>TEXT(B2376,"mmm")</x:f>
        <x:v>Dec</x:v>
      </x:c>
      <x:c r="F2376" s="84" t="str">
        <x:f>'Raw Sales'!C2376</x:f>
        <x:v>CUST-0075</x:v>
      </x:c>
      <x:c r="G2376" s="84" t="str">
        <x:f>PROPER(TRIM('Raw Sales'!D2376))</x:f>
        <x:v>Theo Walker</x:v>
      </x:c>
      <x:c r="H2376" s="84" t="str">
        <x:f>IF(TRIM('Raw Sales'!E2376)="","Unknown",PROPER(TRIM('Raw Sales'!E2376)))</x:f>
        <x:v>Consumer</x:v>
      </x:c>
      <x:c r="I2376" s="84" t="str">
        <x:f>PROPER(TRIM('Raw Sales'!F2376))</x:f>
        <x:v>Northeast</x:v>
      </x:c>
      <x:c r="J2376" s="84" t="str">
        <x:f>PROPER(TRIM('Raw Sales'!G2376))</x:f>
        <x:v>Philadelphia</x:v>
      </x:c>
      <x:c r="K2376" s="84" t="str">
        <x:f>PROPER(TRIM('Raw Sales'!H2376))</x:f>
        <x:v>Retail Store</x:v>
      </x:c>
      <x:c r="L2376" s="84" t="str">
        <x:f>'Raw Sales'!I2376</x:f>
        <x:v>HOME-005</x:v>
      </x:c>
      <x:c r="M2376" s="84" t="str">
        <x:f>IFERROR(VLOOKUP(L2376,'Reference Data'!$A$5:$F$40,2,FALSE),"Unknown Product")</x:f>
        <x:v>Cordless Vacuum</x:v>
      </x:c>
      <x:c r="N2376" s="84" t="str">
        <x:f>IFERROR(VLOOKUP(L2376,'Reference Data'!$A$5:$F$40,3,FALSE),"Unknown")</x:f>
        <x:v>Home &amp; Kitchen</x:v>
      </x:c>
      <x:c r="O2376" s="84" t="str">
        <x:f>IFERROR(VLOOKUP(L2376,'Reference Data'!$A$5:$F$40,4,FALSE),"Unknown")</x:f>
        <x:v>Cleaning</x:v>
      </x:c>
      <x:c r="P2376" s="92" t="n">
        <x:f>IFERROR(VLOOKUP(L2376,'Reference Data'!$A$5:$F$40,5,FALSE),0)</x:f>
        <x:v>179</x:v>
      </x:c>
      <x:c r="Q2376" s="92" t="n">
        <x:f>IFERROR(VLOOKUP(L2376,'Reference Data'!$A$5:$F$40,6,FALSE),0)</x:f>
        <x:v>102</x:v>
      </x:c>
      <x:c r="R2376" s="84" t="n">
        <x:f>'Raw Sales'!J2376</x:f>
        <x:v>2</x:v>
      </x:c>
      <x:c r="S2376" s="87" t="n">
        <x:f>'Raw Sales'!K2376</x:f>
        <x:v>0.1</x:v>
      </x:c>
      <x:c r="T2376" s="93" t="n">
        <x:f>P2376*R2376</x:f>
        <x:v>358</x:v>
      </x:c>
      <x:c r="U2376" s="93" t="n">
        <x:f>T2376*S2376</x:f>
        <x:v>35.800000000000004</x:v>
      </x:c>
      <x:c r="V2376" s="93" t="str">
        <x:f>PROPER(TRIM('Raw Sales'!L2376))</x:f>
        <x:v>Completed</x:v>
      </x:c>
      <x:c r="W2376" s="93" t="n">
        <x:f>IF(V2376="Returned",0,T2376-U2376)</x:f>
        <x:v>322.2</x:v>
      </x:c>
      <x:c r="X2376" s="93" t="n">
        <x:f>IF(V2376="Returned",Q2376*R2376*10%,Q2376*R2376)</x:f>
        <x:v>204</x:v>
      </x:c>
      <x:c r="Y2376" s="93" t="n">
        <x:f>W2376-X2376</x:f>
        <x:v>118.19999999999999</x:v>
      </x:c>
      <x:c r="Z2376" s="94" t="n">
        <x:f>IFERROR(Y2376/W2376,0)</x:f>
        <x:v>0.36685288640595903</x:v>
      </x:c>
      <x:c r="AA2376" s="84" t="str">
        <x:f>PROPER(TRIM('Raw Sales'!M2376))</x:f>
        <x:v>Credit Card</x:v>
      </x:c>
      <x:c r="AB2376" s="84" t="str">
        <x:f>PROPER(TRIM('Raw Sales'!N2376))</x:f>
        <x:v>Ethan Cole</x:v>
      </x:c>
      <x:c r="AC2376" s="85" t="n">
        <x:f>'Raw Sales'!O2376</x:f>
        <x:v>46012</x:v>
      </x:c>
      <x:c r="AD2376" s="84" t="n">
        <x:f>AC2376-B2376</x:f>
        <x:v>0</x:v>
      </x:c>
      <x:c r="AE2376" s="84" t="str">
        <x:f>IF(COUNTIF($A$5:A2376,A2376)&gt;1,"Duplicate","Keep")</x:f>
        <x:v>Keep</x:v>
      </x:c>
      <x:c r="AF2376" s="84" t="str">
        <x:f>IF(OR(R2376&lt;=0,AC2376&lt;B2376,H2376="Unknown",M2376="Unknown Product"),"Review","Valid")</x:f>
        <x:v>Valid</x:v>
      </x:c>
      <x:c r="AG2376" s="84" t="n">
        <x:f>IF(AND(AE2376="Keep",AF2376="Valid"),1,0)</x:f>
        <x:v>1</x:v>
      </x:c>
      <x:c r="AH2376" s="84" t="n">
        <x:f>IF(AND(AG2376=1,OR('Dashboard'!$B$4="All",I2376='Dashboard'!$B$4),OR('Dashboard'!$E$4="All",N2376='Dashboard'!$E$4),OR('Dashboard'!$H$4="All",K2376='Dashboard'!$H$4),OR('Dashboard'!$K$4="All",C2376='Dashboard'!$K$4)),1,0)</x:f>
        <x:v>1</x:v>
      </x:c>
      <x:c r="AI2376" s="84" t="n">
        <x:f>IF(AND(AG2376=1,OR('Dashboard'!$B$4="All",I2376='Dashboard'!$B$4),OR('Dashboard'!$E$4="All",N2376='Dashboard'!$E$4),OR('Dashboard'!$H$4="All",K2376='Dashboard'!$H$4)),1,0)</x:f>
        <x:v>1</x:v>
      </x:c>
    </x:row>
    <x:row r="2377">
      <x:c r="A2377" s="84" t="str">
        <x:f>'Raw Sales'!A2377</x:f>
        <x:v>ORD-2025-01356</x:v>
      </x:c>
      <x:c r="B2377" s="85" t="n">
        <x:f>'Raw Sales'!B2377</x:f>
        <x:v>46012</x:v>
      </x:c>
      <x:c r="C2377" s="84" t="n">
        <x:f>YEAR(B2377)</x:f>
        <x:v>2025</x:v>
      </x:c>
      <x:c r="D2377" s="91" t="n">
        <x:f>DATE(YEAR(B2377),MONTH(B2377),1)</x:f>
        <x:v>45992</x:v>
      </x:c>
      <x:c r="E2377" s="84" t="str">
        <x:f>TEXT(B2377,"mmm")</x:f>
        <x:v>Dec</x:v>
      </x:c>
      <x:c r="F2377" s="84" t="str">
        <x:f>'Raw Sales'!C2377</x:f>
        <x:v>CUST-0585</x:v>
      </x:c>
      <x:c r="G2377" s="84" t="str">
        <x:f>PROPER(TRIM('Raw Sales'!D2377))</x:f>
        <x:v>Isaac Patel</x:v>
      </x:c>
      <x:c r="H2377" s="84" t="str">
        <x:f>IF(TRIM('Raw Sales'!E2377)="","Unknown",PROPER(TRIM('Raw Sales'!E2377)))</x:f>
        <x:v>Consumer</x:v>
      </x:c>
      <x:c r="I2377" s="84" t="str">
        <x:f>PROPER(TRIM('Raw Sales'!F2377))</x:f>
        <x:v>Northeast</x:v>
      </x:c>
      <x:c r="J2377" s="84" t="str">
        <x:f>PROPER(TRIM('Raw Sales'!G2377))</x:f>
        <x:v>New York</x:v>
      </x:c>
      <x:c r="K2377" s="84" t="str">
        <x:f>PROPER(TRIM('Raw Sales'!H2377))</x:f>
        <x:v>Online</x:v>
      </x:c>
      <x:c r="L2377" s="84" t="str">
        <x:f>'Raw Sales'!I2377</x:f>
        <x:v>ELEC-004</x:v>
      </x:c>
      <x:c r="M2377" s="84" t="str">
        <x:f>IFERROR(VLOOKUP(L2377,'Reference Data'!$A$5:$F$40,2,FALSE),"Unknown Product")</x:f>
        <x:v>Power Bank</x:v>
      </x:c>
      <x:c r="N2377" s="84" t="str">
        <x:f>IFERROR(VLOOKUP(L2377,'Reference Data'!$A$5:$F$40,3,FALSE),"Unknown")</x:f>
        <x:v>Electronics</x:v>
      </x:c>
      <x:c r="O2377" s="84" t="str">
        <x:f>IFERROR(VLOOKUP(L2377,'Reference Data'!$A$5:$F$40,4,FALSE),"Unknown")</x:f>
        <x:v>Mobile Accessories</x:v>
      </x:c>
      <x:c r="P2377" s="92" t="n">
        <x:f>IFERROR(VLOOKUP(L2377,'Reference Data'!$A$5:$F$40,5,FALSE),0)</x:f>
        <x:v>39</x:v>
      </x:c>
      <x:c r="Q2377" s="92" t="n">
        <x:f>IFERROR(VLOOKUP(L2377,'Reference Data'!$A$5:$F$40,6,FALSE),0)</x:f>
        <x:v>18</x:v>
      </x:c>
      <x:c r="R2377" s="84" t="n">
        <x:f>'Raw Sales'!J2377</x:f>
        <x:v>2</x:v>
      </x:c>
      <x:c r="S2377" s="87" t="n">
        <x:f>'Raw Sales'!K2377</x:f>
        <x:v>0.05</x:v>
      </x:c>
      <x:c r="T2377" s="93" t="n">
        <x:f>P2377*R2377</x:f>
        <x:v>78</x:v>
      </x:c>
      <x:c r="U2377" s="93" t="n">
        <x:f>T2377*S2377</x:f>
        <x:v>3.9000000000000004</x:v>
      </x:c>
      <x:c r="V2377" s="93" t="str">
        <x:f>PROPER(TRIM('Raw Sales'!L2377))</x:f>
        <x:v>Completed</x:v>
      </x:c>
      <x:c r="W2377" s="93" t="n">
        <x:f>IF(V2377="Returned",0,T2377-U2377)</x:f>
        <x:v>74.1</x:v>
      </x:c>
      <x:c r="X2377" s="93" t="n">
        <x:f>IF(V2377="Returned",Q2377*R2377*10%,Q2377*R2377)</x:f>
        <x:v>36</x:v>
      </x:c>
      <x:c r="Y2377" s="93" t="n">
        <x:f>W2377-X2377</x:f>
        <x:v>38.099999999999994</x:v>
      </x:c>
      <x:c r="Z2377" s="94" t="n">
        <x:f>IFERROR(Y2377/W2377,0)</x:f>
        <x:v>0.5141700404858299</x:v>
      </x:c>
      <x:c r="AA2377" s="84" t="str">
        <x:f>PROPER(TRIM('Raw Sales'!M2377))</x:f>
        <x:v>Credit Card</x:v>
      </x:c>
      <x:c r="AB2377" s="84" t="str">
        <x:f>PROPER(TRIM('Raw Sales'!N2377))</x:f>
        <x:v>Maya Brooks</x:v>
      </x:c>
      <x:c r="AC2377" s="85" t="n">
        <x:f>'Raw Sales'!O2377</x:f>
        <x:v>46015</x:v>
      </x:c>
      <x:c r="AD2377" s="84" t="n">
        <x:f>AC2377-B2377</x:f>
        <x:v>3</x:v>
      </x:c>
      <x:c r="AE2377" s="84" t="str">
        <x:f>IF(COUNTIF($A$5:A2377,A2377)&gt;1,"Duplicate","Keep")</x:f>
        <x:v>Keep</x:v>
      </x:c>
      <x:c r="AF2377" s="84" t="str">
        <x:f>IF(OR(R2377&lt;=0,AC2377&lt;B2377,H2377="Unknown",M2377="Unknown Product"),"Review","Valid")</x:f>
        <x:v>Valid</x:v>
      </x:c>
      <x:c r="AG2377" s="84" t="n">
        <x:f>IF(AND(AE2377="Keep",AF2377="Valid"),1,0)</x:f>
        <x:v>1</x:v>
      </x:c>
      <x:c r="AH2377" s="84" t="n">
        <x:f>IF(AND(AG2377=1,OR('Dashboard'!$B$4="All",I2377='Dashboard'!$B$4),OR('Dashboard'!$E$4="All",N2377='Dashboard'!$E$4),OR('Dashboard'!$H$4="All",K2377='Dashboard'!$H$4),OR('Dashboard'!$K$4="All",C2377='Dashboard'!$K$4)),1,0)</x:f>
        <x:v>1</x:v>
      </x:c>
      <x:c r="AI2377" s="84" t="n">
        <x:f>IF(AND(AG2377=1,OR('Dashboard'!$B$4="All",I2377='Dashboard'!$B$4),OR('Dashboard'!$E$4="All",N2377='Dashboard'!$E$4),OR('Dashboard'!$H$4="All",K2377='Dashboard'!$H$4)),1,0)</x:f>
        <x:v>1</x:v>
      </x:c>
    </x:row>
    <x:row r="2378">
      <x:c r="A2378" s="84" t="str">
        <x:f>'Raw Sales'!A2378</x:f>
        <x:v>ORD-2025-01731</x:v>
      </x:c>
      <x:c r="B2378" s="85" t="n">
        <x:f>'Raw Sales'!B2378</x:f>
        <x:v>46012</x:v>
      </x:c>
      <x:c r="C2378" s="84" t="n">
        <x:f>YEAR(B2378)</x:f>
        <x:v>2025</x:v>
      </x:c>
      <x:c r="D2378" s="91" t="n">
        <x:f>DATE(YEAR(B2378),MONTH(B2378),1)</x:f>
        <x:v>45992</x:v>
      </x:c>
      <x:c r="E2378" s="84" t="str">
        <x:f>TEXT(B2378,"mmm")</x:f>
        <x:v>Dec</x:v>
      </x:c>
      <x:c r="F2378" s="84" t="str">
        <x:f>'Raw Sales'!C2378</x:f>
        <x:v>CUST-0062</x:v>
      </x:c>
      <x:c r="G2378" s="84" t="str">
        <x:f>PROPER(TRIM('Raw Sales'!D2378))</x:f>
        <x:v>Caleb Davis</x:v>
      </x:c>
      <x:c r="H2378" s="84" t="str">
        <x:f>IF(TRIM('Raw Sales'!E2378)="","Unknown",PROPER(TRIM('Raw Sales'!E2378)))</x:f>
        <x:v>Consumer</x:v>
      </x:c>
      <x:c r="I2378" s="84" t="str">
        <x:f>PROPER(TRIM('Raw Sales'!F2378))</x:f>
        <x:v>Northeast</x:v>
      </x:c>
      <x:c r="J2378" s="84" t="str">
        <x:f>PROPER(TRIM('Raw Sales'!G2378))</x:f>
        <x:v>New York</x:v>
      </x:c>
      <x:c r="K2378" s="84" t="str">
        <x:f>PROPER(TRIM('Raw Sales'!H2378))</x:f>
        <x:v>Retail Store</x:v>
      </x:c>
      <x:c r="L2378" s="84" t="str">
        <x:f>'Raw Sales'!I2378</x:f>
        <x:v>HOME-001</x:v>
      </x:c>
      <x:c r="M2378" s="84" t="str">
        <x:f>IFERROR(VLOOKUP(L2378,'Reference Data'!$A$5:$F$40,2,FALSE),"Unknown Product")</x:f>
        <x:v>Air Fryer</x:v>
      </x:c>
      <x:c r="N2378" s="84" t="str">
        <x:f>IFERROR(VLOOKUP(L2378,'Reference Data'!$A$5:$F$40,3,FALSE),"Unknown")</x:f>
        <x:v>Home &amp; Kitchen</x:v>
      </x:c>
      <x:c r="O2378" s="84" t="str">
        <x:f>IFERROR(VLOOKUP(L2378,'Reference Data'!$A$5:$F$40,4,FALSE),"Unknown")</x:f>
        <x:v>Small Appliances</x:v>
      </x:c>
      <x:c r="P2378" s="92" t="n">
        <x:f>IFERROR(VLOOKUP(L2378,'Reference Data'!$A$5:$F$40,5,FALSE),0)</x:f>
        <x:v>119</x:v>
      </x:c>
      <x:c r="Q2378" s="92" t="n">
        <x:f>IFERROR(VLOOKUP(L2378,'Reference Data'!$A$5:$F$40,6,FALSE),0)</x:f>
        <x:v>68</x:v>
      </x:c>
      <x:c r="R2378" s="84" t="n">
        <x:f>'Raw Sales'!J2378</x:f>
        <x:v>1</x:v>
      </x:c>
      <x:c r="S2378" s="87" t="n">
        <x:f>'Raw Sales'!K2378</x:f>
        <x:v>0</x:v>
      </x:c>
      <x:c r="T2378" s="93" t="n">
        <x:f>P2378*R2378</x:f>
        <x:v>119</x:v>
      </x:c>
      <x:c r="U2378" s="93" t="n">
        <x:f>T2378*S2378</x:f>
        <x:v>0</x:v>
      </x:c>
      <x:c r="V2378" s="93" t="str">
        <x:f>PROPER(TRIM('Raw Sales'!L2378))</x:f>
        <x:v>Completed</x:v>
      </x:c>
      <x:c r="W2378" s="93" t="n">
        <x:f>IF(V2378="Returned",0,T2378-U2378)</x:f>
        <x:v>119</x:v>
      </x:c>
      <x:c r="X2378" s="93" t="n">
        <x:f>IF(V2378="Returned",Q2378*R2378*10%,Q2378*R2378)</x:f>
        <x:v>68</x:v>
      </x:c>
      <x:c r="Y2378" s="93" t="n">
        <x:f>W2378-X2378</x:f>
        <x:v>51</x:v>
      </x:c>
      <x:c r="Z2378" s="94" t="n">
        <x:f>IFERROR(Y2378/W2378,0)</x:f>
        <x:v>0.42857142857142855</x:v>
      </x:c>
      <x:c r="AA2378" s="84" t="str">
        <x:f>PROPER(TRIM('Raw Sales'!M2378))</x:f>
        <x:v>Credit Card</x:v>
      </x:c>
      <x:c r="AB2378" s="84" t="str">
        <x:f>PROPER(TRIM('Raw Sales'!N2378))</x:f>
        <x:v>Sofia Bennett</x:v>
      </x:c>
      <x:c r="AC2378" s="85" t="n">
        <x:f>'Raw Sales'!O2378</x:f>
        <x:v>46012</x:v>
      </x:c>
      <x:c r="AD2378" s="84" t="n">
        <x:f>AC2378-B2378</x:f>
        <x:v>0</x:v>
      </x:c>
      <x:c r="AE2378" s="84" t="str">
        <x:f>IF(COUNTIF($A$5:A2378,A2378)&gt;1,"Duplicate","Keep")</x:f>
        <x:v>Keep</x:v>
      </x:c>
      <x:c r="AF2378" s="84" t="str">
        <x:f>IF(OR(R2378&lt;=0,AC2378&lt;B2378,H2378="Unknown",M2378="Unknown Product"),"Review","Valid")</x:f>
        <x:v>Valid</x:v>
      </x:c>
      <x:c r="AG2378" s="84" t="n">
        <x:f>IF(AND(AE2378="Keep",AF2378="Valid"),1,0)</x:f>
        <x:v>1</x:v>
      </x:c>
      <x:c r="AH2378" s="84" t="n">
        <x:f>IF(AND(AG2378=1,OR('Dashboard'!$B$4="All",I2378='Dashboard'!$B$4),OR('Dashboard'!$E$4="All",N2378='Dashboard'!$E$4),OR('Dashboard'!$H$4="All",K2378='Dashboard'!$H$4),OR('Dashboard'!$K$4="All",C2378='Dashboard'!$K$4)),1,0)</x:f>
        <x:v>1</x:v>
      </x:c>
      <x:c r="AI2378" s="84" t="n">
        <x:f>IF(AND(AG2378=1,OR('Dashboard'!$B$4="All",I2378='Dashboard'!$B$4),OR('Dashboard'!$E$4="All",N2378='Dashboard'!$E$4),OR('Dashboard'!$H$4="All",K2378='Dashboard'!$H$4)),1,0)</x:f>
        <x:v>1</x:v>
      </x:c>
    </x:row>
    <x:row r="2379">
      <x:c r="A2379" s="84" t="str">
        <x:f>'Raw Sales'!A2379</x:f>
        <x:v>ORD-2025-02147</x:v>
      </x:c>
      <x:c r="B2379" s="85" t="n">
        <x:f>'Raw Sales'!B2379</x:f>
        <x:v>46012</x:v>
      </x:c>
      <x:c r="C2379" s="84" t="n">
        <x:f>YEAR(B2379)</x:f>
        <x:v>2025</x:v>
      </x:c>
      <x:c r="D2379" s="91" t="n">
        <x:f>DATE(YEAR(B2379),MONTH(B2379),1)</x:f>
        <x:v>45992</x:v>
      </x:c>
      <x:c r="E2379" s="84" t="str">
        <x:f>TEXT(B2379,"mmm")</x:f>
        <x:v>Dec</x:v>
      </x:c>
      <x:c r="F2379" s="84" t="str">
        <x:f>'Raw Sales'!C2379</x:f>
        <x:v>CUST-0336</x:v>
      </x:c>
      <x:c r="G2379" s="84" t="str">
        <x:f>PROPER(TRIM('Raw Sales'!D2379))</x:f>
        <x:v>Jonah Garcia</x:v>
      </x:c>
      <x:c r="H2379" s="84" t="str">
        <x:f>IF(TRIM('Raw Sales'!E2379)="","Unknown",PROPER(TRIM('Raw Sales'!E2379)))</x:f>
        <x:v>Consumer</x:v>
      </x:c>
      <x:c r="I2379" s="84" t="str">
        <x:f>PROPER(TRIM('Raw Sales'!F2379))</x:f>
        <x:v>West</x:v>
      </x:c>
      <x:c r="J2379" s="84" t="str">
        <x:f>PROPER(TRIM('Raw Sales'!G2379))</x:f>
        <x:v>Phoenix</x:v>
      </x:c>
      <x:c r="K2379" s="84" t="str">
        <x:f>PROPER(TRIM('Raw Sales'!H2379))</x:f>
        <x:v>Online</x:v>
      </x:c>
      <x:c r="L2379" s="84" t="str">
        <x:f>'Raw Sales'!I2379</x:f>
        <x:v>ELEC-001</x:v>
      </x:c>
      <x:c r="M2379" s="84" t="str">
        <x:f>IFERROR(VLOOKUP(L2379,'Reference Data'!$A$5:$F$40,2,FALSE),"Unknown Product")</x:f>
        <x:v>Wireless Earbuds</x:v>
      </x:c>
      <x:c r="N2379" s="84" t="str">
        <x:f>IFERROR(VLOOKUP(L2379,'Reference Data'!$A$5:$F$40,3,FALSE),"Unknown")</x:f>
        <x:v>Electronics</x:v>
      </x:c>
      <x:c r="O2379" s="84" t="str">
        <x:f>IFERROR(VLOOKUP(L2379,'Reference Data'!$A$5:$F$40,4,FALSE),"Unknown")</x:f>
        <x:v>Audio</x:v>
      </x:c>
      <x:c r="P2379" s="92" t="n">
        <x:f>IFERROR(VLOOKUP(L2379,'Reference Data'!$A$5:$F$40,5,FALSE),0)</x:f>
        <x:v>69</x:v>
      </x:c>
      <x:c r="Q2379" s="92" t="n">
        <x:f>IFERROR(VLOOKUP(L2379,'Reference Data'!$A$5:$F$40,6,FALSE),0)</x:f>
        <x:v>36</x:v>
      </x:c>
      <x:c r="R2379" s="84" t="n">
        <x:f>'Raw Sales'!J2379</x:f>
        <x:v>1</x:v>
      </x:c>
      <x:c r="S2379" s="87" t="n">
        <x:f>'Raw Sales'!K2379</x:f>
        <x:v>0.15</x:v>
      </x:c>
      <x:c r="T2379" s="93" t="n">
        <x:f>P2379*R2379</x:f>
        <x:v>69</x:v>
      </x:c>
      <x:c r="U2379" s="93" t="n">
        <x:f>T2379*S2379</x:f>
        <x:v>10.35</x:v>
      </x:c>
      <x:c r="V2379" s="93" t="str">
        <x:f>PROPER(TRIM('Raw Sales'!L2379))</x:f>
        <x:v>Completed</x:v>
      </x:c>
      <x:c r="W2379" s="93" t="n">
        <x:f>IF(V2379="Returned",0,T2379-U2379)</x:f>
        <x:v>58.65</x:v>
      </x:c>
      <x:c r="X2379" s="93" t="n">
        <x:f>IF(V2379="Returned",Q2379*R2379*10%,Q2379*R2379)</x:f>
        <x:v>36</x:v>
      </x:c>
      <x:c r="Y2379" s="93" t="n">
        <x:f>W2379-X2379</x:f>
        <x:v>22.65</x:v>
      </x:c>
      <x:c r="Z2379" s="94" t="n">
        <x:f>IFERROR(Y2379/W2379,0)</x:f>
        <x:v>0.38618925831202044</x:v>
      </x:c>
      <x:c r="AA2379" s="84" t="str">
        <x:f>PROPER(TRIM('Raw Sales'!M2379))</x:f>
        <x:v>Credit Card</x:v>
      </x:c>
      <x:c r="AB2379" s="84" t="str">
        <x:f>PROPER(TRIM('Raw Sales'!N2379))</x:f>
        <x:v>Nora Kim</x:v>
      </x:c>
      <x:c r="AC2379" s="85" t="n">
        <x:f>'Raw Sales'!O2379</x:f>
        <x:v>46015</x:v>
      </x:c>
      <x:c r="AD2379" s="84" t="n">
        <x:f>AC2379-B2379</x:f>
        <x:v>3</x:v>
      </x:c>
      <x:c r="AE2379" s="84" t="str">
        <x:f>IF(COUNTIF($A$5:A2379,A2379)&gt;1,"Duplicate","Keep")</x:f>
        <x:v>Keep</x:v>
      </x:c>
      <x:c r="AF2379" s="84" t="str">
        <x:f>IF(OR(R2379&lt;=0,AC2379&lt;B2379,H2379="Unknown",M2379="Unknown Product"),"Review","Valid")</x:f>
        <x:v>Valid</x:v>
      </x:c>
      <x:c r="AG2379" s="84" t="n">
        <x:f>IF(AND(AE2379="Keep",AF2379="Valid"),1,0)</x:f>
        <x:v>1</x:v>
      </x:c>
      <x:c r="AH2379" s="84" t="n">
        <x:f>IF(AND(AG2379=1,OR('Dashboard'!$B$4="All",I2379='Dashboard'!$B$4),OR('Dashboard'!$E$4="All",N2379='Dashboard'!$E$4),OR('Dashboard'!$H$4="All",K2379='Dashboard'!$H$4),OR('Dashboard'!$K$4="All",C2379='Dashboard'!$K$4)),1,0)</x:f>
        <x:v>1</x:v>
      </x:c>
      <x:c r="AI2379" s="84" t="n">
        <x:f>IF(AND(AG2379=1,OR('Dashboard'!$B$4="All",I2379='Dashboard'!$B$4),OR('Dashboard'!$E$4="All",N2379='Dashboard'!$E$4),OR('Dashboard'!$H$4="All",K2379='Dashboard'!$H$4)),1,0)</x:f>
        <x:v>1</x:v>
      </x:c>
    </x:row>
    <x:row r="2380">
      <x:c r="A2380" s="84" t="str">
        <x:f>'Raw Sales'!A2380</x:f>
        <x:v>ORD-2025-00137</x:v>
      </x:c>
      <x:c r="B2380" s="85" t="n">
        <x:f>'Raw Sales'!B2380</x:f>
        <x:v>46013</x:v>
      </x:c>
      <x:c r="C2380" s="84" t="n">
        <x:f>YEAR(B2380)</x:f>
        <x:v>2025</x:v>
      </x:c>
      <x:c r="D2380" s="91" t="n">
        <x:f>DATE(YEAR(B2380),MONTH(B2380),1)</x:f>
        <x:v>45992</x:v>
      </x:c>
      <x:c r="E2380" s="84" t="str">
        <x:f>TEXT(B2380,"mmm")</x:f>
        <x:v>Dec</x:v>
      </x:c>
      <x:c r="F2380" s="84" t="str">
        <x:f>'Raw Sales'!C2380</x:f>
        <x:v>CUST-0111</x:v>
      </x:c>
      <x:c r="G2380" s="84" t="str">
        <x:f>PROPER(TRIM('Raw Sales'!D2380))</x:f>
        <x:v>Elias Evans</x:v>
      </x:c>
      <x:c r="H2380" s="84" t="str">
        <x:f>IF(TRIM('Raw Sales'!E2380)="","Unknown",PROPER(TRIM('Raw Sales'!E2380)))</x:f>
        <x:v>Small Business</x:v>
      </x:c>
      <x:c r="I2380" s="84" t="str">
        <x:f>PROPER(TRIM('Raw Sales'!F2380))</x:f>
        <x:v>Northeast</x:v>
      </x:c>
      <x:c r="J2380" s="84" t="str">
        <x:f>PROPER(TRIM('Raw Sales'!G2380))</x:f>
        <x:v>New York</x:v>
      </x:c>
      <x:c r="K2380" s="84" t="str">
        <x:f>PROPER(TRIM('Raw Sales'!H2380))</x:f>
        <x:v>Marketplace</x:v>
      </x:c>
      <x:c r="L2380" s="84" t="str">
        <x:f>'Raw Sales'!I2380</x:f>
        <x:v>ELEC-003</x:v>
      </x:c>
      <x:c r="M2380" s="84" t="str">
        <x:f>IFERROR(VLOOKUP(L2380,'Reference Data'!$A$5:$F$40,2,FALSE),"Unknown Product")</x:f>
        <x:v>Bluetooth Speaker</x:v>
      </x:c>
      <x:c r="N2380" s="84" t="str">
        <x:f>IFERROR(VLOOKUP(L2380,'Reference Data'!$A$5:$F$40,3,FALSE),"Unknown")</x:f>
        <x:v>Electronics</x:v>
      </x:c>
      <x:c r="O2380" s="84" t="str">
        <x:f>IFERROR(VLOOKUP(L2380,'Reference Data'!$A$5:$F$40,4,FALSE),"Unknown")</x:f>
        <x:v>Audio</x:v>
      </x:c>
      <x:c r="P2380" s="92" t="n">
        <x:f>IFERROR(VLOOKUP(L2380,'Reference Data'!$A$5:$F$40,5,FALSE),0)</x:f>
        <x:v>89</x:v>
      </x:c>
      <x:c r="Q2380" s="92" t="n">
        <x:f>IFERROR(VLOOKUP(L2380,'Reference Data'!$A$5:$F$40,6,FALSE),0)</x:f>
        <x:v>44</x:v>
      </x:c>
      <x:c r="R2380" s="84" t="n">
        <x:f>'Raw Sales'!J2380</x:f>
        <x:v>1</x:v>
      </x:c>
      <x:c r="S2380" s="87" t="n">
        <x:f>'Raw Sales'!K2380</x:f>
        <x:v>0.1</x:v>
      </x:c>
      <x:c r="T2380" s="93" t="n">
        <x:f>P2380*R2380</x:f>
        <x:v>89</x:v>
      </x:c>
      <x:c r="U2380" s="93" t="n">
        <x:f>T2380*S2380</x:f>
        <x:v>8.9</x:v>
      </x:c>
      <x:c r="V2380" s="93" t="str">
        <x:f>PROPER(TRIM('Raw Sales'!L2380))</x:f>
        <x:v>Completed</x:v>
      </x:c>
      <x:c r="W2380" s="93" t="n">
        <x:f>IF(V2380="Returned",0,T2380-U2380)</x:f>
        <x:v>80.1</x:v>
      </x:c>
      <x:c r="X2380" s="93" t="n">
        <x:f>IF(V2380="Returned",Q2380*R2380*10%,Q2380*R2380)</x:f>
        <x:v>44</x:v>
      </x:c>
      <x:c r="Y2380" s="93" t="n">
        <x:f>W2380-X2380</x:f>
        <x:v>36.099999999999994</x:v>
      </x:c>
      <x:c r="Z2380" s="94" t="n">
        <x:f>IFERROR(Y2380/W2380,0)</x:f>
        <x:v>0.4506866416978776</x:v>
      </x:c>
      <x:c r="AA2380" s="84" t="str">
        <x:f>PROPER(TRIM('Raw Sales'!M2380))</x:f>
        <x:v>Paypal</x:v>
      </x:c>
      <x:c r="AB2380" s="84" t="str">
        <x:f>PROPER(TRIM('Raw Sales'!N2380))</x:f>
        <x:v>Maya Brooks</x:v>
      </x:c>
      <x:c r="AC2380" s="85" t="n">
        <x:f>'Raw Sales'!O2380</x:f>
        <x:v>46017</x:v>
      </x:c>
      <x:c r="AD2380" s="84" t="n">
        <x:f>AC2380-B2380</x:f>
        <x:v>4</x:v>
      </x:c>
      <x:c r="AE2380" s="84" t="str">
        <x:f>IF(COUNTIF($A$5:A2380,A2380)&gt;1,"Duplicate","Keep")</x:f>
        <x:v>Keep</x:v>
      </x:c>
      <x:c r="AF2380" s="84" t="str">
        <x:f>IF(OR(R2380&lt;=0,AC2380&lt;B2380,H2380="Unknown",M2380="Unknown Product"),"Review","Valid")</x:f>
        <x:v>Valid</x:v>
      </x:c>
      <x:c r="AG2380" s="84" t="n">
        <x:f>IF(AND(AE2380="Keep",AF2380="Valid"),1,0)</x:f>
        <x:v>1</x:v>
      </x:c>
      <x:c r="AH2380" s="84" t="n">
        <x:f>IF(AND(AG2380=1,OR('Dashboard'!$B$4="All",I2380='Dashboard'!$B$4),OR('Dashboard'!$E$4="All",N2380='Dashboard'!$E$4),OR('Dashboard'!$H$4="All",K2380='Dashboard'!$H$4),OR('Dashboard'!$K$4="All",C2380='Dashboard'!$K$4)),1,0)</x:f>
        <x:v>1</x:v>
      </x:c>
      <x:c r="AI2380" s="84" t="n">
        <x:f>IF(AND(AG2380=1,OR('Dashboard'!$B$4="All",I2380='Dashboard'!$B$4),OR('Dashboard'!$E$4="All",N2380='Dashboard'!$E$4),OR('Dashboard'!$H$4="All",K2380='Dashboard'!$H$4)),1,0)</x:f>
        <x:v>1</x:v>
      </x:c>
    </x:row>
    <x:row r="2381">
      <x:c r="A2381" s="84" t="str">
        <x:f>'Raw Sales'!A2381</x:f>
        <x:v>ORD-2025-00441</x:v>
      </x:c>
      <x:c r="B2381" s="85" t="n">
        <x:f>'Raw Sales'!B2381</x:f>
        <x:v>46013</x:v>
      </x:c>
      <x:c r="C2381" s="84" t="n">
        <x:f>YEAR(B2381)</x:f>
        <x:v>2025</x:v>
      </x:c>
      <x:c r="D2381" s="91" t="n">
        <x:f>DATE(YEAR(B2381),MONTH(B2381),1)</x:f>
        <x:v>45992</x:v>
      </x:c>
      <x:c r="E2381" s="84" t="str">
        <x:f>TEXT(B2381,"mmm")</x:f>
        <x:v>Dec</x:v>
      </x:c>
      <x:c r="F2381" s="84" t="str">
        <x:f>'Raw Sales'!C2381</x:f>
        <x:v>CUST-0548</x:v>
      </x:c>
      <x:c r="G2381" s="84" t="str">
        <x:f>PROPER(TRIM('Raw Sales'!D2381))</x:f>
        <x:v>Maya Foster</x:v>
      </x:c>
      <x:c r="H2381" s="84" t="str">
        <x:f>IF(TRIM('Raw Sales'!E2381)="","Unknown",PROPER(TRIM('Raw Sales'!E2381)))</x:f>
        <x:v>Consumer</x:v>
      </x:c>
      <x:c r="I2381" s="84" t="str">
        <x:f>PROPER(TRIM('Raw Sales'!F2381))</x:f>
        <x:v>Southeast</x:v>
      </x:c>
      <x:c r="J2381" s="84" t="str">
        <x:f>PROPER(TRIM('Raw Sales'!G2381))</x:f>
        <x:v>Miami</x:v>
      </x:c>
      <x:c r="K2381" s="84" t="str">
        <x:f>PROPER(TRIM('Raw Sales'!H2381))</x:f>
        <x:v>Marketplace</x:v>
      </x:c>
      <x:c r="L2381" s="84" t="str">
        <x:f>'Raw Sales'!I2381</x:f>
        <x:v>ACCS-001</x:v>
      </x:c>
      <x:c r="M2381" s="84" t="str">
        <x:f>IFERROR(VLOOKUP(L2381,'Reference Data'!$A$5:$F$40,2,FALSE),"Unknown Product")</x:f>
        <x:v>Canvas Tote Bag</x:v>
      </x:c>
      <x:c r="N2381" s="84" t="str">
        <x:f>IFERROR(VLOOKUP(L2381,'Reference Data'!$A$5:$F$40,3,FALSE),"Unknown")</x:f>
        <x:v>Accessories</x:v>
      </x:c>
      <x:c r="O2381" s="84" t="str">
        <x:f>IFERROR(VLOOKUP(L2381,'Reference Data'!$A$5:$F$40,4,FALSE),"Unknown")</x:f>
        <x:v>Bags</x:v>
      </x:c>
      <x:c r="P2381" s="92" t="n">
        <x:f>IFERROR(VLOOKUP(L2381,'Reference Data'!$A$5:$F$40,5,FALSE),0)</x:f>
        <x:v>39</x:v>
      </x:c>
      <x:c r="Q2381" s="92" t="n">
        <x:f>IFERROR(VLOOKUP(L2381,'Reference Data'!$A$5:$F$40,6,FALSE),0)</x:f>
        <x:v>14</x:v>
      </x:c>
      <x:c r="R2381" s="84" t="n">
        <x:f>'Raw Sales'!J2381</x:f>
        <x:v>3</x:v>
      </x:c>
      <x:c r="S2381" s="87" t="n">
        <x:f>'Raw Sales'!K2381</x:f>
        <x:v>0.1</x:v>
      </x:c>
      <x:c r="T2381" s="93" t="n">
        <x:f>P2381*R2381</x:f>
        <x:v>117</x:v>
      </x:c>
      <x:c r="U2381" s="93" t="n">
        <x:f>T2381*S2381</x:f>
        <x:v>11.700000000000001</x:v>
      </x:c>
      <x:c r="V2381" s="93" t="str">
        <x:f>PROPER(TRIM('Raw Sales'!L2381))</x:f>
        <x:v>Completed</x:v>
      </x:c>
      <x:c r="W2381" s="93" t="n">
        <x:f>IF(V2381="Returned",0,T2381-U2381)</x:f>
        <x:v>105.3</x:v>
      </x:c>
      <x:c r="X2381" s="93" t="n">
        <x:f>IF(V2381="Returned",Q2381*R2381*10%,Q2381*R2381)</x:f>
        <x:v>42</x:v>
      </x:c>
      <x:c r="Y2381" s="93" t="n">
        <x:f>W2381-X2381</x:f>
        <x:v>63.3</x:v>
      </x:c>
      <x:c r="Z2381" s="94" t="n">
        <x:f>IFERROR(Y2381/W2381,0)</x:f>
        <x:v>0.6011396011396011</x:v>
      </x:c>
      <x:c r="AA2381" s="84" t="str">
        <x:f>PROPER(TRIM('Raw Sales'!M2381))</x:f>
        <x:v>Debit Card</x:v>
      </x:c>
      <x:c r="AB2381" s="84" t="str">
        <x:f>PROPER(TRIM('Raw Sales'!N2381))</x:f>
        <x:v>Noah Reed</x:v>
      </x:c>
      <x:c r="AC2381" s="85" t="n">
        <x:f>'Raw Sales'!O2381</x:f>
        <x:v>46020</x:v>
      </x:c>
      <x:c r="AD2381" s="84" t="n">
        <x:f>AC2381-B2381</x:f>
        <x:v>7</x:v>
      </x:c>
      <x:c r="AE2381" s="84" t="str">
        <x:f>IF(COUNTIF($A$5:A2381,A2381)&gt;1,"Duplicate","Keep")</x:f>
        <x:v>Keep</x:v>
      </x:c>
      <x:c r="AF2381" s="84" t="str">
        <x:f>IF(OR(R2381&lt;=0,AC2381&lt;B2381,H2381="Unknown",M2381="Unknown Product"),"Review","Valid")</x:f>
        <x:v>Valid</x:v>
      </x:c>
      <x:c r="AG2381" s="84" t="n">
        <x:f>IF(AND(AE2381="Keep",AF2381="Valid"),1,0)</x:f>
        <x:v>1</x:v>
      </x:c>
      <x:c r="AH2381" s="84" t="n">
        <x:f>IF(AND(AG2381=1,OR('Dashboard'!$B$4="All",I2381='Dashboard'!$B$4),OR('Dashboard'!$E$4="All",N2381='Dashboard'!$E$4),OR('Dashboard'!$H$4="All",K2381='Dashboard'!$H$4),OR('Dashboard'!$K$4="All",C2381='Dashboard'!$K$4)),1,0)</x:f>
        <x:v>1</x:v>
      </x:c>
      <x:c r="AI2381" s="84" t="n">
        <x:f>IF(AND(AG2381=1,OR('Dashboard'!$B$4="All",I2381='Dashboard'!$B$4),OR('Dashboard'!$E$4="All",N2381='Dashboard'!$E$4),OR('Dashboard'!$H$4="All",K2381='Dashboard'!$H$4)),1,0)</x:f>
        <x:v>1</x:v>
      </x:c>
    </x:row>
    <x:row r="2382">
      <x:c r="A2382" s="84" t="str">
        <x:f>'Raw Sales'!A2382</x:f>
        <x:v>ORD-2025-00896</x:v>
      </x:c>
      <x:c r="B2382" s="85" t="n">
        <x:f>'Raw Sales'!B2382</x:f>
        <x:v>46013</x:v>
      </x:c>
      <x:c r="C2382" s="84" t="n">
        <x:f>YEAR(B2382)</x:f>
        <x:v>2025</x:v>
      </x:c>
      <x:c r="D2382" s="91" t="n">
        <x:f>DATE(YEAR(B2382),MONTH(B2382),1)</x:f>
        <x:v>45992</x:v>
      </x:c>
      <x:c r="E2382" s="84" t="str">
        <x:f>TEXT(B2382,"mmm")</x:f>
        <x:v>Dec</x:v>
      </x:c>
      <x:c r="F2382" s="84" t="str">
        <x:f>'Raw Sales'!C2382</x:f>
        <x:v>CUST-0079</x:v>
      </x:c>
      <x:c r="G2382" s="84" t="str">
        <x:f>PROPER(TRIM('Raw Sales'!D2382))</x:f>
        <x:v>Isaac Foster</x:v>
      </x:c>
      <x:c r="H2382" s="84" t="str">
        <x:f>IF(TRIM('Raw Sales'!E2382)="","Unknown",PROPER(TRIM('Raw Sales'!E2382)))</x:f>
        <x:v>Consumer</x:v>
      </x:c>
      <x:c r="I2382" s="84" t="str">
        <x:f>PROPER(TRIM('Raw Sales'!F2382))</x:f>
        <x:v>Midwest</x:v>
      </x:c>
      <x:c r="J2382" s="84" t="str">
        <x:f>PROPER(TRIM('Raw Sales'!G2382))</x:f>
        <x:v>Minneapolis</x:v>
      </x:c>
      <x:c r="K2382" s="84" t="str">
        <x:f>PROPER(TRIM('Raw Sales'!H2382))</x:f>
        <x:v>Retail Store</x:v>
      </x:c>
      <x:c r="L2382" s="84" t="str">
        <x:f>'Raw Sales'!I2382</x:f>
        <x:v>ACCS-003</x:v>
      </x:c>
      <x:c r="M2382" s="84" t="str">
        <x:f>IFERROR(VLOOKUP(L2382,'Reference Data'!$A$5:$F$40,2,FALSE),"Unknown Product")</x:f>
        <x:v>Polarized Sunglasses</x:v>
      </x:c>
      <x:c r="N2382" s="84" t="str">
        <x:f>IFERROR(VLOOKUP(L2382,'Reference Data'!$A$5:$F$40,3,FALSE),"Unknown")</x:f>
        <x:v>Accessories</x:v>
      </x:c>
      <x:c r="O2382" s="84" t="str">
        <x:f>IFERROR(VLOOKUP(L2382,'Reference Data'!$A$5:$F$40,4,FALSE),"Unknown")</x:f>
        <x:v>Eyewear</x:v>
      </x:c>
      <x:c r="P2382" s="92" t="n">
        <x:f>IFERROR(VLOOKUP(L2382,'Reference Data'!$A$5:$F$40,5,FALSE),0)</x:f>
        <x:v>59</x:v>
      </x:c>
      <x:c r="Q2382" s="92" t="n">
        <x:f>IFERROR(VLOOKUP(L2382,'Reference Data'!$A$5:$F$40,6,FALSE),0)</x:f>
        <x:v>17</x:v>
      </x:c>
      <x:c r="R2382" s="84" t="n">
        <x:f>'Raw Sales'!J2382</x:f>
        <x:v>2</x:v>
      </x:c>
      <x:c r="S2382" s="87" t="n">
        <x:f>'Raw Sales'!K2382</x:f>
        <x:v>0.05</x:v>
      </x:c>
      <x:c r="T2382" s="93" t="n">
        <x:f>P2382*R2382</x:f>
        <x:v>118</x:v>
      </x:c>
      <x:c r="U2382" s="93" t="n">
        <x:f>T2382*S2382</x:f>
        <x:v>5.9</x:v>
      </x:c>
      <x:c r="V2382" s="93" t="str">
        <x:f>PROPER(TRIM('Raw Sales'!L2382))</x:f>
        <x:v>Completed</x:v>
      </x:c>
      <x:c r="W2382" s="93" t="n">
        <x:f>IF(V2382="Returned",0,T2382-U2382)</x:f>
        <x:v>112.1</x:v>
      </x:c>
      <x:c r="X2382" s="93" t="n">
        <x:f>IF(V2382="Returned",Q2382*R2382*10%,Q2382*R2382)</x:f>
        <x:v>34</x:v>
      </x:c>
      <x:c r="Y2382" s="93" t="n">
        <x:f>W2382-X2382</x:f>
        <x:v>78.1</x:v>
      </x:c>
      <x:c r="Z2382" s="94" t="n">
        <x:f>IFERROR(Y2382/W2382,0)</x:f>
        <x:v>0.6966993755575379</x:v>
      </x:c>
      <x:c r="AA2382" s="84" t="str">
        <x:f>PROPER(TRIM('Raw Sales'!M2382))</x:f>
        <x:v>Credit Card</x:v>
      </x:c>
      <x:c r="AB2382" s="84" t="str">
        <x:f>PROPER(TRIM('Raw Sales'!N2382))</x:f>
        <x:v>Emma Hayes</x:v>
      </x:c>
      <x:c r="AC2382" s="85" t="n">
        <x:f>'Raw Sales'!O2382</x:f>
        <x:v>46013</x:v>
      </x:c>
      <x:c r="AD2382" s="84" t="n">
        <x:f>AC2382-B2382</x:f>
        <x:v>0</x:v>
      </x:c>
      <x:c r="AE2382" s="84" t="str">
        <x:f>IF(COUNTIF($A$5:A2382,A2382)&gt;1,"Duplicate","Keep")</x:f>
        <x:v>Keep</x:v>
      </x:c>
      <x:c r="AF2382" s="84" t="str">
        <x:f>IF(OR(R2382&lt;=0,AC2382&lt;B2382,H2382="Unknown",M2382="Unknown Product"),"Review","Valid")</x:f>
        <x:v>Valid</x:v>
      </x:c>
      <x:c r="AG2382" s="84" t="n">
        <x:f>IF(AND(AE2382="Keep",AF2382="Valid"),1,0)</x:f>
        <x:v>1</x:v>
      </x:c>
      <x:c r="AH2382" s="84" t="n">
        <x:f>IF(AND(AG2382=1,OR('Dashboard'!$B$4="All",I2382='Dashboard'!$B$4),OR('Dashboard'!$E$4="All",N2382='Dashboard'!$E$4),OR('Dashboard'!$H$4="All",K2382='Dashboard'!$H$4),OR('Dashboard'!$K$4="All",C2382='Dashboard'!$K$4)),1,0)</x:f>
        <x:v>1</x:v>
      </x:c>
      <x:c r="AI2382" s="84" t="n">
        <x:f>IF(AND(AG2382=1,OR('Dashboard'!$B$4="All",I2382='Dashboard'!$B$4),OR('Dashboard'!$E$4="All",N2382='Dashboard'!$E$4),OR('Dashboard'!$H$4="All",K2382='Dashboard'!$H$4)),1,0)</x:f>
        <x:v>1</x:v>
      </x:c>
    </x:row>
    <x:row r="2383">
      <x:c r="A2383" s="84" t="str">
        <x:f>'Raw Sales'!A2383</x:f>
        <x:v>ORD-2025-00901</x:v>
      </x:c>
      <x:c r="B2383" s="85" t="n">
        <x:f>'Raw Sales'!B2383</x:f>
        <x:v>46013</x:v>
      </x:c>
      <x:c r="C2383" s="84" t="n">
        <x:f>YEAR(B2383)</x:f>
        <x:v>2025</x:v>
      </x:c>
      <x:c r="D2383" s="91" t="n">
        <x:f>DATE(YEAR(B2383),MONTH(B2383),1)</x:f>
        <x:v>45992</x:v>
      </x:c>
      <x:c r="E2383" s="84" t="str">
        <x:f>TEXT(B2383,"mmm")</x:f>
        <x:v>Dec</x:v>
      </x:c>
      <x:c r="F2383" s="84" t="str">
        <x:f>'Raw Sales'!C2383</x:f>
        <x:v>CUST-0339</x:v>
      </x:c>
      <x:c r="G2383" s="84" t="str">
        <x:f>PROPER(TRIM('Raw Sales'!D2383))</x:f>
        <x:v>Marcus Walker</x:v>
      </x:c>
      <x:c r="H2383" s="84" t="str">
        <x:f>IF(TRIM('Raw Sales'!E2383)="","Unknown",PROPER(TRIM('Raw Sales'!E2383)))</x:f>
        <x:v>Consumer</x:v>
      </x:c>
      <x:c r="I2383" s="84" t="str">
        <x:f>PROPER(TRIM('Raw Sales'!F2383))</x:f>
        <x:v>Midwest</x:v>
      </x:c>
      <x:c r="J2383" s="84" t="str">
        <x:f>PROPER(TRIM('Raw Sales'!G2383))</x:f>
        <x:v>Columbus</x:v>
      </x:c>
      <x:c r="K2383" s="84" t="str">
        <x:f>PROPER(TRIM('Raw Sales'!H2383))</x:f>
        <x:v>Online</x:v>
      </x:c>
      <x:c r="L2383" s="84" t="str">
        <x:f>'Raw Sales'!I2383</x:f>
        <x:v>CARE-006</x:v>
      </x:c>
      <x:c r="M2383" s="84" t="str">
        <x:f>IFERROR(VLOOKUP(L2383,'Reference Data'!$A$5:$F$40,2,FALSE),"Unknown Product")</x:f>
        <x:v>Percussion Massage Gun</x:v>
      </x:c>
      <x:c r="N2383" s="84" t="str">
        <x:f>IFERROR(VLOOKUP(L2383,'Reference Data'!$A$5:$F$40,3,FALSE),"Unknown")</x:f>
        <x:v>Personal Care</x:v>
      </x:c>
      <x:c r="O2383" s="84" t="str">
        <x:f>IFERROR(VLOOKUP(L2383,'Reference Data'!$A$5:$F$40,4,FALSE),"Unknown")</x:f>
        <x:v>Wellness</x:v>
      </x:c>
      <x:c r="P2383" s="92" t="n">
        <x:f>IFERROR(VLOOKUP(L2383,'Reference Data'!$A$5:$F$40,5,FALSE),0)</x:f>
        <x:v>129</x:v>
      </x:c>
      <x:c r="Q2383" s="92" t="n">
        <x:f>IFERROR(VLOOKUP(L2383,'Reference Data'!$A$5:$F$40,6,FALSE),0)</x:f>
        <x:v>70</x:v>
      </x:c>
      <x:c r="R2383" s="84" t="n">
        <x:f>'Raw Sales'!J2383</x:f>
        <x:v>1</x:v>
      </x:c>
      <x:c r="S2383" s="87" t="n">
        <x:f>'Raw Sales'!K2383</x:f>
        <x:v>0.05</x:v>
      </x:c>
      <x:c r="T2383" s="93" t="n">
        <x:f>P2383*R2383</x:f>
        <x:v>129</x:v>
      </x:c>
      <x:c r="U2383" s="93" t="n">
        <x:f>T2383*S2383</x:f>
        <x:v>6.45</x:v>
      </x:c>
      <x:c r="V2383" s="93" t="str">
        <x:f>PROPER(TRIM('Raw Sales'!L2383))</x:f>
        <x:v>Completed</x:v>
      </x:c>
      <x:c r="W2383" s="93" t="n">
        <x:f>IF(V2383="Returned",0,T2383-U2383)</x:f>
        <x:v>122.55</x:v>
      </x:c>
      <x:c r="X2383" s="93" t="n">
        <x:f>IF(V2383="Returned",Q2383*R2383*10%,Q2383*R2383)</x:f>
        <x:v>70</x:v>
      </x:c>
      <x:c r="Y2383" s="93" t="n">
        <x:f>W2383-X2383</x:f>
        <x:v>52.55</x:v>
      </x:c>
      <x:c r="Z2383" s="94" t="n">
        <x:f>IFERROR(Y2383/W2383,0)</x:f>
        <x:v>0.4288045695634435</x:v>
      </x:c>
      <x:c r="AA2383" s="84" t="str">
        <x:f>PROPER(TRIM('Raw Sales'!M2383))</x:f>
        <x:v>Debit Card</x:v>
      </x:c>
      <x:c r="AB2383" s="84" t="str">
        <x:f>PROPER(TRIM('Raw Sales'!N2383))</x:f>
        <x:v>Emma Hayes</x:v>
      </x:c>
      <x:c r="AC2383" s="85" t="n">
        <x:f>'Raw Sales'!O2383</x:f>
        <x:v>46018</x:v>
      </x:c>
      <x:c r="AD2383" s="84" t="n">
        <x:f>AC2383-B2383</x:f>
        <x:v>5</x:v>
      </x:c>
      <x:c r="AE2383" s="84" t="str">
        <x:f>IF(COUNTIF($A$5:A2383,A2383)&gt;1,"Duplicate","Keep")</x:f>
        <x:v>Keep</x:v>
      </x:c>
      <x:c r="AF2383" s="84" t="str">
        <x:f>IF(OR(R2383&lt;=0,AC2383&lt;B2383,H2383="Unknown",M2383="Unknown Product"),"Review","Valid")</x:f>
        <x:v>Valid</x:v>
      </x:c>
      <x:c r="AG2383" s="84" t="n">
        <x:f>IF(AND(AE2383="Keep",AF2383="Valid"),1,0)</x:f>
        <x:v>1</x:v>
      </x:c>
      <x:c r="AH2383" s="84" t="n">
        <x:f>IF(AND(AG2383=1,OR('Dashboard'!$B$4="All",I2383='Dashboard'!$B$4),OR('Dashboard'!$E$4="All",N2383='Dashboard'!$E$4),OR('Dashboard'!$H$4="All",K2383='Dashboard'!$H$4),OR('Dashboard'!$K$4="All",C2383='Dashboard'!$K$4)),1,0)</x:f>
        <x:v>1</x:v>
      </x:c>
      <x:c r="AI2383" s="84" t="n">
        <x:f>IF(AND(AG2383=1,OR('Dashboard'!$B$4="All",I2383='Dashboard'!$B$4),OR('Dashboard'!$E$4="All",N2383='Dashboard'!$E$4),OR('Dashboard'!$H$4="All",K2383='Dashboard'!$H$4)),1,0)</x:f>
        <x:v>1</x:v>
      </x:c>
    </x:row>
    <x:row r="2384">
      <x:c r="A2384" s="84" t="str">
        <x:f>'Raw Sales'!A2384</x:f>
        <x:v>ORD-2025-01407</x:v>
      </x:c>
      <x:c r="B2384" s="85" t="n">
        <x:f>'Raw Sales'!B2384</x:f>
        <x:v>46013</x:v>
      </x:c>
      <x:c r="C2384" s="84" t="n">
        <x:f>YEAR(B2384)</x:f>
        <x:v>2025</x:v>
      </x:c>
      <x:c r="D2384" s="91" t="n">
        <x:f>DATE(YEAR(B2384),MONTH(B2384),1)</x:f>
        <x:v>45992</x:v>
      </x:c>
      <x:c r="E2384" s="84" t="str">
        <x:f>TEXT(B2384,"mmm")</x:f>
        <x:v>Dec</x:v>
      </x:c>
      <x:c r="F2384" s="84" t="str">
        <x:f>'Raw Sales'!C2384</x:f>
        <x:v>CUST-0109</x:v>
      </x:c>
      <x:c r="G2384" s="84" t="str">
        <x:f>PROPER(TRIM('Raw Sales'!D2384))</x:f>
        <x:v>Maya Evans</x:v>
      </x:c>
      <x:c r="H2384" s="84" t="str">
        <x:f>IF(TRIM('Raw Sales'!E2384)="","Unknown",PROPER(TRIM('Raw Sales'!E2384)))</x:f>
        <x:v>Consumer</x:v>
      </x:c>
      <x:c r="I2384" s="84" t="str">
        <x:f>PROPER(TRIM('Raw Sales'!F2384))</x:f>
        <x:v>West</x:v>
      </x:c>
      <x:c r="J2384" s="84" t="str">
        <x:f>PROPER(TRIM('Raw Sales'!G2384))</x:f>
        <x:v>Seattle</x:v>
      </x:c>
      <x:c r="K2384" s="84" t="str">
        <x:f>PROPER(TRIM('Raw Sales'!H2384))</x:f>
        <x:v>Online</x:v>
      </x:c>
      <x:c r="L2384" s="84" t="str">
        <x:f>'Raw Sales'!I2384</x:f>
        <x:v>HOME-004</x:v>
      </x:c>
      <x:c r="M2384" s="84" t="str">
        <x:f>IFERROR(VLOOKUP(L2384,'Reference Data'!$A$5:$F$40,2,FALSE),"Unknown Product")</x:f>
        <x:v>Coffee Maker</x:v>
      </x:c>
      <x:c r="N2384" s="84" t="str">
        <x:f>IFERROR(VLOOKUP(L2384,'Reference Data'!$A$5:$F$40,3,FALSE),"Unknown")</x:f>
        <x:v>Home &amp; Kitchen</x:v>
      </x:c>
      <x:c r="O2384" s="84" t="str">
        <x:f>IFERROR(VLOOKUP(L2384,'Reference Data'!$A$5:$F$40,4,FALSE),"Unknown")</x:f>
        <x:v>Small Appliances</x:v>
      </x:c>
      <x:c r="P2384" s="92" t="n">
        <x:f>IFERROR(VLOOKUP(L2384,'Reference Data'!$A$5:$F$40,5,FALSE),0)</x:f>
        <x:v>99</x:v>
      </x:c>
      <x:c r="Q2384" s="92" t="n">
        <x:f>IFERROR(VLOOKUP(L2384,'Reference Data'!$A$5:$F$40,6,FALSE),0)</x:f>
        <x:v>51</x:v>
      </x:c>
      <x:c r="R2384" s="84" t="n">
        <x:f>'Raw Sales'!J2384</x:f>
        <x:v>1</x:v>
      </x:c>
      <x:c r="S2384" s="87" t="n">
        <x:f>'Raw Sales'!K2384</x:f>
        <x:v>0.05</x:v>
      </x:c>
      <x:c r="T2384" s="93" t="n">
        <x:f>P2384*R2384</x:f>
        <x:v>99</x:v>
      </x:c>
      <x:c r="U2384" s="93" t="n">
        <x:f>T2384*S2384</x:f>
        <x:v>4.95</x:v>
      </x:c>
      <x:c r="V2384" s="93" t="str">
        <x:f>PROPER(TRIM('Raw Sales'!L2384))</x:f>
        <x:v>Completed</x:v>
      </x:c>
      <x:c r="W2384" s="93" t="n">
        <x:f>IF(V2384="Returned",0,T2384-U2384)</x:f>
        <x:v>94.05</x:v>
      </x:c>
      <x:c r="X2384" s="93" t="n">
        <x:f>IF(V2384="Returned",Q2384*R2384*10%,Q2384*R2384)</x:f>
        <x:v>51</x:v>
      </x:c>
      <x:c r="Y2384" s="93" t="n">
        <x:f>W2384-X2384</x:f>
        <x:v>43.05</x:v>
      </x:c>
      <x:c r="Z2384" s="94" t="n">
        <x:f>IFERROR(Y2384/W2384,0)</x:f>
        <x:v>0.4577352472089314</x:v>
      </x:c>
      <x:c r="AA2384" s="84" t="str">
        <x:f>PROPER(TRIM('Raw Sales'!M2384))</x:f>
        <x:v>Debit Card</x:v>
      </x:c>
      <x:c r="AB2384" s="84" t="str">
        <x:f>PROPER(TRIM('Raw Sales'!N2384))</x:f>
        <x:v>Mia Chen</x:v>
      </x:c>
      <x:c r="AC2384" s="85" t="n">
        <x:f>'Raw Sales'!O2384</x:f>
        <x:v>46018</x:v>
      </x:c>
      <x:c r="AD2384" s="84" t="n">
        <x:f>AC2384-B2384</x:f>
        <x:v>5</x:v>
      </x:c>
      <x:c r="AE2384" s="84" t="str">
        <x:f>IF(COUNTIF($A$5:A2384,A2384)&gt;1,"Duplicate","Keep")</x:f>
        <x:v>Keep</x:v>
      </x:c>
      <x:c r="AF2384" s="84" t="str">
        <x:f>IF(OR(R2384&lt;=0,AC2384&lt;B2384,H2384="Unknown",M2384="Unknown Product"),"Review","Valid")</x:f>
        <x:v>Valid</x:v>
      </x:c>
      <x:c r="AG2384" s="84" t="n">
        <x:f>IF(AND(AE2384="Keep",AF2384="Valid"),1,0)</x:f>
        <x:v>1</x:v>
      </x:c>
      <x:c r="AH2384" s="84" t="n">
        <x:f>IF(AND(AG2384=1,OR('Dashboard'!$B$4="All",I2384='Dashboard'!$B$4),OR('Dashboard'!$E$4="All",N2384='Dashboard'!$E$4),OR('Dashboard'!$H$4="All",K2384='Dashboard'!$H$4),OR('Dashboard'!$K$4="All",C2384='Dashboard'!$K$4)),1,0)</x:f>
        <x:v>1</x:v>
      </x:c>
      <x:c r="AI2384" s="84" t="n">
        <x:f>IF(AND(AG2384=1,OR('Dashboard'!$B$4="All",I2384='Dashboard'!$B$4),OR('Dashboard'!$E$4="All",N2384='Dashboard'!$E$4),OR('Dashboard'!$H$4="All",K2384='Dashboard'!$H$4)),1,0)</x:f>
        <x:v>1</x:v>
      </x:c>
    </x:row>
    <x:row r="2385">
      <x:c r="A2385" s="84" t="str">
        <x:f>'Raw Sales'!A2385</x:f>
        <x:v>ORD-2025-01884</x:v>
      </x:c>
      <x:c r="B2385" s="85" t="n">
        <x:f>'Raw Sales'!B2385</x:f>
        <x:v>46013</x:v>
      </x:c>
      <x:c r="C2385" s="84" t="n">
        <x:f>YEAR(B2385)</x:f>
        <x:v>2025</x:v>
      </x:c>
      <x:c r="D2385" s="91" t="n">
        <x:f>DATE(YEAR(B2385),MONTH(B2385),1)</x:f>
        <x:v>45992</x:v>
      </x:c>
      <x:c r="E2385" s="84" t="str">
        <x:f>TEXT(B2385,"mmm")</x:f>
        <x:v>Dec</x:v>
      </x:c>
      <x:c r="F2385" s="84" t="str">
        <x:f>'Raw Sales'!C2385</x:f>
        <x:v>CUST-0029</x:v>
      </x:c>
      <x:c r="G2385" s="84" t="str">
        <x:f>PROPER(TRIM('Raw Sales'!D2385))</x:f>
        <x:v>Theo Ortiz</x:v>
      </x:c>
      <x:c r="H2385" s="84" t="str">
        <x:f>IF(TRIM('Raw Sales'!E2385)="","Unknown",PROPER(TRIM('Raw Sales'!E2385)))</x:f>
        <x:v>Corporate</x:v>
      </x:c>
      <x:c r="I2385" s="84" t="str">
        <x:f>PROPER(TRIM('Raw Sales'!F2385))</x:f>
        <x:v>Northeast</x:v>
      </x:c>
      <x:c r="J2385" s="84" t="str">
        <x:f>PROPER(TRIM('Raw Sales'!G2385))</x:f>
        <x:v>Philadelphia</x:v>
      </x:c>
      <x:c r="K2385" s="84" t="str">
        <x:f>PROPER(TRIM('Raw Sales'!H2385))</x:f>
        <x:v>Marketplace</x:v>
      </x:c>
      <x:c r="L2385" s="84" t="str">
        <x:f>'Raw Sales'!I2385</x:f>
        <x:v>ELEC-006</x:v>
      </x:c>
      <x:c r="M2385" s="84" t="str">
        <x:f>IFERROR(VLOOKUP(L2385,'Reference Data'!$A$5:$F$40,2,FALSE),"Unknown Product")</x:f>
        <x:v>Portable SSD</x:v>
      </x:c>
      <x:c r="N2385" s="84" t="str">
        <x:f>IFERROR(VLOOKUP(L2385,'Reference Data'!$A$5:$F$40,3,FALSE),"Unknown")</x:f>
        <x:v>Electronics</x:v>
      </x:c>
      <x:c r="O2385" s="84" t="str">
        <x:f>IFERROR(VLOOKUP(L2385,'Reference Data'!$A$5:$F$40,4,FALSE),"Unknown")</x:f>
        <x:v>Storage</x:v>
      </x:c>
      <x:c r="P2385" s="92" t="n">
        <x:f>IFERROR(VLOOKUP(L2385,'Reference Data'!$A$5:$F$40,5,FALSE),0)</x:f>
        <x:v>129</x:v>
      </x:c>
      <x:c r="Q2385" s="92" t="n">
        <x:f>IFERROR(VLOOKUP(L2385,'Reference Data'!$A$5:$F$40,6,FALSE),0)</x:f>
        <x:v>75</x:v>
      </x:c>
      <x:c r="R2385" s="84" t="n">
        <x:f>'Raw Sales'!J2385</x:f>
        <x:v>2</x:v>
      </x:c>
      <x:c r="S2385" s="87" t="n">
        <x:f>'Raw Sales'!K2385</x:f>
        <x:v>0.1</x:v>
      </x:c>
      <x:c r="T2385" s="93" t="n">
        <x:f>P2385*R2385</x:f>
        <x:v>258</x:v>
      </x:c>
      <x:c r="U2385" s="93" t="n">
        <x:f>T2385*S2385</x:f>
        <x:v>25.8</x:v>
      </x:c>
      <x:c r="V2385" s="93" t="str">
        <x:f>PROPER(TRIM('Raw Sales'!L2385))</x:f>
        <x:v>Completed</x:v>
      </x:c>
      <x:c r="W2385" s="93" t="n">
        <x:f>IF(V2385="Returned",0,T2385-U2385)</x:f>
        <x:v>232.2</x:v>
      </x:c>
      <x:c r="X2385" s="93" t="n">
        <x:f>IF(V2385="Returned",Q2385*R2385*10%,Q2385*R2385)</x:f>
        <x:v>150</x:v>
      </x:c>
      <x:c r="Y2385" s="93" t="n">
        <x:f>W2385-X2385</x:f>
        <x:v>82.19999999999999</x:v>
      </x:c>
      <x:c r="Z2385" s="94" t="n">
        <x:f>IFERROR(Y2385/W2385,0)</x:f>
        <x:v>0.3540051679586563</x:v>
      </x:c>
      <x:c r="AA2385" s="84" t="str">
        <x:f>PROPER(TRIM('Raw Sales'!M2385))</x:f>
        <x:v>Debit Card</x:v>
      </x:c>
      <x:c r="AB2385" s="84" t="str">
        <x:f>PROPER(TRIM('Raw Sales'!N2385))</x:f>
        <x:v>Sofia Bennett</x:v>
      </x:c>
      <x:c r="AC2385" s="85" t="n">
        <x:f>'Raw Sales'!O2385</x:f>
        <x:v>46020</x:v>
      </x:c>
      <x:c r="AD2385" s="84" t="n">
        <x:f>AC2385-B2385</x:f>
        <x:v>7</x:v>
      </x:c>
      <x:c r="AE2385" s="84" t="str">
        <x:f>IF(COUNTIF($A$5:A2385,A2385)&gt;1,"Duplicate","Keep")</x:f>
        <x:v>Keep</x:v>
      </x:c>
      <x:c r="AF2385" s="84" t="str">
        <x:f>IF(OR(R2385&lt;=0,AC2385&lt;B2385,H2385="Unknown",M2385="Unknown Product"),"Review","Valid")</x:f>
        <x:v>Valid</x:v>
      </x:c>
      <x:c r="AG2385" s="84" t="n">
        <x:f>IF(AND(AE2385="Keep",AF2385="Valid"),1,0)</x:f>
        <x:v>1</x:v>
      </x:c>
      <x:c r="AH2385" s="84" t="n">
        <x:f>IF(AND(AG2385=1,OR('Dashboard'!$B$4="All",I2385='Dashboard'!$B$4),OR('Dashboard'!$E$4="All",N2385='Dashboard'!$E$4),OR('Dashboard'!$H$4="All",K2385='Dashboard'!$H$4),OR('Dashboard'!$K$4="All",C2385='Dashboard'!$K$4)),1,0)</x:f>
        <x:v>1</x:v>
      </x:c>
      <x:c r="AI2385" s="84" t="n">
        <x:f>IF(AND(AG2385=1,OR('Dashboard'!$B$4="All",I2385='Dashboard'!$B$4),OR('Dashboard'!$E$4="All",N2385='Dashboard'!$E$4),OR('Dashboard'!$H$4="All",K2385='Dashboard'!$H$4)),1,0)</x:f>
        <x:v>1</x:v>
      </x:c>
    </x:row>
    <x:row r="2386">
      <x:c r="A2386" s="84" t="str">
        <x:f>'Raw Sales'!A2386</x:f>
        <x:v>ORD-2025-00657</x:v>
      </x:c>
      <x:c r="B2386" s="85" t="n">
        <x:f>'Raw Sales'!B2386</x:f>
        <x:v>46014</x:v>
      </x:c>
      <x:c r="C2386" s="84" t="n">
        <x:f>YEAR(B2386)</x:f>
        <x:v>2025</x:v>
      </x:c>
      <x:c r="D2386" s="91" t="n">
        <x:f>DATE(YEAR(B2386),MONTH(B2386),1)</x:f>
        <x:v>45992</x:v>
      </x:c>
      <x:c r="E2386" s="84" t="str">
        <x:f>TEXT(B2386,"mmm")</x:f>
        <x:v>Dec</x:v>
      </x:c>
      <x:c r="F2386" s="84" t="str">
        <x:f>'Raw Sales'!C2386</x:f>
        <x:v>CUST-0613</x:v>
      </x:c>
      <x:c r="G2386" s="84" t="str">
        <x:f>PROPER(TRIM('Raw Sales'!D2386))</x:f>
        <x:v>Owen Hall</x:v>
      </x:c>
      <x:c r="H2386" s="84" t="str">
        <x:f>IF(TRIM('Raw Sales'!E2386)="","Unknown",PROPER(TRIM('Raw Sales'!E2386)))</x:f>
        <x:v>Consumer</x:v>
      </x:c>
      <x:c r="I2386" s="84" t="str">
        <x:f>PROPER(TRIM('Raw Sales'!F2386))</x:f>
        <x:v>Southeast</x:v>
      </x:c>
      <x:c r="J2386" s="84" t="str">
        <x:f>PROPER(TRIM('Raw Sales'!G2386))</x:f>
        <x:v>Nashville</x:v>
      </x:c>
      <x:c r="K2386" s="84" t="str">
        <x:f>PROPER(TRIM('Raw Sales'!H2386))</x:f>
        <x:v>Online</x:v>
      </x:c>
      <x:c r="L2386" s="84" t="str">
        <x:f>'Raw Sales'!I2386</x:f>
        <x:v>OFFC-006</x:v>
      </x:c>
      <x:c r="M2386" s="84" t="str">
        <x:f>IFERROR(VLOOKUP(L2386,'Reference Data'!$A$5:$F$40,2,FALSE),"Unknown Product")</x:f>
        <x:v>Monitor Stand</x:v>
      </x:c>
      <x:c r="N2386" s="84" t="str">
        <x:f>IFERROR(VLOOKUP(L2386,'Reference Data'!$A$5:$F$40,3,FALSE),"Unknown")</x:f>
        <x:v>Office</x:v>
      </x:c>
      <x:c r="O2386" s="84" t="str">
        <x:f>IFERROR(VLOOKUP(L2386,'Reference Data'!$A$5:$F$40,4,FALSE),"Unknown")</x:f>
        <x:v>Desk Accessories</x:v>
      </x:c>
      <x:c r="P2386" s="92" t="n">
        <x:f>IFERROR(VLOOKUP(L2386,'Reference Data'!$A$5:$F$40,5,FALSE),0)</x:f>
        <x:v>49</x:v>
      </x:c>
      <x:c r="Q2386" s="92" t="n">
        <x:f>IFERROR(VLOOKUP(L2386,'Reference Data'!$A$5:$F$40,6,FALSE),0)</x:f>
        <x:v>21</x:v>
      </x:c>
      <x:c r="R2386" s="84" t="n">
        <x:f>'Raw Sales'!J2386</x:f>
        <x:v>1</x:v>
      </x:c>
      <x:c r="S2386" s="87" t="n">
        <x:f>'Raw Sales'!K2386</x:f>
        <x:v>0.1</x:v>
      </x:c>
      <x:c r="T2386" s="93" t="n">
        <x:f>P2386*R2386</x:f>
        <x:v>49</x:v>
      </x:c>
      <x:c r="U2386" s="93" t="n">
        <x:f>T2386*S2386</x:f>
        <x:v>4.9</x:v>
      </x:c>
      <x:c r="V2386" s="93" t="str">
        <x:f>PROPER(TRIM('Raw Sales'!L2386))</x:f>
        <x:v>Completed</x:v>
      </x:c>
      <x:c r="W2386" s="93" t="n">
        <x:f>IF(V2386="Returned",0,T2386-U2386)</x:f>
        <x:v>44.1</x:v>
      </x:c>
      <x:c r="X2386" s="93" t="n">
        <x:f>IF(V2386="Returned",Q2386*R2386*10%,Q2386*R2386)</x:f>
        <x:v>21</x:v>
      </x:c>
      <x:c r="Y2386" s="93" t="n">
        <x:f>W2386-X2386</x:f>
        <x:v>23.1</x:v>
      </x:c>
      <x:c r="Z2386" s="94" t="n">
        <x:f>IFERROR(Y2386/W2386,0)</x:f>
        <x:v>0.5238095238095238</x:v>
      </x:c>
      <x:c r="AA2386" s="84" t="str">
        <x:f>PROPER(TRIM('Raw Sales'!M2386))</x:f>
        <x:v>Debit Card</x:v>
      </x:c>
      <x:c r="AB2386" s="84" t="str">
        <x:f>PROPER(TRIM('Raw Sales'!N2386))</x:f>
        <x:v>Liam Parker</x:v>
      </x:c>
      <x:c r="AC2386" s="85" t="n">
        <x:f>'Raw Sales'!O2386</x:f>
        <x:v>46018</x:v>
      </x:c>
      <x:c r="AD2386" s="84" t="n">
        <x:f>AC2386-B2386</x:f>
        <x:v>4</x:v>
      </x:c>
      <x:c r="AE2386" s="84" t="str">
        <x:f>IF(COUNTIF($A$5:A2386,A2386)&gt;1,"Duplicate","Keep")</x:f>
        <x:v>Keep</x:v>
      </x:c>
      <x:c r="AF2386" s="84" t="str">
        <x:f>IF(OR(R2386&lt;=0,AC2386&lt;B2386,H2386="Unknown",M2386="Unknown Product"),"Review","Valid")</x:f>
        <x:v>Valid</x:v>
      </x:c>
      <x:c r="AG2386" s="84" t="n">
        <x:f>IF(AND(AE2386="Keep",AF2386="Valid"),1,0)</x:f>
        <x:v>1</x:v>
      </x:c>
      <x:c r="AH2386" s="84" t="n">
        <x:f>IF(AND(AG2386=1,OR('Dashboard'!$B$4="All",I2386='Dashboard'!$B$4),OR('Dashboard'!$E$4="All",N2386='Dashboard'!$E$4),OR('Dashboard'!$H$4="All",K2386='Dashboard'!$H$4),OR('Dashboard'!$K$4="All",C2386='Dashboard'!$K$4)),1,0)</x:f>
        <x:v>1</x:v>
      </x:c>
      <x:c r="AI2386" s="84" t="n">
        <x:f>IF(AND(AG2386=1,OR('Dashboard'!$B$4="All",I2386='Dashboard'!$B$4),OR('Dashboard'!$E$4="All",N2386='Dashboard'!$E$4),OR('Dashboard'!$H$4="All",K2386='Dashboard'!$H$4)),1,0)</x:f>
        <x:v>1</x:v>
      </x:c>
    </x:row>
    <x:row r="2387">
      <x:c r="A2387" s="84" t="str">
        <x:f>'Raw Sales'!A2387</x:f>
        <x:v>ORD-2025-00921</x:v>
      </x:c>
      <x:c r="B2387" s="85" t="n">
        <x:f>'Raw Sales'!B2387</x:f>
        <x:v>46014</x:v>
      </x:c>
      <x:c r="C2387" s="84" t="n">
        <x:f>YEAR(B2387)</x:f>
        <x:v>2025</x:v>
      </x:c>
      <x:c r="D2387" s="91" t="n">
        <x:f>DATE(YEAR(B2387),MONTH(B2387),1)</x:f>
        <x:v>45992</x:v>
      </x:c>
      <x:c r="E2387" s="84" t="str">
        <x:f>TEXT(B2387,"mmm")</x:f>
        <x:v>Dec</x:v>
      </x:c>
      <x:c r="F2387" s="84" t="str">
        <x:f>'Raw Sales'!C2387</x:f>
        <x:v>CUST-0160</x:v>
      </x:c>
      <x:c r="G2387" s="84" t="str">
        <x:f>PROPER(TRIM('Raw Sales'!D2387))</x:f>
        <x:v>Amelia Adams</x:v>
      </x:c>
      <x:c r="H2387" s="84" t="str">
        <x:f>IF(TRIM('Raw Sales'!E2387)="","Unknown",PROPER(TRIM('Raw Sales'!E2387)))</x:f>
        <x:v>Consumer</x:v>
      </x:c>
      <x:c r="I2387" s="84" t="str">
        <x:f>PROPER(TRIM('Raw Sales'!F2387))</x:f>
        <x:v>Southeast</x:v>
      </x:c>
      <x:c r="J2387" s="84" t="str">
        <x:f>PROPER(TRIM('Raw Sales'!G2387))</x:f>
        <x:v>Atlanta</x:v>
      </x:c>
      <x:c r="K2387" s="84" t="str">
        <x:f>PROPER(TRIM('Raw Sales'!H2387))</x:f>
        <x:v>Marketplace</x:v>
      </x:c>
      <x:c r="L2387" s="84" t="str">
        <x:f>'Raw Sales'!I2387</x:f>
        <x:v>ELEC-001</x:v>
      </x:c>
      <x:c r="M2387" s="84" t="str">
        <x:f>IFERROR(VLOOKUP(L2387,'Reference Data'!$A$5:$F$40,2,FALSE),"Unknown Product")</x:f>
        <x:v>Wireless Earbuds</x:v>
      </x:c>
      <x:c r="N2387" s="84" t="str">
        <x:f>IFERROR(VLOOKUP(L2387,'Reference Data'!$A$5:$F$40,3,FALSE),"Unknown")</x:f>
        <x:v>Electronics</x:v>
      </x:c>
      <x:c r="O2387" s="84" t="str">
        <x:f>IFERROR(VLOOKUP(L2387,'Reference Data'!$A$5:$F$40,4,FALSE),"Unknown")</x:f>
        <x:v>Audio</x:v>
      </x:c>
      <x:c r="P2387" s="92" t="n">
        <x:f>IFERROR(VLOOKUP(L2387,'Reference Data'!$A$5:$F$40,5,FALSE),0)</x:f>
        <x:v>69</x:v>
      </x:c>
      <x:c r="Q2387" s="92" t="n">
        <x:f>IFERROR(VLOOKUP(L2387,'Reference Data'!$A$5:$F$40,6,FALSE),0)</x:f>
        <x:v>36</x:v>
      </x:c>
      <x:c r="R2387" s="84" t="n">
        <x:f>'Raw Sales'!J2387</x:f>
        <x:v>3</x:v>
      </x:c>
      <x:c r="S2387" s="87" t="n">
        <x:f>'Raw Sales'!K2387</x:f>
        <x:v>0</x:v>
      </x:c>
      <x:c r="T2387" s="93" t="n">
        <x:f>P2387*R2387</x:f>
        <x:v>207</x:v>
      </x:c>
      <x:c r="U2387" s="93" t="n">
        <x:f>T2387*S2387</x:f>
        <x:v>0</x:v>
      </x:c>
      <x:c r="V2387" s="93" t="str">
        <x:f>PROPER(TRIM('Raw Sales'!L2387))</x:f>
        <x:v>Completed</x:v>
      </x:c>
      <x:c r="W2387" s="93" t="n">
        <x:f>IF(V2387="Returned",0,T2387-U2387)</x:f>
        <x:v>207</x:v>
      </x:c>
      <x:c r="X2387" s="93" t="n">
        <x:f>IF(V2387="Returned",Q2387*R2387*10%,Q2387*R2387)</x:f>
        <x:v>108</x:v>
      </x:c>
      <x:c r="Y2387" s="93" t="n">
        <x:f>W2387-X2387</x:f>
        <x:v>99</x:v>
      </x:c>
      <x:c r="Z2387" s="94" t="n">
        <x:f>IFERROR(Y2387/W2387,0)</x:f>
        <x:v>0.4782608695652174</x:v>
      </x:c>
      <x:c r="AA2387" s="84" t="str">
        <x:f>PROPER(TRIM('Raw Sales'!M2387))</x:f>
        <x:v>Mobile Wallet</x:v>
      </x:c>
      <x:c r="AB2387" s="84" t="str">
        <x:f>PROPER(TRIM('Raw Sales'!N2387))</x:f>
        <x:v>Ava Mitchell</x:v>
      </x:c>
      <x:c r="AC2387" s="85" t="n">
        <x:f>'Raw Sales'!O2387</x:f>
        <x:v>46019</x:v>
      </x:c>
      <x:c r="AD2387" s="84" t="n">
        <x:f>AC2387-B2387</x:f>
        <x:v>5</x:v>
      </x:c>
      <x:c r="AE2387" s="84" t="str">
        <x:f>IF(COUNTIF($A$5:A2387,A2387)&gt;1,"Duplicate","Keep")</x:f>
        <x:v>Keep</x:v>
      </x:c>
      <x:c r="AF2387" s="84" t="str">
        <x:f>IF(OR(R2387&lt;=0,AC2387&lt;B2387,H2387="Unknown",M2387="Unknown Product"),"Review","Valid")</x:f>
        <x:v>Valid</x:v>
      </x:c>
      <x:c r="AG2387" s="84" t="n">
        <x:f>IF(AND(AE2387="Keep",AF2387="Valid"),1,0)</x:f>
        <x:v>1</x:v>
      </x:c>
      <x:c r="AH2387" s="84" t="n">
        <x:f>IF(AND(AG2387=1,OR('Dashboard'!$B$4="All",I2387='Dashboard'!$B$4),OR('Dashboard'!$E$4="All",N2387='Dashboard'!$E$4),OR('Dashboard'!$H$4="All",K2387='Dashboard'!$H$4),OR('Dashboard'!$K$4="All",C2387='Dashboard'!$K$4)),1,0)</x:f>
        <x:v>1</x:v>
      </x:c>
      <x:c r="AI2387" s="84" t="n">
        <x:f>IF(AND(AG2387=1,OR('Dashboard'!$B$4="All",I2387='Dashboard'!$B$4),OR('Dashboard'!$E$4="All",N2387='Dashboard'!$E$4),OR('Dashboard'!$H$4="All",K2387='Dashboard'!$H$4)),1,0)</x:f>
        <x:v>1</x:v>
      </x:c>
    </x:row>
    <x:row r="2388">
      <x:c r="A2388" s="84" t="str">
        <x:f>'Raw Sales'!A2388</x:f>
        <x:v>ORD-2025-01365</x:v>
      </x:c>
      <x:c r="B2388" s="85" t="n">
        <x:f>'Raw Sales'!B2388</x:f>
        <x:v>46014</x:v>
      </x:c>
      <x:c r="C2388" s="84" t="n">
        <x:f>YEAR(B2388)</x:f>
        <x:v>2025</x:v>
      </x:c>
      <x:c r="D2388" s="91" t="n">
        <x:f>DATE(YEAR(B2388),MONTH(B2388),1)</x:f>
        <x:v>45992</x:v>
      </x:c>
      <x:c r="E2388" s="84" t="str">
        <x:f>TEXT(B2388,"mmm")</x:f>
        <x:v>Dec</x:v>
      </x:c>
      <x:c r="F2388" s="84" t="str">
        <x:f>'Raw Sales'!C2388</x:f>
        <x:v>CUST-0367</x:v>
      </x:c>
      <x:c r="G2388" s="84" t="str">
        <x:f>PROPER(TRIM('Raw Sales'!D2388))</x:f>
        <x:v>Zara Young</x:v>
      </x:c>
      <x:c r="H2388" s="84" t="str">
        <x:f>IF(TRIM('Raw Sales'!E2388)="","Unknown",PROPER(TRIM('Raw Sales'!E2388)))</x:f>
        <x:v>Consumer</x:v>
      </x:c>
      <x:c r="I2388" s="84" t="str">
        <x:f>PROPER(TRIM('Raw Sales'!F2388))</x:f>
        <x:v>Northeast</x:v>
      </x:c>
      <x:c r="J2388" s="84" t="str">
        <x:f>PROPER(TRIM('Raw Sales'!G2388))</x:f>
        <x:v>New York</x:v>
      </x:c>
      <x:c r="K2388" s="84" t="str">
        <x:f>PROPER(TRIM('Raw Sales'!H2388))</x:f>
        <x:v>Retail Store</x:v>
      </x:c>
      <x:c r="L2388" s="84" t="str">
        <x:f>'Raw Sales'!I2388</x:f>
        <x:v>CARE-002</x:v>
      </x:c>
      <x:c r="M2388" s="84" t="str">
        <x:f>IFERROR(VLOOKUP(L2388,'Reference Data'!$A$5:$F$40,2,FALSE),"Unknown Product")</x:f>
        <x:v>Rechargeable Trimmer</x:v>
      </x:c>
      <x:c r="N2388" s="84" t="str">
        <x:f>IFERROR(VLOOKUP(L2388,'Reference Data'!$A$5:$F$40,3,FALSE),"Unknown")</x:f>
        <x:v>Personal Care</x:v>
      </x:c>
      <x:c r="O2388" s="84" t="str">
        <x:f>IFERROR(VLOOKUP(L2388,'Reference Data'!$A$5:$F$40,4,FALSE),"Unknown")</x:f>
        <x:v>Grooming</x:v>
      </x:c>
      <x:c r="P2388" s="92" t="n">
        <x:f>IFERROR(VLOOKUP(L2388,'Reference Data'!$A$5:$F$40,5,FALSE),0)</x:f>
        <x:v>45</x:v>
      </x:c>
      <x:c r="Q2388" s="92" t="n">
        <x:f>IFERROR(VLOOKUP(L2388,'Reference Data'!$A$5:$F$40,6,FALSE),0)</x:f>
        <x:v>19</x:v>
      </x:c>
      <x:c r="R2388" s="84" t="n">
        <x:f>'Raw Sales'!J2388</x:f>
        <x:v>1</x:v>
      </x:c>
      <x:c r="S2388" s="87" t="n">
        <x:f>'Raw Sales'!K2388</x:f>
        <x:v>0.1</x:v>
      </x:c>
      <x:c r="T2388" s="93" t="n">
        <x:f>P2388*R2388</x:f>
        <x:v>45</x:v>
      </x:c>
      <x:c r="U2388" s="93" t="n">
        <x:f>T2388*S2388</x:f>
        <x:v>4.5</x:v>
      </x:c>
      <x:c r="V2388" s="93" t="str">
        <x:f>PROPER(TRIM('Raw Sales'!L2388))</x:f>
        <x:v>Completed</x:v>
      </x:c>
      <x:c r="W2388" s="93" t="n">
        <x:f>IF(V2388="Returned",0,T2388-U2388)</x:f>
        <x:v>40.5</x:v>
      </x:c>
      <x:c r="X2388" s="93" t="n">
        <x:f>IF(V2388="Returned",Q2388*R2388*10%,Q2388*R2388)</x:f>
        <x:v>19</x:v>
      </x:c>
      <x:c r="Y2388" s="93" t="n">
        <x:f>W2388-X2388</x:f>
        <x:v>21.5</x:v>
      </x:c>
      <x:c r="Z2388" s="94" t="n">
        <x:f>IFERROR(Y2388/W2388,0)</x:f>
        <x:v>0.5308641975308642</x:v>
      </x:c>
      <x:c r="AA2388" s="84" t="str">
        <x:f>PROPER(TRIM('Raw Sales'!M2388))</x:f>
        <x:v>Cash</x:v>
      </x:c>
      <x:c r="AB2388" s="84" t="str">
        <x:f>PROPER(TRIM('Raw Sales'!N2388))</x:f>
        <x:v>Sofia Bennett</x:v>
      </x:c>
      <x:c r="AC2388" s="85" t="n">
        <x:f>'Raw Sales'!O2388</x:f>
        <x:v>46014</x:v>
      </x:c>
      <x:c r="AD2388" s="84" t="n">
        <x:f>AC2388-B2388</x:f>
        <x:v>0</x:v>
      </x:c>
      <x:c r="AE2388" s="84" t="str">
        <x:f>IF(COUNTIF($A$5:A2388,A2388)&gt;1,"Duplicate","Keep")</x:f>
        <x:v>Keep</x:v>
      </x:c>
      <x:c r="AF2388" s="84" t="str">
        <x:f>IF(OR(R2388&lt;=0,AC2388&lt;B2388,H2388="Unknown",M2388="Unknown Product"),"Review","Valid")</x:f>
        <x:v>Valid</x:v>
      </x:c>
      <x:c r="AG2388" s="84" t="n">
        <x:f>IF(AND(AE2388="Keep",AF2388="Valid"),1,0)</x:f>
        <x:v>1</x:v>
      </x:c>
      <x:c r="AH2388" s="84" t="n">
        <x:f>IF(AND(AG2388=1,OR('Dashboard'!$B$4="All",I2388='Dashboard'!$B$4),OR('Dashboard'!$E$4="All",N2388='Dashboard'!$E$4),OR('Dashboard'!$H$4="All",K2388='Dashboard'!$H$4),OR('Dashboard'!$K$4="All",C2388='Dashboard'!$K$4)),1,0)</x:f>
        <x:v>1</x:v>
      </x:c>
      <x:c r="AI2388" s="84" t="n">
        <x:f>IF(AND(AG2388=1,OR('Dashboard'!$B$4="All",I2388='Dashboard'!$B$4),OR('Dashboard'!$E$4="All",N2388='Dashboard'!$E$4),OR('Dashboard'!$H$4="All",K2388='Dashboard'!$H$4)),1,0)</x:f>
        <x:v>1</x:v>
      </x:c>
    </x:row>
    <x:row r="2389">
      <x:c r="A2389" s="84" t="str">
        <x:f>'Raw Sales'!A2389</x:f>
        <x:v>ORD-2025-00072</x:v>
      </x:c>
      <x:c r="B2389" s="85" t="n">
        <x:f>'Raw Sales'!B2389</x:f>
        <x:v>46015</x:v>
      </x:c>
      <x:c r="C2389" s="84" t="n">
        <x:f>YEAR(B2389)</x:f>
        <x:v>2025</x:v>
      </x:c>
      <x:c r="D2389" s="91" t="n">
        <x:f>DATE(YEAR(B2389),MONTH(B2389),1)</x:f>
        <x:v>45992</x:v>
      </x:c>
      <x:c r="E2389" s="84" t="str">
        <x:f>TEXT(B2389,"mmm")</x:f>
        <x:v>Dec</x:v>
      </x:c>
      <x:c r="F2389" s="84" t="str">
        <x:f>'Raw Sales'!C2389</x:f>
        <x:v>CUST-0561</x:v>
      </x:c>
      <x:c r="G2389" s="84" t="str">
        <x:f>PROPER(TRIM('Raw Sales'!D2389))</x:f>
        <x:v>Marcus Johnson</x:v>
      </x:c>
      <x:c r="H2389" s="84" t="str">
        <x:f>IF(TRIM('Raw Sales'!E2389)="","Unknown",PROPER(TRIM('Raw Sales'!E2389)))</x:f>
        <x:v>Consumer</x:v>
      </x:c>
      <x:c r="I2389" s="84" t="str">
        <x:f>PROPER(TRIM('Raw Sales'!F2389))</x:f>
        <x:v>Southeast</x:v>
      </x:c>
      <x:c r="J2389" s="84" t="str">
        <x:f>PROPER(TRIM('Raw Sales'!G2389))</x:f>
        <x:v>Nashville</x:v>
      </x:c>
      <x:c r="K2389" s="84" t="str">
        <x:f>PROPER(TRIM('Raw Sales'!H2389))</x:f>
        <x:v>Marketplace</x:v>
      </x:c>
      <x:c r="L2389" s="84" t="str">
        <x:f>'Raw Sales'!I2389</x:f>
        <x:v>ELEC-002</x:v>
      </x:c>
      <x:c r="M2389" s="84" t="str">
        <x:f>IFERROR(VLOOKUP(L2389,'Reference Data'!$A$5:$F$40,2,FALSE),"Unknown Product")</x:f>
        <x:v>Smartwatch</x:v>
      </x:c>
      <x:c r="N2389" s="84" t="str">
        <x:f>IFERROR(VLOOKUP(L2389,'Reference Data'!$A$5:$F$40,3,FALSE),"Unknown")</x:f>
        <x:v>Electronics</x:v>
      </x:c>
      <x:c r="O2389" s="84" t="str">
        <x:f>IFERROR(VLOOKUP(L2389,'Reference Data'!$A$5:$F$40,4,FALSE),"Unknown")</x:f>
        <x:v>Wearables</x:v>
      </x:c>
      <x:c r="P2389" s="92" t="n">
        <x:f>IFERROR(VLOOKUP(L2389,'Reference Data'!$A$5:$F$40,5,FALSE),0)</x:f>
        <x:v>159</x:v>
      </x:c>
      <x:c r="Q2389" s="92" t="n">
        <x:f>IFERROR(VLOOKUP(L2389,'Reference Data'!$A$5:$F$40,6,FALSE),0)</x:f>
        <x:v>92</x:v>
      </x:c>
      <x:c r="R2389" s="84" t="n">
        <x:f>'Raw Sales'!J2389</x:f>
        <x:v>1</x:v>
      </x:c>
      <x:c r="S2389" s="87" t="n">
        <x:f>'Raw Sales'!K2389</x:f>
        <x:v>0.05</x:v>
      </x:c>
      <x:c r="T2389" s="93" t="n">
        <x:f>P2389*R2389</x:f>
        <x:v>159</x:v>
      </x:c>
      <x:c r="U2389" s="93" t="n">
        <x:f>T2389*S2389</x:f>
        <x:v>7.95</x:v>
      </x:c>
      <x:c r="V2389" s="93" t="str">
        <x:f>PROPER(TRIM('Raw Sales'!L2389))</x:f>
        <x:v>Returned</x:v>
      </x:c>
      <x:c r="W2389" s="93" t="n">
        <x:f>IF(V2389="Returned",0,T2389-U2389)</x:f>
        <x:v>0</x:v>
      </x:c>
      <x:c r="X2389" s="93" t="n">
        <x:f>IF(V2389="Returned",Q2389*R2389*10%,Q2389*R2389)</x:f>
        <x:v>9.200000000000001</x:v>
      </x:c>
      <x:c r="Y2389" s="93" t="n">
        <x:f>W2389-X2389</x:f>
        <x:v>-9.200000000000001</x:v>
      </x:c>
      <x:c r="Z2389" s="94" t="n">
        <x:f>IFERROR(Y2389/W2389,0)</x:f>
        <x:v>0</x:v>
      </x:c>
      <x:c r="AA2389" s="84" t="str">
        <x:f>PROPER(TRIM('Raw Sales'!M2389))</x:f>
        <x:v>Mobile Wallet</x:v>
      </x:c>
      <x:c r="AB2389" s="84" t="str">
        <x:f>PROPER(TRIM('Raw Sales'!N2389))</x:f>
        <x:v>Noah Reed</x:v>
      </x:c>
      <x:c r="AC2389" s="85" t="n">
        <x:f>'Raw Sales'!O2389</x:f>
        <x:v>46021</x:v>
      </x:c>
      <x:c r="AD2389" s="84" t="n">
        <x:f>AC2389-B2389</x:f>
        <x:v>6</x:v>
      </x:c>
      <x:c r="AE2389" s="84" t="str">
        <x:f>IF(COUNTIF($A$5:A2389,A2389)&gt;1,"Duplicate","Keep")</x:f>
        <x:v>Keep</x:v>
      </x:c>
      <x:c r="AF2389" s="84" t="str">
        <x:f>IF(OR(R2389&lt;=0,AC2389&lt;B2389,H2389="Unknown",M2389="Unknown Product"),"Review","Valid")</x:f>
        <x:v>Valid</x:v>
      </x:c>
      <x:c r="AG2389" s="84" t="n">
        <x:f>IF(AND(AE2389="Keep",AF2389="Valid"),1,0)</x:f>
        <x:v>1</x:v>
      </x:c>
      <x:c r="AH2389" s="84" t="n">
        <x:f>IF(AND(AG2389=1,OR('Dashboard'!$B$4="All",I2389='Dashboard'!$B$4),OR('Dashboard'!$E$4="All",N2389='Dashboard'!$E$4),OR('Dashboard'!$H$4="All",K2389='Dashboard'!$H$4),OR('Dashboard'!$K$4="All",C2389='Dashboard'!$K$4)),1,0)</x:f>
        <x:v>1</x:v>
      </x:c>
      <x:c r="AI2389" s="84" t="n">
        <x:f>IF(AND(AG2389=1,OR('Dashboard'!$B$4="All",I2389='Dashboard'!$B$4),OR('Dashboard'!$E$4="All",N2389='Dashboard'!$E$4),OR('Dashboard'!$H$4="All",K2389='Dashboard'!$H$4)),1,0)</x:f>
        <x:v>1</x:v>
      </x:c>
    </x:row>
    <x:row r="2390">
      <x:c r="A2390" s="84" t="str">
        <x:f>'Raw Sales'!A2390</x:f>
        <x:v>ORD-2025-00375</x:v>
      </x:c>
      <x:c r="B2390" s="85" t="n">
        <x:f>'Raw Sales'!B2390</x:f>
        <x:v>46015</x:v>
      </x:c>
      <x:c r="C2390" s="84" t="n">
        <x:f>YEAR(B2390)</x:f>
        <x:v>2025</x:v>
      </x:c>
      <x:c r="D2390" s="91" t="n">
        <x:f>DATE(YEAR(B2390),MONTH(B2390),1)</x:f>
        <x:v>45992</x:v>
      </x:c>
      <x:c r="E2390" s="84" t="str">
        <x:f>TEXT(B2390,"mmm")</x:f>
        <x:v>Dec</x:v>
      </x:c>
      <x:c r="F2390" s="84" t="str">
        <x:f>'Raw Sales'!C2390</x:f>
        <x:v>CUST-0459</x:v>
      </x:c>
      <x:c r="G2390" s="84" t="str">
        <x:f>PROPER(TRIM('Raw Sales'!D2390))</x:f>
        <x:v>Theo Baker</x:v>
      </x:c>
      <x:c r="H2390" s="84" t="str">
        <x:f>IF(TRIM('Raw Sales'!E2390)="","Unknown",PROPER(TRIM('Raw Sales'!E2390)))</x:f>
        <x:v>Consumer</x:v>
      </x:c>
      <x:c r="I2390" s="84" t="str">
        <x:f>PROPER(TRIM('Raw Sales'!F2390))</x:f>
        <x:v>Southeast</x:v>
      </x:c>
      <x:c r="J2390" s="84" t="str">
        <x:f>PROPER(TRIM('Raw Sales'!G2390))</x:f>
        <x:v>Miami</x:v>
      </x:c>
      <x:c r="K2390" s="84" t="str">
        <x:f>PROPER(TRIM('Raw Sales'!H2390))</x:f>
        <x:v>Marketplace</x:v>
      </x:c>
      <x:c r="L2390" s="84" t="str">
        <x:f>'Raw Sales'!I2390</x:f>
        <x:v>ELEC-001</x:v>
      </x:c>
      <x:c r="M2390" s="84" t="str">
        <x:f>IFERROR(VLOOKUP(L2390,'Reference Data'!$A$5:$F$40,2,FALSE),"Unknown Product")</x:f>
        <x:v>Wireless Earbuds</x:v>
      </x:c>
      <x:c r="N2390" s="84" t="str">
        <x:f>IFERROR(VLOOKUP(L2390,'Reference Data'!$A$5:$F$40,3,FALSE),"Unknown")</x:f>
        <x:v>Electronics</x:v>
      </x:c>
      <x:c r="O2390" s="84" t="str">
        <x:f>IFERROR(VLOOKUP(L2390,'Reference Data'!$A$5:$F$40,4,FALSE),"Unknown")</x:f>
        <x:v>Audio</x:v>
      </x:c>
      <x:c r="P2390" s="92" t="n">
        <x:f>IFERROR(VLOOKUP(L2390,'Reference Data'!$A$5:$F$40,5,FALSE),0)</x:f>
        <x:v>69</x:v>
      </x:c>
      <x:c r="Q2390" s="92" t="n">
        <x:f>IFERROR(VLOOKUP(L2390,'Reference Data'!$A$5:$F$40,6,FALSE),0)</x:f>
        <x:v>36</x:v>
      </x:c>
      <x:c r="R2390" s="84" t="n">
        <x:f>'Raw Sales'!J2390</x:f>
        <x:v>1</x:v>
      </x:c>
      <x:c r="S2390" s="87" t="n">
        <x:f>'Raw Sales'!K2390</x:f>
        <x:v>0.2</x:v>
      </x:c>
      <x:c r="T2390" s="93" t="n">
        <x:f>P2390*R2390</x:f>
        <x:v>69</x:v>
      </x:c>
      <x:c r="U2390" s="93" t="n">
        <x:f>T2390*S2390</x:f>
        <x:v>13.8</x:v>
      </x:c>
      <x:c r="V2390" s="93" t="str">
        <x:f>PROPER(TRIM('Raw Sales'!L2390))</x:f>
        <x:v>Returned</x:v>
      </x:c>
      <x:c r="W2390" s="93" t="n">
        <x:f>IF(V2390="Returned",0,T2390-U2390)</x:f>
        <x:v>0</x:v>
      </x:c>
      <x:c r="X2390" s="93" t="n">
        <x:f>IF(V2390="Returned",Q2390*R2390*10%,Q2390*R2390)</x:f>
        <x:v>3.6</x:v>
      </x:c>
      <x:c r="Y2390" s="93" t="n">
        <x:f>W2390-X2390</x:f>
        <x:v>-3.6</x:v>
      </x:c>
      <x:c r="Z2390" s="94" t="n">
        <x:f>IFERROR(Y2390/W2390,0)</x:f>
        <x:v>0</x:v>
      </x:c>
      <x:c r="AA2390" s="84" t="str">
        <x:f>PROPER(TRIM('Raw Sales'!M2390))</x:f>
        <x:v>Mobile Wallet</x:v>
      </x:c>
      <x:c r="AB2390" s="84" t="str">
        <x:f>PROPER(TRIM('Raw Sales'!N2390))</x:f>
        <x:v>Liam Parker</x:v>
      </x:c>
      <x:c r="AC2390" s="85" t="n">
        <x:f>'Raw Sales'!O2390</x:f>
        <x:v>46023</x:v>
      </x:c>
      <x:c r="AD2390" s="84" t="n">
        <x:f>AC2390-B2390</x:f>
        <x:v>8</x:v>
      </x:c>
      <x:c r="AE2390" s="84" t="str">
        <x:f>IF(COUNTIF($A$5:A2390,A2390)&gt;1,"Duplicate","Keep")</x:f>
        <x:v>Keep</x:v>
      </x:c>
      <x:c r="AF2390" s="84" t="str">
        <x:f>IF(OR(R2390&lt;=0,AC2390&lt;B2390,H2390="Unknown",M2390="Unknown Product"),"Review","Valid")</x:f>
        <x:v>Valid</x:v>
      </x:c>
      <x:c r="AG2390" s="84" t="n">
        <x:f>IF(AND(AE2390="Keep",AF2390="Valid"),1,0)</x:f>
        <x:v>1</x:v>
      </x:c>
      <x:c r="AH2390" s="84" t="n">
        <x:f>IF(AND(AG2390=1,OR('Dashboard'!$B$4="All",I2390='Dashboard'!$B$4),OR('Dashboard'!$E$4="All",N2390='Dashboard'!$E$4),OR('Dashboard'!$H$4="All",K2390='Dashboard'!$H$4),OR('Dashboard'!$K$4="All",C2390='Dashboard'!$K$4)),1,0)</x:f>
        <x:v>1</x:v>
      </x:c>
      <x:c r="AI2390" s="84" t="n">
        <x:f>IF(AND(AG2390=1,OR('Dashboard'!$B$4="All",I2390='Dashboard'!$B$4),OR('Dashboard'!$E$4="All",N2390='Dashboard'!$E$4),OR('Dashboard'!$H$4="All",K2390='Dashboard'!$H$4)),1,0)</x:f>
        <x:v>1</x:v>
      </x:c>
    </x:row>
    <x:row r="2391">
      <x:c r="A2391" s="84" t="str">
        <x:f>'Raw Sales'!A2391</x:f>
        <x:v>ORD-2025-00425</x:v>
      </x:c>
      <x:c r="B2391" s="85" t="n">
        <x:f>'Raw Sales'!B2391</x:f>
        <x:v>46015</x:v>
      </x:c>
      <x:c r="C2391" s="84" t="n">
        <x:f>YEAR(B2391)</x:f>
        <x:v>2025</x:v>
      </x:c>
      <x:c r="D2391" s="91" t="n">
        <x:f>DATE(YEAR(B2391),MONTH(B2391),1)</x:f>
        <x:v>45992</x:v>
      </x:c>
      <x:c r="E2391" s="84" t="str">
        <x:f>TEXT(B2391,"mmm")</x:f>
        <x:v>Dec</x:v>
      </x:c>
      <x:c r="F2391" s="84" t="str">
        <x:f>'Raw Sales'!C2391</x:f>
        <x:v>CUST-0214</x:v>
      </x:c>
      <x:c r="G2391" s="84" t="str">
        <x:f>PROPER(TRIM('Raw Sales'!D2391))</x:f>
        <x:v>Priya Taylor</x:v>
      </x:c>
      <x:c r="H2391" s="84" t="str">
        <x:f>IF(TRIM('Raw Sales'!E2391)="","Unknown",PROPER(TRIM('Raw Sales'!E2391)))</x:f>
        <x:v>Consumer</x:v>
      </x:c>
      <x:c r="I2391" s="84" t="str">
        <x:f>PROPER(TRIM('Raw Sales'!F2391))</x:f>
        <x:v>Southeast</x:v>
      </x:c>
      <x:c r="J2391" s="84" t="str">
        <x:f>PROPER(TRIM('Raw Sales'!G2391))</x:f>
        <x:v>Nashville</x:v>
      </x:c>
      <x:c r="K2391" s="84" t="str">
        <x:f>PROPER(TRIM('Raw Sales'!H2391))</x:f>
        <x:v>Retail Store</x:v>
      </x:c>
      <x:c r="L2391" s="84" t="str">
        <x:f>'Raw Sales'!I2391</x:f>
        <x:v>ACCS-003</x:v>
      </x:c>
      <x:c r="M2391" s="84" t="str">
        <x:f>IFERROR(VLOOKUP(L2391,'Reference Data'!$A$5:$F$40,2,FALSE),"Unknown Product")</x:f>
        <x:v>Polarized Sunglasses</x:v>
      </x:c>
      <x:c r="N2391" s="84" t="str">
        <x:f>IFERROR(VLOOKUP(L2391,'Reference Data'!$A$5:$F$40,3,FALSE),"Unknown")</x:f>
        <x:v>Accessories</x:v>
      </x:c>
      <x:c r="O2391" s="84" t="str">
        <x:f>IFERROR(VLOOKUP(L2391,'Reference Data'!$A$5:$F$40,4,FALSE),"Unknown")</x:f>
        <x:v>Eyewear</x:v>
      </x:c>
      <x:c r="P2391" s="92" t="n">
        <x:f>IFERROR(VLOOKUP(L2391,'Reference Data'!$A$5:$F$40,5,FALSE),0)</x:f>
        <x:v>59</x:v>
      </x:c>
      <x:c r="Q2391" s="92" t="n">
        <x:f>IFERROR(VLOOKUP(L2391,'Reference Data'!$A$5:$F$40,6,FALSE),0)</x:f>
        <x:v>17</x:v>
      </x:c>
      <x:c r="R2391" s="84" t="n">
        <x:f>'Raw Sales'!J2391</x:f>
        <x:v>2</x:v>
      </x:c>
      <x:c r="S2391" s="87" t="n">
        <x:f>'Raw Sales'!K2391</x:f>
        <x:v>0</x:v>
      </x:c>
      <x:c r="T2391" s="93" t="n">
        <x:f>P2391*R2391</x:f>
        <x:v>118</x:v>
      </x:c>
      <x:c r="U2391" s="93" t="n">
        <x:f>T2391*S2391</x:f>
        <x:v>0</x:v>
      </x:c>
      <x:c r="V2391" s="93" t="str">
        <x:f>PROPER(TRIM('Raw Sales'!L2391))</x:f>
        <x:v>Completed</x:v>
      </x:c>
      <x:c r="W2391" s="93" t="n">
        <x:f>IF(V2391="Returned",0,T2391-U2391)</x:f>
        <x:v>118</x:v>
      </x:c>
      <x:c r="X2391" s="93" t="n">
        <x:f>IF(V2391="Returned",Q2391*R2391*10%,Q2391*R2391)</x:f>
        <x:v>34</x:v>
      </x:c>
      <x:c r="Y2391" s="93" t="n">
        <x:f>W2391-X2391</x:f>
        <x:v>84</x:v>
      </x:c>
      <x:c r="Z2391" s="94" t="n">
        <x:f>IFERROR(Y2391/W2391,0)</x:f>
        <x:v>0.711864406779661</x:v>
      </x:c>
      <x:c r="AA2391" s="84" t="str">
        <x:f>PROPER(TRIM('Raw Sales'!M2391))</x:f>
        <x:v>Mobile Wallet</x:v>
      </x:c>
      <x:c r="AB2391" s="84" t="str">
        <x:f>PROPER(TRIM('Raw Sales'!N2391))</x:f>
        <x:v>Liam Parker</x:v>
      </x:c>
      <x:c r="AC2391" s="85" t="n">
        <x:f>'Raw Sales'!O2391</x:f>
        <x:v>46015</x:v>
      </x:c>
      <x:c r="AD2391" s="84" t="n">
        <x:f>AC2391-B2391</x:f>
        <x:v>0</x:v>
      </x:c>
      <x:c r="AE2391" s="84" t="str">
        <x:f>IF(COUNTIF($A$5:A2391,A2391)&gt;1,"Duplicate","Keep")</x:f>
        <x:v>Keep</x:v>
      </x:c>
      <x:c r="AF2391" s="84" t="str">
        <x:f>IF(OR(R2391&lt;=0,AC2391&lt;B2391,H2391="Unknown",M2391="Unknown Product"),"Review","Valid")</x:f>
        <x:v>Valid</x:v>
      </x:c>
      <x:c r="AG2391" s="84" t="n">
        <x:f>IF(AND(AE2391="Keep",AF2391="Valid"),1,0)</x:f>
        <x:v>1</x:v>
      </x:c>
      <x:c r="AH2391" s="84" t="n">
        <x:f>IF(AND(AG2391=1,OR('Dashboard'!$B$4="All",I2391='Dashboard'!$B$4),OR('Dashboard'!$E$4="All",N2391='Dashboard'!$E$4),OR('Dashboard'!$H$4="All",K2391='Dashboard'!$H$4),OR('Dashboard'!$K$4="All",C2391='Dashboard'!$K$4)),1,0)</x:f>
        <x:v>1</x:v>
      </x:c>
      <x:c r="AI2391" s="84" t="n">
        <x:f>IF(AND(AG2391=1,OR('Dashboard'!$B$4="All",I2391='Dashboard'!$B$4),OR('Dashboard'!$E$4="All",N2391='Dashboard'!$E$4),OR('Dashboard'!$H$4="All",K2391='Dashboard'!$H$4)),1,0)</x:f>
        <x:v>1</x:v>
      </x:c>
    </x:row>
    <x:row r="2392">
      <x:c r="A2392" s="84" t="str">
        <x:f>'Raw Sales'!A2392</x:f>
        <x:v>ORD-2025-00676</x:v>
      </x:c>
      <x:c r="B2392" s="85" t="n">
        <x:f>'Raw Sales'!B2392</x:f>
        <x:v>46015</x:v>
      </x:c>
      <x:c r="C2392" s="84" t="n">
        <x:f>YEAR(B2392)</x:f>
        <x:v>2025</x:v>
      </x:c>
      <x:c r="D2392" s="91" t="n">
        <x:f>DATE(YEAR(B2392),MONTH(B2392),1)</x:f>
        <x:v>45992</x:v>
      </x:c>
      <x:c r="E2392" s="84" t="str">
        <x:f>TEXT(B2392,"mmm")</x:f>
        <x:v>Dec</x:v>
      </x:c>
      <x:c r="F2392" s="84" t="str">
        <x:f>'Raw Sales'!C2392</x:f>
        <x:v>CUST-0040</x:v>
      </x:c>
      <x:c r="G2392" s="84" t="str">
        <x:f>PROPER(TRIM('Raw Sales'!D2392))</x:f>
        <x:v>Elias Irwin</x:v>
      </x:c>
      <x:c r="H2392" s="84" t="str">
        <x:f>IF(TRIM('Raw Sales'!E2392)="","Unknown",PROPER(TRIM('Raw Sales'!E2392)))</x:f>
        <x:v>Small Business</x:v>
      </x:c>
      <x:c r="I2392" s="84" t="str">
        <x:f>PROPER(TRIM('Raw Sales'!F2392))</x:f>
        <x:v>Southeast</x:v>
      </x:c>
      <x:c r="J2392" s="84" t="str">
        <x:f>PROPER(TRIM('Raw Sales'!G2392))</x:f>
        <x:v>Charlotte</x:v>
      </x:c>
      <x:c r="K2392" s="84" t="str">
        <x:f>PROPER(TRIM('Raw Sales'!H2392))</x:f>
        <x:v>Retail Store</x:v>
      </x:c>
      <x:c r="L2392" s="84" t="str">
        <x:f>'Raw Sales'!I2392</x:f>
        <x:v>OFFC-005</x:v>
      </x:c>
      <x:c r="M2392" s="84" t="str">
        <x:f>IFERROR(VLOOKUP(L2392,'Reference Data'!$A$5:$F$40,2,FALSE),"Unknown Product")</x:f>
        <x:v>Wireless Keyboard</x:v>
      </x:c>
      <x:c r="N2392" s="84" t="str">
        <x:f>IFERROR(VLOOKUP(L2392,'Reference Data'!$A$5:$F$40,3,FALSE),"Unknown")</x:f>
        <x:v>Office</x:v>
      </x:c>
      <x:c r="O2392" s="84" t="str">
        <x:f>IFERROR(VLOOKUP(L2392,'Reference Data'!$A$5:$F$40,4,FALSE),"Unknown")</x:f>
        <x:v>Computer Accessories</x:v>
      </x:c>
      <x:c r="P2392" s="92" t="n">
        <x:f>IFERROR(VLOOKUP(L2392,'Reference Data'!$A$5:$F$40,5,FALSE),0)</x:f>
        <x:v>59</x:v>
      </x:c>
      <x:c r="Q2392" s="92" t="n">
        <x:f>IFERROR(VLOOKUP(L2392,'Reference Data'!$A$5:$F$40,6,FALSE),0)</x:f>
        <x:v>28</x:v>
      </x:c>
      <x:c r="R2392" s="84" t="n">
        <x:f>'Raw Sales'!J2392</x:f>
        <x:v>2</x:v>
      </x:c>
      <x:c r="S2392" s="87" t="n">
        <x:f>'Raw Sales'!K2392</x:f>
        <x:v>0.15</x:v>
      </x:c>
      <x:c r="T2392" s="93" t="n">
        <x:f>P2392*R2392</x:f>
        <x:v>118</x:v>
      </x:c>
      <x:c r="U2392" s="93" t="n">
        <x:f>T2392*S2392</x:f>
        <x:v>17.7</x:v>
      </x:c>
      <x:c r="V2392" s="93" t="str">
        <x:f>PROPER(TRIM('Raw Sales'!L2392))</x:f>
        <x:v>Completed</x:v>
      </x:c>
      <x:c r="W2392" s="93" t="n">
        <x:f>IF(V2392="Returned",0,T2392-U2392)</x:f>
        <x:v>100.3</x:v>
      </x:c>
      <x:c r="X2392" s="93" t="n">
        <x:f>IF(V2392="Returned",Q2392*R2392*10%,Q2392*R2392)</x:f>
        <x:v>56</x:v>
      </x:c>
      <x:c r="Y2392" s="93" t="n">
        <x:f>W2392-X2392</x:f>
        <x:v>44.3</x:v>
      </x:c>
      <x:c r="Z2392" s="94" t="n">
        <x:f>IFERROR(Y2392/W2392,0)</x:f>
        <x:v>0.44167497507477566</x:v>
      </x:c>
      <x:c r="AA2392" s="84" t="str">
        <x:f>PROPER(TRIM('Raw Sales'!M2392))</x:f>
        <x:v>Credit Card</x:v>
      </x:c>
      <x:c r="AB2392" s="84" t="str">
        <x:f>PROPER(TRIM('Raw Sales'!N2392))</x:f>
        <x:v>Ava Mitchell</x:v>
      </x:c>
      <x:c r="AC2392" s="85" t="n">
        <x:f>'Raw Sales'!O2392</x:f>
        <x:v>46015</x:v>
      </x:c>
      <x:c r="AD2392" s="84" t="n">
        <x:f>AC2392-B2392</x:f>
        <x:v>0</x:v>
      </x:c>
      <x:c r="AE2392" s="84" t="str">
        <x:f>IF(COUNTIF($A$5:A2392,A2392)&gt;1,"Duplicate","Keep")</x:f>
        <x:v>Keep</x:v>
      </x:c>
      <x:c r="AF2392" s="84" t="str">
        <x:f>IF(OR(R2392&lt;=0,AC2392&lt;B2392,H2392="Unknown",M2392="Unknown Product"),"Review","Valid")</x:f>
        <x:v>Valid</x:v>
      </x:c>
      <x:c r="AG2392" s="84" t="n">
        <x:f>IF(AND(AE2392="Keep",AF2392="Valid"),1,0)</x:f>
        <x:v>1</x:v>
      </x:c>
      <x:c r="AH2392" s="84" t="n">
        <x:f>IF(AND(AG2392=1,OR('Dashboard'!$B$4="All",I2392='Dashboard'!$B$4),OR('Dashboard'!$E$4="All",N2392='Dashboard'!$E$4),OR('Dashboard'!$H$4="All",K2392='Dashboard'!$H$4),OR('Dashboard'!$K$4="All",C2392='Dashboard'!$K$4)),1,0)</x:f>
        <x:v>1</x:v>
      </x:c>
      <x:c r="AI2392" s="84" t="n">
        <x:f>IF(AND(AG2392=1,OR('Dashboard'!$B$4="All",I2392='Dashboard'!$B$4),OR('Dashboard'!$E$4="All",N2392='Dashboard'!$E$4),OR('Dashboard'!$H$4="All",K2392='Dashboard'!$H$4)),1,0)</x:f>
        <x:v>1</x:v>
      </x:c>
    </x:row>
    <x:row r="2393">
      <x:c r="A2393" s="84" t="str">
        <x:f>'Raw Sales'!A2393</x:f>
        <x:v>ORD-2025-01341</x:v>
      </x:c>
      <x:c r="B2393" s="85" t="n">
        <x:f>'Raw Sales'!B2393</x:f>
        <x:v>46015</x:v>
      </x:c>
      <x:c r="C2393" s="84" t="n">
        <x:f>YEAR(B2393)</x:f>
        <x:v>2025</x:v>
      </x:c>
      <x:c r="D2393" s="91" t="n">
        <x:f>DATE(YEAR(B2393),MONTH(B2393),1)</x:f>
        <x:v>45992</x:v>
      </x:c>
      <x:c r="E2393" s="84" t="str">
        <x:f>TEXT(B2393,"mmm")</x:f>
        <x:v>Dec</x:v>
      </x:c>
      <x:c r="F2393" s="84" t="str">
        <x:f>'Raw Sales'!C2393</x:f>
        <x:v>CUST-0561</x:v>
      </x:c>
      <x:c r="G2393" s="84" t="str">
        <x:f>PROPER(TRIM('Raw Sales'!D2393))</x:f>
        <x:v>Marcus Johnson</x:v>
      </x:c>
      <x:c r="H2393" s="84" t="str">
        <x:f>IF(TRIM('Raw Sales'!E2393)="","Unknown",PROPER(TRIM('Raw Sales'!E2393)))</x:f>
        <x:v>Consumer</x:v>
      </x:c>
      <x:c r="I2393" s="84" t="str">
        <x:f>PROPER(TRIM('Raw Sales'!F2393))</x:f>
        <x:v>Southeast</x:v>
      </x:c>
      <x:c r="J2393" s="84" t="str">
        <x:f>PROPER(TRIM('Raw Sales'!G2393))</x:f>
        <x:v>Nashville</x:v>
      </x:c>
      <x:c r="K2393" s="84" t="str">
        <x:f>PROPER(TRIM('Raw Sales'!H2393))</x:f>
        <x:v>Online</x:v>
      </x:c>
      <x:c r="L2393" s="84" t="str">
        <x:f>'Raw Sales'!I2393</x:f>
        <x:v>ELEC-001</x:v>
      </x:c>
      <x:c r="M2393" s="84" t="str">
        <x:f>IFERROR(VLOOKUP(L2393,'Reference Data'!$A$5:$F$40,2,FALSE),"Unknown Product")</x:f>
        <x:v>Wireless Earbuds</x:v>
      </x:c>
      <x:c r="N2393" s="84" t="str">
        <x:f>IFERROR(VLOOKUP(L2393,'Reference Data'!$A$5:$F$40,3,FALSE),"Unknown")</x:f>
        <x:v>Electronics</x:v>
      </x:c>
      <x:c r="O2393" s="84" t="str">
        <x:f>IFERROR(VLOOKUP(L2393,'Reference Data'!$A$5:$F$40,4,FALSE),"Unknown")</x:f>
        <x:v>Audio</x:v>
      </x:c>
      <x:c r="P2393" s="92" t="n">
        <x:f>IFERROR(VLOOKUP(L2393,'Reference Data'!$A$5:$F$40,5,FALSE),0)</x:f>
        <x:v>69</x:v>
      </x:c>
      <x:c r="Q2393" s="92" t="n">
        <x:f>IFERROR(VLOOKUP(L2393,'Reference Data'!$A$5:$F$40,6,FALSE),0)</x:f>
        <x:v>36</x:v>
      </x:c>
      <x:c r="R2393" s="84" t="n">
        <x:f>'Raw Sales'!J2393</x:f>
        <x:v>2</x:v>
      </x:c>
      <x:c r="S2393" s="87" t="n">
        <x:f>'Raw Sales'!K2393</x:f>
        <x:v>0.2</x:v>
      </x:c>
      <x:c r="T2393" s="93" t="n">
        <x:f>P2393*R2393</x:f>
        <x:v>138</x:v>
      </x:c>
      <x:c r="U2393" s="93" t="n">
        <x:f>T2393*S2393</x:f>
        <x:v>27.6</x:v>
      </x:c>
      <x:c r="V2393" s="93" t="str">
        <x:f>PROPER(TRIM('Raw Sales'!L2393))</x:f>
        <x:v>Completed</x:v>
      </x:c>
      <x:c r="W2393" s="93" t="n">
        <x:f>IF(V2393="Returned",0,T2393-U2393)</x:f>
        <x:v>110.4</x:v>
      </x:c>
      <x:c r="X2393" s="93" t="n">
        <x:f>IF(V2393="Returned",Q2393*R2393*10%,Q2393*R2393)</x:f>
        <x:v>72</x:v>
      </x:c>
      <x:c r="Y2393" s="93" t="n">
        <x:f>W2393-X2393</x:f>
        <x:v>38.400000000000006</x:v>
      </x:c>
      <x:c r="Z2393" s="94" t="n">
        <x:f>IFERROR(Y2393/W2393,0)</x:f>
        <x:v>0.3478260869565218</x:v>
      </x:c>
      <x:c r="AA2393" s="84" t="str">
        <x:f>PROPER(TRIM('Raw Sales'!M2393))</x:f>
        <x:v>Credit Card</x:v>
      </x:c>
      <x:c r="AB2393" s="84" t="str">
        <x:f>PROPER(TRIM('Raw Sales'!N2393))</x:f>
        <x:v>Ava Mitchell</x:v>
      </x:c>
      <x:c r="AC2393" s="85" t="n">
        <x:f>'Raw Sales'!O2393</x:f>
        <x:v>46018</x:v>
      </x:c>
      <x:c r="AD2393" s="84" t="n">
        <x:f>AC2393-B2393</x:f>
        <x:v>3</x:v>
      </x:c>
      <x:c r="AE2393" s="84" t="str">
        <x:f>IF(COUNTIF($A$5:A2393,A2393)&gt;1,"Duplicate","Keep")</x:f>
        <x:v>Keep</x:v>
      </x:c>
      <x:c r="AF2393" s="84" t="str">
        <x:f>IF(OR(R2393&lt;=0,AC2393&lt;B2393,H2393="Unknown",M2393="Unknown Product"),"Review","Valid")</x:f>
        <x:v>Valid</x:v>
      </x:c>
      <x:c r="AG2393" s="84" t="n">
        <x:f>IF(AND(AE2393="Keep",AF2393="Valid"),1,0)</x:f>
        <x:v>1</x:v>
      </x:c>
      <x:c r="AH2393" s="84" t="n">
        <x:f>IF(AND(AG2393=1,OR('Dashboard'!$B$4="All",I2393='Dashboard'!$B$4),OR('Dashboard'!$E$4="All",N2393='Dashboard'!$E$4),OR('Dashboard'!$H$4="All",K2393='Dashboard'!$H$4),OR('Dashboard'!$K$4="All",C2393='Dashboard'!$K$4)),1,0)</x:f>
        <x:v>1</x:v>
      </x:c>
      <x:c r="AI2393" s="84" t="n">
        <x:f>IF(AND(AG2393=1,OR('Dashboard'!$B$4="All",I2393='Dashboard'!$B$4),OR('Dashboard'!$E$4="All",N2393='Dashboard'!$E$4),OR('Dashboard'!$H$4="All",K2393='Dashboard'!$H$4)),1,0)</x:f>
        <x:v>1</x:v>
      </x:c>
    </x:row>
    <x:row r="2394">
      <x:c r="A2394" s="84" t="str">
        <x:f>'Raw Sales'!A2394</x:f>
        <x:v>ORD-2025-01527</x:v>
      </x:c>
      <x:c r="B2394" s="85" t="n">
        <x:f>'Raw Sales'!B2394</x:f>
        <x:v>46015</x:v>
      </x:c>
      <x:c r="C2394" s="84" t="n">
        <x:f>YEAR(B2394)</x:f>
        <x:v>2025</x:v>
      </x:c>
      <x:c r="D2394" s="91" t="n">
        <x:f>DATE(YEAR(B2394),MONTH(B2394),1)</x:f>
        <x:v>45992</x:v>
      </x:c>
      <x:c r="E2394" s="84" t="str">
        <x:f>TEXT(B2394,"mmm")</x:f>
        <x:v>Dec</x:v>
      </x:c>
      <x:c r="F2394" s="84" t="str">
        <x:f>'Raw Sales'!C2394</x:f>
        <x:v>CUST-0628</x:v>
      </x:c>
      <x:c r="G2394" s="84" t="str">
        <x:f>PROPER(TRIM('Raw Sales'!D2394))</x:f>
        <x:v>Isaac Young</x:v>
      </x:c>
      <x:c r="H2394" s="84" t="str">
        <x:f>IF(TRIM('Raw Sales'!E2394)="","Unknown",PROPER(TRIM('Raw Sales'!E2394)))</x:f>
        <x:v>Small Business</x:v>
      </x:c>
      <x:c r="I2394" s="84" t="str">
        <x:f>PROPER(TRIM('Raw Sales'!F2394))</x:f>
        <x:v>West</x:v>
      </x:c>
      <x:c r="J2394" s="84" t="str">
        <x:f>PROPER(TRIM('Raw Sales'!G2394))</x:f>
        <x:v>Denver</x:v>
      </x:c>
      <x:c r="K2394" s="84" t="str">
        <x:f>PROPER(TRIM('Raw Sales'!H2394))</x:f>
        <x:v>Retail Store</x:v>
      </x:c>
      <x:c r="L2394" s="84" t="str">
        <x:f>'Raw Sales'!I2394</x:f>
        <x:v>ACCS-006</x:v>
      </x:c>
      <x:c r="M2394" s="84" t="str">
        <x:f>IFERROR(VLOOKUP(L2394,'Reference Data'!$A$5:$F$40,2,FALSE),"Unknown Product")</x:f>
        <x:v>Insulated Lunch Bag</x:v>
      </x:c>
      <x:c r="N2394" s="84" t="str">
        <x:f>IFERROR(VLOOKUP(L2394,'Reference Data'!$A$5:$F$40,3,FALSE),"Unknown")</x:f>
        <x:v>Accessories</x:v>
      </x:c>
      <x:c r="O2394" s="84" t="str">
        <x:f>IFERROR(VLOOKUP(L2394,'Reference Data'!$A$5:$F$40,4,FALSE),"Unknown")</x:f>
        <x:v>Bags</x:v>
      </x:c>
      <x:c r="P2394" s="92" t="n">
        <x:f>IFERROR(VLOOKUP(L2394,'Reference Data'!$A$5:$F$40,5,FALSE),0)</x:f>
        <x:v>29</x:v>
      </x:c>
      <x:c r="Q2394" s="92" t="n">
        <x:f>IFERROR(VLOOKUP(L2394,'Reference Data'!$A$5:$F$40,6,FALSE),0)</x:f>
        <x:v>10</x:v>
      </x:c>
      <x:c r="R2394" s="84" t="n">
        <x:f>'Raw Sales'!J2394</x:f>
        <x:v>1</x:v>
      </x:c>
      <x:c r="S2394" s="87" t="n">
        <x:f>'Raw Sales'!K2394</x:f>
        <x:v>0.15</x:v>
      </x:c>
      <x:c r="T2394" s="93" t="n">
        <x:f>P2394*R2394</x:f>
        <x:v>29</x:v>
      </x:c>
      <x:c r="U2394" s="93" t="n">
        <x:f>T2394*S2394</x:f>
        <x:v>4.35</x:v>
      </x:c>
      <x:c r="V2394" s="93" t="str">
        <x:f>PROPER(TRIM('Raw Sales'!L2394))</x:f>
        <x:v>Completed</x:v>
      </x:c>
      <x:c r="W2394" s="93" t="n">
        <x:f>IF(V2394="Returned",0,T2394-U2394)</x:f>
        <x:v>24.65</x:v>
      </x:c>
      <x:c r="X2394" s="93" t="n">
        <x:f>IF(V2394="Returned",Q2394*R2394*10%,Q2394*R2394)</x:f>
        <x:v>10</x:v>
      </x:c>
      <x:c r="Y2394" s="93" t="n">
        <x:f>W2394-X2394</x:f>
        <x:v>14.649999999999999</x:v>
      </x:c>
      <x:c r="Z2394" s="94" t="n">
        <x:f>IFERROR(Y2394/W2394,0)</x:f>
        <x:v>0.5943204868154158</x:v>
      </x:c>
      <x:c r="AA2394" s="84" t="str">
        <x:f>PROPER(TRIM('Raw Sales'!M2394))</x:f>
        <x:v>Credit Card</x:v>
      </x:c>
      <x:c r="AB2394" s="84" t="str">
        <x:f>PROPER(TRIM('Raw Sales'!N2394))</x:f>
        <x:v>Leo Martinez</x:v>
      </x:c>
      <x:c r="AC2394" s="85" t="n">
        <x:f>'Raw Sales'!O2394</x:f>
        <x:v>46016</x:v>
      </x:c>
      <x:c r="AD2394" s="84" t="n">
        <x:f>AC2394-B2394</x:f>
        <x:v>1</x:v>
      </x:c>
      <x:c r="AE2394" s="84" t="str">
        <x:f>IF(COUNTIF($A$5:A2394,A2394)&gt;1,"Duplicate","Keep")</x:f>
        <x:v>Keep</x:v>
      </x:c>
      <x:c r="AF2394" s="84" t="str">
        <x:f>IF(OR(R2394&lt;=0,AC2394&lt;B2394,H2394="Unknown",M2394="Unknown Product"),"Review","Valid")</x:f>
        <x:v>Valid</x:v>
      </x:c>
      <x:c r="AG2394" s="84" t="n">
        <x:f>IF(AND(AE2394="Keep",AF2394="Valid"),1,0)</x:f>
        <x:v>1</x:v>
      </x:c>
      <x:c r="AH2394" s="84" t="n">
        <x:f>IF(AND(AG2394=1,OR('Dashboard'!$B$4="All",I2394='Dashboard'!$B$4),OR('Dashboard'!$E$4="All",N2394='Dashboard'!$E$4),OR('Dashboard'!$H$4="All",K2394='Dashboard'!$H$4),OR('Dashboard'!$K$4="All",C2394='Dashboard'!$K$4)),1,0)</x:f>
        <x:v>1</x:v>
      </x:c>
      <x:c r="AI2394" s="84" t="n">
        <x:f>IF(AND(AG2394=1,OR('Dashboard'!$B$4="All",I2394='Dashboard'!$B$4),OR('Dashboard'!$E$4="All",N2394='Dashboard'!$E$4),OR('Dashboard'!$H$4="All",K2394='Dashboard'!$H$4)),1,0)</x:f>
        <x:v>1</x:v>
      </x:c>
    </x:row>
    <x:row r="2395">
      <x:c r="A2395" s="84" t="str">
        <x:f>'Raw Sales'!A2395</x:f>
        <x:v>ORD-2025-01632</x:v>
      </x:c>
      <x:c r="B2395" s="85" t="n">
        <x:f>'Raw Sales'!B2395</x:f>
        <x:v>46015</x:v>
      </x:c>
      <x:c r="C2395" s="84" t="n">
        <x:f>YEAR(B2395)</x:f>
        <x:v>2025</x:v>
      </x:c>
      <x:c r="D2395" s="91" t="n">
        <x:f>DATE(YEAR(B2395),MONTH(B2395),1)</x:f>
        <x:v>45992</x:v>
      </x:c>
      <x:c r="E2395" s="84" t="str">
        <x:f>TEXT(B2395,"mmm")</x:f>
        <x:v>Dec</x:v>
      </x:c>
      <x:c r="F2395" s="84" t="str">
        <x:f>'Raw Sales'!C2395</x:f>
        <x:v>CUST-0145</x:v>
      </x:c>
      <x:c r="G2395" s="84" t="str">
        <x:f>PROPER(TRIM('Raw Sales'!D2395))</x:f>
        <x:v>Samuel Adams</x:v>
      </x:c>
      <x:c r="H2395" s="84" t="str">
        <x:f>IF(TRIM('Raw Sales'!E2395)="","Unknown",PROPER(TRIM('Raw Sales'!E2395)))</x:f>
        <x:v>Consumer</x:v>
      </x:c>
      <x:c r="I2395" s="84" t="str">
        <x:f>PROPER(TRIM('Raw Sales'!F2395))</x:f>
        <x:v>Southeast</x:v>
      </x:c>
      <x:c r="J2395" s="84" t="str">
        <x:f>PROPER(TRIM('Raw Sales'!G2395))</x:f>
        <x:v>Nashville</x:v>
      </x:c>
      <x:c r="K2395" s="84" t="str">
        <x:f>PROPER(TRIM('Raw Sales'!H2395))</x:f>
        <x:v>Retail Store</x:v>
      </x:c>
      <x:c r="L2395" s="84" t="str">
        <x:f>'Raw Sales'!I2395</x:f>
        <x:v>HOME-004</x:v>
      </x:c>
      <x:c r="M2395" s="84" t="str">
        <x:f>IFERROR(VLOOKUP(L2395,'Reference Data'!$A$5:$F$40,2,FALSE),"Unknown Product")</x:f>
        <x:v>Coffee Maker</x:v>
      </x:c>
      <x:c r="N2395" s="84" t="str">
        <x:f>IFERROR(VLOOKUP(L2395,'Reference Data'!$A$5:$F$40,3,FALSE),"Unknown")</x:f>
        <x:v>Home &amp; Kitchen</x:v>
      </x:c>
      <x:c r="O2395" s="84" t="str">
        <x:f>IFERROR(VLOOKUP(L2395,'Reference Data'!$A$5:$F$40,4,FALSE),"Unknown")</x:f>
        <x:v>Small Appliances</x:v>
      </x:c>
      <x:c r="P2395" s="92" t="n">
        <x:f>IFERROR(VLOOKUP(L2395,'Reference Data'!$A$5:$F$40,5,FALSE),0)</x:f>
        <x:v>99</x:v>
      </x:c>
      <x:c r="Q2395" s="92" t="n">
        <x:f>IFERROR(VLOOKUP(L2395,'Reference Data'!$A$5:$F$40,6,FALSE),0)</x:f>
        <x:v>51</x:v>
      </x:c>
      <x:c r="R2395" s="84" t="n">
        <x:f>'Raw Sales'!J2395</x:f>
        <x:v>1</x:v>
      </x:c>
      <x:c r="S2395" s="87" t="n">
        <x:f>'Raw Sales'!K2395</x:f>
        <x:v>0.1</x:v>
      </x:c>
      <x:c r="T2395" s="93" t="n">
        <x:f>P2395*R2395</x:f>
        <x:v>99</x:v>
      </x:c>
      <x:c r="U2395" s="93" t="n">
        <x:f>T2395*S2395</x:f>
        <x:v>9.9</x:v>
      </x:c>
      <x:c r="V2395" s="93" t="str">
        <x:f>PROPER(TRIM('Raw Sales'!L2395))</x:f>
        <x:v>Completed</x:v>
      </x:c>
      <x:c r="W2395" s="93" t="n">
        <x:f>IF(V2395="Returned",0,T2395-U2395)</x:f>
        <x:v>89.1</x:v>
      </x:c>
      <x:c r="X2395" s="93" t="n">
        <x:f>IF(V2395="Returned",Q2395*R2395*10%,Q2395*R2395)</x:f>
        <x:v>51</x:v>
      </x:c>
      <x:c r="Y2395" s="93" t="n">
        <x:f>W2395-X2395</x:f>
        <x:v>38.099999999999994</x:v>
      </x:c>
      <x:c r="Z2395" s="94" t="n">
        <x:f>IFERROR(Y2395/W2395,0)</x:f>
        <x:v>0.42760942760942755</x:v>
      </x:c>
      <x:c r="AA2395" s="84" t="str">
        <x:f>PROPER(TRIM('Raw Sales'!M2395))</x:f>
        <x:v>Debit Card</x:v>
      </x:c>
      <x:c r="AB2395" s="84" t="str">
        <x:f>PROPER(TRIM('Raw Sales'!N2395))</x:f>
        <x:v>Liam Parker</x:v>
      </x:c>
      <x:c r="AC2395" s="85" t="n">
        <x:f>'Raw Sales'!O2395</x:f>
        <x:v>46016</x:v>
      </x:c>
      <x:c r="AD2395" s="84" t="n">
        <x:f>AC2395-B2395</x:f>
        <x:v>1</x:v>
      </x:c>
      <x:c r="AE2395" s="84" t="str">
        <x:f>IF(COUNTIF($A$5:A2395,A2395)&gt;1,"Duplicate","Keep")</x:f>
        <x:v>Keep</x:v>
      </x:c>
      <x:c r="AF2395" s="84" t="str">
        <x:f>IF(OR(R2395&lt;=0,AC2395&lt;B2395,H2395="Unknown",M2395="Unknown Product"),"Review","Valid")</x:f>
        <x:v>Valid</x:v>
      </x:c>
      <x:c r="AG2395" s="84" t="n">
        <x:f>IF(AND(AE2395="Keep",AF2395="Valid"),1,0)</x:f>
        <x:v>1</x:v>
      </x:c>
      <x:c r="AH2395" s="84" t="n">
        <x:f>IF(AND(AG2395=1,OR('Dashboard'!$B$4="All",I2395='Dashboard'!$B$4),OR('Dashboard'!$E$4="All",N2395='Dashboard'!$E$4),OR('Dashboard'!$H$4="All",K2395='Dashboard'!$H$4),OR('Dashboard'!$K$4="All",C2395='Dashboard'!$K$4)),1,0)</x:f>
        <x:v>1</x:v>
      </x:c>
      <x:c r="AI2395" s="84" t="n">
        <x:f>IF(AND(AG2395=1,OR('Dashboard'!$B$4="All",I2395='Dashboard'!$B$4),OR('Dashboard'!$E$4="All",N2395='Dashboard'!$E$4),OR('Dashboard'!$H$4="All",K2395='Dashboard'!$H$4)),1,0)</x:f>
        <x:v>1</x:v>
      </x:c>
    </x:row>
    <x:row r="2396">
      <x:c r="A2396" s="84" t="str">
        <x:f>'Raw Sales'!A2396</x:f>
        <x:v>ORD-2025-02118</x:v>
      </x:c>
      <x:c r="B2396" s="85" t="n">
        <x:f>'Raw Sales'!B2396</x:f>
        <x:v>46015</x:v>
      </x:c>
      <x:c r="C2396" s="84" t="n">
        <x:f>YEAR(B2396)</x:f>
        <x:v>2025</x:v>
      </x:c>
      <x:c r="D2396" s="91" t="n">
        <x:f>DATE(YEAR(B2396),MONTH(B2396),1)</x:f>
        <x:v>45992</x:v>
      </x:c>
      <x:c r="E2396" s="84" t="str">
        <x:f>TEXT(B2396,"mmm")</x:f>
        <x:v>Dec</x:v>
      </x:c>
      <x:c r="F2396" s="84" t="str">
        <x:f>'Raw Sales'!C2396</x:f>
        <x:v>CUST-0498</x:v>
      </x:c>
      <x:c r="G2396" s="84" t="str">
        <x:f>PROPER(TRIM('Raw Sales'!D2396))</x:f>
        <x:v>Marcus Hall</x:v>
      </x:c>
      <x:c r="H2396" s="84" t="str">
        <x:f>IF(TRIM('Raw Sales'!E2396)="","Unknown",PROPER(TRIM('Raw Sales'!E2396)))</x:f>
        <x:v>Consumer</x:v>
      </x:c>
      <x:c r="I2396" s="84" t="str">
        <x:f>PROPER(TRIM('Raw Sales'!F2396))</x:f>
        <x:v>Midwest</x:v>
      </x:c>
      <x:c r="J2396" s="84" t="str">
        <x:f>PROPER(TRIM('Raw Sales'!G2396))</x:f>
        <x:v>Chicago</x:v>
      </x:c>
      <x:c r="K2396" s="84" t="str">
        <x:f>PROPER(TRIM('Raw Sales'!H2396))</x:f>
        <x:v>Marketplace</x:v>
      </x:c>
      <x:c r="L2396" s="84" t="str">
        <x:f>'Raw Sales'!I2396</x:f>
        <x:v>OFFC-002</x:v>
      </x:c>
      <x:c r="M2396" s="84" t="str">
        <x:f>IFERROR(VLOOKUP(L2396,'Reference Data'!$A$5:$F$40,2,FALSE),"Unknown Product")</x:f>
        <x:v>Standing Desk</x:v>
      </x:c>
      <x:c r="N2396" s="84" t="str">
        <x:f>IFERROR(VLOOKUP(L2396,'Reference Data'!$A$5:$F$40,3,FALSE),"Unknown")</x:f>
        <x:v>Office</x:v>
      </x:c>
      <x:c r="O2396" s="84" t="str">
        <x:f>IFERROR(VLOOKUP(L2396,'Reference Data'!$A$5:$F$40,4,FALSE),"Unknown")</x:f>
        <x:v>Furniture</x:v>
      </x:c>
      <x:c r="P2396" s="92" t="n">
        <x:f>IFERROR(VLOOKUP(L2396,'Reference Data'!$A$5:$F$40,5,FALSE),0)</x:f>
        <x:v>399</x:v>
      </x:c>
      <x:c r="Q2396" s="92" t="n">
        <x:f>IFERROR(VLOOKUP(L2396,'Reference Data'!$A$5:$F$40,6,FALSE),0)</x:f>
        <x:v>235</x:v>
      </x:c>
      <x:c r="R2396" s="84" t="n">
        <x:f>'Raw Sales'!J2396</x:f>
        <x:v>2</x:v>
      </x:c>
      <x:c r="S2396" s="87" t="n">
        <x:f>'Raw Sales'!K2396</x:f>
        <x:v>0.05</x:v>
      </x:c>
      <x:c r="T2396" s="93" t="n">
        <x:f>P2396*R2396</x:f>
        <x:v>798</x:v>
      </x:c>
      <x:c r="U2396" s="93" t="n">
        <x:f>T2396*S2396</x:f>
        <x:v>39.900000000000006</x:v>
      </x:c>
      <x:c r="V2396" s="93" t="str">
        <x:f>PROPER(TRIM('Raw Sales'!L2396))</x:f>
        <x:v>Completed</x:v>
      </x:c>
      <x:c r="W2396" s="93" t="n">
        <x:f>IF(V2396="Returned",0,T2396-U2396)</x:f>
        <x:v>758.1</x:v>
      </x:c>
      <x:c r="X2396" s="93" t="n">
        <x:f>IF(V2396="Returned",Q2396*R2396*10%,Q2396*R2396)</x:f>
        <x:v>470</x:v>
      </x:c>
      <x:c r="Y2396" s="93" t="n">
        <x:f>W2396-X2396</x:f>
        <x:v>288.1</x:v>
      </x:c>
      <x:c r="Z2396" s="94" t="n">
        <x:f>IFERROR(Y2396/W2396,0)</x:f>
        <x:v>0.38002901991821664</x:v>
      </x:c>
      <x:c r="AA2396" s="84" t="str">
        <x:f>PROPER(TRIM('Raw Sales'!M2396))</x:f>
        <x:v>Debit Card</x:v>
      </x:c>
      <x:c r="AB2396" s="84" t="str">
        <x:f>PROPER(TRIM('Raw Sales'!N2396))</x:f>
        <x:v>Zoe Turner</x:v>
      </x:c>
      <x:c r="AC2396" s="85" t="n">
        <x:f>'Raw Sales'!O2396</x:f>
        <x:v>46020</x:v>
      </x:c>
      <x:c r="AD2396" s="84" t="n">
        <x:f>AC2396-B2396</x:f>
        <x:v>5</x:v>
      </x:c>
      <x:c r="AE2396" s="84" t="str">
        <x:f>IF(COUNTIF($A$5:A2396,A2396)&gt;1,"Duplicate","Keep")</x:f>
        <x:v>Keep</x:v>
      </x:c>
      <x:c r="AF2396" s="84" t="str">
        <x:f>IF(OR(R2396&lt;=0,AC2396&lt;B2396,H2396="Unknown",M2396="Unknown Product"),"Review","Valid")</x:f>
        <x:v>Valid</x:v>
      </x:c>
      <x:c r="AG2396" s="84" t="n">
        <x:f>IF(AND(AE2396="Keep",AF2396="Valid"),1,0)</x:f>
        <x:v>1</x:v>
      </x:c>
      <x:c r="AH2396" s="84" t="n">
        <x:f>IF(AND(AG2396=1,OR('Dashboard'!$B$4="All",I2396='Dashboard'!$B$4),OR('Dashboard'!$E$4="All",N2396='Dashboard'!$E$4),OR('Dashboard'!$H$4="All",K2396='Dashboard'!$H$4),OR('Dashboard'!$K$4="All",C2396='Dashboard'!$K$4)),1,0)</x:f>
        <x:v>1</x:v>
      </x:c>
      <x:c r="AI2396" s="84" t="n">
        <x:f>IF(AND(AG2396=1,OR('Dashboard'!$B$4="All",I2396='Dashboard'!$B$4),OR('Dashboard'!$E$4="All",N2396='Dashboard'!$E$4),OR('Dashboard'!$H$4="All",K2396='Dashboard'!$H$4)),1,0)</x:f>
        <x:v>1</x:v>
      </x:c>
    </x:row>
    <x:row r="2397">
      <x:c r="A2397" s="84" t="str">
        <x:f>'Raw Sales'!A2397</x:f>
        <x:v>ORD-2025-02169</x:v>
      </x:c>
      <x:c r="B2397" s="85" t="n">
        <x:f>'Raw Sales'!B2397</x:f>
        <x:v>46015</x:v>
      </x:c>
      <x:c r="C2397" s="84" t="n">
        <x:f>YEAR(B2397)</x:f>
        <x:v>2025</x:v>
      </x:c>
      <x:c r="D2397" s="91" t="n">
        <x:f>DATE(YEAR(B2397),MONTH(B2397),1)</x:f>
        <x:v>45992</x:v>
      </x:c>
      <x:c r="E2397" s="84" t="str">
        <x:f>TEXT(B2397,"mmm")</x:f>
        <x:v>Dec</x:v>
      </x:c>
      <x:c r="F2397" s="84" t="str">
        <x:f>'Raw Sales'!C2397</x:f>
        <x:v>CUST-0624</x:v>
      </x:c>
      <x:c r="G2397" s="84" t="str">
        <x:f>PROPER(TRIM('Raw Sales'!D2397))</x:f>
        <x:v>Nina Irwin</x:v>
      </x:c>
      <x:c r="H2397" s="84" t="str">
        <x:f>IF(TRIM('Raw Sales'!E2397)="","Unknown",PROPER(TRIM('Raw Sales'!E2397)))</x:f>
        <x:v>Small Business</x:v>
      </x:c>
      <x:c r="I2397" s="84" t="str">
        <x:f>PROPER(TRIM('Raw Sales'!F2397))</x:f>
        <x:v>Northeast</x:v>
      </x:c>
      <x:c r="J2397" s="84" t="str">
        <x:f>PROPER(TRIM('Raw Sales'!G2397))</x:f>
        <x:v>Philadelphia</x:v>
      </x:c>
      <x:c r="K2397" s="84" t="str">
        <x:f>PROPER(TRIM('Raw Sales'!H2397))</x:f>
        <x:v>Retail Store</x:v>
      </x:c>
      <x:c r="L2397" s="84" t="str">
        <x:f>'Raw Sales'!I2397</x:f>
        <x:v>CARE-006</x:v>
      </x:c>
      <x:c r="M2397" s="84" t="str">
        <x:f>IFERROR(VLOOKUP(L2397,'Reference Data'!$A$5:$F$40,2,FALSE),"Unknown Product")</x:f>
        <x:v>Percussion Massage Gun</x:v>
      </x:c>
      <x:c r="N2397" s="84" t="str">
        <x:f>IFERROR(VLOOKUP(L2397,'Reference Data'!$A$5:$F$40,3,FALSE),"Unknown")</x:f>
        <x:v>Personal Care</x:v>
      </x:c>
      <x:c r="O2397" s="84" t="str">
        <x:f>IFERROR(VLOOKUP(L2397,'Reference Data'!$A$5:$F$40,4,FALSE),"Unknown")</x:f>
        <x:v>Wellness</x:v>
      </x:c>
      <x:c r="P2397" s="92" t="n">
        <x:f>IFERROR(VLOOKUP(L2397,'Reference Data'!$A$5:$F$40,5,FALSE),0)</x:f>
        <x:v>129</x:v>
      </x:c>
      <x:c r="Q2397" s="92" t="n">
        <x:f>IFERROR(VLOOKUP(L2397,'Reference Data'!$A$5:$F$40,6,FALSE),0)</x:f>
        <x:v>70</x:v>
      </x:c>
      <x:c r="R2397" s="84" t="n">
        <x:f>'Raw Sales'!J2397</x:f>
        <x:v>1</x:v>
      </x:c>
      <x:c r="S2397" s="87" t="n">
        <x:f>'Raw Sales'!K2397</x:f>
        <x:v>0.15</x:v>
      </x:c>
      <x:c r="T2397" s="93" t="n">
        <x:f>P2397*R2397</x:f>
        <x:v>129</x:v>
      </x:c>
      <x:c r="U2397" s="93" t="n">
        <x:f>T2397*S2397</x:f>
        <x:v>19.349999999999998</x:v>
      </x:c>
      <x:c r="V2397" s="93" t="str">
        <x:f>PROPER(TRIM('Raw Sales'!L2397))</x:f>
        <x:v>Completed</x:v>
      </x:c>
      <x:c r="W2397" s="93" t="n">
        <x:f>IF(V2397="Returned",0,T2397-U2397)</x:f>
        <x:v>109.65</x:v>
      </x:c>
      <x:c r="X2397" s="93" t="n">
        <x:f>IF(V2397="Returned",Q2397*R2397*10%,Q2397*R2397)</x:f>
        <x:v>70</x:v>
      </x:c>
      <x:c r="Y2397" s="93" t="n">
        <x:f>W2397-X2397</x:f>
        <x:v>39.650000000000006</x:v>
      </x:c>
      <x:c r="Z2397" s="94" t="n">
        <x:f>IFERROR(Y2397/W2397,0)</x:f>
        <x:v>0.36160510715914274</x:v>
      </x:c>
      <x:c r="AA2397" s="84" t="str">
        <x:f>PROPER(TRIM('Raw Sales'!M2397))</x:f>
        <x:v>Mobile Wallet</x:v>
      </x:c>
      <x:c r="AB2397" s="84" t="str">
        <x:f>PROPER(TRIM('Raw Sales'!N2397))</x:f>
        <x:v>Sofia Bennett</x:v>
      </x:c>
      <x:c r="AC2397" s="85" t="n">
        <x:f>'Raw Sales'!O2397</x:f>
        <x:v>46016</x:v>
      </x:c>
      <x:c r="AD2397" s="84" t="n">
        <x:f>AC2397-B2397</x:f>
        <x:v>1</x:v>
      </x:c>
      <x:c r="AE2397" s="84" t="str">
        <x:f>IF(COUNTIF($A$5:A2397,A2397)&gt;1,"Duplicate","Keep")</x:f>
        <x:v>Keep</x:v>
      </x:c>
      <x:c r="AF2397" s="84" t="str">
        <x:f>IF(OR(R2397&lt;=0,AC2397&lt;B2397,H2397="Unknown",M2397="Unknown Product"),"Review","Valid")</x:f>
        <x:v>Valid</x:v>
      </x:c>
      <x:c r="AG2397" s="84" t="n">
        <x:f>IF(AND(AE2397="Keep",AF2397="Valid"),1,0)</x:f>
        <x:v>1</x:v>
      </x:c>
      <x:c r="AH2397" s="84" t="n">
        <x:f>IF(AND(AG2397=1,OR('Dashboard'!$B$4="All",I2397='Dashboard'!$B$4),OR('Dashboard'!$E$4="All",N2397='Dashboard'!$E$4),OR('Dashboard'!$H$4="All",K2397='Dashboard'!$H$4),OR('Dashboard'!$K$4="All",C2397='Dashboard'!$K$4)),1,0)</x:f>
        <x:v>1</x:v>
      </x:c>
      <x:c r="AI2397" s="84" t="n">
        <x:f>IF(AND(AG2397=1,OR('Dashboard'!$B$4="All",I2397='Dashboard'!$B$4),OR('Dashboard'!$E$4="All",N2397='Dashboard'!$E$4),OR('Dashboard'!$H$4="All",K2397='Dashboard'!$H$4)),1,0)</x:f>
        <x:v>1</x:v>
      </x:c>
    </x:row>
    <x:row r="2398">
      <x:c r="A2398" s="84" t="str">
        <x:f>'Raw Sales'!A2398</x:f>
        <x:v>ORD-2025-02228</x:v>
      </x:c>
      <x:c r="B2398" s="85" t="n">
        <x:f>'Raw Sales'!B2398</x:f>
        <x:v>46015</x:v>
      </x:c>
      <x:c r="C2398" s="84" t="n">
        <x:f>YEAR(B2398)</x:f>
        <x:v>2025</x:v>
      </x:c>
      <x:c r="D2398" s="91" t="n">
        <x:f>DATE(YEAR(B2398),MONTH(B2398),1)</x:f>
        <x:v>45992</x:v>
      </x:c>
      <x:c r="E2398" s="84" t="str">
        <x:f>TEXT(B2398,"mmm")</x:f>
        <x:v>Dec</x:v>
      </x:c>
      <x:c r="F2398" s="84" t="str">
        <x:f>'Raw Sales'!C2398</x:f>
        <x:v>CUST-0633</x:v>
      </x:c>
      <x:c r="G2398" s="84" t="str">
        <x:f>PROPER(TRIM('Raw Sales'!D2398))</x:f>
        <x:v>Jonah Taylor</x:v>
      </x:c>
      <x:c r="H2398" s="84" t="str">
        <x:f>IF(TRIM('Raw Sales'!E2398)="","Unknown",PROPER(TRIM('Raw Sales'!E2398)))</x:f>
        <x:v>Consumer</x:v>
      </x:c>
      <x:c r="I2398" s="84" t="str">
        <x:f>PROPER(TRIM('Raw Sales'!F2398))</x:f>
        <x:v>West</x:v>
      </x:c>
      <x:c r="J2398" s="84" t="str">
        <x:f>PROPER(TRIM('Raw Sales'!G2398))</x:f>
        <x:v>Phoenix</x:v>
      </x:c>
      <x:c r="K2398" s="84" t="str">
        <x:f>PROPER(TRIM('Raw Sales'!H2398))</x:f>
        <x:v>Retail Store</x:v>
      </x:c>
      <x:c r="L2398" s="84" t="str">
        <x:f>'Raw Sales'!I2398</x:f>
        <x:v>ACCS-004</x:v>
      </x:c>
      <x:c r="M2398" s="84" t="str">
        <x:f>IFERROR(VLOOKUP(L2398,'Reference Data'!$A$5:$F$40,2,FALSE),"Unknown Product")</x:f>
        <x:v>Leather Wallet</x:v>
      </x:c>
      <x:c r="N2398" s="84" t="str">
        <x:f>IFERROR(VLOOKUP(L2398,'Reference Data'!$A$5:$F$40,3,FALSE),"Unknown")</x:f>
        <x:v>Accessories</x:v>
      </x:c>
      <x:c r="O2398" s="84" t="str">
        <x:f>IFERROR(VLOOKUP(L2398,'Reference Data'!$A$5:$F$40,4,FALSE),"Unknown")</x:f>
        <x:v>Wallets</x:v>
      </x:c>
      <x:c r="P2398" s="92" t="n">
        <x:f>IFERROR(VLOOKUP(L2398,'Reference Data'!$A$5:$F$40,5,FALSE),0)</x:f>
        <x:v>49</x:v>
      </x:c>
      <x:c r="Q2398" s="92" t="n">
        <x:f>IFERROR(VLOOKUP(L2398,'Reference Data'!$A$5:$F$40,6,FALSE),0)</x:f>
        <x:v>18</x:v>
      </x:c>
      <x:c r="R2398" s="84" t="n">
        <x:f>'Raw Sales'!J2398</x:f>
        <x:v>2</x:v>
      </x:c>
      <x:c r="S2398" s="87" t="n">
        <x:f>'Raw Sales'!K2398</x:f>
        <x:v>0.1</x:v>
      </x:c>
      <x:c r="T2398" s="93" t="n">
        <x:f>P2398*R2398</x:f>
        <x:v>98</x:v>
      </x:c>
      <x:c r="U2398" s="93" t="n">
        <x:f>T2398*S2398</x:f>
        <x:v>9.8</x:v>
      </x:c>
      <x:c r="V2398" s="93" t="str">
        <x:f>PROPER(TRIM('Raw Sales'!L2398))</x:f>
        <x:v>Completed</x:v>
      </x:c>
      <x:c r="W2398" s="93" t="n">
        <x:f>IF(V2398="Returned",0,T2398-U2398)</x:f>
        <x:v>88.2</x:v>
      </x:c>
      <x:c r="X2398" s="93" t="n">
        <x:f>IF(V2398="Returned",Q2398*R2398*10%,Q2398*R2398)</x:f>
        <x:v>36</x:v>
      </x:c>
      <x:c r="Y2398" s="93" t="n">
        <x:f>W2398-X2398</x:f>
        <x:v>52.2</x:v>
      </x:c>
      <x:c r="Z2398" s="94" t="n">
        <x:f>IFERROR(Y2398/W2398,0)</x:f>
        <x:v>0.5918367346938775</x:v>
      </x:c>
      <x:c r="AA2398" s="84" t="str">
        <x:f>PROPER(TRIM('Raw Sales'!M2398))</x:f>
        <x:v>Debit Card</x:v>
      </x:c>
      <x:c r="AB2398" s="84" t="str">
        <x:f>PROPER(TRIM('Raw Sales'!N2398))</x:f>
        <x:v>Nora Kim</x:v>
      </x:c>
      <x:c r="AC2398" s="85" t="n">
        <x:f>'Raw Sales'!O2398</x:f>
        <x:v>46015</x:v>
      </x:c>
      <x:c r="AD2398" s="84" t="n">
        <x:f>AC2398-B2398</x:f>
        <x:v>0</x:v>
      </x:c>
      <x:c r="AE2398" s="84" t="str">
        <x:f>IF(COUNTIF($A$5:A2398,A2398)&gt;1,"Duplicate","Keep")</x:f>
        <x:v>Keep</x:v>
      </x:c>
      <x:c r="AF2398" s="84" t="str">
        <x:f>IF(OR(R2398&lt;=0,AC2398&lt;B2398,H2398="Unknown",M2398="Unknown Product"),"Review","Valid")</x:f>
        <x:v>Valid</x:v>
      </x:c>
      <x:c r="AG2398" s="84" t="n">
        <x:f>IF(AND(AE2398="Keep",AF2398="Valid"),1,0)</x:f>
        <x:v>1</x:v>
      </x:c>
      <x:c r="AH2398" s="84" t="n">
        <x:f>IF(AND(AG2398=1,OR('Dashboard'!$B$4="All",I2398='Dashboard'!$B$4),OR('Dashboard'!$E$4="All",N2398='Dashboard'!$E$4),OR('Dashboard'!$H$4="All",K2398='Dashboard'!$H$4),OR('Dashboard'!$K$4="All",C2398='Dashboard'!$K$4)),1,0)</x:f>
        <x:v>1</x:v>
      </x:c>
      <x:c r="AI2398" s="84" t="n">
        <x:f>IF(AND(AG2398=1,OR('Dashboard'!$B$4="All",I2398='Dashboard'!$B$4),OR('Dashboard'!$E$4="All",N2398='Dashboard'!$E$4),OR('Dashboard'!$H$4="All",K2398='Dashboard'!$H$4)),1,0)</x:f>
        <x:v>1</x:v>
      </x:c>
    </x:row>
    <x:row r="2399">
      <x:c r="A2399" s="84" t="str">
        <x:f>'Raw Sales'!A2399</x:f>
        <x:v>ORD-2025-00189</x:v>
      </x:c>
      <x:c r="B2399" s="85" t="n">
        <x:f>'Raw Sales'!B2399</x:f>
        <x:v>46016</x:v>
      </x:c>
      <x:c r="C2399" s="84" t="n">
        <x:f>YEAR(B2399)</x:f>
        <x:v>2025</x:v>
      </x:c>
      <x:c r="D2399" s="91" t="n">
        <x:f>DATE(YEAR(B2399),MONTH(B2399),1)</x:f>
        <x:v>45992</x:v>
      </x:c>
      <x:c r="E2399" s="84" t="str">
        <x:f>TEXT(B2399,"mmm")</x:f>
        <x:v>Dec</x:v>
      </x:c>
      <x:c r="F2399" s="84" t="str">
        <x:f>'Raw Sales'!C2399</x:f>
        <x:v>CUST-0469</x:v>
      </x:c>
      <x:c r="G2399" s="84" t="str">
        <x:f>PROPER(TRIM('Raw Sales'!D2399))</x:f>
        <x:v>Layla Evans</x:v>
      </x:c>
      <x:c r="H2399" s="84" t="str">
        <x:f>IF(TRIM('Raw Sales'!E2399)="","Unknown",PROPER(TRIM('Raw Sales'!E2399)))</x:f>
        <x:v>Corporate</x:v>
      </x:c>
      <x:c r="I2399" s="84" t="str">
        <x:f>PROPER(TRIM('Raw Sales'!F2399))</x:f>
        <x:v>Midwest</x:v>
      </x:c>
      <x:c r="J2399" s="84" t="str">
        <x:f>PROPER(TRIM('Raw Sales'!G2399))</x:f>
        <x:v>Minneapolis</x:v>
      </x:c>
      <x:c r="K2399" s="84" t="str">
        <x:f>PROPER(TRIM('Raw Sales'!H2399))</x:f>
        <x:v>Retail Store</x:v>
      </x:c>
      <x:c r="L2399" s="84" t="str">
        <x:f>'Raw Sales'!I2399</x:f>
        <x:v>ELEC-001</x:v>
      </x:c>
      <x:c r="M2399" s="84" t="str">
        <x:f>IFERROR(VLOOKUP(L2399,'Reference Data'!$A$5:$F$40,2,FALSE),"Unknown Product")</x:f>
        <x:v>Wireless Earbuds</x:v>
      </x:c>
      <x:c r="N2399" s="84" t="str">
        <x:f>IFERROR(VLOOKUP(L2399,'Reference Data'!$A$5:$F$40,3,FALSE),"Unknown")</x:f>
        <x:v>Electronics</x:v>
      </x:c>
      <x:c r="O2399" s="84" t="str">
        <x:f>IFERROR(VLOOKUP(L2399,'Reference Data'!$A$5:$F$40,4,FALSE),"Unknown")</x:f>
        <x:v>Audio</x:v>
      </x:c>
      <x:c r="P2399" s="92" t="n">
        <x:f>IFERROR(VLOOKUP(L2399,'Reference Data'!$A$5:$F$40,5,FALSE),0)</x:f>
        <x:v>69</x:v>
      </x:c>
      <x:c r="Q2399" s="92" t="n">
        <x:f>IFERROR(VLOOKUP(L2399,'Reference Data'!$A$5:$F$40,6,FALSE),0)</x:f>
        <x:v>36</x:v>
      </x:c>
      <x:c r="R2399" s="84" t="n">
        <x:f>'Raw Sales'!J2399</x:f>
        <x:v>3</x:v>
      </x:c>
      <x:c r="S2399" s="87" t="n">
        <x:f>'Raw Sales'!K2399</x:f>
        <x:v>0.2</x:v>
      </x:c>
      <x:c r="T2399" s="93" t="n">
        <x:f>P2399*R2399</x:f>
        <x:v>207</x:v>
      </x:c>
      <x:c r="U2399" s="93" t="n">
        <x:f>T2399*S2399</x:f>
        <x:v>41.400000000000006</x:v>
      </x:c>
      <x:c r="V2399" s="93" t="str">
        <x:f>PROPER(TRIM('Raw Sales'!L2399))</x:f>
        <x:v>Completed</x:v>
      </x:c>
      <x:c r="W2399" s="93" t="n">
        <x:f>IF(V2399="Returned",0,T2399-U2399)</x:f>
        <x:v>165.6</x:v>
      </x:c>
      <x:c r="X2399" s="93" t="n">
        <x:f>IF(V2399="Returned",Q2399*R2399*10%,Q2399*R2399)</x:f>
        <x:v>108</x:v>
      </x:c>
      <x:c r="Y2399" s="93" t="n">
        <x:f>W2399-X2399</x:f>
        <x:v>57.599999999999994</x:v>
      </x:c>
      <x:c r="Z2399" s="94" t="n">
        <x:f>IFERROR(Y2399/W2399,0)</x:f>
        <x:v>0.34782608695652173</x:v>
      </x:c>
      <x:c r="AA2399" s="84" t="str">
        <x:f>PROPER(TRIM('Raw Sales'!M2399))</x:f>
        <x:v>Mobile Wallet</x:v>
      </x:c>
      <x:c r="AB2399" s="84" t="str">
        <x:f>PROPER(TRIM('Raw Sales'!N2399))</x:f>
        <x:v>Zoe Turner</x:v>
      </x:c>
      <x:c r="AC2399" s="85" t="n">
        <x:f>'Raw Sales'!O2399</x:f>
        <x:v>46016</x:v>
      </x:c>
      <x:c r="AD2399" s="84" t="n">
        <x:f>AC2399-B2399</x:f>
        <x:v>0</x:v>
      </x:c>
      <x:c r="AE2399" s="84" t="str">
        <x:f>IF(COUNTIF($A$5:A2399,A2399)&gt;1,"Duplicate","Keep")</x:f>
        <x:v>Keep</x:v>
      </x:c>
      <x:c r="AF2399" s="84" t="str">
        <x:f>IF(OR(R2399&lt;=0,AC2399&lt;B2399,H2399="Unknown",M2399="Unknown Product"),"Review","Valid")</x:f>
        <x:v>Valid</x:v>
      </x:c>
      <x:c r="AG2399" s="84" t="n">
        <x:f>IF(AND(AE2399="Keep",AF2399="Valid"),1,0)</x:f>
        <x:v>1</x:v>
      </x:c>
      <x:c r="AH2399" s="84" t="n">
        <x:f>IF(AND(AG2399=1,OR('Dashboard'!$B$4="All",I2399='Dashboard'!$B$4),OR('Dashboard'!$E$4="All",N2399='Dashboard'!$E$4),OR('Dashboard'!$H$4="All",K2399='Dashboard'!$H$4),OR('Dashboard'!$K$4="All",C2399='Dashboard'!$K$4)),1,0)</x:f>
        <x:v>1</x:v>
      </x:c>
      <x:c r="AI2399" s="84" t="n">
        <x:f>IF(AND(AG2399=1,OR('Dashboard'!$B$4="All",I2399='Dashboard'!$B$4),OR('Dashboard'!$E$4="All",N2399='Dashboard'!$E$4),OR('Dashboard'!$H$4="All",K2399='Dashboard'!$H$4)),1,0)</x:f>
        <x:v>1</x:v>
      </x:c>
    </x:row>
    <x:row r="2400">
      <x:c r="A2400" s="84" t="str">
        <x:f>'Raw Sales'!A2400</x:f>
        <x:v>ORD-2025-00493</x:v>
      </x:c>
      <x:c r="B2400" s="85" t="n">
        <x:f>'Raw Sales'!B2400</x:f>
        <x:v>46016</x:v>
      </x:c>
      <x:c r="C2400" s="84" t="n">
        <x:f>YEAR(B2400)</x:f>
        <x:v>2025</x:v>
      </x:c>
      <x:c r="D2400" s="91" t="n">
        <x:f>DATE(YEAR(B2400),MONTH(B2400),1)</x:f>
        <x:v>45992</x:v>
      </x:c>
      <x:c r="E2400" s="84" t="str">
        <x:f>TEXT(B2400,"mmm")</x:f>
        <x:v>Dec</x:v>
      </x:c>
      <x:c r="F2400" s="84" t="str">
        <x:f>'Raw Sales'!C2400</x:f>
        <x:v>CUST-0327</x:v>
      </x:c>
      <x:c r="G2400" s="84" t="str">
        <x:f>PROPER(TRIM('Raw Sales'!D2400))</x:f>
        <x:v>Samuel Hall</x:v>
      </x:c>
      <x:c r="H2400" s="84" t="str">
        <x:f>IF(TRIM('Raw Sales'!E2400)="","Unknown",PROPER(TRIM('Raw Sales'!E2400)))</x:f>
        <x:v>Consumer</x:v>
      </x:c>
      <x:c r="I2400" s="84" t="str">
        <x:f>PROPER(TRIM('Raw Sales'!F2400))</x:f>
        <x:v>West</x:v>
      </x:c>
      <x:c r="J2400" s="84" t="str">
        <x:f>PROPER(TRIM('Raw Sales'!G2400))</x:f>
        <x:v>Los Angeles</x:v>
      </x:c>
      <x:c r="K2400" s="84" t="str">
        <x:f>PROPER(TRIM('Raw Sales'!H2400))</x:f>
        <x:v>Retail Store</x:v>
      </x:c>
      <x:c r="L2400" s="84" t="str">
        <x:f>'Raw Sales'!I2400</x:f>
        <x:v>ACCS-002</x:v>
      </x:c>
      <x:c r="M2400" s="84" t="str">
        <x:f>IFERROR(VLOOKUP(L2400,'Reference Data'!$A$5:$F$40,2,FALSE),"Unknown Product")</x:f>
        <x:v>Travel Backpack</x:v>
      </x:c>
      <x:c r="N2400" s="84" t="str">
        <x:f>IFERROR(VLOOKUP(L2400,'Reference Data'!$A$5:$F$40,3,FALSE),"Unknown")</x:f>
        <x:v>Accessories</x:v>
      </x:c>
      <x:c r="O2400" s="84" t="str">
        <x:f>IFERROR(VLOOKUP(L2400,'Reference Data'!$A$5:$F$40,4,FALSE),"Unknown")</x:f>
        <x:v>Bags</x:v>
      </x:c>
      <x:c r="P2400" s="92" t="n">
        <x:f>IFERROR(VLOOKUP(L2400,'Reference Data'!$A$5:$F$40,5,FALSE),0)</x:f>
        <x:v>89</x:v>
      </x:c>
      <x:c r="Q2400" s="92" t="n">
        <x:f>IFERROR(VLOOKUP(L2400,'Reference Data'!$A$5:$F$40,6,FALSE),0)</x:f>
        <x:v>36</x:v>
      </x:c>
      <x:c r="R2400" s="84" t="n">
        <x:f>'Raw Sales'!J2400</x:f>
        <x:v>3</x:v>
      </x:c>
      <x:c r="S2400" s="87" t="n">
        <x:f>'Raw Sales'!K2400</x:f>
        <x:v>0.15</x:v>
      </x:c>
      <x:c r="T2400" s="93" t="n">
        <x:f>P2400*R2400</x:f>
        <x:v>267</x:v>
      </x:c>
      <x:c r="U2400" s="93" t="n">
        <x:f>T2400*S2400</x:f>
        <x:v>40.05</x:v>
      </x:c>
      <x:c r="V2400" s="93" t="str">
        <x:f>PROPER(TRIM('Raw Sales'!L2400))</x:f>
        <x:v>Completed</x:v>
      </x:c>
      <x:c r="W2400" s="93" t="n">
        <x:f>IF(V2400="Returned",0,T2400-U2400)</x:f>
        <x:v>226.95</x:v>
      </x:c>
      <x:c r="X2400" s="93" t="n">
        <x:f>IF(V2400="Returned",Q2400*R2400*10%,Q2400*R2400)</x:f>
        <x:v>108</x:v>
      </x:c>
      <x:c r="Y2400" s="93" t="n">
        <x:f>W2400-X2400</x:f>
        <x:v>118.94999999999999</x:v>
      </x:c>
      <x:c r="Z2400" s="94" t="n">
        <x:f>IFERROR(Y2400/W2400,0)</x:f>
        <x:v>0.5241242564441506</x:v>
      </x:c>
      <x:c r="AA2400" s="84" t="str">
        <x:f>PROPER(TRIM('Raw Sales'!M2400))</x:f>
        <x:v>Credit Card</x:v>
      </x:c>
      <x:c r="AB2400" s="84" t="str">
        <x:f>PROPER(TRIM('Raw Sales'!N2400))</x:f>
        <x:v>Mia Chen</x:v>
      </x:c>
      <x:c r="AC2400" s="85" t="n">
        <x:f>'Raw Sales'!O2400</x:f>
        <x:v>46016</x:v>
      </x:c>
      <x:c r="AD2400" s="84" t="n">
        <x:f>AC2400-B2400</x:f>
        <x:v>0</x:v>
      </x:c>
      <x:c r="AE2400" s="84" t="str">
        <x:f>IF(COUNTIF($A$5:A2400,A2400)&gt;1,"Duplicate","Keep")</x:f>
        <x:v>Keep</x:v>
      </x:c>
      <x:c r="AF2400" s="84" t="str">
        <x:f>IF(OR(R2400&lt;=0,AC2400&lt;B2400,H2400="Unknown",M2400="Unknown Product"),"Review","Valid")</x:f>
        <x:v>Valid</x:v>
      </x:c>
      <x:c r="AG2400" s="84" t="n">
        <x:f>IF(AND(AE2400="Keep",AF2400="Valid"),1,0)</x:f>
        <x:v>1</x:v>
      </x:c>
      <x:c r="AH2400" s="84" t="n">
        <x:f>IF(AND(AG2400=1,OR('Dashboard'!$B$4="All",I2400='Dashboard'!$B$4),OR('Dashboard'!$E$4="All",N2400='Dashboard'!$E$4),OR('Dashboard'!$H$4="All",K2400='Dashboard'!$H$4),OR('Dashboard'!$K$4="All",C2400='Dashboard'!$K$4)),1,0)</x:f>
        <x:v>1</x:v>
      </x:c>
      <x:c r="AI2400" s="84" t="n">
        <x:f>IF(AND(AG2400=1,OR('Dashboard'!$B$4="All",I2400='Dashboard'!$B$4),OR('Dashboard'!$E$4="All",N2400='Dashboard'!$E$4),OR('Dashboard'!$H$4="All",K2400='Dashboard'!$H$4)),1,0)</x:f>
        <x:v>1</x:v>
      </x:c>
    </x:row>
    <x:row r="2401">
      <x:c r="A2401" s="84" t="str">
        <x:f>'Raw Sales'!A2401</x:f>
        <x:v>ORD-2025-00871</x:v>
      </x:c>
      <x:c r="B2401" s="85" t="n">
        <x:f>'Raw Sales'!B2401</x:f>
        <x:v>46016</x:v>
      </x:c>
      <x:c r="C2401" s="84" t="n">
        <x:f>YEAR(B2401)</x:f>
        <x:v>2025</x:v>
      </x:c>
      <x:c r="D2401" s="91" t="n">
        <x:f>DATE(YEAR(B2401),MONTH(B2401),1)</x:f>
        <x:v>45992</x:v>
      </x:c>
      <x:c r="E2401" s="84" t="str">
        <x:f>TEXT(B2401,"mmm")</x:f>
        <x:v>Dec</x:v>
      </x:c>
      <x:c r="F2401" s="84" t="str">
        <x:f>'Raw Sales'!C2401</x:f>
        <x:v>CUST-0335</x:v>
      </x:c>
      <x:c r="G2401" s="84" t="str">
        <x:f>PROPER(TRIM('Raw Sales'!D2401))</x:f>
        <x:v>Elias Roberts</x:v>
      </x:c>
      <x:c r="H2401" s="84" t="str">
        <x:f>IF(TRIM('Raw Sales'!E2401)="","Unknown",PROPER(TRIM('Raw Sales'!E2401)))</x:f>
        <x:v>Consumer</x:v>
      </x:c>
      <x:c r="I2401" s="84" t="str">
        <x:f>PROPER(TRIM('Raw Sales'!F2401))</x:f>
        <x:v>West</x:v>
      </x:c>
      <x:c r="J2401" s="84" t="str">
        <x:f>PROPER(TRIM('Raw Sales'!G2401))</x:f>
        <x:v>Los Angeles</x:v>
      </x:c>
      <x:c r="K2401" s="84" t="str">
        <x:f>PROPER(TRIM('Raw Sales'!H2401))</x:f>
        <x:v>Online</x:v>
      </x:c>
      <x:c r="L2401" s="84" t="str">
        <x:f>'Raw Sales'!I2401</x:f>
        <x:v>ACCS-003</x:v>
      </x:c>
      <x:c r="M2401" s="84" t="str">
        <x:f>IFERROR(VLOOKUP(L2401,'Reference Data'!$A$5:$F$40,2,FALSE),"Unknown Product")</x:f>
        <x:v>Polarized Sunglasses</x:v>
      </x:c>
      <x:c r="N2401" s="84" t="str">
        <x:f>IFERROR(VLOOKUP(L2401,'Reference Data'!$A$5:$F$40,3,FALSE),"Unknown")</x:f>
        <x:v>Accessories</x:v>
      </x:c>
      <x:c r="O2401" s="84" t="str">
        <x:f>IFERROR(VLOOKUP(L2401,'Reference Data'!$A$5:$F$40,4,FALSE),"Unknown")</x:f>
        <x:v>Eyewear</x:v>
      </x:c>
      <x:c r="P2401" s="92" t="n">
        <x:f>IFERROR(VLOOKUP(L2401,'Reference Data'!$A$5:$F$40,5,FALSE),0)</x:f>
        <x:v>59</x:v>
      </x:c>
      <x:c r="Q2401" s="92" t="n">
        <x:f>IFERROR(VLOOKUP(L2401,'Reference Data'!$A$5:$F$40,6,FALSE),0)</x:f>
        <x:v>17</x:v>
      </x:c>
      <x:c r="R2401" s="84" t="n">
        <x:f>'Raw Sales'!J2401</x:f>
        <x:v>1</x:v>
      </x:c>
      <x:c r="S2401" s="87" t="n">
        <x:f>'Raw Sales'!K2401</x:f>
        <x:v>0.15</x:v>
      </x:c>
      <x:c r="T2401" s="93" t="n">
        <x:f>P2401*R2401</x:f>
        <x:v>59</x:v>
      </x:c>
      <x:c r="U2401" s="93" t="n">
        <x:f>T2401*S2401</x:f>
        <x:v>8.85</x:v>
      </x:c>
      <x:c r="V2401" s="93" t="str">
        <x:f>PROPER(TRIM('Raw Sales'!L2401))</x:f>
        <x:v>Returned</x:v>
      </x:c>
      <x:c r="W2401" s="93" t="n">
        <x:f>IF(V2401="Returned",0,T2401-U2401)</x:f>
        <x:v>0</x:v>
      </x:c>
      <x:c r="X2401" s="93" t="n">
        <x:f>IF(V2401="Returned",Q2401*R2401*10%,Q2401*R2401)</x:f>
        <x:v>1.7000000000000002</x:v>
      </x:c>
      <x:c r="Y2401" s="93" t="n">
        <x:f>W2401-X2401</x:f>
        <x:v>-1.7000000000000002</x:v>
      </x:c>
      <x:c r="Z2401" s="94" t="n">
        <x:f>IFERROR(Y2401/W2401,0)</x:f>
        <x:v>0</x:v>
      </x:c>
      <x:c r="AA2401" s="84" t="str">
        <x:f>PROPER(TRIM('Raw Sales'!M2401))</x:f>
        <x:v>Paypal</x:v>
      </x:c>
      <x:c r="AB2401" s="84" t="str">
        <x:f>PROPER(TRIM('Raw Sales'!N2401))</x:f>
        <x:v>Leo Martinez</x:v>
      </x:c>
      <x:c r="AC2401" s="85" t="n">
        <x:f>'Raw Sales'!O2401</x:f>
        <x:v>46018</x:v>
      </x:c>
      <x:c r="AD2401" s="84" t="n">
        <x:f>AC2401-B2401</x:f>
        <x:v>2</x:v>
      </x:c>
      <x:c r="AE2401" s="84" t="str">
        <x:f>IF(COUNTIF($A$5:A2401,A2401)&gt;1,"Duplicate","Keep")</x:f>
        <x:v>Keep</x:v>
      </x:c>
      <x:c r="AF2401" s="84" t="str">
        <x:f>IF(OR(R2401&lt;=0,AC2401&lt;B2401,H2401="Unknown",M2401="Unknown Product"),"Review","Valid")</x:f>
        <x:v>Valid</x:v>
      </x:c>
      <x:c r="AG2401" s="84" t="n">
        <x:f>IF(AND(AE2401="Keep",AF2401="Valid"),1,0)</x:f>
        <x:v>1</x:v>
      </x:c>
      <x:c r="AH2401" s="84" t="n">
        <x:f>IF(AND(AG2401=1,OR('Dashboard'!$B$4="All",I2401='Dashboard'!$B$4),OR('Dashboard'!$E$4="All",N2401='Dashboard'!$E$4),OR('Dashboard'!$H$4="All",K2401='Dashboard'!$H$4),OR('Dashboard'!$K$4="All",C2401='Dashboard'!$K$4)),1,0)</x:f>
        <x:v>1</x:v>
      </x:c>
      <x:c r="AI2401" s="84" t="n">
        <x:f>IF(AND(AG2401=1,OR('Dashboard'!$B$4="All",I2401='Dashboard'!$B$4),OR('Dashboard'!$E$4="All",N2401='Dashboard'!$E$4),OR('Dashboard'!$H$4="All",K2401='Dashboard'!$H$4)),1,0)</x:f>
        <x:v>1</x:v>
      </x:c>
    </x:row>
    <x:row r="2402">
      <x:c r="A2402" s="84" t="str">
        <x:f>'Raw Sales'!A2402</x:f>
        <x:v>ORD-2025-02064</x:v>
      </x:c>
      <x:c r="B2402" s="85" t="n">
        <x:f>'Raw Sales'!B2402</x:f>
        <x:v>46016</x:v>
      </x:c>
      <x:c r="C2402" s="84" t="n">
        <x:f>YEAR(B2402)</x:f>
        <x:v>2025</x:v>
      </x:c>
      <x:c r="D2402" s="91" t="n">
        <x:f>DATE(YEAR(B2402),MONTH(B2402),1)</x:f>
        <x:v>45992</x:v>
      </x:c>
      <x:c r="E2402" s="84" t="str">
        <x:f>TEXT(B2402,"mmm")</x:f>
        <x:v>Dec</x:v>
      </x:c>
      <x:c r="F2402" s="84" t="str">
        <x:f>'Raw Sales'!C2402</x:f>
        <x:v>CUST-0006</x:v>
      </x:c>
      <x:c r="G2402" s="84" t="str">
        <x:f>PROPER(TRIM('Raw Sales'!D2402))</x:f>
        <x:v>Chloe Adams</x:v>
      </x:c>
      <x:c r="H2402" s="84" t="str">
        <x:f>IF(TRIM('Raw Sales'!E2402)="","Unknown",PROPER(TRIM('Raw Sales'!E2402)))</x:f>
        <x:v>Consumer</x:v>
      </x:c>
      <x:c r="I2402" s="84" t="str">
        <x:f>PROPER(TRIM('Raw Sales'!F2402))</x:f>
        <x:v>Midwest</x:v>
      </x:c>
      <x:c r="J2402" s="84" t="str">
        <x:f>PROPER(TRIM('Raw Sales'!G2402))</x:f>
        <x:v>Columbus</x:v>
      </x:c>
      <x:c r="K2402" s="84" t="str">
        <x:f>PROPER(TRIM('Raw Sales'!H2402))</x:f>
        <x:v>Online</x:v>
      </x:c>
      <x:c r="L2402" s="84" t="str">
        <x:f>'Raw Sales'!I2402</x:f>
        <x:v>ELEC-002</x:v>
      </x:c>
      <x:c r="M2402" s="84" t="str">
        <x:f>IFERROR(VLOOKUP(L2402,'Reference Data'!$A$5:$F$40,2,FALSE),"Unknown Product")</x:f>
        <x:v>Smartwatch</x:v>
      </x:c>
      <x:c r="N2402" s="84" t="str">
        <x:f>IFERROR(VLOOKUP(L2402,'Reference Data'!$A$5:$F$40,3,FALSE),"Unknown")</x:f>
        <x:v>Electronics</x:v>
      </x:c>
      <x:c r="O2402" s="84" t="str">
        <x:f>IFERROR(VLOOKUP(L2402,'Reference Data'!$A$5:$F$40,4,FALSE),"Unknown")</x:f>
        <x:v>Wearables</x:v>
      </x:c>
      <x:c r="P2402" s="92" t="n">
        <x:f>IFERROR(VLOOKUP(L2402,'Reference Data'!$A$5:$F$40,5,FALSE),0)</x:f>
        <x:v>159</x:v>
      </x:c>
      <x:c r="Q2402" s="92" t="n">
        <x:f>IFERROR(VLOOKUP(L2402,'Reference Data'!$A$5:$F$40,6,FALSE),0)</x:f>
        <x:v>92</x:v>
      </x:c>
      <x:c r="R2402" s="84" t="n">
        <x:f>'Raw Sales'!J2402</x:f>
        <x:v>1</x:v>
      </x:c>
      <x:c r="S2402" s="87" t="n">
        <x:f>'Raw Sales'!K2402</x:f>
        <x:v>0.1</x:v>
      </x:c>
      <x:c r="T2402" s="93" t="n">
        <x:f>P2402*R2402</x:f>
        <x:v>159</x:v>
      </x:c>
      <x:c r="U2402" s="93" t="n">
        <x:f>T2402*S2402</x:f>
        <x:v>15.9</x:v>
      </x:c>
      <x:c r="V2402" s="93" t="str">
        <x:f>PROPER(TRIM('Raw Sales'!L2402))</x:f>
        <x:v>Completed</x:v>
      </x:c>
      <x:c r="W2402" s="93" t="n">
        <x:f>IF(V2402="Returned",0,T2402-U2402)</x:f>
        <x:v>143.1</x:v>
      </x:c>
      <x:c r="X2402" s="93" t="n">
        <x:f>IF(V2402="Returned",Q2402*R2402*10%,Q2402*R2402)</x:f>
        <x:v>92</x:v>
      </x:c>
      <x:c r="Y2402" s="93" t="n">
        <x:f>W2402-X2402</x:f>
        <x:v>51.099999999999994</x:v>
      </x:c>
      <x:c r="Z2402" s="94" t="n">
        <x:f>IFERROR(Y2402/W2402,0)</x:f>
        <x:v>0.35709294199860236</x:v>
      </x:c>
      <x:c r="AA2402" s="84" t="str">
        <x:f>PROPER(TRIM('Raw Sales'!M2402))</x:f>
        <x:v>Credit Card</x:v>
      </x:c>
      <x:c r="AB2402" s="84" t="str">
        <x:f>PROPER(TRIM('Raw Sales'!N2402))</x:f>
        <x:v>Emma Hayes</x:v>
      </x:c>
      <x:c r="AC2402" s="85" t="n">
        <x:f>'Raw Sales'!O2402</x:f>
        <x:v>46020</x:v>
      </x:c>
      <x:c r="AD2402" s="84" t="n">
        <x:f>AC2402-B2402</x:f>
        <x:v>4</x:v>
      </x:c>
      <x:c r="AE2402" s="84" t="str">
        <x:f>IF(COUNTIF($A$5:A2402,A2402)&gt;1,"Duplicate","Keep")</x:f>
        <x:v>Keep</x:v>
      </x:c>
      <x:c r="AF2402" s="84" t="str">
        <x:f>IF(OR(R2402&lt;=0,AC2402&lt;B2402,H2402="Unknown",M2402="Unknown Product"),"Review","Valid")</x:f>
        <x:v>Valid</x:v>
      </x:c>
      <x:c r="AG2402" s="84" t="n">
        <x:f>IF(AND(AE2402="Keep",AF2402="Valid"),1,0)</x:f>
        <x:v>1</x:v>
      </x:c>
      <x:c r="AH2402" s="84" t="n">
        <x:f>IF(AND(AG2402=1,OR('Dashboard'!$B$4="All",I2402='Dashboard'!$B$4),OR('Dashboard'!$E$4="All",N2402='Dashboard'!$E$4),OR('Dashboard'!$H$4="All",K2402='Dashboard'!$H$4),OR('Dashboard'!$K$4="All",C2402='Dashboard'!$K$4)),1,0)</x:f>
        <x:v>1</x:v>
      </x:c>
      <x:c r="AI2402" s="84" t="n">
        <x:f>IF(AND(AG2402=1,OR('Dashboard'!$B$4="All",I2402='Dashboard'!$B$4),OR('Dashboard'!$E$4="All",N2402='Dashboard'!$E$4),OR('Dashboard'!$H$4="All",K2402='Dashboard'!$H$4)),1,0)</x:f>
        <x:v>1</x:v>
      </x:c>
    </x:row>
    <x:row r="2403">
      <x:c r="A2403" s="84" t="str">
        <x:f>'Raw Sales'!A2403</x:f>
        <x:v>ORD-2025-00111</x:v>
      </x:c>
      <x:c r="B2403" s="85" t="n">
        <x:f>'Raw Sales'!B2403</x:f>
        <x:v>46017</x:v>
      </x:c>
      <x:c r="C2403" s="84" t="n">
        <x:f>YEAR(B2403)</x:f>
        <x:v>2025</x:v>
      </x:c>
      <x:c r="D2403" s="91" t="n">
        <x:f>DATE(YEAR(B2403),MONTH(B2403),1)</x:f>
        <x:v>45992</x:v>
      </x:c>
      <x:c r="E2403" s="84" t="str">
        <x:f>TEXT(B2403,"mmm")</x:f>
        <x:v>Dec</x:v>
      </x:c>
      <x:c r="F2403" s="84" t="str">
        <x:f>'Raw Sales'!C2403</x:f>
        <x:v>CUST-0205</x:v>
      </x:c>
      <x:c r="G2403" s="84" t="str">
        <x:f>PROPER(TRIM('Raw Sales'!D2403))</x:f>
        <x:v>Elena Young</x:v>
      </x:c>
      <x:c r="H2403" s="84" t="str">
        <x:f>IF(TRIM('Raw Sales'!E2403)="","Unknown",PROPER(TRIM('Raw Sales'!E2403)))</x:f>
        <x:v>Corporate</x:v>
      </x:c>
      <x:c r="I2403" s="84" t="str">
        <x:f>PROPER(TRIM('Raw Sales'!F2403))</x:f>
        <x:v>West</x:v>
      </x:c>
      <x:c r="J2403" s="84" t="str">
        <x:f>PROPER(TRIM('Raw Sales'!G2403))</x:f>
        <x:v>Denver</x:v>
      </x:c>
      <x:c r="K2403" s="84" t="str">
        <x:f>PROPER(TRIM('Raw Sales'!H2403))</x:f>
        <x:v>Online</x:v>
      </x:c>
      <x:c r="L2403" s="84" t="str">
        <x:f>'Raw Sales'!I2403</x:f>
        <x:v>OFFC-005</x:v>
      </x:c>
      <x:c r="M2403" s="84" t="str">
        <x:f>IFERROR(VLOOKUP(L2403,'Reference Data'!$A$5:$F$40,2,FALSE),"Unknown Product")</x:f>
        <x:v>Wireless Keyboard</x:v>
      </x:c>
      <x:c r="N2403" s="84" t="str">
        <x:f>IFERROR(VLOOKUP(L2403,'Reference Data'!$A$5:$F$40,3,FALSE),"Unknown")</x:f>
        <x:v>Office</x:v>
      </x:c>
      <x:c r="O2403" s="84" t="str">
        <x:f>IFERROR(VLOOKUP(L2403,'Reference Data'!$A$5:$F$40,4,FALSE),"Unknown")</x:f>
        <x:v>Computer Accessories</x:v>
      </x:c>
      <x:c r="P2403" s="92" t="n">
        <x:f>IFERROR(VLOOKUP(L2403,'Reference Data'!$A$5:$F$40,5,FALSE),0)</x:f>
        <x:v>59</x:v>
      </x:c>
      <x:c r="Q2403" s="92" t="n">
        <x:f>IFERROR(VLOOKUP(L2403,'Reference Data'!$A$5:$F$40,6,FALSE),0)</x:f>
        <x:v>28</x:v>
      </x:c>
      <x:c r="R2403" s="84" t="n">
        <x:f>'Raw Sales'!J2403</x:f>
        <x:v>2</x:v>
      </x:c>
      <x:c r="S2403" s="87" t="n">
        <x:f>'Raw Sales'!K2403</x:f>
        <x:v>0.1</x:v>
      </x:c>
      <x:c r="T2403" s="93" t="n">
        <x:f>P2403*R2403</x:f>
        <x:v>118</x:v>
      </x:c>
      <x:c r="U2403" s="93" t="n">
        <x:f>T2403*S2403</x:f>
        <x:v>11.8</x:v>
      </x:c>
      <x:c r="V2403" s="93" t="str">
        <x:f>PROPER(TRIM('Raw Sales'!L2403))</x:f>
        <x:v>Completed</x:v>
      </x:c>
      <x:c r="W2403" s="93" t="n">
        <x:f>IF(V2403="Returned",0,T2403-U2403)</x:f>
        <x:v>106.2</x:v>
      </x:c>
      <x:c r="X2403" s="93" t="n">
        <x:f>IF(V2403="Returned",Q2403*R2403*10%,Q2403*R2403)</x:f>
        <x:v>56</x:v>
      </x:c>
      <x:c r="Y2403" s="93" t="n">
        <x:f>W2403-X2403</x:f>
        <x:v>50.2</x:v>
      </x:c>
      <x:c r="Z2403" s="94" t="n">
        <x:f>IFERROR(Y2403/W2403,0)</x:f>
        <x:v>0.4726930320150659</x:v>
      </x:c>
      <x:c r="AA2403" s="84" t="str">
        <x:f>PROPER(TRIM('Raw Sales'!M2403))</x:f>
        <x:v>Debit Card</x:v>
      </x:c>
      <x:c r="AB2403" s="84" t="str">
        <x:f>PROPER(TRIM('Raw Sales'!N2403))</x:f>
        <x:v>Mia Chen</x:v>
      </x:c>
      <x:c r="AC2403" s="85" t="n">
        <x:f>'Raw Sales'!O2403</x:f>
        <x:v>46023</x:v>
      </x:c>
      <x:c r="AD2403" s="84" t="n">
        <x:f>AC2403-B2403</x:f>
        <x:v>6</x:v>
      </x:c>
      <x:c r="AE2403" s="84" t="str">
        <x:f>IF(COUNTIF($A$5:A2403,A2403)&gt;1,"Duplicate","Keep")</x:f>
        <x:v>Keep</x:v>
      </x:c>
      <x:c r="AF2403" s="84" t="str">
        <x:f>IF(OR(R2403&lt;=0,AC2403&lt;B2403,H2403="Unknown",M2403="Unknown Product"),"Review","Valid")</x:f>
        <x:v>Valid</x:v>
      </x:c>
      <x:c r="AG2403" s="84" t="n">
        <x:f>IF(AND(AE2403="Keep",AF2403="Valid"),1,0)</x:f>
        <x:v>1</x:v>
      </x:c>
      <x:c r="AH2403" s="84" t="n">
        <x:f>IF(AND(AG2403=1,OR('Dashboard'!$B$4="All",I2403='Dashboard'!$B$4),OR('Dashboard'!$E$4="All",N2403='Dashboard'!$E$4),OR('Dashboard'!$H$4="All",K2403='Dashboard'!$H$4),OR('Dashboard'!$K$4="All",C2403='Dashboard'!$K$4)),1,0)</x:f>
        <x:v>1</x:v>
      </x:c>
      <x:c r="AI2403" s="84" t="n">
        <x:f>IF(AND(AG2403=1,OR('Dashboard'!$B$4="All",I2403='Dashboard'!$B$4),OR('Dashboard'!$E$4="All",N2403='Dashboard'!$E$4),OR('Dashboard'!$H$4="All",K2403='Dashboard'!$H$4)),1,0)</x:f>
        <x:v>1</x:v>
      </x:c>
    </x:row>
    <x:row r="2404">
      <x:c r="A2404" s="84" t="str">
        <x:f>'Raw Sales'!A2404</x:f>
        <x:v>ORD-2025-01432</x:v>
      </x:c>
      <x:c r="B2404" s="85" t="n">
        <x:f>'Raw Sales'!B2404</x:f>
        <x:v>46017</x:v>
      </x:c>
      <x:c r="C2404" s="84" t="n">
        <x:f>YEAR(B2404)</x:f>
        <x:v>2025</x:v>
      </x:c>
      <x:c r="D2404" s="91" t="n">
        <x:f>DATE(YEAR(B2404),MONTH(B2404),1)</x:f>
        <x:v>45992</x:v>
      </x:c>
      <x:c r="E2404" s="84" t="str">
        <x:f>TEXT(B2404,"mmm")</x:f>
        <x:v>Dec</x:v>
      </x:c>
      <x:c r="F2404" s="84" t="str">
        <x:f>'Raw Sales'!C2404</x:f>
        <x:v>CUST-0624</x:v>
      </x:c>
      <x:c r="G2404" s="84" t="str">
        <x:f>PROPER(TRIM('Raw Sales'!D2404))</x:f>
        <x:v>Nina Irwin</x:v>
      </x:c>
      <x:c r="H2404" s="84" t="str">
        <x:f>IF(TRIM('Raw Sales'!E2404)="","Unknown",PROPER(TRIM('Raw Sales'!E2404)))</x:f>
        <x:v>Small Business</x:v>
      </x:c>
      <x:c r="I2404" s="84" t="str">
        <x:f>PROPER(TRIM('Raw Sales'!F2404))</x:f>
        <x:v>Northeast</x:v>
      </x:c>
      <x:c r="J2404" s="84" t="str">
        <x:f>PROPER(TRIM('Raw Sales'!G2404))</x:f>
        <x:v>Philadelphia</x:v>
      </x:c>
      <x:c r="K2404" s="84" t="str">
        <x:f>PROPER(TRIM('Raw Sales'!H2404))</x:f>
        <x:v>Online</x:v>
      </x:c>
      <x:c r="L2404" s="84" t="str">
        <x:f>'Raw Sales'!I2404</x:f>
        <x:v>ELEC-005</x:v>
      </x:c>
      <x:c r="M2404" s="84" t="str">
        <x:f>IFERROR(VLOOKUP(L2404,'Reference Data'!$A$5:$F$40,2,FALSE),"Unknown Product")</x:f>
        <x:v>HD Webcam</x:v>
      </x:c>
      <x:c r="N2404" s="84" t="str">
        <x:f>IFERROR(VLOOKUP(L2404,'Reference Data'!$A$5:$F$40,3,FALSE),"Unknown")</x:f>
        <x:v>Electronics</x:v>
      </x:c>
      <x:c r="O2404" s="84" t="str">
        <x:f>IFERROR(VLOOKUP(L2404,'Reference Data'!$A$5:$F$40,4,FALSE),"Unknown")</x:f>
        <x:v>Computer Accessories</x:v>
      </x:c>
      <x:c r="P2404" s="92" t="n">
        <x:f>IFERROR(VLOOKUP(L2404,'Reference Data'!$A$5:$F$40,5,FALSE),0)</x:f>
        <x:v>79</x:v>
      </x:c>
      <x:c r="Q2404" s="92" t="n">
        <x:f>IFERROR(VLOOKUP(L2404,'Reference Data'!$A$5:$F$40,6,FALSE),0)</x:f>
        <x:v>37</x:v>
      </x:c>
      <x:c r="R2404" s="84" t="n">
        <x:f>'Raw Sales'!J2404</x:f>
        <x:v>1</x:v>
      </x:c>
      <x:c r="S2404" s="87" t="n">
        <x:f>'Raw Sales'!K2404</x:f>
        <x:v>0.1</x:v>
      </x:c>
      <x:c r="T2404" s="93" t="n">
        <x:f>P2404*R2404</x:f>
        <x:v>79</x:v>
      </x:c>
      <x:c r="U2404" s="93" t="n">
        <x:f>T2404*S2404</x:f>
        <x:v>7.9</x:v>
      </x:c>
      <x:c r="V2404" s="93" t="str">
        <x:f>PROPER(TRIM('Raw Sales'!L2404))</x:f>
        <x:v>Completed</x:v>
      </x:c>
      <x:c r="W2404" s="93" t="n">
        <x:f>IF(V2404="Returned",0,T2404-U2404)</x:f>
        <x:v>71.1</x:v>
      </x:c>
      <x:c r="X2404" s="93" t="n">
        <x:f>IF(V2404="Returned",Q2404*R2404*10%,Q2404*R2404)</x:f>
        <x:v>37</x:v>
      </x:c>
      <x:c r="Y2404" s="93" t="n">
        <x:f>W2404-X2404</x:f>
        <x:v>34.099999999999994</x:v>
      </x:c>
      <x:c r="Z2404" s="94" t="n">
        <x:f>IFERROR(Y2404/W2404,0)</x:f>
        <x:v>0.4796061884669479</x:v>
      </x:c>
      <x:c r="AA2404" s="84" t="str">
        <x:f>PROPER(TRIM('Raw Sales'!M2404))</x:f>
        <x:v>Paypal</x:v>
      </x:c>
      <x:c r="AB2404" s="84" t="str">
        <x:f>PROPER(TRIM('Raw Sales'!N2404))</x:f>
        <x:v>Ethan Cole</x:v>
      </x:c>
      <x:c r="AC2404" s="85" t="n">
        <x:f>'Raw Sales'!O2404</x:f>
        <x:v>46021</x:v>
      </x:c>
      <x:c r="AD2404" s="84" t="n">
        <x:f>AC2404-B2404</x:f>
        <x:v>4</x:v>
      </x:c>
      <x:c r="AE2404" s="84" t="str">
        <x:f>IF(COUNTIF($A$5:A2404,A2404)&gt;1,"Duplicate","Keep")</x:f>
        <x:v>Keep</x:v>
      </x:c>
      <x:c r="AF2404" s="84" t="str">
        <x:f>IF(OR(R2404&lt;=0,AC2404&lt;B2404,H2404="Unknown",M2404="Unknown Product"),"Review","Valid")</x:f>
        <x:v>Valid</x:v>
      </x:c>
      <x:c r="AG2404" s="84" t="n">
        <x:f>IF(AND(AE2404="Keep",AF2404="Valid"),1,0)</x:f>
        <x:v>1</x:v>
      </x:c>
      <x:c r="AH2404" s="84" t="n">
        <x:f>IF(AND(AG2404=1,OR('Dashboard'!$B$4="All",I2404='Dashboard'!$B$4),OR('Dashboard'!$E$4="All",N2404='Dashboard'!$E$4),OR('Dashboard'!$H$4="All",K2404='Dashboard'!$H$4),OR('Dashboard'!$K$4="All",C2404='Dashboard'!$K$4)),1,0)</x:f>
        <x:v>1</x:v>
      </x:c>
      <x:c r="AI2404" s="84" t="n">
        <x:f>IF(AND(AG2404=1,OR('Dashboard'!$B$4="All",I2404='Dashboard'!$B$4),OR('Dashboard'!$E$4="All",N2404='Dashboard'!$E$4),OR('Dashboard'!$H$4="All",K2404='Dashboard'!$H$4)),1,0)</x:f>
        <x:v>1</x:v>
      </x:c>
    </x:row>
    <x:row r="2405">
      <x:c r="A2405" s="84" t="str">
        <x:f>'Raw Sales'!A2405</x:f>
        <x:v>ORD-2025-01229</x:v>
      </x:c>
      <x:c r="B2405" s="85" t="n">
        <x:f>'Raw Sales'!B2405</x:f>
        <x:v>46018</x:v>
      </x:c>
      <x:c r="C2405" s="84" t="n">
        <x:f>YEAR(B2405)</x:f>
        <x:v>2025</x:v>
      </x:c>
      <x:c r="D2405" s="91" t="n">
        <x:f>DATE(YEAR(B2405),MONTH(B2405),1)</x:f>
        <x:v>45992</x:v>
      </x:c>
      <x:c r="E2405" s="84" t="str">
        <x:f>TEXT(B2405,"mmm")</x:f>
        <x:v>Dec</x:v>
      </x:c>
      <x:c r="F2405" s="84" t="str">
        <x:f>'Raw Sales'!C2405</x:f>
        <x:v>CUST-0071</x:v>
      </x:c>
      <x:c r="G2405" s="84" t="str">
        <x:f>PROPER(TRIM('Raw Sales'!D2405))</x:f>
        <x:v>Owen Foster</x:v>
      </x:c>
      <x:c r="H2405" s="84" t="str">
        <x:f>IF(TRIM('Raw Sales'!E2405)="","Unknown",PROPER(TRIM('Raw Sales'!E2405)))</x:f>
        <x:v>Consumer</x:v>
      </x:c>
      <x:c r="I2405" s="84" t="str">
        <x:f>PROPER(TRIM('Raw Sales'!F2405))</x:f>
        <x:v>Midwest</x:v>
      </x:c>
      <x:c r="J2405" s="84" t="str">
        <x:f>PROPER(TRIM('Raw Sales'!G2405))</x:f>
        <x:v>Detroit</x:v>
      </x:c>
      <x:c r="K2405" s="84" t="str">
        <x:f>PROPER(TRIM('Raw Sales'!H2405))</x:f>
        <x:v>Retail Store</x:v>
      </x:c>
      <x:c r="L2405" s="84" t="str">
        <x:f>'Raw Sales'!I2405</x:f>
        <x:v>FITN-004</x:v>
      </x:c>
      <x:c r="M2405" s="84" t="str">
        <x:f>IFERROR(VLOOKUP(L2405,'Reference Data'!$A$5:$F$40,2,FALSE),"Unknown Product")</x:f>
        <x:v>Fitness Tracker</x:v>
      </x:c>
      <x:c r="N2405" s="84" t="str">
        <x:f>IFERROR(VLOOKUP(L2405,'Reference Data'!$A$5:$F$40,3,FALSE),"Unknown")</x:f>
        <x:v>Fitness</x:v>
      </x:c>
      <x:c r="O2405" s="84" t="str">
        <x:f>IFERROR(VLOOKUP(L2405,'Reference Data'!$A$5:$F$40,4,FALSE),"Unknown")</x:f>
        <x:v>Wearables</x:v>
      </x:c>
      <x:c r="P2405" s="92" t="n">
        <x:f>IFERROR(VLOOKUP(L2405,'Reference Data'!$A$5:$F$40,5,FALSE),0)</x:f>
        <x:v>89</x:v>
      </x:c>
      <x:c r="Q2405" s="92" t="n">
        <x:f>IFERROR(VLOOKUP(L2405,'Reference Data'!$A$5:$F$40,6,FALSE),0)</x:f>
        <x:v>44</x:v>
      </x:c>
      <x:c r="R2405" s="84" t="n">
        <x:f>'Raw Sales'!J2405</x:f>
        <x:v>1</x:v>
      </x:c>
      <x:c r="S2405" s="87" t="n">
        <x:f>'Raw Sales'!K2405</x:f>
        <x:v>0.15</x:v>
      </x:c>
      <x:c r="T2405" s="93" t="n">
        <x:f>P2405*R2405</x:f>
        <x:v>89</x:v>
      </x:c>
      <x:c r="U2405" s="93" t="n">
        <x:f>T2405*S2405</x:f>
        <x:v>13.35</x:v>
      </x:c>
      <x:c r="V2405" s="93" t="str">
        <x:f>PROPER(TRIM('Raw Sales'!L2405))</x:f>
        <x:v>Completed</x:v>
      </x:c>
      <x:c r="W2405" s="93" t="n">
        <x:f>IF(V2405="Returned",0,T2405-U2405)</x:f>
        <x:v>75.65</x:v>
      </x:c>
      <x:c r="X2405" s="93" t="n">
        <x:f>IF(V2405="Returned",Q2405*R2405*10%,Q2405*R2405)</x:f>
        <x:v>44</x:v>
      </x:c>
      <x:c r="Y2405" s="93" t="n">
        <x:f>W2405-X2405</x:f>
        <x:v>31.650000000000006</x:v>
      </x:c>
      <x:c r="Z2405" s="94" t="n">
        <x:f>IFERROR(Y2405/W2405,0)</x:f>
        <x:v>0.4183740912095176</x:v>
      </x:c>
      <x:c r="AA2405" s="84" t="str">
        <x:f>PROPER(TRIM('Raw Sales'!M2405))</x:f>
        <x:v>Credit Card</x:v>
      </x:c>
      <x:c r="AB2405" s="84" t="str">
        <x:f>PROPER(TRIM('Raw Sales'!N2405))</x:f>
        <x:v>Zoe Turner</x:v>
      </x:c>
      <x:c r="AC2405" s="85" t="n">
        <x:f>'Raw Sales'!O2405</x:f>
        <x:v>46019</x:v>
      </x:c>
      <x:c r="AD2405" s="84" t="n">
        <x:f>AC2405-B2405</x:f>
        <x:v>1</x:v>
      </x:c>
      <x:c r="AE2405" s="84" t="str">
        <x:f>IF(COUNTIF($A$5:A2405,A2405)&gt;1,"Duplicate","Keep")</x:f>
        <x:v>Keep</x:v>
      </x:c>
      <x:c r="AF2405" s="84" t="str">
        <x:f>IF(OR(R2405&lt;=0,AC2405&lt;B2405,H2405="Unknown",M2405="Unknown Product"),"Review","Valid")</x:f>
        <x:v>Valid</x:v>
      </x:c>
      <x:c r="AG2405" s="84" t="n">
        <x:f>IF(AND(AE2405="Keep",AF2405="Valid"),1,0)</x:f>
        <x:v>1</x:v>
      </x:c>
      <x:c r="AH2405" s="84" t="n">
        <x:f>IF(AND(AG2405=1,OR('Dashboard'!$B$4="All",I2405='Dashboard'!$B$4),OR('Dashboard'!$E$4="All",N2405='Dashboard'!$E$4),OR('Dashboard'!$H$4="All",K2405='Dashboard'!$H$4),OR('Dashboard'!$K$4="All",C2405='Dashboard'!$K$4)),1,0)</x:f>
        <x:v>1</x:v>
      </x:c>
      <x:c r="AI2405" s="84" t="n">
        <x:f>IF(AND(AG2405=1,OR('Dashboard'!$B$4="All",I2405='Dashboard'!$B$4),OR('Dashboard'!$E$4="All",N2405='Dashboard'!$E$4),OR('Dashboard'!$H$4="All",K2405='Dashboard'!$H$4)),1,0)</x:f>
        <x:v>1</x:v>
      </x:c>
    </x:row>
    <x:row r="2406">
      <x:c r="A2406" s="84" t="str">
        <x:f>'Raw Sales'!A2406</x:f>
        <x:v>ORD-2025-00301</x:v>
      </x:c>
      <x:c r="B2406" s="85" t="n">
        <x:f>'Raw Sales'!B2406</x:f>
        <x:v>46019</x:v>
      </x:c>
      <x:c r="C2406" s="84" t="n">
        <x:f>YEAR(B2406)</x:f>
        <x:v>2025</x:v>
      </x:c>
      <x:c r="D2406" s="91" t="n">
        <x:f>DATE(YEAR(B2406),MONTH(B2406),1)</x:f>
        <x:v>45992</x:v>
      </x:c>
      <x:c r="E2406" s="84" t="str">
        <x:f>TEXT(B2406,"mmm")</x:f>
        <x:v>Dec</x:v>
      </x:c>
      <x:c r="F2406" s="84" t="str">
        <x:f>'Raw Sales'!C2406</x:f>
        <x:v>CUST-0249</x:v>
      </x:c>
      <x:c r="G2406" s="84" t="str">
        <x:f>PROPER(TRIM('Raw Sales'!D2406))</x:f>
        <x:v>Zara Roberts</x:v>
      </x:c>
      <x:c r="H2406" s="84" t="str">
        <x:f>IF(TRIM('Raw Sales'!E2406)="","Unknown",PROPER(TRIM('Raw Sales'!E2406)))</x:f>
        <x:v>Corporate</x:v>
      </x:c>
      <x:c r="I2406" s="84" t="str">
        <x:f>PROPER(TRIM('Raw Sales'!F2406))</x:f>
        <x:v>Northeast</x:v>
      </x:c>
      <x:c r="J2406" s="84" t="str">
        <x:f>PROPER(TRIM('Raw Sales'!G2406))</x:f>
        <x:v>Philadelphia</x:v>
      </x:c>
      <x:c r="K2406" s="84" t="str">
        <x:f>PROPER(TRIM('Raw Sales'!H2406))</x:f>
        <x:v>Retail Store</x:v>
      </x:c>
      <x:c r="L2406" s="84" t="str">
        <x:f>'Raw Sales'!I2406</x:f>
        <x:v>HOME-003</x:v>
      </x:c>
      <x:c r="M2406" s="84" t="str">
        <x:f>IFERROR(VLOOKUP(L2406,'Reference Data'!$A$5:$F$40,2,FALSE),"Unknown Product")</x:f>
        <x:v>Countertop Blender</x:v>
      </x:c>
      <x:c r="N2406" s="84" t="str">
        <x:f>IFERROR(VLOOKUP(L2406,'Reference Data'!$A$5:$F$40,3,FALSE),"Unknown")</x:f>
        <x:v>Home &amp; Kitchen</x:v>
      </x:c>
      <x:c r="O2406" s="84" t="str">
        <x:f>IFERROR(VLOOKUP(L2406,'Reference Data'!$A$5:$F$40,4,FALSE),"Unknown")</x:f>
        <x:v>Small Appliances</x:v>
      </x:c>
      <x:c r="P2406" s="92" t="n">
        <x:f>IFERROR(VLOOKUP(L2406,'Reference Data'!$A$5:$F$40,5,FALSE),0)</x:f>
        <x:v>89</x:v>
      </x:c>
      <x:c r="Q2406" s="92" t="n">
        <x:f>IFERROR(VLOOKUP(L2406,'Reference Data'!$A$5:$F$40,6,FALSE),0)</x:f>
        <x:v>46</x:v>
      </x:c>
      <x:c r="R2406" s="84" t="n">
        <x:f>'Raw Sales'!J2406</x:f>
        <x:v>3</x:v>
      </x:c>
      <x:c r="S2406" s="87" t="n">
        <x:f>'Raw Sales'!K2406</x:f>
        <x:v>0.1</x:v>
      </x:c>
      <x:c r="T2406" s="93" t="n">
        <x:f>P2406*R2406</x:f>
        <x:v>267</x:v>
      </x:c>
      <x:c r="U2406" s="93" t="n">
        <x:f>T2406*S2406</x:f>
        <x:v>26.700000000000003</x:v>
      </x:c>
      <x:c r="V2406" s="93" t="str">
        <x:f>PROPER(TRIM('Raw Sales'!L2406))</x:f>
        <x:v>Completed</x:v>
      </x:c>
      <x:c r="W2406" s="93" t="n">
        <x:f>IF(V2406="Returned",0,T2406-U2406)</x:f>
        <x:v>240.3</x:v>
      </x:c>
      <x:c r="X2406" s="93" t="n">
        <x:f>IF(V2406="Returned",Q2406*R2406*10%,Q2406*R2406)</x:f>
        <x:v>138</x:v>
      </x:c>
      <x:c r="Y2406" s="93" t="n">
        <x:f>W2406-X2406</x:f>
        <x:v>102.30000000000001</x:v>
      </x:c>
      <x:c r="Z2406" s="94" t="n">
        <x:f>IFERROR(Y2406/W2406,0)</x:f>
        <x:v>0.42571785268414486</x:v>
      </x:c>
      <x:c r="AA2406" s="84" t="str">
        <x:f>PROPER(TRIM('Raw Sales'!M2406))</x:f>
        <x:v>Cash</x:v>
      </x:c>
      <x:c r="AB2406" s="84" t="str">
        <x:f>PROPER(TRIM('Raw Sales'!N2406))</x:f>
        <x:v>Maya Brooks</x:v>
      </x:c>
      <x:c r="AC2406" s="85" t="n">
        <x:f>'Raw Sales'!O2406</x:f>
        <x:v>46019</x:v>
      </x:c>
      <x:c r="AD2406" s="84" t="n">
        <x:f>AC2406-B2406</x:f>
        <x:v>0</x:v>
      </x:c>
      <x:c r="AE2406" s="84" t="str">
        <x:f>IF(COUNTIF($A$5:A2406,A2406)&gt;1,"Duplicate","Keep")</x:f>
        <x:v>Keep</x:v>
      </x:c>
      <x:c r="AF2406" s="84" t="str">
        <x:f>IF(OR(R2406&lt;=0,AC2406&lt;B2406,H2406="Unknown",M2406="Unknown Product"),"Review","Valid")</x:f>
        <x:v>Valid</x:v>
      </x:c>
      <x:c r="AG2406" s="84" t="n">
        <x:f>IF(AND(AE2406="Keep",AF2406="Valid"),1,0)</x:f>
        <x:v>1</x:v>
      </x:c>
      <x:c r="AH2406" s="84" t="n">
        <x:f>IF(AND(AG2406=1,OR('Dashboard'!$B$4="All",I2406='Dashboard'!$B$4),OR('Dashboard'!$E$4="All",N2406='Dashboard'!$E$4),OR('Dashboard'!$H$4="All",K2406='Dashboard'!$H$4),OR('Dashboard'!$K$4="All",C2406='Dashboard'!$K$4)),1,0)</x:f>
        <x:v>1</x:v>
      </x:c>
      <x:c r="AI2406" s="84" t="n">
        <x:f>IF(AND(AG2406=1,OR('Dashboard'!$B$4="All",I2406='Dashboard'!$B$4),OR('Dashboard'!$E$4="All",N2406='Dashboard'!$E$4),OR('Dashboard'!$H$4="All",K2406='Dashboard'!$H$4)),1,0)</x:f>
        <x:v>1</x:v>
      </x:c>
    </x:row>
    <x:row r="2407">
      <x:c r="A2407" s="84" t="str">
        <x:f>'Raw Sales'!A2407</x:f>
        <x:v>ORD-2025-01454</x:v>
      </x:c>
      <x:c r="B2407" s="85" t="n">
        <x:f>'Raw Sales'!B2407</x:f>
        <x:v>46019</x:v>
      </x:c>
      <x:c r="C2407" s="84" t="n">
        <x:f>YEAR(B2407)</x:f>
        <x:v>2025</x:v>
      </x:c>
      <x:c r="D2407" s="91" t="n">
        <x:f>DATE(YEAR(B2407),MONTH(B2407),1)</x:f>
        <x:v>45992</x:v>
      </x:c>
      <x:c r="E2407" s="84" t="str">
        <x:f>TEXT(B2407,"mmm")</x:f>
        <x:v>Dec</x:v>
      </x:c>
      <x:c r="F2407" s="84" t="str">
        <x:f>'Raw Sales'!C2407</x:f>
        <x:v>CUST-0111</x:v>
      </x:c>
      <x:c r="G2407" s="84" t="str">
        <x:f>PROPER(TRIM('Raw Sales'!D2407))</x:f>
        <x:v>Elias Evans</x:v>
      </x:c>
      <x:c r="H2407" s="84" t="str">
        <x:f>IF(TRIM('Raw Sales'!E2407)="","Unknown",PROPER(TRIM('Raw Sales'!E2407)))</x:f>
        <x:v>Small Business</x:v>
      </x:c>
      <x:c r="I2407" s="84" t="str">
        <x:f>PROPER(TRIM('Raw Sales'!F2407))</x:f>
        <x:v>Northeast</x:v>
      </x:c>
      <x:c r="J2407" s="84" t="str">
        <x:f>PROPER(TRIM('Raw Sales'!G2407))</x:f>
        <x:v>New York</x:v>
      </x:c>
      <x:c r="K2407" s="84" t="str">
        <x:f>PROPER(TRIM('Raw Sales'!H2407))</x:f>
        <x:v>Retail Store</x:v>
      </x:c>
      <x:c r="L2407" s="84" t="str">
        <x:f>'Raw Sales'!I2407</x:f>
        <x:v>ELEC-003</x:v>
      </x:c>
      <x:c r="M2407" s="84" t="str">
        <x:f>IFERROR(VLOOKUP(L2407,'Reference Data'!$A$5:$F$40,2,FALSE),"Unknown Product")</x:f>
        <x:v>Bluetooth Speaker</x:v>
      </x:c>
      <x:c r="N2407" s="84" t="str">
        <x:f>IFERROR(VLOOKUP(L2407,'Reference Data'!$A$5:$F$40,3,FALSE),"Unknown")</x:f>
        <x:v>Electronics</x:v>
      </x:c>
      <x:c r="O2407" s="84" t="str">
        <x:f>IFERROR(VLOOKUP(L2407,'Reference Data'!$A$5:$F$40,4,FALSE),"Unknown")</x:f>
        <x:v>Audio</x:v>
      </x:c>
      <x:c r="P2407" s="92" t="n">
        <x:f>IFERROR(VLOOKUP(L2407,'Reference Data'!$A$5:$F$40,5,FALSE),0)</x:f>
        <x:v>89</x:v>
      </x:c>
      <x:c r="Q2407" s="92" t="n">
        <x:f>IFERROR(VLOOKUP(L2407,'Reference Data'!$A$5:$F$40,6,FALSE),0)</x:f>
        <x:v>44</x:v>
      </x:c>
      <x:c r="R2407" s="84" t="n">
        <x:f>'Raw Sales'!J2407</x:f>
        <x:v>2</x:v>
      </x:c>
      <x:c r="S2407" s="87" t="n">
        <x:f>'Raw Sales'!K2407</x:f>
        <x:v>0</x:v>
      </x:c>
      <x:c r="T2407" s="93" t="n">
        <x:f>P2407*R2407</x:f>
        <x:v>178</x:v>
      </x:c>
      <x:c r="U2407" s="93" t="n">
        <x:f>T2407*S2407</x:f>
        <x:v>0</x:v>
      </x:c>
      <x:c r="V2407" s="93" t="str">
        <x:f>PROPER(TRIM('Raw Sales'!L2407))</x:f>
        <x:v>Returned</x:v>
      </x:c>
      <x:c r="W2407" s="93" t="n">
        <x:f>IF(V2407="Returned",0,T2407-U2407)</x:f>
        <x:v>0</x:v>
      </x:c>
      <x:c r="X2407" s="93" t="n">
        <x:f>IF(V2407="Returned",Q2407*R2407*10%,Q2407*R2407)</x:f>
        <x:v>8.8</x:v>
      </x:c>
      <x:c r="Y2407" s="93" t="n">
        <x:f>W2407-X2407</x:f>
        <x:v>-8.8</x:v>
      </x:c>
      <x:c r="Z2407" s="94" t="n">
        <x:f>IFERROR(Y2407/W2407,0)</x:f>
        <x:v>0</x:v>
      </x:c>
      <x:c r="AA2407" s="84" t="str">
        <x:f>PROPER(TRIM('Raw Sales'!M2407))</x:f>
        <x:v>Debit Card</x:v>
      </x:c>
      <x:c r="AB2407" s="84" t="str">
        <x:f>PROPER(TRIM('Raw Sales'!N2407))</x:f>
        <x:v>Sofia Bennett</x:v>
      </x:c>
      <x:c r="AC2407" s="85" t="n">
        <x:f>'Raw Sales'!O2407</x:f>
        <x:v>46020</x:v>
      </x:c>
      <x:c r="AD2407" s="84" t="n">
        <x:f>AC2407-B2407</x:f>
        <x:v>1</x:v>
      </x:c>
      <x:c r="AE2407" s="84" t="str">
        <x:f>IF(COUNTIF($A$5:A2407,A2407)&gt;1,"Duplicate","Keep")</x:f>
        <x:v>Keep</x:v>
      </x:c>
      <x:c r="AF2407" s="84" t="str">
        <x:f>IF(OR(R2407&lt;=0,AC2407&lt;B2407,H2407="Unknown",M2407="Unknown Product"),"Review","Valid")</x:f>
        <x:v>Valid</x:v>
      </x:c>
      <x:c r="AG2407" s="84" t="n">
        <x:f>IF(AND(AE2407="Keep",AF2407="Valid"),1,0)</x:f>
        <x:v>1</x:v>
      </x:c>
      <x:c r="AH2407" s="84" t="n">
        <x:f>IF(AND(AG2407=1,OR('Dashboard'!$B$4="All",I2407='Dashboard'!$B$4),OR('Dashboard'!$E$4="All",N2407='Dashboard'!$E$4),OR('Dashboard'!$H$4="All",K2407='Dashboard'!$H$4),OR('Dashboard'!$K$4="All",C2407='Dashboard'!$K$4)),1,0)</x:f>
        <x:v>1</x:v>
      </x:c>
      <x:c r="AI2407" s="84" t="n">
        <x:f>IF(AND(AG2407=1,OR('Dashboard'!$B$4="All",I2407='Dashboard'!$B$4),OR('Dashboard'!$E$4="All",N2407='Dashboard'!$E$4),OR('Dashboard'!$H$4="All",K2407='Dashboard'!$H$4)),1,0)</x:f>
        <x:v>1</x:v>
      </x:c>
    </x:row>
    <x:row r="2408">
      <x:c r="A2408" s="84" t="str">
        <x:f>'Raw Sales'!A2408</x:f>
        <x:v>ORD-2025-01725</x:v>
      </x:c>
      <x:c r="B2408" s="85" t="n">
        <x:f>'Raw Sales'!B2408</x:f>
        <x:v>46019</x:v>
      </x:c>
      <x:c r="C2408" s="84" t="n">
        <x:f>YEAR(B2408)</x:f>
        <x:v>2025</x:v>
      </x:c>
      <x:c r="D2408" s="91" t="n">
        <x:f>DATE(YEAR(B2408),MONTH(B2408),1)</x:f>
        <x:v>45992</x:v>
      </x:c>
      <x:c r="E2408" s="84" t="str">
        <x:f>TEXT(B2408,"mmm")</x:f>
        <x:v>Dec</x:v>
      </x:c>
      <x:c r="F2408" s="84" t="str">
        <x:f>'Raw Sales'!C2408</x:f>
        <x:v>CUST-0501</x:v>
      </x:c>
      <x:c r="G2408" s="84" t="str">
        <x:f>PROPER(TRIM('Raw Sales'!D2408))</x:f>
        <x:v>Priya Garcia</x:v>
      </x:c>
      <x:c r="H2408" s="84" t="str">
        <x:f>IF(TRIM('Raw Sales'!E2408)="","Unknown",PROPER(TRIM('Raw Sales'!E2408)))</x:f>
        <x:v>Consumer</x:v>
      </x:c>
      <x:c r="I2408" s="84" t="str">
        <x:f>PROPER(TRIM('Raw Sales'!F2408))</x:f>
        <x:v>Northeast</x:v>
      </x:c>
      <x:c r="J2408" s="84" t="str">
        <x:f>PROPER(TRIM('Raw Sales'!G2408))</x:f>
        <x:v>Boston</x:v>
      </x:c>
      <x:c r="K2408" s="84" t="str">
        <x:f>PROPER(TRIM('Raw Sales'!H2408))</x:f>
        <x:v>Marketplace</x:v>
      </x:c>
      <x:c r="L2408" s="84" t="str">
        <x:f>'Raw Sales'!I2408</x:f>
        <x:v>ELEC-006</x:v>
      </x:c>
      <x:c r="M2408" s="84" t="str">
        <x:f>IFERROR(VLOOKUP(L2408,'Reference Data'!$A$5:$F$40,2,FALSE),"Unknown Product")</x:f>
        <x:v>Portable SSD</x:v>
      </x:c>
      <x:c r="N2408" s="84" t="str">
        <x:f>IFERROR(VLOOKUP(L2408,'Reference Data'!$A$5:$F$40,3,FALSE),"Unknown")</x:f>
        <x:v>Electronics</x:v>
      </x:c>
      <x:c r="O2408" s="84" t="str">
        <x:f>IFERROR(VLOOKUP(L2408,'Reference Data'!$A$5:$F$40,4,FALSE),"Unknown")</x:f>
        <x:v>Storage</x:v>
      </x:c>
      <x:c r="P2408" s="92" t="n">
        <x:f>IFERROR(VLOOKUP(L2408,'Reference Data'!$A$5:$F$40,5,FALSE),0)</x:f>
        <x:v>129</x:v>
      </x:c>
      <x:c r="Q2408" s="92" t="n">
        <x:f>IFERROR(VLOOKUP(L2408,'Reference Data'!$A$5:$F$40,6,FALSE),0)</x:f>
        <x:v>75</x:v>
      </x:c>
      <x:c r="R2408" s="84" t="n">
        <x:f>'Raw Sales'!J2408</x:f>
        <x:v>1</x:v>
      </x:c>
      <x:c r="S2408" s="87" t="n">
        <x:f>'Raw Sales'!K2408</x:f>
        <x:v>0.1</x:v>
      </x:c>
      <x:c r="T2408" s="93" t="n">
        <x:f>P2408*R2408</x:f>
        <x:v>129</x:v>
      </x:c>
      <x:c r="U2408" s="93" t="n">
        <x:f>T2408*S2408</x:f>
        <x:v>12.9</x:v>
      </x:c>
      <x:c r="V2408" s="93" t="str">
        <x:f>PROPER(TRIM('Raw Sales'!L2408))</x:f>
        <x:v>Completed</x:v>
      </x:c>
      <x:c r="W2408" s="93" t="n">
        <x:f>IF(V2408="Returned",0,T2408-U2408)</x:f>
        <x:v>116.1</x:v>
      </x:c>
      <x:c r="X2408" s="93" t="n">
        <x:f>IF(V2408="Returned",Q2408*R2408*10%,Q2408*R2408)</x:f>
        <x:v>75</x:v>
      </x:c>
      <x:c r="Y2408" s="93" t="n">
        <x:f>W2408-X2408</x:f>
        <x:v>41.099999999999994</x:v>
      </x:c>
      <x:c r="Z2408" s="94" t="n">
        <x:f>IFERROR(Y2408/W2408,0)</x:f>
        <x:v>0.3540051679586563</x:v>
      </x:c>
      <x:c r="AA2408" s="84" t="str">
        <x:f>PROPER(TRIM('Raw Sales'!M2408))</x:f>
        <x:v>Credit Card</x:v>
      </x:c>
      <x:c r="AB2408" s="84" t="str">
        <x:f>PROPER(TRIM('Raw Sales'!N2408))</x:f>
        <x:v>Maya Brooks</x:v>
      </x:c>
      <x:c r="AC2408" s="85" t="n">
        <x:f>'Raw Sales'!O2408</x:f>
        <x:v>46025</x:v>
      </x:c>
      <x:c r="AD2408" s="84" t="n">
        <x:f>AC2408-B2408</x:f>
        <x:v>6</x:v>
      </x:c>
      <x:c r="AE2408" s="84" t="str">
        <x:f>IF(COUNTIF($A$5:A2408,A2408)&gt;1,"Duplicate","Keep")</x:f>
        <x:v>Keep</x:v>
      </x:c>
      <x:c r="AF2408" s="84" t="str">
        <x:f>IF(OR(R2408&lt;=0,AC2408&lt;B2408,H2408="Unknown",M2408="Unknown Product"),"Review","Valid")</x:f>
        <x:v>Valid</x:v>
      </x:c>
      <x:c r="AG2408" s="84" t="n">
        <x:f>IF(AND(AE2408="Keep",AF2408="Valid"),1,0)</x:f>
        <x:v>1</x:v>
      </x:c>
      <x:c r="AH2408" s="84" t="n">
        <x:f>IF(AND(AG2408=1,OR('Dashboard'!$B$4="All",I2408='Dashboard'!$B$4),OR('Dashboard'!$E$4="All",N2408='Dashboard'!$E$4),OR('Dashboard'!$H$4="All",K2408='Dashboard'!$H$4),OR('Dashboard'!$K$4="All",C2408='Dashboard'!$K$4)),1,0)</x:f>
        <x:v>1</x:v>
      </x:c>
      <x:c r="AI2408" s="84" t="n">
        <x:f>IF(AND(AG2408=1,OR('Dashboard'!$B$4="All",I2408='Dashboard'!$B$4),OR('Dashboard'!$E$4="All",N2408='Dashboard'!$E$4),OR('Dashboard'!$H$4="All",K2408='Dashboard'!$H$4)),1,0)</x:f>
        <x:v>1</x:v>
      </x:c>
    </x:row>
    <x:row r="2409">
      <x:c r="A2409" s="84" t="str">
        <x:f>'Raw Sales'!A2409</x:f>
        <x:v>ORD-2025-01975</x:v>
      </x:c>
      <x:c r="B2409" s="85" t="n">
        <x:f>'Raw Sales'!B2409</x:f>
        <x:v>46019</x:v>
      </x:c>
      <x:c r="C2409" s="84" t="n">
        <x:f>YEAR(B2409)</x:f>
        <x:v>2025</x:v>
      </x:c>
      <x:c r="D2409" s="91" t="n">
        <x:f>DATE(YEAR(B2409),MONTH(B2409),1)</x:f>
        <x:v>45992</x:v>
      </x:c>
      <x:c r="E2409" s="84" t="str">
        <x:f>TEXT(B2409,"mmm")</x:f>
        <x:v>Dec</x:v>
      </x:c>
      <x:c r="F2409" s="84" t="str">
        <x:f>'Raw Sales'!C2409</x:f>
        <x:v>CUST-0131</x:v>
      </x:c>
      <x:c r="G2409" s="84" t="str">
        <x:f>PROPER(TRIM('Raw Sales'!D2409))</x:f>
        <x:v>Theo Patel</x:v>
      </x:c>
      <x:c r="H2409" s="84" t="str">
        <x:f>IF(TRIM('Raw Sales'!E2409)="","Unknown",PROPER(TRIM('Raw Sales'!E2409)))</x:f>
        <x:v>Consumer</x:v>
      </x:c>
      <x:c r="I2409" s="84" t="str">
        <x:f>PROPER(TRIM('Raw Sales'!F2409))</x:f>
        <x:v>Southeast</x:v>
      </x:c>
      <x:c r="J2409" s="84" t="str">
        <x:f>PROPER(TRIM('Raw Sales'!G2409))</x:f>
        <x:v>Nashville</x:v>
      </x:c>
      <x:c r="K2409" s="84" t="str">
        <x:f>PROPER(TRIM('Raw Sales'!H2409))</x:f>
        <x:v>Retail Store</x:v>
      </x:c>
      <x:c r="L2409" s="84" t="str">
        <x:f>'Raw Sales'!I2409</x:f>
        <x:v>HOME-002</x:v>
      </x:c>
      <x:c r="M2409" s="84" t="str">
        <x:f>IFERROR(VLOOKUP(L2409,'Reference Data'!$A$5:$F$40,2,FALSE),"Unknown Product")</x:f>
        <x:v>Electric Kettle</x:v>
      </x:c>
      <x:c r="N2409" s="84" t="str">
        <x:f>IFERROR(VLOOKUP(L2409,'Reference Data'!$A$5:$F$40,3,FALSE),"Unknown")</x:f>
        <x:v>Home &amp; Kitchen</x:v>
      </x:c>
      <x:c r="O2409" s="84" t="str">
        <x:f>IFERROR(VLOOKUP(L2409,'Reference Data'!$A$5:$F$40,4,FALSE),"Unknown")</x:f>
        <x:v>Small Appliances</x:v>
      </x:c>
      <x:c r="P2409" s="92" t="n">
        <x:f>IFERROR(VLOOKUP(L2409,'Reference Data'!$A$5:$F$40,5,FALSE),0)</x:f>
        <x:v>49</x:v>
      </x:c>
      <x:c r="Q2409" s="92" t="n">
        <x:f>IFERROR(VLOOKUP(L2409,'Reference Data'!$A$5:$F$40,6,FALSE),0)</x:f>
        <x:v>23</x:v>
      </x:c>
      <x:c r="R2409" s="84" t="n">
        <x:f>'Raw Sales'!J2409</x:f>
        <x:v>2</x:v>
      </x:c>
      <x:c r="S2409" s="87" t="n">
        <x:f>'Raw Sales'!K2409</x:f>
        <x:v>0.15</x:v>
      </x:c>
      <x:c r="T2409" s="93" t="n">
        <x:f>P2409*R2409</x:f>
        <x:v>98</x:v>
      </x:c>
      <x:c r="U2409" s="93" t="n">
        <x:f>T2409*S2409</x:f>
        <x:v>14.7</x:v>
      </x:c>
      <x:c r="V2409" s="93" t="str">
        <x:f>PROPER(TRIM('Raw Sales'!L2409))</x:f>
        <x:v>Completed</x:v>
      </x:c>
      <x:c r="W2409" s="93" t="n">
        <x:f>IF(V2409="Returned",0,T2409-U2409)</x:f>
        <x:v>83.3</x:v>
      </x:c>
      <x:c r="X2409" s="93" t="n">
        <x:f>IF(V2409="Returned",Q2409*R2409*10%,Q2409*R2409)</x:f>
        <x:v>46</x:v>
      </x:c>
      <x:c r="Y2409" s="93" t="n">
        <x:f>W2409-X2409</x:f>
        <x:v>37.3</x:v>
      </x:c>
      <x:c r="Z2409" s="94" t="n">
        <x:f>IFERROR(Y2409/W2409,0)</x:f>
        <x:v>0.44777911164465783</x:v>
      </x:c>
      <x:c r="AA2409" s="84" t="str">
        <x:f>PROPER(TRIM('Raw Sales'!M2409))</x:f>
        <x:v>Mobile Wallet</x:v>
      </x:c>
      <x:c r="AB2409" s="84" t="str">
        <x:f>PROPER(TRIM('Raw Sales'!N2409))</x:f>
        <x:v>Ava Mitchell</x:v>
      </x:c>
      <x:c r="AC2409" s="85" t="n">
        <x:f>'Raw Sales'!O2409</x:f>
        <x:v>46019</x:v>
      </x:c>
      <x:c r="AD2409" s="84" t="n">
        <x:f>AC2409-B2409</x:f>
        <x:v>0</x:v>
      </x:c>
      <x:c r="AE2409" s="84" t="str">
        <x:f>IF(COUNTIF($A$5:A2409,A2409)&gt;1,"Duplicate","Keep")</x:f>
        <x:v>Keep</x:v>
      </x:c>
      <x:c r="AF2409" s="84" t="str">
        <x:f>IF(OR(R2409&lt;=0,AC2409&lt;B2409,H2409="Unknown",M2409="Unknown Product"),"Review","Valid")</x:f>
        <x:v>Valid</x:v>
      </x:c>
      <x:c r="AG2409" s="84" t="n">
        <x:f>IF(AND(AE2409="Keep",AF2409="Valid"),1,0)</x:f>
        <x:v>1</x:v>
      </x:c>
      <x:c r="AH2409" s="84" t="n">
        <x:f>IF(AND(AG2409=1,OR('Dashboard'!$B$4="All",I2409='Dashboard'!$B$4),OR('Dashboard'!$E$4="All",N2409='Dashboard'!$E$4),OR('Dashboard'!$H$4="All",K2409='Dashboard'!$H$4),OR('Dashboard'!$K$4="All",C2409='Dashboard'!$K$4)),1,0)</x:f>
        <x:v>1</x:v>
      </x:c>
      <x:c r="AI2409" s="84" t="n">
        <x:f>IF(AND(AG2409=1,OR('Dashboard'!$B$4="All",I2409='Dashboard'!$B$4),OR('Dashboard'!$E$4="All",N2409='Dashboard'!$E$4),OR('Dashboard'!$H$4="All",K2409='Dashboard'!$H$4)),1,0)</x:f>
        <x:v>1</x:v>
      </x:c>
    </x:row>
    <x:row r="2410">
      <x:c r="A2410" s="84" t="str">
        <x:f>'Raw Sales'!A2410</x:f>
        <x:v>ORD-2025-02050</x:v>
      </x:c>
      <x:c r="B2410" s="85" t="n">
        <x:f>'Raw Sales'!B2410</x:f>
        <x:v>46019</x:v>
      </x:c>
      <x:c r="C2410" s="84" t="n">
        <x:f>YEAR(B2410)</x:f>
        <x:v>2025</x:v>
      </x:c>
      <x:c r="D2410" s="91" t="n">
        <x:f>DATE(YEAR(B2410),MONTH(B2410),1)</x:f>
        <x:v>45992</x:v>
      </x:c>
      <x:c r="E2410" s="84" t="str">
        <x:f>TEXT(B2410,"mmm")</x:f>
        <x:v>Dec</x:v>
      </x:c>
      <x:c r="F2410" s="84" t="str">
        <x:f>'Raw Sales'!C2410</x:f>
        <x:v>CUST-0142</x:v>
      </x:c>
      <x:c r="G2410" s="84" t="str">
        <x:f>PROPER(TRIM('Raw Sales'!D2410))</x:f>
        <x:v>Elena Adams</x:v>
      </x:c>
      <x:c r="H2410" s="84" t="str">
        <x:f>IF(TRIM('Raw Sales'!E2410)="","Unknown",PROPER(TRIM('Raw Sales'!E2410)))</x:f>
        <x:v>Consumer</x:v>
      </x:c>
      <x:c r="I2410" s="84" t="str">
        <x:f>PROPER(TRIM('Raw Sales'!F2410))</x:f>
        <x:v>Midwest</x:v>
      </x:c>
      <x:c r="J2410" s="84" t="str">
        <x:f>PROPER(TRIM('Raw Sales'!G2410))</x:f>
        <x:v>Chicago</x:v>
      </x:c>
      <x:c r="K2410" s="84" t="str">
        <x:f>PROPER(TRIM('Raw Sales'!H2410))</x:f>
        <x:v>Online</x:v>
      </x:c>
      <x:c r="L2410" s="84" t="str">
        <x:f>'Raw Sales'!I2410</x:f>
        <x:v>ELEC-002</x:v>
      </x:c>
      <x:c r="M2410" s="84" t="str">
        <x:f>IFERROR(VLOOKUP(L2410,'Reference Data'!$A$5:$F$40,2,FALSE),"Unknown Product")</x:f>
        <x:v>Smartwatch</x:v>
      </x:c>
      <x:c r="N2410" s="84" t="str">
        <x:f>IFERROR(VLOOKUP(L2410,'Reference Data'!$A$5:$F$40,3,FALSE),"Unknown")</x:f>
        <x:v>Electronics</x:v>
      </x:c>
      <x:c r="O2410" s="84" t="str">
        <x:f>IFERROR(VLOOKUP(L2410,'Reference Data'!$A$5:$F$40,4,FALSE),"Unknown")</x:f>
        <x:v>Wearables</x:v>
      </x:c>
      <x:c r="P2410" s="92" t="n">
        <x:f>IFERROR(VLOOKUP(L2410,'Reference Data'!$A$5:$F$40,5,FALSE),0)</x:f>
        <x:v>159</x:v>
      </x:c>
      <x:c r="Q2410" s="92" t="n">
        <x:f>IFERROR(VLOOKUP(L2410,'Reference Data'!$A$5:$F$40,6,FALSE),0)</x:f>
        <x:v>92</x:v>
      </x:c>
      <x:c r="R2410" s="84" t="n">
        <x:f>'Raw Sales'!J2410</x:f>
        <x:v>3</x:v>
      </x:c>
      <x:c r="S2410" s="87" t="n">
        <x:f>'Raw Sales'!K2410</x:f>
        <x:v>0</x:v>
      </x:c>
      <x:c r="T2410" s="93" t="n">
        <x:f>P2410*R2410</x:f>
        <x:v>477</x:v>
      </x:c>
      <x:c r="U2410" s="93" t="n">
        <x:f>T2410*S2410</x:f>
        <x:v>0</x:v>
      </x:c>
      <x:c r="V2410" s="93" t="str">
        <x:f>PROPER(TRIM('Raw Sales'!L2410))</x:f>
        <x:v>Completed</x:v>
      </x:c>
      <x:c r="W2410" s="93" t="n">
        <x:f>IF(V2410="Returned",0,T2410-U2410)</x:f>
        <x:v>477</x:v>
      </x:c>
      <x:c r="X2410" s="93" t="n">
        <x:f>IF(V2410="Returned",Q2410*R2410*10%,Q2410*R2410)</x:f>
        <x:v>276</x:v>
      </x:c>
      <x:c r="Y2410" s="93" t="n">
        <x:f>W2410-X2410</x:f>
        <x:v>201</x:v>
      </x:c>
      <x:c r="Z2410" s="94" t="n">
        <x:f>IFERROR(Y2410/W2410,0)</x:f>
        <x:v>0.42138364779874216</x:v>
      </x:c>
      <x:c r="AA2410" s="84" t="str">
        <x:f>PROPER(TRIM('Raw Sales'!M2410))</x:f>
        <x:v>Debit Card</x:v>
      </x:c>
      <x:c r="AB2410" s="84" t="str">
        <x:f>PROPER(TRIM('Raw Sales'!N2410))</x:f>
        <x:v>Emma Hayes</x:v>
      </x:c>
      <x:c r="AC2410" s="85" t="n">
        <x:f>'Raw Sales'!O2410</x:f>
        <x:v>46024</x:v>
      </x:c>
      <x:c r="AD2410" s="84" t="n">
        <x:f>AC2410-B2410</x:f>
        <x:v>5</x:v>
      </x:c>
      <x:c r="AE2410" s="84" t="str">
        <x:f>IF(COUNTIF($A$5:A2410,A2410)&gt;1,"Duplicate","Keep")</x:f>
        <x:v>Keep</x:v>
      </x:c>
      <x:c r="AF2410" s="84" t="str">
        <x:f>IF(OR(R2410&lt;=0,AC2410&lt;B2410,H2410="Unknown",M2410="Unknown Product"),"Review","Valid")</x:f>
        <x:v>Valid</x:v>
      </x:c>
      <x:c r="AG2410" s="84" t="n">
        <x:f>IF(AND(AE2410="Keep",AF2410="Valid"),1,0)</x:f>
        <x:v>1</x:v>
      </x:c>
      <x:c r="AH2410" s="84" t="n">
        <x:f>IF(AND(AG2410=1,OR('Dashboard'!$B$4="All",I2410='Dashboard'!$B$4),OR('Dashboard'!$E$4="All",N2410='Dashboard'!$E$4),OR('Dashboard'!$H$4="All",K2410='Dashboard'!$H$4),OR('Dashboard'!$K$4="All",C2410='Dashboard'!$K$4)),1,0)</x:f>
        <x:v>1</x:v>
      </x:c>
      <x:c r="AI2410" s="84" t="n">
        <x:f>IF(AND(AG2410=1,OR('Dashboard'!$B$4="All",I2410='Dashboard'!$B$4),OR('Dashboard'!$E$4="All",N2410='Dashboard'!$E$4),OR('Dashboard'!$H$4="All",K2410='Dashboard'!$H$4)),1,0)</x:f>
        <x:v>1</x:v>
      </x:c>
    </x:row>
    <x:row r="2411">
      <x:c r="A2411" s="84" t="str">
        <x:f>'Raw Sales'!A2411</x:f>
        <x:v>ORD-2025-00694</x:v>
      </x:c>
      <x:c r="B2411" s="85" t="n">
        <x:f>'Raw Sales'!B2411</x:f>
        <x:v>46020</x:v>
      </x:c>
      <x:c r="C2411" s="84" t="n">
        <x:f>YEAR(B2411)</x:f>
        <x:v>2025</x:v>
      </x:c>
      <x:c r="D2411" s="91" t="n">
        <x:f>DATE(YEAR(B2411),MONTH(B2411),1)</x:f>
        <x:v>45992</x:v>
      </x:c>
      <x:c r="E2411" s="84" t="str">
        <x:f>TEXT(B2411,"mmm")</x:f>
        <x:v>Dec</x:v>
      </x:c>
      <x:c r="F2411" s="84" t="str">
        <x:f>'Raw Sales'!C2411</x:f>
        <x:v>CUST-0138</x:v>
      </x:c>
      <x:c r="G2411" s="84" t="str">
        <x:f>PROPER(TRIM('Raw Sales'!D2411))</x:f>
        <x:v>Chloe Khan</x:v>
      </x:c>
      <x:c r="H2411" s="84" t="str">
        <x:f>IF(TRIM('Raw Sales'!E2411)="","Unknown",PROPER(TRIM('Raw Sales'!E2411)))</x:f>
        <x:v>Corporate</x:v>
      </x:c>
      <x:c r="I2411" s="84" t="str">
        <x:f>PROPER(TRIM('Raw Sales'!F2411))</x:f>
        <x:v>West</x:v>
      </x:c>
      <x:c r="J2411" s="84" t="str">
        <x:f>PROPER(TRIM('Raw Sales'!G2411))</x:f>
        <x:v>Denver</x:v>
      </x:c>
      <x:c r="K2411" s="84" t="str">
        <x:f>PROPER(TRIM('Raw Sales'!H2411))</x:f>
        <x:v>Retail Store</x:v>
      </x:c>
      <x:c r="L2411" s="84" t="str">
        <x:f>'Raw Sales'!I2411</x:f>
        <x:v>ACCS-001</x:v>
      </x:c>
      <x:c r="M2411" s="84" t="str">
        <x:f>IFERROR(VLOOKUP(L2411,'Reference Data'!$A$5:$F$40,2,FALSE),"Unknown Product")</x:f>
        <x:v>Canvas Tote Bag</x:v>
      </x:c>
      <x:c r="N2411" s="84" t="str">
        <x:f>IFERROR(VLOOKUP(L2411,'Reference Data'!$A$5:$F$40,3,FALSE),"Unknown")</x:f>
        <x:v>Accessories</x:v>
      </x:c>
      <x:c r="O2411" s="84" t="str">
        <x:f>IFERROR(VLOOKUP(L2411,'Reference Data'!$A$5:$F$40,4,FALSE),"Unknown")</x:f>
        <x:v>Bags</x:v>
      </x:c>
      <x:c r="P2411" s="92" t="n">
        <x:f>IFERROR(VLOOKUP(L2411,'Reference Data'!$A$5:$F$40,5,FALSE),0)</x:f>
        <x:v>39</x:v>
      </x:c>
      <x:c r="Q2411" s="92" t="n">
        <x:f>IFERROR(VLOOKUP(L2411,'Reference Data'!$A$5:$F$40,6,FALSE),0)</x:f>
        <x:v>14</x:v>
      </x:c>
      <x:c r="R2411" s="84" t="n">
        <x:f>'Raw Sales'!J2411</x:f>
        <x:v>2</x:v>
      </x:c>
      <x:c r="S2411" s="87" t="n">
        <x:f>'Raw Sales'!K2411</x:f>
        <x:v>0</x:v>
      </x:c>
      <x:c r="T2411" s="93" t="n">
        <x:f>P2411*R2411</x:f>
        <x:v>78</x:v>
      </x:c>
      <x:c r="U2411" s="93" t="n">
        <x:f>T2411*S2411</x:f>
        <x:v>0</x:v>
      </x:c>
      <x:c r="V2411" s="93" t="str">
        <x:f>PROPER(TRIM('Raw Sales'!L2411))</x:f>
        <x:v>Completed</x:v>
      </x:c>
      <x:c r="W2411" s="93" t="n">
        <x:f>IF(V2411="Returned",0,T2411-U2411)</x:f>
        <x:v>78</x:v>
      </x:c>
      <x:c r="X2411" s="93" t="n">
        <x:f>IF(V2411="Returned",Q2411*R2411*10%,Q2411*R2411)</x:f>
        <x:v>28</x:v>
      </x:c>
      <x:c r="Y2411" s="93" t="n">
        <x:f>W2411-X2411</x:f>
        <x:v>50</x:v>
      </x:c>
      <x:c r="Z2411" s="94" t="n">
        <x:f>IFERROR(Y2411/W2411,0)</x:f>
        <x:v>0.6410256410256411</x:v>
      </x:c>
      <x:c r="AA2411" s="84" t="str">
        <x:f>PROPER(TRIM('Raw Sales'!M2411))</x:f>
        <x:v>Cash</x:v>
      </x:c>
      <x:c r="AB2411" s="84" t="str">
        <x:f>PROPER(TRIM('Raw Sales'!N2411))</x:f>
        <x:v>Nora Kim</x:v>
      </x:c>
      <x:c r="AC2411" s="85" t="n">
        <x:f>'Raw Sales'!O2411</x:f>
        <x:v>46020</x:v>
      </x:c>
      <x:c r="AD2411" s="84" t="n">
        <x:f>AC2411-B2411</x:f>
        <x:v>0</x:v>
      </x:c>
      <x:c r="AE2411" s="84" t="str">
        <x:f>IF(COUNTIF($A$5:A2411,A2411)&gt;1,"Duplicate","Keep")</x:f>
        <x:v>Keep</x:v>
      </x:c>
      <x:c r="AF2411" s="84" t="str">
        <x:f>IF(OR(R2411&lt;=0,AC2411&lt;B2411,H2411="Unknown",M2411="Unknown Product"),"Review","Valid")</x:f>
        <x:v>Valid</x:v>
      </x:c>
      <x:c r="AG2411" s="84" t="n">
        <x:f>IF(AND(AE2411="Keep",AF2411="Valid"),1,0)</x:f>
        <x:v>1</x:v>
      </x:c>
      <x:c r="AH2411" s="84" t="n">
        <x:f>IF(AND(AG2411=1,OR('Dashboard'!$B$4="All",I2411='Dashboard'!$B$4),OR('Dashboard'!$E$4="All",N2411='Dashboard'!$E$4),OR('Dashboard'!$H$4="All",K2411='Dashboard'!$H$4),OR('Dashboard'!$K$4="All",C2411='Dashboard'!$K$4)),1,0)</x:f>
        <x:v>1</x:v>
      </x:c>
      <x:c r="AI2411" s="84" t="n">
        <x:f>IF(AND(AG2411=1,OR('Dashboard'!$B$4="All",I2411='Dashboard'!$B$4),OR('Dashboard'!$E$4="All",N2411='Dashboard'!$E$4),OR('Dashboard'!$H$4="All",K2411='Dashboard'!$H$4)),1,0)</x:f>
        <x:v>1</x:v>
      </x:c>
    </x:row>
    <x:row r="2412">
      <x:c r="A2412" s="84" t="str">
        <x:f>'Raw Sales'!A2412</x:f>
        <x:v>ORD-2025-00945</x:v>
      </x:c>
      <x:c r="B2412" s="85" t="n">
        <x:f>'Raw Sales'!B2412</x:f>
        <x:v>46020</x:v>
      </x:c>
      <x:c r="C2412" s="84" t="n">
        <x:f>YEAR(B2412)</x:f>
        <x:v>2025</x:v>
      </x:c>
      <x:c r="D2412" s="91" t="n">
        <x:f>DATE(YEAR(B2412),MONTH(B2412),1)</x:f>
        <x:v>45992</x:v>
      </x:c>
      <x:c r="E2412" s="84" t="str">
        <x:f>TEXT(B2412,"mmm")</x:f>
        <x:v>Dec</x:v>
      </x:c>
      <x:c r="F2412" s="84" t="str">
        <x:f>'Raw Sales'!C2412</x:f>
        <x:v>CUST-0513</x:v>
      </x:c>
      <x:c r="G2412" s="84" t="str">
        <x:f>PROPER(TRIM('Raw Sales'!D2412))</x:f>
        <x:v>Zara Davis</x:v>
      </x:c>
      <x:c r="H2412" s="84" t="str">
        <x:f>IF(TRIM('Raw Sales'!E2412)="","Unknown",PROPER(TRIM('Raw Sales'!E2412)))</x:f>
        <x:v>Small Business</x:v>
      </x:c>
      <x:c r="I2412" s="84" t="str">
        <x:f>PROPER(TRIM('Raw Sales'!F2412))</x:f>
        <x:v>Midwest</x:v>
      </x:c>
      <x:c r="J2412" s="84" t="str">
        <x:f>PROPER(TRIM('Raw Sales'!G2412))</x:f>
        <x:v>Chicago</x:v>
      </x:c>
      <x:c r="K2412" s="84" t="str">
        <x:f>PROPER(TRIM('Raw Sales'!H2412))</x:f>
        <x:v>Retail Store</x:v>
      </x:c>
      <x:c r="L2412" s="84" t="str">
        <x:f>'Raw Sales'!I2412</x:f>
        <x:v>ELEC-005</x:v>
      </x:c>
      <x:c r="M2412" s="84" t="str">
        <x:f>IFERROR(VLOOKUP(L2412,'Reference Data'!$A$5:$F$40,2,FALSE),"Unknown Product")</x:f>
        <x:v>HD Webcam</x:v>
      </x:c>
      <x:c r="N2412" s="84" t="str">
        <x:f>IFERROR(VLOOKUP(L2412,'Reference Data'!$A$5:$F$40,3,FALSE),"Unknown")</x:f>
        <x:v>Electronics</x:v>
      </x:c>
      <x:c r="O2412" s="84" t="str">
        <x:f>IFERROR(VLOOKUP(L2412,'Reference Data'!$A$5:$F$40,4,FALSE),"Unknown")</x:f>
        <x:v>Computer Accessories</x:v>
      </x:c>
      <x:c r="P2412" s="92" t="n">
        <x:f>IFERROR(VLOOKUP(L2412,'Reference Data'!$A$5:$F$40,5,FALSE),0)</x:f>
        <x:v>79</x:v>
      </x:c>
      <x:c r="Q2412" s="92" t="n">
        <x:f>IFERROR(VLOOKUP(L2412,'Reference Data'!$A$5:$F$40,6,FALSE),0)</x:f>
        <x:v>37</x:v>
      </x:c>
      <x:c r="R2412" s="84" t="n">
        <x:f>'Raw Sales'!J2412</x:f>
        <x:v>3</x:v>
      </x:c>
      <x:c r="S2412" s="87" t="n">
        <x:f>'Raw Sales'!K2412</x:f>
        <x:v>0.05</x:v>
      </x:c>
      <x:c r="T2412" s="93" t="n">
        <x:f>P2412*R2412</x:f>
        <x:v>237</x:v>
      </x:c>
      <x:c r="U2412" s="93" t="n">
        <x:f>T2412*S2412</x:f>
        <x:v>11.850000000000001</x:v>
      </x:c>
      <x:c r="V2412" s="93" t="str">
        <x:f>PROPER(TRIM('Raw Sales'!L2412))</x:f>
        <x:v>Completed</x:v>
      </x:c>
      <x:c r="W2412" s="93" t="n">
        <x:f>IF(V2412="Returned",0,T2412-U2412)</x:f>
        <x:v>225.15</x:v>
      </x:c>
      <x:c r="X2412" s="93" t="n">
        <x:f>IF(V2412="Returned",Q2412*R2412*10%,Q2412*R2412)</x:f>
        <x:v>111</x:v>
      </x:c>
      <x:c r="Y2412" s="93" t="n">
        <x:f>W2412-X2412</x:f>
        <x:v>114.15</x:v>
      </x:c>
      <x:c r="Z2412" s="94" t="n">
        <x:f>IFERROR(Y2412/W2412,0)</x:f>
        <x:v>0.5069953364423717</x:v>
      </x:c>
      <x:c r="AA2412" s="84" t="str">
        <x:f>PROPER(TRIM('Raw Sales'!M2412))</x:f>
        <x:v>Mobile Wallet</x:v>
      </x:c>
      <x:c r="AB2412" s="84" t="str">
        <x:f>PROPER(TRIM('Raw Sales'!N2412))</x:f>
        <x:v>Zoe Turner</x:v>
      </x:c>
      <x:c r="AC2412" s="85" t="n">
        <x:f>'Raw Sales'!O2412</x:f>
        <x:v>46020</x:v>
      </x:c>
      <x:c r="AD2412" s="84" t="n">
        <x:f>AC2412-B2412</x:f>
        <x:v>0</x:v>
      </x:c>
      <x:c r="AE2412" s="84" t="str">
        <x:f>IF(COUNTIF($A$5:A2412,A2412)&gt;1,"Duplicate","Keep")</x:f>
        <x:v>Keep</x:v>
      </x:c>
      <x:c r="AF2412" s="84" t="str">
        <x:f>IF(OR(R2412&lt;=0,AC2412&lt;B2412,H2412="Unknown",M2412="Unknown Product"),"Review","Valid")</x:f>
        <x:v>Valid</x:v>
      </x:c>
      <x:c r="AG2412" s="84" t="n">
        <x:f>IF(AND(AE2412="Keep",AF2412="Valid"),1,0)</x:f>
        <x:v>1</x:v>
      </x:c>
      <x:c r="AH2412" s="84" t="n">
        <x:f>IF(AND(AG2412=1,OR('Dashboard'!$B$4="All",I2412='Dashboard'!$B$4),OR('Dashboard'!$E$4="All",N2412='Dashboard'!$E$4),OR('Dashboard'!$H$4="All",K2412='Dashboard'!$H$4),OR('Dashboard'!$K$4="All",C2412='Dashboard'!$K$4)),1,0)</x:f>
        <x:v>1</x:v>
      </x:c>
      <x:c r="AI2412" s="84" t="n">
        <x:f>IF(AND(AG2412=1,OR('Dashboard'!$B$4="All",I2412='Dashboard'!$B$4),OR('Dashboard'!$E$4="All",N2412='Dashboard'!$E$4),OR('Dashboard'!$H$4="All",K2412='Dashboard'!$H$4)),1,0)</x:f>
        <x:v>1</x:v>
      </x:c>
    </x:row>
    <x:row r="2413">
      <x:c r="A2413" s="84" t="str">
        <x:f>'Raw Sales'!A2413</x:f>
        <x:v>ORD-2025-01713</x:v>
      </x:c>
      <x:c r="B2413" s="85" t="n">
        <x:f>'Raw Sales'!B2413</x:f>
        <x:v>46020</x:v>
      </x:c>
      <x:c r="C2413" s="84" t="n">
        <x:f>YEAR(B2413)</x:f>
        <x:v>2025</x:v>
      </x:c>
      <x:c r="D2413" s="91" t="n">
        <x:f>DATE(YEAR(B2413),MONTH(B2413),1)</x:f>
        <x:v>45992</x:v>
      </x:c>
      <x:c r="E2413" s="84" t="str">
        <x:f>TEXT(B2413,"mmm")</x:f>
        <x:v>Dec</x:v>
      </x:c>
      <x:c r="F2413" s="84" t="str">
        <x:f>'Raw Sales'!C2413</x:f>
        <x:v>CUST-0162</x:v>
      </x:c>
      <x:c r="G2413" s="84" t="str">
        <x:f>PROPER(TRIM('Raw Sales'!D2413))</x:f>
        <x:v>Amelia Young</x:v>
      </x:c>
      <x:c r="H2413" s="84" t="str">
        <x:f>IF(TRIM('Raw Sales'!E2413)="","Unknown",PROPER(TRIM('Raw Sales'!E2413)))</x:f>
        <x:v>Corporate</x:v>
      </x:c>
      <x:c r="I2413" s="84" t="str">
        <x:f>PROPER(TRIM('Raw Sales'!F2413))</x:f>
        <x:v>West</x:v>
      </x:c>
      <x:c r="J2413" s="84" t="str">
        <x:f>PROPER(TRIM('Raw Sales'!G2413))</x:f>
        <x:v>Seattle</x:v>
      </x:c>
      <x:c r="K2413" s="84" t="str">
        <x:f>PROPER(TRIM('Raw Sales'!H2413))</x:f>
        <x:v>Online</x:v>
      </x:c>
      <x:c r="L2413" s="84" t="str">
        <x:f>'Raw Sales'!I2413</x:f>
        <x:v>ACCS-001</x:v>
      </x:c>
      <x:c r="M2413" s="84" t="str">
        <x:f>IFERROR(VLOOKUP(L2413,'Reference Data'!$A$5:$F$40,2,FALSE),"Unknown Product")</x:f>
        <x:v>Canvas Tote Bag</x:v>
      </x:c>
      <x:c r="N2413" s="84" t="str">
        <x:f>IFERROR(VLOOKUP(L2413,'Reference Data'!$A$5:$F$40,3,FALSE),"Unknown")</x:f>
        <x:v>Accessories</x:v>
      </x:c>
      <x:c r="O2413" s="84" t="str">
        <x:f>IFERROR(VLOOKUP(L2413,'Reference Data'!$A$5:$F$40,4,FALSE),"Unknown")</x:f>
        <x:v>Bags</x:v>
      </x:c>
      <x:c r="P2413" s="92" t="n">
        <x:f>IFERROR(VLOOKUP(L2413,'Reference Data'!$A$5:$F$40,5,FALSE),0)</x:f>
        <x:v>39</x:v>
      </x:c>
      <x:c r="Q2413" s="92" t="n">
        <x:f>IFERROR(VLOOKUP(L2413,'Reference Data'!$A$5:$F$40,6,FALSE),0)</x:f>
        <x:v>14</x:v>
      </x:c>
      <x:c r="R2413" s="84" t="n">
        <x:f>'Raw Sales'!J2413</x:f>
        <x:v>4</x:v>
      </x:c>
      <x:c r="S2413" s="87" t="n">
        <x:f>'Raw Sales'!K2413</x:f>
        <x:v>0</x:v>
      </x:c>
      <x:c r="T2413" s="93" t="n">
        <x:f>P2413*R2413</x:f>
        <x:v>156</x:v>
      </x:c>
      <x:c r="U2413" s="93" t="n">
        <x:f>T2413*S2413</x:f>
        <x:v>0</x:v>
      </x:c>
      <x:c r="V2413" s="93" t="str">
        <x:f>PROPER(TRIM('Raw Sales'!L2413))</x:f>
        <x:v>Completed</x:v>
      </x:c>
      <x:c r="W2413" s="93" t="n">
        <x:f>IF(V2413="Returned",0,T2413-U2413)</x:f>
        <x:v>156</x:v>
      </x:c>
      <x:c r="X2413" s="93" t="n">
        <x:f>IF(V2413="Returned",Q2413*R2413*10%,Q2413*R2413)</x:f>
        <x:v>56</x:v>
      </x:c>
      <x:c r="Y2413" s="93" t="n">
        <x:f>W2413-X2413</x:f>
        <x:v>100</x:v>
      </x:c>
      <x:c r="Z2413" s="94" t="n">
        <x:f>IFERROR(Y2413/W2413,0)</x:f>
        <x:v>0.6410256410256411</x:v>
      </x:c>
      <x:c r="AA2413" s="84" t="str">
        <x:f>PROPER(TRIM('Raw Sales'!M2413))</x:f>
        <x:v>Credit Card</x:v>
      </x:c>
      <x:c r="AB2413" s="84" t="str">
        <x:f>PROPER(TRIM('Raw Sales'!N2413))</x:f>
        <x:v>Nora Kim</x:v>
      </x:c>
      <x:c r="AC2413" s="85" t="n">
        <x:f>'Raw Sales'!O2413</x:f>
        <x:v>46023</x:v>
      </x:c>
      <x:c r="AD2413" s="84" t="n">
        <x:f>AC2413-B2413</x:f>
        <x:v>3</x:v>
      </x:c>
      <x:c r="AE2413" s="84" t="str">
        <x:f>IF(COUNTIF($A$5:A2413,A2413)&gt;1,"Duplicate","Keep")</x:f>
        <x:v>Keep</x:v>
      </x:c>
      <x:c r="AF2413" s="84" t="str">
        <x:f>IF(OR(R2413&lt;=0,AC2413&lt;B2413,H2413="Unknown",M2413="Unknown Product"),"Review","Valid")</x:f>
        <x:v>Valid</x:v>
      </x:c>
      <x:c r="AG2413" s="84" t="n">
        <x:f>IF(AND(AE2413="Keep",AF2413="Valid"),1,0)</x:f>
        <x:v>1</x:v>
      </x:c>
      <x:c r="AH2413" s="84" t="n">
        <x:f>IF(AND(AG2413=1,OR('Dashboard'!$B$4="All",I2413='Dashboard'!$B$4),OR('Dashboard'!$E$4="All",N2413='Dashboard'!$E$4),OR('Dashboard'!$H$4="All",K2413='Dashboard'!$H$4),OR('Dashboard'!$K$4="All",C2413='Dashboard'!$K$4)),1,0)</x:f>
        <x:v>1</x:v>
      </x:c>
      <x:c r="AI2413" s="84" t="n">
        <x:f>IF(AND(AG2413=1,OR('Dashboard'!$B$4="All",I2413='Dashboard'!$B$4),OR('Dashboard'!$E$4="All",N2413='Dashboard'!$E$4),OR('Dashboard'!$H$4="All",K2413='Dashboard'!$H$4)),1,0)</x:f>
        <x:v>1</x:v>
      </x:c>
    </x:row>
    <x:row r="2414">
      <x:c r="A2414" s="84" t="str">
        <x:f>'Raw Sales'!A2414</x:f>
        <x:v>ORD-2025-01841</x:v>
      </x:c>
      <x:c r="B2414" s="85" t="n">
        <x:f>'Raw Sales'!B2414</x:f>
        <x:v>46020</x:v>
      </x:c>
      <x:c r="C2414" s="84" t="n">
        <x:f>YEAR(B2414)</x:f>
        <x:v>2025</x:v>
      </x:c>
      <x:c r="D2414" s="91" t="n">
        <x:f>DATE(YEAR(B2414),MONTH(B2414),1)</x:f>
        <x:v>45992</x:v>
      </x:c>
      <x:c r="E2414" s="84" t="str">
        <x:f>TEXT(B2414,"mmm")</x:f>
        <x:v>Dec</x:v>
      </x:c>
      <x:c r="F2414" s="84" t="str">
        <x:f>'Raw Sales'!C2414</x:f>
        <x:v>CUST-0631</x:v>
      </x:c>
      <x:c r="G2414" s="84" t="str">
        <x:f>PROPER(TRIM('Raw Sales'!D2414))</x:f>
        <x:v>Amelia Adams</x:v>
      </x:c>
      <x:c r="H2414" s="84" t="str">
        <x:f>IF(TRIM('Raw Sales'!E2414)="","Unknown",PROPER(TRIM('Raw Sales'!E2414)))</x:f>
        <x:v>Consumer</x:v>
      </x:c>
      <x:c r="I2414" s="84" t="str">
        <x:f>PROPER(TRIM('Raw Sales'!F2414))</x:f>
        <x:v>Midwest</x:v>
      </x:c>
      <x:c r="J2414" s="84" t="str">
        <x:f>PROPER(TRIM('Raw Sales'!G2414))</x:f>
        <x:v>Minneapolis</x:v>
      </x:c>
      <x:c r="K2414" s="84" t="str">
        <x:f>PROPER(TRIM('Raw Sales'!H2414))</x:f>
        <x:v>Retail Store</x:v>
      </x:c>
      <x:c r="L2414" s="84" t="str">
        <x:f>'Raw Sales'!I2414</x:f>
        <x:v>FITN-005</x:v>
      </x:c>
      <x:c r="M2414" s="84" t="str">
        <x:f>IFERROR(VLOOKUP(L2414,'Reference Data'!$A$5:$F$40,2,FALSE),"Unknown Product")</x:f>
        <x:v>Sports Water Bottle</x:v>
      </x:c>
      <x:c r="N2414" s="84" t="str">
        <x:f>IFERROR(VLOOKUP(L2414,'Reference Data'!$A$5:$F$40,3,FALSE),"Unknown")</x:f>
        <x:v>Fitness</x:v>
      </x:c>
      <x:c r="O2414" s="84" t="str">
        <x:f>IFERROR(VLOOKUP(L2414,'Reference Data'!$A$5:$F$40,4,FALSE),"Unknown")</x:f>
        <x:v>Accessories</x:v>
      </x:c>
      <x:c r="P2414" s="92" t="n">
        <x:f>IFERROR(VLOOKUP(L2414,'Reference Data'!$A$5:$F$40,5,FALSE),0)</x:f>
        <x:v>22</x:v>
      </x:c>
      <x:c r="Q2414" s="92" t="n">
        <x:f>IFERROR(VLOOKUP(L2414,'Reference Data'!$A$5:$F$40,6,FALSE),0)</x:f>
        <x:v>7</x:v>
      </x:c>
      <x:c r="R2414" s="84" t="n">
        <x:f>'Raw Sales'!J2414</x:f>
        <x:v>1</x:v>
      </x:c>
      <x:c r="S2414" s="87" t="n">
        <x:f>'Raw Sales'!K2414</x:f>
        <x:v>0.2</x:v>
      </x:c>
      <x:c r="T2414" s="93" t="n">
        <x:f>P2414*R2414</x:f>
        <x:v>22</x:v>
      </x:c>
      <x:c r="U2414" s="93" t="n">
        <x:f>T2414*S2414</x:f>
        <x:v>4.4</x:v>
      </x:c>
      <x:c r="V2414" s="93" t="str">
        <x:f>PROPER(TRIM('Raw Sales'!L2414))</x:f>
        <x:v>Completed</x:v>
      </x:c>
      <x:c r="W2414" s="93" t="n">
        <x:f>IF(V2414="Returned",0,T2414-U2414)</x:f>
        <x:v>17.6</x:v>
      </x:c>
      <x:c r="X2414" s="93" t="n">
        <x:f>IF(V2414="Returned",Q2414*R2414*10%,Q2414*R2414)</x:f>
        <x:v>7</x:v>
      </x:c>
      <x:c r="Y2414" s="93" t="n">
        <x:f>W2414-X2414</x:f>
        <x:v>10.600000000000001</x:v>
      </x:c>
      <x:c r="Z2414" s="94" t="n">
        <x:f>IFERROR(Y2414/W2414,0)</x:f>
        <x:v>0.6022727272727273</x:v>
      </x:c>
      <x:c r="AA2414" s="84" t="str">
        <x:f>PROPER(TRIM('Raw Sales'!M2414))</x:f>
        <x:v>Cash</x:v>
      </x:c>
      <x:c r="AB2414" s="84" t="str">
        <x:f>PROPER(TRIM('Raw Sales'!N2414))</x:f>
        <x:v>Zoe Turner</x:v>
      </x:c>
      <x:c r="AC2414" s="85" t="n">
        <x:f>'Raw Sales'!O2414</x:f>
        <x:v>46020</x:v>
      </x:c>
      <x:c r="AD2414" s="84" t="n">
        <x:f>AC2414-B2414</x:f>
        <x:v>0</x:v>
      </x:c>
      <x:c r="AE2414" s="84" t="str">
        <x:f>IF(COUNTIF($A$5:A2414,A2414)&gt;1,"Duplicate","Keep")</x:f>
        <x:v>Keep</x:v>
      </x:c>
      <x:c r="AF2414" s="84" t="str">
        <x:f>IF(OR(R2414&lt;=0,AC2414&lt;B2414,H2414="Unknown",M2414="Unknown Product"),"Review","Valid")</x:f>
        <x:v>Valid</x:v>
      </x:c>
      <x:c r="AG2414" s="84" t="n">
        <x:f>IF(AND(AE2414="Keep",AF2414="Valid"),1,0)</x:f>
        <x:v>1</x:v>
      </x:c>
      <x:c r="AH2414" s="84" t="n">
        <x:f>IF(AND(AG2414=1,OR('Dashboard'!$B$4="All",I2414='Dashboard'!$B$4),OR('Dashboard'!$E$4="All",N2414='Dashboard'!$E$4),OR('Dashboard'!$H$4="All",K2414='Dashboard'!$H$4),OR('Dashboard'!$K$4="All",C2414='Dashboard'!$K$4)),1,0)</x:f>
        <x:v>1</x:v>
      </x:c>
      <x:c r="AI2414" s="84" t="n">
        <x:f>IF(AND(AG2414=1,OR('Dashboard'!$B$4="All",I2414='Dashboard'!$B$4),OR('Dashboard'!$E$4="All",N2414='Dashboard'!$E$4),OR('Dashboard'!$H$4="All",K2414='Dashboard'!$H$4)),1,0)</x:f>
        <x:v>1</x:v>
      </x:c>
    </x:row>
    <x:row r="2415">
      <x:c r="A2415" s="84" t="str">
        <x:f>'Raw Sales'!A2415</x:f>
        <x:v>ORD-2025-00025</x:v>
      </x:c>
      <x:c r="B2415" s="85" t="n">
        <x:f>'Raw Sales'!B2415</x:f>
        <x:v>46021</x:v>
      </x:c>
      <x:c r="C2415" s="84" t="n">
        <x:f>YEAR(B2415)</x:f>
        <x:v>2025</x:v>
      </x:c>
      <x:c r="D2415" s="91" t="n">
        <x:f>DATE(YEAR(B2415),MONTH(B2415),1)</x:f>
        <x:v>45992</x:v>
      </x:c>
      <x:c r="E2415" s="84" t="str">
        <x:f>TEXT(B2415,"mmm")</x:f>
        <x:v>Dec</x:v>
      </x:c>
      <x:c r="F2415" s="84" t="str">
        <x:f>'Raw Sales'!C2415</x:f>
        <x:v>CUST-0446</x:v>
      </x:c>
      <x:c r="G2415" s="84" t="str">
        <x:f>PROPER(TRIM('Raw Sales'!D2415))</x:f>
        <x:v>Nathan Davis</x:v>
      </x:c>
      <x:c r="H2415" s="84" t="str">
        <x:f>IF(TRIM('Raw Sales'!E2415)="","Unknown",PROPER(TRIM('Raw Sales'!E2415)))</x:f>
        <x:v>Consumer</x:v>
      </x:c>
      <x:c r="I2415" s="84" t="str">
        <x:f>PROPER(TRIM('Raw Sales'!F2415))</x:f>
        <x:v>Southeast</x:v>
      </x:c>
      <x:c r="J2415" s="84" t="str">
        <x:f>PROPER(TRIM('Raw Sales'!G2415))</x:f>
        <x:v>Nashville</x:v>
      </x:c>
      <x:c r="K2415" s="84" t="str">
        <x:f>PROPER(TRIM('Raw Sales'!H2415))</x:f>
        <x:v>Online</x:v>
      </x:c>
      <x:c r="L2415" s="84" t="str">
        <x:f>'Raw Sales'!I2415</x:f>
        <x:v>ELEC-004</x:v>
      </x:c>
      <x:c r="M2415" s="84" t="str">
        <x:f>IFERROR(VLOOKUP(L2415,'Reference Data'!$A$5:$F$40,2,FALSE),"Unknown Product")</x:f>
        <x:v>Power Bank</x:v>
      </x:c>
      <x:c r="N2415" s="84" t="str">
        <x:f>IFERROR(VLOOKUP(L2415,'Reference Data'!$A$5:$F$40,3,FALSE),"Unknown")</x:f>
        <x:v>Electronics</x:v>
      </x:c>
      <x:c r="O2415" s="84" t="str">
        <x:f>IFERROR(VLOOKUP(L2415,'Reference Data'!$A$5:$F$40,4,FALSE),"Unknown")</x:f>
        <x:v>Mobile Accessories</x:v>
      </x:c>
      <x:c r="P2415" s="92" t="n">
        <x:f>IFERROR(VLOOKUP(L2415,'Reference Data'!$A$5:$F$40,5,FALSE),0)</x:f>
        <x:v>39</x:v>
      </x:c>
      <x:c r="Q2415" s="92" t="n">
        <x:f>IFERROR(VLOOKUP(L2415,'Reference Data'!$A$5:$F$40,6,FALSE),0)</x:f>
        <x:v>18</x:v>
      </x:c>
      <x:c r="R2415" s="84" t="n">
        <x:f>'Raw Sales'!J2415</x:f>
        <x:v>1</x:v>
      </x:c>
      <x:c r="S2415" s="87" t="n">
        <x:f>'Raw Sales'!K2415</x:f>
        <x:v>0</x:v>
      </x:c>
      <x:c r="T2415" s="93" t="n">
        <x:f>P2415*R2415</x:f>
        <x:v>39</x:v>
      </x:c>
      <x:c r="U2415" s="93" t="n">
        <x:f>T2415*S2415</x:f>
        <x:v>0</x:v>
      </x:c>
      <x:c r="V2415" s="93" t="str">
        <x:f>PROPER(TRIM('Raw Sales'!L2415))</x:f>
        <x:v>Completed</x:v>
      </x:c>
      <x:c r="W2415" s="93" t="n">
        <x:f>IF(V2415="Returned",0,T2415-U2415)</x:f>
        <x:v>39</x:v>
      </x:c>
      <x:c r="X2415" s="93" t="n">
        <x:f>IF(V2415="Returned",Q2415*R2415*10%,Q2415*R2415)</x:f>
        <x:v>18</x:v>
      </x:c>
      <x:c r="Y2415" s="93" t="n">
        <x:f>W2415-X2415</x:f>
        <x:v>21</x:v>
      </x:c>
      <x:c r="Z2415" s="94" t="n">
        <x:f>IFERROR(Y2415/W2415,0)</x:f>
        <x:v>0.5384615384615384</x:v>
      </x:c>
      <x:c r="AA2415" s="84" t="str">
        <x:f>PROPER(TRIM('Raw Sales'!M2415))</x:f>
        <x:v>Credit Card</x:v>
      </x:c>
      <x:c r="AB2415" s="84" t="str">
        <x:f>PROPER(TRIM('Raw Sales'!N2415))</x:f>
        <x:v>Ava Mitchell</x:v>
      </x:c>
      <x:c r="AC2415" s="85" t="n">
        <x:f>'Raw Sales'!O2415</x:f>
        <x:v>46025</x:v>
      </x:c>
      <x:c r="AD2415" s="84" t="n">
        <x:f>AC2415-B2415</x:f>
        <x:v>4</x:v>
      </x:c>
      <x:c r="AE2415" s="84" t="str">
        <x:f>IF(COUNTIF($A$5:A2415,A2415)&gt;1,"Duplicate","Keep")</x:f>
        <x:v>Keep</x:v>
      </x:c>
      <x:c r="AF2415" s="84" t="str">
        <x:f>IF(OR(R2415&lt;=0,AC2415&lt;B2415,H2415="Unknown",M2415="Unknown Product"),"Review","Valid")</x:f>
        <x:v>Valid</x:v>
      </x:c>
      <x:c r="AG2415" s="84" t="n">
        <x:f>IF(AND(AE2415="Keep",AF2415="Valid"),1,0)</x:f>
        <x:v>1</x:v>
      </x:c>
      <x:c r="AH2415" s="84" t="n">
        <x:f>IF(AND(AG2415=1,OR('Dashboard'!$B$4="All",I2415='Dashboard'!$B$4),OR('Dashboard'!$E$4="All",N2415='Dashboard'!$E$4),OR('Dashboard'!$H$4="All",K2415='Dashboard'!$H$4),OR('Dashboard'!$K$4="All",C2415='Dashboard'!$K$4)),1,0)</x:f>
        <x:v>1</x:v>
      </x:c>
      <x:c r="AI2415" s="84" t="n">
        <x:f>IF(AND(AG2415=1,OR('Dashboard'!$B$4="All",I2415='Dashboard'!$B$4),OR('Dashboard'!$E$4="All",N2415='Dashboard'!$E$4),OR('Dashboard'!$H$4="All",K2415='Dashboard'!$H$4)),1,0)</x:f>
        <x:v>1</x:v>
      </x:c>
    </x:row>
    <x:row r="2416">
      <x:c r="A2416" s="84" t="str">
        <x:f>'Raw Sales'!A2416</x:f>
        <x:v>ORD-2025-00747</x:v>
      </x:c>
      <x:c r="B2416" s="85" t="n">
        <x:f>'Raw Sales'!B2416</x:f>
        <x:v>46021</x:v>
      </x:c>
      <x:c r="C2416" s="84" t="n">
        <x:f>YEAR(B2416)</x:f>
        <x:v>2025</x:v>
      </x:c>
      <x:c r="D2416" s="91" t="n">
        <x:f>DATE(YEAR(B2416),MONTH(B2416),1)</x:f>
        <x:v>45992</x:v>
      </x:c>
      <x:c r="E2416" s="84" t="str">
        <x:f>TEXT(B2416,"mmm")</x:f>
        <x:v>Dec</x:v>
      </x:c>
      <x:c r="F2416" s="84" t="str">
        <x:f>'Raw Sales'!C2416</x:f>
        <x:v>CUST-0065</x:v>
      </x:c>
      <x:c r="G2416" s="84" t="str">
        <x:f>PROPER(TRIM('Raw Sales'!D2416))</x:f>
        <x:v>Marcus Young</x:v>
      </x:c>
      <x:c r="H2416" s="84" t="str">
        <x:f>IF(TRIM('Raw Sales'!E2416)="","Unknown",PROPER(TRIM('Raw Sales'!E2416)))</x:f>
        <x:v>Small Business</x:v>
      </x:c>
      <x:c r="I2416" s="84" t="str">
        <x:f>PROPER(TRIM('Raw Sales'!F2416))</x:f>
        <x:v>West</x:v>
      </x:c>
      <x:c r="J2416" s="84" t="str">
        <x:f>PROPER(TRIM('Raw Sales'!G2416))</x:f>
        <x:v>Seattle</x:v>
      </x:c>
      <x:c r="K2416" s="84" t="str">
        <x:f>PROPER(TRIM('Raw Sales'!H2416))</x:f>
        <x:v>Online</x:v>
      </x:c>
      <x:c r="L2416" s="84" t="str">
        <x:f>'Raw Sales'!I2416</x:f>
        <x:v>ACCS-002</x:v>
      </x:c>
      <x:c r="M2416" s="84" t="str">
        <x:f>IFERROR(VLOOKUP(L2416,'Reference Data'!$A$5:$F$40,2,FALSE),"Unknown Product")</x:f>
        <x:v>Travel Backpack</x:v>
      </x:c>
      <x:c r="N2416" s="84" t="str">
        <x:f>IFERROR(VLOOKUP(L2416,'Reference Data'!$A$5:$F$40,3,FALSE),"Unknown")</x:f>
        <x:v>Accessories</x:v>
      </x:c>
      <x:c r="O2416" s="84" t="str">
        <x:f>IFERROR(VLOOKUP(L2416,'Reference Data'!$A$5:$F$40,4,FALSE),"Unknown")</x:f>
        <x:v>Bags</x:v>
      </x:c>
      <x:c r="P2416" s="92" t="n">
        <x:f>IFERROR(VLOOKUP(L2416,'Reference Data'!$A$5:$F$40,5,FALSE),0)</x:f>
        <x:v>89</x:v>
      </x:c>
      <x:c r="Q2416" s="92" t="n">
        <x:f>IFERROR(VLOOKUP(L2416,'Reference Data'!$A$5:$F$40,6,FALSE),0)</x:f>
        <x:v>36</x:v>
      </x:c>
      <x:c r="R2416" s="84" t="n">
        <x:f>'Raw Sales'!J2416</x:f>
        <x:v>1</x:v>
      </x:c>
      <x:c r="S2416" s="87" t="n">
        <x:f>'Raw Sales'!K2416</x:f>
        <x:v>0</x:v>
      </x:c>
      <x:c r="T2416" s="93" t="n">
        <x:f>P2416*R2416</x:f>
        <x:v>89</x:v>
      </x:c>
      <x:c r="U2416" s="93" t="n">
        <x:f>T2416*S2416</x:f>
        <x:v>0</x:v>
      </x:c>
      <x:c r="V2416" s="93" t="str">
        <x:f>PROPER(TRIM('Raw Sales'!L2416))</x:f>
        <x:v>Returned</x:v>
      </x:c>
      <x:c r="W2416" s="93" t="n">
        <x:f>IF(V2416="Returned",0,T2416-U2416)</x:f>
        <x:v>0</x:v>
      </x:c>
      <x:c r="X2416" s="93" t="n">
        <x:f>IF(V2416="Returned",Q2416*R2416*10%,Q2416*R2416)</x:f>
        <x:v>3.6</x:v>
      </x:c>
      <x:c r="Y2416" s="93" t="n">
        <x:f>W2416-X2416</x:f>
        <x:v>-3.6</x:v>
      </x:c>
      <x:c r="Z2416" s="94" t="n">
        <x:f>IFERROR(Y2416/W2416,0)</x:f>
        <x:v>0</x:v>
      </x:c>
      <x:c r="AA2416" s="84" t="str">
        <x:f>PROPER(TRIM('Raw Sales'!M2416))</x:f>
        <x:v>Paypal</x:v>
      </x:c>
      <x:c r="AB2416" s="84" t="str">
        <x:f>PROPER(TRIM('Raw Sales'!N2416))</x:f>
        <x:v>Leo Martinez</x:v>
      </x:c>
      <x:c r="AC2416" s="85" t="n">
        <x:f>'Raw Sales'!O2416</x:f>
        <x:v>46026</x:v>
      </x:c>
      <x:c r="AD2416" s="84" t="n">
        <x:f>AC2416-B2416</x:f>
        <x:v>5</x:v>
      </x:c>
      <x:c r="AE2416" s="84" t="str">
        <x:f>IF(COUNTIF($A$5:A2416,A2416)&gt;1,"Duplicate","Keep")</x:f>
        <x:v>Keep</x:v>
      </x:c>
      <x:c r="AF2416" s="84" t="str">
        <x:f>IF(OR(R2416&lt;=0,AC2416&lt;B2416,H2416="Unknown",M2416="Unknown Product"),"Review","Valid")</x:f>
        <x:v>Valid</x:v>
      </x:c>
      <x:c r="AG2416" s="84" t="n">
        <x:f>IF(AND(AE2416="Keep",AF2416="Valid"),1,0)</x:f>
        <x:v>1</x:v>
      </x:c>
      <x:c r="AH2416" s="84" t="n">
        <x:f>IF(AND(AG2416=1,OR('Dashboard'!$B$4="All",I2416='Dashboard'!$B$4),OR('Dashboard'!$E$4="All",N2416='Dashboard'!$E$4),OR('Dashboard'!$H$4="All",K2416='Dashboard'!$H$4),OR('Dashboard'!$K$4="All",C2416='Dashboard'!$K$4)),1,0)</x:f>
        <x:v>1</x:v>
      </x:c>
      <x:c r="AI2416" s="84" t="n">
        <x:f>IF(AND(AG2416=1,OR('Dashboard'!$B$4="All",I2416='Dashboard'!$B$4),OR('Dashboard'!$E$4="All",N2416='Dashboard'!$E$4),OR('Dashboard'!$H$4="All",K2416='Dashboard'!$H$4)),1,0)</x:f>
        <x:v>1</x:v>
      </x:c>
    </x:row>
    <x:row r="2417">
      <x:c r="A2417" s="84" t="str">
        <x:f>'Raw Sales'!A2417</x:f>
        <x:v>ORD-2025-01110</x:v>
      </x:c>
      <x:c r="B2417" s="85" t="n">
        <x:f>'Raw Sales'!B2417</x:f>
        <x:v>46021</x:v>
      </x:c>
      <x:c r="C2417" s="84" t="n">
        <x:f>YEAR(B2417)</x:f>
        <x:v>2025</x:v>
      </x:c>
      <x:c r="D2417" s="91" t="n">
        <x:f>DATE(YEAR(B2417),MONTH(B2417),1)</x:f>
        <x:v>45992</x:v>
      </x:c>
      <x:c r="E2417" s="84" t="str">
        <x:f>TEXT(B2417,"mmm")</x:f>
        <x:v>Dec</x:v>
      </x:c>
      <x:c r="F2417" s="84" t="str">
        <x:f>'Raw Sales'!C2417</x:f>
        <x:v>CUST-0420</x:v>
      </x:c>
      <x:c r="G2417" s="84" t="str">
        <x:f>PROPER(TRIM('Raw Sales'!D2417))</x:f>
        <x:v>William Evans</x:v>
      </x:c>
      <x:c r="H2417" s="84" t="str">
        <x:f>IF(TRIM('Raw Sales'!E2417)="","Unknown",PROPER(TRIM('Raw Sales'!E2417)))</x:f>
        <x:v>Small Business</x:v>
      </x:c>
      <x:c r="I2417" s="84" t="str">
        <x:f>PROPER(TRIM('Raw Sales'!F2417))</x:f>
        <x:v>Southeast</x:v>
      </x:c>
      <x:c r="J2417" s="84" t="str">
        <x:f>PROPER(TRIM('Raw Sales'!G2417))</x:f>
        <x:v>Atlanta</x:v>
      </x:c>
      <x:c r="K2417" s="84" t="str">
        <x:f>PROPER(TRIM('Raw Sales'!H2417))</x:f>
        <x:v>Retail Store</x:v>
      </x:c>
      <x:c r="L2417" s="84" t="str">
        <x:f>'Raw Sales'!I2417</x:f>
        <x:v>CARE-005</x:v>
      </x:c>
      <x:c r="M2417" s="84" t="str">
        <x:f>IFERROR(VLOOKUP(L2417,'Reference Data'!$A$5:$F$40,2,FALSE),"Unknown Product")</x:f>
        <x:v>Skin Care Starter Kit</x:v>
      </x:c>
      <x:c r="N2417" s="84" t="str">
        <x:f>IFERROR(VLOOKUP(L2417,'Reference Data'!$A$5:$F$40,3,FALSE),"Unknown")</x:f>
        <x:v>Personal Care</x:v>
      </x:c>
      <x:c r="O2417" s="84" t="str">
        <x:f>IFERROR(VLOOKUP(L2417,'Reference Data'!$A$5:$F$40,4,FALSE),"Unknown")</x:f>
        <x:v>Skin Care</x:v>
      </x:c>
      <x:c r="P2417" s="92" t="n">
        <x:f>IFERROR(VLOOKUP(L2417,'Reference Data'!$A$5:$F$40,5,FALSE),0)</x:f>
        <x:v>58</x:v>
      </x:c>
      <x:c r="Q2417" s="92" t="n">
        <x:f>IFERROR(VLOOKUP(L2417,'Reference Data'!$A$5:$F$40,6,FALSE),0)</x:f>
        <x:v>24</x:v>
      </x:c>
      <x:c r="R2417" s="84" t="n">
        <x:f>'Raw Sales'!J2417</x:f>
        <x:v>1</x:v>
      </x:c>
      <x:c r="S2417" s="87" t="n">
        <x:f>'Raw Sales'!K2417</x:f>
        <x:v>0.15</x:v>
      </x:c>
      <x:c r="T2417" s="93" t="n">
        <x:f>P2417*R2417</x:f>
        <x:v>58</x:v>
      </x:c>
      <x:c r="U2417" s="93" t="n">
        <x:f>T2417*S2417</x:f>
        <x:v>8.7</x:v>
      </x:c>
      <x:c r="V2417" s="93" t="str">
        <x:f>PROPER(TRIM('Raw Sales'!L2417))</x:f>
        <x:v>Completed</x:v>
      </x:c>
      <x:c r="W2417" s="93" t="n">
        <x:f>IF(V2417="Returned",0,T2417-U2417)</x:f>
        <x:v>49.3</x:v>
      </x:c>
      <x:c r="X2417" s="93" t="n">
        <x:f>IF(V2417="Returned",Q2417*R2417*10%,Q2417*R2417)</x:f>
        <x:v>24</x:v>
      </x:c>
      <x:c r="Y2417" s="93" t="n">
        <x:f>W2417-X2417</x:f>
        <x:v>25.299999999999997</x:v>
      </x:c>
      <x:c r="Z2417" s="94" t="n">
        <x:f>IFERROR(Y2417/W2417,0)</x:f>
        <x:v>0.513184584178499</x:v>
      </x:c>
      <x:c r="AA2417" s="84" t="str">
        <x:f>PROPER(TRIM('Raw Sales'!M2417))</x:f>
        <x:v>Debit Card</x:v>
      </x:c>
      <x:c r="AB2417" s="84" t="str">
        <x:f>PROPER(TRIM('Raw Sales'!N2417))</x:f>
        <x:v>Noah Reed</x:v>
      </x:c>
      <x:c r="AC2417" s="85" t="n">
        <x:f>'Raw Sales'!O2417</x:f>
        <x:v>46021</x:v>
      </x:c>
      <x:c r="AD2417" s="84" t="n">
        <x:f>AC2417-B2417</x:f>
        <x:v>0</x:v>
      </x:c>
      <x:c r="AE2417" s="84" t="str">
        <x:f>IF(COUNTIF($A$5:A2417,A2417)&gt;1,"Duplicate","Keep")</x:f>
        <x:v>Keep</x:v>
      </x:c>
      <x:c r="AF2417" s="84" t="str">
        <x:f>IF(OR(R2417&lt;=0,AC2417&lt;B2417,H2417="Unknown",M2417="Unknown Product"),"Review","Valid")</x:f>
        <x:v>Valid</x:v>
      </x:c>
      <x:c r="AG2417" s="84" t="n">
        <x:f>IF(AND(AE2417="Keep",AF2417="Valid"),1,0)</x:f>
        <x:v>1</x:v>
      </x:c>
      <x:c r="AH2417" s="84" t="n">
        <x:f>IF(AND(AG2417=1,OR('Dashboard'!$B$4="All",I2417='Dashboard'!$B$4),OR('Dashboard'!$E$4="All",N2417='Dashboard'!$E$4),OR('Dashboard'!$H$4="All",K2417='Dashboard'!$H$4),OR('Dashboard'!$K$4="All",C2417='Dashboard'!$K$4)),1,0)</x:f>
        <x:v>1</x:v>
      </x:c>
      <x:c r="AI2417" s="84" t="n">
        <x:f>IF(AND(AG2417=1,OR('Dashboard'!$B$4="All",I2417='Dashboard'!$B$4),OR('Dashboard'!$E$4="All",N2417='Dashboard'!$E$4),OR('Dashboard'!$H$4="All",K2417='Dashboard'!$H$4)),1,0)</x:f>
        <x:v>1</x:v>
      </x:c>
    </x:row>
    <x:row r="2418">
      <x:c r="A2418" s="84" t="str">
        <x:f>'Raw Sales'!A2418</x:f>
        <x:v>ORD-2025-01213</x:v>
      </x:c>
      <x:c r="B2418" s="85" t="n">
        <x:f>'Raw Sales'!B2418</x:f>
        <x:v>46021</x:v>
      </x:c>
      <x:c r="C2418" s="84" t="n">
        <x:f>YEAR(B2418)</x:f>
        <x:v>2025</x:v>
      </x:c>
      <x:c r="D2418" s="91" t="n">
        <x:f>DATE(YEAR(B2418),MONTH(B2418),1)</x:f>
        <x:v>45992</x:v>
      </x:c>
      <x:c r="E2418" s="84" t="str">
        <x:f>TEXT(B2418,"mmm")</x:f>
        <x:v>Dec</x:v>
      </x:c>
      <x:c r="F2418" s="84" t="str">
        <x:f>'Raw Sales'!C2418</x:f>
        <x:v>CUST-0245</x:v>
      </x:c>
      <x:c r="G2418" s="84" t="str">
        <x:f>PROPER(TRIM('Raw Sales'!D2418))</x:f>
        <x:v>Victoria Carter</x:v>
      </x:c>
      <x:c r="H2418" s="84" t="str">
        <x:f>IF(TRIM('Raw Sales'!E2418)="","Unknown",PROPER(TRIM('Raw Sales'!E2418)))</x:f>
        <x:v>Consumer</x:v>
      </x:c>
      <x:c r="I2418" s="84" t="str">
        <x:f>PROPER(TRIM('Raw Sales'!F2418))</x:f>
        <x:v>West</x:v>
      </x:c>
      <x:c r="J2418" s="84" t="str">
        <x:f>PROPER(TRIM('Raw Sales'!G2418))</x:f>
        <x:v>Los Angeles</x:v>
      </x:c>
      <x:c r="K2418" s="84" t="str">
        <x:f>PROPER(TRIM('Raw Sales'!H2418))</x:f>
        <x:v>Marketplace</x:v>
      </x:c>
      <x:c r="L2418" s="84" t="str">
        <x:f>'Raw Sales'!I2418</x:f>
        <x:v>ELEC-003</x:v>
      </x:c>
      <x:c r="M2418" s="84" t="str">
        <x:f>IFERROR(VLOOKUP(L2418,'Reference Data'!$A$5:$F$40,2,FALSE),"Unknown Product")</x:f>
        <x:v>Bluetooth Speaker</x:v>
      </x:c>
      <x:c r="N2418" s="84" t="str">
        <x:f>IFERROR(VLOOKUP(L2418,'Reference Data'!$A$5:$F$40,3,FALSE),"Unknown")</x:f>
        <x:v>Electronics</x:v>
      </x:c>
      <x:c r="O2418" s="84" t="str">
        <x:f>IFERROR(VLOOKUP(L2418,'Reference Data'!$A$5:$F$40,4,FALSE),"Unknown")</x:f>
        <x:v>Audio</x:v>
      </x:c>
      <x:c r="P2418" s="92" t="n">
        <x:f>IFERROR(VLOOKUP(L2418,'Reference Data'!$A$5:$F$40,5,FALSE),0)</x:f>
        <x:v>89</x:v>
      </x:c>
      <x:c r="Q2418" s="92" t="n">
        <x:f>IFERROR(VLOOKUP(L2418,'Reference Data'!$A$5:$F$40,6,FALSE),0)</x:f>
        <x:v>44</x:v>
      </x:c>
      <x:c r="R2418" s="84" t="n">
        <x:f>'Raw Sales'!J2418</x:f>
        <x:v>2</x:v>
      </x:c>
      <x:c r="S2418" s="87" t="n">
        <x:f>'Raw Sales'!K2418</x:f>
        <x:v>0.15</x:v>
      </x:c>
      <x:c r="T2418" s="93" t="n">
        <x:f>P2418*R2418</x:f>
        <x:v>178</x:v>
      </x:c>
      <x:c r="U2418" s="93" t="n">
        <x:f>T2418*S2418</x:f>
        <x:v>26.7</x:v>
      </x:c>
      <x:c r="V2418" s="93" t="str">
        <x:f>PROPER(TRIM('Raw Sales'!L2418))</x:f>
        <x:v>Completed</x:v>
      </x:c>
      <x:c r="W2418" s="93" t="n">
        <x:f>IF(V2418="Returned",0,T2418-U2418)</x:f>
        <x:v>151.3</x:v>
      </x:c>
      <x:c r="X2418" s="93" t="n">
        <x:f>IF(V2418="Returned",Q2418*R2418*10%,Q2418*R2418)</x:f>
        <x:v>88</x:v>
      </x:c>
      <x:c r="Y2418" s="93" t="n">
        <x:f>W2418-X2418</x:f>
        <x:v>63.30000000000001</x:v>
      </x:c>
      <x:c r="Z2418" s="94" t="n">
        <x:f>IFERROR(Y2418/W2418,0)</x:f>
        <x:v>0.4183740912095176</x:v>
      </x:c>
      <x:c r="AA2418" s="84" t="str">
        <x:f>PROPER(TRIM('Raw Sales'!M2418))</x:f>
        <x:v>Debit Card</x:v>
      </x:c>
      <x:c r="AB2418" s="84" t="str">
        <x:f>PROPER(TRIM('Raw Sales'!N2418))</x:f>
        <x:v>Mia Chen</x:v>
      </x:c>
      <x:c r="AC2418" s="85" t="n">
        <x:f>'Raw Sales'!O2418</x:f>
        <x:v>46028</x:v>
      </x:c>
      <x:c r="AD2418" s="84" t="n">
        <x:f>AC2418-B2418</x:f>
        <x:v>7</x:v>
      </x:c>
      <x:c r="AE2418" s="84" t="str">
        <x:f>IF(COUNTIF($A$5:A2418,A2418)&gt;1,"Duplicate","Keep")</x:f>
        <x:v>Keep</x:v>
      </x:c>
      <x:c r="AF2418" s="84" t="str">
        <x:f>IF(OR(R2418&lt;=0,AC2418&lt;B2418,H2418="Unknown",M2418="Unknown Product"),"Review","Valid")</x:f>
        <x:v>Valid</x:v>
      </x:c>
      <x:c r="AG2418" s="84" t="n">
        <x:f>IF(AND(AE2418="Keep",AF2418="Valid"),1,0)</x:f>
        <x:v>1</x:v>
      </x:c>
      <x:c r="AH2418" s="84" t="n">
        <x:f>IF(AND(AG2418=1,OR('Dashboard'!$B$4="All",I2418='Dashboard'!$B$4),OR('Dashboard'!$E$4="All",N2418='Dashboard'!$E$4),OR('Dashboard'!$H$4="All",K2418='Dashboard'!$H$4),OR('Dashboard'!$K$4="All",C2418='Dashboard'!$K$4)),1,0)</x:f>
        <x:v>1</x:v>
      </x:c>
      <x:c r="AI2418" s="84" t="n">
        <x:f>IF(AND(AG2418=1,OR('Dashboard'!$B$4="All",I2418='Dashboard'!$B$4),OR('Dashboard'!$E$4="All",N2418='Dashboard'!$E$4),OR('Dashboard'!$H$4="All",K2418='Dashboard'!$H$4)),1,0)</x:f>
        <x:v>1</x:v>
      </x:c>
    </x:row>
    <x:row r="2419">
      <x:c r="A2419" s="84" t="str">
        <x:f>'Raw Sales'!A2419</x:f>
        <x:v>ORD-2025-01467</x:v>
      </x:c>
      <x:c r="B2419" s="85" t="n">
        <x:f>'Raw Sales'!B2419</x:f>
        <x:v>46021</x:v>
      </x:c>
      <x:c r="C2419" s="84" t="n">
        <x:f>YEAR(B2419)</x:f>
        <x:v>2025</x:v>
      </x:c>
      <x:c r="D2419" s="91" t="n">
        <x:f>DATE(YEAR(B2419),MONTH(B2419),1)</x:f>
        <x:v>45992</x:v>
      </x:c>
      <x:c r="E2419" s="84" t="str">
        <x:f>TEXT(B2419,"mmm")</x:f>
        <x:v>Dec</x:v>
      </x:c>
      <x:c r="F2419" s="84" t="str">
        <x:f>'Raw Sales'!C2419</x:f>
        <x:v>CUST-0083</x:v>
      </x:c>
      <x:c r="G2419" s="84" t="str">
        <x:f>PROPER(TRIM('Raw Sales'!D2419))</x:f>
        <x:v>Theo Davis</x:v>
      </x:c>
      <x:c r="H2419" s="84" t="str">
        <x:f>IF(TRIM('Raw Sales'!E2419)="","Unknown",PROPER(TRIM('Raw Sales'!E2419)))</x:f>
        <x:v>Consumer</x:v>
      </x:c>
      <x:c r="I2419" s="84" t="str">
        <x:f>PROPER(TRIM('Raw Sales'!F2419))</x:f>
        <x:v>West</x:v>
      </x:c>
      <x:c r="J2419" s="84" t="str">
        <x:f>PROPER(TRIM('Raw Sales'!G2419))</x:f>
        <x:v>Phoenix</x:v>
      </x:c>
      <x:c r="K2419" s="84" t="str">
        <x:f>PROPER(TRIM('Raw Sales'!H2419))</x:f>
        <x:v>Online</x:v>
      </x:c>
      <x:c r="L2419" s="84" t="str">
        <x:f>'Raw Sales'!I2419</x:f>
        <x:v>HOME-005</x:v>
      </x:c>
      <x:c r="M2419" s="84" t="str">
        <x:f>IFERROR(VLOOKUP(L2419,'Reference Data'!$A$5:$F$40,2,FALSE),"Unknown Product")</x:f>
        <x:v>Cordless Vacuum</x:v>
      </x:c>
      <x:c r="N2419" s="84" t="str">
        <x:f>IFERROR(VLOOKUP(L2419,'Reference Data'!$A$5:$F$40,3,FALSE),"Unknown")</x:f>
        <x:v>Home &amp; Kitchen</x:v>
      </x:c>
      <x:c r="O2419" s="84" t="str">
        <x:f>IFERROR(VLOOKUP(L2419,'Reference Data'!$A$5:$F$40,4,FALSE),"Unknown")</x:f>
        <x:v>Cleaning</x:v>
      </x:c>
      <x:c r="P2419" s="92" t="n">
        <x:f>IFERROR(VLOOKUP(L2419,'Reference Data'!$A$5:$F$40,5,FALSE),0)</x:f>
        <x:v>179</x:v>
      </x:c>
      <x:c r="Q2419" s="92" t="n">
        <x:f>IFERROR(VLOOKUP(L2419,'Reference Data'!$A$5:$F$40,6,FALSE),0)</x:f>
        <x:v>102</x:v>
      </x:c>
      <x:c r="R2419" s="84" t="n">
        <x:f>'Raw Sales'!J2419</x:f>
        <x:v>1</x:v>
      </x:c>
      <x:c r="S2419" s="87" t="n">
        <x:f>'Raw Sales'!K2419</x:f>
        <x:v>0.1</x:v>
      </x:c>
      <x:c r="T2419" s="93" t="n">
        <x:f>P2419*R2419</x:f>
        <x:v>179</x:v>
      </x:c>
      <x:c r="U2419" s="93" t="n">
        <x:f>T2419*S2419</x:f>
        <x:v>17.900000000000002</x:v>
      </x:c>
      <x:c r="V2419" s="93" t="str">
        <x:f>PROPER(TRIM('Raw Sales'!L2419))</x:f>
        <x:v>Completed</x:v>
      </x:c>
      <x:c r="W2419" s="93" t="n">
        <x:f>IF(V2419="Returned",0,T2419-U2419)</x:f>
        <x:v>161.1</x:v>
      </x:c>
      <x:c r="X2419" s="93" t="n">
        <x:f>IF(V2419="Returned",Q2419*R2419*10%,Q2419*R2419)</x:f>
        <x:v>102</x:v>
      </x:c>
      <x:c r="Y2419" s="93" t="n">
        <x:f>W2419-X2419</x:f>
        <x:v>59.099999999999994</x:v>
      </x:c>
      <x:c r="Z2419" s="94" t="n">
        <x:f>IFERROR(Y2419/W2419,0)</x:f>
        <x:v>0.36685288640595903</x:v>
      </x:c>
      <x:c r="AA2419" s="84" t="str">
        <x:f>PROPER(TRIM('Raw Sales'!M2419))</x:f>
        <x:v>Debit Card</x:v>
      </x:c>
      <x:c r="AB2419" s="84" t="str">
        <x:f>PROPER(TRIM('Raw Sales'!N2419))</x:f>
        <x:v>Nora Kim</x:v>
      </x:c>
      <x:c r="AC2419" s="85" t="n">
        <x:f>'Raw Sales'!O2419</x:f>
        <x:v>46024</x:v>
      </x:c>
      <x:c r="AD2419" s="84" t="n">
        <x:f>AC2419-B2419</x:f>
        <x:v>3</x:v>
      </x:c>
      <x:c r="AE2419" s="84" t="str">
        <x:f>IF(COUNTIF($A$5:A2419,A2419)&gt;1,"Duplicate","Keep")</x:f>
        <x:v>Keep</x:v>
      </x:c>
      <x:c r="AF2419" s="84" t="str">
        <x:f>IF(OR(R2419&lt;=0,AC2419&lt;B2419,H2419="Unknown",M2419="Unknown Product"),"Review","Valid")</x:f>
        <x:v>Valid</x:v>
      </x:c>
      <x:c r="AG2419" s="84" t="n">
        <x:f>IF(AND(AE2419="Keep",AF2419="Valid"),1,0)</x:f>
        <x:v>1</x:v>
      </x:c>
      <x:c r="AH2419" s="84" t="n">
        <x:f>IF(AND(AG2419=1,OR('Dashboard'!$B$4="All",I2419='Dashboard'!$B$4),OR('Dashboard'!$E$4="All",N2419='Dashboard'!$E$4),OR('Dashboard'!$H$4="All",K2419='Dashboard'!$H$4),OR('Dashboard'!$K$4="All",C2419='Dashboard'!$K$4)),1,0)</x:f>
        <x:v>1</x:v>
      </x:c>
      <x:c r="AI2419" s="84" t="n">
        <x:f>IF(AND(AG2419=1,OR('Dashboard'!$B$4="All",I2419='Dashboard'!$B$4),OR('Dashboard'!$E$4="All",N2419='Dashboard'!$E$4),OR('Dashboard'!$H$4="All",K2419='Dashboard'!$H$4)),1,0)</x:f>
        <x:v>1</x:v>
      </x:c>
    </x:row>
    <x:row r="2420">
      <x:c r="A2420" s="84" t="str">
        <x:f>'Raw Sales'!A2420</x:f>
        <x:v>ORD-2025-01752</x:v>
      </x:c>
      <x:c r="B2420" s="85" t="n">
        <x:f>'Raw Sales'!B2420</x:f>
        <x:v>46021</x:v>
      </x:c>
      <x:c r="C2420" s="84" t="n">
        <x:f>YEAR(B2420)</x:f>
        <x:v>2025</x:v>
      </x:c>
      <x:c r="D2420" s="91" t="n">
        <x:f>DATE(YEAR(B2420),MONTH(B2420),1)</x:f>
        <x:v>45992</x:v>
      </x:c>
      <x:c r="E2420" s="84" t="str">
        <x:f>TEXT(B2420,"mmm")</x:f>
        <x:v>Dec</x:v>
      </x:c>
      <x:c r="F2420" s="84" t="str">
        <x:f>'Raw Sales'!C2420</x:f>
        <x:v>CUST-0493</x:v>
      </x:c>
      <x:c r="G2420" s="84" t="str">
        <x:f>PROPER(TRIM('Raw Sales'!D2420))</x:f>
        <x:v>Nina Evans</x:v>
      </x:c>
      <x:c r="H2420" s="84" t="str">
        <x:f>IF(TRIM('Raw Sales'!E2420)="","Unknown",PROPER(TRIM('Raw Sales'!E2420)))</x:f>
        <x:v>Corporate</x:v>
      </x:c>
      <x:c r="I2420" s="84" t="str">
        <x:f>PROPER(TRIM('Raw Sales'!F2420))</x:f>
        <x:v>West</x:v>
      </x:c>
      <x:c r="J2420" s="84" t="str">
        <x:f>PROPER(TRIM('Raw Sales'!G2420))</x:f>
        <x:v>Denver</x:v>
      </x:c>
      <x:c r="K2420" s="84" t="str">
        <x:f>PROPER(TRIM('Raw Sales'!H2420))</x:f>
        <x:v>Retail Store</x:v>
      </x:c>
      <x:c r="L2420" s="84" t="str">
        <x:f>'Raw Sales'!I2420</x:f>
        <x:v>CARE-003</x:v>
      </x:c>
      <x:c r="M2420" s="84" t="str">
        <x:f>IFERROR(VLOOKUP(L2420,'Reference Data'!$A$5:$F$40,2,FALSE),"Unknown Product")</x:f>
        <x:v>Facial Cleanser</x:v>
      </x:c>
      <x:c r="N2420" s="84" t="str">
        <x:f>IFERROR(VLOOKUP(L2420,'Reference Data'!$A$5:$F$40,3,FALSE),"Unknown")</x:f>
        <x:v>Personal Care</x:v>
      </x:c>
      <x:c r="O2420" s="84" t="str">
        <x:f>IFERROR(VLOOKUP(L2420,'Reference Data'!$A$5:$F$40,4,FALSE),"Unknown")</x:f>
        <x:v>Skin Care</x:v>
      </x:c>
      <x:c r="P2420" s="92" t="n">
        <x:f>IFERROR(VLOOKUP(L2420,'Reference Data'!$A$5:$F$40,5,FALSE),0)</x:f>
        <x:v>18</x:v>
      </x:c>
      <x:c r="Q2420" s="92" t="n">
        <x:f>IFERROR(VLOOKUP(L2420,'Reference Data'!$A$5:$F$40,6,FALSE),0)</x:f>
        <x:v>6</x:v>
      </x:c>
      <x:c r="R2420" s="84" t="n">
        <x:f>'Raw Sales'!J2420</x:f>
        <x:v>2</x:v>
      </x:c>
      <x:c r="S2420" s="87" t="n">
        <x:f>'Raw Sales'!K2420</x:f>
        <x:v>0</x:v>
      </x:c>
      <x:c r="T2420" s="93" t="n">
        <x:f>P2420*R2420</x:f>
        <x:v>36</x:v>
      </x:c>
      <x:c r="U2420" s="93" t="n">
        <x:f>T2420*S2420</x:f>
        <x:v>0</x:v>
      </x:c>
      <x:c r="V2420" s="93" t="str">
        <x:f>PROPER(TRIM('Raw Sales'!L2420))</x:f>
        <x:v>Completed</x:v>
      </x:c>
      <x:c r="W2420" s="93" t="n">
        <x:f>IF(V2420="Returned",0,T2420-U2420)</x:f>
        <x:v>36</x:v>
      </x:c>
      <x:c r="X2420" s="93" t="n">
        <x:f>IF(V2420="Returned",Q2420*R2420*10%,Q2420*R2420)</x:f>
        <x:v>12</x:v>
      </x:c>
      <x:c r="Y2420" s="93" t="n">
        <x:f>W2420-X2420</x:f>
        <x:v>24</x:v>
      </x:c>
      <x:c r="Z2420" s="94" t="n">
        <x:f>IFERROR(Y2420/W2420,0)</x:f>
        <x:v>0.6666666666666666</x:v>
      </x:c>
      <x:c r="AA2420" s="84" t="str">
        <x:f>PROPER(TRIM('Raw Sales'!M2420))</x:f>
        <x:v>Credit Card</x:v>
      </x:c>
      <x:c r="AB2420" s="84" t="str">
        <x:f>PROPER(TRIM('Raw Sales'!N2420))</x:f>
        <x:v>Leo Martinez</x:v>
      </x:c>
      <x:c r="AC2420" s="85" t="n">
        <x:f>'Raw Sales'!O2420</x:f>
        <x:v>46021</x:v>
      </x:c>
      <x:c r="AD2420" s="84" t="n">
        <x:f>AC2420-B2420</x:f>
        <x:v>0</x:v>
      </x:c>
      <x:c r="AE2420" s="84" t="str">
        <x:f>IF(COUNTIF($A$5:A2420,A2420)&gt;1,"Duplicate","Keep")</x:f>
        <x:v>Keep</x:v>
      </x:c>
      <x:c r="AF2420" s="84" t="str">
        <x:f>IF(OR(R2420&lt;=0,AC2420&lt;B2420,H2420="Unknown",M2420="Unknown Product"),"Review","Valid")</x:f>
        <x:v>Valid</x:v>
      </x:c>
      <x:c r="AG2420" s="84" t="n">
        <x:f>IF(AND(AE2420="Keep",AF2420="Valid"),1,0)</x:f>
        <x:v>1</x:v>
      </x:c>
      <x:c r="AH2420" s="84" t="n">
        <x:f>IF(AND(AG2420=1,OR('Dashboard'!$B$4="All",I2420='Dashboard'!$B$4),OR('Dashboard'!$E$4="All",N2420='Dashboard'!$E$4),OR('Dashboard'!$H$4="All",K2420='Dashboard'!$H$4),OR('Dashboard'!$K$4="All",C2420='Dashboard'!$K$4)),1,0)</x:f>
        <x:v>1</x:v>
      </x:c>
      <x:c r="AI2420" s="84" t="n">
        <x:f>IF(AND(AG2420=1,OR('Dashboard'!$B$4="All",I2420='Dashboard'!$B$4),OR('Dashboard'!$E$4="All",N2420='Dashboard'!$E$4),OR('Dashboard'!$H$4="All",K2420='Dashboard'!$H$4)),1,0)</x:f>
        <x:v>1</x:v>
      </x:c>
    </x:row>
    <x:row r="2421">
      <x:c r="A2421" s="84" t="str">
        <x:f>'Raw Sales'!A2421</x:f>
        <x:v>ORD-2025-01935</x:v>
      </x:c>
      <x:c r="B2421" s="85" t="n">
        <x:f>'Raw Sales'!B2421</x:f>
        <x:v>46021</x:v>
      </x:c>
      <x:c r="C2421" s="84" t="n">
        <x:f>YEAR(B2421)</x:f>
        <x:v>2025</x:v>
      </x:c>
      <x:c r="D2421" s="91" t="n">
        <x:f>DATE(YEAR(B2421),MONTH(B2421),1)</x:f>
        <x:v>45992</x:v>
      </x:c>
      <x:c r="E2421" s="84" t="str">
        <x:f>TEXT(B2421,"mmm")</x:f>
        <x:v>Dec</x:v>
      </x:c>
      <x:c r="F2421" s="84" t="str">
        <x:f>'Raw Sales'!C2421</x:f>
        <x:v>CUST-0441</x:v>
      </x:c>
      <x:c r="G2421" s="84" t="str">
        <x:f>PROPER(TRIM('Raw Sales'!D2421))</x:f>
        <x:v>Maya Roberts</x:v>
      </x:c>
      <x:c r="H2421" s="84" t="str">
        <x:f>IF(TRIM('Raw Sales'!E2421)="","Unknown",PROPER(TRIM('Raw Sales'!E2421)))</x:f>
        <x:v>Consumer</x:v>
      </x:c>
      <x:c r="I2421" s="84" t="str">
        <x:f>PROPER(TRIM('Raw Sales'!F2421))</x:f>
        <x:v>Southeast</x:v>
      </x:c>
      <x:c r="J2421" s="84" t="str">
        <x:f>PROPER(TRIM('Raw Sales'!G2421))</x:f>
        <x:v>Atlanta</x:v>
      </x:c>
      <x:c r="K2421" s="84" t="str">
        <x:f>PROPER(TRIM('Raw Sales'!H2421))</x:f>
        <x:v>Retail Store</x:v>
      </x:c>
      <x:c r="L2421" s="84" t="str">
        <x:f>'Raw Sales'!I2421</x:f>
        <x:v>CARE-005</x:v>
      </x:c>
      <x:c r="M2421" s="84" t="str">
        <x:f>IFERROR(VLOOKUP(L2421,'Reference Data'!$A$5:$F$40,2,FALSE),"Unknown Product")</x:f>
        <x:v>Skin Care Starter Kit</x:v>
      </x:c>
      <x:c r="N2421" s="84" t="str">
        <x:f>IFERROR(VLOOKUP(L2421,'Reference Data'!$A$5:$F$40,3,FALSE),"Unknown")</x:f>
        <x:v>Personal Care</x:v>
      </x:c>
      <x:c r="O2421" s="84" t="str">
        <x:f>IFERROR(VLOOKUP(L2421,'Reference Data'!$A$5:$F$40,4,FALSE),"Unknown")</x:f>
        <x:v>Skin Care</x:v>
      </x:c>
      <x:c r="P2421" s="92" t="n">
        <x:f>IFERROR(VLOOKUP(L2421,'Reference Data'!$A$5:$F$40,5,FALSE),0)</x:f>
        <x:v>58</x:v>
      </x:c>
      <x:c r="Q2421" s="92" t="n">
        <x:f>IFERROR(VLOOKUP(L2421,'Reference Data'!$A$5:$F$40,6,FALSE),0)</x:f>
        <x:v>24</x:v>
      </x:c>
      <x:c r="R2421" s="84" t="n">
        <x:f>'Raw Sales'!J2421</x:f>
        <x:v>1</x:v>
      </x:c>
      <x:c r="S2421" s="87" t="n">
        <x:f>'Raw Sales'!K2421</x:f>
        <x:v>0</x:v>
      </x:c>
      <x:c r="T2421" s="93" t="n">
        <x:f>P2421*R2421</x:f>
        <x:v>58</x:v>
      </x:c>
      <x:c r="U2421" s="93" t="n">
        <x:f>T2421*S2421</x:f>
        <x:v>0</x:v>
      </x:c>
      <x:c r="V2421" s="93" t="str">
        <x:f>PROPER(TRIM('Raw Sales'!L2421))</x:f>
        <x:v>Completed</x:v>
      </x:c>
      <x:c r="W2421" s="93" t="n">
        <x:f>IF(V2421="Returned",0,T2421-U2421)</x:f>
        <x:v>58</x:v>
      </x:c>
      <x:c r="X2421" s="93" t="n">
        <x:f>IF(V2421="Returned",Q2421*R2421*10%,Q2421*R2421)</x:f>
        <x:v>24</x:v>
      </x:c>
      <x:c r="Y2421" s="93" t="n">
        <x:f>W2421-X2421</x:f>
        <x:v>34</x:v>
      </x:c>
      <x:c r="Z2421" s="94" t="n">
        <x:f>IFERROR(Y2421/W2421,0)</x:f>
        <x:v>0.5862068965517241</x:v>
      </x:c>
      <x:c r="AA2421" s="84" t="str">
        <x:f>PROPER(TRIM('Raw Sales'!M2421))</x:f>
        <x:v>Debit Card</x:v>
      </x:c>
      <x:c r="AB2421" s="84" t="str">
        <x:f>PROPER(TRIM('Raw Sales'!N2421))</x:f>
        <x:v>Liam Parker</x:v>
      </x:c>
      <x:c r="AC2421" s="85" t="n">
        <x:f>'Raw Sales'!O2421</x:f>
        <x:v>46022</x:v>
      </x:c>
      <x:c r="AD2421" s="84" t="n">
        <x:f>AC2421-B2421</x:f>
        <x:v>1</x:v>
      </x:c>
      <x:c r="AE2421" s="84" t="str">
        <x:f>IF(COUNTIF($A$5:A2421,A2421)&gt;1,"Duplicate","Keep")</x:f>
        <x:v>Keep</x:v>
      </x:c>
      <x:c r="AF2421" s="84" t="str">
        <x:f>IF(OR(R2421&lt;=0,AC2421&lt;B2421,H2421="Unknown",M2421="Unknown Product"),"Review","Valid")</x:f>
        <x:v>Valid</x:v>
      </x:c>
      <x:c r="AG2421" s="84" t="n">
        <x:f>IF(AND(AE2421="Keep",AF2421="Valid"),1,0)</x:f>
        <x:v>1</x:v>
      </x:c>
      <x:c r="AH2421" s="84" t="n">
        <x:f>IF(AND(AG2421=1,OR('Dashboard'!$B$4="All",I2421='Dashboard'!$B$4),OR('Dashboard'!$E$4="All",N2421='Dashboard'!$E$4),OR('Dashboard'!$H$4="All",K2421='Dashboard'!$H$4),OR('Dashboard'!$K$4="All",C2421='Dashboard'!$K$4)),1,0)</x:f>
        <x:v>1</x:v>
      </x:c>
      <x:c r="AI2421" s="84" t="n">
        <x:f>IF(AND(AG2421=1,OR('Dashboard'!$B$4="All",I2421='Dashboard'!$B$4),OR('Dashboard'!$E$4="All",N2421='Dashboard'!$E$4),OR('Dashboard'!$H$4="All",K2421='Dashboard'!$H$4)),1,0)</x:f>
        <x:v>1</x:v>
      </x:c>
    </x:row>
    <x:row r="2422">
      <x:c r="A2422" s="84" t="str">
        <x:f>'Raw Sales'!A2422</x:f>
        <x:v>ORD-2025-01951</x:v>
      </x:c>
      <x:c r="B2422" s="85" t="n">
        <x:f>'Raw Sales'!B2422</x:f>
        <x:v>46021</x:v>
      </x:c>
      <x:c r="C2422" s="84" t="n">
        <x:f>YEAR(B2422)</x:f>
        <x:v>2025</x:v>
      </x:c>
      <x:c r="D2422" s="91" t="n">
        <x:f>DATE(YEAR(B2422),MONTH(B2422),1)</x:f>
        <x:v>45992</x:v>
      </x:c>
      <x:c r="E2422" s="84" t="str">
        <x:f>TEXT(B2422,"mmm")</x:f>
        <x:v>Dec</x:v>
      </x:c>
      <x:c r="F2422" s="84" t="str">
        <x:f>'Raw Sales'!C2422</x:f>
        <x:v>CUST-0263</x:v>
      </x:c>
      <x:c r="G2422" s="84" t="str">
        <x:f>PROPER(TRIM('Raw Sales'!D2422))</x:f>
        <x:v>Theo Smith</x:v>
      </x:c>
      <x:c r="H2422" s="84" t="str">
        <x:f>IF(TRIM('Raw Sales'!E2422)="","Unknown",PROPER(TRIM('Raw Sales'!E2422)))</x:f>
        <x:v>Consumer</x:v>
      </x:c>
      <x:c r="I2422" s="84" t="str">
        <x:f>PROPER(TRIM('Raw Sales'!F2422))</x:f>
        <x:v>West</x:v>
      </x:c>
      <x:c r="J2422" s="84" t="str">
        <x:f>PROPER(TRIM('Raw Sales'!G2422))</x:f>
        <x:v>Seattle</x:v>
      </x:c>
      <x:c r="K2422" s="84" t="str">
        <x:f>PROPER(TRIM('Raw Sales'!H2422))</x:f>
        <x:v>Online</x:v>
      </x:c>
      <x:c r="L2422" s="84" t="str">
        <x:f>'Raw Sales'!I2422</x:f>
        <x:v>ELEC-004</x:v>
      </x:c>
      <x:c r="M2422" s="84" t="str">
        <x:f>IFERROR(VLOOKUP(L2422,'Reference Data'!$A$5:$F$40,2,FALSE),"Unknown Product")</x:f>
        <x:v>Power Bank</x:v>
      </x:c>
      <x:c r="N2422" s="84" t="str">
        <x:f>IFERROR(VLOOKUP(L2422,'Reference Data'!$A$5:$F$40,3,FALSE),"Unknown")</x:f>
        <x:v>Electronics</x:v>
      </x:c>
      <x:c r="O2422" s="84" t="str">
        <x:f>IFERROR(VLOOKUP(L2422,'Reference Data'!$A$5:$F$40,4,FALSE),"Unknown")</x:f>
        <x:v>Mobile Accessories</x:v>
      </x:c>
      <x:c r="P2422" s="92" t="n">
        <x:f>IFERROR(VLOOKUP(L2422,'Reference Data'!$A$5:$F$40,5,FALSE),0)</x:f>
        <x:v>39</x:v>
      </x:c>
      <x:c r="Q2422" s="92" t="n">
        <x:f>IFERROR(VLOOKUP(L2422,'Reference Data'!$A$5:$F$40,6,FALSE),0)</x:f>
        <x:v>18</x:v>
      </x:c>
      <x:c r="R2422" s="84" t="n">
        <x:f>'Raw Sales'!J2422</x:f>
        <x:v>4</x:v>
      </x:c>
      <x:c r="S2422" s="87" t="n">
        <x:f>'Raw Sales'!K2422</x:f>
        <x:v>0.15</x:v>
      </x:c>
      <x:c r="T2422" s="93" t="n">
        <x:f>P2422*R2422</x:f>
        <x:v>156</x:v>
      </x:c>
      <x:c r="U2422" s="93" t="n">
        <x:f>T2422*S2422</x:f>
        <x:v>23.4</x:v>
      </x:c>
      <x:c r="V2422" s="93" t="str">
        <x:f>PROPER(TRIM('Raw Sales'!L2422))</x:f>
        <x:v>Completed</x:v>
      </x:c>
      <x:c r="W2422" s="93" t="n">
        <x:f>IF(V2422="Returned",0,T2422-U2422)</x:f>
        <x:v>132.6</x:v>
      </x:c>
      <x:c r="X2422" s="93" t="n">
        <x:f>IF(V2422="Returned",Q2422*R2422*10%,Q2422*R2422)</x:f>
        <x:v>72</x:v>
      </x:c>
      <x:c r="Y2422" s="93" t="n">
        <x:f>W2422-X2422</x:f>
        <x:v>60.599999999999994</x:v>
      </x:c>
      <x:c r="Z2422" s="94" t="n">
        <x:f>IFERROR(Y2422/W2422,0)</x:f>
        <x:v>0.45701357466063347</x:v>
      </x:c>
      <x:c r="AA2422" s="84" t="str">
        <x:f>PROPER(TRIM('Raw Sales'!M2422))</x:f>
        <x:v>Credit Card</x:v>
      </x:c>
      <x:c r="AB2422" s="84" t="str">
        <x:f>PROPER(TRIM('Raw Sales'!N2422))</x:f>
        <x:v>Nora Kim</x:v>
      </x:c>
      <x:c r="AC2422" s="85" t="n">
        <x:f>'Raw Sales'!O2422</x:f>
        <x:v>46024</x:v>
      </x:c>
      <x:c r="AD2422" s="84" t="n">
        <x:f>AC2422-B2422</x:f>
        <x:v>3</x:v>
      </x:c>
      <x:c r="AE2422" s="84" t="str">
        <x:f>IF(COUNTIF($A$5:A2422,A2422)&gt;1,"Duplicate","Keep")</x:f>
        <x:v>Keep</x:v>
      </x:c>
      <x:c r="AF2422" s="84" t="str">
        <x:f>IF(OR(R2422&lt;=0,AC2422&lt;B2422,H2422="Unknown",M2422="Unknown Product"),"Review","Valid")</x:f>
        <x:v>Valid</x:v>
      </x:c>
      <x:c r="AG2422" s="84" t="n">
        <x:f>IF(AND(AE2422="Keep",AF2422="Valid"),1,0)</x:f>
        <x:v>1</x:v>
      </x:c>
      <x:c r="AH2422" s="84" t="n">
        <x:f>IF(AND(AG2422=1,OR('Dashboard'!$B$4="All",I2422='Dashboard'!$B$4),OR('Dashboard'!$E$4="All",N2422='Dashboard'!$E$4),OR('Dashboard'!$H$4="All",K2422='Dashboard'!$H$4),OR('Dashboard'!$K$4="All",C2422='Dashboard'!$K$4)),1,0)</x:f>
        <x:v>1</x:v>
      </x:c>
      <x:c r="AI2422" s="84" t="n">
        <x:f>IF(AND(AG2422=1,OR('Dashboard'!$B$4="All",I2422='Dashboard'!$B$4),OR('Dashboard'!$E$4="All",N2422='Dashboard'!$E$4),OR('Dashboard'!$H$4="All",K2422='Dashboard'!$H$4)),1,0)</x:f>
        <x:v>1</x:v>
      </x:c>
    </x:row>
    <x:row r="2423">
      <x:c r="A2423" s="84" t="str">
        <x:f>'Raw Sales'!A2423</x:f>
        <x:v>ORD-2025-02318</x:v>
      </x:c>
      <x:c r="B2423" s="85" t="n">
        <x:f>'Raw Sales'!B2423</x:f>
        <x:v>46021</x:v>
      </x:c>
      <x:c r="C2423" s="84" t="n">
        <x:f>YEAR(B2423)</x:f>
        <x:v>2025</x:v>
      </x:c>
      <x:c r="D2423" s="91" t="n">
        <x:f>DATE(YEAR(B2423),MONTH(B2423),1)</x:f>
        <x:v>45992</x:v>
      </x:c>
      <x:c r="E2423" s="84" t="str">
        <x:f>TEXT(B2423,"mmm")</x:f>
        <x:v>Dec</x:v>
      </x:c>
      <x:c r="F2423" s="84" t="str">
        <x:f>'Raw Sales'!C2423</x:f>
        <x:v>CUST-0467</x:v>
      </x:c>
      <x:c r="G2423" s="84" t="str">
        <x:f>PROPER(TRIM('Raw Sales'!D2423))</x:f>
        <x:v>Owen Khan</x:v>
      </x:c>
      <x:c r="H2423" s="84" t="str">
        <x:f>IF(TRIM('Raw Sales'!E2423)="","Unknown",PROPER(TRIM('Raw Sales'!E2423)))</x:f>
        <x:v>Unknown</x:v>
      </x:c>
      <x:c r="I2423" s="84" t="str">
        <x:f>PROPER(TRIM('Raw Sales'!F2423))</x:f>
        <x:v>Northeast</x:v>
      </x:c>
      <x:c r="J2423" s="84" t="str">
        <x:f>PROPER(TRIM('Raw Sales'!G2423))</x:f>
        <x:v>New York</x:v>
      </x:c>
      <x:c r="K2423" s="84" t="str">
        <x:f>PROPER(TRIM('Raw Sales'!H2423))</x:f>
        <x:v>Online</x:v>
      </x:c>
      <x:c r="L2423" s="84" t="str">
        <x:f>'Raw Sales'!I2423</x:f>
        <x:v>ACCS-006</x:v>
      </x:c>
      <x:c r="M2423" s="84" t="str">
        <x:f>IFERROR(VLOOKUP(L2423,'Reference Data'!$A$5:$F$40,2,FALSE),"Unknown Product")</x:f>
        <x:v>Insulated Lunch Bag</x:v>
      </x:c>
      <x:c r="N2423" s="84" t="str">
        <x:f>IFERROR(VLOOKUP(L2423,'Reference Data'!$A$5:$F$40,3,FALSE),"Unknown")</x:f>
        <x:v>Accessories</x:v>
      </x:c>
      <x:c r="O2423" s="84" t="str">
        <x:f>IFERROR(VLOOKUP(L2423,'Reference Data'!$A$5:$F$40,4,FALSE),"Unknown")</x:f>
        <x:v>Bags</x:v>
      </x:c>
      <x:c r="P2423" s="92" t="n">
        <x:f>IFERROR(VLOOKUP(L2423,'Reference Data'!$A$5:$F$40,5,FALSE),0)</x:f>
        <x:v>29</x:v>
      </x:c>
      <x:c r="Q2423" s="92" t="n">
        <x:f>IFERROR(VLOOKUP(L2423,'Reference Data'!$A$5:$F$40,6,FALSE),0)</x:f>
        <x:v>10</x:v>
      </x:c>
      <x:c r="R2423" s="84" t="n">
        <x:f>'Raw Sales'!J2423</x:f>
        <x:v>2</x:v>
      </x:c>
      <x:c r="S2423" s="87" t="n">
        <x:f>'Raw Sales'!K2423</x:f>
        <x:v>0</x:v>
      </x:c>
      <x:c r="T2423" s="93" t="n">
        <x:f>P2423*R2423</x:f>
        <x:v>58</x:v>
      </x:c>
      <x:c r="U2423" s="93" t="n">
        <x:f>T2423*S2423</x:f>
        <x:v>0</x:v>
      </x:c>
      <x:c r="V2423" s="93" t="str">
        <x:f>PROPER(TRIM('Raw Sales'!L2423))</x:f>
        <x:v>Completed</x:v>
      </x:c>
      <x:c r="W2423" s="93" t="n">
        <x:f>IF(V2423="Returned",0,T2423-U2423)</x:f>
        <x:v>58</x:v>
      </x:c>
      <x:c r="X2423" s="93" t="n">
        <x:f>IF(V2423="Returned",Q2423*R2423*10%,Q2423*R2423)</x:f>
        <x:v>20</x:v>
      </x:c>
      <x:c r="Y2423" s="93" t="n">
        <x:f>W2423-X2423</x:f>
        <x:v>38</x:v>
      </x:c>
      <x:c r="Z2423" s="94" t="n">
        <x:f>IFERROR(Y2423/W2423,0)</x:f>
        <x:v>0.6551724137931034</x:v>
      </x:c>
      <x:c r="AA2423" s="84" t="str">
        <x:f>PROPER(TRIM('Raw Sales'!M2423))</x:f>
        <x:v>Mobile Wallet</x:v>
      </x:c>
      <x:c r="AB2423" s="84" t="str">
        <x:f>PROPER(TRIM('Raw Sales'!N2423))</x:f>
        <x:v>Maya Brooks</x:v>
      </x:c>
      <x:c r="AC2423" s="85" t="n">
        <x:f>'Raw Sales'!O2423</x:f>
        <x:v>46026</x:v>
      </x:c>
      <x:c r="AD2423" s="84" t="n">
        <x:f>AC2423-B2423</x:f>
        <x:v>5</x:v>
      </x:c>
      <x:c r="AE2423" s="84" t="str">
        <x:f>IF(COUNTIF($A$5:A2423,A2423)&gt;1,"Duplicate","Keep")</x:f>
        <x:v>Keep</x:v>
      </x:c>
      <x:c r="AF2423" s="84" t="str">
        <x:f>IF(OR(R2423&lt;=0,AC2423&lt;B2423,H2423="Unknown",M2423="Unknown Product"),"Review","Valid")</x:f>
        <x:v>Review</x:v>
      </x:c>
      <x:c r="AG2423" s="84" t="n">
        <x:f>IF(AND(AE2423="Keep",AF2423="Valid"),1,0)</x:f>
        <x:v>0</x:v>
      </x:c>
      <x:c r="AH2423" s="84" t="n">
        <x:f>IF(AND(AG2423=1,OR('Dashboard'!$B$4="All",I2423='Dashboard'!$B$4),OR('Dashboard'!$E$4="All",N2423='Dashboard'!$E$4),OR('Dashboard'!$H$4="All",K2423='Dashboard'!$H$4),OR('Dashboard'!$K$4="All",C2423='Dashboard'!$K$4)),1,0)</x:f>
        <x:v>0</x:v>
      </x:c>
      <x:c r="AI2423" s="84" t="n">
        <x:f>IF(AND(AG2423=1,OR('Dashboard'!$B$4="All",I2423='Dashboard'!$B$4),OR('Dashboard'!$E$4="All",N2423='Dashboard'!$E$4),OR('Dashboard'!$H$4="All",K2423='Dashboard'!$H$4)),1,0)</x:f>
        <x:v>0</x:v>
      </x:c>
    </x:row>
    <x:row r="2424">
      <x:c r="A2424" s="84" t="str">
        <x:f>'Raw Sales'!A2424</x:f>
        <x:v>ORD-2025-02377</x:v>
      </x:c>
      <x:c r="B2424" s="85" t="n">
        <x:f>'Raw Sales'!B2424</x:f>
        <x:v>46021</x:v>
      </x:c>
      <x:c r="C2424" s="84" t="n">
        <x:f>YEAR(B2424)</x:f>
        <x:v>2025</x:v>
      </x:c>
      <x:c r="D2424" s="91" t="n">
        <x:f>DATE(YEAR(B2424),MONTH(B2424),1)</x:f>
        <x:v>45992</x:v>
      </x:c>
      <x:c r="E2424" s="84" t="str">
        <x:f>TEXT(B2424,"mmm")</x:f>
        <x:v>Dec</x:v>
      </x:c>
      <x:c r="F2424" s="84" t="str">
        <x:f>'Raw Sales'!C2424</x:f>
        <x:v>CUST-0078</x:v>
      </x:c>
      <x:c r="G2424" s="84" t="str">
        <x:f>PROPER(TRIM('Raw Sales'!D2424))</x:f>
        <x:v>Grace Carter</x:v>
      </x:c>
      <x:c r="H2424" s="84" t="str">
        <x:f>IF(TRIM('Raw Sales'!E2424)="","Unknown",PROPER(TRIM('Raw Sales'!E2424)))</x:f>
        <x:v>Small Business</x:v>
      </x:c>
      <x:c r="I2424" s="84" t="str">
        <x:f>PROPER(TRIM('Raw Sales'!F2424))</x:f>
        <x:v>Southeast</x:v>
      </x:c>
      <x:c r="J2424" s="84" t="str">
        <x:f>PROPER(TRIM('Raw Sales'!G2424))</x:f>
        <x:v>Atlanta</x:v>
      </x:c>
      <x:c r="K2424" s="84" t="str">
        <x:f>PROPER(TRIM('Raw Sales'!H2424))</x:f>
        <x:v>Online</x:v>
      </x:c>
      <x:c r="L2424" s="84" t="str">
        <x:f>'Raw Sales'!I2424</x:f>
        <x:v>ELEC-005</x:v>
      </x:c>
      <x:c r="M2424" s="84" t="str">
        <x:f>IFERROR(VLOOKUP(L2424,'Reference Data'!$A$5:$F$40,2,FALSE),"Unknown Product")</x:f>
        <x:v>HD Webcam</x:v>
      </x:c>
      <x:c r="N2424" s="84" t="str">
        <x:f>IFERROR(VLOOKUP(L2424,'Reference Data'!$A$5:$F$40,3,FALSE),"Unknown")</x:f>
        <x:v>Electronics</x:v>
      </x:c>
      <x:c r="O2424" s="84" t="str">
        <x:f>IFERROR(VLOOKUP(L2424,'Reference Data'!$A$5:$F$40,4,FALSE),"Unknown")</x:f>
        <x:v>Computer Accessories</x:v>
      </x:c>
      <x:c r="P2424" s="92" t="n">
        <x:f>IFERROR(VLOOKUP(L2424,'Reference Data'!$A$5:$F$40,5,FALSE),0)</x:f>
        <x:v>79</x:v>
      </x:c>
      <x:c r="Q2424" s="92" t="n">
        <x:f>IFERROR(VLOOKUP(L2424,'Reference Data'!$A$5:$F$40,6,FALSE),0)</x:f>
        <x:v>37</x:v>
      </x:c>
      <x:c r="R2424" s="84" t="n">
        <x:f>'Raw Sales'!J2424</x:f>
        <x:v>1</x:v>
      </x:c>
      <x:c r="S2424" s="87" t="n">
        <x:f>'Raw Sales'!K2424</x:f>
        <x:v>0.1</x:v>
      </x:c>
      <x:c r="T2424" s="93" t="n">
        <x:f>P2424*R2424</x:f>
        <x:v>79</x:v>
      </x:c>
      <x:c r="U2424" s="93" t="n">
        <x:f>T2424*S2424</x:f>
        <x:v>7.9</x:v>
      </x:c>
      <x:c r="V2424" s="93" t="str">
        <x:f>PROPER(TRIM('Raw Sales'!L2424))</x:f>
        <x:v>Completed</x:v>
      </x:c>
      <x:c r="W2424" s="93" t="n">
        <x:f>IF(V2424="Returned",0,T2424-U2424)</x:f>
        <x:v>71.1</x:v>
      </x:c>
      <x:c r="X2424" s="93" t="n">
        <x:f>IF(V2424="Returned",Q2424*R2424*10%,Q2424*R2424)</x:f>
        <x:v>37</x:v>
      </x:c>
      <x:c r="Y2424" s="93" t="n">
        <x:f>W2424-X2424</x:f>
        <x:v>34.099999999999994</x:v>
      </x:c>
      <x:c r="Z2424" s="94" t="n">
        <x:f>IFERROR(Y2424/W2424,0)</x:f>
        <x:v>0.4796061884669479</x:v>
      </x:c>
      <x:c r="AA2424" s="84" t="str">
        <x:f>PROPER(TRIM('Raw Sales'!M2424))</x:f>
        <x:v>Credit Card</x:v>
      </x:c>
      <x:c r="AB2424" s="84" t="str">
        <x:f>PROPER(TRIM('Raw Sales'!N2424))</x:f>
        <x:v>Ava Mitchell</x:v>
      </x:c>
      <x:c r="AC2424" s="85" t="n">
        <x:f>'Raw Sales'!O2424</x:f>
        <x:v>46024</x:v>
      </x:c>
      <x:c r="AD2424" s="84" t="n">
        <x:f>AC2424-B2424</x:f>
        <x:v>3</x:v>
      </x:c>
      <x:c r="AE2424" s="84" t="str">
        <x:f>IF(COUNTIF($A$5:A2424,A2424)&gt;1,"Duplicate","Keep")</x:f>
        <x:v>Keep</x:v>
      </x:c>
      <x:c r="AF2424" s="84" t="str">
        <x:f>IF(OR(R2424&lt;=0,AC2424&lt;B2424,H2424="Unknown",M2424="Unknown Product"),"Review","Valid")</x:f>
        <x:v>Valid</x:v>
      </x:c>
      <x:c r="AG2424" s="84" t="n">
        <x:f>IF(AND(AE2424="Keep",AF2424="Valid"),1,0)</x:f>
        <x:v>1</x:v>
      </x:c>
      <x:c r="AH2424" s="84" t="n">
        <x:f>IF(AND(AG2424=1,OR('Dashboard'!$B$4="All",I2424='Dashboard'!$B$4),OR('Dashboard'!$E$4="All",N2424='Dashboard'!$E$4),OR('Dashboard'!$H$4="All",K2424='Dashboard'!$H$4),OR('Dashboard'!$K$4="All",C2424='Dashboard'!$K$4)),1,0)</x:f>
        <x:v>1</x:v>
      </x:c>
      <x:c r="AI2424" s="84" t="n">
        <x:f>IF(AND(AG2424=1,OR('Dashboard'!$B$4="All",I2424='Dashboard'!$B$4),OR('Dashboard'!$E$4="All",N2424='Dashboard'!$E$4),OR('Dashboard'!$H$4="All",K2424='Dashboard'!$H$4)),1,0)</x:f>
        <x:v>1</x:v>
      </x:c>
    </x:row>
    <x:row r="2425">
      <x:c r="A2425" s="84" t="str">
        <x:f>'Raw Sales'!A2425</x:f>
        <x:v>ORD-2025-00013</x:v>
      </x:c>
      <x:c r="B2425" s="85" t="n">
        <x:f>'Raw Sales'!B2425</x:f>
        <x:v>46022</x:v>
      </x:c>
      <x:c r="C2425" s="84" t="n">
        <x:f>YEAR(B2425)</x:f>
        <x:v>2025</x:v>
      </x:c>
      <x:c r="D2425" s="91" t="n">
        <x:f>DATE(YEAR(B2425),MONTH(B2425),1)</x:f>
        <x:v>45992</x:v>
      </x:c>
      <x:c r="E2425" s="84" t="str">
        <x:f>TEXT(B2425,"mmm")</x:f>
        <x:v>Dec</x:v>
      </x:c>
      <x:c r="F2425" s="84" t="str">
        <x:f>'Raw Sales'!C2425</x:f>
        <x:v>CUST-0423</x:v>
      </x:c>
      <x:c r="G2425" s="84" t="str">
        <x:f>PROPER(TRIM('Raw Sales'!D2425))</x:f>
        <x:v>Marcus Smith</x:v>
      </x:c>
      <x:c r="H2425" s="84" t="str">
        <x:f>IF(TRIM('Raw Sales'!E2425)="","Unknown",PROPER(TRIM('Raw Sales'!E2425)))</x:f>
        <x:v>Small Business</x:v>
      </x:c>
      <x:c r="I2425" s="84" t="str">
        <x:f>PROPER(TRIM('Raw Sales'!F2425))</x:f>
        <x:v>Northeast</x:v>
      </x:c>
      <x:c r="J2425" s="84" t="str">
        <x:f>PROPER(TRIM('Raw Sales'!G2425))</x:f>
        <x:v>Philadelphia</x:v>
      </x:c>
      <x:c r="K2425" s="84" t="str">
        <x:f>PROPER(TRIM('Raw Sales'!H2425))</x:f>
        <x:v>Retail Store</x:v>
      </x:c>
      <x:c r="L2425" s="84" t="str">
        <x:f>'Raw Sales'!I2425</x:f>
        <x:v>FITN-001</x:v>
      </x:c>
      <x:c r="M2425" s="84" t="str">
        <x:f>IFERROR(VLOOKUP(L2425,'Reference Data'!$A$5:$F$40,2,FALSE),"Unknown Product")</x:f>
        <x:v>Yoga Mat</x:v>
      </x:c>
      <x:c r="N2425" s="84" t="str">
        <x:f>IFERROR(VLOOKUP(L2425,'Reference Data'!$A$5:$F$40,3,FALSE),"Unknown")</x:f>
        <x:v>Fitness</x:v>
      </x:c>
      <x:c r="O2425" s="84" t="str">
        <x:f>IFERROR(VLOOKUP(L2425,'Reference Data'!$A$5:$F$40,4,FALSE),"Unknown")</x:f>
        <x:v>Yoga</x:v>
      </x:c>
      <x:c r="P2425" s="92" t="n">
        <x:f>IFERROR(VLOOKUP(L2425,'Reference Data'!$A$5:$F$40,5,FALSE),0)</x:f>
        <x:v>35</x:v>
      </x:c>
      <x:c r="Q2425" s="92" t="n">
        <x:f>IFERROR(VLOOKUP(L2425,'Reference Data'!$A$5:$F$40,6,FALSE),0)</x:f>
        <x:v>13</x:v>
      </x:c>
      <x:c r="R2425" s="84" t="n">
        <x:f>'Raw Sales'!J2425</x:f>
        <x:v>1</x:v>
      </x:c>
      <x:c r="S2425" s="87" t="n">
        <x:f>'Raw Sales'!K2425</x:f>
        <x:v>0.2</x:v>
      </x:c>
      <x:c r="T2425" s="93" t="n">
        <x:f>P2425*R2425</x:f>
        <x:v>35</x:v>
      </x:c>
      <x:c r="U2425" s="93" t="n">
        <x:f>T2425*S2425</x:f>
        <x:v>7</x:v>
      </x:c>
      <x:c r="V2425" s="93" t="str">
        <x:f>PROPER(TRIM('Raw Sales'!L2425))</x:f>
        <x:v>Completed</x:v>
      </x:c>
      <x:c r="W2425" s="93" t="n">
        <x:f>IF(V2425="Returned",0,T2425-U2425)</x:f>
        <x:v>28</x:v>
      </x:c>
      <x:c r="X2425" s="93" t="n">
        <x:f>IF(V2425="Returned",Q2425*R2425*10%,Q2425*R2425)</x:f>
        <x:v>13</x:v>
      </x:c>
      <x:c r="Y2425" s="93" t="n">
        <x:f>W2425-X2425</x:f>
        <x:v>15</x:v>
      </x:c>
      <x:c r="Z2425" s="94" t="n">
        <x:f>IFERROR(Y2425/W2425,0)</x:f>
        <x:v>0.5357142857142857</x:v>
      </x:c>
      <x:c r="AA2425" s="84" t="str">
        <x:f>PROPER(TRIM('Raw Sales'!M2425))</x:f>
        <x:v>Debit Card</x:v>
      </x:c>
      <x:c r="AB2425" s="84" t="str">
        <x:f>PROPER(TRIM('Raw Sales'!N2425))</x:f>
        <x:v>Ethan Cole</x:v>
      </x:c>
      <x:c r="AC2425" s="85" t="n">
        <x:f>'Raw Sales'!O2425</x:f>
        <x:v>46023</x:v>
      </x:c>
      <x:c r="AD2425" s="84" t="n">
        <x:f>AC2425-B2425</x:f>
        <x:v>1</x:v>
      </x:c>
      <x:c r="AE2425" s="84" t="str">
        <x:f>IF(COUNTIF($A$5:A2425,A2425)&gt;1,"Duplicate","Keep")</x:f>
        <x:v>Keep</x:v>
      </x:c>
      <x:c r="AF2425" s="84" t="str">
        <x:f>IF(OR(R2425&lt;=0,AC2425&lt;B2425,H2425="Unknown",M2425="Unknown Product"),"Review","Valid")</x:f>
        <x:v>Valid</x:v>
      </x:c>
      <x:c r="AG2425" s="84" t="n">
        <x:f>IF(AND(AE2425="Keep",AF2425="Valid"),1,0)</x:f>
        <x:v>1</x:v>
      </x:c>
      <x:c r="AH2425" s="84" t="n">
        <x:f>IF(AND(AG2425=1,OR('Dashboard'!$B$4="All",I2425='Dashboard'!$B$4),OR('Dashboard'!$E$4="All",N2425='Dashboard'!$E$4),OR('Dashboard'!$H$4="All",K2425='Dashboard'!$H$4),OR('Dashboard'!$K$4="All",C2425='Dashboard'!$K$4)),1,0)</x:f>
        <x:v>1</x:v>
      </x:c>
      <x:c r="AI2425" s="84" t="n">
        <x:f>IF(AND(AG2425=1,OR('Dashboard'!$B$4="All",I2425='Dashboard'!$B$4),OR('Dashboard'!$E$4="All",N2425='Dashboard'!$E$4),OR('Dashboard'!$H$4="All",K2425='Dashboard'!$H$4)),1,0)</x:f>
        <x:v>1</x:v>
      </x:c>
    </x:row>
    <x:row r="2426">
      <x:c r="A2426" s="84" t="str">
        <x:f>'Raw Sales'!A2426</x:f>
        <x:v>ORD-2025-00403</x:v>
      </x:c>
      <x:c r="B2426" s="85" t="n">
        <x:f>'Raw Sales'!B2426</x:f>
        <x:v>46022</x:v>
      </x:c>
      <x:c r="C2426" s="84" t="n">
        <x:f>YEAR(B2426)</x:f>
        <x:v>2025</x:v>
      </x:c>
      <x:c r="D2426" s="91" t="n">
        <x:f>DATE(YEAR(B2426),MONTH(B2426),1)</x:f>
        <x:v>45992</x:v>
      </x:c>
      <x:c r="E2426" s="84" t="str">
        <x:f>TEXT(B2426,"mmm")</x:f>
        <x:v>Dec</x:v>
      </x:c>
      <x:c r="F2426" s="84" t="str">
        <x:f>'Raw Sales'!C2426</x:f>
        <x:v>CUST-0496</x:v>
      </x:c>
      <x:c r="G2426" s="84" t="str">
        <x:f>PROPER(TRIM('Raw Sales'!D2426))</x:f>
        <x:v>Elias Khan</x:v>
      </x:c>
      <x:c r="H2426" s="84" t="str">
        <x:f>IF(TRIM('Raw Sales'!E2426)="","Unknown",PROPER(TRIM('Raw Sales'!E2426)))</x:f>
        <x:v>Consumer</x:v>
      </x:c>
      <x:c r="I2426" s="84" t="str">
        <x:f>PROPER(TRIM('Raw Sales'!F2426))</x:f>
        <x:v>West</x:v>
      </x:c>
      <x:c r="J2426" s="84" t="str">
        <x:f>PROPER(TRIM('Raw Sales'!G2426))</x:f>
        <x:v>Phoenix</x:v>
      </x:c>
      <x:c r="K2426" s="84" t="str">
        <x:f>PROPER(TRIM('Raw Sales'!H2426))</x:f>
        <x:v>Online</x:v>
      </x:c>
      <x:c r="L2426" s="84" t="str">
        <x:f>'Raw Sales'!I2426</x:f>
        <x:v>HOME-003</x:v>
      </x:c>
      <x:c r="M2426" s="84" t="str">
        <x:f>IFERROR(VLOOKUP(L2426,'Reference Data'!$A$5:$F$40,2,FALSE),"Unknown Product")</x:f>
        <x:v>Countertop Blender</x:v>
      </x:c>
      <x:c r="N2426" s="84" t="str">
        <x:f>IFERROR(VLOOKUP(L2426,'Reference Data'!$A$5:$F$40,3,FALSE),"Unknown")</x:f>
        <x:v>Home &amp; Kitchen</x:v>
      </x:c>
      <x:c r="O2426" s="84" t="str">
        <x:f>IFERROR(VLOOKUP(L2426,'Reference Data'!$A$5:$F$40,4,FALSE),"Unknown")</x:f>
        <x:v>Small Appliances</x:v>
      </x:c>
      <x:c r="P2426" s="92" t="n">
        <x:f>IFERROR(VLOOKUP(L2426,'Reference Data'!$A$5:$F$40,5,FALSE),0)</x:f>
        <x:v>89</x:v>
      </x:c>
      <x:c r="Q2426" s="92" t="n">
        <x:f>IFERROR(VLOOKUP(L2426,'Reference Data'!$A$5:$F$40,6,FALSE),0)</x:f>
        <x:v>46</x:v>
      </x:c>
      <x:c r="R2426" s="84" t="n">
        <x:f>'Raw Sales'!J2426</x:f>
        <x:v>2</x:v>
      </x:c>
      <x:c r="S2426" s="87" t="n">
        <x:f>'Raw Sales'!K2426</x:f>
        <x:v>0.05</x:v>
      </x:c>
      <x:c r="T2426" s="93" t="n">
        <x:f>P2426*R2426</x:f>
        <x:v>178</x:v>
      </x:c>
      <x:c r="U2426" s="93" t="n">
        <x:f>T2426*S2426</x:f>
        <x:v>8.9</x:v>
      </x:c>
      <x:c r="V2426" s="93" t="str">
        <x:f>PROPER(TRIM('Raw Sales'!L2426))</x:f>
        <x:v>Completed</x:v>
      </x:c>
      <x:c r="W2426" s="93" t="n">
        <x:f>IF(V2426="Returned",0,T2426-U2426)</x:f>
        <x:v>169.1</x:v>
      </x:c>
      <x:c r="X2426" s="93" t="n">
        <x:f>IF(V2426="Returned",Q2426*R2426*10%,Q2426*R2426)</x:f>
        <x:v>92</x:v>
      </x:c>
      <x:c r="Y2426" s="93" t="n">
        <x:f>W2426-X2426</x:f>
        <x:v>77.1</x:v>
      </x:c>
      <x:c r="Z2426" s="94" t="n">
        <x:f>IFERROR(Y2426/W2426,0)</x:f>
        <x:v>0.4559432288586635</x:v>
      </x:c>
      <x:c r="AA2426" s="84" t="str">
        <x:f>PROPER(TRIM('Raw Sales'!M2426))</x:f>
        <x:v>Paypal</x:v>
      </x:c>
      <x:c r="AB2426" s="84" t="str">
        <x:f>PROPER(TRIM('Raw Sales'!N2426))</x:f>
        <x:v>Nora Kim</x:v>
      </x:c>
      <x:c r="AC2426" s="85" t="n">
        <x:f>'Raw Sales'!O2426</x:f>
        <x:v>46027</x:v>
      </x:c>
      <x:c r="AD2426" s="84" t="n">
        <x:f>AC2426-B2426</x:f>
        <x:v>5</x:v>
      </x:c>
      <x:c r="AE2426" s="84" t="str">
        <x:f>IF(COUNTIF($A$5:A2426,A2426)&gt;1,"Duplicate","Keep")</x:f>
        <x:v>Keep</x:v>
      </x:c>
      <x:c r="AF2426" s="84" t="str">
        <x:f>IF(OR(R2426&lt;=0,AC2426&lt;B2426,H2426="Unknown",M2426="Unknown Product"),"Review","Valid")</x:f>
        <x:v>Valid</x:v>
      </x:c>
      <x:c r="AG2426" s="84" t="n">
        <x:f>IF(AND(AE2426="Keep",AF2426="Valid"),1,0)</x:f>
        <x:v>1</x:v>
      </x:c>
      <x:c r="AH2426" s="84" t="n">
        <x:f>IF(AND(AG2426=1,OR('Dashboard'!$B$4="All",I2426='Dashboard'!$B$4),OR('Dashboard'!$E$4="All",N2426='Dashboard'!$E$4),OR('Dashboard'!$H$4="All",K2426='Dashboard'!$H$4),OR('Dashboard'!$K$4="All",C2426='Dashboard'!$K$4)),1,0)</x:f>
        <x:v>1</x:v>
      </x:c>
      <x:c r="AI2426" s="84" t="n">
        <x:f>IF(AND(AG2426=1,OR('Dashboard'!$B$4="All",I2426='Dashboard'!$B$4),OR('Dashboard'!$E$4="All",N2426='Dashboard'!$E$4),OR('Dashboard'!$H$4="All",K2426='Dashboard'!$H$4)),1,0)</x:f>
        <x:v>1</x:v>
      </x:c>
    </x:row>
    <x:row r="2427">
      <x:c r="A2427" s="84" t="str">
        <x:f>'Raw Sales'!A2427</x:f>
        <x:v>ORD-2025-00643</x:v>
      </x:c>
      <x:c r="B2427" s="85" t="n">
        <x:f>'Raw Sales'!B2427</x:f>
        <x:v>46022</x:v>
      </x:c>
      <x:c r="C2427" s="84" t="n">
        <x:f>YEAR(B2427)</x:f>
        <x:v>2025</x:v>
      </x:c>
      <x:c r="D2427" s="91" t="n">
        <x:f>DATE(YEAR(B2427),MONTH(B2427),1)</x:f>
        <x:v>45992</x:v>
      </x:c>
      <x:c r="E2427" s="84" t="str">
        <x:f>TEXT(B2427,"mmm")</x:f>
        <x:v>Dec</x:v>
      </x:c>
      <x:c r="F2427" s="84" t="str">
        <x:f>'Raw Sales'!C2427</x:f>
        <x:v>CUST-0023</x:v>
      </x:c>
      <x:c r="G2427" s="84" t="str">
        <x:f>PROPER(TRIM('Raw Sales'!D2427))</x:f>
        <x:v>Layla Nelson</x:v>
      </x:c>
      <x:c r="H2427" s="84" t="str">
        <x:f>IF(TRIM('Raw Sales'!E2427)="","Unknown",PROPER(TRIM('Raw Sales'!E2427)))</x:f>
        <x:v>Consumer</x:v>
      </x:c>
      <x:c r="I2427" s="84" t="str">
        <x:f>PROPER(TRIM('Raw Sales'!F2427))</x:f>
        <x:v>Northeast</x:v>
      </x:c>
      <x:c r="J2427" s="84" t="str">
        <x:f>PROPER(TRIM('Raw Sales'!G2427))</x:f>
        <x:v>New York</x:v>
      </x:c>
      <x:c r="K2427" s="84" t="str">
        <x:f>PROPER(TRIM('Raw Sales'!H2427))</x:f>
        <x:v>Online</x:v>
      </x:c>
      <x:c r="L2427" s="84" t="str">
        <x:f>'Raw Sales'!I2427</x:f>
        <x:v>ELEC-005</x:v>
      </x:c>
      <x:c r="M2427" s="84" t="str">
        <x:f>IFERROR(VLOOKUP(L2427,'Reference Data'!$A$5:$F$40,2,FALSE),"Unknown Product")</x:f>
        <x:v>HD Webcam</x:v>
      </x:c>
      <x:c r="N2427" s="84" t="str">
        <x:f>IFERROR(VLOOKUP(L2427,'Reference Data'!$A$5:$F$40,3,FALSE),"Unknown")</x:f>
        <x:v>Electronics</x:v>
      </x:c>
      <x:c r="O2427" s="84" t="str">
        <x:f>IFERROR(VLOOKUP(L2427,'Reference Data'!$A$5:$F$40,4,FALSE),"Unknown")</x:f>
        <x:v>Computer Accessories</x:v>
      </x:c>
      <x:c r="P2427" s="92" t="n">
        <x:f>IFERROR(VLOOKUP(L2427,'Reference Data'!$A$5:$F$40,5,FALSE),0)</x:f>
        <x:v>79</x:v>
      </x:c>
      <x:c r="Q2427" s="92" t="n">
        <x:f>IFERROR(VLOOKUP(L2427,'Reference Data'!$A$5:$F$40,6,FALSE),0)</x:f>
        <x:v>37</x:v>
      </x:c>
      <x:c r="R2427" s="84" t="n">
        <x:f>'Raw Sales'!J2427</x:f>
        <x:v>2</x:v>
      </x:c>
      <x:c r="S2427" s="87" t="n">
        <x:f>'Raw Sales'!K2427</x:f>
        <x:v>0.15</x:v>
      </x:c>
      <x:c r="T2427" s="93" t="n">
        <x:f>P2427*R2427</x:f>
        <x:v>158</x:v>
      </x:c>
      <x:c r="U2427" s="93" t="n">
        <x:f>T2427*S2427</x:f>
        <x:v>23.7</x:v>
      </x:c>
      <x:c r="V2427" s="93" t="str">
        <x:f>PROPER(TRIM('Raw Sales'!L2427))</x:f>
        <x:v>Completed</x:v>
      </x:c>
      <x:c r="W2427" s="93" t="n">
        <x:f>IF(V2427="Returned",0,T2427-U2427)</x:f>
        <x:v>134.3</x:v>
      </x:c>
      <x:c r="X2427" s="93" t="n">
        <x:f>IF(V2427="Returned",Q2427*R2427*10%,Q2427*R2427)</x:f>
        <x:v>74</x:v>
      </x:c>
      <x:c r="Y2427" s="93" t="n">
        <x:f>W2427-X2427</x:f>
        <x:v>60.30000000000001</x:v>
      </x:c>
      <x:c r="Z2427" s="94" t="n">
        <x:f>IFERROR(Y2427/W2427,0)</x:f>
        <x:v>0.4489947877885332</x:v>
      </x:c>
      <x:c r="AA2427" s="84" t="str">
        <x:f>PROPER(TRIM('Raw Sales'!M2427))</x:f>
        <x:v>Credit Card</x:v>
      </x:c>
      <x:c r="AB2427" s="84" t="str">
        <x:f>PROPER(TRIM('Raw Sales'!N2427))</x:f>
        <x:v>Sofia Bennett</x:v>
      </x:c>
      <x:c r="AC2427" s="85" t="n">
        <x:f>'Raw Sales'!O2427</x:f>
        <x:v>46027</x:v>
      </x:c>
      <x:c r="AD2427" s="84" t="n">
        <x:f>AC2427-B2427</x:f>
        <x:v>5</x:v>
      </x:c>
      <x:c r="AE2427" s="84" t="str">
        <x:f>IF(COUNTIF($A$5:A2427,A2427)&gt;1,"Duplicate","Keep")</x:f>
        <x:v>Keep</x:v>
      </x:c>
      <x:c r="AF2427" s="84" t="str">
        <x:f>IF(OR(R2427&lt;=0,AC2427&lt;B2427,H2427="Unknown",M2427="Unknown Product"),"Review","Valid")</x:f>
        <x:v>Valid</x:v>
      </x:c>
      <x:c r="AG2427" s="84" t="n">
        <x:f>IF(AND(AE2427="Keep",AF2427="Valid"),1,0)</x:f>
        <x:v>1</x:v>
      </x:c>
      <x:c r="AH2427" s="84" t="n">
        <x:f>IF(AND(AG2427=1,OR('Dashboard'!$B$4="All",I2427='Dashboard'!$B$4),OR('Dashboard'!$E$4="All",N2427='Dashboard'!$E$4),OR('Dashboard'!$H$4="All",K2427='Dashboard'!$H$4),OR('Dashboard'!$K$4="All",C2427='Dashboard'!$K$4)),1,0)</x:f>
        <x:v>1</x:v>
      </x:c>
      <x:c r="AI2427" s="84" t="n">
        <x:f>IF(AND(AG2427=1,OR('Dashboard'!$B$4="All",I2427='Dashboard'!$B$4),OR('Dashboard'!$E$4="All",N2427='Dashboard'!$E$4),OR('Dashboard'!$H$4="All",K2427='Dashboard'!$H$4)),1,0)</x:f>
        <x:v>1</x:v>
      </x:c>
    </x:row>
    <x:row r="2428">
      <x:c r="A2428" s="84" t="str">
        <x:f>'Raw Sales'!A2428</x:f>
        <x:v>ORD-2025-01402</x:v>
      </x:c>
      <x:c r="B2428" s="85" t="n">
        <x:f>'Raw Sales'!B2428</x:f>
        <x:v>46022</x:v>
      </x:c>
      <x:c r="C2428" s="84" t="n">
        <x:f>YEAR(B2428)</x:f>
        <x:v>2025</x:v>
      </x:c>
      <x:c r="D2428" s="91" t="n">
        <x:f>DATE(YEAR(B2428),MONTH(B2428),1)</x:f>
        <x:v>45992</x:v>
      </x:c>
      <x:c r="E2428" s="84" t="str">
        <x:f>TEXT(B2428,"mmm")</x:f>
        <x:v>Dec</x:v>
      </x:c>
      <x:c r="F2428" s="84" t="str">
        <x:f>'Raw Sales'!C2428</x:f>
        <x:v>CUST-0365</x:v>
      </x:c>
      <x:c r="G2428" s="84" t="str">
        <x:f>PROPER(TRIM('Raw Sales'!D2428))</x:f>
        <x:v>Grace Johnson</x:v>
      </x:c>
      <x:c r="H2428" s="84" t="str">
        <x:f>IF(TRIM('Raw Sales'!E2428)="","Unknown",PROPER(TRIM('Raw Sales'!E2428)))</x:f>
        <x:v>Consumer</x:v>
      </x:c>
      <x:c r="I2428" s="84" t="str">
        <x:f>PROPER(TRIM('Raw Sales'!F2428))</x:f>
        <x:v>West</x:v>
      </x:c>
      <x:c r="J2428" s="84" t="str">
        <x:f>PROPER(TRIM('Raw Sales'!G2428))</x:f>
        <x:v>Los Angeles</x:v>
      </x:c>
      <x:c r="K2428" s="84" t="str">
        <x:f>PROPER(TRIM('Raw Sales'!H2428))</x:f>
        <x:v>Marketplace</x:v>
      </x:c>
      <x:c r="L2428" s="84" t="str">
        <x:f>'Raw Sales'!I2428</x:f>
        <x:v>HOME-001</x:v>
      </x:c>
      <x:c r="M2428" s="84" t="str">
        <x:f>IFERROR(VLOOKUP(L2428,'Reference Data'!$A$5:$F$40,2,FALSE),"Unknown Product")</x:f>
        <x:v>Air Fryer</x:v>
      </x:c>
      <x:c r="N2428" s="84" t="str">
        <x:f>IFERROR(VLOOKUP(L2428,'Reference Data'!$A$5:$F$40,3,FALSE),"Unknown")</x:f>
        <x:v>Home &amp; Kitchen</x:v>
      </x:c>
      <x:c r="O2428" s="84" t="str">
        <x:f>IFERROR(VLOOKUP(L2428,'Reference Data'!$A$5:$F$40,4,FALSE),"Unknown")</x:f>
        <x:v>Small Appliances</x:v>
      </x:c>
      <x:c r="P2428" s="92" t="n">
        <x:f>IFERROR(VLOOKUP(L2428,'Reference Data'!$A$5:$F$40,5,FALSE),0)</x:f>
        <x:v>119</x:v>
      </x:c>
      <x:c r="Q2428" s="92" t="n">
        <x:f>IFERROR(VLOOKUP(L2428,'Reference Data'!$A$5:$F$40,6,FALSE),0)</x:f>
        <x:v>68</x:v>
      </x:c>
      <x:c r="R2428" s="84" t="n">
        <x:f>'Raw Sales'!J2428</x:f>
        <x:v>2</x:v>
      </x:c>
      <x:c r="S2428" s="87" t="n">
        <x:f>'Raw Sales'!K2428</x:f>
        <x:v>0.15</x:v>
      </x:c>
      <x:c r="T2428" s="93" t="n">
        <x:f>P2428*R2428</x:f>
        <x:v>238</x:v>
      </x:c>
      <x:c r="U2428" s="93" t="n">
        <x:f>T2428*S2428</x:f>
        <x:v>35.699999999999996</x:v>
      </x:c>
      <x:c r="V2428" s="93" t="str">
        <x:f>PROPER(TRIM('Raw Sales'!L2428))</x:f>
        <x:v>Completed</x:v>
      </x:c>
      <x:c r="W2428" s="93" t="n">
        <x:f>IF(V2428="Returned",0,T2428-U2428)</x:f>
        <x:v>202.3</x:v>
      </x:c>
      <x:c r="X2428" s="93" t="n">
        <x:f>IF(V2428="Returned",Q2428*R2428*10%,Q2428*R2428)</x:f>
        <x:v>136</x:v>
      </x:c>
      <x:c r="Y2428" s="93" t="n">
        <x:f>W2428-X2428</x:f>
        <x:v>66.30000000000001</x:v>
      </x:c>
      <x:c r="Z2428" s="94" t="n">
        <x:f>IFERROR(Y2428/W2428,0)</x:f>
        <x:v>0.32773109243697485</x:v>
      </x:c>
      <x:c r="AA2428" s="84" t="str">
        <x:f>PROPER(TRIM('Raw Sales'!M2428))</x:f>
        <x:v>Paypal</x:v>
      </x:c>
      <x:c r="AB2428" s="84" t="str">
        <x:f>PROPER(TRIM('Raw Sales'!N2428))</x:f>
        <x:v>Mia Chen</x:v>
      </x:c>
      <x:c r="AC2428" s="85" t="n">
        <x:f>'Raw Sales'!O2428</x:f>
        <x:v>46029</x:v>
      </x:c>
      <x:c r="AD2428" s="84" t="n">
        <x:f>AC2428-B2428</x:f>
        <x:v>7</x:v>
      </x:c>
      <x:c r="AE2428" s="84" t="str">
        <x:f>IF(COUNTIF($A$5:A2428,A2428)&gt;1,"Duplicate","Keep")</x:f>
        <x:v>Keep</x:v>
      </x:c>
      <x:c r="AF2428" s="84" t="str">
        <x:f>IF(OR(R2428&lt;=0,AC2428&lt;B2428,H2428="Unknown",M2428="Unknown Product"),"Review","Valid")</x:f>
        <x:v>Valid</x:v>
      </x:c>
      <x:c r="AG2428" s="84" t="n">
        <x:f>IF(AND(AE2428="Keep",AF2428="Valid"),1,0)</x:f>
        <x:v>1</x:v>
      </x:c>
      <x:c r="AH2428" s="84" t="n">
        <x:f>IF(AND(AG2428=1,OR('Dashboard'!$B$4="All",I2428='Dashboard'!$B$4),OR('Dashboard'!$E$4="All",N2428='Dashboard'!$E$4),OR('Dashboard'!$H$4="All",K2428='Dashboard'!$H$4),OR('Dashboard'!$K$4="All",C2428='Dashboard'!$K$4)),1,0)</x:f>
        <x:v>1</x:v>
      </x:c>
      <x:c r="AI2428" s="84" t="n">
        <x:f>IF(AND(AG2428=1,OR('Dashboard'!$B$4="All",I2428='Dashboard'!$B$4),OR('Dashboard'!$E$4="All",N2428='Dashboard'!$E$4),OR('Dashboard'!$H$4="All",K2428='Dashboard'!$H$4)),1,0)</x:f>
        <x:v>1</x:v>
      </x:c>
    </x:row>
  </x:sheetData>
  <x:mergeCells>
    <x:mergeCell ref="A1:AI1"/>
    <x:mergeCell ref="A2:AI2"/>
  </x:mergeCells>
  <x:conditionalFormatting sqref="Y5:Y2428">
    <x:cfRule type="cellIs" dxfId="0" priority="1" operator="lessThan">
      <x:formula>0</x:formula>
    </x:cfRule>
  </x:conditionalFormatting>
  <x:conditionalFormatting sqref="Z5:Z2428">
    <x:cfRule type="colorScale" priority="2">
      <x:colorScale>
        <x:cfvo type="min"/>
        <x:cfvo type="percentile" val="50"/>
        <x:cfvo type="max"/>
        <x:color rgb="FFFECACA"/>
        <x:color rgb="FFFEF3C7"/>
        <x:color rgb="FFBBF7D0"/>
      </x:colorScale>
    </x:cfRule>
  </x:conditionalFormatting>
  <x:conditionalFormatting sqref="AE5:AE2428">
    <x:cfRule type="containsText" dxfId="1" priority="3" operator="containsText" text="Duplicate"/>
  </x:conditionalFormatting>
  <x:conditionalFormatting sqref="AF5:AF2428">
    <x:cfRule type="containsText" dxfId="2" priority="4" operator="containsText" text="Review"/>
  </x:conditionalFormatting>
  <x:pageMargins left="0.7" right="0.7" top="0.75" bottom="0.75" header="0.3" footer="0.3"/>
  <x:tableParts count="1">
    <x:tablePart xmlns:r="http://schemas.openxmlformats.org/officeDocument/2006/relationships" r:id="R7b38a47f919e41e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5" hidden="0" customWidth="1"/>
    <x:col min="3" max="3" width="22" hidden="0" customWidth="1"/>
    <x:col min="4" max="4" width="22" hidden="0" customWidth="1"/>
    <x:col min="5" max="5" width="14" hidden="0" customWidth="1"/>
    <x:col min="6" max="6" width="14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2" customHeight="1">
      <x:c r="A1" s="4" t="str">
        <x:v>Reference Data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6" customHeight="1">
      <x:c r="A2" s="8" t="str">
        <x:v>Product master used to standardize names, categories, prices and costs in Clean Sales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4" ht="30" customHeight="1">
      <x:c r="A4" s="69" t="str">
        <x:v>Product_ID</x:v>
      </x:c>
      <x:c r="B4" s="70" t="str">
        <x:v>Product_Name</x:v>
      </x:c>
      <x:c r="C4" s="70" t="str">
        <x:v>Category</x:v>
      </x:c>
      <x:c r="D4" s="70" t="str">
        <x:v>Subcategory</x:v>
      </x:c>
      <x:c r="E4" s="70" t="str">
        <x:v>List_Price</x:v>
      </x:c>
      <x:c r="F4" s="71" t="str">
        <x:v>Unit_Cost</x:v>
      </x:c>
      <x:c r="H4" s="69" t="str">
        <x:v>Regions</x:v>
      </x:c>
      <x:c r="I4" s="70" t="str">
        <x:v>Categories</x:v>
      </x:c>
      <x:c r="J4" s="70" t="str">
        <x:v>Channels</x:v>
      </x:c>
      <x:c r="K4" s="71" t="str">
        <x:v>Years</x:v>
      </x:c>
    </x:row>
    <x:row r="5">
      <x:c r="A5" s="75" t="str">
        <x:v>ELEC-001</x:v>
      </x:c>
      <x:c r="B5" s="75" t="str">
        <x:v>Wireless Earbuds</x:v>
      </x:c>
      <x:c r="C5" s="75" t="str">
        <x:v>Electronics</x:v>
      </x:c>
      <x:c r="D5" s="75" t="str">
        <x:v>Audio</x:v>
      </x:c>
      <x:c r="E5" s="76" t="n">
        <x:v>69</x:v>
      </x:c>
      <x:c r="F5" s="76" t="n">
        <x:v>36</x:v>
      </x:c>
      <x:c r="H5" t="str">
        <x:v>Northeast</x:v>
      </x:c>
      <x:c r="I5" t="str">
        <x:v>Electronics</x:v>
      </x:c>
      <x:c r="J5" t="str">
        <x:v>Online</x:v>
      </x:c>
      <x:c r="K5" t="n">
        <x:v>2024</x:v>
      </x:c>
    </x:row>
    <x:row r="6">
      <x:c r="A6" s="77" t="str">
        <x:v>ELEC-002</x:v>
      </x:c>
      <x:c r="B6" s="77" t="str">
        <x:v>Smartwatch</x:v>
      </x:c>
      <x:c r="C6" s="77" t="str">
        <x:v>Electronics</x:v>
      </x:c>
      <x:c r="D6" s="77" t="str">
        <x:v>Wearables</x:v>
      </x:c>
      <x:c r="E6" s="78" t="n">
        <x:v>159</x:v>
      </x:c>
      <x:c r="F6" s="78" t="n">
        <x:v>92</x:v>
      </x:c>
      <x:c r="H6" t="str">
        <x:v>Southeast</x:v>
      </x:c>
      <x:c r="I6" t="str">
        <x:v>Home &amp; Kitchen</x:v>
      </x:c>
      <x:c r="J6" t="str">
        <x:v>Retail Store</x:v>
      </x:c>
      <x:c r="K6" t="n">
        <x:v>2025</x:v>
      </x:c>
    </x:row>
    <x:row r="7">
      <x:c r="A7" s="77" t="str">
        <x:v>ELEC-003</x:v>
      </x:c>
      <x:c r="B7" s="77" t="str">
        <x:v>Bluetooth Speaker</x:v>
      </x:c>
      <x:c r="C7" s="77" t="str">
        <x:v>Electronics</x:v>
      </x:c>
      <x:c r="D7" s="77" t="str">
        <x:v>Audio</x:v>
      </x:c>
      <x:c r="E7" s="78" t="n">
        <x:v>89</x:v>
      </x:c>
      <x:c r="F7" s="78" t="n">
        <x:v>44</x:v>
      </x:c>
      <x:c r="H7" t="str">
        <x:v>Midwest</x:v>
      </x:c>
      <x:c r="I7" t="str">
        <x:v>Office</x:v>
      </x:c>
      <x:c r="J7" t="str">
        <x:v>Marketplace</x:v>
      </x:c>
      <x:c r="K7"/>
    </x:row>
    <x:row r="8">
      <x:c r="A8" s="77" t="str">
        <x:v>ELEC-004</x:v>
      </x:c>
      <x:c r="B8" s="77" t="str">
        <x:v>Power Bank</x:v>
      </x:c>
      <x:c r="C8" s="77" t="str">
        <x:v>Electronics</x:v>
      </x:c>
      <x:c r="D8" s="77" t="str">
        <x:v>Mobile Accessories</x:v>
      </x:c>
      <x:c r="E8" s="78" t="n">
        <x:v>39</x:v>
      </x:c>
      <x:c r="F8" s="78" t="n">
        <x:v>18</x:v>
      </x:c>
      <x:c r="H8" t="str">
        <x:v>West</x:v>
      </x:c>
      <x:c r="I8" t="str">
        <x:v>Fitness</x:v>
      </x:c>
      <x:c r="J8"/>
      <x:c r="K8"/>
    </x:row>
    <x:row r="9">
      <x:c r="A9" s="77" t="str">
        <x:v>ELEC-005</x:v>
      </x:c>
      <x:c r="B9" s="77" t="str">
        <x:v>HD Webcam</x:v>
      </x:c>
      <x:c r="C9" s="77" t="str">
        <x:v>Electronics</x:v>
      </x:c>
      <x:c r="D9" s="77" t="str">
        <x:v>Computer Accessories</x:v>
      </x:c>
      <x:c r="E9" s="78" t="n">
        <x:v>79</x:v>
      </x:c>
      <x:c r="F9" s="78" t="n">
        <x:v>37</x:v>
      </x:c>
      <x:c r="H9"/>
      <x:c r="I9" t="str">
        <x:v>Personal Care</x:v>
      </x:c>
      <x:c r="J9"/>
      <x:c r="K9"/>
    </x:row>
    <x:row r="10">
      <x:c r="A10" s="77" t="str">
        <x:v>ELEC-006</x:v>
      </x:c>
      <x:c r="B10" s="77" t="str">
        <x:v>Portable SSD</x:v>
      </x:c>
      <x:c r="C10" s="77" t="str">
        <x:v>Electronics</x:v>
      </x:c>
      <x:c r="D10" s="77" t="str">
        <x:v>Storage</x:v>
      </x:c>
      <x:c r="E10" s="78" t="n">
        <x:v>129</x:v>
      </x:c>
      <x:c r="F10" s="78" t="n">
        <x:v>75</x:v>
      </x:c>
      <x:c r="H10"/>
      <x:c r="I10" t="str">
        <x:v>Accessories</x:v>
      </x:c>
      <x:c r="J10"/>
      <x:c r="K10"/>
    </x:row>
    <x:row r="11">
      <x:c r="A11" s="77" t="str">
        <x:v>HOME-001</x:v>
      </x:c>
      <x:c r="B11" s="77" t="str">
        <x:v>Air Fryer</x:v>
      </x:c>
      <x:c r="C11" s="77" t="str">
        <x:v>Home &amp; Kitchen</x:v>
      </x:c>
      <x:c r="D11" s="77" t="str">
        <x:v>Small Appliances</x:v>
      </x:c>
      <x:c r="E11" s="78" t="n">
        <x:v>119</x:v>
      </x:c>
      <x:c r="F11" s="78" t="n">
        <x:v>68</x:v>
      </x:c>
    </x:row>
    <x:row r="12">
      <x:c r="A12" s="77" t="str">
        <x:v>HOME-002</x:v>
      </x:c>
      <x:c r="B12" s="77" t="str">
        <x:v>Electric Kettle</x:v>
      </x:c>
      <x:c r="C12" s="77" t="str">
        <x:v>Home &amp; Kitchen</x:v>
      </x:c>
      <x:c r="D12" s="77" t="str">
        <x:v>Small Appliances</x:v>
      </x:c>
      <x:c r="E12" s="78" t="n">
        <x:v>49</x:v>
      </x:c>
      <x:c r="F12" s="78" t="n">
        <x:v>23</x:v>
      </x:c>
    </x:row>
    <x:row r="13">
      <x:c r="A13" s="77" t="str">
        <x:v>HOME-003</x:v>
      </x:c>
      <x:c r="B13" s="77" t="str">
        <x:v>Countertop Blender</x:v>
      </x:c>
      <x:c r="C13" s="77" t="str">
        <x:v>Home &amp; Kitchen</x:v>
      </x:c>
      <x:c r="D13" s="77" t="str">
        <x:v>Small Appliances</x:v>
      </x:c>
      <x:c r="E13" s="78" t="n">
        <x:v>89</x:v>
      </x:c>
      <x:c r="F13" s="78" t="n">
        <x:v>46</x:v>
      </x:c>
    </x:row>
    <x:row r="14">
      <x:c r="A14" s="77" t="str">
        <x:v>HOME-004</x:v>
      </x:c>
      <x:c r="B14" s="77" t="str">
        <x:v>Coffee Maker</x:v>
      </x:c>
      <x:c r="C14" s="77" t="str">
        <x:v>Home &amp; Kitchen</x:v>
      </x:c>
      <x:c r="D14" s="77" t="str">
        <x:v>Small Appliances</x:v>
      </x:c>
      <x:c r="E14" s="78" t="n">
        <x:v>99</x:v>
      </x:c>
      <x:c r="F14" s="78" t="n">
        <x:v>51</x:v>
      </x:c>
    </x:row>
    <x:row r="15">
      <x:c r="A15" s="77" t="str">
        <x:v>HOME-005</x:v>
      </x:c>
      <x:c r="B15" s="77" t="str">
        <x:v>Cordless Vacuum</x:v>
      </x:c>
      <x:c r="C15" s="77" t="str">
        <x:v>Home &amp; Kitchen</x:v>
      </x:c>
      <x:c r="D15" s="77" t="str">
        <x:v>Cleaning</x:v>
      </x:c>
      <x:c r="E15" s="78" t="n">
        <x:v>179</x:v>
      </x:c>
      <x:c r="F15" s="78" t="n">
        <x:v>102</x:v>
      </x:c>
    </x:row>
    <x:row r="16">
      <x:c r="A16" s="77" t="str">
        <x:v>HOME-006</x:v>
      </x:c>
      <x:c r="B16" s="77" t="str">
        <x:v>Food Storage Set</x:v>
      </x:c>
      <x:c r="C16" s="77" t="str">
        <x:v>Home &amp; Kitchen</x:v>
      </x:c>
      <x:c r="D16" s="77" t="str">
        <x:v>Kitchenware</x:v>
      </x:c>
      <x:c r="E16" s="78" t="n">
        <x:v>34</x:v>
      </x:c>
      <x:c r="F16" s="78" t="n">
        <x:v>15</x:v>
      </x:c>
    </x:row>
    <x:row r="17">
      <x:c r="A17" s="77" t="str">
        <x:v>OFFC-001</x:v>
      </x:c>
      <x:c r="B17" s="77" t="str">
        <x:v>Ergonomic Chair</x:v>
      </x:c>
      <x:c r="C17" s="77" t="str">
        <x:v>Office</x:v>
      </x:c>
      <x:c r="D17" s="77" t="str">
        <x:v>Furniture</x:v>
      </x:c>
      <x:c r="E17" s="78" t="n">
        <x:v>249</x:v>
      </x:c>
      <x:c r="F17" s="78" t="n">
        <x:v>145</x:v>
      </x:c>
    </x:row>
    <x:row r="18">
      <x:c r="A18" s="77" t="str">
        <x:v>OFFC-002</x:v>
      </x:c>
      <x:c r="B18" s="77" t="str">
        <x:v>Standing Desk</x:v>
      </x:c>
      <x:c r="C18" s="77" t="str">
        <x:v>Office</x:v>
      </x:c>
      <x:c r="D18" s="77" t="str">
        <x:v>Furniture</x:v>
      </x:c>
      <x:c r="E18" s="78" t="n">
        <x:v>399</x:v>
      </x:c>
      <x:c r="F18" s="78" t="n">
        <x:v>235</x:v>
      </x:c>
    </x:row>
    <x:row r="19">
      <x:c r="A19" s="77" t="str">
        <x:v>OFFC-003</x:v>
      </x:c>
      <x:c r="B19" s="77" t="str">
        <x:v>LED Desk Lamp</x:v>
      </x:c>
      <x:c r="C19" s="77" t="str">
        <x:v>Office</x:v>
      </x:c>
      <x:c r="D19" s="77" t="str">
        <x:v>Desk Accessories</x:v>
      </x:c>
      <x:c r="E19" s="78" t="n">
        <x:v>45</x:v>
      </x:c>
      <x:c r="F19" s="78" t="n">
        <x:v>20</x:v>
      </x:c>
    </x:row>
    <x:row r="20">
      <x:c r="A20" s="77" t="str">
        <x:v>OFFC-004</x:v>
      </x:c>
      <x:c r="B20" s="77" t="str">
        <x:v>Premium Notebook Pack</x:v>
      </x:c>
      <x:c r="C20" s="77" t="str">
        <x:v>Office</x:v>
      </x:c>
      <x:c r="D20" s="77" t="str">
        <x:v>Stationery</x:v>
      </x:c>
      <x:c r="E20" s="78" t="n">
        <x:v>18</x:v>
      </x:c>
      <x:c r="F20" s="78" t="n">
        <x:v>6.5</x:v>
      </x:c>
    </x:row>
    <x:row r="21">
      <x:c r="A21" s="77" t="str">
        <x:v>OFFC-005</x:v>
      </x:c>
      <x:c r="B21" s="77" t="str">
        <x:v>Wireless Keyboard</x:v>
      </x:c>
      <x:c r="C21" s="77" t="str">
        <x:v>Office</x:v>
      </x:c>
      <x:c r="D21" s="77" t="str">
        <x:v>Computer Accessories</x:v>
      </x:c>
      <x:c r="E21" s="78" t="n">
        <x:v>59</x:v>
      </x:c>
      <x:c r="F21" s="78" t="n">
        <x:v>28</x:v>
      </x:c>
    </x:row>
    <x:row r="22">
      <x:c r="A22" s="77" t="str">
        <x:v>OFFC-006</x:v>
      </x:c>
      <x:c r="B22" s="77" t="str">
        <x:v>Monitor Stand</x:v>
      </x:c>
      <x:c r="C22" s="77" t="str">
        <x:v>Office</x:v>
      </x:c>
      <x:c r="D22" s="77" t="str">
        <x:v>Desk Accessories</x:v>
      </x:c>
      <x:c r="E22" s="78" t="n">
        <x:v>49</x:v>
      </x:c>
      <x:c r="F22" s="78" t="n">
        <x:v>21</x:v>
      </x:c>
    </x:row>
    <x:row r="23">
      <x:c r="A23" s="77" t="str">
        <x:v>FITN-001</x:v>
      </x:c>
      <x:c r="B23" s="77" t="str">
        <x:v>Yoga Mat</x:v>
      </x:c>
      <x:c r="C23" s="77" t="str">
        <x:v>Fitness</x:v>
      </x:c>
      <x:c r="D23" s="77" t="str">
        <x:v>Yoga</x:v>
      </x:c>
      <x:c r="E23" s="78" t="n">
        <x:v>35</x:v>
      </x:c>
      <x:c r="F23" s="78" t="n">
        <x:v>13</x:v>
      </x:c>
    </x:row>
    <x:row r="24">
      <x:c r="A24" s="77" t="str">
        <x:v>FITN-002</x:v>
      </x:c>
      <x:c r="B24" s="77" t="str">
        <x:v>Adjustable Dumbbell Set</x:v>
      </x:c>
      <x:c r="C24" s="77" t="str">
        <x:v>Fitness</x:v>
      </x:c>
      <x:c r="D24" s="77" t="str">
        <x:v>Strength</x:v>
      </x:c>
      <x:c r="E24" s="78" t="n">
        <x:v>99</x:v>
      </x:c>
      <x:c r="F24" s="78" t="n">
        <x:v>57</x:v>
      </x:c>
    </x:row>
    <x:row r="25">
      <x:c r="A25" s="77" t="str">
        <x:v>FITN-003</x:v>
      </x:c>
      <x:c r="B25" s="77" t="str">
        <x:v>Resistance Band Set</x:v>
      </x:c>
      <x:c r="C25" s="77" t="str">
        <x:v>Fitness</x:v>
      </x:c>
      <x:c r="D25" s="77" t="str">
        <x:v>Strength</x:v>
      </x:c>
      <x:c r="E25" s="78" t="n">
        <x:v>24</x:v>
      </x:c>
      <x:c r="F25" s="78" t="n">
        <x:v>8</x:v>
      </x:c>
    </x:row>
    <x:row r="26">
      <x:c r="A26" s="77" t="str">
        <x:v>FITN-004</x:v>
      </x:c>
      <x:c r="B26" s="77" t="str">
        <x:v>Fitness Tracker</x:v>
      </x:c>
      <x:c r="C26" s="77" t="str">
        <x:v>Fitness</x:v>
      </x:c>
      <x:c r="D26" s="77" t="str">
        <x:v>Wearables</x:v>
      </x:c>
      <x:c r="E26" s="78" t="n">
        <x:v>89</x:v>
      </x:c>
      <x:c r="F26" s="78" t="n">
        <x:v>44</x:v>
      </x:c>
    </x:row>
    <x:row r="27">
      <x:c r="A27" s="77" t="str">
        <x:v>FITN-005</x:v>
      </x:c>
      <x:c r="B27" s="77" t="str">
        <x:v>Sports Water Bottle</x:v>
      </x:c>
      <x:c r="C27" s="77" t="str">
        <x:v>Fitness</x:v>
      </x:c>
      <x:c r="D27" s="77" t="str">
        <x:v>Accessories</x:v>
      </x:c>
      <x:c r="E27" s="78" t="n">
        <x:v>22</x:v>
      </x:c>
      <x:c r="F27" s="78" t="n">
        <x:v>7</x:v>
      </x:c>
    </x:row>
    <x:row r="28">
      <x:c r="A28" s="77" t="str">
        <x:v>FITN-006</x:v>
      </x:c>
      <x:c r="B28" s="77" t="str">
        <x:v>Foam Roller</x:v>
      </x:c>
      <x:c r="C28" s="77" t="str">
        <x:v>Fitness</x:v>
      </x:c>
      <x:c r="D28" s="77" t="str">
        <x:v>Recovery</x:v>
      </x:c>
      <x:c r="E28" s="78" t="n">
        <x:v>31</x:v>
      </x:c>
      <x:c r="F28" s="78" t="n">
        <x:v>12</x:v>
      </x:c>
    </x:row>
    <x:row r="29">
      <x:c r="A29" s="77" t="str">
        <x:v>CARE-001</x:v>
      </x:c>
      <x:c r="B29" s="77" t="str">
        <x:v>Ionic Hair Dryer</x:v>
      </x:c>
      <x:c r="C29" s="77" t="str">
        <x:v>Personal Care</x:v>
      </x:c>
      <x:c r="D29" s="77" t="str">
        <x:v>Hair Care</x:v>
      </x:c>
      <x:c r="E29" s="78" t="n">
        <x:v>54</x:v>
      </x:c>
      <x:c r="F29" s="78" t="n">
        <x:v>25</x:v>
      </x:c>
    </x:row>
    <x:row r="30">
      <x:c r="A30" s="77" t="str">
        <x:v>CARE-002</x:v>
      </x:c>
      <x:c r="B30" s="77" t="str">
        <x:v>Rechargeable Trimmer</x:v>
      </x:c>
      <x:c r="C30" s="77" t="str">
        <x:v>Personal Care</x:v>
      </x:c>
      <x:c r="D30" s="77" t="str">
        <x:v>Grooming</x:v>
      </x:c>
      <x:c r="E30" s="78" t="n">
        <x:v>45</x:v>
      </x:c>
      <x:c r="F30" s="78" t="n">
        <x:v>19</x:v>
      </x:c>
    </x:row>
    <x:row r="31">
      <x:c r="A31" s="77" t="str">
        <x:v>CARE-003</x:v>
      </x:c>
      <x:c r="B31" s="77" t="str">
        <x:v>Facial Cleanser</x:v>
      </x:c>
      <x:c r="C31" s="77" t="str">
        <x:v>Personal Care</x:v>
      </x:c>
      <x:c r="D31" s="77" t="str">
        <x:v>Skin Care</x:v>
      </x:c>
      <x:c r="E31" s="78" t="n">
        <x:v>18</x:v>
      </x:c>
      <x:c r="F31" s="78" t="n">
        <x:v>6</x:v>
      </x:c>
    </x:row>
    <x:row r="32">
      <x:c r="A32" s="77" t="str">
        <x:v>CARE-004</x:v>
      </x:c>
      <x:c r="B32" s="77" t="str">
        <x:v>Electric Toothbrush</x:v>
      </x:c>
      <x:c r="C32" s="77" t="str">
        <x:v>Personal Care</x:v>
      </x:c>
      <x:c r="D32" s="77" t="str">
        <x:v>Oral Care</x:v>
      </x:c>
      <x:c r="E32" s="78" t="n">
        <x:v>69</x:v>
      </x:c>
      <x:c r="F32" s="78" t="n">
        <x:v>31</x:v>
      </x:c>
    </x:row>
    <x:row r="33">
      <x:c r="A33" s="77" t="str">
        <x:v>CARE-005</x:v>
      </x:c>
      <x:c r="B33" s="77" t="str">
        <x:v>Skin Care Starter Kit</x:v>
      </x:c>
      <x:c r="C33" s="77" t="str">
        <x:v>Personal Care</x:v>
      </x:c>
      <x:c r="D33" s="77" t="str">
        <x:v>Skin Care</x:v>
      </x:c>
      <x:c r="E33" s="78" t="n">
        <x:v>58</x:v>
      </x:c>
      <x:c r="F33" s="78" t="n">
        <x:v>24</x:v>
      </x:c>
    </x:row>
    <x:row r="34">
      <x:c r="A34" s="77" t="str">
        <x:v>CARE-006</x:v>
      </x:c>
      <x:c r="B34" s="77" t="str">
        <x:v>Percussion Massage Gun</x:v>
      </x:c>
      <x:c r="C34" s="77" t="str">
        <x:v>Personal Care</x:v>
      </x:c>
      <x:c r="D34" s="77" t="str">
        <x:v>Wellness</x:v>
      </x:c>
      <x:c r="E34" s="78" t="n">
        <x:v>129</x:v>
      </x:c>
      <x:c r="F34" s="78" t="n">
        <x:v>70</x:v>
      </x:c>
    </x:row>
    <x:row r="35">
      <x:c r="A35" s="77" t="str">
        <x:v>ACCS-001</x:v>
      </x:c>
      <x:c r="B35" s="77" t="str">
        <x:v>Canvas Tote Bag</x:v>
      </x:c>
      <x:c r="C35" s="77" t="str">
        <x:v>Accessories</x:v>
      </x:c>
      <x:c r="D35" s="77" t="str">
        <x:v>Bags</x:v>
      </x:c>
      <x:c r="E35" s="78" t="n">
        <x:v>39</x:v>
      </x:c>
      <x:c r="F35" s="78" t="n">
        <x:v>14</x:v>
      </x:c>
    </x:row>
    <x:row r="36">
      <x:c r="A36" s="77" t="str">
        <x:v>ACCS-002</x:v>
      </x:c>
      <x:c r="B36" s="77" t="str">
        <x:v>Travel Backpack</x:v>
      </x:c>
      <x:c r="C36" s="77" t="str">
        <x:v>Accessories</x:v>
      </x:c>
      <x:c r="D36" s="77" t="str">
        <x:v>Bags</x:v>
      </x:c>
      <x:c r="E36" s="78" t="n">
        <x:v>89</x:v>
      </x:c>
      <x:c r="F36" s="78" t="n">
        <x:v>36</x:v>
      </x:c>
    </x:row>
    <x:row r="37">
      <x:c r="A37" s="77" t="str">
        <x:v>ACCS-003</x:v>
      </x:c>
      <x:c r="B37" s="77" t="str">
        <x:v>Polarized Sunglasses</x:v>
      </x:c>
      <x:c r="C37" s="77" t="str">
        <x:v>Accessories</x:v>
      </x:c>
      <x:c r="D37" s="77" t="str">
        <x:v>Eyewear</x:v>
      </x:c>
      <x:c r="E37" s="78" t="n">
        <x:v>59</x:v>
      </x:c>
      <x:c r="F37" s="78" t="n">
        <x:v>17</x:v>
      </x:c>
    </x:row>
    <x:row r="38">
      <x:c r="A38" s="77" t="str">
        <x:v>ACCS-004</x:v>
      </x:c>
      <x:c r="B38" s="77" t="str">
        <x:v>Leather Wallet</x:v>
      </x:c>
      <x:c r="C38" s="77" t="str">
        <x:v>Accessories</x:v>
      </x:c>
      <x:c r="D38" s="77" t="str">
        <x:v>Wallets</x:v>
      </x:c>
      <x:c r="E38" s="78" t="n">
        <x:v>49</x:v>
      </x:c>
      <x:c r="F38" s="78" t="n">
        <x:v>18</x:v>
      </x:c>
    </x:row>
    <x:row r="39">
      <x:c r="A39" s="77" t="str">
        <x:v>ACCS-005</x:v>
      </x:c>
      <x:c r="B39" s="77" t="str">
        <x:v>Protective Phone Case</x:v>
      </x:c>
      <x:c r="C39" s="77" t="str">
        <x:v>Accessories</x:v>
      </x:c>
      <x:c r="D39" s="77" t="str">
        <x:v>Mobile Accessories</x:v>
      </x:c>
      <x:c r="E39" s="78" t="n">
        <x:v>24</x:v>
      </x:c>
      <x:c r="F39" s="78" t="n">
        <x:v>5</x:v>
      </x:c>
    </x:row>
    <x:row r="40">
      <x:c r="A40" s="79" t="str">
        <x:v>ACCS-006</x:v>
      </x:c>
      <x:c r="B40" s="79" t="str">
        <x:v>Insulated Lunch Bag</x:v>
      </x:c>
      <x:c r="C40" s="79" t="str">
        <x:v>Accessories</x:v>
      </x:c>
      <x:c r="D40" s="79" t="str">
        <x:v>Bags</x:v>
      </x:c>
      <x:c r="E40" s="80" t="n">
        <x:v>29</x:v>
      </x:c>
      <x:c r="F40" s="80" t="n">
        <x:v>10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f0f257ae02a54b1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customHeight="1">
      <x:c r="A1" s="4" t="str">
        <x:v>Monthly Analysis</x:v>
      </x:c>
      <x:c r="B1" s="4"/>
      <x:c r="C1" s="4"/>
      <x:c r="D1" s="4"/>
      <x:c r="E1" s="4"/>
      <x:c r="F1" s="4"/>
    </x:row>
    <x:row r="2" ht="26" customHeight="1">
      <x:c r="A2" s="8" t="str">
        <x:v>Formula-driven monthly trend; responds to Dashboard selectors</x:v>
      </x:c>
      <x:c r="B2" s="8"/>
      <x:c r="C2" s="8"/>
      <x:c r="D2" s="8"/>
      <x:c r="E2" s="8"/>
      <x:c r="F2" s="8"/>
    </x:row>
    <x:row r="4" ht="30" customHeight="1">
      <x:c r="A4" s="69" t="str">
        <x:v>Month_Start</x:v>
      </x:c>
      <x:c r="B4" s="70" t="str">
        <x:v>Month</x:v>
      </x:c>
      <x:c r="C4" s="70" t="str">
        <x:v>Net_Revenue</x:v>
      </x:c>
      <x:c r="D4" s="70" t="str">
        <x:v>Profit</x:v>
      </x:c>
      <x:c r="E4" s="70" t="str">
        <x:v>Transactions</x:v>
      </x:c>
      <x:c r="F4" s="71" t="str">
        <x:v>Profit_Margin</x:v>
      </x:c>
      <x:c r="G4" s="292"/>
      <x:c r="H4" s="292"/>
      <x:c r="I4" s="292"/>
      <x:c r="J4" s="292"/>
      <x:c r="K4" s="292"/>
      <x:c r="L4" s="292"/>
      <x:c r="M4" s="292"/>
      <x:c r="N4" s="292"/>
      <x:c r="O4" s="292"/>
      <x:c r="P4" s="292"/>
      <x:c r="Q4" s="292"/>
      <x:c r="R4" s="292"/>
      <x:c r="S4" s="292"/>
      <x:c r="T4" s="292"/>
      <x:c r="U4" s="292"/>
      <x:c r="V4" s="292"/>
      <x:c r="W4" s="292"/>
      <x:c r="X4" s="292"/>
      <x:c r="Y4" s="292"/>
      <x:c r="Z4" s="292"/>
    </x:row>
    <x:row r="5">
      <x:c r="A5" s="293" t="n">
        <x:v>45292</x:v>
      </x:c>
      <x:c r="B5" s="294" t="str">
        <x:v>Jan 24</x:v>
      </x:c>
      <x:c r="C5" s="295" t="n">
        <x:f>SUMIFS('Clean Sales'!$W$5:$W$2428,'Clean Sales'!$AH$5:$AH$2428,1,'Clean Sales'!$D$5:$D$2428,A5)</x:f>
        <x:v>10001.150000000003</x:v>
      </x:c>
      <x:c r="D5" s="295" t="n">
        <x:f>SUMIFS('Clean Sales'!$Y$5:$Y$2428,'Clean Sales'!$AH$5:$AH$2428,1,'Clean Sales'!$D$5:$D$2428,A5)</x:f>
        <x:v>4303.35</x:v>
      </x:c>
      <x:c r="E5" s="296" t="n">
        <x:f>COUNTIFS('Clean Sales'!$AH$5:$AH$2428,1,'Clean Sales'!$D$5:$D$2428,A5)</x:f>
        <x:v>59</x:v>
      </x:c>
      <x:c r="F5" s="297" t="n">
        <x:f>IFERROR(D5/C5,0)</x:f>
        <x:v>0.4302855171655259</x:v>
      </x:c>
      <x:c r="G5" s="292"/>
      <x:c r="H5" s="292"/>
      <x:c r="I5" s="292"/>
      <x:c r="J5" s="292"/>
      <x:c r="K5" s="292"/>
      <x:c r="L5" s="292"/>
      <x:c r="M5" s="292"/>
      <x:c r="N5" s="292"/>
      <x:c r="O5" s="292"/>
      <x:c r="P5" s="292"/>
      <x:c r="Q5" s="292"/>
      <x:c r="R5" s="292"/>
      <x:c r="S5" s="292"/>
      <x:c r="T5" s="292"/>
      <x:c r="U5" s="292"/>
      <x:c r="V5" s="292"/>
      <x:c r="W5" s="292"/>
      <x:c r="X5" s="292"/>
      <x:c r="Y5" s="292"/>
      <x:c r="Z5" s="292"/>
    </x:row>
    <x:row r="6">
      <x:c r="A6" s="298" t="n">
        <x:v>45323</x:v>
      </x:c>
      <x:c r="B6" s="299" t="str">
        <x:v>Feb 24</x:v>
      </x:c>
      <x:c r="C6" s="300" t="n">
        <x:f>SUMIFS('Clean Sales'!$W$5:$W$2428,'Clean Sales'!$AH$5:$AH$2428,1,'Clean Sales'!$D$5:$D$2428,A6)</x:f>
        <x:v>9601.5</x:v>
      </x:c>
      <x:c r="D6" s="300" t="n">
        <x:f>SUMIFS('Clean Sales'!$Y$5:$Y$2428,'Clean Sales'!$AH$5:$AH$2428,1,'Clean Sales'!$D$5:$D$2428,A6)</x:f>
        <x:v>4379.2</x:v>
      </x:c>
      <x:c r="E6" s="301" t="n">
        <x:f>COUNTIFS('Clean Sales'!$AH$5:$AH$2428,1,'Clean Sales'!$D$5:$D$2428,A6)</x:f>
        <x:v>69</x:v>
      </x:c>
      <x:c r="F6" s="302" t="n">
        <x:f>IFERROR(D6/C6,0)</x:f>
        <x:v>0.4560954017601416</x:v>
      </x:c>
      <x:c r="G6" s="292"/>
      <x:c r="H6" s="292"/>
      <x:c r="I6" s="292"/>
      <x:c r="J6" s="292"/>
      <x:c r="K6" s="292"/>
      <x:c r="L6" s="292"/>
      <x:c r="M6" s="292"/>
      <x:c r="N6" s="292"/>
      <x:c r="O6" s="292"/>
      <x:c r="P6" s="292"/>
      <x:c r="Q6" s="292"/>
      <x:c r="R6" s="292"/>
      <x:c r="S6" s="292"/>
      <x:c r="T6" s="292"/>
      <x:c r="U6" s="292"/>
      <x:c r="V6" s="292"/>
      <x:c r="W6" s="292"/>
      <x:c r="X6" s="292"/>
      <x:c r="Y6" s="292"/>
      <x:c r="Z6" s="292"/>
    </x:row>
    <x:row r="7">
      <x:c r="A7" s="298" t="n">
        <x:v>45352</x:v>
      </x:c>
      <x:c r="B7" s="299" t="str">
        <x:v>Mar 24</x:v>
      </x:c>
      <x:c r="C7" s="300" t="n">
        <x:f>SUMIFS('Clean Sales'!$W$5:$W$2428,'Clean Sales'!$AH$5:$AH$2428,1,'Clean Sales'!$D$5:$D$2428,A7)</x:f>
        <x:v>11250.849999999999</x:v>
      </x:c>
      <x:c r="D7" s="300" t="n">
        <x:f>SUMIFS('Clean Sales'!$Y$5:$Y$2428,'Clean Sales'!$AH$5:$AH$2428,1,'Clean Sales'!$D$5:$D$2428,A7)</x:f>
        <x:v>5105.450000000001</x:v>
      </x:c>
      <x:c r="E7" s="301" t="n">
        <x:f>COUNTIFS('Clean Sales'!$AH$5:$AH$2428,1,'Clean Sales'!$D$5:$D$2428,A7)</x:f>
        <x:v>86</x:v>
      </x:c>
      <x:c r="F7" s="302" t="n">
        <x:f>IFERROR(D7/C7,0)</x:f>
        <x:v>0.4537834919139444</x:v>
      </x:c>
      <x:c r="G7" s="292"/>
      <x:c r="H7" s="292"/>
      <x:c r="I7" s="292"/>
      <x:c r="J7" s="292"/>
      <x:c r="K7" s="292"/>
      <x:c r="L7" s="292"/>
      <x:c r="M7" s="292"/>
      <x:c r="N7" s="292"/>
      <x:c r="O7" s="292"/>
      <x:c r="P7" s="292"/>
      <x:c r="Q7" s="292"/>
      <x:c r="R7" s="292"/>
      <x:c r="S7" s="292"/>
      <x:c r="T7" s="292"/>
      <x:c r="U7" s="292"/>
      <x:c r="V7" s="292"/>
      <x:c r="W7" s="292"/>
      <x:c r="X7" s="292"/>
      <x:c r="Y7" s="292"/>
      <x:c r="Z7" s="292"/>
    </x:row>
    <x:row r="8">
      <x:c r="A8" s="298" t="n">
        <x:v>45383</x:v>
      </x:c>
      <x:c r="B8" s="299" t="str">
        <x:v>Apr 24</x:v>
      </x:c>
      <x:c r="C8" s="300" t="n">
        <x:f>SUMIFS('Clean Sales'!$W$5:$W$2428,'Clean Sales'!$AH$5:$AH$2428,1,'Clean Sales'!$D$5:$D$2428,A8)</x:f>
        <x:v>11848.400000000001</x:v>
      </x:c>
      <x:c r="D8" s="300" t="n">
        <x:f>SUMIFS('Clean Sales'!$Y$5:$Y$2428,'Clean Sales'!$AH$5:$AH$2428,1,'Clean Sales'!$D$5:$D$2428,A8)</x:f>
        <x:v>4934.800000000002</x:v>
      </x:c>
      <x:c r="E8" s="301" t="n">
        <x:f>COUNTIFS('Clean Sales'!$AH$5:$AH$2428,1,'Clean Sales'!$D$5:$D$2428,A8)</x:f>
        <x:v>70</x:v>
      </x:c>
      <x:c r="F8" s="302" t="n">
        <x:f>IFERROR(D8/C8,0)</x:f>
        <x:v>0.41649505418453137</x:v>
      </x:c>
      <x:c r="G8" s="292"/>
      <x:c r="H8" s="292"/>
      <x:c r="I8" s="292"/>
      <x:c r="J8" s="292"/>
      <x:c r="K8" s="292"/>
      <x:c r="L8" s="292"/>
      <x:c r="M8" s="292"/>
      <x:c r="N8" s="292"/>
      <x:c r="O8" s="292"/>
      <x:c r="P8" s="292"/>
      <x:c r="Q8" s="292"/>
      <x:c r="R8" s="292"/>
      <x:c r="S8" s="292"/>
      <x:c r="T8" s="292"/>
      <x:c r="U8" s="292"/>
      <x:c r="V8" s="292"/>
      <x:c r="W8" s="292"/>
      <x:c r="X8" s="292"/>
      <x:c r="Y8" s="292"/>
      <x:c r="Z8" s="292"/>
    </x:row>
    <x:row r="9">
      <x:c r="A9" s="298" t="n">
        <x:v>45413</x:v>
      </x:c>
      <x:c r="B9" s="299" t="str">
        <x:v>May 24</x:v>
      </x:c>
      <x:c r="C9" s="300" t="n">
        <x:f>SUMIFS('Clean Sales'!$W$5:$W$2428,'Clean Sales'!$AH$5:$AH$2428,1,'Clean Sales'!$D$5:$D$2428,A9)</x:f>
        <x:v>10925.699999999999</x:v>
      </x:c>
      <x:c r="D9" s="300" t="n">
        <x:f>SUMIFS('Clean Sales'!$Y$5:$Y$2428,'Clean Sales'!$AH$5:$AH$2428,1,'Clean Sales'!$D$5:$D$2428,A9)</x:f>
        <x:v>4960.6</x:v>
      </x:c>
      <x:c r="E9" s="301" t="n">
        <x:f>COUNTIFS('Clean Sales'!$AH$5:$AH$2428,1,'Clean Sales'!$D$5:$D$2428,A9)</x:f>
        <x:v>90</x:v>
      </x:c>
      <x:c r="F9" s="302" t="n">
        <x:f>IFERROR(D9/C9,0)</x:f>
        <x:v>0.4540304053744841</x:v>
      </x:c>
      <x:c r="G9" s="292"/>
      <x:c r="H9" s="292"/>
      <x:c r="I9" s="292"/>
      <x:c r="J9" s="292"/>
      <x:c r="K9" s="292"/>
      <x:c r="L9" s="292"/>
      <x:c r="M9" s="292"/>
      <x:c r="N9" s="292"/>
      <x:c r="O9" s="292"/>
      <x:c r="P9" s="292"/>
      <x:c r="Q9" s="292"/>
      <x:c r="R9" s="292"/>
      <x:c r="S9" s="292"/>
      <x:c r="T9" s="292"/>
      <x:c r="U9" s="292"/>
      <x:c r="V9" s="292"/>
      <x:c r="W9" s="292"/>
      <x:c r="X9" s="292"/>
      <x:c r="Y9" s="292"/>
      <x:c r="Z9" s="292"/>
    </x:row>
    <x:row r="10">
      <x:c r="A10" s="298" t="n">
        <x:v>45444</x:v>
      </x:c>
      <x:c r="B10" s="299" t="str">
        <x:v>Jun 24</x:v>
      </x:c>
      <x:c r="C10" s="300" t="n">
        <x:f>SUMIFS('Clean Sales'!$W$5:$W$2428,'Clean Sales'!$AH$5:$AH$2428,1,'Clean Sales'!$D$5:$D$2428,A10)</x:f>
        <x:v>16676.15</x:v>
      </x:c>
      <x:c r="D10" s="300" t="n">
        <x:f>SUMIFS('Clean Sales'!$Y$5:$Y$2428,'Clean Sales'!$AH$5:$AH$2428,1,'Clean Sales'!$D$5:$D$2428,A10)</x:f>
        <x:v>7550.050000000002</x:v>
      </x:c>
      <x:c r="E10" s="301" t="n">
        <x:f>COUNTIFS('Clean Sales'!$AH$5:$AH$2428,1,'Clean Sales'!$D$5:$D$2428,A10)</x:f>
        <x:v>96</x:v>
      </x:c>
      <x:c r="F10" s="302" t="n">
        <x:f>IFERROR(D10/C10,0)</x:f>
        <x:v>0.4527453878742996</x:v>
      </x:c>
      <x:c r="G10" s="292"/>
      <x:c r="H10" s="292"/>
      <x:c r="I10" s="292"/>
      <x:c r="J10" s="292"/>
      <x:c r="K10" s="292"/>
      <x:c r="L10" s="292"/>
      <x:c r="M10" s="292"/>
      <x:c r="N10" s="292"/>
      <x:c r="O10" s="292"/>
      <x:c r="P10" s="292"/>
      <x:c r="Q10" s="292"/>
      <x:c r="R10" s="292"/>
      <x:c r="S10" s="292"/>
      <x:c r="T10" s="292"/>
      <x:c r="U10" s="292"/>
      <x:c r="V10" s="292"/>
      <x:c r="W10" s="292"/>
      <x:c r="X10" s="292"/>
      <x:c r="Y10" s="292"/>
      <x:c r="Z10" s="292"/>
    </x:row>
    <x:row r="11">
      <x:c r="A11" s="298" t="n">
        <x:v>45474</x:v>
      </x:c>
      <x:c r="B11" s="299" t="str">
        <x:v>Jul 24</x:v>
      </x:c>
      <x:c r="C11" s="300" t="n">
        <x:f>SUMIFS('Clean Sales'!$W$5:$W$2428,'Clean Sales'!$AH$5:$AH$2428,1,'Clean Sales'!$D$5:$D$2428,A11)</x:f>
        <x:v>11548.800000000001</x:v>
      </x:c>
      <x:c r="D11" s="300" t="n">
        <x:f>SUMIFS('Clean Sales'!$Y$5:$Y$2428,'Clean Sales'!$AH$5:$AH$2428,1,'Clean Sales'!$D$5:$D$2428,A11)</x:f>
        <x:v>5277.200000000002</x:v>
      </x:c>
      <x:c r="E11" s="301" t="n">
        <x:f>COUNTIFS('Clean Sales'!$AH$5:$AH$2428,1,'Clean Sales'!$D$5:$D$2428,A11)</x:f>
        <x:v>74</x:v>
      </x:c>
      <x:c r="F11" s="302" t="n">
        <x:f>IFERROR(D11/C11,0)</x:f>
        <x:v>0.4569479080077585</x:v>
      </x:c>
      <x:c r="G11" s="292"/>
      <x:c r="H11" s="292"/>
      <x:c r="I11" s="292"/>
      <x:c r="J11" s="292"/>
      <x:c r="K11" s="292"/>
      <x:c r="L11" s="292"/>
      <x:c r="M11" s="292"/>
      <x:c r="N11" s="292"/>
      <x:c r="O11" s="292"/>
      <x:c r="P11" s="292"/>
      <x:c r="Q11" s="292"/>
      <x:c r="R11" s="292"/>
      <x:c r="S11" s="292"/>
      <x:c r="T11" s="292"/>
      <x:c r="U11" s="292"/>
      <x:c r="V11" s="292"/>
      <x:c r="W11" s="292"/>
      <x:c r="X11" s="292"/>
      <x:c r="Y11" s="292"/>
      <x:c r="Z11" s="292"/>
    </x:row>
    <x:row r="12">
      <x:c r="A12" s="298" t="n">
        <x:v>45505</x:v>
      </x:c>
      <x:c r="B12" s="299" t="str">
        <x:v>Aug 24</x:v>
      </x:c>
      <x:c r="C12" s="300" t="n">
        <x:f>SUMIFS('Clean Sales'!$W$5:$W$2428,'Clean Sales'!$AH$5:$AH$2428,1,'Clean Sales'!$D$5:$D$2428,A12)</x:f>
        <x:v>13914.500000000002</x:v>
      </x:c>
      <x:c r="D12" s="300" t="n">
        <x:f>SUMIFS('Clean Sales'!$Y$5:$Y$2428,'Clean Sales'!$AH$5:$AH$2428,1,'Clean Sales'!$D$5:$D$2428,A12)</x:f>
        <x:v>6479.9000000000015</x:v>
      </x:c>
      <x:c r="E12" s="301" t="n">
        <x:f>COUNTIFS('Clean Sales'!$AH$5:$AH$2428,1,'Clean Sales'!$D$5:$D$2428,A12)</x:f>
        <x:v>97</x:v>
      </x:c>
      <x:c r="F12" s="302" t="n">
        <x:f>IFERROR(D12/C12,0)</x:f>
        <x:v>0.4656940601530778</x:v>
      </x:c>
      <x:c r="G12" s="292"/>
      <x:c r="H12" s="292"/>
      <x:c r="I12" s="292"/>
      <x:c r="J12" s="292"/>
      <x:c r="K12" s="292"/>
      <x:c r="L12" s="292"/>
      <x:c r="M12" s="292"/>
      <x:c r="N12" s="292"/>
      <x:c r="O12" s="292"/>
      <x:c r="P12" s="292"/>
      <x:c r="Q12" s="292"/>
      <x:c r="R12" s="292"/>
      <x:c r="S12" s="292"/>
      <x:c r="T12" s="292"/>
      <x:c r="U12" s="292"/>
      <x:c r="V12" s="292"/>
      <x:c r="W12" s="292"/>
      <x:c r="X12" s="292"/>
      <x:c r="Y12" s="292"/>
      <x:c r="Z12" s="292"/>
    </x:row>
    <x:row r="13">
      <x:c r="A13" s="298" t="n">
        <x:v>45536</x:v>
      </x:c>
      <x:c r="B13" s="299" t="str">
        <x:v>Sep 24</x:v>
      </x:c>
      <x:c r="C13" s="300" t="n">
        <x:f>SUMIFS('Clean Sales'!$W$5:$W$2428,'Clean Sales'!$AH$5:$AH$2428,1,'Clean Sales'!$D$5:$D$2428,A13)</x:f>
        <x:v>13044.349999999999</x:v>
      </x:c>
      <x:c r="D13" s="300" t="n">
        <x:f>SUMIFS('Clean Sales'!$Y$5:$Y$2428,'Clean Sales'!$AH$5:$AH$2428,1,'Clean Sales'!$D$5:$D$2428,A13)</x:f>
        <x:v>5822.650000000002</x:v>
      </x:c>
      <x:c r="E13" s="301" t="n">
        <x:f>COUNTIFS('Clean Sales'!$AH$5:$AH$2428,1,'Clean Sales'!$D$5:$D$2428,A13)</x:f>
        <x:v>89</x:v>
      </x:c>
      <x:c r="F13" s="302" t="n">
        <x:f>IFERROR(D13/C13,0)</x:f>
        <x:v>0.4463733340488413</x:v>
      </x:c>
      <x:c r="G13" s="292"/>
      <x:c r="H13" s="292"/>
      <x:c r="I13" s="292"/>
      <x:c r="J13" s="292"/>
      <x:c r="K13" s="292"/>
      <x:c r="L13" s="292"/>
      <x:c r="M13" s="292"/>
      <x:c r="N13" s="292"/>
      <x:c r="O13" s="292"/>
      <x:c r="P13" s="292"/>
      <x:c r="Q13" s="292"/>
      <x:c r="R13" s="292"/>
      <x:c r="S13" s="292"/>
      <x:c r="T13" s="292"/>
      <x:c r="U13" s="292"/>
      <x:c r="V13" s="292"/>
      <x:c r="W13" s="292"/>
      <x:c r="X13" s="292"/>
      <x:c r="Y13" s="292"/>
      <x:c r="Z13" s="292"/>
    </x:row>
    <x:row r="14">
      <x:c r="A14" s="298" t="n">
        <x:v>45566</x:v>
      </x:c>
      <x:c r="B14" s="299" t="str">
        <x:v>Oct 24</x:v>
      </x:c>
      <x:c r="C14" s="300" t="n">
        <x:f>SUMIFS('Clean Sales'!$W$5:$W$2428,'Clean Sales'!$AH$5:$AH$2428,1,'Clean Sales'!$D$5:$D$2428,A14)</x:f>
        <x:v>14260.899999999998</x:v>
      </x:c>
      <x:c r="D14" s="300" t="n">
        <x:f>SUMIFS('Clean Sales'!$Y$5:$Y$2428,'Clean Sales'!$AH$5:$AH$2428,1,'Clean Sales'!$D$5:$D$2428,A14)</x:f>
        <x:v>6279.199999999999</x:v>
      </x:c>
      <x:c r="E14" s="301" t="n">
        <x:f>COUNTIFS('Clean Sales'!$AH$5:$AH$2428,1,'Clean Sales'!$D$5:$D$2428,A14)</x:f>
        <x:v>98</x:v>
      </x:c>
      <x:c r="F14" s="302" t="n">
        <x:f>IFERROR(D14/C14,0)</x:f>
        <x:v>0.4403088164141113</x:v>
      </x:c>
      <x:c r="G14" s="292"/>
      <x:c r="H14" s="292"/>
      <x:c r="I14" s="292"/>
      <x:c r="J14" s="292"/>
      <x:c r="K14" s="292"/>
      <x:c r="L14" s="292"/>
      <x:c r="M14" s="292"/>
      <x:c r="N14" s="292"/>
      <x:c r="O14" s="292"/>
      <x:c r="P14" s="292"/>
      <x:c r="Q14" s="292"/>
      <x:c r="R14" s="292"/>
      <x:c r="S14" s="292"/>
      <x:c r="T14" s="292"/>
      <x:c r="U14" s="292"/>
      <x:c r="V14" s="292"/>
      <x:c r="W14" s="292"/>
      <x:c r="X14" s="292"/>
      <x:c r="Y14" s="292"/>
      <x:c r="Z14" s="292"/>
    </x:row>
    <x:row r="15">
      <x:c r="A15" s="298" t="n">
        <x:v>45597</x:v>
      </x:c>
      <x:c r="B15" s="299" t="str">
        <x:v>Nov 24</x:v>
      </x:c>
      <x:c r="C15" s="300" t="n">
        <x:f>SUMIFS('Clean Sales'!$W$5:$W$2428,'Clean Sales'!$AH$5:$AH$2428,1,'Clean Sales'!$D$5:$D$2428,A15)</x:f>
        <x:v>17266.350000000006</x:v>
      </x:c>
      <x:c r="D15" s="300" t="n">
        <x:f>SUMIFS('Clean Sales'!$Y$5:$Y$2428,'Clean Sales'!$AH$5:$AH$2428,1,'Clean Sales'!$D$5:$D$2428,A15)</x:f>
        <x:v>7471.950000000001</x:v>
      </x:c>
      <x:c r="E15" s="301" t="n">
        <x:f>COUNTIFS('Clean Sales'!$AH$5:$AH$2428,1,'Clean Sales'!$D$5:$D$2428,A15)</x:f>
        <x:v>131</x:v>
      </x:c>
      <x:c r="F15" s="302" t="n">
        <x:f>IFERROR(D15/C15,0)</x:f>
        <x:v>0.43274635345628915</x:v>
      </x:c>
      <x:c r="G15" s="292"/>
      <x:c r="H15" s="292"/>
      <x:c r="I15" s="292"/>
      <x:c r="J15" s="292"/>
      <x:c r="K15" s="292"/>
      <x:c r="L15" s="292"/>
      <x:c r="M15" s="292"/>
      <x:c r="N15" s="292"/>
      <x:c r="O15" s="292"/>
      <x:c r="P15" s="292"/>
      <x:c r="Q15" s="292"/>
      <x:c r="R15" s="292"/>
      <x:c r="S15" s="292"/>
      <x:c r="T15" s="292"/>
      <x:c r="U15" s="292"/>
      <x:c r="V15" s="292"/>
      <x:c r="W15" s="292"/>
      <x:c r="X15" s="292"/>
      <x:c r="Y15" s="292"/>
      <x:c r="Z15" s="292"/>
    </x:row>
    <x:row r="16">
      <x:c r="A16" s="298" t="n">
        <x:v>45627</x:v>
      </x:c>
      <x:c r="B16" s="299" t="str">
        <x:v>Dec 24</x:v>
      </x:c>
      <x:c r="C16" s="300" t="n">
        <x:f>SUMIFS('Clean Sales'!$W$5:$W$2428,'Clean Sales'!$AH$5:$AH$2428,1,'Clean Sales'!$D$5:$D$2428,A16)</x:f>
        <x:v>20764.849999999995</x:v>
      </x:c>
      <x:c r="D16" s="300" t="n">
        <x:f>SUMIFS('Clean Sales'!$Y$5:$Y$2428,'Clean Sales'!$AH$5:$AH$2428,1,'Clean Sales'!$D$5:$D$2428,A16)</x:f>
        <x:v>9117.850000000002</x:v>
      </x:c>
      <x:c r="E16" s="301" t="n">
        <x:f>COUNTIFS('Clean Sales'!$AH$5:$AH$2428,1,'Clean Sales'!$D$5:$D$2428,A16)</x:f>
        <x:v>133</x:v>
      </x:c>
      <x:c r="F16" s="302" t="n">
        <x:f>IFERROR(D16/C16,0)</x:f>
        <x:v>0.4391002102110058</x:v>
      </x:c>
      <x:c r="G16" s="292"/>
      <x:c r="H16" s="292"/>
      <x:c r="I16" s="292"/>
      <x:c r="J16" s="292"/>
      <x:c r="K16" s="292"/>
      <x:c r="L16" s="292"/>
      <x:c r="M16" s="292"/>
      <x:c r="N16" s="292"/>
      <x:c r="O16" s="292"/>
      <x:c r="P16" s="292"/>
      <x:c r="Q16" s="292"/>
      <x:c r="R16" s="292"/>
      <x:c r="S16" s="292"/>
      <x:c r="T16" s="292"/>
      <x:c r="U16" s="292"/>
      <x:c r="V16" s="292"/>
      <x:c r="W16" s="292"/>
      <x:c r="X16" s="292"/>
      <x:c r="Y16" s="292"/>
      <x:c r="Z16" s="292"/>
    </x:row>
    <x:row r="17">
      <x:c r="A17" s="298" t="n">
        <x:v>45658</x:v>
      </x:c>
      <x:c r="B17" s="299" t="str">
        <x:v>Jan 25</x:v>
      </x:c>
      <x:c r="C17" s="300" t="n">
        <x:f>SUMIFS('Clean Sales'!$W$5:$W$2428,'Clean Sales'!$AH$5:$AH$2428,1,'Clean Sales'!$D$5:$D$2428,A17)</x:f>
        <x:v>12499.4</x:v>
      </x:c>
      <x:c r="D17" s="300" t="n">
        <x:f>SUMIFS('Clean Sales'!$Y$5:$Y$2428,'Clean Sales'!$AH$5:$AH$2428,1,'Clean Sales'!$D$5:$D$2428,A17)</x:f>
        <x:v>5405.5999999999985</x:v>
      </x:c>
      <x:c r="E17" s="301" t="n">
        <x:f>COUNTIFS('Clean Sales'!$AH$5:$AH$2428,1,'Clean Sales'!$D$5:$D$2428,A17)</x:f>
        <x:v>78</x:v>
      </x:c>
      <x:c r="F17" s="302" t="n">
        <x:f>IFERROR(D17/C17,0)</x:f>
        <x:v>0.4324687585004079</x:v>
      </x:c>
      <x:c r="G17" s="292"/>
      <x:c r="H17" s="292"/>
      <x:c r="I17" s="292"/>
      <x:c r="J17" s="292"/>
      <x:c r="K17" s="292"/>
      <x:c r="L17" s="292"/>
      <x:c r="M17" s="292"/>
      <x:c r="N17" s="292"/>
      <x:c r="O17" s="292"/>
      <x:c r="P17" s="292"/>
      <x:c r="Q17" s="292"/>
      <x:c r="R17" s="292"/>
      <x:c r="S17" s="292"/>
      <x:c r="T17" s="292"/>
      <x:c r="U17" s="292"/>
      <x:c r="V17" s="292"/>
      <x:c r="W17" s="292"/>
      <x:c r="X17" s="292"/>
      <x:c r="Y17" s="292"/>
      <x:c r="Z17" s="292"/>
    </x:row>
    <x:row r="18">
      <x:c r="A18" s="298" t="n">
        <x:v>45689</x:v>
      </x:c>
      <x:c r="B18" s="299" t="str">
        <x:v>Feb 25</x:v>
      </x:c>
      <x:c r="C18" s="300" t="n">
        <x:f>SUMIFS('Clean Sales'!$W$5:$W$2428,'Clean Sales'!$AH$5:$AH$2428,1,'Clean Sales'!$D$5:$D$2428,A18)</x:f>
        <x:v>12180.25</x:v>
      </x:c>
      <x:c r="D18" s="300" t="n">
        <x:f>SUMIFS('Clean Sales'!$Y$5:$Y$2428,'Clean Sales'!$AH$5:$AH$2428,1,'Clean Sales'!$D$5:$D$2428,A18)</x:f>
        <x:v>5736.6500000000015</x:v>
      </x:c>
      <x:c r="E18" s="301" t="n">
        <x:f>COUNTIFS('Clean Sales'!$AH$5:$AH$2428,1,'Clean Sales'!$D$5:$D$2428,A18)</x:f>
        <x:v>80</x:v>
      </x:c>
      <x:c r="F18" s="302" t="n">
        <x:f>IFERROR(D18/C18,0)</x:f>
        <x:v>0.47097965969499817</x:v>
      </x:c>
      <x:c r="G18" s="292"/>
      <x:c r="H18" s="292"/>
      <x:c r="I18" s="292"/>
      <x:c r="J18" s="292"/>
      <x:c r="K18" s="292"/>
      <x:c r="L18" s="292"/>
      <x:c r="M18" s="292"/>
      <x:c r="N18" s="292"/>
      <x:c r="O18" s="292"/>
      <x:c r="P18" s="292"/>
      <x:c r="Q18" s="292"/>
      <x:c r="R18" s="292"/>
      <x:c r="S18" s="292"/>
      <x:c r="T18" s="292"/>
      <x:c r="U18" s="292"/>
      <x:c r="V18" s="292"/>
      <x:c r="W18" s="292"/>
      <x:c r="X18" s="292"/>
      <x:c r="Y18" s="292"/>
      <x:c r="Z18" s="292"/>
    </x:row>
    <x:row r="19">
      <x:c r="A19" s="298" t="n">
        <x:v>45717</x:v>
      </x:c>
      <x:c r="B19" s="299" t="str">
        <x:v>Mar 25</x:v>
      </x:c>
      <x:c r="C19" s="300" t="n">
        <x:f>SUMIFS('Clean Sales'!$W$5:$W$2428,'Clean Sales'!$AH$5:$AH$2428,1,'Clean Sales'!$D$5:$D$2428,A19)</x:f>
        <x:v>11875.350000000002</x:v>
      </x:c>
      <x:c r="D19" s="300" t="n">
        <x:f>SUMIFS('Clean Sales'!$Y$5:$Y$2428,'Clean Sales'!$AH$5:$AH$2428,1,'Clean Sales'!$D$5:$D$2428,A19)</x:f>
        <x:v>5294.249999999997</x:v>
      </x:c>
      <x:c r="E19" s="301" t="n">
        <x:f>COUNTIFS('Clean Sales'!$AH$5:$AH$2428,1,'Clean Sales'!$D$5:$D$2428,A19)</x:f>
        <x:v>78</x:v>
      </x:c>
      <x:c r="F19" s="302" t="n">
        <x:f>IFERROR(D19/C19,0)</x:f>
        <x:v>0.44581843903548074</x:v>
      </x:c>
      <x:c r="G19" s="292"/>
      <x:c r="H19" s="292"/>
      <x:c r="I19" s="292"/>
      <x:c r="J19" s="292"/>
      <x:c r="K19" s="292"/>
      <x:c r="L19" s="292"/>
      <x:c r="M19" s="292"/>
      <x:c r="N19" s="292"/>
      <x:c r="O19" s="292"/>
      <x:c r="P19" s="292"/>
      <x:c r="Q19" s="292"/>
      <x:c r="R19" s="292"/>
      <x:c r="S19" s="292"/>
      <x:c r="T19" s="292"/>
      <x:c r="U19" s="292"/>
      <x:c r="V19" s="292"/>
      <x:c r="W19" s="292"/>
      <x:c r="X19" s="292"/>
      <x:c r="Y19" s="292"/>
      <x:c r="Z19" s="292"/>
    </x:row>
    <x:row r="20">
      <x:c r="A20" s="298" t="n">
        <x:v>45748</x:v>
      </x:c>
      <x:c r="B20" s="299" t="str">
        <x:v>Apr 25</x:v>
      </x:c>
      <x:c r="C20" s="300" t="n">
        <x:f>SUMIFS('Clean Sales'!$W$5:$W$2428,'Clean Sales'!$AH$5:$AH$2428,1,'Clean Sales'!$D$5:$D$2428,A20)</x:f>
        <x:v>13946.05</x:v>
      </x:c>
      <x:c r="D20" s="300" t="n">
        <x:f>SUMIFS('Clean Sales'!$Y$5:$Y$2428,'Clean Sales'!$AH$5:$AH$2428,1,'Clean Sales'!$D$5:$D$2428,A20)</x:f>
        <x:v>6219.250000000003</x:v>
      </x:c>
      <x:c r="E20" s="301" t="n">
        <x:f>COUNTIFS('Clean Sales'!$AH$5:$AH$2428,1,'Clean Sales'!$D$5:$D$2428,A20)</x:f>
        <x:v>88</x:v>
      </x:c>
      <x:c r="F20" s="302" t="n">
        <x:f>IFERROR(D20/C20,0)</x:f>
        <x:v>0.4459506455232846</x:v>
      </x:c>
      <x:c r="G20" s="292"/>
      <x:c r="H20" s="292"/>
      <x:c r="I20" s="292"/>
      <x:c r="J20" s="292"/>
      <x:c r="K20" s="292"/>
      <x:c r="L20" s="292"/>
      <x:c r="M20" s="292"/>
      <x:c r="N20" s="292"/>
      <x:c r="O20" s="292"/>
      <x:c r="P20" s="292"/>
      <x:c r="Q20" s="292"/>
      <x:c r="R20" s="292"/>
      <x:c r="S20" s="292"/>
      <x:c r="T20" s="292"/>
      <x:c r="U20" s="292"/>
      <x:c r="V20" s="292"/>
      <x:c r="W20" s="292"/>
      <x:c r="X20" s="292"/>
      <x:c r="Y20" s="292"/>
      <x:c r="Z20" s="292"/>
    </x:row>
    <x:row r="21">
      <x:c r="A21" s="298" t="n">
        <x:v>45778</x:v>
      </x:c>
      <x:c r="B21" s="299" t="str">
        <x:v>May 25</x:v>
      </x:c>
      <x:c r="C21" s="300" t="n">
        <x:f>SUMIFS('Clean Sales'!$W$5:$W$2428,'Clean Sales'!$AH$5:$AH$2428,1,'Clean Sales'!$D$5:$D$2428,A21)</x:f>
        <x:v>19526.799999999996</x:v>
      </x:c>
      <x:c r="D21" s="300" t="n">
        <x:f>SUMIFS('Clean Sales'!$Y$5:$Y$2428,'Clean Sales'!$AH$5:$AH$2428,1,'Clean Sales'!$D$5:$D$2428,A21)</x:f>
        <x:v>8508.800000000003</x:v>
      </x:c>
      <x:c r="E21" s="301" t="n">
        <x:f>COUNTIFS('Clean Sales'!$AH$5:$AH$2428,1,'Clean Sales'!$D$5:$D$2428,A21)</x:f>
        <x:v>99</x:v>
      </x:c>
      <x:c r="F21" s="302" t="n">
        <x:f>IFERROR(D21/C21,0)</x:f>
        <x:v>0.43574984124382926</x:v>
      </x:c>
      <x:c r="G21" s="292"/>
      <x:c r="H21" s="292"/>
      <x:c r="I21" s="292"/>
      <x:c r="J21" s="292"/>
      <x:c r="K21" s="292"/>
      <x:c r="L21" s="292"/>
      <x:c r="M21" s="292"/>
      <x:c r="N21" s="292"/>
      <x:c r="O21" s="292"/>
      <x:c r="P21" s="292"/>
      <x:c r="Q21" s="292"/>
      <x:c r="R21" s="292"/>
      <x:c r="S21" s="292"/>
      <x:c r="T21" s="292"/>
      <x:c r="U21" s="292"/>
      <x:c r="V21" s="292"/>
      <x:c r="W21" s="292"/>
      <x:c r="X21" s="292"/>
      <x:c r="Y21" s="292"/>
      <x:c r="Z21" s="292"/>
    </x:row>
    <x:row r="22">
      <x:c r="A22" s="298" t="n">
        <x:v>45809</x:v>
      </x:c>
      <x:c r="B22" s="299" t="str">
        <x:v>Jun 25</x:v>
      </x:c>
      <x:c r="C22" s="300" t="n">
        <x:f>SUMIFS('Clean Sales'!$W$5:$W$2428,'Clean Sales'!$AH$5:$AH$2428,1,'Clean Sales'!$D$5:$D$2428,A22)</x:f>
        <x:v>14944.499999999998</x:v>
      </x:c>
      <x:c r="D22" s="300" t="n">
        <x:f>SUMIFS('Clean Sales'!$Y$5:$Y$2428,'Clean Sales'!$AH$5:$AH$2428,1,'Clean Sales'!$D$5:$D$2428,A22)</x:f>
        <x:v>6822.950000000002</x:v>
      </x:c>
      <x:c r="E22" s="301" t="n">
        <x:f>COUNTIFS('Clean Sales'!$AH$5:$AH$2428,1,'Clean Sales'!$D$5:$D$2428,A22)</x:f>
        <x:v>99</x:v>
      </x:c>
      <x:c r="F22" s="302" t="n">
        <x:f>IFERROR(D22/C22,0)</x:f>
        <x:v>0.45655257787145787</x:v>
      </x:c>
      <x:c r="G22" s="292"/>
      <x:c r="H22" s="292"/>
      <x:c r="I22" s="292"/>
      <x:c r="J22" s="292"/>
      <x:c r="K22" s="292"/>
      <x:c r="L22" s="292"/>
      <x:c r="M22" s="292"/>
      <x:c r="N22" s="292"/>
      <x:c r="O22" s="292"/>
      <x:c r="P22" s="292"/>
      <x:c r="Q22" s="292"/>
      <x:c r="R22" s="292"/>
      <x:c r="S22" s="292"/>
      <x:c r="T22" s="292"/>
      <x:c r="U22" s="292"/>
      <x:c r="V22" s="292"/>
      <x:c r="W22" s="292"/>
      <x:c r="X22" s="292"/>
      <x:c r="Y22" s="292"/>
      <x:c r="Z22" s="292"/>
    </x:row>
    <x:row r="23">
      <x:c r="A23" s="298" t="n">
        <x:v>45839</x:v>
      </x:c>
      <x:c r="B23" s="299" t="str">
        <x:v>Jul 25</x:v>
      </x:c>
      <x:c r="C23" s="300" t="n">
        <x:f>SUMIFS('Clean Sales'!$W$5:$W$2428,'Clean Sales'!$AH$5:$AH$2428,1,'Clean Sales'!$D$5:$D$2428,A23)</x:f>
        <x:v>13608.949999999999</x:v>
      </x:c>
      <x:c r="D23" s="300" t="n">
        <x:f>SUMIFS('Clean Sales'!$Y$5:$Y$2428,'Clean Sales'!$AH$5:$AH$2428,1,'Clean Sales'!$D$5:$D$2428,A23)</x:f>
        <x:v>6252.85</x:v>
      </x:c>
      <x:c r="E23" s="301" t="n">
        <x:f>COUNTIFS('Clean Sales'!$AH$5:$AH$2428,1,'Clean Sales'!$D$5:$D$2428,A23)</x:f>
        <x:v>93</x:v>
      </x:c>
      <x:c r="F23" s="302" t="n">
        <x:f>IFERROR(D23/C23,0)</x:f>
        <x:v>0.4594660131751532</x:v>
      </x:c>
      <x:c r="G23" s="292"/>
      <x:c r="H23" s="292"/>
      <x:c r="I23" s="292"/>
      <x:c r="J23" s="292"/>
      <x:c r="K23" s="292"/>
      <x:c r="L23" s="292"/>
      <x:c r="M23" s="292"/>
      <x:c r="N23" s="292"/>
      <x:c r="O23" s="292"/>
      <x:c r="P23" s="292"/>
      <x:c r="Q23" s="292"/>
      <x:c r="R23" s="292"/>
      <x:c r="S23" s="292"/>
      <x:c r="T23" s="292"/>
      <x:c r="U23" s="292"/>
      <x:c r="V23" s="292"/>
      <x:c r="W23" s="292"/>
      <x:c r="X23" s="292"/>
      <x:c r="Y23" s="292"/>
      <x:c r="Z23" s="292"/>
    </x:row>
    <x:row r="24">
      <x:c r="A24" s="298" t="n">
        <x:v>45870</x:v>
      </x:c>
      <x:c r="B24" s="299" t="str">
        <x:v>Aug 25</x:v>
      </x:c>
      <x:c r="C24" s="300" t="n">
        <x:f>SUMIFS('Clean Sales'!$W$5:$W$2428,'Clean Sales'!$AH$5:$AH$2428,1,'Clean Sales'!$D$5:$D$2428,A24)</x:f>
        <x:v>19179.499999999996</x:v>
      </x:c>
      <x:c r="D24" s="300" t="n">
        <x:f>SUMIFS('Clean Sales'!$Y$5:$Y$2428,'Clean Sales'!$AH$5:$AH$2428,1,'Clean Sales'!$D$5:$D$2428,A24)</x:f>
        <x:v>8273.000000000002</x:v>
      </x:c>
      <x:c r="E24" s="301" t="n">
        <x:f>COUNTIFS('Clean Sales'!$AH$5:$AH$2428,1,'Clean Sales'!$D$5:$D$2428,A24)</x:f>
        <x:v>108</x:v>
      </x:c>
      <x:c r="F24" s="302" t="n">
        <x:f>IFERROR(D24/C24,0)</x:f>
        <x:v>0.4313459683516256</x:v>
      </x:c>
      <x:c r="G24" s="292"/>
      <x:c r="H24" s="292"/>
      <x:c r="I24" s="292"/>
      <x:c r="J24" s="292"/>
      <x:c r="K24" s="292"/>
      <x:c r="L24" s="292"/>
      <x:c r="M24" s="292"/>
      <x:c r="N24" s="292"/>
      <x:c r="O24" s="292"/>
      <x:c r="P24" s="292"/>
      <x:c r="Q24" s="292"/>
      <x:c r="R24" s="292"/>
      <x:c r="S24" s="292"/>
      <x:c r="T24" s="292"/>
      <x:c r="U24" s="292"/>
      <x:c r="V24" s="292"/>
      <x:c r="W24" s="292"/>
      <x:c r="X24" s="292"/>
      <x:c r="Y24" s="292"/>
      <x:c r="Z24" s="292"/>
    </x:row>
    <x:row r="25">
      <x:c r="A25" s="298" t="n">
        <x:v>45901</x:v>
      </x:c>
      <x:c r="B25" s="299" t="str">
        <x:v>Sep 25</x:v>
      </x:c>
      <x:c r="C25" s="300" t="n">
        <x:f>SUMIFS('Clean Sales'!$W$5:$W$2428,'Clean Sales'!$AH$5:$AH$2428,1,'Clean Sales'!$D$5:$D$2428,A25)</x:f>
        <x:v>16029.150000000001</x:v>
      </x:c>
      <x:c r="D25" s="300" t="n">
        <x:f>SUMIFS('Clean Sales'!$Y$5:$Y$2428,'Clean Sales'!$AH$5:$AH$2428,1,'Clean Sales'!$D$5:$D$2428,A25)</x:f>
        <x:v>7258.400000000005</x:v>
      </x:c>
      <x:c r="E25" s="301" t="n">
        <x:f>COUNTIFS('Clean Sales'!$AH$5:$AH$2428,1,'Clean Sales'!$D$5:$D$2428,A25)</x:f>
        <x:v>108</x:v>
      </x:c>
      <x:c r="F25" s="302" t="n">
        <x:f>IFERROR(D25/C25,0)</x:f>
        <x:v>0.4528250094359342</x:v>
      </x:c>
      <x:c r="G25" s="292"/>
      <x:c r="H25" s="292"/>
      <x:c r="I25" s="292"/>
      <x:c r="J25" s="292"/>
      <x:c r="K25" s="292"/>
      <x:c r="L25" s="292"/>
      <x:c r="M25" s="292"/>
      <x:c r="N25" s="292"/>
      <x:c r="O25" s="292"/>
      <x:c r="P25" s="292"/>
      <x:c r="Q25" s="292"/>
      <x:c r="R25" s="292"/>
      <x:c r="S25" s="292"/>
      <x:c r="T25" s="292"/>
      <x:c r="U25" s="292"/>
      <x:c r="V25" s="292"/>
      <x:c r="W25" s="292"/>
      <x:c r="X25" s="292"/>
      <x:c r="Y25" s="292"/>
      <x:c r="Z25" s="292"/>
    </x:row>
    <x:row r="26">
      <x:c r="A26" s="298" t="n">
        <x:v>45931</x:v>
      </x:c>
      <x:c r="B26" s="299" t="str">
        <x:v>Oct 25</x:v>
      </x:c>
      <x:c r="C26" s="300" t="n">
        <x:f>SUMIFS('Clean Sales'!$W$5:$W$2428,'Clean Sales'!$AH$5:$AH$2428,1,'Clean Sales'!$D$5:$D$2428,A26)</x:f>
        <x:v>14557.300000000001</x:v>
      </x:c>
      <x:c r="D26" s="300" t="n">
        <x:f>SUMIFS('Clean Sales'!$Y$5:$Y$2428,'Clean Sales'!$AH$5:$AH$2428,1,'Clean Sales'!$D$5:$D$2428,A26)</x:f>
        <x:v>6822.600000000002</x:v>
      </x:c>
      <x:c r="E26" s="301" t="n">
        <x:f>COUNTIFS('Clean Sales'!$AH$5:$AH$2428,1,'Clean Sales'!$D$5:$D$2428,A26)</x:f>
        <x:v>97</x:v>
      </x:c>
      <x:c r="F26" s="302" t="n">
        <x:f>IFERROR(D26/C26,0)</x:f>
        <x:v>0.4686720751787764</x:v>
      </x:c>
      <x:c r="G26" s="292"/>
      <x:c r="H26" s="292"/>
      <x:c r="I26" s="292"/>
      <x:c r="J26" s="292"/>
      <x:c r="K26" s="292"/>
      <x:c r="L26" s="292"/>
      <x:c r="M26" s="292"/>
      <x:c r="N26" s="292"/>
      <x:c r="O26" s="292"/>
      <x:c r="P26" s="292"/>
      <x:c r="Q26" s="292"/>
      <x:c r="R26" s="292"/>
      <x:c r="S26" s="292"/>
      <x:c r="T26" s="292"/>
      <x:c r="U26" s="292"/>
      <x:c r="V26" s="292"/>
      <x:c r="W26" s="292"/>
      <x:c r="X26" s="292"/>
      <x:c r="Y26" s="292"/>
      <x:c r="Z26" s="292"/>
    </x:row>
    <x:row r="27">
      <x:c r="A27" s="298" t="n">
        <x:v>45962</x:v>
      </x:c>
      <x:c r="B27" s="299" t="str">
        <x:v>Nov 25</x:v>
      </x:c>
      <x:c r="C27" s="300" t="n">
        <x:f>SUMIFS('Clean Sales'!$W$5:$W$2428,'Clean Sales'!$AH$5:$AH$2428,1,'Clean Sales'!$D$5:$D$2428,A27)</x:f>
        <x:v>25475.9</x:v>
      </x:c>
      <x:c r="D27" s="300" t="n">
        <x:f>SUMIFS('Clean Sales'!$Y$5:$Y$2428,'Clean Sales'!$AH$5:$AH$2428,1,'Clean Sales'!$D$5:$D$2428,A27)</x:f>
        <x:v>11056.7</x:v>
      </x:c>
      <x:c r="E27" s="301" t="n">
        <x:f>COUNTIFS('Clean Sales'!$AH$5:$AH$2428,1,'Clean Sales'!$D$5:$D$2428,A27)</x:f>
        <x:v>163</x:v>
      </x:c>
      <x:c r="F27" s="302" t="n">
        <x:f>IFERROR(D27/C27,0)</x:f>
        <x:v>0.4340062568937702</x:v>
      </x:c>
      <x:c r="G27" s="292"/>
      <x:c r="H27" s="292"/>
      <x:c r="I27" s="292"/>
      <x:c r="J27" s="292"/>
      <x:c r="K27" s="292"/>
      <x:c r="L27" s="292"/>
      <x:c r="M27" s="292"/>
      <x:c r="N27" s="292"/>
      <x:c r="O27" s="292"/>
      <x:c r="P27" s="292"/>
      <x:c r="Q27" s="292"/>
      <x:c r="R27" s="292"/>
      <x:c r="S27" s="292"/>
      <x:c r="T27" s="292"/>
      <x:c r="U27" s="292"/>
      <x:c r="V27" s="292"/>
      <x:c r="W27" s="292"/>
      <x:c r="X27" s="292"/>
      <x:c r="Y27" s="292"/>
      <x:c r="Z27" s="292"/>
    </x:row>
    <x:row r="28">
      <x:c r="A28" s="303" t="n">
        <x:v>45992</x:v>
      </x:c>
      <x:c r="B28" s="304" t="str">
        <x:v>Dec 25</x:v>
      </x:c>
      <x:c r="C28" s="305" t="n">
        <x:f>SUMIFS('Clean Sales'!$W$5:$W$2428,'Clean Sales'!$AH$5:$AH$2428,1,'Clean Sales'!$D$5:$D$2428,A28)</x:f>
        <x:v>25813.699999999983</x:v>
      </x:c>
      <x:c r="D28" s="305" t="n">
        <x:f>SUMIFS('Clean Sales'!$Y$5:$Y$2428,'Clean Sales'!$AH$5:$AH$2428,1,'Clean Sales'!$D$5:$D$2428,A28)</x:f>
        <x:v>10970.1</x:v>
      </x:c>
      <x:c r="E28" s="306" t="n">
        <x:f>COUNTIFS('Clean Sales'!$AH$5:$AH$2428,1,'Clean Sales'!$D$5:$D$2428,A28)</x:f>
        <x:v>168</x:v>
      </x:c>
      <x:c r="F28" s="307" t="n">
        <x:f>IFERROR(D28/C28,0)</x:f>
        <x:v>0.4249720109864145</x:v>
      </x:c>
      <x:c r="G28" s="292"/>
      <x:c r="H28" s="292"/>
      <x:c r="I28" s="292"/>
      <x:c r="J28" s="292"/>
      <x:c r="K28" s="292"/>
      <x:c r="L28" s="292"/>
      <x:c r="M28" s="292"/>
      <x:c r="N28" s="292"/>
      <x:c r="O28" s="292"/>
      <x:c r="P28" s="292"/>
      <x:c r="Q28" s="292"/>
      <x:c r="R28" s="292"/>
      <x:c r="S28" s="292"/>
      <x:c r="T28" s="292"/>
      <x:c r="U28" s="292"/>
      <x:c r="V28" s="292"/>
      <x:c r="W28" s="292"/>
      <x:c r="X28" s="292"/>
      <x:c r="Y28" s="292"/>
      <x:c r="Z28" s="292"/>
    </x:row>
    <x:row r="29">
      <x:c r="A29" s="292"/>
      <x:c r="B29" s="292"/>
      <x:c r="C29" s="292"/>
      <x:c r="D29" s="292"/>
      <x:c r="E29" s="292"/>
      <x:c r="F29" s="292"/>
      <x:c r="G29" s="292"/>
      <x:c r="H29" s="292"/>
      <x:c r="I29" s="292"/>
      <x:c r="J29" s="292"/>
      <x:c r="K29" s="292"/>
      <x:c r="L29" s="292"/>
      <x:c r="M29" s="292"/>
      <x:c r="N29" s="292"/>
      <x:c r="O29" s="292"/>
      <x:c r="P29" s="292"/>
      <x:c r="Q29" s="292"/>
      <x:c r="R29" s="292"/>
      <x:c r="S29" s="292"/>
      <x:c r="T29" s="292"/>
      <x:c r="U29" s="292"/>
      <x:c r="V29" s="292"/>
      <x:c r="W29" s="292"/>
      <x:c r="X29" s="292"/>
      <x:c r="Y29" s="292"/>
      <x:c r="Z29" s="292"/>
    </x:row>
    <x:row r="30">
      <x:c r="A30" s="292"/>
      <x:c r="B30" s="292"/>
      <x:c r="C30" s="292"/>
      <x:c r="D30" s="292"/>
      <x:c r="E30" s="292"/>
      <x:c r="F30" s="292"/>
      <x:c r="G30" s="292"/>
      <x:c r="H30" s="292"/>
      <x:c r="I30" s="292"/>
      <x:c r="J30" s="292"/>
      <x:c r="K30" s="292"/>
      <x:c r="L30" s="292"/>
      <x:c r="M30" s="292"/>
      <x:c r="N30" s="292"/>
      <x:c r="O30" s="292"/>
      <x:c r="P30" s="292"/>
      <x:c r="Q30" s="292"/>
      <x:c r="R30" s="292"/>
      <x:c r="S30" s="292"/>
      <x:c r="T30" s="292"/>
      <x:c r="U30" s="292"/>
      <x:c r="V30" s="292"/>
      <x:c r="W30" s="292"/>
      <x:c r="X30" s="292"/>
      <x:c r="Y30" s="292"/>
      <x:c r="Z30" s="292"/>
    </x:row>
    <x:row r="31">
      <x:c r="A31" s="292"/>
      <x:c r="B31" s="292"/>
      <x:c r="C31" s="292"/>
      <x:c r="D31" s="292"/>
      <x:c r="E31" s="292"/>
      <x:c r="F31" s="292"/>
      <x:c r="G31" s="292"/>
      <x:c r="H31" s="292"/>
      <x:c r="I31" s="292"/>
      <x:c r="J31" s="292"/>
      <x:c r="K31" s="292"/>
      <x:c r="L31" s="292"/>
      <x:c r="M31" s="292"/>
      <x:c r="N31" s="292"/>
      <x:c r="O31" s="292"/>
      <x:c r="P31" s="292"/>
      <x:c r="Q31" s="292"/>
      <x:c r="R31" s="292"/>
      <x:c r="S31" s="292"/>
      <x:c r="T31" s="292"/>
      <x:c r="U31" s="292"/>
      <x:c r="V31" s="292"/>
      <x:c r="W31" s="292"/>
      <x:c r="X31" s="292"/>
      <x:c r="Y31" s="292"/>
      <x:c r="Z31" s="292"/>
    </x:row>
    <x:row r="32">
      <x:c r="A32" s="292"/>
      <x:c r="B32" s="292"/>
      <x:c r="C32" s="292"/>
      <x:c r="D32" s="292"/>
      <x:c r="E32" s="292"/>
      <x:c r="F32" s="292"/>
      <x:c r="G32" s="292"/>
      <x:c r="H32" s="292"/>
      <x:c r="I32" s="292"/>
      <x:c r="J32" s="292"/>
      <x:c r="K32" s="292"/>
      <x:c r="L32" s="292"/>
      <x:c r="M32" s="292"/>
      <x:c r="N32" s="292"/>
      <x:c r="O32" s="292"/>
      <x:c r="P32" s="292"/>
      <x:c r="Q32" s="292"/>
      <x:c r="R32" s="292"/>
      <x:c r="S32" s="292"/>
      <x:c r="T32" s="292"/>
      <x:c r="U32" s="292"/>
      <x:c r="V32" s="292"/>
      <x:c r="W32" s="292"/>
      <x:c r="X32" s="292"/>
      <x:c r="Y32" s="292"/>
      <x:c r="Z32" s="292"/>
    </x:row>
    <x:row r="33">
      <x:c r="A33" s="292"/>
      <x:c r="B33" s="292"/>
      <x:c r="C33" s="292"/>
      <x:c r="D33" s="292"/>
      <x:c r="E33" s="292"/>
      <x:c r="F33" s="292"/>
      <x:c r="G33" s="292"/>
      <x:c r="H33" s="292"/>
      <x:c r="I33" s="292"/>
      <x:c r="J33" s="292"/>
      <x:c r="K33" s="292"/>
      <x:c r="L33" s="292"/>
      <x:c r="M33" s="292"/>
      <x:c r="N33" s="292"/>
      <x:c r="O33" s="292"/>
      <x:c r="P33" s="292"/>
      <x:c r="Q33" s="292"/>
      <x:c r="R33" s="292"/>
      <x:c r="S33" s="292"/>
      <x:c r="T33" s="292"/>
      <x:c r="U33" s="292"/>
      <x:c r="V33" s="292"/>
      <x:c r="W33" s="292"/>
      <x:c r="X33" s="292"/>
      <x:c r="Y33" s="292"/>
      <x:c r="Z33" s="292"/>
    </x:row>
    <x:row r="34">
      <x:c r="A34" s="292"/>
      <x:c r="B34" s="292"/>
      <x:c r="C34" s="292"/>
      <x:c r="D34" s="292"/>
      <x:c r="E34" s="292"/>
      <x:c r="F34" s="292"/>
      <x:c r="G34" s="292"/>
      <x:c r="H34" s="292"/>
      <x:c r="I34" s="292"/>
      <x:c r="J34" s="292"/>
      <x:c r="K34" s="292"/>
      <x:c r="L34" s="292"/>
      <x:c r="M34" s="292"/>
      <x:c r="N34" s="292"/>
      <x:c r="O34" s="292"/>
      <x:c r="P34" s="292"/>
      <x:c r="Q34" s="292"/>
      <x:c r="R34" s="292"/>
      <x:c r="S34" s="292"/>
      <x:c r="T34" s="292"/>
      <x:c r="U34" s="292"/>
      <x:c r="V34" s="292"/>
      <x:c r="W34" s="292"/>
      <x:c r="X34" s="292"/>
      <x:c r="Y34" s="292"/>
      <x:c r="Z34" s="292"/>
    </x:row>
    <x:row r="35">
      <x:c r="A35" s="292"/>
      <x:c r="B35" s="292"/>
      <x:c r="C35" s="292"/>
      <x:c r="D35" s="292"/>
      <x:c r="E35" s="292"/>
      <x:c r="F35" s="292"/>
      <x:c r="G35" s="292"/>
      <x:c r="H35" s="292"/>
      <x:c r="I35" s="292"/>
      <x:c r="J35" s="292"/>
      <x:c r="K35" s="292"/>
      <x:c r="L35" s="292"/>
      <x:c r="M35" s="292"/>
      <x:c r="N35" s="292"/>
      <x:c r="O35" s="292"/>
      <x:c r="P35" s="292"/>
      <x:c r="Q35" s="292"/>
      <x:c r="R35" s="292"/>
      <x:c r="S35" s="292"/>
      <x:c r="T35" s="292"/>
      <x:c r="U35" s="292"/>
      <x:c r="V35" s="292"/>
      <x:c r="W35" s="292"/>
      <x:c r="X35" s="292"/>
      <x:c r="Y35" s="292"/>
      <x:c r="Z35" s="292"/>
    </x:row>
    <x:row r="36">
      <x:c r="A36" s="292"/>
      <x:c r="B36" s="292"/>
      <x:c r="C36" s="292"/>
      <x:c r="D36" s="292"/>
      <x:c r="E36" s="292"/>
      <x:c r="F36" s="292"/>
      <x:c r="G36" s="292"/>
      <x:c r="H36" s="292"/>
      <x:c r="I36" s="292"/>
      <x:c r="J36" s="292"/>
      <x:c r="K36" s="292"/>
      <x:c r="L36" s="292"/>
      <x:c r="M36" s="292"/>
      <x:c r="N36" s="292"/>
      <x:c r="O36" s="292"/>
      <x:c r="P36" s="292"/>
      <x:c r="Q36" s="292"/>
      <x:c r="R36" s="292"/>
      <x:c r="S36" s="292"/>
      <x:c r="T36" s="292"/>
      <x:c r="U36" s="292"/>
      <x:c r="V36" s="292"/>
      <x:c r="W36" s="292"/>
      <x:c r="X36" s="292"/>
      <x:c r="Y36" s="292"/>
      <x:c r="Z36" s="292"/>
    </x:row>
    <x:row r="37">
      <x:c r="A37" s="292"/>
      <x:c r="B37" s="292"/>
      <x:c r="C37" s="292"/>
      <x:c r="D37" s="292"/>
      <x:c r="E37" s="292"/>
      <x:c r="F37" s="292"/>
      <x:c r="G37" s="292"/>
      <x:c r="H37" s="292"/>
      <x:c r="I37" s="292"/>
      <x:c r="J37" s="292"/>
      <x:c r="K37" s="292"/>
      <x:c r="L37" s="292"/>
      <x:c r="M37" s="292"/>
      <x:c r="N37" s="292"/>
      <x:c r="O37" s="292"/>
      <x:c r="P37" s="292"/>
      <x:c r="Q37" s="292"/>
      <x:c r="R37" s="292"/>
      <x:c r="S37" s="292"/>
      <x:c r="T37" s="292"/>
      <x:c r="U37" s="292"/>
      <x:c r="V37" s="292"/>
      <x:c r="W37" s="292"/>
      <x:c r="X37" s="292"/>
      <x:c r="Y37" s="292"/>
      <x:c r="Z37" s="292"/>
    </x:row>
    <x:row r="38">
      <x:c r="A38" s="292"/>
      <x:c r="B38" s="292"/>
      <x:c r="C38" s="292"/>
      <x:c r="D38" s="292"/>
      <x:c r="E38" s="292"/>
      <x:c r="F38" s="292"/>
      <x:c r="G38" s="292"/>
      <x:c r="H38" s="292"/>
      <x:c r="I38" s="292"/>
      <x:c r="J38" s="292"/>
      <x:c r="K38" s="292"/>
      <x:c r="L38" s="292"/>
      <x:c r="M38" s="292"/>
      <x:c r="N38" s="292"/>
      <x:c r="O38" s="292"/>
      <x:c r="P38" s="292"/>
      <x:c r="Q38" s="292"/>
      <x:c r="R38" s="292"/>
      <x:c r="S38" s="292"/>
      <x:c r="T38" s="292"/>
      <x:c r="U38" s="292"/>
      <x:c r="V38" s="292"/>
      <x:c r="W38" s="292"/>
      <x:c r="X38" s="292"/>
      <x:c r="Y38" s="292"/>
      <x:c r="Z38" s="292"/>
    </x:row>
    <x:row r="39">
      <x:c r="A39" s="292"/>
      <x:c r="B39" s="292"/>
      <x:c r="C39" s="292"/>
      <x:c r="D39" s="292"/>
      <x:c r="E39" s="292"/>
      <x:c r="F39" s="292"/>
      <x:c r="G39" s="292"/>
      <x:c r="H39" s="292"/>
      <x:c r="I39" s="292"/>
      <x:c r="J39" s="292"/>
      <x:c r="K39" s="292"/>
      <x:c r="L39" s="292"/>
      <x:c r="M39" s="292"/>
      <x:c r="N39" s="292"/>
      <x:c r="O39" s="292"/>
      <x:c r="P39" s="292"/>
      <x:c r="Q39" s="292"/>
      <x:c r="R39" s="292"/>
      <x:c r="S39" s="292"/>
      <x:c r="T39" s="292"/>
      <x:c r="U39" s="292"/>
      <x:c r="V39" s="292"/>
      <x:c r="W39" s="292"/>
      <x:c r="X39" s="292"/>
      <x:c r="Y39" s="292"/>
      <x:c r="Z39" s="292"/>
    </x:row>
    <x:row r="40">
      <x:c r="A40" s="292"/>
      <x:c r="B40" s="292"/>
      <x:c r="C40" s="292"/>
      <x:c r="D40" s="292"/>
      <x:c r="E40" s="292"/>
      <x:c r="F40" s="292"/>
      <x:c r="G40" s="292"/>
      <x:c r="H40" s="292"/>
      <x:c r="I40" s="292"/>
      <x:c r="J40" s="292"/>
      <x:c r="K40" s="292"/>
      <x:c r="L40" s="292"/>
      <x:c r="M40" s="292"/>
      <x:c r="N40" s="292"/>
      <x:c r="O40" s="292"/>
      <x:c r="P40" s="292"/>
      <x:c r="Q40" s="292"/>
      <x:c r="R40" s="292"/>
      <x:c r="S40" s="292"/>
      <x:c r="T40" s="292"/>
      <x:c r="U40" s="292"/>
      <x:c r="V40" s="292"/>
      <x:c r="W40" s="292"/>
      <x:c r="X40" s="292"/>
      <x:c r="Y40" s="292"/>
      <x:c r="Z40" s="292"/>
    </x:row>
    <x:row r="41">
      <x:c r="A41" s="292"/>
      <x:c r="B41" s="292"/>
      <x:c r="C41" s="292"/>
      <x:c r="D41" s="292"/>
      <x:c r="E41" s="292"/>
      <x:c r="F41" s="292"/>
      <x:c r="G41" s="292"/>
      <x:c r="H41" s="292"/>
      <x:c r="I41" s="292"/>
      <x:c r="J41" s="292"/>
      <x:c r="K41" s="292"/>
      <x:c r="L41" s="292"/>
      <x:c r="M41" s="292"/>
      <x:c r="N41" s="292"/>
      <x:c r="O41" s="292"/>
      <x:c r="P41" s="292"/>
      <x:c r="Q41" s="292"/>
      <x:c r="R41" s="292"/>
      <x:c r="S41" s="292"/>
      <x:c r="T41" s="292"/>
      <x:c r="U41" s="292"/>
      <x:c r="V41" s="292"/>
      <x:c r="W41" s="292"/>
      <x:c r="X41" s="292"/>
      <x:c r="Y41" s="292"/>
      <x:c r="Z41" s="292"/>
    </x:row>
    <x:row r="42">
      <x:c r="A42" s="292"/>
      <x:c r="B42" s="292"/>
      <x:c r="C42" s="292"/>
      <x:c r="D42" s="292"/>
      <x:c r="E42" s="292"/>
      <x:c r="F42" s="292"/>
      <x:c r="G42" s="292"/>
      <x:c r="H42" s="292"/>
      <x:c r="I42" s="292"/>
      <x:c r="J42" s="292"/>
      <x:c r="K42" s="292"/>
      <x:c r="L42" s="292"/>
      <x:c r="M42" s="292"/>
      <x:c r="N42" s="292"/>
      <x:c r="O42" s="292"/>
      <x:c r="P42" s="292"/>
      <x:c r="Q42" s="292"/>
      <x:c r="R42" s="292"/>
      <x:c r="S42" s="292"/>
      <x:c r="T42" s="292"/>
      <x:c r="U42" s="292"/>
      <x:c r="V42" s="292"/>
      <x:c r="W42" s="292"/>
      <x:c r="X42" s="292"/>
      <x:c r="Y42" s="292"/>
      <x:c r="Z42" s="292"/>
    </x:row>
    <x:row r="43">
      <x:c r="A43" s="292"/>
      <x:c r="B43" s="292"/>
      <x:c r="C43" s="292"/>
      <x:c r="D43" s="292"/>
      <x:c r="E43" s="292"/>
      <x:c r="F43" s="292"/>
      <x:c r="G43" s="292"/>
      <x:c r="H43" s="292"/>
      <x:c r="I43" s="292"/>
      <x:c r="J43" s="292"/>
      <x:c r="K43" s="292"/>
      <x:c r="L43" s="292"/>
      <x:c r="M43" s="292"/>
      <x:c r="N43" s="292"/>
      <x:c r="O43" s="292"/>
      <x:c r="P43" s="292"/>
      <x:c r="Q43" s="292"/>
      <x:c r="R43" s="292"/>
      <x:c r="S43" s="292"/>
      <x:c r="T43" s="292"/>
      <x:c r="U43" s="292"/>
      <x:c r="V43" s="292"/>
      <x:c r="W43" s="292"/>
      <x:c r="X43" s="292"/>
      <x:c r="Y43" s="292"/>
      <x:c r="Z43" s="292"/>
    </x:row>
    <x:row r="44">
      <x:c r="A44" s="292"/>
      <x:c r="B44" s="292"/>
      <x:c r="C44" s="292"/>
      <x:c r="D44" s="292"/>
      <x:c r="E44" s="292"/>
      <x:c r="F44" s="292"/>
      <x:c r="G44" s="292"/>
      <x:c r="H44" s="292"/>
      <x:c r="I44" s="292"/>
      <x:c r="J44" s="292"/>
      <x:c r="K44" s="292"/>
      <x:c r="L44" s="292"/>
      <x:c r="M44" s="292"/>
      <x:c r="N44" s="292"/>
      <x:c r="O44" s="292"/>
      <x:c r="P44" s="292"/>
      <x:c r="Q44" s="292"/>
      <x:c r="R44" s="292"/>
      <x:c r="S44" s="292"/>
      <x:c r="T44" s="292"/>
      <x:c r="U44" s="292"/>
      <x:c r="V44" s="292"/>
      <x:c r="W44" s="292"/>
      <x:c r="X44" s="292"/>
      <x:c r="Y44" s="292"/>
      <x:c r="Z44" s="292"/>
    </x:row>
    <x:row r="45">
      <x:c r="A45" s="292"/>
      <x:c r="B45" s="292"/>
      <x:c r="C45" s="292"/>
      <x:c r="D45" s="292"/>
      <x:c r="E45" s="292"/>
      <x:c r="F45" s="292"/>
      <x:c r="G45" s="292"/>
      <x:c r="H45" s="292"/>
      <x:c r="I45" s="292"/>
      <x:c r="J45" s="292"/>
      <x:c r="K45" s="292"/>
      <x:c r="L45" s="292"/>
      <x:c r="M45" s="292"/>
      <x:c r="N45" s="292"/>
      <x:c r="O45" s="292"/>
      <x:c r="P45" s="292"/>
      <x:c r="Q45" s="292"/>
      <x:c r="R45" s="292"/>
      <x:c r="S45" s="292"/>
      <x:c r="T45" s="292"/>
      <x:c r="U45" s="292"/>
      <x:c r="V45" s="292"/>
      <x:c r="W45" s="292"/>
      <x:c r="X45" s="292"/>
      <x:c r="Y45" s="292"/>
      <x:c r="Z45" s="292"/>
    </x:row>
    <x:row r="46">
      <x:c r="A46" s="292"/>
      <x:c r="B46" s="292"/>
      <x:c r="C46" s="292"/>
      <x:c r="D46" s="292"/>
      <x:c r="E46" s="292"/>
      <x:c r="F46" s="292"/>
      <x:c r="G46" s="292"/>
      <x:c r="H46" s="292"/>
      <x:c r="I46" s="292"/>
      <x:c r="J46" s="292"/>
      <x:c r="K46" s="292"/>
      <x:c r="L46" s="292"/>
      <x:c r="M46" s="292"/>
      <x:c r="N46" s="292"/>
      <x:c r="O46" s="292"/>
      <x:c r="P46" s="292"/>
      <x:c r="Q46" s="292"/>
      <x:c r="R46" s="292"/>
      <x:c r="S46" s="292"/>
      <x:c r="T46" s="292"/>
      <x:c r="U46" s="292"/>
      <x:c r="V46" s="292"/>
      <x:c r="W46" s="292"/>
      <x:c r="X46" s="292"/>
      <x:c r="Y46" s="292"/>
      <x:c r="Z46" s="292"/>
    </x:row>
    <x:row r="47">
      <x:c r="A47" s="292"/>
      <x:c r="B47" s="292"/>
      <x:c r="C47" s="292"/>
      <x:c r="D47" s="292"/>
      <x:c r="E47" s="292"/>
      <x:c r="F47" s="292"/>
      <x:c r="G47" s="292"/>
      <x:c r="H47" s="292"/>
      <x:c r="I47" s="292"/>
      <x:c r="J47" s="292"/>
      <x:c r="K47" s="292"/>
      <x:c r="L47" s="292"/>
      <x:c r="M47" s="292"/>
      <x:c r="N47" s="292"/>
      <x:c r="O47" s="292"/>
      <x:c r="P47" s="292"/>
      <x:c r="Q47" s="292"/>
      <x:c r="R47" s="292"/>
      <x:c r="S47" s="292"/>
      <x:c r="T47" s="292"/>
      <x:c r="U47" s="292"/>
      <x:c r="V47" s="292"/>
      <x:c r="W47" s="292"/>
      <x:c r="X47" s="292"/>
      <x:c r="Y47" s="292"/>
      <x:c r="Z47" s="292"/>
    </x:row>
    <x:row r="48">
      <x:c r="A48" s="292"/>
      <x:c r="B48" s="292"/>
      <x:c r="C48" s="292"/>
      <x:c r="D48" s="292"/>
      <x:c r="E48" s="292"/>
      <x:c r="F48" s="292"/>
      <x:c r="G48" s="292"/>
      <x:c r="H48" s="292"/>
      <x:c r="I48" s="292"/>
      <x:c r="J48" s="292"/>
      <x:c r="K48" s="292"/>
      <x:c r="L48" s="292"/>
      <x:c r="M48" s="292"/>
      <x:c r="N48" s="292"/>
      <x:c r="O48" s="292"/>
      <x:c r="P48" s="292"/>
      <x:c r="Q48" s="292"/>
      <x:c r="R48" s="292"/>
      <x:c r="S48" s="292"/>
      <x:c r="T48" s="292"/>
      <x:c r="U48" s="292"/>
      <x:c r="V48" s="292"/>
      <x:c r="W48" s="292"/>
      <x:c r="X48" s="292"/>
      <x:c r="Y48" s="292"/>
      <x:c r="Z48" s="292"/>
    </x:row>
    <x:row r="49">
      <x:c r="A49" s="292"/>
      <x:c r="B49" s="292"/>
      <x:c r="C49" s="292"/>
      <x:c r="D49" s="292"/>
      <x:c r="E49" s="292"/>
      <x:c r="F49" s="292"/>
      <x:c r="G49" s="292"/>
      <x:c r="H49" s="292"/>
      <x:c r="I49" s="292"/>
      <x:c r="J49" s="292"/>
      <x:c r="K49" s="292"/>
      <x:c r="L49" s="292"/>
      <x:c r="M49" s="292"/>
      <x:c r="N49" s="292"/>
      <x:c r="O49" s="292"/>
      <x:c r="P49" s="292"/>
      <x:c r="Q49" s="292"/>
      <x:c r="R49" s="292"/>
      <x:c r="S49" s="292"/>
      <x:c r="T49" s="292"/>
      <x:c r="U49" s="292"/>
      <x:c r="V49" s="292"/>
      <x:c r="W49" s="292"/>
      <x:c r="X49" s="292"/>
      <x:c r="Y49" s="292"/>
      <x:c r="Z49" s="292"/>
    </x:row>
    <x:row r="50">
      <x:c r="A50" s="292"/>
      <x:c r="B50" s="292"/>
      <x:c r="C50" s="292"/>
      <x:c r="D50" s="292"/>
      <x:c r="E50" s="292"/>
      <x:c r="F50" s="292"/>
      <x:c r="G50" s="292"/>
      <x:c r="H50" s="292"/>
      <x:c r="I50" s="292"/>
      <x:c r="J50" s="292"/>
      <x:c r="K50" s="292"/>
      <x:c r="L50" s="292"/>
      <x:c r="M50" s="292"/>
      <x:c r="N50" s="292"/>
      <x:c r="O50" s="292"/>
      <x:c r="P50" s="292"/>
      <x:c r="Q50" s="292"/>
      <x:c r="R50" s="292"/>
      <x:c r="S50" s="292"/>
      <x:c r="T50" s="292"/>
      <x:c r="U50" s="292"/>
      <x:c r="V50" s="292"/>
      <x:c r="W50" s="292"/>
      <x:c r="X50" s="292"/>
      <x:c r="Y50" s="292"/>
      <x:c r="Z50" s="292"/>
    </x:row>
    <x:row r="51">
      <x:c r="A51" s="292"/>
      <x:c r="B51" s="292"/>
      <x:c r="C51" s="292"/>
      <x:c r="D51" s="292"/>
      <x:c r="E51" s="292"/>
      <x:c r="F51" s="292"/>
      <x:c r="G51" s="292"/>
      <x:c r="H51" s="292"/>
      <x:c r="I51" s="292"/>
      <x:c r="J51" s="292"/>
      <x:c r="K51" s="292"/>
      <x:c r="L51" s="292"/>
      <x:c r="M51" s="292"/>
      <x:c r="N51" s="292"/>
      <x:c r="O51" s="292"/>
      <x:c r="P51" s="292"/>
      <x:c r="Q51" s="292"/>
      <x:c r="R51" s="292"/>
      <x:c r="S51" s="292"/>
      <x:c r="T51" s="292"/>
      <x:c r="U51" s="292"/>
      <x:c r="V51" s="292"/>
      <x:c r="W51" s="292"/>
      <x:c r="X51" s="292"/>
      <x:c r="Y51" s="292"/>
      <x:c r="Z51" s="292"/>
    </x:row>
    <x:row r="52">
      <x:c r="A52" s="292"/>
      <x:c r="B52" s="292"/>
      <x:c r="C52" s="292"/>
      <x:c r="D52" s="292"/>
      <x:c r="E52" s="292"/>
      <x:c r="F52" s="292"/>
      <x:c r="G52" s="292"/>
      <x:c r="H52" s="292"/>
      <x:c r="I52" s="292"/>
      <x:c r="J52" s="292"/>
      <x:c r="K52" s="292"/>
      <x:c r="L52" s="292"/>
      <x:c r="M52" s="292"/>
      <x:c r="N52" s="292"/>
      <x:c r="O52" s="292"/>
      <x:c r="P52" s="292"/>
      <x:c r="Q52" s="292"/>
      <x:c r="R52" s="292"/>
      <x:c r="S52" s="292"/>
      <x:c r="T52" s="292"/>
      <x:c r="U52" s="292"/>
      <x:c r="V52" s="292"/>
      <x:c r="W52" s="292"/>
      <x:c r="X52" s="292"/>
      <x:c r="Y52" s="292"/>
      <x:c r="Z52" s="292"/>
    </x:row>
    <x:row r="53">
      <x:c r="A53" s="292"/>
      <x:c r="B53" s="292"/>
      <x:c r="C53" s="292"/>
      <x:c r="D53" s="292"/>
      <x:c r="E53" s="292"/>
      <x:c r="F53" s="292"/>
      <x:c r="G53" s="292"/>
      <x:c r="H53" s="292"/>
      <x:c r="I53" s="292"/>
      <x:c r="J53" s="292"/>
      <x:c r="K53" s="292"/>
      <x:c r="L53" s="292"/>
      <x:c r="M53" s="292"/>
      <x:c r="N53" s="292"/>
      <x:c r="O53" s="292"/>
      <x:c r="P53" s="292"/>
      <x:c r="Q53" s="292"/>
      <x:c r="R53" s="292"/>
      <x:c r="S53" s="292"/>
      <x:c r="T53" s="292"/>
      <x:c r="U53" s="292"/>
      <x:c r="V53" s="292"/>
      <x:c r="W53" s="292"/>
      <x:c r="X53" s="292"/>
      <x:c r="Y53" s="292"/>
      <x:c r="Z53" s="292"/>
    </x:row>
    <x:row r="54">
      <x:c r="A54" s="292"/>
      <x:c r="B54" s="292"/>
      <x:c r="C54" s="292"/>
      <x:c r="D54" s="292"/>
      <x:c r="E54" s="292"/>
      <x:c r="F54" s="292"/>
      <x:c r="G54" s="292"/>
      <x:c r="H54" s="292"/>
      <x:c r="I54" s="292"/>
      <x:c r="J54" s="292"/>
      <x:c r="K54" s="292"/>
      <x:c r="L54" s="292"/>
      <x:c r="M54" s="292"/>
      <x:c r="N54" s="292"/>
      <x:c r="O54" s="292"/>
      <x:c r="P54" s="292"/>
      <x:c r="Q54" s="292"/>
      <x:c r="R54" s="292"/>
      <x:c r="S54" s="292"/>
      <x:c r="T54" s="292"/>
      <x:c r="U54" s="292"/>
      <x:c r="V54" s="292"/>
      <x:c r="W54" s="292"/>
      <x:c r="X54" s="292"/>
      <x:c r="Y54" s="292"/>
      <x:c r="Z54" s="292"/>
    </x:row>
    <x:row r="55">
      <x:c r="A55" s="292"/>
      <x:c r="B55" s="292"/>
      <x:c r="C55" s="292"/>
      <x:c r="D55" s="292"/>
      <x:c r="E55" s="292"/>
      <x:c r="F55" s="292"/>
      <x:c r="G55" s="292"/>
      <x:c r="H55" s="292"/>
      <x:c r="I55" s="292"/>
      <x:c r="J55" s="292"/>
      <x:c r="K55" s="292"/>
      <x:c r="L55" s="292"/>
      <x:c r="M55" s="292"/>
      <x:c r="N55" s="292"/>
      <x:c r="O55" s="292"/>
      <x:c r="P55" s="292"/>
      <x:c r="Q55" s="292"/>
      <x:c r="R55" s="292"/>
      <x:c r="S55" s="292"/>
      <x:c r="T55" s="292"/>
      <x:c r="U55" s="292"/>
      <x:c r="V55" s="292"/>
      <x:c r="W55" s="292"/>
      <x:c r="X55" s="292"/>
      <x:c r="Y55" s="292"/>
      <x:c r="Z55" s="292"/>
    </x:row>
    <x:row r="56">
      <x:c r="A56" s="292"/>
      <x:c r="B56" s="292"/>
      <x:c r="C56" s="292"/>
      <x:c r="D56" s="292"/>
      <x:c r="E56" s="292"/>
      <x:c r="F56" s="292"/>
      <x:c r="G56" s="292"/>
      <x:c r="H56" s="292"/>
      <x:c r="I56" s="292"/>
      <x:c r="J56" s="292"/>
      <x:c r="K56" s="292"/>
      <x:c r="L56" s="292"/>
      <x:c r="M56" s="292"/>
      <x:c r="N56" s="292"/>
      <x:c r="O56" s="292"/>
      <x:c r="P56" s="292"/>
      <x:c r="Q56" s="292"/>
      <x:c r="R56" s="292"/>
      <x:c r="S56" s="292"/>
      <x:c r="T56" s="292"/>
      <x:c r="U56" s="292"/>
      <x:c r="V56" s="292"/>
      <x:c r="W56" s="292"/>
      <x:c r="X56" s="292"/>
      <x:c r="Y56" s="292"/>
      <x:c r="Z56" s="292"/>
    </x:row>
    <x:row r="57">
      <x:c r="A57" s="292"/>
      <x:c r="B57" s="292"/>
      <x:c r="C57" s="292"/>
      <x:c r="D57" s="292"/>
      <x:c r="E57" s="292"/>
      <x:c r="F57" s="292"/>
      <x:c r="G57" s="292"/>
      <x:c r="H57" s="292"/>
      <x:c r="I57" s="292"/>
      <x:c r="J57" s="292"/>
      <x:c r="K57" s="292"/>
      <x:c r="L57" s="292"/>
      <x:c r="M57" s="292"/>
      <x:c r="N57" s="292"/>
      <x:c r="O57" s="292"/>
      <x:c r="P57" s="292"/>
      <x:c r="Q57" s="292"/>
      <x:c r="R57" s="292"/>
      <x:c r="S57" s="292"/>
      <x:c r="T57" s="292"/>
      <x:c r="U57" s="292"/>
      <x:c r="V57" s="292"/>
      <x:c r="W57" s="292"/>
      <x:c r="X57" s="292"/>
      <x:c r="Y57" s="292"/>
      <x:c r="Z57" s="292"/>
    </x:row>
    <x:row r="58">
      <x:c r="A58" s="292"/>
      <x:c r="B58" s="292"/>
      <x:c r="C58" s="292"/>
      <x:c r="D58" s="292"/>
      <x:c r="E58" s="292"/>
      <x:c r="F58" s="292"/>
      <x:c r="G58" s="292"/>
      <x:c r="H58" s="292"/>
      <x:c r="I58" s="292"/>
      <x:c r="J58" s="292"/>
      <x:c r="K58" s="292"/>
      <x:c r="L58" s="292"/>
      <x:c r="M58" s="292"/>
      <x:c r="N58" s="292"/>
      <x:c r="O58" s="292"/>
      <x:c r="P58" s="292"/>
      <x:c r="Q58" s="292"/>
      <x:c r="R58" s="292"/>
      <x:c r="S58" s="292"/>
      <x:c r="T58" s="292"/>
      <x:c r="U58" s="292"/>
      <x:c r="V58" s="292"/>
      <x:c r="W58" s="292"/>
      <x:c r="X58" s="292"/>
      <x:c r="Y58" s="292"/>
      <x:c r="Z58" s="292"/>
    </x:row>
    <x:row r="59">
      <x:c r="A59" s="292"/>
      <x:c r="B59" s="292"/>
      <x:c r="C59" s="292"/>
      <x:c r="D59" s="292"/>
      <x:c r="E59" s="292"/>
      <x:c r="F59" s="292"/>
      <x:c r="G59" s="292"/>
      <x:c r="H59" s="292"/>
      <x:c r="I59" s="292"/>
      <x:c r="J59" s="292"/>
      <x:c r="K59" s="292"/>
      <x:c r="L59" s="292"/>
      <x:c r="M59" s="292"/>
      <x:c r="N59" s="292"/>
      <x:c r="O59" s="292"/>
      <x:c r="P59" s="292"/>
      <x:c r="Q59" s="292"/>
      <x:c r="R59" s="292"/>
      <x:c r="S59" s="292"/>
      <x:c r="T59" s="292"/>
      <x:c r="U59" s="292"/>
      <x:c r="V59" s="292"/>
      <x:c r="W59" s="292"/>
      <x:c r="X59" s="292"/>
      <x:c r="Y59" s="292"/>
      <x:c r="Z59" s="292"/>
    </x:row>
    <x:row r="60">
      <x:c r="A60" s="292"/>
      <x:c r="B60" s="292"/>
      <x:c r="C60" s="292"/>
      <x:c r="D60" s="292"/>
      <x:c r="E60" s="292"/>
      <x:c r="F60" s="292"/>
      <x:c r="G60" s="292"/>
      <x:c r="H60" s="292"/>
      <x:c r="I60" s="292"/>
      <x:c r="J60" s="292"/>
      <x:c r="K60" s="292"/>
      <x:c r="L60" s="292"/>
      <x:c r="M60" s="292"/>
      <x:c r="N60" s="292"/>
      <x:c r="O60" s="292"/>
      <x:c r="P60" s="292"/>
      <x:c r="Q60" s="292"/>
      <x:c r="R60" s="292"/>
      <x:c r="S60" s="292"/>
      <x:c r="T60" s="292"/>
      <x:c r="U60" s="292"/>
      <x:c r="V60" s="292"/>
      <x:c r="W60" s="292"/>
      <x:c r="X60" s="292"/>
      <x:c r="Y60" s="292"/>
      <x:c r="Z60" s="292"/>
    </x:row>
    <x:row r="61">
      <x:c r="A61" s="292"/>
      <x:c r="B61" s="292"/>
      <x:c r="C61" s="292"/>
      <x:c r="D61" s="292"/>
      <x:c r="E61" s="292"/>
      <x:c r="F61" s="292"/>
      <x:c r="G61" s="292"/>
      <x:c r="H61" s="292"/>
      <x:c r="I61" s="292"/>
      <x:c r="J61" s="292"/>
      <x:c r="K61" s="292"/>
      <x:c r="L61" s="292"/>
      <x:c r="M61" s="292"/>
      <x:c r="N61" s="292"/>
      <x:c r="O61" s="292"/>
      <x:c r="P61" s="292"/>
      <x:c r="Q61" s="292"/>
      <x:c r="R61" s="292"/>
      <x:c r="S61" s="292"/>
      <x:c r="T61" s="292"/>
      <x:c r="U61" s="292"/>
      <x:c r="V61" s="292"/>
      <x:c r="W61" s="292"/>
      <x:c r="X61" s="292"/>
      <x:c r="Y61" s="292"/>
      <x:c r="Z61" s="292"/>
    </x:row>
    <x:row r="62">
      <x:c r="A62" s="292"/>
      <x:c r="B62" s="292"/>
      <x:c r="C62" s="292"/>
      <x:c r="D62" s="292"/>
      <x:c r="E62" s="292"/>
      <x:c r="F62" s="292"/>
      <x:c r="G62" s="292"/>
      <x:c r="H62" s="292"/>
      <x:c r="I62" s="292"/>
      <x:c r="J62" s="292"/>
      <x:c r="K62" s="292"/>
      <x:c r="L62" s="292"/>
      <x:c r="M62" s="292"/>
      <x:c r="N62" s="292"/>
      <x:c r="O62" s="292"/>
      <x:c r="P62" s="292"/>
      <x:c r="Q62" s="292"/>
      <x:c r="R62" s="292"/>
      <x:c r="S62" s="292"/>
      <x:c r="T62" s="292"/>
      <x:c r="U62" s="292"/>
      <x:c r="V62" s="292"/>
      <x:c r="W62" s="292"/>
      <x:c r="X62" s="292"/>
      <x:c r="Y62" s="292"/>
      <x:c r="Z62" s="292"/>
    </x:row>
    <x:row r="63">
      <x:c r="A63" s="292"/>
      <x:c r="B63" s="292"/>
      <x:c r="C63" s="292"/>
      <x:c r="D63" s="292"/>
      <x:c r="E63" s="292"/>
      <x:c r="F63" s="292"/>
      <x:c r="G63" s="292"/>
      <x:c r="H63" s="292"/>
      <x:c r="I63" s="292"/>
      <x:c r="J63" s="292"/>
      <x:c r="K63" s="292"/>
      <x:c r="L63" s="292"/>
      <x:c r="M63" s="292"/>
      <x:c r="N63" s="292"/>
      <x:c r="O63" s="292"/>
      <x:c r="P63" s="292"/>
      <x:c r="Q63" s="292"/>
      <x:c r="R63" s="292"/>
      <x:c r="S63" s="292"/>
      <x:c r="T63" s="292"/>
      <x:c r="U63" s="292"/>
      <x:c r="V63" s="292"/>
      <x:c r="W63" s="292"/>
      <x:c r="X63" s="292"/>
      <x:c r="Y63" s="292"/>
      <x:c r="Z63" s="292"/>
    </x:row>
    <x:row r="64">
      <x:c r="A64" s="292"/>
      <x:c r="B64" s="292"/>
      <x:c r="C64" s="292"/>
      <x:c r="D64" s="292"/>
      <x:c r="E64" s="292"/>
      <x:c r="F64" s="292"/>
      <x:c r="G64" s="292"/>
      <x:c r="H64" s="292"/>
      <x:c r="I64" s="292"/>
      <x:c r="J64" s="292"/>
      <x:c r="K64" s="292"/>
      <x:c r="L64" s="292"/>
      <x:c r="M64" s="292"/>
      <x:c r="N64" s="292"/>
      <x:c r="O64" s="292"/>
      <x:c r="P64" s="292"/>
      <x:c r="Q64" s="292"/>
      <x:c r="R64" s="292"/>
      <x:c r="S64" s="292"/>
      <x:c r="T64" s="292"/>
      <x:c r="U64" s="292"/>
      <x:c r="V64" s="292"/>
      <x:c r="W64" s="292"/>
      <x:c r="X64" s="292"/>
      <x:c r="Y64" s="292"/>
      <x:c r="Z64" s="292"/>
    </x:row>
    <x:row r="65">
      <x:c r="A65" s="292"/>
      <x:c r="B65" s="292"/>
      <x:c r="C65" s="292"/>
      <x:c r="D65" s="292"/>
      <x:c r="E65" s="292"/>
      <x:c r="F65" s="292"/>
      <x:c r="G65" s="292"/>
      <x:c r="H65" s="292"/>
      <x:c r="I65" s="292"/>
      <x:c r="J65" s="292"/>
      <x:c r="K65" s="292"/>
      <x:c r="L65" s="292"/>
      <x:c r="M65" s="292"/>
      <x:c r="N65" s="292"/>
      <x:c r="O65" s="292"/>
      <x:c r="P65" s="292"/>
      <x:c r="Q65" s="292"/>
      <x:c r="R65" s="292"/>
      <x:c r="S65" s="292"/>
      <x:c r="T65" s="292"/>
      <x:c r="U65" s="292"/>
      <x:c r="V65" s="292"/>
      <x:c r="W65" s="292"/>
      <x:c r="X65" s="292"/>
      <x:c r="Y65" s="292"/>
      <x:c r="Z65" s="292"/>
    </x:row>
    <x:row r="66">
      <x:c r="A66" s="292"/>
      <x:c r="B66" s="292"/>
      <x:c r="C66" s="292"/>
      <x:c r="D66" s="292"/>
      <x:c r="E66" s="292"/>
      <x:c r="F66" s="292"/>
      <x:c r="G66" s="292"/>
      <x:c r="H66" s="292"/>
      <x:c r="I66" s="292"/>
      <x:c r="J66" s="292"/>
      <x:c r="K66" s="292"/>
      <x:c r="L66" s="292"/>
      <x:c r="M66" s="292"/>
      <x:c r="N66" s="292"/>
      <x:c r="O66" s="292"/>
      <x:c r="P66" s="292"/>
      <x:c r="Q66" s="292"/>
      <x:c r="R66" s="292"/>
      <x:c r="S66" s="292"/>
      <x:c r="T66" s="292"/>
      <x:c r="U66" s="292"/>
      <x:c r="V66" s="292"/>
      <x:c r="W66" s="292"/>
      <x:c r="X66" s="292"/>
      <x:c r="Y66" s="292"/>
      <x:c r="Z66" s="292"/>
    </x:row>
    <x:row r="67">
      <x:c r="A67" s="292"/>
      <x:c r="B67" s="292"/>
      <x:c r="C67" s="292"/>
      <x:c r="D67" s="292"/>
      <x:c r="E67" s="292"/>
      <x:c r="F67" s="292"/>
      <x:c r="G67" s="292"/>
      <x:c r="H67" s="292"/>
      <x:c r="I67" s="292"/>
      <x:c r="J67" s="292"/>
      <x:c r="K67" s="292"/>
      <x:c r="L67" s="292"/>
      <x:c r="M67" s="292"/>
      <x:c r="N67" s="292"/>
      <x:c r="O67" s="292"/>
      <x:c r="P67" s="292"/>
      <x:c r="Q67" s="292"/>
      <x:c r="R67" s="292"/>
      <x:c r="S67" s="292"/>
      <x:c r="T67" s="292"/>
      <x:c r="U67" s="292"/>
      <x:c r="V67" s="292"/>
      <x:c r="W67" s="292"/>
      <x:c r="X67" s="292"/>
      <x:c r="Y67" s="292"/>
      <x:c r="Z67" s="292"/>
    </x:row>
    <x:row r="68">
      <x:c r="A68" s="292"/>
      <x:c r="B68" s="292"/>
      <x:c r="C68" s="292"/>
      <x:c r="D68" s="292"/>
      <x:c r="E68" s="292"/>
      <x:c r="F68" s="292"/>
      <x:c r="G68" s="292"/>
      <x:c r="H68" s="292"/>
      <x:c r="I68" s="292"/>
      <x:c r="J68" s="292"/>
      <x:c r="K68" s="292"/>
      <x:c r="L68" s="292"/>
      <x:c r="M68" s="292"/>
      <x:c r="N68" s="292"/>
      <x:c r="O68" s="292"/>
      <x:c r="P68" s="292"/>
      <x:c r="Q68" s="292"/>
      <x:c r="R68" s="292"/>
      <x:c r="S68" s="292"/>
      <x:c r="T68" s="292"/>
      <x:c r="U68" s="292"/>
      <x:c r="V68" s="292"/>
      <x:c r="W68" s="292"/>
      <x:c r="X68" s="292"/>
      <x:c r="Y68" s="292"/>
      <x:c r="Z68" s="292"/>
    </x:row>
    <x:row r="69">
      <x:c r="A69" s="292"/>
      <x:c r="B69" s="292"/>
      <x:c r="C69" s="292"/>
      <x:c r="D69" s="292"/>
      <x:c r="E69" s="292"/>
      <x:c r="F69" s="292"/>
      <x:c r="G69" s="292"/>
      <x:c r="H69" s="292"/>
      <x:c r="I69" s="292"/>
      <x:c r="J69" s="292"/>
      <x:c r="K69" s="292"/>
      <x:c r="L69" s="292"/>
      <x:c r="M69" s="292"/>
      <x:c r="N69" s="292"/>
      <x:c r="O69" s="292"/>
      <x:c r="P69" s="292"/>
      <x:c r="Q69" s="292"/>
      <x:c r="R69" s="292"/>
      <x:c r="S69" s="292"/>
      <x:c r="T69" s="292"/>
      <x:c r="U69" s="292"/>
      <x:c r="V69" s="292"/>
      <x:c r="W69" s="292"/>
      <x:c r="X69" s="292"/>
      <x:c r="Y69" s="292"/>
      <x:c r="Z69" s="292"/>
    </x:row>
    <x:row r="70">
      <x:c r="A70" s="292"/>
      <x:c r="B70" s="292"/>
      <x:c r="C70" s="292"/>
      <x:c r="D70" s="292"/>
      <x:c r="E70" s="292"/>
      <x:c r="F70" s="292"/>
      <x:c r="G70" s="292"/>
      <x:c r="H70" s="292"/>
      <x:c r="I70" s="292"/>
      <x:c r="J70" s="292"/>
      <x:c r="K70" s="292"/>
      <x:c r="L70" s="292"/>
      <x:c r="M70" s="292"/>
      <x:c r="N70" s="292"/>
      <x:c r="O70" s="292"/>
      <x:c r="P70" s="292"/>
      <x:c r="Q70" s="292"/>
      <x:c r="R70" s="292"/>
      <x:c r="S70" s="292"/>
      <x:c r="T70" s="292"/>
      <x:c r="U70" s="292"/>
      <x:c r="V70" s="292"/>
      <x:c r="W70" s="292"/>
      <x:c r="X70" s="292"/>
      <x:c r="Y70" s="292"/>
      <x:c r="Z70" s="292"/>
    </x:row>
    <x:row r="71">
      <x:c r="A71" s="292"/>
      <x:c r="B71" s="292"/>
      <x:c r="C71" s="292"/>
      <x:c r="D71" s="292"/>
      <x:c r="E71" s="292"/>
      <x:c r="F71" s="292"/>
      <x:c r="G71" s="292"/>
      <x:c r="H71" s="292"/>
      <x:c r="I71" s="292"/>
      <x:c r="J71" s="292"/>
      <x:c r="K71" s="292"/>
      <x:c r="L71" s="292"/>
      <x:c r="M71" s="292"/>
      <x:c r="N71" s="292"/>
      <x:c r="O71" s="292"/>
      <x:c r="P71" s="292"/>
      <x:c r="Q71" s="292"/>
      <x:c r="R71" s="292"/>
      <x:c r="S71" s="292"/>
      <x:c r="T71" s="292"/>
      <x:c r="U71" s="292"/>
      <x:c r="V71" s="292"/>
      <x:c r="W71" s="292"/>
      <x:c r="X71" s="292"/>
      <x:c r="Y71" s="292"/>
      <x:c r="Z71" s="292"/>
    </x:row>
    <x:row r="72">
      <x:c r="A72" s="292"/>
      <x:c r="B72" s="292"/>
      <x:c r="C72" s="292"/>
      <x:c r="D72" s="292"/>
      <x:c r="E72" s="292"/>
      <x:c r="F72" s="292"/>
      <x:c r="G72" s="292"/>
      <x:c r="H72" s="292"/>
      <x:c r="I72" s="292"/>
      <x:c r="J72" s="292"/>
      <x:c r="K72" s="292"/>
      <x:c r="L72" s="292"/>
      <x:c r="M72" s="292"/>
      <x:c r="N72" s="292"/>
      <x:c r="O72" s="292"/>
      <x:c r="P72" s="292"/>
      <x:c r="Q72" s="292"/>
      <x:c r="R72" s="292"/>
      <x:c r="S72" s="292"/>
      <x:c r="T72" s="292"/>
      <x:c r="U72" s="292"/>
      <x:c r="V72" s="292"/>
      <x:c r="W72" s="292"/>
      <x:c r="X72" s="292"/>
      <x:c r="Y72" s="292"/>
      <x:c r="Z72" s="292"/>
    </x:row>
    <x:row r="73">
      <x:c r="A73" s="292"/>
      <x:c r="B73" s="292"/>
      <x:c r="C73" s="292"/>
      <x:c r="D73" s="292"/>
      <x:c r="E73" s="292"/>
      <x:c r="F73" s="292"/>
      <x:c r="G73" s="292"/>
      <x:c r="H73" s="292"/>
      <x:c r="I73" s="292"/>
      <x:c r="J73" s="292"/>
      <x:c r="K73" s="292"/>
      <x:c r="L73" s="292"/>
      <x:c r="M73" s="292"/>
      <x:c r="N73" s="292"/>
      <x:c r="O73" s="292"/>
      <x:c r="P73" s="292"/>
      <x:c r="Q73" s="292"/>
      <x:c r="R73" s="292"/>
      <x:c r="S73" s="292"/>
      <x:c r="T73" s="292"/>
      <x:c r="U73" s="292"/>
      <x:c r="V73" s="292"/>
      <x:c r="W73" s="292"/>
      <x:c r="X73" s="292"/>
      <x:c r="Y73" s="292"/>
      <x:c r="Z73" s="292"/>
    </x:row>
    <x:row r="74">
      <x:c r="A74" s="292"/>
      <x:c r="B74" s="292"/>
      <x:c r="C74" s="292"/>
      <x:c r="D74" s="292"/>
      <x:c r="E74" s="292"/>
      <x:c r="F74" s="292"/>
      <x:c r="G74" s="292"/>
      <x:c r="H74" s="292"/>
      <x:c r="I74" s="292"/>
      <x:c r="J74" s="292"/>
      <x:c r="K74" s="292"/>
      <x:c r="L74" s="292"/>
      <x:c r="M74" s="292"/>
      <x:c r="N74" s="292"/>
      <x:c r="O74" s="292"/>
      <x:c r="P74" s="292"/>
      <x:c r="Q74" s="292"/>
      <x:c r="R74" s="292"/>
      <x:c r="S74" s="292"/>
      <x:c r="T74" s="292"/>
      <x:c r="U74" s="292"/>
      <x:c r="V74" s="292"/>
      <x:c r="W74" s="292"/>
      <x:c r="X74" s="292"/>
      <x:c r="Y74" s="292"/>
      <x:c r="Z74" s="292"/>
    </x:row>
    <x:row r="75">
      <x:c r="A75" s="292"/>
      <x:c r="B75" s="292"/>
      <x:c r="C75" s="292"/>
      <x:c r="D75" s="292"/>
      <x:c r="E75" s="292"/>
      <x:c r="F75" s="292"/>
      <x:c r="G75" s="292"/>
      <x:c r="H75" s="292"/>
      <x:c r="I75" s="292"/>
      <x:c r="J75" s="292"/>
      <x:c r="K75" s="292"/>
      <x:c r="L75" s="292"/>
      <x:c r="M75" s="292"/>
      <x:c r="N75" s="292"/>
      <x:c r="O75" s="292"/>
      <x:c r="P75" s="292"/>
      <x:c r="Q75" s="292"/>
      <x:c r="R75" s="292"/>
      <x:c r="S75" s="292"/>
      <x:c r="T75" s="292"/>
      <x:c r="U75" s="292"/>
      <x:c r="V75" s="292"/>
      <x:c r="W75" s="292"/>
      <x:c r="X75" s="292"/>
      <x:c r="Y75" s="292"/>
      <x:c r="Z75" s="292"/>
    </x:row>
    <x:row r="76">
      <x:c r="A76" s="292"/>
      <x:c r="B76" s="292"/>
      <x:c r="C76" s="292"/>
      <x:c r="D76" s="292"/>
      <x:c r="E76" s="292"/>
      <x:c r="F76" s="292"/>
      <x:c r="G76" s="292"/>
      <x:c r="H76" s="292"/>
      <x:c r="I76" s="292"/>
      <x:c r="J76" s="292"/>
      <x:c r="K76" s="292"/>
      <x:c r="L76" s="292"/>
      <x:c r="M76" s="292"/>
      <x:c r="N76" s="292"/>
      <x:c r="O76" s="292"/>
      <x:c r="P76" s="292"/>
      <x:c r="Q76" s="292"/>
      <x:c r="R76" s="292"/>
      <x:c r="S76" s="292"/>
      <x:c r="T76" s="292"/>
      <x:c r="U76" s="292"/>
      <x:c r="V76" s="292"/>
      <x:c r="W76" s="292"/>
      <x:c r="X76" s="292"/>
      <x:c r="Y76" s="292"/>
      <x:c r="Z76" s="292"/>
    </x:row>
    <x:row r="77">
      <x:c r="A77" s="292"/>
      <x:c r="B77" s="292"/>
      <x:c r="C77" s="292"/>
      <x:c r="D77" s="292"/>
      <x:c r="E77" s="292"/>
      <x:c r="F77" s="292"/>
      <x:c r="G77" s="292"/>
      <x:c r="H77" s="292"/>
      <x:c r="I77" s="292"/>
      <x:c r="J77" s="292"/>
      <x:c r="K77" s="292"/>
      <x:c r="L77" s="292"/>
      <x:c r="M77" s="292"/>
      <x:c r="N77" s="292"/>
      <x:c r="O77" s="292"/>
      <x:c r="P77" s="292"/>
      <x:c r="Q77" s="292"/>
      <x:c r="R77" s="292"/>
      <x:c r="S77" s="292"/>
      <x:c r="T77" s="292"/>
      <x:c r="U77" s="292"/>
      <x:c r="V77" s="292"/>
      <x:c r="W77" s="292"/>
      <x:c r="X77" s="292"/>
      <x:c r="Y77" s="292"/>
      <x:c r="Z77" s="292"/>
    </x:row>
    <x:row r="78">
      <x:c r="A78" s="292"/>
      <x:c r="B78" s="292"/>
      <x:c r="C78" s="292"/>
      <x:c r="D78" s="292"/>
      <x:c r="E78" s="292"/>
      <x:c r="F78" s="292"/>
      <x:c r="G78" s="292"/>
      <x:c r="H78" s="292"/>
      <x:c r="I78" s="292"/>
      <x:c r="J78" s="292"/>
      <x:c r="K78" s="292"/>
      <x:c r="L78" s="292"/>
      <x:c r="M78" s="292"/>
      <x:c r="N78" s="292"/>
      <x:c r="O78" s="292"/>
      <x:c r="P78" s="292"/>
      <x:c r="Q78" s="292"/>
      <x:c r="R78" s="292"/>
      <x:c r="S78" s="292"/>
      <x:c r="T78" s="292"/>
      <x:c r="U78" s="292"/>
      <x:c r="V78" s="292"/>
      <x:c r="W78" s="292"/>
      <x:c r="X78" s="292"/>
      <x:c r="Y78" s="292"/>
      <x:c r="Z78" s="292"/>
    </x:row>
    <x:row r="79">
      <x:c r="A79" s="292"/>
      <x:c r="B79" s="292"/>
      <x:c r="C79" s="292"/>
      <x:c r="D79" s="292"/>
      <x:c r="E79" s="292"/>
      <x:c r="F79" s="292"/>
      <x:c r="G79" s="292"/>
      <x:c r="H79" s="292"/>
      <x:c r="I79" s="292"/>
      <x:c r="J79" s="292"/>
      <x:c r="K79" s="292"/>
      <x:c r="L79" s="292"/>
      <x:c r="M79" s="292"/>
      <x:c r="N79" s="292"/>
      <x:c r="O79" s="292"/>
      <x:c r="P79" s="292"/>
      <x:c r="Q79" s="292"/>
      <x:c r="R79" s="292"/>
      <x:c r="S79" s="292"/>
      <x:c r="T79" s="292"/>
      <x:c r="U79" s="292"/>
      <x:c r="V79" s="292"/>
      <x:c r="W79" s="292"/>
      <x:c r="X79" s="292"/>
      <x:c r="Y79" s="292"/>
      <x:c r="Z79" s="292"/>
    </x:row>
    <x:row r="80">
      <x:c r="A80" s="292"/>
      <x:c r="B80" s="292"/>
      <x:c r="C80" s="292"/>
      <x:c r="D80" s="292"/>
      <x:c r="E80" s="292"/>
      <x:c r="F80" s="292"/>
      <x:c r="G80" s="292"/>
      <x:c r="H80" s="292"/>
      <x:c r="I80" s="292"/>
      <x:c r="J80" s="292"/>
      <x:c r="K80" s="292"/>
      <x:c r="L80" s="292"/>
      <x:c r="M80" s="292"/>
      <x:c r="N80" s="292"/>
      <x:c r="O80" s="292"/>
      <x:c r="P80" s="292"/>
      <x:c r="Q80" s="292"/>
      <x:c r="R80" s="292"/>
      <x:c r="S80" s="292"/>
      <x:c r="T80" s="292"/>
      <x:c r="U80" s="292"/>
      <x:c r="V80" s="292"/>
      <x:c r="W80" s="292"/>
      <x:c r="X80" s="292"/>
      <x:c r="Y80" s="292"/>
      <x:c r="Z80" s="292"/>
    </x:row>
    <x:row r="81">
      <x:c r="A81" s="292"/>
      <x:c r="B81" s="292"/>
      <x:c r="C81" s="292"/>
      <x:c r="D81" s="292"/>
      <x:c r="E81" s="292"/>
      <x:c r="F81" s="292"/>
      <x:c r="G81" s="292"/>
      <x:c r="H81" s="292"/>
      <x:c r="I81" s="292"/>
      <x:c r="J81" s="292"/>
      <x:c r="K81" s="292"/>
      <x:c r="L81" s="292"/>
      <x:c r="M81" s="292"/>
      <x:c r="N81" s="292"/>
      <x:c r="O81" s="292"/>
      <x:c r="P81" s="292"/>
      <x:c r="Q81" s="292"/>
      <x:c r="R81" s="292"/>
      <x:c r="S81" s="292"/>
      <x:c r="T81" s="292"/>
      <x:c r="U81" s="292"/>
      <x:c r="V81" s="292"/>
      <x:c r="W81" s="292"/>
      <x:c r="X81" s="292"/>
      <x:c r="Y81" s="292"/>
      <x:c r="Z81" s="292"/>
    </x:row>
    <x:row r="82">
      <x:c r="A82" s="292"/>
      <x:c r="B82" s="292"/>
      <x:c r="C82" s="292"/>
      <x:c r="D82" s="292"/>
      <x:c r="E82" s="292"/>
      <x:c r="F82" s="292"/>
      <x:c r="G82" s="292"/>
      <x:c r="H82" s="292"/>
      <x:c r="I82" s="292"/>
      <x:c r="J82" s="292"/>
      <x:c r="K82" s="292"/>
      <x:c r="L82" s="292"/>
      <x:c r="M82" s="292"/>
      <x:c r="N82" s="292"/>
      <x:c r="O82" s="292"/>
      <x:c r="P82" s="292"/>
      <x:c r="Q82" s="292"/>
      <x:c r="R82" s="292"/>
      <x:c r="S82" s="292"/>
      <x:c r="T82" s="292"/>
      <x:c r="U82" s="292"/>
      <x:c r="V82" s="292"/>
      <x:c r="W82" s="292"/>
      <x:c r="X82" s="292"/>
      <x:c r="Y82" s="292"/>
      <x:c r="Z82" s="292"/>
    </x:row>
    <x:row r="83">
      <x:c r="A83" s="292"/>
      <x:c r="B83" s="292"/>
      <x:c r="C83" s="292"/>
      <x:c r="D83" s="292"/>
      <x:c r="E83" s="292"/>
      <x:c r="F83" s="292"/>
      <x:c r="G83" s="292"/>
      <x:c r="H83" s="292"/>
      <x:c r="I83" s="292"/>
      <x:c r="J83" s="292"/>
      <x:c r="K83" s="292"/>
      <x:c r="L83" s="292"/>
      <x:c r="M83" s="292"/>
      <x:c r="N83" s="292"/>
      <x:c r="O83" s="292"/>
      <x:c r="P83" s="292"/>
      <x:c r="Q83" s="292"/>
      <x:c r="R83" s="292"/>
      <x:c r="S83" s="292"/>
      <x:c r="T83" s="292"/>
      <x:c r="U83" s="292"/>
      <x:c r="V83" s="292"/>
      <x:c r="W83" s="292"/>
      <x:c r="X83" s="292"/>
      <x:c r="Y83" s="292"/>
      <x:c r="Z83" s="292"/>
    </x:row>
    <x:row r="84">
      <x:c r="A84" s="292"/>
      <x:c r="B84" s="292"/>
      <x:c r="C84" s="292"/>
      <x:c r="D84" s="292"/>
      <x:c r="E84" s="292"/>
      <x:c r="F84" s="292"/>
      <x:c r="G84" s="292"/>
      <x:c r="H84" s="292"/>
      <x:c r="I84" s="292"/>
      <x:c r="J84" s="292"/>
      <x:c r="K84" s="292"/>
      <x:c r="L84" s="292"/>
      <x:c r="M84" s="292"/>
      <x:c r="N84" s="292"/>
      <x:c r="O84" s="292"/>
      <x:c r="P84" s="292"/>
      <x:c r="Q84" s="292"/>
      <x:c r="R84" s="292"/>
      <x:c r="S84" s="292"/>
      <x:c r="T84" s="292"/>
      <x:c r="U84" s="292"/>
      <x:c r="V84" s="292"/>
      <x:c r="W84" s="292"/>
      <x:c r="X84" s="292"/>
      <x:c r="Y84" s="292"/>
      <x:c r="Z84" s="292"/>
    </x:row>
    <x:row r="85">
      <x:c r="A85" s="292"/>
      <x:c r="B85" s="292"/>
      <x:c r="C85" s="292"/>
      <x:c r="D85" s="292"/>
      <x:c r="E85" s="292"/>
      <x:c r="F85" s="292"/>
      <x:c r="G85" s="292"/>
      <x:c r="H85" s="292"/>
      <x:c r="I85" s="292"/>
      <x:c r="J85" s="292"/>
      <x:c r="K85" s="292"/>
      <x:c r="L85" s="292"/>
      <x:c r="M85" s="292"/>
      <x:c r="N85" s="292"/>
      <x:c r="O85" s="292"/>
      <x:c r="P85" s="292"/>
      <x:c r="Q85" s="292"/>
      <x:c r="R85" s="292"/>
      <x:c r="S85" s="292"/>
      <x:c r="T85" s="292"/>
      <x:c r="U85" s="292"/>
      <x:c r="V85" s="292"/>
      <x:c r="W85" s="292"/>
      <x:c r="X85" s="292"/>
      <x:c r="Y85" s="292"/>
      <x:c r="Z85" s="292"/>
    </x:row>
    <x:row r="86">
      <x:c r="A86" s="292"/>
      <x:c r="B86" s="292"/>
      <x:c r="C86" s="292"/>
      <x:c r="D86" s="292"/>
      <x:c r="E86" s="292"/>
      <x:c r="F86" s="292"/>
      <x:c r="G86" s="292"/>
      <x:c r="H86" s="292"/>
      <x:c r="I86" s="292"/>
      <x:c r="J86" s="292"/>
      <x:c r="K86" s="292"/>
      <x:c r="L86" s="292"/>
      <x:c r="M86" s="292"/>
      <x:c r="N86" s="292"/>
      <x:c r="O86" s="292"/>
      <x:c r="P86" s="292"/>
      <x:c r="Q86" s="292"/>
      <x:c r="R86" s="292"/>
      <x:c r="S86" s="292"/>
      <x:c r="T86" s="292"/>
      <x:c r="U86" s="292"/>
      <x:c r="V86" s="292"/>
      <x:c r="W86" s="292"/>
      <x:c r="X86" s="292"/>
      <x:c r="Y86" s="292"/>
      <x:c r="Z86" s="292"/>
    </x:row>
    <x:row r="87">
      <x:c r="A87" s="292"/>
      <x:c r="B87" s="292"/>
      <x:c r="C87" s="292"/>
      <x:c r="D87" s="292"/>
      <x:c r="E87" s="292"/>
      <x:c r="F87" s="292"/>
      <x:c r="G87" s="292"/>
      <x:c r="H87" s="292"/>
      <x:c r="I87" s="292"/>
      <x:c r="J87" s="292"/>
      <x:c r="K87" s="292"/>
      <x:c r="L87" s="292"/>
      <x:c r="M87" s="292"/>
      <x:c r="N87" s="292"/>
      <x:c r="O87" s="292"/>
      <x:c r="P87" s="292"/>
      <x:c r="Q87" s="292"/>
      <x:c r="R87" s="292"/>
      <x:c r="S87" s="292"/>
      <x:c r="T87" s="292"/>
      <x:c r="U87" s="292"/>
      <x:c r="V87" s="292"/>
      <x:c r="W87" s="292"/>
      <x:c r="X87" s="292"/>
      <x:c r="Y87" s="292"/>
      <x:c r="Z87" s="292"/>
    </x:row>
    <x:row r="88">
      <x:c r="A88" s="292"/>
      <x:c r="B88" s="292"/>
      <x:c r="C88" s="292"/>
      <x:c r="D88" s="292"/>
      <x:c r="E88" s="292"/>
      <x:c r="F88" s="292"/>
      <x:c r="G88" s="292"/>
      <x:c r="H88" s="292"/>
      <x:c r="I88" s="292"/>
      <x:c r="J88" s="292"/>
      <x:c r="K88" s="292"/>
      <x:c r="L88" s="292"/>
      <x:c r="M88" s="292"/>
      <x:c r="N88" s="292"/>
      <x:c r="O88" s="292"/>
      <x:c r="P88" s="292"/>
      <x:c r="Q88" s="292"/>
      <x:c r="R88" s="292"/>
      <x:c r="S88" s="292"/>
      <x:c r="T88" s="292"/>
      <x:c r="U88" s="292"/>
      <x:c r="V88" s="292"/>
      <x:c r="W88" s="292"/>
      <x:c r="X88" s="292"/>
      <x:c r="Y88" s="292"/>
      <x:c r="Z88" s="292"/>
    </x:row>
    <x:row r="89">
      <x:c r="A89" s="292"/>
      <x:c r="B89" s="292"/>
      <x:c r="C89" s="292"/>
      <x:c r="D89" s="292"/>
      <x:c r="E89" s="292"/>
      <x:c r="F89" s="292"/>
      <x:c r="G89" s="292"/>
      <x:c r="H89" s="292"/>
      <x:c r="I89" s="292"/>
      <x:c r="J89" s="292"/>
      <x:c r="K89" s="292"/>
      <x:c r="L89" s="292"/>
      <x:c r="M89" s="292"/>
      <x:c r="N89" s="292"/>
      <x:c r="O89" s="292"/>
      <x:c r="P89" s="292"/>
      <x:c r="Q89" s="292"/>
      <x:c r="R89" s="292"/>
      <x:c r="S89" s="292"/>
      <x:c r="T89" s="292"/>
      <x:c r="U89" s="292"/>
      <x:c r="V89" s="292"/>
      <x:c r="W89" s="292"/>
      <x:c r="X89" s="292"/>
      <x:c r="Y89" s="292"/>
      <x:c r="Z89" s="292"/>
    </x:row>
    <x:row r="90">
      <x:c r="A90" s="292"/>
      <x:c r="B90" s="292"/>
      <x:c r="C90" s="292"/>
      <x:c r="D90" s="292"/>
      <x:c r="E90" s="292"/>
      <x:c r="F90" s="292"/>
      <x:c r="G90" s="292"/>
      <x:c r="H90" s="292"/>
      <x:c r="I90" s="292"/>
      <x:c r="J90" s="292"/>
      <x:c r="K90" s="292"/>
      <x:c r="L90" s="292"/>
      <x:c r="M90" s="292"/>
      <x:c r="N90" s="292"/>
      <x:c r="O90" s="292"/>
      <x:c r="P90" s="292"/>
      <x:c r="Q90" s="292"/>
      <x:c r="R90" s="292"/>
      <x:c r="S90" s="292"/>
      <x:c r="T90" s="292"/>
      <x:c r="U90" s="292"/>
      <x:c r="V90" s="292"/>
      <x:c r="W90" s="292"/>
      <x:c r="X90" s="292"/>
      <x:c r="Y90" s="292"/>
      <x:c r="Z90" s="292"/>
    </x:row>
    <x:row r="91">
      <x:c r="A91" s="292"/>
      <x:c r="B91" s="292"/>
      <x:c r="C91" s="292"/>
      <x:c r="D91" s="292"/>
      <x:c r="E91" s="292"/>
      <x:c r="F91" s="292"/>
      <x:c r="G91" s="292"/>
      <x:c r="H91" s="292"/>
      <x:c r="I91" s="292"/>
      <x:c r="J91" s="292"/>
      <x:c r="K91" s="292"/>
      <x:c r="L91" s="292"/>
      <x:c r="M91" s="292"/>
      <x:c r="N91" s="292"/>
      <x:c r="O91" s="292"/>
      <x:c r="P91" s="292"/>
      <x:c r="Q91" s="292"/>
      <x:c r="R91" s="292"/>
      <x:c r="S91" s="292"/>
      <x:c r="T91" s="292"/>
      <x:c r="U91" s="292"/>
      <x:c r="V91" s="292"/>
      <x:c r="W91" s="292"/>
      <x:c r="X91" s="292"/>
      <x:c r="Y91" s="292"/>
      <x:c r="Z91" s="292"/>
    </x:row>
    <x:row r="92">
      <x:c r="A92" s="292"/>
      <x:c r="B92" s="292"/>
      <x:c r="C92" s="292"/>
      <x:c r="D92" s="292"/>
      <x:c r="E92" s="292"/>
      <x:c r="F92" s="292"/>
      <x:c r="G92" s="292"/>
      <x:c r="H92" s="292"/>
      <x:c r="I92" s="292"/>
      <x:c r="J92" s="292"/>
      <x:c r="K92" s="292"/>
      <x:c r="L92" s="292"/>
      <x:c r="M92" s="292"/>
      <x:c r="N92" s="292"/>
      <x:c r="O92" s="292"/>
      <x:c r="P92" s="292"/>
      <x:c r="Q92" s="292"/>
      <x:c r="R92" s="292"/>
      <x:c r="S92" s="292"/>
      <x:c r="T92" s="292"/>
      <x:c r="U92" s="292"/>
      <x:c r="V92" s="292"/>
      <x:c r="W92" s="292"/>
      <x:c r="X92" s="292"/>
      <x:c r="Y92" s="292"/>
      <x:c r="Z92" s="292"/>
    </x:row>
    <x:row r="93">
      <x:c r="A93" s="292"/>
      <x:c r="B93" s="292"/>
      <x:c r="C93" s="292"/>
      <x:c r="D93" s="292"/>
      <x:c r="E93" s="292"/>
      <x:c r="F93" s="292"/>
      <x:c r="G93" s="292"/>
      <x:c r="H93" s="292"/>
      <x:c r="I93" s="292"/>
      <x:c r="J93" s="292"/>
      <x:c r="K93" s="292"/>
      <x:c r="L93" s="292"/>
      <x:c r="M93" s="292"/>
      <x:c r="N93" s="292"/>
      <x:c r="O93" s="292"/>
      <x:c r="P93" s="292"/>
      <x:c r="Q93" s="292"/>
      <x:c r="R93" s="292"/>
      <x:c r="S93" s="292"/>
      <x:c r="T93" s="292"/>
      <x:c r="U93" s="292"/>
      <x:c r="V93" s="292"/>
      <x:c r="W93" s="292"/>
      <x:c r="X93" s="292"/>
      <x:c r="Y93" s="292"/>
      <x:c r="Z93" s="292"/>
    </x:row>
    <x:row r="94">
      <x:c r="A94" s="292"/>
      <x:c r="B94" s="292"/>
      <x:c r="C94" s="292"/>
      <x:c r="D94" s="292"/>
      <x:c r="E94" s="292"/>
      <x:c r="F94" s="292"/>
      <x:c r="G94" s="292"/>
      <x:c r="H94" s="292"/>
      <x:c r="I94" s="292"/>
      <x:c r="J94" s="292"/>
      <x:c r="K94" s="292"/>
      <x:c r="L94" s="292"/>
      <x:c r="M94" s="292"/>
      <x:c r="N94" s="292"/>
      <x:c r="O94" s="292"/>
      <x:c r="P94" s="292"/>
      <x:c r="Q94" s="292"/>
      <x:c r="R94" s="292"/>
      <x:c r="S94" s="292"/>
      <x:c r="T94" s="292"/>
      <x:c r="U94" s="292"/>
      <x:c r="V94" s="292"/>
      <x:c r="W94" s="292"/>
      <x:c r="X94" s="292"/>
      <x:c r="Y94" s="292"/>
      <x:c r="Z94" s="292"/>
    </x:row>
    <x:row r="95">
      <x:c r="A95" s="292"/>
      <x:c r="B95" s="292"/>
      <x:c r="C95" s="292"/>
      <x:c r="D95" s="292"/>
      <x:c r="E95" s="292"/>
      <x:c r="F95" s="292"/>
      <x:c r="G95" s="292"/>
      <x:c r="H95" s="292"/>
      <x:c r="I95" s="292"/>
      <x:c r="J95" s="292"/>
      <x:c r="K95" s="292"/>
      <x:c r="L95" s="292"/>
      <x:c r="M95" s="292"/>
      <x:c r="N95" s="292"/>
      <x:c r="O95" s="292"/>
      <x:c r="P95" s="292"/>
      <x:c r="Q95" s="292"/>
      <x:c r="R95" s="292"/>
      <x:c r="S95" s="292"/>
      <x:c r="T95" s="292"/>
      <x:c r="U95" s="292"/>
      <x:c r="V95" s="292"/>
      <x:c r="W95" s="292"/>
      <x:c r="X95" s="292"/>
      <x:c r="Y95" s="292"/>
      <x:c r="Z95" s="292"/>
    </x:row>
    <x:row r="96">
      <x:c r="A96" s="292"/>
      <x:c r="B96" s="292"/>
      <x:c r="C96" s="292"/>
      <x:c r="D96" s="292"/>
      <x:c r="E96" s="292"/>
      <x:c r="F96" s="292"/>
      <x:c r="G96" s="292"/>
      <x:c r="H96" s="292"/>
      <x:c r="I96" s="292"/>
      <x:c r="J96" s="292"/>
      <x:c r="K96" s="292"/>
      <x:c r="L96" s="292"/>
      <x:c r="M96" s="292"/>
      <x:c r="N96" s="292"/>
      <x:c r="O96" s="292"/>
      <x:c r="P96" s="292"/>
      <x:c r="Q96" s="292"/>
      <x:c r="R96" s="292"/>
      <x:c r="S96" s="292"/>
      <x:c r="T96" s="292"/>
      <x:c r="U96" s="292"/>
      <x:c r="V96" s="292"/>
      <x:c r="W96" s="292"/>
      <x:c r="X96" s="292"/>
      <x:c r="Y96" s="292"/>
      <x:c r="Z96" s="292"/>
    </x:row>
    <x:row r="97">
      <x:c r="A97" s="292"/>
      <x:c r="B97" s="292"/>
      <x:c r="C97" s="292"/>
      <x:c r="D97" s="292"/>
      <x:c r="E97" s="292"/>
      <x:c r="F97" s="292"/>
      <x:c r="G97" s="292"/>
      <x:c r="H97" s="292"/>
      <x:c r="I97" s="292"/>
      <x:c r="J97" s="292"/>
      <x:c r="K97" s="292"/>
      <x:c r="L97" s="292"/>
      <x:c r="M97" s="292"/>
      <x:c r="N97" s="292"/>
      <x:c r="O97" s="292"/>
      <x:c r="P97" s="292"/>
      <x:c r="Q97" s="292"/>
      <x:c r="R97" s="292"/>
      <x:c r="S97" s="292"/>
      <x:c r="T97" s="292"/>
      <x:c r="U97" s="292"/>
      <x:c r="V97" s="292"/>
      <x:c r="W97" s="292"/>
      <x:c r="X97" s="292"/>
      <x:c r="Y97" s="292"/>
      <x:c r="Z97" s="292"/>
    </x:row>
    <x:row r="98">
      <x:c r="A98" s="292"/>
      <x:c r="B98" s="292"/>
      <x:c r="C98" s="292"/>
      <x:c r="D98" s="292"/>
      <x:c r="E98" s="292"/>
      <x:c r="F98" s="292"/>
      <x:c r="G98" s="292"/>
      <x:c r="H98" s="292"/>
      <x:c r="I98" s="292"/>
      <x:c r="J98" s="292"/>
      <x:c r="K98" s="292"/>
      <x:c r="L98" s="292"/>
      <x:c r="M98" s="292"/>
      <x:c r="N98" s="292"/>
      <x:c r="O98" s="292"/>
      <x:c r="P98" s="292"/>
      <x:c r="Q98" s="292"/>
      <x:c r="R98" s="292"/>
      <x:c r="S98" s="292"/>
      <x:c r="T98" s="292"/>
      <x:c r="U98" s="292"/>
      <x:c r="V98" s="292"/>
      <x:c r="W98" s="292"/>
      <x:c r="X98" s="292"/>
      <x:c r="Y98" s="292"/>
      <x:c r="Z98" s="292"/>
    </x:row>
    <x:row r="99">
      <x:c r="A99" s="292"/>
      <x:c r="B99" s="292"/>
      <x:c r="C99" s="292"/>
      <x:c r="D99" s="292"/>
      <x:c r="E99" s="292"/>
      <x:c r="F99" s="292"/>
      <x:c r="G99" s="292"/>
      <x:c r="H99" s="292"/>
      <x:c r="I99" s="292"/>
      <x:c r="J99" s="292"/>
      <x:c r="K99" s="292"/>
      <x:c r="L99" s="292"/>
      <x:c r="M99" s="292"/>
      <x:c r="N99" s="292"/>
      <x:c r="O99" s="292"/>
      <x:c r="P99" s="292"/>
      <x:c r="Q99" s="292"/>
      <x:c r="R99" s="292"/>
      <x:c r="S99" s="292"/>
      <x:c r="T99" s="292"/>
      <x:c r="U99" s="292"/>
      <x:c r="V99" s="292"/>
      <x:c r="W99" s="292"/>
      <x:c r="X99" s="292"/>
      <x:c r="Y99" s="292"/>
      <x:c r="Z99" s="292"/>
    </x:row>
    <x:row r="100">
      <x:c r="A100" s="292"/>
      <x:c r="B100" s="292"/>
      <x:c r="C100" s="292"/>
      <x:c r="D100" s="292"/>
      <x:c r="E100" s="292"/>
      <x:c r="F100" s="292"/>
      <x:c r="G100" s="292"/>
      <x:c r="H100" s="292"/>
      <x:c r="I100" s="292"/>
      <x:c r="J100" s="292"/>
      <x:c r="K100" s="292"/>
      <x:c r="L100" s="292"/>
      <x:c r="M100" s="292"/>
      <x:c r="N100" s="292"/>
      <x:c r="O100" s="292"/>
      <x:c r="P100" s="292"/>
      <x:c r="Q100" s="292"/>
      <x:c r="R100" s="292"/>
      <x:c r="S100" s="292"/>
      <x:c r="T100" s="292"/>
      <x:c r="U100" s="292"/>
      <x:c r="V100" s="292"/>
      <x:c r="W100" s="292"/>
      <x:c r="X100" s="292"/>
      <x:c r="Y100" s="292"/>
      <x:c r="Z100" s="292"/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customHeight="1">
      <x:c r="A1" s="4" t="str">
        <x:v>Category Analysis</x:v>
      </x:c>
      <x:c r="B1" s="4"/>
      <x:c r="C1" s="4"/>
      <x:c r="D1" s="4"/>
      <x:c r="E1" s="4"/>
      <x:c r="F1" s="4"/>
    </x:row>
    <x:row r="2" ht="26" customHeight="1">
      <x:c r="A2" s="8" t="str">
        <x:v>Category revenue, profitability and mix; responds to Dashboard selectors</x:v>
      </x:c>
      <x:c r="B2" s="8"/>
      <x:c r="C2" s="8"/>
      <x:c r="D2" s="8"/>
      <x:c r="E2" s="8"/>
      <x:c r="F2" s="8"/>
    </x:row>
    <x:row r="4" ht="30" customHeight="1">
      <x:c r="A4" s="69" t="str">
        <x:v>Category</x:v>
      </x:c>
      <x:c r="B4" s="70" t="str">
        <x:v>Net_Revenue</x:v>
      </x:c>
      <x:c r="C4" s="70" t="str">
        <x:v>Profit</x:v>
      </x:c>
      <x:c r="D4" s="70" t="str">
        <x:v>Units</x:v>
      </x:c>
      <x:c r="E4" s="70" t="str">
        <x:v>Profit_Margin</x:v>
      </x:c>
      <x:c r="F4" s="71" t="str">
        <x:v>Revenue_Share</x:v>
      </x:c>
      <x:c r="G4" s="292"/>
      <x:c r="H4" s="292"/>
      <x:c r="I4" s="292"/>
      <x:c r="J4" s="292"/>
      <x:c r="K4" s="292"/>
      <x:c r="L4" s="292"/>
      <x:c r="M4" s="292"/>
      <x:c r="N4" s="292"/>
      <x:c r="O4" s="292"/>
      <x:c r="P4" s="292"/>
      <x:c r="Q4" s="292"/>
      <x:c r="R4" s="292"/>
      <x:c r="S4" s="292"/>
      <x:c r="T4" s="292"/>
      <x:c r="U4" s="292"/>
      <x:c r="V4" s="292"/>
      <x:c r="W4" s="292"/>
      <x:c r="X4" s="292"/>
      <x:c r="Y4" s="292"/>
      <x:c r="Z4" s="292"/>
    </x:row>
    <x:row r="5">
      <x:c r="A5" s="294" t="str">
        <x:v>Electronics</x:v>
      </x:c>
      <x:c r="B5" s="295" t="n">
        <x:f>SUMIFS('Clean Sales'!$W$5:$W$2428,'Clean Sales'!$AH$5:$AH$2428,1,'Clean Sales'!$N$5:$N$2428,A5)</x:f>
        <x:v>97783.70000000003</x:v>
      </x:c>
      <x:c r="C5" s="295" t="n">
        <x:f>SUMIFS('Clean Sales'!$Y$5:$Y$2428,'Clean Sales'!$AH$5:$AH$2428,1,'Clean Sales'!$N$5:$N$2428,A5)</x:f>
        <x:v>40389.89999999998</x:v>
      </x:c>
      <x:c r="D5" s="296" t="n">
        <x:f>SUMIFS('Clean Sales'!$R$5:$R$2428,'Clean Sales'!$AH$5:$AH$2428,1,'Clean Sales'!$N$5:$N$2428,A5)</x:f>
        <x:v>1207</x:v>
      </x:c>
      <x:c r="E5" s="297" t="n">
        <x:f>IFERROR(C5/B5,0)</x:f>
        <x:v>0.41305350482749137</x:v>
      </x:c>
      <x:c r="F5" s="297" t="n">
        <x:f>IFERROR(B5/SUM($B$5:$B$10),0)</x:f>
        <x:v>0.2710639383700769</x:v>
      </x:c>
      <x:c r="G5" s="292"/>
      <x:c r="H5" s="292"/>
      <x:c r="I5" s="292"/>
      <x:c r="J5" s="292"/>
      <x:c r="K5" s="292"/>
      <x:c r="L5" s="292"/>
      <x:c r="M5" s="292"/>
      <x:c r="N5" s="292"/>
      <x:c r="O5" s="292"/>
      <x:c r="P5" s="292"/>
      <x:c r="Q5" s="292"/>
      <x:c r="R5" s="292"/>
      <x:c r="S5" s="292"/>
      <x:c r="T5" s="292"/>
      <x:c r="U5" s="292"/>
      <x:c r="V5" s="292"/>
      <x:c r="W5" s="292"/>
      <x:c r="X5" s="292"/>
      <x:c r="Y5" s="292"/>
      <x:c r="Z5" s="292"/>
    </x:row>
    <x:row r="6">
      <x:c r="A6" s="299" t="str">
        <x:v>Home &amp; Kitchen</x:v>
      </x:c>
      <x:c r="B6" s="300" t="n">
        <x:f>SUMIFS('Clean Sales'!$W$5:$W$2428,'Clean Sales'!$AH$5:$AH$2428,1,'Clean Sales'!$N$5:$N$2428,A6)</x:f>
        <x:v>76114.0000000001</x:v>
      </x:c>
      <x:c r="C6" s="300" t="n">
        <x:f>SUMIFS('Clean Sales'!$Y$5:$Y$2428,'Clean Sales'!$AH$5:$AH$2428,1,'Clean Sales'!$N$5:$N$2428,A6)</x:f>
        <x:v>31858.799999999952</x:v>
      </x:c>
      <x:c r="D6" s="301" t="n">
        <x:f>SUMIFS('Clean Sales'!$R$5:$R$2428,'Clean Sales'!$AH$5:$AH$2428,1,'Clean Sales'!$N$5:$N$2428,A6)</x:f>
        <x:v>863</x:v>
      </x:c>
      <x:c r="E6" s="302" t="n">
        <x:f>IFERROR(C6/B6,0)</x:f>
        <x:v>0.4185668865123356</x:v>
      </x:c>
      <x:c r="F6" s="302" t="n">
        <x:f>IFERROR(B6/SUM($B$5:$B$10),0)</x:f>
        <x:v>0.2109938630375007</x:v>
      </x:c>
      <x:c r="G6" s="292"/>
      <x:c r="H6" s="292"/>
      <x:c r="I6" s="292"/>
      <x:c r="J6" s="292"/>
      <x:c r="K6" s="292"/>
      <x:c r="L6" s="292"/>
      <x:c r="M6" s="292"/>
      <x:c r="N6" s="292"/>
      <x:c r="O6" s="292"/>
      <x:c r="P6" s="292"/>
      <x:c r="Q6" s="292"/>
      <x:c r="R6" s="292"/>
      <x:c r="S6" s="292"/>
      <x:c r="T6" s="292"/>
      <x:c r="U6" s="292"/>
      <x:c r="V6" s="292"/>
      <x:c r="W6" s="292"/>
      <x:c r="X6" s="292"/>
      <x:c r="Y6" s="292"/>
      <x:c r="Z6" s="292"/>
    </x:row>
    <x:row r="7">
      <x:c r="A7" s="299" t="str">
        <x:v>Office</x:v>
      </x:c>
      <x:c r="B7" s="300" t="n">
        <x:f>SUMIFS('Clean Sales'!$W$5:$W$2428,'Clean Sales'!$AH$5:$AH$2428,1,'Clean Sales'!$N$5:$N$2428,A7)</x:f>
        <x:v>95153.35000000005</x:v>
      </x:c>
      <x:c r="C7" s="300" t="n">
        <x:f>SUMIFS('Clean Sales'!$Y$5:$Y$2428,'Clean Sales'!$AH$5:$AH$2428,1,'Clean Sales'!$N$5:$N$2428,A7)</x:f>
        <x:v>38279.14999999996</x:v>
      </x:c>
      <x:c r="D7" s="301" t="n">
        <x:f>SUMIFS('Clean Sales'!$R$5:$R$2428,'Clean Sales'!$AH$5:$AH$2428,1,'Clean Sales'!$N$5:$N$2428,A7)</x:f>
        <x:v>785</x:v>
      </x:c>
      <x:c r="E7" s="302" t="n">
        <x:f>IFERROR(C7/B7,0)</x:f>
        <x:v>0.40228904184666053</x:v>
      </x:c>
      <x:c r="F7" s="302" t="n">
        <x:f>IFERROR(B7/SUM($B$5:$B$10),0)</x:f>
        <x:v>0.26377240583150735</x:v>
      </x:c>
      <x:c r="G7" s="292"/>
      <x:c r="H7" s="292"/>
      <x:c r="I7" s="292"/>
      <x:c r="J7" s="292"/>
      <x:c r="K7" s="292"/>
      <x:c r="L7" s="292"/>
      <x:c r="M7" s="292"/>
      <x:c r="N7" s="292"/>
      <x:c r="O7" s="292"/>
      <x:c r="P7" s="292"/>
      <x:c r="Q7" s="292"/>
      <x:c r="R7" s="292"/>
      <x:c r="S7" s="292"/>
      <x:c r="T7" s="292"/>
      <x:c r="U7" s="292"/>
      <x:c r="V7" s="292"/>
      <x:c r="W7" s="292"/>
      <x:c r="X7" s="292"/>
      <x:c r="Y7" s="292"/>
      <x:c r="Z7" s="292"/>
    </x:row>
    <x:row r="8">
      <x:c r="A8" s="299" t="str">
        <x:v>Fitness</x:v>
      </x:c>
      <x:c r="B8" s="300" t="n">
        <x:f>SUMIFS('Clean Sales'!$W$5:$W$2428,'Clean Sales'!$AH$5:$AH$2428,1,'Clean Sales'!$N$5:$N$2428,A8)</x:f>
        <x:v>26271.499999999996</x:v>
      </x:c>
      <x:c r="C8" s="300" t="n">
        <x:f>SUMIFS('Clean Sales'!$Y$5:$Y$2428,'Clean Sales'!$AH$5:$AH$2428,1,'Clean Sales'!$N$5:$N$2428,A8)</x:f>
        <x:v>13103.699999999992</x:v>
      </x:c>
      <x:c r="D8" s="301" t="n">
        <x:f>SUMIFS('Clean Sales'!$R$5:$R$2428,'Clean Sales'!$AH$5:$AH$2428,1,'Clean Sales'!$N$5:$N$2428,A8)</x:f>
        <x:v>598</x:v>
      </x:c>
      <x:c r="E8" s="302" t="n">
        <x:f>IFERROR(C8/B8,0)</x:f>
        <x:v>0.4987800468187958</x:v>
      </x:c>
      <x:c r="F8" s="302" t="n">
        <x:f>IFERROR(B8/SUM($B$5:$B$10),0)</x:f>
        <x:v>0.07282661892410978</x:v>
      </x:c>
      <x:c r="G8" s="292"/>
      <x:c r="H8" s="292"/>
      <x:c r="I8" s="292"/>
      <x:c r="J8" s="292"/>
      <x:c r="K8" s="292"/>
      <x:c r="L8" s="292"/>
      <x:c r="M8" s="292"/>
      <x:c r="N8" s="292"/>
      <x:c r="O8" s="292"/>
      <x:c r="P8" s="292"/>
      <x:c r="Q8" s="292"/>
      <x:c r="R8" s="292"/>
      <x:c r="S8" s="292"/>
      <x:c r="T8" s="292"/>
      <x:c r="U8" s="292"/>
      <x:c r="V8" s="292"/>
      <x:c r="W8" s="292"/>
      <x:c r="X8" s="292"/>
      <x:c r="Y8" s="292"/>
      <x:c r="Z8" s="292"/>
    </x:row>
    <x:row r="9">
      <x:c r="A9" s="299" t="str">
        <x:v>Personal Care</x:v>
      </x:c>
      <x:c r="B9" s="300" t="n">
        <x:f>SUMIFS('Clean Sales'!$W$5:$W$2428,'Clean Sales'!$AH$5:$AH$2428,1,'Clean Sales'!$N$5:$N$2428,A9)</x:f>
        <x:v>31207.399999999998</x:v>
      </x:c>
      <x:c r="C9" s="300" t="n">
        <x:f>SUMIFS('Clean Sales'!$Y$5:$Y$2428,'Clean Sales'!$AH$5:$AH$2428,1,'Clean Sales'!$N$5:$N$2428,A9)</x:f>
        <x:v>15231.400000000005</x:v>
      </x:c>
      <x:c r="D9" s="301" t="n">
        <x:f>SUMIFS('Clean Sales'!$R$5:$R$2428,'Clean Sales'!$AH$5:$AH$2428,1,'Clean Sales'!$N$5:$N$2428,A9)</x:f>
        <x:v>565</x:v>
      </x:c>
      <x:c r="E9" s="302" t="n">
        <x:f>IFERROR(C9/B9,0)</x:f>
        <x:v>0.4880701372110463</x:v>
      </x:c>
      <x:c r="F9" s="302" t="n">
        <x:f>IFERROR(B9/SUM($B$5:$B$10),0)</x:f>
        <x:v>0.08650931341614539</x:v>
      </x:c>
      <x:c r="G9" s="292"/>
      <x:c r="H9" s="292"/>
      <x:c r="I9" s="292"/>
      <x:c r="J9" s="292"/>
      <x:c r="K9" s="292"/>
      <x:c r="L9" s="292"/>
      <x:c r="M9" s="292"/>
      <x:c r="N9" s="292"/>
      <x:c r="O9" s="292"/>
      <x:c r="P9" s="292"/>
      <x:c r="Q9" s="292"/>
      <x:c r="R9" s="292"/>
      <x:c r="S9" s="292"/>
      <x:c r="T9" s="292"/>
      <x:c r="U9" s="292"/>
      <x:c r="V9" s="292"/>
      <x:c r="W9" s="292"/>
      <x:c r="X9" s="292"/>
      <x:c r="Y9" s="292"/>
      <x:c r="Z9" s="292"/>
    </x:row>
    <x:row r="10">
      <x:c r="A10" s="304" t="str">
        <x:v>Accessories</x:v>
      </x:c>
      <x:c r="B10" s="305" t="n">
        <x:f>SUMIFS('Clean Sales'!$W$5:$W$2428,'Clean Sales'!$AH$5:$AH$2428,1,'Clean Sales'!$N$5:$N$2428,A10)</x:f>
        <x:v>34210.399999999965</x:v>
      </x:c>
      <x:c r="C10" s="305" t="n">
        <x:f>SUMIFS('Clean Sales'!$Y$5:$Y$2428,'Clean Sales'!$AH$5:$AH$2428,1,'Clean Sales'!$N$5:$N$2428,A10)</x:f>
        <x:v>21440.39999999999</x:v>
      </x:c>
      <x:c r="D10" s="306" t="n">
        <x:f>SUMIFS('Clean Sales'!$R$5:$R$2428,'Clean Sales'!$AH$5:$AH$2428,1,'Clean Sales'!$N$5:$N$2428,A10)</x:f>
        <x:v>783</x:v>
      </x:c>
      <x:c r="E10" s="307" t="n">
        <x:f>IFERROR(C10/B10,0)</x:f>
        <x:v>0.6267216986647339</x:v>
      </x:c>
      <x:c r="F10" s="307" t="n">
        <x:f>IFERROR(B10/SUM($B$5:$B$10),0)</x:f>
        <x:v>0.09483386042065976</x:v>
      </x:c>
      <x:c r="G10" s="292"/>
      <x:c r="H10" s="292"/>
      <x:c r="I10" s="292"/>
      <x:c r="J10" s="292"/>
      <x:c r="K10" s="292"/>
      <x:c r="L10" s="292"/>
      <x:c r="M10" s="292"/>
      <x:c r="N10" s="292"/>
      <x:c r="O10" s="292"/>
      <x:c r="P10" s="292"/>
      <x:c r="Q10" s="292"/>
      <x:c r="R10" s="292"/>
      <x:c r="S10" s="292"/>
      <x:c r="T10" s="292"/>
      <x:c r="U10" s="292"/>
      <x:c r="V10" s="292"/>
      <x:c r="W10" s="292"/>
      <x:c r="X10" s="292"/>
      <x:c r="Y10" s="292"/>
      <x:c r="Z10" s="292"/>
    </x:row>
    <x:row r="11">
      <x:c r="A11" s="292"/>
      <x:c r="B11" s="292"/>
      <x:c r="C11" s="292"/>
      <x:c r="D11" s="292"/>
      <x:c r="E11" s="292"/>
      <x:c r="F11" s="292"/>
      <x:c r="G11" s="292"/>
      <x:c r="H11" s="292"/>
      <x:c r="I11" s="292"/>
      <x:c r="J11" s="292"/>
      <x:c r="K11" s="292"/>
      <x:c r="L11" s="292"/>
      <x:c r="M11" s="292"/>
      <x:c r="N11" s="292"/>
      <x:c r="O11" s="292"/>
      <x:c r="P11" s="292"/>
      <x:c r="Q11" s="292"/>
      <x:c r="R11" s="292"/>
      <x:c r="S11" s="292"/>
      <x:c r="T11" s="292"/>
      <x:c r="U11" s="292"/>
      <x:c r="V11" s="292"/>
      <x:c r="W11" s="292"/>
      <x:c r="X11" s="292"/>
      <x:c r="Y11" s="292"/>
      <x:c r="Z11" s="292"/>
    </x:row>
    <x:row r="12">
      <x:c r="A12" s="292"/>
      <x:c r="B12" s="292"/>
      <x:c r="C12" s="292"/>
      <x:c r="D12" s="292"/>
      <x:c r="E12" s="292"/>
      <x:c r="F12" s="292"/>
      <x:c r="G12" s="292"/>
      <x:c r="H12" s="292"/>
      <x:c r="I12" s="292"/>
      <x:c r="J12" s="292"/>
      <x:c r="K12" s="292"/>
      <x:c r="L12" s="292"/>
      <x:c r="M12" s="292"/>
      <x:c r="N12" s="292"/>
      <x:c r="O12" s="292"/>
      <x:c r="P12" s="292"/>
      <x:c r="Q12" s="292"/>
      <x:c r="R12" s="292"/>
      <x:c r="S12" s="292"/>
      <x:c r="T12" s="292"/>
      <x:c r="U12" s="292"/>
      <x:c r="V12" s="292"/>
      <x:c r="W12" s="292"/>
      <x:c r="X12" s="292"/>
      <x:c r="Y12" s="292"/>
      <x:c r="Z12" s="292"/>
    </x:row>
    <x:row r="13">
      <x:c r="A13" s="292"/>
      <x:c r="B13" s="292"/>
      <x:c r="C13" s="292"/>
      <x:c r="D13" s="292"/>
      <x:c r="E13" s="292"/>
      <x:c r="F13" s="292"/>
      <x:c r="G13" s="292"/>
      <x:c r="H13" s="292"/>
      <x:c r="I13" s="292"/>
      <x:c r="J13" s="292"/>
      <x:c r="K13" s="292"/>
      <x:c r="L13" s="292"/>
      <x:c r="M13" s="292"/>
      <x:c r="N13" s="292"/>
      <x:c r="O13" s="292"/>
      <x:c r="P13" s="292"/>
      <x:c r="Q13" s="292"/>
      <x:c r="R13" s="292"/>
      <x:c r="S13" s="292"/>
      <x:c r="T13" s="292"/>
      <x:c r="U13" s="292"/>
      <x:c r="V13" s="292"/>
      <x:c r="W13" s="292"/>
      <x:c r="X13" s="292"/>
      <x:c r="Y13" s="292"/>
      <x:c r="Z13" s="292"/>
    </x:row>
    <x:row r="14">
      <x:c r="A14" s="292"/>
      <x:c r="B14" s="292"/>
      <x:c r="C14" s="292"/>
      <x:c r="D14" s="292"/>
      <x:c r="E14" s="292"/>
      <x:c r="F14" s="292"/>
      <x:c r="G14" s="292"/>
      <x:c r="H14" s="292"/>
      <x:c r="I14" s="292"/>
      <x:c r="J14" s="292"/>
      <x:c r="K14" s="292"/>
      <x:c r="L14" s="292"/>
      <x:c r="M14" s="292"/>
      <x:c r="N14" s="292"/>
      <x:c r="O14" s="292"/>
      <x:c r="P14" s="292"/>
      <x:c r="Q14" s="292"/>
      <x:c r="R14" s="292"/>
      <x:c r="S14" s="292"/>
      <x:c r="T14" s="292"/>
      <x:c r="U14" s="292"/>
      <x:c r="V14" s="292"/>
      <x:c r="W14" s="292"/>
      <x:c r="X14" s="292"/>
      <x:c r="Y14" s="292"/>
      <x:c r="Z14" s="292"/>
    </x:row>
    <x:row r="15">
      <x:c r="A15" s="292"/>
      <x:c r="B15" s="292"/>
      <x:c r="C15" s="292"/>
      <x:c r="D15" s="292"/>
      <x:c r="E15" s="292"/>
      <x:c r="F15" s="292"/>
      <x:c r="G15" s="292"/>
      <x:c r="H15" s="292"/>
      <x:c r="I15" s="292"/>
      <x:c r="J15" s="292"/>
      <x:c r="K15" s="292"/>
      <x:c r="L15" s="292"/>
      <x:c r="M15" s="292"/>
      <x:c r="N15" s="292"/>
      <x:c r="O15" s="292"/>
      <x:c r="P15" s="292"/>
      <x:c r="Q15" s="292"/>
      <x:c r="R15" s="292"/>
      <x:c r="S15" s="292"/>
      <x:c r="T15" s="292"/>
      <x:c r="U15" s="292"/>
      <x:c r="V15" s="292"/>
      <x:c r="W15" s="292"/>
      <x:c r="X15" s="292"/>
      <x:c r="Y15" s="292"/>
      <x:c r="Z15" s="292"/>
    </x:row>
    <x:row r="16">
      <x:c r="A16" s="292"/>
      <x:c r="B16" s="292"/>
      <x:c r="C16" s="292"/>
      <x:c r="D16" s="292"/>
      <x:c r="E16" s="292"/>
      <x:c r="F16" s="292"/>
      <x:c r="G16" s="292"/>
      <x:c r="H16" s="292"/>
      <x:c r="I16" s="292"/>
      <x:c r="J16" s="292"/>
      <x:c r="K16" s="292"/>
      <x:c r="L16" s="292"/>
      <x:c r="M16" s="292"/>
      <x:c r="N16" s="292"/>
      <x:c r="O16" s="292"/>
      <x:c r="P16" s="292"/>
      <x:c r="Q16" s="292"/>
      <x:c r="R16" s="292"/>
      <x:c r="S16" s="292"/>
      <x:c r="T16" s="292"/>
      <x:c r="U16" s="292"/>
      <x:c r="V16" s="292"/>
      <x:c r="W16" s="292"/>
      <x:c r="X16" s="292"/>
      <x:c r="Y16" s="292"/>
      <x:c r="Z16" s="292"/>
    </x:row>
    <x:row r="17">
      <x:c r="A17" s="292"/>
      <x:c r="B17" s="292"/>
      <x:c r="C17" s="292"/>
      <x:c r="D17" s="292"/>
      <x:c r="E17" s="292"/>
      <x:c r="F17" s="292"/>
      <x:c r="G17" s="292"/>
      <x:c r="H17" s="292"/>
      <x:c r="I17" s="292"/>
      <x:c r="J17" s="292"/>
      <x:c r="K17" s="292"/>
      <x:c r="L17" s="292"/>
      <x:c r="M17" s="292"/>
      <x:c r="N17" s="292"/>
      <x:c r="O17" s="292"/>
      <x:c r="P17" s="292"/>
      <x:c r="Q17" s="292"/>
      <x:c r="R17" s="292"/>
      <x:c r="S17" s="292"/>
      <x:c r="T17" s="292"/>
      <x:c r="U17" s="292"/>
      <x:c r="V17" s="292"/>
      <x:c r="W17" s="292"/>
      <x:c r="X17" s="292"/>
      <x:c r="Y17" s="292"/>
      <x:c r="Z17" s="292"/>
    </x:row>
    <x:row r="18">
      <x:c r="A18" s="292"/>
      <x:c r="B18" s="292"/>
      <x:c r="C18" s="292"/>
      <x:c r="D18" s="292"/>
      <x:c r="E18" s="292"/>
      <x:c r="F18" s="292"/>
      <x:c r="G18" s="292"/>
      <x:c r="H18" s="292"/>
      <x:c r="I18" s="292"/>
      <x:c r="J18" s="292"/>
      <x:c r="K18" s="292"/>
      <x:c r="L18" s="292"/>
      <x:c r="M18" s="292"/>
      <x:c r="N18" s="292"/>
      <x:c r="O18" s="292"/>
      <x:c r="P18" s="292"/>
      <x:c r="Q18" s="292"/>
      <x:c r="R18" s="292"/>
      <x:c r="S18" s="292"/>
      <x:c r="T18" s="292"/>
      <x:c r="U18" s="292"/>
      <x:c r="V18" s="292"/>
      <x:c r="W18" s="292"/>
      <x:c r="X18" s="292"/>
      <x:c r="Y18" s="292"/>
      <x:c r="Z18" s="292"/>
    </x:row>
    <x:row r="19">
      <x:c r="A19" s="292"/>
      <x:c r="B19" s="292"/>
      <x:c r="C19" s="292"/>
      <x:c r="D19" s="292"/>
      <x:c r="E19" s="292"/>
      <x:c r="F19" s="292"/>
      <x:c r="G19" s="292"/>
      <x:c r="H19" s="292"/>
      <x:c r="I19" s="292"/>
      <x:c r="J19" s="292"/>
      <x:c r="K19" s="292"/>
      <x:c r="L19" s="292"/>
      <x:c r="M19" s="292"/>
      <x:c r="N19" s="292"/>
      <x:c r="O19" s="292"/>
      <x:c r="P19" s="292"/>
      <x:c r="Q19" s="292"/>
      <x:c r="R19" s="292"/>
      <x:c r="S19" s="292"/>
      <x:c r="T19" s="292"/>
      <x:c r="U19" s="292"/>
      <x:c r="V19" s="292"/>
      <x:c r="W19" s="292"/>
      <x:c r="X19" s="292"/>
      <x:c r="Y19" s="292"/>
      <x:c r="Z19" s="292"/>
    </x:row>
    <x:row r="20">
      <x:c r="A20" s="292"/>
      <x:c r="B20" s="292"/>
      <x:c r="C20" s="292"/>
      <x:c r="D20" s="292"/>
      <x:c r="E20" s="292"/>
      <x:c r="F20" s="292"/>
      <x:c r="G20" s="292"/>
      <x:c r="H20" s="292"/>
      <x:c r="I20" s="292"/>
      <x:c r="J20" s="292"/>
      <x:c r="K20" s="292"/>
      <x:c r="L20" s="292"/>
      <x:c r="M20" s="292"/>
      <x:c r="N20" s="292"/>
      <x:c r="O20" s="292"/>
      <x:c r="P20" s="292"/>
      <x:c r="Q20" s="292"/>
      <x:c r="R20" s="292"/>
      <x:c r="S20" s="292"/>
      <x:c r="T20" s="292"/>
      <x:c r="U20" s="292"/>
      <x:c r="V20" s="292"/>
      <x:c r="W20" s="292"/>
      <x:c r="X20" s="292"/>
      <x:c r="Y20" s="292"/>
      <x:c r="Z20" s="292"/>
    </x:row>
    <x:row r="21">
      <x:c r="A21" s="292"/>
      <x:c r="B21" s="292"/>
      <x:c r="C21" s="292"/>
      <x:c r="D21" s="292"/>
      <x:c r="E21" s="292"/>
      <x:c r="F21" s="292"/>
      <x:c r="G21" s="292"/>
      <x:c r="H21" s="292"/>
      <x:c r="I21" s="292"/>
      <x:c r="J21" s="292"/>
      <x:c r="K21" s="292"/>
      <x:c r="L21" s="292"/>
      <x:c r="M21" s="292"/>
      <x:c r="N21" s="292"/>
      <x:c r="O21" s="292"/>
      <x:c r="P21" s="292"/>
      <x:c r="Q21" s="292"/>
      <x:c r="R21" s="292"/>
      <x:c r="S21" s="292"/>
      <x:c r="T21" s="292"/>
      <x:c r="U21" s="292"/>
      <x:c r="V21" s="292"/>
      <x:c r="W21" s="292"/>
      <x:c r="X21" s="292"/>
      <x:c r="Y21" s="292"/>
      <x:c r="Z21" s="292"/>
    </x:row>
    <x:row r="22">
      <x:c r="A22" s="292"/>
      <x:c r="B22" s="292"/>
      <x:c r="C22" s="292"/>
      <x:c r="D22" s="292"/>
      <x:c r="E22" s="292"/>
      <x:c r="F22" s="292"/>
      <x:c r="G22" s="292"/>
      <x:c r="H22" s="292"/>
      <x:c r="I22" s="292"/>
      <x:c r="J22" s="292"/>
      <x:c r="K22" s="292"/>
      <x:c r="L22" s="292"/>
      <x:c r="M22" s="292"/>
      <x:c r="N22" s="292"/>
      <x:c r="O22" s="292"/>
      <x:c r="P22" s="292"/>
      <x:c r="Q22" s="292"/>
      <x:c r="R22" s="292"/>
      <x:c r="S22" s="292"/>
      <x:c r="T22" s="292"/>
      <x:c r="U22" s="292"/>
      <x:c r="V22" s="292"/>
      <x:c r="W22" s="292"/>
      <x:c r="X22" s="292"/>
      <x:c r="Y22" s="292"/>
      <x:c r="Z22" s="292"/>
    </x:row>
    <x:row r="23">
      <x:c r="A23" s="292"/>
      <x:c r="B23" s="292"/>
      <x:c r="C23" s="292"/>
      <x:c r="D23" s="292"/>
      <x:c r="E23" s="292"/>
      <x:c r="F23" s="292"/>
      <x:c r="G23" s="292"/>
      <x:c r="H23" s="292"/>
      <x:c r="I23" s="292"/>
      <x:c r="J23" s="292"/>
      <x:c r="K23" s="292"/>
      <x:c r="L23" s="292"/>
      <x:c r="M23" s="292"/>
      <x:c r="N23" s="292"/>
      <x:c r="O23" s="292"/>
      <x:c r="P23" s="292"/>
      <x:c r="Q23" s="292"/>
      <x:c r="R23" s="292"/>
      <x:c r="S23" s="292"/>
      <x:c r="T23" s="292"/>
      <x:c r="U23" s="292"/>
      <x:c r="V23" s="292"/>
      <x:c r="W23" s="292"/>
      <x:c r="X23" s="292"/>
      <x:c r="Y23" s="292"/>
      <x:c r="Z23" s="292"/>
    </x:row>
    <x:row r="24">
      <x:c r="A24" s="292"/>
      <x:c r="B24" s="292"/>
      <x:c r="C24" s="292"/>
      <x:c r="D24" s="292"/>
      <x:c r="E24" s="292"/>
      <x:c r="F24" s="292"/>
      <x:c r="G24" s="292"/>
      <x:c r="H24" s="292"/>
      <x:c r="I24" s="292"/>
      <x:c r="J24" s="292"/>
      <x:c r="K24" s="292"/>
      <x:c r="L24" s="292"/>
      <x:c r="M24" s="292"/>
      <x:c r="N24" s="292"/>
      <x:c r="O24" s="292"/>
      <x:c r="P24" s="292"/>
      <x:c r="Q24" s="292"/>
      <x:c r="R24" s="292"/>
      <x:c r="S24" s="292"/>
      <x:c r="T24" s="292"/>
      <x:c r="U24" s="292"/>
      <x:c r="V24" s="292"/>
      <x:c r="W24" s="292"/>
      <x:c r="X24" s="292"/>
      <x:c r="Y24" s="292"/>
      <x:c r="Z24" s="292"/>
    </x:row>
    <x:row r="25">
      <x:c r="A25" s="292"/>
      <x:c r="B25" s="292"/>
      <x:c r="C25" s="292"/>
      <x:c r="D25" s="292"/>
      <x:c r="E25" s="292"/>
      <x:c r="F25" s="292"/>
      <x:c r="G25" s="292"/>
      <x:c r="H25" s="292"/>
      <x:c r="I25" s="292"/>
      <x:c r="J25" s="292"/>
      <x:c r="K25" s="292"/>
      <x:c r="L25" s="292"/>
      <x:c r="M25" s="292"/>
      <x:c r="N25" s="292"/>
      <x:c r="O25" s="292"/>
      <x:c r="P25" s="292"/>
      <x:c r="Q25" s="292"/>
      <x:c r="R25" s="292"/>
      <x:c r="S25" s="292"/>
      <x:c r="T25" s="292"/>
      <x:c r="U25" s="292"/>
      <x:c r="V25" s="292"/>
      <x:c r="W25" s="292"/>
      <x:c r="X25" s="292"/>
      <x:c r="Y25" s="292"/>
      <x:c r="Z25" s="292"/>
    </x:row>
    <x:row r="26">
      <x:c r="A26" s="292"/>
      <x:c r="B26" s="292"/>
      <x:c r="C26" s="292"/>
      <x:c r="D26" s="292"/>
      <x:c r="E26" s="292"/>
      <x:c r="F26" s="292"/>
      <x:c r="G26" s="292"/>
      <x:c r="H26" s="292"/>
      <x:c r="I26" s="292"/>
      <x:c r="J26" s="292"/>
      <x:c r="K26" s="292"/>
      <x:c r="L26" s="292"/>
      <x:c r="M26" s="292"/>
      <x:c r="N26" s="292"/>
      <x:c r="O26" s="292"/>
      <x:c r="P26" s="292"/>
      <x:c r="Q26" s="292"/>
      <x:c r="R26" s="292"/>
      <x:c r="S26" s="292"/>
      <x:c r="T26" s="292"/>
      <x:c r="U26" s="292"/>
      <x:c r="V26" s="292"/>
      <x:c r="W26" s="292"/>
      <x:c r="X26" s="292"/>
      <x:c r="Y26" s="292"/>
      <x:c r="Z26" s="292"/>
    </x:row>
    <x:row r="27">
      <x:c r="A27" s="292"/>
      <x:c r="B27" s="292"/>
      <x:c r="C27" s="292"/>
      <x:c r="D27" s="292"/>
      <x:c r="E27" s="292"/>
      <x:c r="F27" s="292"/>
      <x:c r="G27" s="292"/>
      <x:c r="H27" s="292"/>
      <x:c r="I27" s="292"/>
      <x:c r="J27" s="292"/>
      <x:c r="K27" s="292"/>
      <x:c r="L27" s="292"/>
      <x:c r="M27" s="292"/>
      <x:c r="N27" s="292"/>
      <x:c r="O27" s="292"/>
      <x:c r="P27" s="292"/>
      <x:c r="Q27" s="292"/>
      <x:c r="R27" s="292"/>
      <x:c r="S27" s="292"/>
      <x:c r="T27" s="292"/>
      <x:c r="U27" s="292"/>
      <x:c r="V27" s="292"/>
      <x:c r="W27" s="292"/>
      <x:c r="X27" s="292"/>
      <x:c r="Y27" s="292"/>
      <x:c r="Z27" s="292"/>
    </x:row>
    <x:row r="28">
      <x:c r="A28" s="292"/>
      <x:c r="B28" s="292"/>
      <x:c r="C28" s="292"/>
      <x:c r="D28" s="292"/>
      <x:c r="E28" s="292"/>
      <x:c r="F28" s="292"/>
      <x:c r="G28" s="292"/>
      <x:c r="H28" s="292"/>
      <x:c r="I28" s="292"/>
      <x:c r="J28" s="292"/>
      <x:c r="K28" s="292"/>
      <x:c r="L28" s="292"/>
      <x:c r="M28" s="292"/>
      <x:c r="N28" s="292"/>
      <x:c r="O28" s="292"/>
      <x:c r="P28" s="292"/>
      <x:c r="Q28" s="292"/>
      <x:c r="R28" s="292"/>
      <x:c r="S28" s="292"/>
      <x:c r="T28" s="292"/>
      <x:c r="U28" s="292"/>
      <x:c r="V28" s="292"/>
      <x:c r="W28" s="292"/>
      <x:c r="X28" s="292"/>
      <x:c r="Y28" s="292"/>
      <x:c r="Z28" s="292"/>
    </x:row>
    <x:row r="29">
      <x:c r="A29" s="292"/>
      <x:c r="B29" s="292"/>
      <x:c r="C29" s="292"/>
      <x:c r="D29" s="292"/>
      <x:c r="E29" s="292"/>
      <x:c r="F29" s="292"/>
      <x:c r="G29" s="292"/>
      <x:c r="H29" s="292"/>
      <x:c r="I29" s="292"/>
      <x:c r="J29" s="292"/>
      <x:c r="K29" s="292"/>
      <x:c r="L29" s="292"/>
      <x:c r="M29" s="292"/>
      <x:c r="N29" s="292"/>
      <x:c r="O29" s="292"/>
      <x:c r="P29" s="292"/>
      <x:c r="Q29" s="292"/>
      <x:c r="R29" s="292"/>
      <x:c r="S29" s="292"/>
      <x:c r="T29" s="292"/>
      <x:c r="U29" s="292"/>
      <x:c r="V29" s="292"/>
      <x:c r="W29" s="292"/>
      <x:c r="X29" s="292"/>
      <x:c r="Y29" s="292"/>
      <x:c r="Z29" s="292"/>
    </x:row>
    <x:row r="30">
      <x:c r="A30" s="292"/>
      <x:c r="B30" s="292"/>
      <x:c r="C30" s="292"/>
      <x:c r="D30" s="292"/>
      <x:c r="E30" s="292"/>
      <x:c r="F30" s="292"/>
      <x:c r="G30" s="292"/>
      <x:c r="H30" s="292"/>
      <x:c r="I30" s="292"/>
      <x:c r="J30" s="292"/>
      <x:c r="K30" s="292"/>
      <x:c r="L30" s="292"/>
      <x:c r="M30" s="292"/>
      <x:c r="N30" s="292"/>
      <x:c r="O30" s="292"/>
      <x:c r="P30" s="292"/>
      <x:c r="Q30" s="292"/>
      <x:c r="R30" s="292"/>
      <x:c r="S30" s="292"/>
      <x:c r="T30" s="292"/>
      <x:c r="U30" s="292"/>
      <x:c r="V30" s="292"/>
      <x:c r="W30" s="292"/>
      <x:c r="X30" s="292"/>
      <x:c r="Y30" s="292"/>
      <x:c r="Z30" s="292"/>
    </x:row>
    <x:row r="31">
      <x:c r="A31" s="292"/>
      <x:c r="B31" s="292"/>
      <x:c r="C31" s="292"/>
      <x:c r="D31" s="292"/>
      <x:c r="E31" s="292"/>
      <x:c r="F31" s="292"/>
      <x:c r="G31" s="292"/>
      <x:c r="H31" s="292"/>
      <x:c r="I31" s="292"/>
      <x:c r="J31" s="292"/>
      <x:c r="K31" s="292"/>
      <x:c r="L31" s="292"/>
      <x:c r="M31" s="292"/>
      <x:c r="N31" s="292"/>
      <x:c r="O31" s="292"/>
      <x:c r="P31" s="292"/>
      <x:c r="Q31" s="292"/>
      <x:c r="R31" s="292"/>
      <x:c r="S31" s="292"/>
      <x:c r="T31" s="292"/>
      <x:c r="U31" s="292"/>
      <x:c r="V31" s="292"/>
      <x:c r="W31" s="292"/>
      <x:c r="X31" s="292"/>
      <x:c r="Y31" s="292"/>
      <x:c r="Z31" s="292"/>
    </x:row>
    <x:row r="32">
      <x:c r="A32" s="292"/>
      <x:c r="B32" s="292"/>
      <x:c r="C32" s="292"/>
      <x:c r="D32" s="292"/>
      <x:c r="E32" s="292"/>
      <x:c r="F32" s="292"/>
      <x:c r="G32" s="292"/>
      <x:c r="H32" s="292"/>
      <x:c r="I32" s="292"/>
      <x:c r="J32" s="292"/>
      <x:c r="K32" s="292"/>
      <x:c r="L32" s="292"/>
      <x:c r="M32" s="292"/>
      <x:c r="N32" s="292"/>
      <x:c r="O32" s="292"/>
      <x:c r="P32" s="292"/>
      <x:c r="Q32" s="292"/>
      <x:c r="R32" s="292"/>
      <x:c r="S32" s="292"/>
      <x:c r="T32" s="292"/>
      <x:c r="U32" s="292"/>
      <x:c r="V32" s="292"/>
      <x:c r="W32" s="292"/>
      <x:c r="X32" s="292"/>
      <x:c r="Y32" s="292"/>
      <x:c r="Z32" s="292"/>
    </x:row>
    <x:row r="33">
      <x:c r="A33" s="292"/>
      <x:c r="B33" s="292"/>
      <x:c r="C33" s="292"/>
      <x:c r="D33" s="292"/>
      <x:c r="E33" s="292"/>
      <x:c r="F33" s="292"/>
      <x:c r="G33" s="292"/>
      <x:c r="H33" s="292"/>
      <x:c r="I33" s="292"/>
      <x:c r="J33" s="292"/>
      <x:c r="K33" s="292"/>
      <x:c r="L33" s="292"/>
      <x:c r="M33" s="292"/>
      <x:c r="N33" s="292"/>
      <x:c r="O33" s="292"/>
      <x:c r="P33" s="292"/>
      <x:c r="Q33" s="292"/>
      <x:c r="R33" s="292"/>
      <x:c r="S33" s="292"/>
      <x:c r="T33" s="292"/>
      <x:c r="U33" s="292"/>
      <x:c r="V33" s="292"/>
      <x:c r="W33" s="292"/>
      <x:c r="X33" s="292"/>
      <x:c r="Y33" s="292"/>
      <x:c r="Z33" s="292"/>
    </x:row>
    <x:row r="34">
      <x:c r="A34" s="292"/>
      <x:c r="B34" s="292"/>
      <x:c r="C34" s="292"/>
      <x:c r="D34" s="292"/>
      <x:c r="E34" s="292"/>
      <x:c r="F34" s="292"/>
      <x:c r="G34" s="292"/>
      <x:c r="H34" s="292"/>
      <x:c r="I34" s="292"/>
      <x:c r="J34" s="292"/>
      <x:c r="K34" s="292"/>
      <x:c r="L34" s="292"/>
      <x:c r="M34" s="292"/>
      <x:c r="N34" s="292"/>
      <x:c r="O34" s="292"/>
      <x:c r="P34" s="292"/>
      <x:c r="Q34" s="292"/>
      <x:c r="R34" s="292"/>
      <x:c r="S34" s="292"/>
      <x:c r="T34" s="292"/>
      <x:c r="U34" s="292"/>
      <x:c r="V34" s="292"/>
      <x:c r="W34" s="292"/>
      <x:c r="X34" s="292"/>
      <x:c r="Y34" s="292"/>
      <x:c r="Z34" s="292"/>
    </x:row>
    <x:row r="35">
      <x:c r="A35" s="292"/>
      <x:c r="B35" s="292"/>
      <x:c r="C35" s="292"/>
      <x:c r="D35" s="292"/>
      <x:c r="E35" s="292"/>
      <x:c r="F35" s="292"/>
      <x:c r="G35" s="292"/>
      <x:c r="H35" s="292"/>
      <x:c r="I35" s="292"/>
      <x:c r="J35" s="292"/>
      <x:c r="K35" s="292"/>
      <x:c r="L35" s="292"/>
      <x:c r="M35" s="292"/>
      <x:c r="N35" s="292"/>
      <x:c r="O35" s="292"/>
      <x:c r="P35" s="292"/>
      <x:c r="Q35" s="292"/>
      <x:c r="R35" s="292"/>
      <x:c r="S35" s="292"/>
      <x:c r="T35" s="292"/>
      <x:c r="U35" s="292"/>
      <x:c r="V35" s="292"/>
      <x:c r="W35" s="292"/>
      <x:c r="X35" s="292"/>
      <x:c r="Y35" s="292"/>
      <x:c r="Z35" s="292"/>
    </x:row>
    <x:row r="36">
      <x:c r="A36" s="292"/>
      <x:c r="B36" s="292"/>
      <x:c r="C36" s="292"/>
      <x:c r="D36" s="292"/>
      <x:c r="E36" s="292"/>
      <x:c r="F36" s="292"/>
      <x:c r="G36" s="292"/>
      <x:c r="H36" s="292"/>
      <x:c r="I36" s="292"/>
      <x:c r="J36" s="292"/>
      <x:c r="K36" s="292"/>
      <x:c r="L36" s="292"/>
      <x:c r="M36" s="292"/>
      <x:c r="N36" s="292"/>
      <x:c r="O36" s="292"/>
      <x:c r="P36" s="292"/>
      <x:c r="Q36" s="292"/>
      <x:c r="R36" s="292"/>
      <x:c r="S36" s="292"/>
      <x:c r="T36" s="292"/>
      <x:c r="U36" s="292"/>
      <x:c r="V36" s="292"/>
      <x:c r="W36" s="292"/>
      <x:c r="X36" s="292"/>
      <x:c r="Y36" s="292"/>
      <x:c r="Z36" s="292"/>
    </x:row>
    <x:row r="37">
      <x:c r="A37" s="292"/>
      <x:c r="B37" s="292"/>
      <x:c r="C37" s="292"/>
      <x:c r="D37" s="292"/>
      <x:c r="E37" s="292"/>
      <x:c r="F37" s="292"/>
      <x:c r="G37" s="292"/>
      <x:c r="H37" s="292"/>
      <x:c r="I37" s="292"/>
      <x:c r="J37" s="292"/>
      <x:c r="K37" s="292"/>
      <x:c r="L37" s="292"/>
      <x:c r="M37" s="292"/>
      <x:c r="N37" s="292"/>
      <x:c r="O37" s="292"/>
      <x:c r="P37" s="292"/>
      <x:c r="Q37" s="292"/>
      <x:c r="R37" s="292"/>
      <x:c r="S37" s="292"/>
      <x:c r="T37" s="292"/>
      <x:c r="U37" s="292"/>
      <x:c r="V37" s="292"/>
      <x:c r="W37" s="292"/>
      <x:c r="X37" s="292"/>
      <x:c r="Y37" s="292"/>
      <x:c r="Z37" s="292"/>
    </x:row>
    <x:row r="38">
      <x:c r="A38" s="292"/>
      <x:c r="B38" s="292"/>
      <x:c r="C38" s="292"/>
      <x:c r="D38" s="292"/>
      <x:c r="E38" s="292"/>
      <x:c r="F38" s="292"/>
      <x:c r="G38" s="292"/>
      <x:c r="H38" s="292"/>
      <x:c r="I38" s="292"/>
      <x:c r="J38" s="292"/>
      <x:c r="K38" s="292"/>
      <x:c r="L38" s="292"/>
      <x:c r="M38" s="292"/>
      <x:c r="N38" s="292"/>
      <x:c r="O38" s="292"/>
      <x:c r="P38" s="292"/>
      <x:c r="Q38" s="292"/>
      <x:c r="R38" s="292"/>
      <x:c r="S38" s="292"/>
      <x:c r="T38" s="292"/>
      <x:c r="U38" s="292"/>
      <x:c r="V38" s="292"/>
      <x:c r="W38" s="292"/>
      <x:c r="X38" s="292"/>
      <x:c r="Y38" s="292"/>
      <x:c r="Z38" s="292"/>
    </x:row>
    <x:row r="39">
      <x:c r="A39" s="292"/>
      <x:c r="B39" s="292"/>
      <x:c r="C39" s="292"/>
      <x:c r="D39" s="292"/>
      <x:c r="E39" s="292"/>
      <x:c r="F39" s="292"/>
      <x:c r="G39" s="292"/>
      <x:c r="H39" s="292"/>
      <x:c r="I39" s="292"/>
      <x:c r="J39" s="292"/>
      <x:c r="K39" s="292"/>
      <x:c r="L39" s="292"/>
      <x:c r="M39" s="292"/>
      <x:c r="N39" s="292"/>
      <x:c r="O39" s="292"/>
      <x:c r="P39" s="292"/>
      <x:c r="Q39" s="292"/>
      <x:c r="R39" s="292"/>
      <x:c r="S39" s="292"/>
      <x:c r="T39" s="292"/>
      <x:c r="U39" s="292"/>
      <x:c r="V39" s="292"/>
      <x:c r="W39" s="292"/>
      <x:c r="X39" s="292"/>
      <x:c r="Y39" s="292"/>
      <x:c r="Z39" s="292"/>
    </x:row>
    <x:row r="40">
      <x:c r="A40" s="292"/>
      <x:c r="B40" s="292"/>
      <x:c r="C40" s="292"/>
      <x:c r="D40" s="292"/>
      <x:c r="E40" s="292"/>
      <x:c r="F40" s="292"/>
      <x:c r="G40" s="292"/>
      <x:c r="H40" s="292"/>
      <x:c r="I40" s="292"/>
      <x:c r="J40" s="292"/>
      <x:c r="K40" s="292"/>
      <x:c r="L40" s="292"/>
      <x:c r="M40" s="292"/>
      <x:c r="N40" s="292"/>
      <x:c r="O40" s="292"/>
      <x:c r="P40" s="292"/>
      <x:c r="Q40" s="292"/>
      <x:c r="R40" s="292"/>
      <x:c r="S40" s="292"/>
      <x:c r="T40" s="292"/>
      <x:c r="U40" s="292"/>
      <x:c r="V40" s="292"/>
      <x:c r="W40" s="292"/>
      <x:c r="X40" s="292"/>
      <x:c r="Y40" s="292"/>
      <x:c r="Z40" s="292"/>
    </x:row>
    <x:row r="41">
      <x:c r="A41" s="292"/>
      <x:c r="B41" s="292"/>
      <x:c r="C41" s="292"/>
      <x:c r="D41" s="292"/>
      <x:c r="E41" s="292"/>
      <x:c r="F41" s="292"/>
      <x:c r="G41" s="292"/>
      <x:c r="H41" s="292"/>
      <x:c r="I41" s="292"/>
      <x:c r="J41" s="292"/>
      <x:c r="K41" s="292"/>
      <x:c r="L41" s="292"/>
      <x:c r="M41" s="292"/>
      <x:c r="N41" s="292"/>
      <x:c r="O41" s="292"/>
      <x:c r="P41" s="292"/>
      <x:c r="Q41" s="292"/>
      <x:c r="R41" s="292"/>
      <x:c r="S41" s="292"/>
      <x:c r="T41" s="292"/>
      <x:c r="U41" s="292"/>
      <x:c r="V41" s="292"/>
      <x:c r="W41" s="292"/>
      <x:c r="X41" s="292"/>
      <x:c r="Y41" s="292"/>
      <x:c r="Z41" s="292"/>
    </x:row>
    <x:row r="42">
      <x:c r="A42" s="292"/>
      <x:c r="B42" s="292"/>
      <x:c r="C42" s="292"/>
      <x:c r="D42" s="292"/>
      <x:c r="E42" s="292"/>
      <x:c r="F42" s="292"/>
      <x:c r="G42" s="292"/>
      <x:c r="H42" s="292"/>
      <x:c r="I42" s="292"/>
      <x:c r="J42" s="292"/>
      <x:c r="K42" s="292"/>
      <x:c r="L42" s="292"/>
      <x:c r="M42" s="292"/>
      <x:c r="N42" s="292"/>
      <x:c r="O42" s="292"/>
      <x:c r="P42" s="292"/>
      <x:c r="Q42" s="292"/>
      <x:c r="R42" s="292"/>
      <x:c r="S42" s="292"/>
      <x:c r="T42" s="292"/>
      <x:c r="U42" s="292"/>
      <x:c r="V42" s="292"/>
      <x:c r="W42" s="292"/>
      <x:c r="X42" s="292"/>
      <x:c r="Y42" s="292"/>
      <x:c r="Z42" s="292"/>
    </x:row>
    <x:row r="43">
      <x:c r="A43" s="292"/>
      <x:c r="B43" s="292"/>
      <x:c r="C43" s="292"/>
      <x:c r="D43" s="292"/>
      <x:c r="E43" s="292"/>
      <x:c r="F43" s="292"/>
      <x:c r="G43" s="292"/>
      <x:c r="H43" s="292"/>
      <x:c r="I43" s="292"/>
      <x:c r="J43" s="292"/>
      <x:c r="K43" s="292"/>
      <x:c r="L43" s="292"/>
      <x:c r="M43" s="292"/>
      <x:c r="N43" s="292"/>
      <x:c r="O43" s="292"/>
      <x:c r="P43" s="292"/>
      <x:c r="Q43" s="292"/>
      <x:c r="R43" s="292"/>
      <x:c r="S43" s="292"/>
      <x:c r="T43" s="292"/>
      <x:c r="U43" s="292"/>
      <x:c r="V43" s="292"/>
      <x:c r="W43" s="292"/>
      <x:c r="X43" s="292"/>
      <x:c r="Y43" s="292"/>
      <x:c r="Z43" s="292"/>
    </x:row>
    <x:row r="44">
      <x:c r="A44" s="292"/>
      <x:c r="B44" s="292"/>
      <x:c r="C44" s="292"/>
      <x:c r="D44" s="292"/>
      <x:c r="E44" s="292"/>
      <x:c r="F44" s="292"/>
      <x:c r="G44" s="292"/>
      <x:c r="H44" s="292"/>
      <x:c r="I44" s="292"/>
      <x:c r="J44" s="292"/>
      <x:c r="K44" s="292"/>
      <x:c r="L44" s="292"/>
      <x:c r="M44" s="292"/>
      <x:c r="N44" s="292"/>
      <x:c r="O44" s="292"/>
      <x:c r="P44" s="292"/>
      <x:c r="Q44" s="292"/>
      <x:c r="R44" s="292"/>
      <x:c r="S44" s="292"/>
      <x:c r="T44" s="292"/>
      <x:c r="U44" s="292"/>
      <x:c r="V44" s="292"/>
      <x:c r="W44" s="292"/>
      <x:c r="X44" s="292"/>
      <x:c r="Y44" s="292"/>
      <x:c r="Z44" s="292"/>
    </x:row>
    <x:row r="45">
      <x:c r="A45" s="292"/>
      <x:c r="B45" s="292"/>
      <x:c r="C45" s="292"/>
      <x:c r="D45" s="292"/>
      <x:c r="E45" s="292"/>
      <x:c r="F45" s="292"/>
      <x:c r="G45" s="292"/>
      <x:c r="H45" s="292"/>
      <x:c r="I45" s="292"/>
      <x:c r="J45" s="292"/>
      <x:c r="K45" s="292"/>
      <x:c r="L45" s="292"/>
      <x:c r="M45" s="292"/>
      <x:c r="N45" s="292"/>
      <x:c r="O45" s="292"/>
      <x:c r="P45" s="292"/>
      <x:c r="Q45" s="292"/>
      <x:c r="R45" s="292"/>
      <x:c r="S45" s="292"/>
      <x:c r="T45" s="292"/>
      <x:c r="U45" s="292"/>
      <x:c r="V45" s="292"/>
      <x:c r="W45" s="292"/>
      <x:c r="X45" s="292"/>
      <x:c r="Y45" s="292"/>
      <x:c r="Z45" s="292"/>
    </x:row>
    <x:row r="46">
      <x:c r="A46" s="292"/>
      <x:c r="B46" s="292"/>
      <x:c r="C46" s="292"/>
      <x:c r="D46" s="292"/>
      <x:c r="E46" s="292"/>
      <x:c r="F46" s="292"/>
      <x:c r="G46" s="292"/>
      <x:c r="H46" s="292"/>
      <x:c r="I46" s="292"/>
      <x:c r="J46" s="292"/>
      <x:c r="K46" s="292"/>
      <x:c r="L46" s="292"/>
      <x:c r="M46" s="292"/>
      <x:c r="N46" s="292"/>
      <x:c r="O46" s="292"/>
      <x:c r="P46" s="292"/>
      <x:c r="Q46" s="292"/>
      <x:c r="R46" s="292"/>
      <x:c r="S46" s="292"/>
      <x:c r="T46" s="292"/>
      <x:c r="U46" s="292"/>
      <x:c r="V46" s="292"/>
      <x:c r="W46" s="292"/>
      <x:c r="X46" s="292"/>
      <x:c r="Y46" s="292"/>
      <x:c r="Z46" s="292"/>
    </x:row>
    <x:row r="47">
      <x:c r="A47" s="292"/>
      <x:c r="B47" s="292"/>
      <x:c r="C47" s="292"/>
      <x:c r="D47" s="292"/>
      <x:c r="E47" s="292"/>
      <x:c r="F47" s="292"/>
      <x:c r="G47" s="292"/>
      <x:c r="H47" s="292"/>
      <x:c r="I47" s="292"/>
      <x:c r="J47" s="292"/>
      <x:c r="K47" s="292"/>
      <x:c r="L47" s="292"/>
      <x:c r="M47" s="292"/>
      <x:c r="N47" s="292"/>
      <x:c r="O47" s="292"/>
      <x:c r="P47" s="292"/>
      <x:c r="Q47" s="292"/>
      <x:c r="R47" s="292"/>
      <x:c r="S47" s="292"/>
      <x:c r="T47" s="292"/>
      <x:c r="U47" s="292"/>
      <x:c r="V47" s="292"/>
      <x:c r="W47" s="292"/>
      <x:c r="X47" s="292"/>
      <x:c r="Y47" s="292"/>
      <x:c r="Z47" s="292"/>
    </x:row>
    <x:row r="48">
      <x:c r="A48" s="292"/>
      <x:c r="B48" s="292"/>
      <x:c r="C48" s="292"/>
      <x:c r="D48" s="292"/>
      <x:c r="E48" s="292"/>
      <x:c r="F48" s="292"/>
      <x:c r="G48" s="292"/>
      <x:c r="H48" s="292"/>
      <x:c r="I48" s="292"/>
      <x:c r="J48" s="292"/>
      <x:c r="K48" s="292"/>
      <x:c r="L48" s="292"/>
      <x:c r="M48" s="292"/>
      <x:c r="N48" s="292"/>
      <x:c r="O48" s="292"/>
      <x:c r="P48" s="292"/>
      <x:c r="Q48" s="292"/>
      <x:c r="R48" s="292"/>
      <x:c r="S48" s="292"/>
      <x:c r="T48" s="292"/>
      <x:c r="U48" s="292"/>
      <x:c r="V48" s="292"/>
      <x:c r="W48" s="292"/>
      <x:c r="X48" s="292"/>
      <x:c r="Y48" s="292"/>
      <x:c r="Z48" s="292"/>
    </x:row>
    <x:row r="49">
      <x:c r="A49" s="292"/>
      <x:c r="B49" s="292"/>
      <x:c r="C49" s="292"/>
      <x:c r="D49" s="292"/>
      <x:c r="E49" s="292"/>
      <x:c r="F49" s="292"/>
      <x:c r="G49" s="292"/>
      <x:c r="H49" s="292"/>
      <x:c r="I49" s="292"/>
      <x:c r="J49" s="292"/>
      <x:c r="K49" s="292"/>
      <x:c r="L49" s="292"/>
      <x:c r="M49" s="292"/>
      <x:c r="N49" s="292"/>
      <x:c r="O49" s="292"/>
      <x:c r="P49" s="292"/>
      <x:c r="Q49" s="292"/>
      <x:c r="R49" s="292"/>
      <x:c r="S49" s="292"/>
      <x:c r="T49" s="292"/>
      <x:c r="U49" s="292"/>
      <x:c r="V49" s="292"/>
      <x:c r="W49" s="292"/>
      <x:c r="X49" s="292"/>
      <x:c r="Y49" s="292"/>
      <x:c r="Z49" s="292"/>
    </x:row>
    <x:row r="50">
      <x:c r="A50" s="292"/>
      <x:c r="B50" s="292"/>
      <x:c r="C50" s="292"/>
      <x:c r="D50" s="292"/>
      <x:c r="E50" s="292"/>
      <x:c r="F50" s="292"/>
      <x:c r="G50" s="292"/>
      <x:c r="H50" s="292"/>
      <x:c r="I50" s="292"/>
      <x:c r="J50" s="292"/>
      <x:c r="K50" s="292"/>
      <x:c r="L50" s="292"/>
      <x:c r="M50" s="292"/>
      <x:c r="N50" s="292"/>
      <x:c r="O50" s="292"/>
      <x:c r="P50" s="292"/>
      <x:c r="Q50" s="292"/>
      <x:c r="R50" s="292"/>
      <x:c r="S50" s="292"/>
      <x:c r="T50" s="292"/>
      <x:c r="U50" s="292"/>
      <x:c r="V50" s="292"/>
      <x:c r="W50" s="292"/>
      <x:c r="X50" s="292"/>
      <x:c r="Y50" s="292"/>
      <x:c r="Z50" s="292"/>
    </x:row>
    <x:row r="51">
      <x:c r="A51" s="292"/>
      <x:c r="B51" s="292"/>
      <x:c r="C51" s="292"/>
      <x:c r="D51" s="292"/>
      <x:c r="E51" s="292"/>
      <x:c r="F51" s="292"/>
      <x:c r="G51" s="292"/>
      <x:c r="H51" s="292"/>
      <x:c r="I51" s="292"/>
      <x:c r="J51" s="292"/>
      <x:c r="K51" s="292"/>
      <x:c r="L51" s="292"/>
      <x:c r="M51" s="292"/>
      <x:c r="N51" s="292"/>
      <x:c r="O51" s="292"/>
      <x:c r="P51" s="292"/>
      <x:c r="Q51" s="292"/>
      <x:c r="R51" s="292"/>
      <x:c r="S51" s="292"/>
      <x:c r="T51" s="292"/>
      <x:c r="U51" s="292"/>
      <x:c r="V51" s="292"/>
      <x:c r="W51" s="292"/>
      <x:c r="X51" s="292"/>
      <x:c r="Y51" s="292"/>
      <x:c r="Z51" s="292"/>
    </x:row>
    <x:row r="52">
      <x:c r="A52" s="292"/>
      <x:c r="B52" s="292"/>
      <x:c r="C52" s="292"/>
      <x:c r="D52" s="292"/>
      <x:c r="E52" s="292"/>
      <x:c r="F52" s="292"/>
      <x:c r="G52" s="292"/>
      <x:c r="H52" s="292"/>
      <x:c r="I52" s="292"/>
      <x:c r="J52" s="292"/>
      <x:c r="K52" s="292"/>
      <x:c r="L52" s="292"/>
      <x:c r="M52" s="292"/>
      <x:c r="N52" s="292"/>
      <x:c r="O52" s="292"/>
      <x:c r="P52" s="292"/>
      <x:c r="Q52" s="292"/>
      <x:c r="R52" s="292"/>
      <x:c r="S52" s="292"/>
      <x:c r="T52" s="292"/>
      <x:c r="U52" s="292"/>
      <x:c r="V52" s="292"/>
      <x:c r="W52" s="292"/>
      <x:c r="X52" s="292"/>
      <x:c r="Y52" s="292"/>
      <x:c r="Z52" s="292"/>
    </x:row>
    <x:row r="53">
      <x:c r="A53" s="292"/>
      <x:c r="B53" s="292"/>
      <x:c r="C53" s="292"/>
      <x:c r="D53" s="292"/>
      <x:c r="E53" s="292"/>
      <x:c r="F53" s="292"/>
      <x:c r="G53" s="292"/>
      <x:c r="H53" s="292"/>
      <x:c r="I53" s="292"/>
      <x:c r="J53" s="292"/>
      <x:c r="K53" s="292"/>
      <x:c r="L53" s="292"/>
      <x:c r="M53" s="292"/>
      <x:c r="N53" s="292"/>
      <x:c r="O53" s="292"/>
      <x:c r="P53" s="292"/>
      <x:c r="Q53" s="292"/>
      <x:c r="R53" s="292"/>
      <x:c r="S53" s="292"/>
      <x:c r="T53" s="292"/>
      <x:c r="U53" s="292"/>
      <x:c r="V53" s="292"/>
      <x:c r="W53" s="292"/>
      <x:c r="X53" s="292"/>
      <x:c r="Y53" s="292"/>
      <x:c r="Z53" s="292"/>
    </x:row>
    <x:row r="54">
      <x:c r="A54" s="292"/>
      <x:c r="B54" s="292"/>
      <x:c r="C54" s="292"/>
      <x:c r="D54" s="292"/>
      <x:c r="E54" s="292"/>
      <x:c r="F54" s="292"/>
      <x:c r="G54" s="292"/>
      <x:c r="H54" s="292"/>
      <x:c r="I54" s="292"/>
      <x:c r="J54" s="292"/>
      <x:c r="K54" s="292"/>
      <x:c r="L54" s="292"/>
      <x:c r="M54" s="292"/>
      <x:c r="N54" s="292"/>
      <x:c r="O54" s="292"/>
      <x:c r="P54" s="292"/>
      <x:c r="Q54" s="292"/>
      <x:c r="R54" s="292"/>
      <x:c r="S54" s="292"/>
      <x:c r="T54" s="292"/>
      <x:c r="U54" s="292"/>
      <x:c r="V54" s="292"/>
      <x:c r="W54" s="292"/>
      <x:c r="X54" s="292"/>
      <x:c r="Y54" s="292"/>
      <x:c r="Z54" s="292"/>
    </x:row>
    <x:row r="55">
      <x:c r="A55" s="292"/>
      <x:c r="B55" s="292"/>
      <x:c r="C55" s="292"/>
      <x:c r="D55" s="292"/>
      <x:c r="E55" s="292"/>
      <x:c r="F55" s="292"/>
      <x:c r="G55" s="292"/>
      <x:c r="H55" s="292"/>
      <x:c r="I55" s="292"/>
      <x:c r="J55" s="292"/>
      <x:c r="K55" s="292"/>
      <x:c r="L55" s="292"/>
      <x:c r="M55" s="292"/>
      <x:c r="N55" s="292"/>
      <x:c r="O55" s="292"/>
      <x:c r="P55" s="292"/>
      <x:c r="Q55" s="292"/>
      <x:c r="R55" s="292"/>
      <x:c r="S55" s="292"/>
      <x:c r="T55" s="292"/>
      <x:c r="U55" s="292"/>
      <x:c r="V55" s="292"/>
      <x:c r="W55" s="292"/>
      <x:c r="X55" s="292"/>
      <x:c r="Y55" s="292"/>
      <x:c r="Z55" s="292"/>
    </x:row>
    <x:row r="56">
      <x:c r="A56" s="292"/>
      <x:c r="B56" s="292"/>
      <x:c r="C56" s="292"/>
      <x:c r="D56" s="292"/>
      <x:c r="E56" s="292"/>
      <x:c r="F56" s="292"/>
      <x:c r="G56" s="292"/>
      <x:c r="H56" s="292"/>
      <x:c r="I56" s="292"/>
      <x:c r="J56" s="292"/>
      <x:c r="K56" s="292"/>
      <x:c r="L56" s="292"/>
      <x:c r="M56" s="292"/>
      <x:c r="N56" s="292"/>
      <x:c r="O56" s="292"/>
      <x:c r="P56" s="292"/>
      <x:c r="Q56" s="292"/>
      <x:c r="R56" s="292"/>
      <x:c r="S56" s="292"/>
      <x:c r="T56" s="292"/>
      <x:c r="U56" s="292"/>
      <x:c r="V56" s="292"/>
      <x:c r="W56" s="292"/>
      <x:c r="X56" s="292"/>
      <x:c r="Y56" s="292"/>
      <x:c r="Z56" s="292"/>
    </x:row>
    <x:row r="57">
      <x:c r="A57" s="292"/>
      <x:c r="B57" s="292"/>
      <x:c r="C57" s="292"/>
      <x:c r="D57" s="292"/>
      <x:c r="E57" s="292"/>
      <x:c r="F57" s="292"/>
      <x:c r="G57" s="292"/>
      <x:c r="H57" s="292"/>
      <x:c r="I57" s="292"/>
      <x:c r="J57" s="292"/>
      <x:c r="K57" s="292"/>
      <x:c r="L57" s="292"/>
      <x:c r="M57" s="292"/>
      <x:c r="N57" s="292"/>
      <x:c r="O57" s="292"/>
      <x:c r="P57" s="292"/>
      <x:c r="Q57" s="292"/>
      <x:c r="R57" s="292"/>
      <x:c r="S57" s="292"/>
      <x:c r="T57" s="292"/>
      <x:c r="U57" s="292"/>
      <x:c r="V57" s="292"/>
      <x:c r="W57" s="292"/>
      <x:c r="X57" s="292"/>
      <x:c r="Y57" s="292"/>
      <x:c r="Z57" s="292"/>
    </x:row>
    <x:row r="58">
      <x:c r="A58" s="292"/>
      <x:c r="B58" s="292"/>
      <x:c r="C58" s="292"/>
      <x:c r="D58" s="292"/>
      <x:c r="E58" s="292"/>
      <x:c r="F58" s="292"/>
      <x:c r="G58" s="292"/>
      <x:c r="H58" s="292"/>
      <x:c r="I58" s="292"/>
      <x:c r="J58" s="292"/>
      <x:c r="K58" s="292"/>
      <x:c r="L58" s="292"/>
      <x:c r="M58" s="292"/>
      <x:c r="N58" s="292"/>
      <x:c r="O58" s="292"/>
      <x:c r="P58" s="292"/>
      <x:c r="Q58" s="292"/>
      <x:c r="R58" s="292"/>
      <x:c r="S58" s="292"/>
      <x:c r="T58" s="292"/>
      <x:c r="U58" s="292"/>
      <x:c r="V58" s="292"/>
      <x:c r="W58" s="292"/>
      <x:c r="X58" s="292"/>
      <x:c r="Y58" s="292"/>
      <x:c r="Z58" s="292"/>
    </x:row>
    <x:row r="59">
      <x:c r="A59" s="292"/>
      <x:c r="B59" s="292"/>
      <x:c r="C59" s="292"/>
      <x:c r="D59" s="292"/>
      <x:c r="E59" s="292"/>
      <x:c r="F59" s="292"/>
      <x:c r="G59" s="292"/>
      <x:c r="H59" s="292"/>
      <x:c r="I59" s="292"/>
      <x:c r="J59" s="292"/>
      <x:c r="K59" s="292"/>
      <x:c r="L59" s="292"/>
      <x:c r="M59" s="292"/>
      <x:c r="N59" s="292"/>
      <x:c r="O59" s="292"/>
      <x:c r="P59" s="292"/>
      <x:c r="Q59" s="292"/>
      <x:c r="R59" s="292"/>
      <x:c r="S59" s="292"/>
      <x:c r="T59" s="292"/>
      <x:c r="U59" s="292"/>
      <x:c r="V59" s="292"/>
      <x:c r="W59" s="292"/>
      <x:c r="X59" s="292"/>
      <x:c r="Y59" s="292"/>
      <x:c r="Z59" s="292"/>
    </x:row>
    <x:row r="60">
      <x:c r="A60" s="292"/>
      <x:c r="B60" s="292"/>
      <x:c r="C60" s="292"/>
      <x:c r="D60" s="292"/>
      <x:c r="E60" s="292"/>
      <x:c r="F60" s="292"/>
      <x:c r="G60" s="292"/>
      <x:c r="H60" s="292"/>
      <x:c r="I60" s="292"/>
      <x:c r="J60" s="292"/>
      <x:c r="K60" s="292"/>
      <x:c r="L60" s="292"/>
      <x:c r="M60" s="292"/>
      <x:c r="N60" s="292"/>
      <x:c r="O60" s="292"/>
      <x:c r="P60" s="292"/>
      <x:c r="Q60" s="292"/>
      <x:c r="R60" s="292"/>
      <x:c r="S60" s="292"/>
      <x:c r="T60" s="292"/>
      <x:c r="U60" s="292"/>
      <x:c r="V60" s="292"/>
      <x:c r="W60" s="292"/>
      <x:c r="X60" s="292"/>
      <x:c r="Y60" s="292"/>
      <x:c r="Z60" s="292"/>
    </x:row>
    <x:row r="61">
      <x:c r="A61" s="292"/>
      <x:c r="B61" s="292"/>
      <x:c r="C61" s="292"/>
      <x:c r="D61" s="292"/>
      <x:c r="E61" s="292"/>
      <x:c r="F61" s="292"/>
      <x:c r="G61" s="292"/>
      <x:c r="H61" s="292"/>
      <x:c r="I61" s="292"/>
      <x:c r="J61" s="292"/>
      <x:c r="K61" s="292"/>
      <x:c r="L61" s="292"/>
      <x:c r="M61" s="292"/>
      <x:c r="N61" s="292"/>
      <x:c r="O61" s="292"/>
      <x:c r="P61" s="292"/>
      <x:c r="Q61" s="292"/>
      <x:c r="R61" s="292"/>
      <x:c r="S61" s="292"/>
      <x:c r="T61" s="292"/>
      <x:c r="U61" s="292"/>
      <x:c r="V61" s="292"/>
      <x:c r="W61" s="292"/>
      <x:c r="X61" s="292"/>
      <x:c r="Y61" s="292"/>
      <x:c r="Z61" s="292"/>
    </x:row>
    <x:row r="62">
      <x:c r="A62" s="292"/>
      <x:c r="B62" s="292"/>
      <x:c r="C62" s="292"/>
      <x:c r="D62" s="292"/>
      <x:c r="E62" s="292"/>
      <x:c r="F62" s="292"/>
      <x:c r="G62" s="292"/>
      <x:c r="H62" s="292"/>
      <x:c r="I62" s="292"/>
      <x:c r="J62" s="292"/>
      <x:c r="K62" s="292"/>
      <x:c r="L62" s="292"/>
      <x:c r="M62" s="292"/>
      <x:c r="N62" s="292"/>
      <x:c r="O62" s="292"/>
      <x:c r="P62" s="292"/>
      <x:c r="Q62" s="292"/>
      <x:c r="R62" s="292"/>
      <x:c r="S62" s="292"/>
      <x:c r="T62" s="292"/>
      <x:c r="U62" s="292"/>
      <x:c r="V62" s="292"/>
      <x:c r="W62" s="292"/>
      <x:c r="X62" s="292"/>
      <x:c r="Y62" s="292"/>
      <x:c r="Z62" s="292"/>
    </x:row>
    <x:row r="63">
      <x:c r="A63" s="292"/>
      <x:c r="B63" s="292"/>
      <x:c r="C63" s="292"/>
      <x:c r="D63" s="292"/>
      <x:c r="E63" s="292"/>
      <x:c r="F63" s="292"/>
      <x:c r="G63" s="292"/>
      <x:c r="H63" s="292"/>
      <x:c r="I63" s="292"/>
      <x:c r="J63" s="292"/>
      <x:c r="K63" s="292"/>
      <x:c r="L63" s="292"/>
      <x:c r="M63" s="292"/>
      <x:c r="N63" s="292"/>
      <x:c r="O63" s="292"/>
      <x:c r="P63" s="292"/>
      <x:c r="Q63" s="292"/>
      <x:c r="R63" s="292"/>
      <x:c r="S63" s="292"/>
      <x:c r="T63" s="292"/>
      <x:c r="U63" s="292"/>
      <x:c r="V63" s="292"/>
      <x:c r="W63" s="292"/>
      <x:c r="X63" s="292"/>
      <x:c r="Y63" s="292"/>
      <x:c r="Z63" s="292"/>
    </x:row>
    <x:row r="64">
      <x:c r="A64" s="292"/>
      <x:c r="B64" s="292"/>
      <x:c r="C64" s="292"/>
      <x:c r="D64" s="292"/>
      <x:c r="E64" s="292"/>
      <x:c r="F64" s="292"/>
      <x:c r="G64" s="292"/>
      <x:c r="H64" s="292"/>
      <x:c r="I64" s="292"/>
      <x:c r="J64" s="292"/>
      <x:c r="K64" s="292"/>
      <x:c r="L64" s="292"/>
      <x:c r="M64" s="292"/>
      <x:c r="N64" s="292"/>
      <x:c r="O64" s="292"/>
      <x:c r="P64" s="292"/>
      <x:c r="Q64" s="292"/>
      <x:c r="R64" s="292"/>
      <x:c r="S64" s="292"/>
      <x:c r="T64" s="292"/>
      <x:c r="U64" s="292"/>
      <x:c r="V64" s="292"/>
      <x:c r="W64" s="292"/>
      <x:c r="X64" s="292"/>
      <x:c r="Y64" s="292"/>
      <x:c r="Z64" s="292"/>
    </x:row>
    <x:row r="65">
      <x:c r="A65" s="292"/>
      <x:c r="B65" s="292"/>
      <x:c r="C65" s="292"/>
      <x:c r="D65" s="292"/>
      <x:c r="E65" s="292"/>
      <x:c r="F65" s="292"/>
      <x:c r="G65" s="292"/>
      <x:c r="H65" s="292"/>
      <x:c r="I65" s="292"/>
      <x:c r="J65" s="292"/>
      <x:c r="K65" s="292"/>
      <x:c r="L65" s="292"/>
      <x:c r="M65" s="292"/>
      <x:c r="N65" s="292"/>
      <x:c r="O65" s="292"/>
      <x:c r="P65" s="292"/>
      <x:c r="Q65" s="292"/>
      <x:c r="R65" s="292"/>
      <x:c r="S65" s="292"/>
      <x:c r="T65" s="292"/>
      <x:c r="U65" s="292"/>
      <x:c r="V65" s="292"/>
      <x:c r="W65" s="292"/>
      <x:c r="X65" s="292"/>
      <x:c r="Y65" s="292"/>
      <x:c r="Z65" s="292"/>
    </x:row>
    <x:row r="66">
      <x:c r="A66" s="292"/>
      <x:c r="B66" s="292"/>
      <x:c r="C66" s="292"/>
      <x:c r="D66" s="292"/>
      <x:c r="E66" s="292"/>
      <x:c r="F66" s="292"/>
      <x:c r="G66" s="292"/>
      <x:c r="H66" s="292"/>
      <x:c r="I66" s="292"/>
      <x:c r="J66" s="292"/>
      <x:c r="K66" s="292"/>
      <x:c r="L66" s="292"/>
      <x:c r="M66" s="292"/>
      <x:c r="N66" s="292"/>
      <x:c r="O66" s="292"/>
      <x:c r="P66" s="292"/>
      <x:c r="Q66" s="292"/>
      <x:c r="R66" s="292"/>
      <x:c r="S66" s="292"/>
      <x:c r="T66" s="292"/>
      <x:c r="U66" s="292"/>
      <x:c r="V66" s="292"/>
      <x:c r="W66" s="292"/>
      <x:c r="X66" s="292"/>
      <x:c r="Y66" s="292"/>
      <x:c r="Z66" s="292"/>
    </x:row>
    <x:row r="67">
      <x:c r="A67" s="292"/>
      <x:c r="B67" s="292"/>
      <x:c r="C67" s="292"/>
      <x:c r="D67" s="292"/>
      <x:c r="E67" s="292"/>
      <x:c r="F67" s="292"/>
      <x:c r="G67" s="292"/>
      <x:c r="H67" s="292"/>
      <x:c r="I67" s="292"/>
      <x:c r="J67" s="292"/>
      <x:c r="K67" s="292"/>
      <x:c r="L67" s="292"/>
      <x:c r="M67" s="292"/>
      <x:c r="N67" s="292"/>
      <x:c r="O67" s="292"/>
      <x:c r="P67" s="292"/>
      <x:c r="Q67" s="292"/>
      <x:c r="R67" s="292"/>
      <x:c r="S67" s="292"/>
      <x:c r="T67" s="292"/>
      <x:c r="U67" s="292"/>
      <x:c r="V67" s="292"/>
      <x:c r="W67" s="292"/>
      <x:c r="X67" s="292"/>
      <x:c r="Y67" s="292"/>
      <x:c r="Z67" s="292"/>
    </x:row>
    <x:row r="68">
      <x:c r="A68" s="292"/>
      <x:c r="B68" s="292"/>
      <x:c r="C68" s="292"/>
      <x:c r="D68" s="292"/>
      <x:c r="E68" s="292"/>
      <x:c r="F68" s="292"/>
      <x:c r="G68" s="292"/>
      <x:c r="H68" s="292"/>
      <x:c r="I68" s="292"/>
      <x:c r="J68" s="292"/>
      <x:c r="K68" s="292"/>
      <x:c r="L68" s="292"/>
      <x:c r="M68" s="292"/>
      <x:c r="N68" s="292"/>
      <x:c r="O68" s="292"/>
      <x:c r="P68" s="292"/>
      <x:c r="Q68" s="292"/>
      <x:c r="R68" s="292"/>
      <x:c r="S68" s="292"/>
      <x:c r="T68" s="292"/>
      <x:c r="U68" s="292"/>
      <x:c r="V68" s="292"/>
      <x:c r="W68" s="292"/>
      <x:c r="X68" s="292"/>
      <x:c r="Y68" s="292"/>
      <x:c r="Z68" s="292"/>
    </x:row>
    <x:row r="69">
      <x:c r="A69" s="292"/>
      <x:c r="B69" s="292"/>
      <x:c r="C69" s="292"/>
      <x:c r="D69" s="292"/>
      <x:c r="E69" s="292"/>
      <x:c r="F69" s="292"/>
      <x:c r="G69" s="292"/>
      <x:c r="H69" s="292"/>
      <x:c r="I69" s="292"/>
      <x:c r="J69" s="292"/>
      <x:c r="K69" s="292"/>
      <x:c r="L69" s="292"/>
      <x:c r="M69" s="292"/>
      <x:c r="N69" s="292"/>
      <x:c r="O69" s="292"/>
      <x:c r="P69" s="292"/>
      <x:c r="Q69" s="292"/>
      <x:c r="R69" s="292"/>
      <x:c r="S69" s="292"/>
      <x:c r="T69" s="292"/>
      <x:c r="U69" s="292"/>
      <x:c r="V69" s="292"/>
      <x:c r="W69" s="292"/>
      <x:c r="X69" s="292"/>
      <x:c r="Y69" s="292"/>
      <x:c r="Z69" s="292"/>
    </x:row>
    <x:row r="70">
      <x:c r="A70" s="292"/>
      <x:c r="B70" s="292"/>
      <x:c r="C70" s="292"/>
      <x:c r="D70" s="292"/>
      <x:c r="E70" s="292"/>
      <x:c r="F70" s="292"/>
      <x:c r="G70" s="292"/>
      <x:c r="H70" s="292"/>
      <x:c r="I70" s="292"/>
      <x:c r="J70" s="292"/>
      <x:c r="K70" s="292"/>
      <x:c r="L70" s="292"/>
      <x:c r="M70" s="292"/>
      <x:c r="N70" s="292"/>
      <x:c r="O70" s="292"/>
      <x:c r="P70" s="292"/>
      <x:c r="Q70" s="292"/>
      <x:c r="R70" s="292"/>
      <x:c r="S70" s="292"/>
      <x:c r="T70" s="292"/>
      <x:c r="U70" s="292"/>
      <x:c r="V70" s="292"/>
      <x:c r="W70" s="292"/>
      <x:c r="X70" s="292"/>
      <x:c r="Y70" s="292"/>
      <x:c r="Z70" s="292"/>
    </x:row>
    <x:row r="71">
      <x:c r="A71" s="292"/>
      <x:c r="B71" s="292"/>
      <x:c r="C71" s="292"/>
      <x:c r="D71" s="292"/>
      <x:c r="E71" s="292"/>
      <x:c r="F71" s="292"/>
      <x:c r="G71" s="292"/>
      <x:c r="H71" s="292"/>
      <x:c r="I71" s="292"/>
      <x:c r="J71" s="292"/>
      <x:c r="K71" s="292"/>
      <x:c r="L71" s="292"/>
      <x:c r="M71" s="292"/>
      <x:c r="N71" s="292"/>
      <x:c r="O71" s="292"/>
      <x:c r="P71" s="292"/>
      <x:c r="Q71" s="292"/>
      <x:c r="R71" s="292"/>
      <x:c r="S71" s="292"/>
      <x:c r="T71" s="292"/>
      <x:c r="U71" s="292"/>
      <x:c r="V71" s="292"/>
      <x:c r="W71" s="292"/>
      <x:c r="X71" s="292"/>
      <x:c r="Y71" s="292"/>
      <x:c r="Z71" s="292"/>
    </x:row>
    <x:row r="72">
      <x:c r="A72" s="292"/>
      <x:c r="B72" s="292"/>
      <x:c r="C72" s="292"/>
      <x:c r="D72" s="292"/>
      <x:c r="E72" s="292"/>
      <x:c r="F72" s="292"/>
      <x:c r="G72" s="292"/>
      <x:c r="H72" s="292"/>
      <x:c r="I72" s="292"/>
      <x:c r="J72" s="292"/>
      <x:c r="K72" s="292"/>
      <x:c r="L72" s="292"/>
      <x:c r="M72" s="292"/>
      <x:c r="N72" s="292"/>
      <x:c r="O72" s="292"/>
      <x:c r="P72" s="292"/>
      <x:c r="Q72" s="292"/>
      <x:c r="R72" s="292"/>
      <x:c r="S72" s="292"/>
      <x:c r="T72" s="292"/>
      <x:c r="U72" s="292"/>
      <x:c r="V72" s="292"/>
      <x:c r="W72" s="292"/>
      <x:c r="X72" s="292"/>
      <x:c r="Y72" s="292"/>
      <x:c r="Z72" s="292"/>
    </x:row>
    <x:row r="73">
      <x:c r="A73" s="292"/>
      <x:c r="B73" s="292"/>
      <x:c r="C73" s="292"/>
      <x:c r="D73" s="292"/>
      <x:c r="E73" s="292"/>
      <x:c r="F73" s="292"/>
      <x:c r="G73" s="292"/>
      <x:c r="H73" s="292"/>
      <x:c r="I73" s="292"/>
      <x:c r="J73" s="292"/>
      <x:c r="K73" s="292"/>
      <x:c r="L73" s="292"/>
      <x:c r="M73" s="292"/>
      <x:c r="N73" s="292"/>
      <x:c r="O73" s="292"/>
      <x:c r="P73" s="292"/>
      <x:c r="Q73" s="292"/>
      <x:c r="R73" s="292"/>
      <x:c r="S73" s="292"/>
      <x:c r="T73" s="292"/>
      <x:c r="U73" s="292"/>
      <x:c r="V73" s="292"/>
      <x:c r="W73" s="292"/>
      <x:c r="X73" s="292"/>
      <x:c r="Y73" s="292"/>
      <x:c r="Z73" s="292"/>
    </x:row>
    <x:row r="74">
      <x:c r="A74" s="292"/>
      <x:c r="B74" s="292"/>
      <x:c r="C74" s="292"/>
      <x:c r="D74" s="292"/>
      <x:c r="E74" s="292"/>
      <x:c r="F74" s="292"/>
      <x:c r="G74" s="292"/>
      <x:c r="H74" s="292"/>
      <x:c r="I74" s="292"/>
      <x:c r="J74" s="292"/>
      <x:c r="K74" s="292"/>
      <x:c r="L74" s="292"/>
      <x:c r="M74" s="292"/>
      <x:c r="N74" s="292"/>
      <x:c r="O74" s="292"/>
      <x:c r="P74" s="292"/>
      <x:c r="Q74" s="292"/>
      <x:c r="R74" s="292"/>
      <x:c r="S74" s="292"/>
      <x:c r="T74" s="292"/>
      <x:c r="U74" s="292"/>
      <x:c r="V74" s="292"/>
      <x:c r="W74" s="292"/>
      <x:c r="X74" s="292"/>
      <x:c r="Y74" s="292"/>
      <x:c r="Z74" s="292"/>
    </x:row>
    <x:row r="75">
      <x:c r="A75" s="292"/>
      <x:c r="B75" s="292"/>
      <x:c r="C75" s="292"/>
      <x:c r="D75" s="292"/>
      <x:c r="E75" s="292"/>
      <x:c r="F75" s="292"/>
      <x:c r="G75" s="292"/>
      <x:c r="H75" s="292"/>
      <x:c r="I75" s="292"/>
      <x:c r="J75" s="292"/>
      <x:c r="K75" s="292"/>
      <x:c r="L75" s="292"/>
      <x:c r="M75" s="292"/>
      <x:c r="N75" s="292"/>
      <x:c r="O75" s="292"/>
      <x:c r="P75" s="292"/>
      <x:c r="Q75" s="292"/>
      <x:c r="R75" s="292"/>
      <x:c r="S75" s="292"/>
      <x:c r="T75" s="292"/>
      <x:c r="U75" s="292"/>
      <x:c r="V75" s="292"/>
      <x:c r="W75" s="292"/>
      <x:c r="X75" s="292"/>
      <x:c r="Y75" s="292"/>
      <x:c r="Z75" s="292"/>
    </x:row>
    <x:row r="76">
      <x:c r="A76" s="292"/>
      <x:c r="B76" s="292"/>
      <x:c r="C76" s="292"/>
      <x:c r="D76" s="292"/>
      <x:c r="E76" s="292"/>
      <x:c r="F76" s="292"/>
      <x:c r="G76" s="292"/>
      <x:c r="H76" s="292"/>
      <x:c r="I76" s="292"/>
      <x:c r="J76" s="292"/>
      <x:c r="K76" s="292"/>
      <x:c r="L76" s="292"/>
      <x:c r="M76" s="292"/>
      <x:c r="N76" s="292"/>
      <x:c r="O76" s="292"/>
      <x:c r="P76" s="292"/>
      <x:c r="Q76" s="292"/>
      <x:c r="R76" s="292"/>
      <x:c r="S76" s="292"/>
      <x:c r="T76" s="292"/>
      <x:c r="U76" s="292"/>
      <x:c r="V76" s="292"/>
      <x:c r="W76" s="292"/>
      <x:c r="X76" s="292"/>
      <x:c r="Y76" s="292"/>
      <x:c r="Z76" s="292"/>
    </x:row>
    <x:row r="77">
      <x:c r="A77" s="292"/>
      <x:c r="B77" s="292"/>
      <x:c r="C77" s="292"/>
      <x:c r="D77" s="292"/>
      <x:c r="E77" s="292"/>
      <x:c r="F77" s="292"/>
      <x:c r="G77" s="292"/>
      <x:c r="H77" s="292"/>
      <x:c r="I77" s="292"/>
      <x:c r="J77" s="292"/>
      <x:c r="K77" s="292"/>
      <x:c r="L77" s="292"/>
      <x:c r="M77" s="292"/>
      <x:c r="N77" s="292"/>
      <x:c r="O77" s="292"/>
      <x:c r="P77" s="292"/>
      <x:c r="Q77" s="292"/>
      <x:c r="R77" s="292"/>
      <x:c r="S77" s="292"/>
      <x:c r="T77" s="292"/>
      <x:c r="U77" s="292"/>
      <x:c r="V77" s="292"/>
      <x:c r="W77" s="292"/>
      <x:c r="X77" s="292"/>
      <x:c r="Y77" s="292"/>
      <x:c r="Z77" s="292"/>
    </x:row>
    <x:row r="78">
      <x:c r="A78" s="292"/>
      <x:c r="B78" s="292"/>
      <x:c r="C78" s="292"/>
      <x:c r="D78" s="292"/>
      <x:c r="E78" s="292"/>
      <x:c r="F78" s="292"/>
      <x:c r="G78" s="292"/>
      <x:c r="H78" s="292"/>
      <x:c r="I78" s="292"/>
      <x:c r="J78" s="292"/>
      <x:c r="K78" s="292"/>
      <x:c r="L78" s="292"/>
      <x:c r="M78" s="292"/>
      <x:c r="N78" s="292"/>
      <x:c r="O78" s="292"/>
      <x:c r="P78" s="292"/>
      <x:c r="Q78" s="292"/>
      <x:c r="R78" s="292"/>
      <x:c r="S78" s="292"/>
      <x:c r="T78" s="292"/>
      <x:c r="U78" s="292"/>
      <x:c r="V78" s="292"/>
      <x:c r="W78" s="292"/>
      <x:c r="X78" s="292"/>
      <x:c r="Y78" s="292"/>
      <x:c r="Z78" s="292"/>
    </x:row>
    <x:row r="79">
      <x:c r="A79" s="292"/>
      <x:c r="B79" s="292"/>
      <x:c r="C79" s="292"/>
      <x:c r="D79" s="292"/>
      <x:c r="E79" s="292"/>
      <x:c r="F79" s="292"/>
      <x:c r="G79" s="292"/>
      <x:c r="H79" s="292"/>
      <x:c r="I79" s="292"/>
      <x:c r="J79" s="292"/>
      <x:c r="K79" s="292"/>
      <x:c r="L79" s="292"/>
      <x:c r="M79" s="292"/>
      <x:c r="N79" s="292"/>
      <x:c r="O79" s="292"/>
      <x:c r="P79" s="292"/>
      <x:c r="Q79" s="292"/>
      <x:c r="R79" s="292"/>
      <x:c r="S79" s="292"/>
      <x:c r="T79" s="292"/>
      <x:c r="U79" s="292"/>
      <x:c r="V79" s="292"/>
      <x:c r="W79" s="292"/>
      <x:c r="X79" s="292"/>
      <x:c r="Y79" s="292"/>
      <x:c r="Z79" s="292"/>
    </x:row>
    <x:row r="80">
      <x:c r="A80" s="292"/>
      <x:c r="B80" s="292"/>
      <x:c r="C80" s="292"/>
      <x:c r="D80" s="292"/>
      <x:c r="E80" s="292"/>
      <x:c r="F80" s="292"/>
      <x:c r="G80" s="292"/>
      <x:c r="H80" s="292"/>
      <x:c r="I80" s="292"/>
      <x:c r="J80" s="292"/>
      <x:c r="K80" s="292"/>
      <x:c r="L80" s="292"/>
      <x:c r="M80" s="292"/>
      <x:c r="N80" s="292"/>
      <x:c r="O80" s="292"/>
      <x:c r="P80" s="292"/>
      <x:c r="Q80" s="292"/>
      <x:c r="R80" s="292"/>
      <x:c r="S80" s="292"/>
      <x:c r="T80" s="292"/>
      <x:c r="U80" s="292"/>
      <x:c r="V80" s="292"/>
      <x:c r="W80" s="292"/>
      <x:c r="X80" s="292"/>
      <x:c r="Y80" s="292"/>
      <x:c r="Z80" s="292"/>
    </x:row>
    <x:row r="81">
      <x:c r="A81" s="292"/>
      <x:c r="B81" s="292"/>
      <x:c r="C81" s="292"/>
      <x:c r="D81" s="292"/>
      <x:c r="E81" s="292"/>
      <x:c r="F81" s="292"/>
      <x:c r="G81" s="292"/>
      <x:c r="H81" s="292"/>
      <x:c r="I81" s="292"/>
      <x:c r="J81" s="292"/>
      <x:c r="K81" s="292"/>
      <x:c r="L81" s="292"/>
      <x:c r="M81" s="292"/>
      <x:c r="N81" s="292"/>
      <x:c r="O81" s="292"/>
      <x:c r="P81" s="292"/>
      <x:c r="Q81" s="292"/>
      <x:c r="R81" s="292"/>
      <x:c r="S81" s="292"/>
      <x:c r="T81" s="292"/>
      <x:c r="U81" s="292"/>
      <x:c r="V81" s="292"/>
      <x:c r="W81" s="292"/>
      <x:c r="X81" s="292"/>
      <x:c r="Y81" s="292"/>
      <x:c r="Z81" s="292"/>
    </x:row>
    <x:row r="82">
      <x:c r="A82" s="292"/>
      <x:c r="B82" s="292"/>
      <x:c r="C82" s="292"/>
      <x:c r="D82" s="292"/>
      <x:c r="E82" s="292"/>
      <x:c r="F82" s="292"/>
      <x:c r="G82" s="292"/>
      <x:c r="H82" s="292"/>
      <x:c r="I82" s="292"/>
      <x:c r="J82" s="292"/>
      <x:c r="K82" s="292"/>
      <x:c r="L82" s="292"/>
      <x:c r="M82" s="292"/>
      <x:c r="N82" s="292"/>
      <x:c r="O82" s="292"/>
      <x:c r="P82" s="292"/>
      <x:c r="Q82" s="292"/>
      <x:c r="R82" s="292"/>
      <x:c r="S82" s="292"/>
      <x:c r="T82" s="292"/>
      <x:c r="U82" s="292"/>
      <x:c r="V82" s="292"/>
      <x:c r="W82" s="292"/>
      <x:c r="X82" s="292"/>
      <x:c r="Y82" s="292"/>
      <x:c r="Z82" s="292"/>
    </x:row>
    <x:row r="83">
      <x:c r="A83" s="292"/>
      <x:c r="B83" s="292"/>
      <x:c r="C83" s="292"/>
      <x:c r="D83" s="292"/>
      <x:c r="E83" s="292"/>
      <x:c r="F83" s="292"/>
      <x:c r="G83" s="292"/>
      <x:c r="H83" s="292"/>
      <x:c r="I83" s="292"/>
      <x:c r="J83" s="292"/>
      <x:c r="K83" s="292"/>
      <x:c r="L83" s="292"/>
      <x:c r="M83" s="292"/>
      <x:c r="N83" s="292"/>
      <x:c r="O83" s="292"/>
      <x:c r="P83" s="292"/>
      <x:c r="Q83" s="292"/>
      <x:c r="R83" s="292"/>
      <x:c r="S83" s="292"/>
      <x:c r="T83" s="292"/>
      <x:c r="U83" s="292"/>
      <x:c r="V83" s="292"/>
      <x:c r="W83" s="292"/>
      <x:c r="X83" s="292"/>
      <x:c r="Y83" s="292"/>
      <x:c r="Z83" s="292"/>
    </x:row>
    <x:row r="84">
      <x:c r="A84" s="292"/>
      <x:c r="B84" s="292"/>
      <x:c r="C84" s="292"/>
      <x:c r="D84" s="292"/>
      <x:c r="E84" s="292"/>
      <x:c r="F84" s="292"/>
      <x:c r="G84" s="292"/>
      <x:c r="H84" s="292"/>
      <x:c r="I84" s="292"/>
      <x:c r="J84" s="292"/>
      <x:c r="K84" s="292"/>
      <x:c r="L84" s="292"/>
      <x:c r="M84" s="292"/>
      <x:c r="N84" s="292"/>
      <x:c r="O84" s="292"/>
      <x:c r="P84" s="292"/>
      <x:c r="Q84" s="292"/>
      <x:c r="R84" s="292"/>
      <x:c r="S84" s="292"/>
      <x:c r="T84" s="292"/>
      <x:c r="U84" s="292"/>
      <x:c r="V84" s="292"/>
      <x:c r="W84" s="292"/>
      <x:c r="X84" s="292"/>
      <x:c r="Y84" s="292"/>
      <x:c r="Z84" s="292"/>
    </x:row>
    <x:row r="85">
      <x:c r="A85" s="292"/>
      <x:c r="B85" s="292"/>
      <x:c r="C85" s="292"/>
      <x:c r="D85" s="292"/>
      <x:c r="E85" s="292"/>
      <x:c r="F85" s="292"/>
      <x:c r="G85" s="292"/>
      <x:c r="H85" s="292"/>
      <x:c r="I85" s="292"/>
      <x:c r="J85" s="292"/>
      <x:c r="K85" s="292"/>
      <x:c r="L85" s="292"/>
      <x:c r="M85" s="292"/>
      <x:c r="N85" s="292"/>
      <x:c r="O85" s="292"/>
      <x:c r="P85" s="292"/>
      <x:c r="Q85" s="292"/>
      <x:c r="R85" s="292"/>
      <x:c r="S85" s="292"/>
      <x:c r="T85" s="292"/>
      <x:c r="U85" s="292"/>
      <x:c r="V85" s="292"/>
      <x:c r="W85" s="292"/>
      <x:c r="X85" s="292"/>
      <x:c r="Y85" s="292"/>
      <x:c r="Z85" s="292"/>
    </x:row>
    <x:row r="86">
      <x:c r="A86" s="292"/>
      <x:c r="B86" s="292"/>
      <x:c r="C86" s="292"/>
      <x:c r="D86" s="292"/>
      <x:c r="E86" s="292"/>
      <x:c r="F86" s="292"/>
      <x:c r="G86" s="292"/>
      <x:c r="H86" s="292"/>
      <x:c r="I86" s="292"/>
      <x:c r="J86" s="292"/>
      <x:c r="K86" s="292"/>
      <x:c r="L86" s="292"/>
      <x:c r="M86" s="292"/>
      <x:c r="N86" s="292"/>
      <x:c r="O86" s="292"/>
      <x:c r="P86" s="292"/>
      <x:c r="Q86" s="292"/>
      <x:c r="R86" s="292"/>
      <x:c r="S86" s="292"/>
      <x:c r="T86" s="292"/>
      <x:c r="U86" s="292"/>
      <x:c r="V86" s="292"/>
      <x:c r="W86" s="292"/>
      <x:c r="X86" s="292"/>
      <x:c r="Y86" s="292"/>
      <x:c r="Z86" s="292"/>
    </x:row>
    <x:row r="87">
      <x:c r="A87" s="292"/>
      <x:c r="B87" s="292"/>
      <x:c r="C87" s="292"/>
      <x:c r="D87" s="292"/>
      <x:c r="E87" s="292"/>
      <x:c r="F87" s="292"/>
      <x:c r="G87" s="292"/>
      <x:c r="H87" s="292"/>
      <x:c r="I87" s="292"/>
      <x:c r="J87" s="292"/>
      <x:c r="K87" s="292"/>
      <x:c r="L87" s="292"/>
      <x:c r="M87" s="292"/>
      <x:c r="N87" s="292"/>
      <x:c r="O87" s="292"/>
      <x:c r="P87" s="292"/>
      <x:c r="Q87" s="292"/>
      <x:c r="R87" s="292"/>
      <x:c r="S87" s="292"/>
      <x:c r="T87" s="292"/>
      <x:c r="U87" s="292"/>
      <x:c r="V87" s="292"/>
      <x:c r="W87" s="292"/>
      <x:c r="X87" s="292"/>
      <x:c r="Y87" s="292"/>
      <x:c r="Z87" s="292"/>
    </x:row>
    <x:row r="88">
      <x:c r="A88" s="292"/>
      <x:c r="B88" s="292"/>
      <x:c r="C88" s="292"/>
      <x:c r="D88" s="292"/>
      <x:c r="E88" s="292"/>
      <x:c r="F88" s="292"/>
      <x:c r="G88" s="292"/>
      <x:c r="H88" s="292"/>
      <x:c r="I88" s="292"/>
      <x:c r="J88" s="292"/>
      <x:c r="K88" s="292"/>
      <x:c r="L88" s="292"/>
      <x:c r="M88" s="292"/>
      <x:c r="N88" s="292"/>
      <x:c r="O88" s="292"/>
      <x:c r="P88" s="292"/>
      <x:c r="Q88" s="292"/>
      <x:c r="R88" s="292"/>
      <x:c r="S88" s="292"/>
      <x:c r="T88" s="292"/>
      <x:c r="U88" s="292"/>
      <x:c r="V88" s="292"/>
      <x:c r="W88" s="292"/>
      <x:c r="X88" s="292"/>
      <x:c r="Y88" s="292"/>
      <x:c r="Z88" s="292"/>
    </x:row>
    <x:row r="89">
      <x:c r="A89" s="292"/>
      <x:c r="B89" s="292"/>
      <x:c r="C89" s="292"/>
      <x:c r="D89" s="292"/>
      <x:c r="E89" s="292"/>
      <x:c r="F89" s="292"/>
      <x:c r="G89" s="292"/>
      <x:c r="H89" s="292"/>
      <x:c r="I89" s="292"/>
      <x:c r="J89" s="292"/>
      <x:c r="K89" s="292"/>
      <x:c r="L89" s="292"/>
      <x:c r="M89" s="292"/>
      <x:c r="N89" s="292"/>
      <x:c r="O89" s="292"/>
      <x:c r="P89" s="292"/>
      <x:c r="Q89" s="292"/>
      <x:c r="R89" s="292"/>
      <x:c r="S89" s="292"/>
      <x:c r="T89" s="292"/>
      <x:c r="U89" s="292"/>
      <x:c r="V89" s="292"/>
      <x:c r="W89" s="292"/>
      <x:c r="X89" s="292"/>
      <x:c r="Y89" s="292"/>
      <x:c r="Z89" s="292"/>
    </x:row>
    <x:row r="90">
      <x:c r="A90" s="292"/>
      <x:c r="B90" s="292"/>
      <x:c r="C90" s="292"/>
      <x:c r="D90" s="292"/>
      <x:c r="E90" s="292"/>
      <x:c r="F90" s="292"/>
      <x:c r="G90" s="292"/>
      <x:c r="H90" s="292"/>
      <x:c r="I90" s="292"/>
      <x:c r="J90" s="292"/>
      <x:c r="K90" s="292"/>
      <x:c r="L90" s="292"/>
      <x:c r="M90" s="292"/>
      <x:c r="N90" s="292"/>
      <x:c r="O90" s="292"/>
      <x:c r="P90" s="292"/>
      <x:c r="Q90" s="292"/>
      <x:c r="R90" s="292"/>
      <x:c r="S90" s="292"/>
      <x:c r="T90" s="292"/>
      <x:c r="U90" s="292"/>
      <x:c r="V90" s="292"/>
      <x:c r="W90" s="292"/>
      <x:c r="X90" s="292"/>
      <x:c r="Y90" s="292"/>
      <x:c r="Z90" s="292"/>
    </x:row>
    <x:row r="91">
      <x:c r="A91" s="292"/>
      <x:c r="B91" s="292"/>
      <x:c r="C91" s="292"/>
      <x:c r="D91" s="292"/>
      <x:c r="E91" s="292"/>
      <x:c r="F91" s="292"/>
      <x:c r="G91" s="292"/>
      <x:c r="H91" s="292"/>
      <x:c r="I91" s="292"/>
      <x:c r="J91" s="292"/>
      <x:c r="K91" s="292"/>
      <x:c r="L91" s="292"/>
      <x:c r="M91" s="292"/>
      <x:c r="N91" s="292"/>
      <x:c r="O91" s="292"/>
      <x:c r="P91" s="292"/>
      <x:c r="Q91" s="292"/>
      <x:c r="R91" s="292"/>
      <x:c r="S91" s="292"/>
      <x:c r="T91" s="292"/>
      <x:c r="U91" s="292"/>
      <x:c r="V91" s="292"/>
      <x:c r="W91" s="292"/>
      <x:c r="X91" s="292"/>
      <x:c r="Y91" s="292"/>
      <x:c r="Z91" s="292"/>
    </x:row>
    <x:row r="92">
      <x:c r="A92" s="292"/>
      <x:c r="B92" s="292"/>
      <x:c r="C92" s="292"/>
      <x:c r="D92" s="292"/>
      <x:c r="E92" s="292"/>
      <x:c r="F92" s="292"/>
      <x:c r="G92" s="292"/>
      <x:c r="H92" s="292"/>
      <x:c r="I92" s="292"/>
      <x:c r="J92" s="292"/>
      <x:c r="K92" s="292"/>
      <x:c r="L92" s="292"/>
      <x:c r="M92" s="292"/>
      <x:c r="N92" s="292"/>
      <x:c r="O92" s="292"/>
      <x:c r="P92" s="292"/>
      <x:c r="Q92" s="292"/>
      <x:c r="R92" s="292"/>
      <x:c r="S92" s="292"/>
      <x:c r="T92" s="292"/>
      <x:c r="U92" s="292"/>
      <x:c r="V92" s="292"/>
      <x:c r="W92" s="292"/>
      <x:c r="X92" s="292"/>
      <x:c r="Y92" s="292"/>
      <x:c r="Z92" s="292"/>
    </x:row>
    <x:row r="93">
      <x:c r="A93" s="292"/>
      <x:c r="B93" s="292"/>
      <x:c r="C93" s="292"/>
      <x:c r="D93" s="292"/>
      <x:c r="E93" s="292"/>
      <x:c r="F93" s="292"/>
      <x:c r="G93" s="292"/>
      <x:c r="H93" s="292"/>
      <x:c r="I93" s="292"/>
      <x:c r="J93" s="292"/>
      <x:c r="K93" s="292"/>
      <x:c r="L93" s="292"/>
      <x:c r="M93" s="292"/>
      <x:c r="N93" s="292"/>
      <x:c r="O93" s="292"/>
      <x:c r="P93" s="292"/>
      <x:c r="Q93" s="292"/>
      <x:c r="R93" s="292"/>
      <x:c r="S93" s="292"/>
      <x:c r="T93" s="292"/>
      <x:c r="U93" s="292"/>
      <x:c r="V93" s="292"/>
      <x:c r="W93" s="292"/>
      <x:c r="X93" s="292"/>
      <x:c r="Y93" s="292"/>
      <x:c r="Z93" s="292"/>
    </x:row>
    <x:row r="94">
      <x:c r="A94" s="292"/>
      <x:c r="B94" s="292"/>
      <x:c r="C94" s="292"/>
      <x:c r="D94" s="292"/>
      <x:c r="E94" s="292"/>
      <x:c r="F94" s="292"/>
      <x:c r="G94" s="292"/>
      <x:c r="H94" s="292"/>
      <x:c r="I94" s="292"/>
      <x:c r="J94" s="292"/>
      <x:c r="K94" s="292"/>
      <x:c r="L94" s="292"/>
      <x:c r="M94" s="292"/>
      <x:c r="N94" s="292"/>
      <x:c r="O94" s="292"/>
      <x:c r="P94" s="292"/>
      <x:c r="Q94" s="292"/>
      <x:c r="R94" s="292"/>
      <x:c r="S94" s="292"/>
      <x:c r="T94" s="292"/>
      <x:c r="U94" s="292"/>
      <x:c r="V94" s="292"/>
      <x:c r="W94" s="292"/>
      <x:c r="X94" s="292"/>
      <x:c r="Y94" s="292"/>
      <x:c r="Z94" s="292"/>
    </x:row>
    <x:row r="95">
      <x:c r="A95" s="292"/>
      <x:c r="B95" s="292"/>
      <x:c r="C95" s="292"/>
      <x:c r="D95" s="292"/>
      <x:c r="E95" s="292"/>
      <x:c r="F95" s="292"/>
      <x:c r="G95" s="292"/>
      <x:c r="H95" s="292"/>
      <x:c r="I95" s="292"/>
      <x:c r="J95" s="292"/>
      <x:c r="K95" s="292"/>
      <x:c r="L95" s="292"/>
      <x:c r="M95" s="292"/>
      <x:c r="N95" s="292"/>
      <x:c r="O95" s="292"/>
      <x:c r="P95" s="292"/>
      <x:c r="Q95" s="292"/>
      <x:c r="R95" s="292"/>
      <x:c r="S95" s="292"/>
      <x:c r="T95" s="292"/>
      <x:c r="U95" s="292"/>
      <x:c r="V95" s="292"/>
      <x:c r="W95" s="292"/>
      <x:c r="X95" s="292"/>
      <x:c r="Y95" s="292"/>
      <x:c r="Z95" s="292"/>
    </x:row>
    <x:row r="96">
      <x:c r="A96" s="292"/>
      <x:c r="B96" s="292"/>
      <x:c r="C96" s="292"/>
      <x:c r="D96" s="292"/>
      <x:c r="E96" s="292"/>
      <x:c r="F96" s="292"/>
      <x:c r="G96" s="292"/>
      <x:c r="H96" s="292"/>
      <x:c r="I96" s="292"/>
      <x:c r="J96" s="292"/>
      <x:c r="K96" s="292"/>
      <x:c r="L96" s="292"/>
      <x:c r="M96" s="292"/>
      <x:c r="N96" s="292"/>
      <x:c r="O96" s="292"/>
      <x:c r="P96" s="292"/>
      <x:c r="Q96" s="292"/>
      <x:c r="R96" s="292"/>
      <x:c r="S96" s="292"/>
      <x:c r="T96" s="292"/>
      <x:c r="U96" s="292"/>
      <x:c r="V96" s="292"/>
      <x:c r="W96" s="292"/>
      <x:c r="X96" s="292"/>
      <x:c r="Y96" s="292"/>
      <x:c r="Z96" s="292"/>
    </x:row>
    <x:row r="97">
      <x:c r="A97" s="292"/>
      <x:c r="B97" s="292"/>
      <x:c r="C97" s="292"/>
      <x:c r="D97" s="292"/>
      <x:c r="E97" s="292"/>
      <x:c r="F97" s="292"/>
      <x:c r="G97" s="292"/>
      <x:c r="H97" s="292"/>
      <x:c r="I97" s="292"/>
      <x:c r="J97" s="292"/>
      <x:c r="K97" s="292"/>
      <x:c r="L97" s="292"/>
      <x:c r="M97" s="292"/>
      <x:c r="N97" s="292"/>
      <x:c r="O97" s="292"/>
      <x:c r="P97" s="292"/>
      <x:c r="Q97" s="292"/>
      <x:c r="R97" s="292"/>
      <x:c r="S97" s="292"/>
      <x:c r="T97" s="292"/>
      <x:c r="U97" s="292"/>
      <x:c r="V97" s="292"/>
      <x:c r="W97" s="292"/>
      <x:c r="X97" s="292"/>
      <x:c r="Y97" s="292"/>
      <x:c r="Z97" s="292"/>
    </x:row>
    <x:row r="98">
      <x:c r="A98" s="292"/>
      <x:c r="B98" s="292"/>
      <x:c r="C98" s="292"/>
      <x:c r="D98" s="292"/>
      <x:c r="E98" s="292"/>
      <x:c r="F98" s="292"/>
      <x:c r="G98" s="292"/>
      <x:c r="H98" s="292"/>
      <x:c r="I98" s="292"/>
      <x:c r="J98" s="292"/>
      <x:c r="K98" s="292"/>
      <x:c r="L98" s="292"/>
      <x:c r="M98" s="292"/>
      <x:c r="N98" s="292"/>
      <x:c r="O98" s="292"/>
      <x:c r="P98" s="292"/>
      <x:c r="Q98" s="292"/>
      <x:c r="R98" s="292"/>
      <x:c r="S98" s="292"/>
      <x:c r="T98" s="292"/>
      <x:c r="U98" s="292"/>
      <x:c r="V98" s="292"/>
      <x:c r="W98" s="292"/>
      <x:c r="X98" s="292"/>
      <x:c r="Y98" s="292"/>
      <x:c r="Z98" s="292"/>
    </x:row>
    <x:row r="99">
      <x:c r="A99" s="292"/>
      <x:c r="B99" s="292"/>
      <x:c r="C99" s="292"/>
      <x:c r="D99" s="292"/>
      <x:c r="E99" s="292"/>
      <x:c r="F99" s="292"/>
      <x:c r="G99" s="292"/>
      <x:c r="H99" s="292"/>
      <x:c r="I99" s="292"/>
      <x:c r="J99" s="292"/>
      <x:c r="K99" s="292"/>
      <x:c r="L99" s="292"/>
      <x:c r="M99" s="292"/>
      <x:c r="N99" s="292"/>
      <x:c r="O99" s="292"/>
      <x:c r="P99" s="292"/>
      <x:c r="Q99" s="292"/>
      <x:c r="R99" s="292"/>
      <x:c r="S99" s="292"/>
      <x:c r="T99" s="292"/>
      <x:c r="U99" s="292"/>
      <x:c r="V99" s="292"/>
      <x:c r="W99" s="292"/>
      <x:c r="X99" s="292"/>
      <x:c r="Y99" s="292"/>
      <x:c r="Z99" s="292"/>
    </x:row>
    <x:row r="100">
      <x:c r="A100" s="292"/>
      <x:c r="B100" s="292"/>
      <x:c r="C100" s="292"/>
      <x:c r="D100" s="292"/>
      <x:c r="E100" s="292"/>
      <x:c r="F100" s="292"/>
      <x:c r="G100" s="292"/>
      <x:c r="H100" s="292"/>
      <x:c r="I100" s="292"/>
      <x:c r="J100" s="292"/>
      <x:c r="K100" s="292"/>
      <x:c r="L100" s="292"/>
      <x:c r="M100" s="292"/>
      <x:c r="N100" s="292"/>
      <x:c r="O100" s="292"/>
      <x:c r="P100" s="292"/>
      <x:c r="Q100" s="292"/>
      <x:c r="R100" s="292"/>
      <x:c r="S100" s="292"/>
      <x:c r="T100" s="292"/>
      <x:c r="U100" s="292"/>
      <x:c r="V100" s="292"/>
      <x:c r="W100" s="292"/>
      <x:c r="X100" s="292"/>
      <x:c r="Y100" s="292"/>
      <x:c r="Z100" s="292"/>
    </x:row>
  </x:sheetData>
  <x:mergeCells>
    <x:mergeCell ref="A1:F1"/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customHeight="1">
      <x:c r="A1" s="4" t="str">
        <x:v>Region Analysis</x:v>
      </x:c>
      <x:c r="B1" s="4"/>
      <x:c r="C1" s="4"/>
      <x:c r="D1" s="4"/>
      <x:c r="E1" s="4"/>
      <x:c r="F1" s="4"/>
    </x:row>
    <x:row r="2" ht="26" customHeight="1">
      <x:c r="A2" s="8" t="str">
        <x:v>Regional performance and return rate; responds to Dashboard selectors</x:v>
      </x:c>
      <x:c r="B2" s="8"/>
      <x:c r="C2" s="8"/>
      <x:c r="D2" s="8"/>
      <x:c r="E2" s="8"/>
      <x:c r="F2" s="8"/>
    </x:row>
    <x:row r="4" ht="30" customHeight="1">
      <x:c r="A4" s="69" t="str">
        <x:v>Region</x:v>
      </x:c>
      <x:c r="B4" s="70" t="str">
        <x:v>Net_Revenue</x:v>
      </x:c>
      <x:c r="C4" s="70" t="str">
        <x:v>Profit</x:v>
      </x:c>
      <x:c r="D4" s="70" t="str">
        <x:v>Transactions</x:v>
      </x:c>
      <x:c r="E4" s="70" t="str">
        <x:v>Profit_Margin</x:v>
      </x:c>
      <x:c r="F4" s="71" t="str">
        <x:v>Return_Rate</x:v>
      </x:c>
      <x:c r="G4" s="292"/>
      <x:c r="H4" s="292"/>
      <x:c r="I4" s="292"/>
      <x:c r="J4" s="292"/>
      <x:c r="K4" s="292"/>
      <x:c r="L4" s="292"/>
      <x:c r="M4" s="292"/>
      <x:c r="N4" s="292"/>
      <x:c r="O4" s="292"/>
      <x:c r="P4" s="292"/>
      <x:c r="Q4" s="292"/>
      <x:c r="R4" s="292"/>
      <x:c r="S4" s="292"/>
      <x:c r="T4" s="292"/>
      <x:c r="U4" s="292"/>
      <x:c r="V4" s="292"/>
      <x:c r="W4" s="292"/>
      <x:c r="X4" s="292"/>
      <x:c r="Y4" s="292"/>
      <x:c r="Z4" s="292"/>
    </x:row>
    <x:row r="5">
      <x:c r="A5" s="294" t="str">
        <x:v>Northeast</x:v>
      </x:c>
      <x:c r="B5" s="295" t="n">
        <x:f>SUMIFS('Clean Sales'!$W$5:$W$2428,'Clean Sales'!$AH$5:$AH$2428,1,'Clean Sales'!$I$5:$I$2428,A5)</x:f>
        <x:v>92964.90000000002</x:v>
      </x:c>
      <x:c r="C5" s="295" t="n">
        <x:f>SUMIFS('Clean Sales'!$Y$5:$Y$2428,'Clean Sales'!$AH$5:$AH$2428,1,'Clean Sales'!$I$5:$I$2428,A5)</x:f>
        <x:v>41443.19999999997</x:v>
      </x:c>
      <x:c r="D5" s="296" t="n">
        <x:f>COUNTIFS('Clean Sales'!$AH$5:$AH$2428,1,'Clean Sales'!$I$5:$I$2428,A5)</x:f>
        <x:v>582</x:v>
      </x:c>
      <x:c r="E5" s="297" t="n">
        <x:f>IFERROR(C5/B5,0)</x:f>
        <x:v>0.44579405775728215</x:v>
      </x:c>
      <x:c r="F5" s="297" t="n">
        <x:f>IFERROR(COUNTIFS('Clean Sales'!$AH$5:$AH$2428,1,'Clean Sales'!$I$5:$I$2428,A5,'Clean Sales'!$V$5:$V$2428,"Returned")/D5,0)</x:f>
        <x:v>0.05670103092783505</x:v>
      </x:c>
      <x:c r="G5" s="292"/>
      <x:c r="H5" s="292"/>
      <x:c r="I5" s="292"/>
      <x:c r="J5" s="292"/>
      <x:c r="K5" s="292"/>
      <x:c r="L5" s="292"/>
      <x:c r="M5" s="292"/>
      <x:c r="N5" s="292"/>
      <x:c r="O5" s="292"/>
      <x:c r="P5" s="292"/>
      <x:c r="Q5" s="292"/>
      <x:c r="R5" s="292"/>
      <x:c r="S5" s="292"/>
      <x:c r="T5" s="292"/>
      <x:c r="U5" s="292"/>
      <x:c r="V5" s="292"/>
      <x:c r="W5" s="292"/>
      <x:c r="X5" s="292"/>
      <x:c r="Y5" s="292"/>
      <x:c r="Z5" s="292"/>
    </x:row>
    <x:row r="6">
      <x:c r="A6" s="299" t="str">
        <x:v>Southeast</x:v>
      </x:c>
      <x:c r="B6" s="300" t="n">
        <x:f>SUMIFS('Clean Sales'!$W$5:$W$2428,'Clean Sales'!$AH$5:$AH$2428,1,'Clean Sales'!$I$5:$I$2428,A6)</x:f>
        <x:v>99168.5000000002</x:v>
      </x:c>
      <x:c r="C6" s="300" t="n">
        <x:f>SUMIFS('Clean Sales'!$Y$5:$Y$2428,'Clean Sales'!$AH$5:$AH$2428,1,'Clean Sales'!$I$5:$I$2428,A6)</x:f>
        <x:v>43195.79999999995</x:v>
      </x:c>
      <x:c r="D6" s="301" t="n">
        <x:f>COUNTIFS('Clean Sales'!$AH$5:$AH$2428,1,'Clean Sales'!$I$5:$I$2428,A6)</x:f>
        <x:v>610</x:v>
      </x:c>
      <x:c r="E6" s="302" t="n">
        <x:f>IFERROR(C6/B6,0)</x:f>
        <x:v>0.4355798464230059</x:v>
      </x:c>
      <x:c r="F6" s="302" t="n">
        <x:f>IFERROR(COUNTIFS('Clean Sales'!$AH$5:$AH$2428,1,'Clean Sales'!$I$5:$I$2428,A6,'Clean Sales'!$V$5:$V$2428,"Returned")/D6,0)</x:f>
        <x:v>0.04918032786885246</x:v>
      </x:c>
      <x:c r="G6" s="292"/>
      <x:c r="H6" s="292"/>
      <x:c r="I6" s="292"/>
      <x:c r="J6" s="292"/>
      <x:c r="K6" s="292"/>
      <x:c r="L6" s="292"/>
      <x:c r="M6" s="292"/>
      <x:c r="N6" s="292"/>
      <x:c r="O6" s="292"/>
      <x:c r="P6" s="292"/>
      <x:c r="Q6" s="292"/>
      <x:c r="R6" s="292"/>
      <x:c r="S6" s="292"/>
      <x:c r="T6" s="292"/>
      <x:c r="U6" s="292"/>
      <x:c r="V6" s="292"/>
      <x:c r="W6" s="292"/>
      <x:c r="X6" s="292"/>
      <x:c r="Y6" s="292"/>
      <x:c r="Z6" s="292"/>
    </x:row>
    <x:row r="7">
      <x:c r="A7" s="299" t="str">
        <x:v>Midwest</x:v>
      </x:c>
      <x:c r="B7" s="300" t="n">
        <x:f>SUMIFS('Clean Sales'!$W$5:$W$2428,'Clean Sales'!$AH$5:$AH$2428,1,'Clean Sales'!$I$5:$I$2428,A7)</x:f>
        <x:v>74505.7500000001</x:v>
      </x:c>
      <x:c r="C7" s="300" t="n">
        <x:f>SUMIFS('Clean Sales'!$Y$5:$Y$2428,'Clean Sales'!$AH$5:$AH$2428,1,'Clean Sales'!$I$5:$I$2428,A7)</x:f>
        <x:v>33051.49999999996</x:v>
      </x:c>
      <x:c r="D7" s="301" t="n">
        <x:f>COUNTIFS('Clean Sales'!$AH$5:$AH$2428,1,'Clean Sales'!$I$5:$I$2428,A7)</x:f>
        <x:v>518</x:v>
      </x:c>
      <x:c r="E7" s="302" t="n">
        <x:f>IFERROR(C7/B7,0)</x:f>
        <x:v>0.4436100569419128</x:v>
      </x:c>
      <x:c r="F7" s="302" t="n">
        <x:f>IFERROR(COUNTIFS('Clean Sales'!$AH$5:$AH$2428,1,'Clean Sales'!$I$5:$I$2428,A7,'Clean Sales'!$V$5:$V$2428,"Returned")/D7,0)</x:f>
        <x:v>0.04633204633204633</x:v>
      </x:c>
      <x:c r="G7" s="292"/>
      <x:c r="H7" s="292"/>
      <x:c r="I7" s="292"/>
      <x:c r="J7" s="292"/>
      <x:c r="K7" s="292"/>
      <x:c r="L7" s="292"/>
      <x:c r="M7" s="292"/>
      <x:c r="N7" s="292"/>
      <x:c r="O7" s="292"/>
      <x:c r="P7" s="292"/>
      <x:c r="Q7" s="292"/>
      <x:c r="R7" s="292"/>
      <x:c r="S7" s="292"/>
      <x:c r="T7" s="292"/>
      <x:c r="U7" s="292"/>
      <x:c r="V7" s="292"/>
      <x:c r="W7" s="292"/>
      <x:c r="X7" s="292"/>
      <x:c r="Y7" s="292"/>
      <x:c r="Z7" s="292"/>
    </x:row>
    <x:row r="8">
      <x:c r="A8" s="304" t="str">
        <x:v>West</x:v>
      </x:c>
      <x:c r="B8" s="305" t="n">
        <x:f>SUMIFS('Clean Sales'!$W$5:$W$2428,'Clean Sales'!$AH$5:$AH$2428,1,'Clean Sales'!$I$5:$I$2428,A8)</x:f>
        <x:v>94101.19999999998</x:v>
      </x:c>
      <x:c r="C8" s="305" t="n">
        <x:f>SUMIFS('Clean Sales'!$Y$5:$Y$2428,'Clean Sales'!$AH$5:$AH$2428,1,'Clean Sales'!$I$5:$I$2428,A8)</x:f>
        <x:v>42612.85</x:v>
      </x:c>
      <x:c r="D8" s="306" t="n">
        <x:f>COUNTIFS('Clean Sales'!$AH$5:$AH$2428,1,'Clean Sales'!$I$5:$I$2428,A8)</x:f>
        <x:v>641</x:v>
      </x:c>
      <x:c r="E8" s="307" t="n">
        <x:f>IFERROR(C8/B8,0)</x:f>
        <x:v>0.4528406651562361</x:v>
      </x:c>
      <x:c r="F8" s="307" t="n">
        <x:f>IFERROR(COUNTIFS('Clean Sales'!$AH$5:$AH$2428,1,'Clean Sales'!$I$5:$I$2428,A8,'Clean Sales'!$V$5:$V$2428,"Returned")/D8,0)</x:f>
        <x:v>0.056162246489859596</x:v>
      </x:c>
      <x:c r="G8" s="292"/>
      <x:c r="H8" s="292"/>
      <x:c r="I8" s="292"/>
      <x:c r="J8" s="292"/>
      <x:c r="K8" s="292"/>
      <x:c r="L8" s="292"/>
      <x:c r="M8" s="292"/>
      <x:c r="N8" s="292"/>
      <x:c r="O8" s="292"/>
      <x:c r="P8" s="292"/>
      <x:c r="Q8" s="292"/>
      <x:c r="R8" s="292"/>
      <x:c r="S8" s="292"/>
      <x:c r="T8" s="292"/>
      <x:c r="U8" s="292"/>
      <x:c r="V8" s="292"/>
      <x:c r="W8" s="292"/>
      <x:c r="X8" s="292"/>
      <x:c r="Y8" s="292"/>
      <x:c r="Z8" s="292"/>
    </x:row>
    <x:row r="9">
      <x:c r="A9" s="292"/>
      <x:c r="B9" s="292"/>
      <x:c r="C9" s="292"/>
      <x:c r="D9" s="292"/>
      <x:c r="E9" s="292"/>
      <x:c r="F9" s="292"/>
      <x:c r="G9" s="292"/>
      <x:c r="H9" s="292"/>
      <x:c r="I9" s="292"/>
      <x:c r="J9" s="292"/>
      <x:c r="K9" s="292"/>
      <x:c r="L9" s="292"/>
      <x:c r="M9" s="292"/>
      <x:c r="N9" s="292"/>
      <x:c r="O9" s="292"/>
      <x:c r="P9" s="292"/>
      <x:c r="Q9" s="292"/>
      <x:c r="R9" s="292"/>
      <x:c r="S9" s="292"/>
      <x:c r="T9" s="292"/>
      <x:c r="U9" s="292"/>
      <x:c r="V9" s="292"/>
      <x:c r="W9" s="292"/>
      <x:c r="X9" s="292"/>
      <x:c r="Y9" s="292"/>
      <x:c r="Z9" s="292"/>
    </x:row>
    <x:row r="10">
      <x:c r="A10" s="292"/>
      <x:c r="B10" s="292"/>
      <x:c r="C10" s="292"/>
      <x:c r="D10" s="292"/>
      <x:c r="E10" s="292"/>
      <x:c r="F10" s="292"/>
      <x:c r="G10" s="292"/>
      <x:c r="H10" s="292"/>
      <x:c r="I10" s="292"/>
      <x:c r="J10" s="292"/>
      <x:c r="K10" s="292"/>
      <x:c r="L10" s="292"/>
      <x:c r="M10" s="292"/>
      <x:c r="N10" s="292"/>
      <x:c r="O10" s="292"/>
      <x:c r="P10" s="292"/>
      <x:c r="Q10" s="292"/>
      <x:c r="R10" s="292"/>
      <x:c r="S10" s="292"/>
      <x:c r="T10" s="292"/>
      <x:c r="U10" s="292"/>
      <x:c r="V10" s="292"/>
      <x:c r="W10" s="292"/>
      <x:c r="X10" s="292"/>
      <x:c r="Y10" s="292"/>
      <x:c r="Z10" s="292"/>
    </x:row>
    <x:row r="11">
      <x:c r="A11" s="292"/>
      <x:c r="B11" s="292"/>
      <x:c r="C11" s="292"/>
      <x:c r="D11" s="292"/>
      <x:c r="E11" s="292"/>
      <x:c r="F11" s="292"/>
      <x:c r="G11" s="292"/>
      <x:c r="H11" s="292"/>
      <x:c r="I11" s="292"/>
      <x:c r="J11" s="292"/>
      <x:c r="K11" s="292"/>
      <x:c r="L11" s="292"/>
      <x:c r="M11" s="292"/>
      <x:c r="N11" s="292"/>
      <x:c r="O11" s="292"/>
      <x:c r="P11" s="292"/>
      <x:c r="Q11" s="292"/>
      <x:c r="R11" s="292"/>
      <x:c r="S11" s="292"/>
      <x:c r="T11" s="292"/>
      <x:c r="U11" s="292"/>
      <x:c r="V11" s="292"/>
      <x:c r="W11" s="292"/>
      <x:c r="X11" s="292"/>
      <x:c r="Y11" s="292"/>
      <x:c r="Z11" s="292"/>
    </x:row>
    <x:row r="12">
      <x:c r="A12" s="292"/>
      <x:c r="B12" s="292"/>
      <x:c r="C12" s="292"/>
      <x:c r="D12" s="292"/>
      <x:c r="E12" s="292"/>
      <x:c r="F12" s="292"/>
      <x:c r="G12" s="292"/>
      <x:c r="H12" s="292"/>
      <x:c r="I12" s="292"/>
      <x:c r="J12" s="292"/>
      <x:c r="K12" s="292"/>
      <x:c r="L12" s="292"/>
      <x:c r="M12" s="292"/>
      <x:c r="N12" s="292"/>
      <x:c r="O12" s="292"/>
      <x:c r="P12" s="292"/>
      <x:c r="Q12" s="292"/>
      <x:c r="R12" s="292"/>
      <x:c r="S12" s="292"/>
      <x:c r="T12" s="292"/>
      <x:c r="U12" s="292"/>
      <x:c r="V12" s="292"/>
      <x:c r="W12" s="292"/>
      <x:c r="X12" s="292"/>
      <x:c r="Y12" s="292"/>
      <x:c r="Z12" s="292"/>
    </x:row>
    <x:row r="13">
      <x:c r="A13" s="292"/>
      <x:c r="B13" s="292"/>
      <x:c r="C13" s="292"/>
      <x:c r="D13" s="292"/>
      <x:c r="E13" s="292"/>
      <x:c r="F13" s="292"/>
      <x:c r="G13" s="292"/>
      <x:c r="H13" s="292"/>
      <x:c r="I13" s="292"/>
      <x:c r="J13" s="292"/>
      <x:c r="K13" s="292"/>
      <x:c r="L13" s="292"/>
      <x:c r="M13" s="292"/>
      <x:c r="N13" s="292"/>
      <x:c r="O13" s="292"/>
      <x:c r="P13" s="292"/>
      <x:c r="Q13" s="292"/>
      <x:c r="R13" s="292"/>
      <x:c r="S13" s="292"/>
      <x:c r="T13" s="292"/>
      <x:c r="U13" s="292"/>
      <x:c r="V13" s="292"/>
      <x:c r="W13" s="292"/>
      <x:c r="X13" s="292"/>
      <x:c r="Y13" s="292"/>
      <x:c r="Z13" s="292"/>
    </x:row>
    <x:row r="14">
      <x:c r="A14" s="292"/>
      <x:c r="B14" s="292"/>
      <x:c r="C14" s="292"/>
      <x:c r="D14" s="292"/>
      <x:c r="E14" s="292"/>
      <x:c r="F14" s="292"/>
      <x:c r="G14" s="292"/>
      <x:c r="H14" s="292"/>
      <x:c r="I14" s="292"/>
      <x:c r="J14" s="292"/>
      <x:c r="K14" s="292"/>
      <x:c r="L14" s="292"/>
      <x:c r="M14" s="292"/>
      <x:c r="N14" s="292"/>
      <x:c r="O14" s="292"/>
      <x:c r="P14" s="292"/>
      <x:c r="Q14" s="292"/>
      <x:c r="R14" s="292"/>
      <x:c r="S14" s="292"/>
      <x:c r="T14" s="292"/>
      <x:c r="U14" s="292"/>
      <x:c r="V14" s="292"/>
      <x:c r="W14" s="292"/>
      <x:c r="X14" s="292"/>
      <x:c r="Y14" s="292"/>
      <x:c r="Z14" s="292"/>
    </x:row>
    <x:row r="15">
      <x:c r="A15" s="292"/>
      <x:c r="B15" s="292"/>
      <x:c r="C15" s="292"/>
      <x:c r="D15" s="292"/>
      <x:c r="E15" s="292"/>
      <x:c r="F15" s="292"/>
      <x:c r="G15" s="292"/>
      <x:c r="H15" s="292"/>
      <x:c r="I15" s="292"/>
      <x:c r="J15" s="292"/>
      <x:c r="K15" s="292"/>
      <x:c r="L15" s="292"/>
      <x:c r="M15" s="292"/>
      <x:c r="N15" s="292"/>
      <x:c r="O15" s="292"/>
      <x:c r="P15" s="292"/>
      <x:c r="Q15" s="292"/>
      <x:c r="R15" s="292"/>
      <x:c r="S15" s="292"/>
      <x:c r="T15" s="292"/>
      <x:c r="U15" s="292"/>
      <x:c r="V15" s="292"/>
      <x:c r="W15" s="292"/>
      <x:c r="X15" s="292"/>
      <x:c r="Y15" s="292"/>
      <x:c r="Z15" s="292"/>
    </x:row>
    <x:row r="16">
      <x:c r="A16" s="292"/>
      <x:c r="B16" s="292"/>
      <x:c r="C16" s="292"/>
      <x:c r="D16" s="292"/>
      <x:c r="E16" s="292"/>
      <x:c r="F16" s="292"/>
      <x:c r="G16" s="292"/>
      <x:c r="H16" s="292"/>
      <x:c r="I16" s="292"/>
      <x:c r="J16" s="292"/>
      <x:c r="K16" s="292"/>
      <x:c r="L16" s="292"/>
      <x:c r="M16" s="292"/>
      <x:c r="N16" s="292"/>
      <x:c r="O16" s="292"/>
      <x:c r="P16" s="292"/>
      <x:c r="Q16" s="292"/>
      <x:c r="R16" s="292"/>
      <x:c r="S16" s="292"/>
      <x:c r="T16" s="292"/>
      <x:c r="U16" s="292"/>
      <x:c r="V16" s="292"/>
      <x:c r="W16" s="292"/>
      <x:c r="X16" s="292"/>
      <x:c r="Y16" s="292"/>
      <x:c r="Z16" s="292"/>
    </x:row>
    <x:row r="17">
      <x:c r="A17" s="292"/>
      <x:c r="B17" s="292"/>
      <x:c r="C17" s="292"/>
      <x:c r="D17" s="292"/>
      <x:c r="E17" s="292"/>
      <x:c r="F17" s="292"/>
      <x:c r="G17" s="292"/>
      <x:c r="H17" s="292"/>
      <x:c r="I17" s="292"/>
      <x:c r="J17" s="292"/>
      <x:c r="K17" s="292"/>
      <x:c r="L17" s="292"/>
      <x:c r="M17" s="292"/>
      <x:c r="N17" s="292"/>
      <x:c r="O17" s="292"/>
      <x:c r="P17" s="292"/>
      <x:c r="Q17" s="292"/>
      <x:c r="R17" s="292"/>
      <x:c r="S17" s="292"/>
      <x:c r="T17" s="292"/>
      <x:c r="U17" s="292"/>
      <x:c r="V17" s="292"/>
      <x:c r="W17" s="292"/>
      <x:c r="X17" s="292"/>
      <x:c r="Y17" s="292"/>
      <x:c r="Z17" s="292"/>
    </x:row>
    <x:row r="18">
      <x:c r="A18" s="292"/>
      <x:c r="B18" s="292"/>
      <x:c r="C18" s="292"/>
      <x:c r="D18" s="292"/>
      <x:c r="E18" s="292"/>
      <x:c r="F18" s="292"/>
      <x:c r="G18" s="292"/>
      <x:c r="H18" s="292"/>
      <x:c r="I18" s="292"/>
      <x:c r="J18" s="292"/>
      <x:c r="K18" s="292"/>
      <x:c r="L18" s="292"/>
      <x:c r="M18" s="292"/>
      <x:c r="N18" s="292"/>
      <x:c r="O18" s="292"/>
      <x:c r="P18" s="292"/>
      <x:c r="Q18" s="292"/>
      <x:c r="R18" s="292"/>
      <x:c r="S18" s="292"/>
      <x:c r="T18" s="292"/>
      <x:c r="U18" s="292"/>
      <x:c r="V18" s="292"/>
      <x:c r="W18" s="292"/>
      <x:c r="X18" s="292"/>
      <x:c r="Y18" s="292"/>
      <x:c r="Z18" s="292"/>
    </x:row>
    <x:row r="19">
      <x:c r="A19" s="292"/>
      <x:c r="B19" s="292"/>
      <x:c r="C19" s="292"/>
      <x:c r="D19" s="292"/>
      <x:c r="E19" s="292"/>
      <x:c r="F19" s="292"/>
      <x:c r="G19" s="292"/>
      <x:c r="H19" s="292"/>
      <x:c r="I19" s="292"/>
      <x:c r="J19" s="292"/>
      <x:c r="K19" s="292"/>
      <x:c r="L19" s="292"/>
      <x:c r="M19" s="292"/>
      <x:c r="N19" s="292"/>
      <x:c r="O19" s="292"/>
      <x:c r="P19" s="292"/>
      <x:c r="Q19" s="292"/>
      <x:c r="R19" s="292"/>
      <x:c r="S19" s="292"/>
      <x:c r="T19" s="292"/>
      <x:c r="U19" s="292"/>
      <x:c r="V19" s="292"/>
      <x:c r="W19" s="292"/>
      <x:c r="X19" s="292"/>
      <x:c r="Y19" s="292"/>
      <x:c r="Z19" s="292"/>
    </x:row>
    <x:row r="20">
      <x:c r="A20" s="292"/>
      <x:c r="B20" s="292"/>
      <x:c r="C20" s="292"/>
      <x:c r="D20" s="292"/>
      <x:c r="E20" s="292"/>
      <x:c r="F20" s="292"/>
      <x:c r="G20" s="292"/>
      <x:c r="H20" s="292"/>
      <x:c r="I20" s="292"/>
      <x:c r="J20" s="292"/>
      <x:c r="K20" s="292"/>
      <x:c r="L20" s="292"/>
      <x:c r="M20" s="292"/>
      <x:c r="N20" s="292"/>
      <x:c r="O20" s="292"/>
      <x:c r="P20" s="292"/>
      <x:c r="Q20" s="292"/>
      <x:c r="R20" s="292"/>
      <x:c r="S20" s="292"/>
      <x:c r="T20" s="292"/>
      <x:c r="U20" s="292"/>
      <x:c r="V20" s="292"/>
      <x:c r="W20" s="292"/>
      <x:c r="X20" s="292"/>
      <x:c r="Y20" s="292"/>
      <x:c r="Z20" s="292"/>
    </x:row>
    <x:row r="21">
      <x:c r="A21" s="292"/>
      <x:c r="B21" s="292"/>
      <x:c r="C21" s="292"/>
      <x:c r="D21" s="292"/>
      <x:c r="E21" s="292"/>
      <x:c r="F21" s="292"/>
      <x:c r="G21" s="292"/>
      <x:c r="H21" s="292"/>
      <x:c r="I21" s="292"/>
      <x:c r="J21" s="292"/>
      <x:c r="K21" s="292"/>
      <x:c r="L21" s="292"/>
      <x:c r="M21" s="292"/>
      <x:c r="N21" s="292"/>
      <x:c r="O21" s="292"/>
      <x:c r="P21" s="292"/>
      <x:c r="Q21" s="292"/>
      <x:c r="R21" s="292"/>
      <x:c r="S21" s="292"/>
      <x:c r="T21" s="292"/>
      <x:c r="U21" s="292"/>
      <x:c r="V21" s="292"/>
      <x:c r="W21" s="292"/>
      <x:c r="X21" s="292"/>
      <x:c r="Y21" s="292"/>
      <x:c r="Z21" s="292"/>
    </x:row>
    <x:row r="22">
      <x:c r="A22" s="292"/>
      <x:c r="B22" s="292"/>
      <x:c r="C22" s="292"/>
      <x:c r="D22" s="292"/>
      <x:c r="E22" s="292"/>
      <x:c r="F22" s="292"/>
      <x:c r="G22" s="292"/>
      <x:c r="H22" s="292"/>
      <x:c r="I22" s="292"/>
      <x:c r="J22" s="292"/>
      <x:c r="K22" s="292"/>
      <x:c r="L22" s="292"/>
      <x:c r="M22" s="292"/>
      <x:c r="N22" s="292"/>
      <x:c r="O22" s="292"/>
      <x:c r="P22" s="292"/>
      <x:c r="Q22" s="292"/>
      <x:c r="R22" s="292"/>
      <x:c r="S22" s="292"/>
      <x:c r="T22" s="292"/>
      <x:c r="U22" s="292"/>
      <x:c r="V22" s="292"/>
      <x:c r="W22" s="292"/>
      <x:c r="X22" s="292"/>
      <x:c r="Y22" s="292"/>
      <x:c r="Z22" s="292"/>
    </x:row>
    <x:row r="23">
      <x:c r="A23" s="292"/>
      <x:c r="B23" s="292"/>
      <x:c r="C23" s="292"/>
      <x:c r="D23" s="292"/>
      <x:c r="E23" s="292"/>
      <x:c r="F23" s="292"/>
      <x:c r="G23" s="292"/>
      <x:c r="H23" s="292"/>
      <x:c r="I23" s="292"/>
      <x:c r="J23" s="292"/>
      <x:c r="K23" s="292"/>
      <x:c r="L23" s="292"/>
      <x:c r="M23" s="292"/>
      <x:c r="N23" s="292"/>
      <x:c r="O23" s="292"/>
      <x:c r="P23" s="292"/>
      <x:c r="Q23" s="292"/>
      <x:c r="R23" s="292"/>
      <x:c r="S23" s="292"/>
      <x:c r="T23" s="292"/>
      <x:c r="U23" s="292"/>
      <x:c r="V23" s="292"/>
      <x:c r="W23" s="292"/>
      <x:c r="X23" s="292"/>
      <x:c r="Y23" s="292"/>
      <x:c r="Z23" s="292"/>
    </x:row>
    <x:row r="24">
      <x:c r="A24" s="292"/>
      <x:c r="B24" s="292"/>
      <x:c r="C24" s="292"/>
      <x:c r="D24" s="292"/>
      <x:c r="E24" s="292"/>
      <x:c r="F24" s="292"/>
      <x:c r="G24" s="292"/>
      <x:c r="H24" s="292"/>
      <x:c r="I24" s="292"/>
      <x:c r="J24" s="292"/>
      <x:c r="K24" s="292"/>
      <x:c r="L24" s="292"/>
      <x:c r="M24" s="292"/>
      <x:c r="N24" s="292"/>
      <x:c r="O24" s="292"/>
      <x:c r="P24" s="292"/>
      <x:c r="Q24" s="292"/>
      <x:c r="R24" s="292"/>
      <x:c r="S24" s="292"/>
      <x:c r="T24" s="292"/>
      <x:c r="U24" s="292"/>
      <x:c r="V24" s="292"/>
      <x:c r="W24" s="292"/>
      <x:c r="X24" s="292"/>
      <x:c r="Y24" s="292"/>
      <x:c r="Z24" s="292"/>
    </x:row>
    <x:row r="25">
      <x:c r="A25" s="292"/>
      <x:c r="B25" s="292"/>
      <x:c r="C25" s="292"/>
      <x:c r="D25" s="292"/>
      <x:c r="E25" s="292"/>
      <x:c r="F25" s="292"/>
      <x:c r="G25" s="292"/>
      <x:c r="H25" s="292"/>
      <x:c r="I25" s="292"/>
      <x:c r="J25" s="292"/>
      <x:c r="K25" s="292"/>
      <x:c r="L25" s="292"/>
      <x:c r="M25" s="292"/>
      <x:c r="N25" s="292"/>
      <x:c r="O25" s="292"/>
      <x:c r="P25" s="292"/>
      <x:c r="Q25" s="292"/>
      <x:c r="R25" s="292"/>
      <x:c r="S25" s="292"/>
      <x:c r="T25" s="292"/>
      <x:c r="U25" s="292"/>
      <x:c r="V25" s="292"/>
      <x:c r="W25" s="292"/>
      <x:c r="X25" s="292"/>
      <x:c r="Y25" s="292"/>
      <x:c r="Z25" s="292"/>
    </x:row>
    <x:row r="26">
      <x:c r="A26" s="292"/>
      <x:c r="B26" s="292"/>
      <x:c r="C26" s="292"/>
      <x:c r="D26" s="292"/>
      <x:c r="E26" s="292"/>
      <x:c r="F26" s="292"/>
      <x:c r="G26" s="292"/>
      <x:c r="H26" s="292"/>
      <x:c r="I26" s="292"/>
      <x:c r="J26" s="292"/>
      <x:c r="K26" s="292"/>
      <x:c r="L26" s="292"/>
      <x:c r="M26" s="292"/>
      <x:c r="N26" s="292"/>
      <x:c r="O26" s="292"/>
      <x:c r="P26" s="292"/>
      <x:c r="Q26" s="292"/>
      <x:c r="R26" s="292"/>
      <x:c r="S26" s="292"/>
      <x:c r="T26" s="292"/>
      <x:c r="U26" s="292"/>
      <x:c r="V26" s="292"/>
      <x:c r="W26" s="292"/>
      <x:c r="X26" s="292"/>
      <x:c r="Y26" s="292"/>
      <x:c r="Z26" s="292"/>
    </x:row>
    <x:row r="27">
      <x:c r="A27" s="292"/>
      <x:c r="B27" s="292"/>
      <x:c r="C27" s="292"/>
      <x:c r="D27" s="292"/>
      <x:c r="E27" s="292"/>
      <x:c r="F27" s="292"/>
      <x:c r="G27" s="292"/>
      <x:c r="H27" s="292"/>
      <x:c r="I27" s="292"/>
      <x:c r="J27" s="292"/>
      <x:c r="K27" s="292"/>
      <x:c r="L27" s="292"/>
      <x:c r="M27" s="292"/>
      <x:c r="N27" s="292"/>
      <x:c r="O27" s="292"/>
      <x:c r="P27" s="292"/>
      <x:c r="Q27" s="292"/>
      <x:c r="R27" s="292"/>
      <x:c r="S27" s="292"/>
      <x:c r="T27" s="292"/>
      <x:c r="U27" s="292"/>
      <x:c r="V27" s="292"/>
      <x:c r="W27" s="292"/>
      <x:c r="X27" s="292"/>
      <x:c r="Y27" s="292"/>
      <x:c r="Z27" s="292"/>
    </x:row>
    <x:row r="28">
      <x:c r="A28" s="292"/>
      <x:c r="B28" s="292"/>
      <x:c r="C28" s="292"/>
      <x:c r="D28" s="292"/>
      <x:c r="E28" s="292"/>
      <x:c r="F28" s="292"/>
      <x:c r="G28" s="292"/>
      <x:c r="H28" s="292"/>
      <x:c r="I28" s="292"/>
      <x:c r="J28" s="292"/>
      <x:c r="K28" s="292"/>
      <x:c r="L28" s="292"/>
      <x:c r="M28" s="292"/>
      <x:c r="N28" s="292"/>
      <x:c r="O28" s="292"/>
      <x:c r="P28" s="292"/>
      <x:c r="Q28" s="292"/>
      <x:c r="R28" s="292"/>
      <x:c r="S28" s="292"/>
      <x:c r="T28" s="292"/>
      <x:c r="U28" s="292"/>
      <x:c r="V28" s="292"/>
      <x:c r="W28" s="292"/>
      <x:c r="X28" s="292"/>
      <x:c r="Y28" s="292"/>
      <x:c r="Z28" s="292"/>
    </x:row>
    <x:row r="29">
      <x:c r="A29" s="292"/>
      <x:c r="B29" s="292"/>
      <x:c r="C29" s="292"/>
      <x:c r="D29" s="292"/>
      <x:c r="E29" s="292"/>
      <x:c r="F29" s="292"/>
      <x:c r="G29" s="292"/>
      <x:c r="H29" s="292"/>
      <x:c r="I29" s="292"/>
      <x:c r="J29" s="292"/>
      <x:c r="K29" s="292"/>
      <x:c r="L29" s="292"/>
      <x:c r="M29" s="292"/>
      <x:c r="N29" s="292"/>
      <x:c r="O29" s="292"/>
      <x:c r="P29" s="292"/>
      <x:c r="Q29" s="292"/>
      <x:c r="R29" s="292"/>
      <x:c r="S29" s="292"/>
      <x:c r="T29" s="292"/>
      <x:c r="U29" s="292"/>
      <x:c r="V29" s="292"/>
      <x:c r="W29" s="292"/>
      <x:c r="X29" s="292"/>
      <x:c r="Y29" s="292"/>
      <x:c r="Z29" s="292"/>
    </x:row>
    <x:row r="30">
      <x:c r="A30" s="292"/>
      <x:c r="B30" s="292"/>
      <x:c r="C30" s="292"/>
      <x:c r="D30" s="292"/>
      <x:c r="E30" s="292"/>
      <x:c r="F30" s="292"/>
      <x:c r="G30" s="292"/>
      <x:c r="H30" s="292"/>
      <x:c r="I30" s="292"/>
      <x:c r="J30" s="292"/>
      <x:c r="K30" s="292"/>
      <x:c r="L30" s="292"/>
      <x:c r="M30" s="292"/>
      <x:c r="N30" s="292"/>
      <x:c r="O30" s="292"/>
      <x:c r="P30" s="292"/>
      <x:c r="Q30" s="292"/>
      <x:c r="R30" s="292"/>
      <x:c r="S30" s="292"/>
      <x:c r="T30" s="292"/>
      <x:c r="U30" s="292"/>
      <x:c r="V30" s="292"/>
      <x:c r="W30" s="292"/>
      <x:c r="X30" s="292"/>
      <x:c r="Y30" s="292"/>
      <x:c r="Z30" s="292"/>
    </x:row>
    <x:row r="31">
      <x:c r="A31" s="292"/>
      <x:c r="B31" s="292"/>
      <x:c r="C31" s="292"/>
      <x:c r="D31" s="292"/>
      <x:c r="E31" s="292"/>
      <x:c r="F31" s="292"/>
      <x:c r="G31" s="292"/>
      <x:c r="H31" s="292"/>
      <x:c r="I31" s="292"/>
      <x:c r="J31" s="292"/>
      <x:c r="K31" s="292"/>
      <x:c r="L31" s="292"/>
      <x:c r="M31" s="292"/>
      <x:c r="N31" s="292"/>
      <x:c r="O31" s="292"/>
      <x:c r="P31" s="292"/>
      <x:c r="Q31" s="292"/>
      <x:c r="R31" s="292"/>
      <x:c r="S31" s="292"/>
      <x:c r="T31" s="292"/>
      <x:c r="U31" s="292"/>
      <x:c r="V31" s="292"/>
      <x:c r="W31" s="292"/>
      <x:c r="X31" s="292"/>
      <x:c r="Y31" s="292"/>
      <x:c r="Z31" s="292"/>
    </x:row>
    <x:row r="32">
      <x:c r="A32" s="292"/>
      <x:c r="B32" s="292"/>
      <x:c r="C32" s="292"/>
      <x:c r="D32" s="292"/>
      <x:c r="E32" s="292"/>
      <x:c r="F32" s="292"/>
      <x:c r="G32" s="292"/>
      <x:c r="H32" s="292"/>
      <x:c r="I32" s="292"/>
      <x:c r="J32" s="292"/>
      <x:c r="K32" s="292"/>
      <x:c r="L32" s="292"/>
      <x:c r="M32" s="292"/>
      <x:c r="N32" s="292"/>
      <x:c r="O32" s="292"/>
      <x:c r="P32" s="292"/>
      <x:c r="Q32" s="292"/>
      <x:c r="R32" s="292"/>
      <x:c r="S32" s="292"/>
      <x:c r="T32" s="292"/>
      <x:c r="U32" s="292"/>
      <x:c r="V32" s="292"/>
      <x:c r="W32" s="292"/>
      <x:c r="X32" s="292"/>
      <x:c r="Y32" s="292"/>
      <x:c r="Z32" s="292"/>
    </x:row>
    <x:row r="33">
      <x:c r="A33" s="292"/>
      <x:c r="B33" s="292"/>
      <x:c r="C33" s="292"/>
      <x:c r="D33" s="292"/>
      <x:c r="E33" s="292"/>
      <x:c r="F33" s="292"/>
      <x:c r="G33" s="292"/>
      <x:c r="H33" s="292"/>
      <x:c r="I33" s="292"/>
      <x:c r="J33" s="292"/>
      <x:c r="K33" s="292"/>
      <x:c r="L33" s="292"/>
      <x:c r="M33" s="292"/>
      <x:c r="N33" s="292"/>
      <x:c r="O33" s="292"/>
      <x:c r="P33" s="292"/>
      <x:c r="Q33" s="292"/>
      <x:c r="R33" s="292"/>
      <x:c r="S33" s="292"/>
      <x:c r="T33" s="292"/>
      <x:c r="U33" s="292"/>
      <x:c r="V33" s="292"/>
      <x:c r="W33" s="292"/>
      <x:c r="X33" s="292"/>
      <x:c r="Y33" s="292"/>
      <x:c r="Z33" s="292"/>
    </x:row>
    <x:row r="34">
      <x:c r="A34" s="292"/>
      <x:c r="B34" s="292"/>
      <x:c r="C34" s="292"/>
      <x:c r="D34" s="292"/>
      <x:c r="E34" s="292"/>
      <x:c r="F34" s="292"/>
      <x:c r="G34" s="292"/>
      <x:c r="H34" s="292"/>
      <x:c r="I34" s="292"/>
      <x:c r="J34" s="292"/>
      <x:c r="K34" s="292"/>
      <x:c r="L34" s="292"/>
      <x:c r="M34" s="292"/>
      <x:c r="N34" s="292"/>
      <x:c r="O34" s="292"/>
      <x:c r="P34" s="292"/>
      <x:c r="Q34" s="292"/>
      <x:c r="R34" s="292"/>
      <x:c r="S34" s="292"/>
      <x:c r="T34" s="292"/>
      <x:c r="U34" s="292"/>
      <x:c r="V34" s="292"/>
      <x:c r="W34" s="292"/>
      <x:c r="X34" s="292"/>
      <x:c r="Y34" s="292"/>
      <x:c r="Z34" s="292"/>
    </x:row>
    <x:row r="35">
      <x:c r="A35" s="292"/>
      <x:c r="B35" s="292"/>
      <x:c r="C35" s="292"/>
      <x:c r="D35" s="292"/>
      <x:c r="E35" s="292"/>
      <x:c r="F35" s="292"/>
      <x:c r="G35" s="292"/>
      <x:c r="H35" s="292"/>
      <x:c r="I35" s="292"/>
      <x:c r="J35" s="292"/>
      <x:c r="K35" s="292"/>
      <x:c r="L35" s="292"/>
      <x:c r="M35" s="292"/>
      <x:c r="N35" s="292"/>
      <x:c r="O35" s="292"/>
      <x:c r="P35" s="292"/>
      <x:c r="Q35" s="292"/>
      <x:c r="R35" s="292"/>
      <x:c r="S35" s="292"/>
      <x:c r="T35" s="292"/>
      <x:c r="U35" s="292"/>
      <x:c r="V35" s="292"/>
      <x:c r="W35" s="292"/>
      <x:c r="X35" s="292"/>
      <x:c r="Y35" s="292"/>
      <x:c r="Z35" s="292"/>
    </x:row>
    <x:row r="36">
      <x:c r="A36" s="292"/>
      <x:c r="B36" s="292"/>
      <x:c r="C36" s="292"/>
      <x:c r="D36" s="292"/>
      <x:c r="E36" s="292"/>
      <x:c r="F36" s="292"/>
      <x:c r="G36" s="292"/>
      <x:c r="H36" s="292"/>
      <x:c r="I36" s="292"/>
      <x:c r="J36" s="292"/>
      <x:c r="K36" s="292"/>
      <x:c r="L36" s="292"/>
      <x:c r="M36" s="292"/>
      <x:c r="N36" s="292"/>
      <x:c r="O36" s="292"/>
      <x:c r="P36" s="292"/>
      <x:c r="Q36" s="292"/>
      <x:c r="R36" s="292"/>
      <x:c r="S36" s="292"/>
      <x:c r="T36" s="292"/>
      <x:c r="U36" s="292"/>
      <x:c r="V36" s="292"/>
      <x:c r="W36" s="292"/>
      <x:c r="X36" s="292"/>
      <x:c r="Y36" s="292"/>
      <x:c r="Z36" s="292"/>
    </x:row>
    <x:row r="37">
      <x:c r="A37" s="292"/>
      <x:c r="B37" s="292"/>
      <x:c r="C37" s="292"/>
      <x:c r="D37" s="292"/>
      <x:c r="E37" s="292"/>
      <x:c r="F37" s="292"/>
      <x:c r="G37" s="292"/>
      <x:c r="H37" s="292"/>
      <x:c r="I37" s="292"/>
      <x:c r="J37" s="292"/>
      <x:c r="K37" s="292"/>
      <x:c r="L37" s="292"/>
      <x:c r="M37" s="292"/>
      <x:c r="N37" s="292"/>
      <x:c r="O37" s="292"/>
      <x:c r="P37" s="292"/>
      <x:c r="Q37" s="292"/>
      <x:c r="R37" s="292"/>
      <x:c r="S37" s="292"/>
      <x:c r="T37" s="292"/>
      <x:c r="U37" s="292"/>
      <x:c r="V37" s="292"/>
      <x:c r="W37" s="292"/>
      <x:c r="X37" s="292"/>
      <x:c r="Y37" s="292"/>
      <x:c r="Z37" s="292"/>
    </x:row>
    <x:row r="38">
      <x:c r="A38" s="292"/>
      <x:c r="B38" s="292"/>
      <x:c r="C38" s="292"/>
      <x:c r="D38" s="292"/>
      <x:c r="E38" s="292"/>
      <x:c r="F38" s="292"/>
      <x:c r="G38" s="292"/>
      <x:c r="H38" s="292"/>
      <x:c r="I38" s="292"/>
      <x:c r="J38" s="292"/>
      <x:c r="K38" s="292"/>
      <x:c r="L38" s="292"/>
      <x:c r="M38" s="292"/>
      <x:c r="N38" s="292"/>
      <x:c r="O38" s="292"/>
      <x:c r="P38" s="292"/>
      <x:c r="Q38" s="292"/>
      <x:c r="R38" s="292"/>
      <x:c r="S38" s="292"/>
      <x:c r="T38" s="292"/>
      <x:c r="U38" s="292"/>
      <x:c r="V38" s="292"/>
      <x:c r="W38" s="292"/>
      <x:c r="X38" s="292"/>
      <x:c r="Y38" s="292"/>
      <x:c r="Z38" s="292"/>
    </x:row>
    <x:row r="39">
      <x:c r="A39" s="292"/>
      <x:c r="B39" s="292"/>
      <x:c r="C39" s="292"/>
      <x:c r="D39" s="292"/>
      <x:c r="E39" s="292"/>
      <x:c r="F39" s="292"/>
      <x:c r="G39" s="292"/>
      <x:c r="H39" s="292"/>
      <x:c r="I39" s="292"/>
      <x:c r="J39" s="292"/>
      <x:c r="K39" s="292"/>
      <x:c r="L39" s="292"/>
      <x:c r="M39" s="292"/>
      <x:c r="N39" s="292"/>
      <x:c r="O39" s="292"/>
      <x:c r="P39" s="292"/>
      <x:c r="Q39" s="292"/>
      <x:c r="R39" s="292"/>
      <x:c r="S39" s="292"/>
      <x:c r="T39" s="292"/>
      <x:c r="U39" s="292"/>
      <x:c r="V39" s="292"/>
      <x:c r="W39" s="292"/>
      <x:c r="X39" s="292"/>
      <x:c r="Y39" s="292"/>
      <x:c r="Z39" s="292"/>
    </x:row>
    <x:row r="40">
      <x:c r="A40" s="292"/>
      <x:c r="B40" s="292"/>
      <x:c r="C40" s="292"/>
      <x:c r="D40" s="292"/>
      <x:c r="E40" s="292"/>
      <x:c r="F40" s="292"/>
      <x:c r="G40" s="292"/>
      <x:c r="H40" s="292"/>
      <x:c r="I40" s="292"/>
      <x:c r="J40" s="292"/>
      <x:c r="K40" s="292"/>
      <x:c r="L40" s="292"/>
      <x:c r="M40" s="292"/>
      <x:c r="N40" s="292"/>
      <x:c r="O40" s="292"/>
      <x:c r="P40" s="292"/>
      <x:c r="Q40" s="292"/>
      <x:c r="R40" s="292"/>
      <x:c r="S40" s="292"/>
      <x:c r="T40" s="292"/>
      <x:c r="U40" s="292"/>
      <x:c r="V40" s="292"/>
      <x:c r="W40" s="292"/>
      <x:c r="X40" s="292"/>
      <x:c r="Y40" s="292"/>
      <x:c r="Z40" s="292"/>
    </x:row>
    <x:row r="41">
      <x:c r="A41" s="292"/>
      <x:c r="B41" s="292"/>
      <x:c r="C41" s="292"/>
      <x:c r="D41" s="292"/>
      <x:c r="E41" s="292"/>
      <x:c r="F41" s="292"/>
      <x:c r="G41" s="292"/>
      <x:c r="H41" s="292"/>
      <x:c r="I41" s="292"/>
      <x:c r="J41" s="292"/>
      <x:c r="K41" s="292"/>
      <x:c r="L41" s="292"/>
      <x:c r="M41" s="292"/>
      <x:c r="N41" s="292"/>
      <x:c r="O41" s="292"/>
      <x:c r="P41" s="292"/>
      <x:c r="Q41" s="292"/>
      <x:c r="R41" s="292"/>
      <x:c r="S41" s="292"/>
      <x:c r="T41" s="292"/>
      <x:c r="U41" s="292"/>
      <x:c r="V41" s="292"/>
      <x:c r="W41" s="292"/>
      <x:c r="X41" s="292"/>
      <x:c r="Y41" s="292"/>
      <x:c r="Z41" s="292"/>
    </x:row>
    <x:row r="42">
      <x:c r="A42" s="292"/>
      <x:c r="B42" s="292"/>
      <x:c r="C42" s="292"/>
      <x:c r="D42" s="292"/>
      <x:c r="E42" s="292"/>
      <x:c r="F42" s="292"/>
      <x:c r="G42" s="292"/>
      <x:c r="H42" s="292"/>
      <x:c r="I42" s="292"/>
      <x:c r="J42" s="292"/>
      <x:c r="K42" s="292"/>
      <x:c r="L42" s="292"/>
      <x:c r="M42" s="292"/>
      <x:c r="N42" s="292"/>
      <x:c r="O42" s="292"/>
      <x:c r="P42" s="292"/>
      <x:c r="Q42" s="292"/>
      <x:c r="R42" s="292"/>
      <x:c r="S42" s="292"/>
      <x:c r="T42" s="292"/>
      <x:c r="U42" s="292"/>
      <x:c r="V42" s="292"/>
      <x:c r="W42" s="292"/>
      <x:c r="X42" s="292"/>
      <x:c r="Y42" s="292"/>
      <x:c r="Z42" s="292"/>
    </x:row>
    <x:row r="43">
      <x:c r="A43" s="292"/>
      <x:c r="B43" s="292"/>
      <x:c r="C43" s="292"/>
      <x:c r="D43" s="292"/>
      <x:c r="E43" s="292"/>
      <x:c r="F43" s="292"/>
      <x:c r="G43" s="292"/>
      <x:c r="H43" s="292"/>
      <x:c r="I43" s="292"/>
      <x:c r="J43" s="292"/>
      <x:c r="K43" s="292"/>
      <x:c r="L43" s="292"/>
      <x:c r="M43" s="292"/>
      <x:c r="N43" s="292"/>
      <x:c r="O43" s="292"/>
      <x:c r="P43" s="292"/>
      <x:c r="Q43" s="292"/>
      <x:c r="R43" s="292"/>
      <x:c r="S43" s="292"/>
      <x:c r="T43" s="292"/>
      <x:c r="U43" s="292"/>
      <x:c r="V43" s="292"/>
      <x:c r="W43" s="292"/>
      <x:c r="X43" s="292"/>
      <x:c r="Y43" s="292"/>
      <x:c r="Z43" s="292"/>
    </x:row>
    <x:row r="44">
      <x:c r="A44" s="292"/>
      <x:c r="B44" s="292"/>
      <x:c r="C44" s="292"/>
      <x:c r="D44" s="292"/>
      <x:c r="E44" s="292"/>
      <x:c r="F44" s="292"/>
      <x:c r="G44" s="292"/>
      <x:c r="H44" s="292"/>
      <x:c r="I44" s="292"/>
      <x:c r="J44" s="292"/>
      <x:c r="K44" s="292"/>
      <x:c r="L44" s="292"/>
      <x:c r="M44" s="292"/>
      <x:c r="N44" s="292"/>
      <x:c r="O44" s="292"/>
      <x:c r="P44" s="292"/>
      <x:c r="Q44" s="292"/>
      <x:c r="R44" s="292"/>
      <x:c r="S44" s="292"/>
      <x:c r="T44" s="292"/>
      <x:c r="U44" s="292"/>
      <x:c r="V44" s="292"/>
      <x:c r="W44" s="292"/>
      <x:c r="X44" s="292"/>
      <x:c r="Y44" s="292"/>
      <x:c r="Z44" s="292"/>
    </x:row>
    <x:row r="45">
      <x:c r="A45" s="292"/>
      <x:c r="B45" s="292"/>
      <x:c r="C45" s="292"/>
      <x:c r="D45" s="292"/>
      <x:c r="E45" s="292"/>
      <x:c r="F45" s="292"/>
      <x:c r="G45" s="292"/>
      <x:c r="H45" s="292"/>
      <x:c r="I45" s="292"/>
      <x:c r="J45" s="292"/>
      <x:c r="K45" s="292"/>
      <x:c r="L45" s="292"/>
      <x:c r="M45" s="292"/>
      <x:c r="N45" s="292"/>
      <x:c r="O45" s="292"/>
      <x:c r="P45" s="292"/>
      <x:c r="Q45" s="292"/>
      <x:c r="R45" s="292"/>
      <x:c r="S45" s="292"/>
      <x:c r="T45" s="292"/>
      <x:c r="U45" s="292"/>
      <x:c r="V45" s="292"/>
      <x:c r="W45" s="292"/>
      <x:c r="X45" s="292"/>
      <x:c r="Y45" s="292"/>
      <x:c r="Z45" s="292"/>
    </x:row>
    <x:row r="46">
      <x:c r="A46" s="292"/>
      <x:c r="B46" s="292"/>
      <x:c r="C46" s="292"/>
      <x:c r="D46" s="292"/>
      <x:c r="E46" s="292"/>
      <x:c r="F46" s="292"/>
      <x:c r="G46" s="292"/>
      <x:c r="H46" s="292"/>
      <x:c r="I46" s="292"/>
      <x:c r="J46" s="292"/>
      <x:c r="K46" s="292"/>
      <x:c r="L46" s="292"/>
      <x:c r="M46" s="292"/>
      <x:c r="N46" s="292"/>
      <x:c r="O46" s="292"/>
      <x:c r="P46" s="292"/>
      <x:c r="Q46" s="292"/>
      <x:c r="R46" s="292"/>
      <x:c r="S46" s="292"/>
      <x:c r="T46" s="292"/>
      <x:c r="U46" s="292"/>
      <x:c r="V46" s="292"/>
      <x:c r="W46" s="292"/>
      <x:c r="X46" s="292"/>
      <x:c r="Y46" s="292"/>
      <x:c r="Z46" s="292"/>
    </x:row>
    <x:row r="47">
      <x:c r="A47" s="292"/>
      <x:c r="B47" s="292"/>
      <x:c r="C47" s="292"/>
      <x:c r="D47" s="292"/>
      <x:c r="E47" s="292"/>
      <x:c r="F47" s="292"/>
      <x:c r="G47" s="292"/>
      <x:c r="H47" s="292"/>
      <x:c r="I47" s="292"/>
      <x:c r="J47" s="292"/>
      <x:c r="K47" s="292"/>
      <x:c r="L47" s="292"/>
      <x:c r="M47" s="292"/>
      <x:c r="N47" s="292"/>
      <x:c r="O47" s="292"/>
      <x:c r="P47" s="292"/>
      <x:c r="Q47" s="292"/>
      <x:c r="R47" s="292"/>
      <x:c r="S47" s="292"/>
      <x:c r="T47" s="292"/>
      <x:c r="U47" s="292"/>
      <x:c r="V47" s="292"/>
      <x:c r="W47" s="292"/>
      <x:c r="X47" s="292"/>
      <x:c r="Y47" s="292"/>
      <x:c r="Z47" s="292"/>
    </x:row>
    <x:row r="48">
      <x:c r="A48" s="292"/>
      <x:c r="B48" s="292"/>
      <x:c r="C48" s="292"/>
      <x:c r="D48" s="292"/>
      <x:c r="E48" s="292"/>
      <x:c r="F48" s="292"/>
      <x:c r="G48" s="292"/>
      <x:c r="H48" s="292"/>
      <x:c r="I48" s="292"/>
      <x:c r="J48" s="292"/>
      <x:c r="K48" s="292"/>
      <x:c r="L48" s="292"/>
      <x:c r="M48" s="292"/>
      <x:c r="N48" s="292"/>
      <x:c r="O48" s="292"/>
      <x:c r="P48" s="292"/>
      <x:c r="Q48" s="292"/>
      <x:c r="R48" s="292"/>
      <x:c r="S48" s="292"/>
      <x:c r="T48" s="292"/>
      <x:c r="U48" s="292"/>
      <x:c r="V48" s="292"/>
      <x:c r="W48" s="292"/>
      <x:c r="X48" s="292"/>
      <x:c r="Y48" s="292"/>
      <x:c r="Z48" s="292"/>
    </x:row>
    <x:row r="49">
      <x:c r="A49" s="292"/>
      <x:c r="B49" s="292"/>
      <x:c r="C49" s="292"/>
      <x:c r="D49" s="292"/>
      <x:c r="E49" s="292"/>
      <x:c r="F49" s="292"/>
      <x:c r="G49" s="292"/>
      <x:c r="H49" s="292"/>
      <x:c r="I49" s="292"/>
      <x:c r="J49" s="292"/>
      <x:c r="K49" s="292"/>
      <x:c r="L49" s="292"/>
      <x:c r="M49" s="292"/>
      <x:c r="N49" s="292"/>
      <x:c r="O49" s="292"/>
      <x:c r="P49" s="292"/>
      <x:c r="Q49" s="292"/>
      <x:c r="R49" s="292"/>
      <x:c r="S49" s="292"/>
      <x:c r="T49" s="292"/>
      <x:c r="U49" s="292"/>
      <x:c r="V49" s="292"/>
      <x:c r="W49" s="292"/>
      <x:c r="X49" s="292"/>
      <x:c r="Y49" s="292"/>
      <x:c r="Z49" s="292"/>
    </x:row>
    <x:row r="50">
      <x:c r="A50" s="292"/>
      <x:c r="B50" s="292"/>
      <x:c r="C50" s="292"/>
      <x:c r="D50" s="292"/>
      <x:c r="E50" s="292"/>
      <x:c r="F50" s="292"/>
      <x:c r="G50" s="292"/>
      <x:c r="H50" s="292"/>
      <x:c r="I50" s="292"/>
      <x:c r="J50" s="292"/>
      <x:c r="K50" s="292"/>
      <x:c r="L50" s="292"/>
      <x:c r="M50" s="292"/>
      <x:c r="N50" s="292"/>
      <x:c r="O50" s="292"/>
      <x:c r="P50" s="292"/>
      <x:c r="Q50" s="292"/>
      <x:c r="R50" s="292"/>
      <x:c r="S50" s="292"/>
      <x:c r="T50" s="292"/>
      <x:c r="U50" s="292"/>
      <x:c r="V50" s="292"/>
      <x:c r="W50" s="292"/>
      <x:c r="X50" s="292"/>
      <x:c r="Y50" s="292"/>
      <x:c r="Z50" s="292"/>
    </x:row>
    <x:row r="51">
      <x:c r="A51" s="292"/>
      <x:c r="B51" s="292"/>
      <x:c r="C51" s="292"/>
      <x:c r="D51" s="292"/>
      <x:c r="E51" s="292"/>
      <x:c r="F51" s="292"/>
      <x:c r="G51" s="292"/>
      <x:c r="H51" s="292"/>
      <x:c r="I51" s="292"/>
      <x:c r="J51" s="292"/>
      <x:c r="K51" s="292"/>
      <x:c r="L51" s="292"/>
      <x:c r="M51" s="292"/>
      <x:c r="N51" s="292"/>
      <x:c r="O51" s="292"/>
      <x:c r="P51" s="292"/>
      <x:c r="Q51" s="292"/>
      <x:c r="R51" s="292"/>
      <x:c r="S51" s="292"/>
      <x:c r="T51" s="292"/>
      <x:c r="U51" s="292"/>
      <x:c r="V51" s="292"/>
      <x:c r="W51" s="292"/>
      <x:c r="X51" s="292"/>
      <x:c r="Y51" s="292"/>
      <x:c r="Z51" s="292"/>
    </x:row>
    <x:row r="52">
      <x:c r="A52" s="292"/>
      <x:c r="B52" s="292"/>
      <x:c r="C52" s="292"/>
      <x:c r="D52" s="292"/>
      <x:c r="E52" s="292"/>
      <x:c r="F52" s="292"/>
      <x:c r="G52" s="292"/>
      <x:c r="H52" s="292"/>
      <x:c r="I52" s="292"/>
      <x:c r="J52" s="292"/>
      <x:c r="K52" s="292"/>
      <x:c r="L52" s="292"/>
      <x:c r="M52" s="292"/>
      <x:c r="N52" s="292"/>
      <x:c r="O52" s="292"/>
      <x:c r="P52" s="292"/>
      <x:c r="Q52" s="292"/>
      <x:c r="R52" s="292"/>
      <x:c r="S52" s="292"/>
      <x:c r="T52" s="292"/>
      <x:c r="U52" s="292"/>
      <x:c r="V52" s="292"/>
      <x:c r="W52" s="292"/>
      <x:c r="X52" s="292"/>
      <x:c r="Y52" s="292"/>
      <x:c r="Z52" s="292"/>
    </x:row>
    <x:row r="53">
      <x:c r="A53" s="292"/>
      <x:c r="B53" s="292"/>
      <x:c r="C53" s="292"/>
      <x:c r="D53" s="292"/>
      <x:c r="E53" s="292"/>
      <x:c r="F53" s="292"/>
      <x:c r="G53" s="292"/>
      <x:c r="H53" s="292"/>
      <x:c r="I53" s="292"/>
      <x:c r="J53" s="292"/>
      <x:c r="K53" s="292"/>
      <x:c r="L53" s="292"/>
      <x:c r="M53" s="292"/>
      <x:c r="N53" s="292"/>
      <x:c r="O53" s="292"/>
      <x:c r="P53" s="292"/>
      <x:c r="Q53" s="292"/>
      <x:c r="R53" s="292"/>
      <x:c r="S53" s="292"/>
      <x:c r="T53" s="292"/>
      <x:c r="U53" s="292"/>
      <x:c r="V53" s="292"/>
      <x:c r="W53" s="292"/>
      <x:c r="X53" s="292"/>
      <x:c r="Y53" s="292"/>
      <x:c r="Z53" s="292"/>
    </x:row>
    <x:row r="54">
      <x:c r="A54" s="292"/>
      <x:c r="B54" s="292"/>
      <x:c r="C54" s="292"/>
      <x:c r="D54" s="292"/>
      <x:c r="E54" s="292"/>
      <x:c r="F54" s="292"/>
      <x:c r="G54" s="292"/>
      <x:c r="H54" s="292"/>
      <x:c r="I54" s="292"/>
      <x:c r="J54" s="292"/>
      <x:c r="K54" s="292"/>
      <x:c r="L54" s="292"/>
      <x:c r="M54" s="292"/>
      <x:c r="N54" s="292"/>
      <x:c r="O54" s="292"/>
      <x:c r="P54" s="292"/>
      <x:c r="Q54" s="292"/>
      <x:c r="R54" s="292"/>
      <x:c r="S54" s="292"/>
      <x:c r="T54" s="292"/>
      <x:c r="U54" s="292"/>
      <x:c r="V54" s="292"/>
      <x:c r="W54" s="292"/>
      <x:c r="X54" s="292"/>
      <x:c r="Y54" s="292"/>
      <x:c r="Z54" s="292"/>
    </x:row>
    <x:row r="55">
      <x:c r="A55" s="292"/>
      <x:c r="B55" s="292"/>
      <x:c r="C55" s="292"/>
      <x:c r="D55" s="292"/>
      <x:c r="E55" s="292"/>
      <x:c r="F55" s="292"/>
      <x:c r="G55" s="292"/>
      <x:c r="H55" s="292"/>
      <x:c r="I55" s="292"/>
      <x:c r="J55" s="292"/>
      <x:c r="K55" s="292"/>
      <x:c r="L55" s="292"/>
      <x:c r="M55" s="292"/>
      <x:c r="N55" s="292"/>
      <x:c r="O55" s="292"/>
      <x:c r="P55" s="292"/>
      <x:c r="Q55" s="292"/>
      <x:c r="R55" s="292"/>
      <x:c r="S55" s="292"/>
      <x:c r="T55" s="292"/>
      <x:c r="U55" s="292"/>
      <x:c r="V55" s="292"/>
      <x:c r="W55" s="292"/>
      <x:c r="X55" s="292"/>
      <x:c r="Y55" s="292"/>
      <x:c r="Z55" s="292"/>
    </x:row>
    <x:row r="56">
      <x:c r="A56" s="292"/>
      <x:c r="B56" s="292"/>
      <x:c r="C56" s="292"/>
      <x:c r="D56" s="292"/>
      <x:c r="E56" s="292"/>
      <x:c r="F56" s="292"/>
      <x:c r="G56" s="292"/>
      <x:c r="H56" s="292"/>
      <x:c r="I56" s="292"/>
      <x:c r="J56" s="292"/>
      <x:c r="K56" s="292"/>
      <x:c r="L56" s="292"/>
      <x:c r="M56" s="292"/>
      <x:c r="N56" s="292"/>
      <x:c r="O56" s="292"/>
      <x:c r="P56" s="292"/>
      <x:c r="Q56" s="292"/>
      <x:c r="R56" s="292"/>
      <x:c r="S56" s="292"/>
      <x:c r="T56" s="292"/>
      <x:c r="U56" s="292"/>
      <x:c r="V56" s="292"/>
      <x:c r="W56" s="292"/>
      <x:c r="X56" s="292"/>
      <x:c r="Y56" s="292"/>
      <x:c r="Z56" s="292"/>
    </x:row>
    <x:row r="57">
      <x:c r="A57" s="292"/>
      <x:c r="B57" s="292"/>
      <x:c r="C57" s="292"/>
      <x:c r="D57" s="292"/>
      <x:c r="E57" s="292"/>
      <x:c r="F57" s="292"/>
      <x:c r="G57" s="292"/>
      <x:c r="H57" s="292"/>
      <x:c r="I57" s="292"/>
      <x:c r="J57" s="292"/>
      <x:c r="K57" s="292"/>
      <x:c r="L57" s="292"/>
      <x:c r="M57" s="292"/>
      <x:c r="N57" s="292"/>
      <x:c r="O57" s="292"/>
      <x:c r="P57" s="292"/>
      <x:c r="Q57" s="292"/>
      <x:c r="R57" s="292"/>
      <x:c r="S57" s="292"/>
      <x:c r="T57" s="292"/>
      <x:c r="U57" s="292"/>
      <x:c r="V57" s="292"/>
      <x:c r="W57" s="292"/>
      <x:c r="X57" s="292"/>
      <x:c r="Y57" s="292"/>
      <x:c r="Z57" s="292"/>
    </x:row>
    <x:row r="58">
      <x:c r="A58" s="292"/>
      <x:c r="B58" s="292"/>
      <x:c r="C58" s="292"/>
      <x:c r="D58" s="292"/>
      <x:c r="E58" s="292"/>
      <x:c r="F58" s="292"/>
      <x:c r="G58" s="292"/>
      <x:c r="H58" s="292"/>
      <x:c r="I58" s="292"/>
      <x:c r="J58" s="292"/>
      <x:c r="K58" s="292"/>
      <x:c r="L58" s="292"/>
      <x:c r="M58" s="292"/>
      <x:c r="N58" s="292"/>
      <x:c r="O58" s="292"/>
      <x:c r="P58" s="292"/>
      <x:c r="Q58" s="292"/>
      <x:c r="R58" s="292"/>
      <x:c r="S58" s="292"/>
      <x:c r="T58" s="292"/>
      <x:c r="U58" s="292"/>
      <x:c r="V58" s="292"/>
      <x:c r="W58" s="292"/>
      <x:c r="X58" s="292"/>
      <x:c r="Y58" s="292"/>
      <x:c r="Z58" s="292"/>
    </x:row>
    <x:row r="59">
      <x:c r="A59" s="292"/>
      <x:c r="B59" s="292"/>
      <x:c r="C59" s="292"/>
      <x:c r="D59" s="292"/>
      <x:c r="E59" s="292"/>
      <x:c r="F59" s="292"/>
      <x:c r="G59" s="292"/>
      <x:c r="H59" s="292"/>
      <x:c r="I59" s="292"/>
      <x:c r="J59" s="292"/>
      <x:c r="K59" s="292"/>
      <x:c r="L59" s="292"/>
      <x:c r="M59" s="292"/>
      <x:c r="N59" s="292"/>
      <x:c r="O59" s="292"/>
      <x:c r="P59" s="292"/>
      <x:c r="Q59" s="292"/>
      <x:c r="R59" s="292"/>
      <x:c r="S59" s="292"/>
      <x:c r="T59" s="292"/>
      <x:c r="U59" s="292"/>
      <x:c r="V59" s="292"/>
      <x:c r="W59" s="292"/>
      <x:c r="X59" s="292"/>
      <x:c r="Y59" s="292"/>
      <x:c r="Z59" s="292"/>
    </x:row>
    <x:row r="60">
      <x:c r="A60" s="292"/>
      <x:c r="B60" s="292"/>
      <x:c r="C60" s="292"/>
      <x:c r="D60" s="292"/>
      <x:c r="E60" s="292"/>
      <x:c r="F60" s="292"/>
      <x:c r="G60" s="292"/>
      <x:c r="H60" s="292"/>
      <x:c r="I60" s="292"/>
      <x:c r="J60" s="292"/>
      <x:c r="K60" s="292"/>
      <x:c r="L60" s="292"/>
      <x:c r="M60" s="292"/>
      <x:c r="N60" s="292"/>
      <x:c r="O60" s="292"/>
      <x:c r="P60" s="292"/>
      <x:c r="Q60" s="292"/>
      <x:c r="R60" s="292"/>
      <x:c r="S60" s="292"/>
      <x:c r="T60" s="292"/>
      <x:c r="U60" s="292"/>
      <x:c r="V60" s="292"/>
      <x:c r="W60" s="292"/>
      <x:c r="X60" s="292"/>
      <x:c r="Y60" s="292"/>
      <x:c r="Z60" s="292"/>
    </x:row>
    <x:row r="61">
      <x:c r="A61" s="292"/>
      <x:c r="B61" s="292"/>
      <x:c r="C61" s="292"/>
      <x:c r="D61" s="292"/>
      <x:c r="E61" s="292"/>
      <x:c r="F61" s="292"/>
      <x:c r="G61" s="292"/>
      <x:c r="H61" s="292"/>
      <x:c r="I61" s="292"/>
      <x:c r="J61" s="292"/>
      <x:c r="K61" s="292"/>
      <x:c r="L61" s="292"/>
      <x:c r="M61" s="292"/>
      <x:c r="N61" s="292"/>
      <x:c r="O61" s="292"/>
      <x:c r="P61" s="292"/>
      <x:c r="Q61" s="292"/>
      <x:c r="R61" s="292"/>
      <x:c r="S61" s="292"/>
      <x:c r="T61" s="292"/>
      <x:c r="U61" s="292"/>
      <x:c r="V61" s="292"/>
      <x:c r="W61" s="292"/>
      <x:c r="X61" s="292"/>
      <x:c r="Y61" s="292"/>
      <x:c r="Z61" s="292"/>
    </x:row>
    <x:row r="62">
      <x:c r="A62" s="292"/>
      <x:c r="B62" s="292"/>
      <x:c r="C62" s="292"/>
      <x:c r="D62" s="292"/>
      <x:c r="E62" s="292"/>
      <x:c r="F62" s="292"/>
      <x:c r="G62" s="292"/>
      <x:c r="H62" s="292"/>
      <x:c r="I62" s="292"/>
      <x:c r="J62" s="292"/>
      <x:c r="K62" s="292"/>
      <x:c r="L62" s="292"/>
      <x:c r="M62" s="292"/>
      <x:c r="N62" s="292"/>
      <x:c r="O62" s="292"/>
      <x:c r="P62" s="292"/>
      <x:c r="Q62" s="292"/>
      <x:c r="R62" s="292"/>
      <x:c r="S62" s="292"/>
      <x:c r="T62" s="292"/>
      <x:c r="U62" s="292"/>
      <x:c r="V62" s="292"/>
      <x:c r="W62" s="292"/>
      <x:c r="X62" s="292"/>
      <x:c r="Y62" s="292"/>
      <x:c r="Z62" s="292"/>
    </x:row>
    <x:row r="63">
      <x:c r="A63" s="292"/>
      <x:c r="B63" s="292"/>
      <x:c r="C63" s="292"/>
      <x:c r="D63" s="292"/>
      <x:c r="E63" s="292"/>
      <x:c r="F63" s="292"/>
      <x:c r="G63" s="292"/>
      <x:c r="H63" s="292"/>
      <x:c r="I63" s="292"/>
      <x:c r="J63" s="292"/>
      <x:c r="K63" s="292"/>
      <x:c r="L63" s="292"/>
      <x:c r="M63" s="292"/>
      <x:c r="N63" s="292"/>
      <x:c r="O63" s="292"/>
      <x:c r="P63" s="292"/>
      <x:c r="Q63" s="292"/>
      <x:c r="R63" s="292"/>
      <x:c r="S63" s="292"/>
      <x:c r="T63" s="292"/>
      <x:c r="U63" s="292"/>
      <x:c r="V63" s="292"/>
      <x:c r="W63" s="292"/>
      <x:c r="X63" s="292"/>
      <x:c r="Y63" s="292"/>
      <x:c r="Z63" s="292"/>
    </x:row>
    <x:row r="64">
      <x:c r="A64" s="292"/>
      <x:c r="B64" s="292"/>
      <x:c r="C64" s="292"/>
      <x:c r="D64" s="292"/>
      <x:c r="E64" s="292"/>
      <x:c r="F64" s="292"/>
      <x:c r="G64" s="292"/>
      <x:c r="H64" s="292"/>
      <x:c r="I64" s="292"/>
      <x:c r="J64" s="292"/>
      <x:c r="K64" s="292"/>
      <x:c r="L64" s="292"/>
      <x:c r="M64" s="292"/>
      <x:c r="N64" s="292"/>
      <x:c r="O64" s="292"/>
      <x:c r="P64" s="292"/>
      <x:c r="Q64" s="292"/>
      <x:c r="R64" s="292"/>
      <x:c r="S64" s="292"/>
      <x:c r="T64" s="292"/>
      <x:c r="U64" s="292"/>
      <x:c r="V64" s="292"/>
      <x:c r="W64" s="292"/>
      <x:c r="X64" s="292"/>
      <x:c r="Y64" s="292"/>
      <x:c r="Z64" s="292"/>
    </x:row>
    <x:row r="65">
      <x:c r="A65" s="292"/>
      <x:c r="B65" s="292"/>
      <x:c r="C65" s="292"/>
      <x:c r="D65" s="292"/>
      <x:c r="E65" s="292"/>
      <x:c r="F65" s="292"/>
      <x:c r="G65" s="292"/>
      <x:c r="H65" s="292"/>
      <x:c r="I65" s="292"/>
      <x:c r="J65" s="292"/>
      <x:c r="K65" s="292"/>
      <x:c r="L65" s="292"/>
      <x:c r="M65" s="292"/>
      <x:c r="N65" s="292"/>
      <x:c r="O65" s="292"/>
      <x:c r="P65" s="292"/>
      <x:c r="Q65" s="292"/>
      <x:c r="R65" s="292"/>
      <x:c r="S65" s="292"/>
      <x:c r="T65" s="292"/>
      <x:c r="U65" s="292"/>
      <x:c r="V65" s="292"/>
      <x:c r="W65" s="292"/>
      <x:c r="X65" s="292"/>
      <x:c r="Y65" s="292"/>
      <x:c r="Z65" s="292"/>
    </x:row>
    <x:row r="66">
      <x:c r="A66" s="292"/>
      <x:c r="B66" s="292"/>
      <x:c r="C66" s="292"/>
      <x:c r="D66" s="292"/>
      <x:c r="E66" s="292"/>
      <x:c r="F66" s="292"/>
      <x:c r="G66" s="292"/>
      <x:c r="H66" s="292"/>
      <x:c r="I66" s="292"/>
      <x:c r="J66" s="292"/>
      <x:c r="K66" s="292"/>
      <x:c r="L66" s="292"/>
      <x:c r="M66" s="292"/>
      <x:c r="N66" s="292"/>
      <x:c r="O66" s="292"/>
      <x:c r="P66" s="292"/>
      <x:c r="Q66" s="292"/>
      <x:c r="R66" s="292"/>
      <x:c r="S66" s="292"/>
      <x:c r="T66" s="292"/>
      <x:c r="U66" s="292"/>
      <x:c r="V66" s="292"/>
      <x:c r="W66" s="292"/>
      <x:c r="X66" s="292"/>
      <x:c r="Y66" s="292"/>
      <x:c r="Z66" s="292"/>
    </x:row>
    <x:row r="67">
      <x:c r="A67" s="292"/>
      <x:c r="B67" s="292"/>
      <x:c r="C67" s="292"/>
      <x:c r="D67" s="292"/>
      <x:c r="E67" s="292"/>
      <x:c r="F67" s="292"/>
      <x:c r="G67" s="292"/>
      <x:c r="H67" s="292"/>
      <x:c r="I67" s="292"/>
      <x:c r="J67" s="292"/>
      <x:c r="K67" s="292"/>
      <x:c r="L67" s="292"/>
      <x:c r="M67" s="292"/>
      <x:c r="N67" s="292"/>
      <x:c r="O67" s="292"/>
      <x:c r="P67" s="292"/>
      <x:c r="Q67" s="292"/>
      <x:c r="R67" s="292"/>
      <x:c r="S67" s="292"/>
      <x:c r="T67" s="292"/>
      <x:c r="U67" s="292"/>
      <x:c r="V67" s="292"/>
      <x:c r="W67" s="292"/>
      <x:c r="X67" s="292"/>
      <x:c r="Y67" s="292"/>
      <x:c r="Z67" s="292"/>
    </x:row>
    <x:row r="68">
      <x:c r="A68" s="292"/>
      <x:c r="B68" s="292"/>
      <x:c r="C68" s="292"/>
      <x:c r="D68" s="292"/>
      <x:c r="E68" s="292"/>
      <x:c r="F68" s="292"/>
      <x:c r="G68" s="292"/>
      <x:c r="H68" s="292"/>
      <x:c r="I68" s="292"/>
      <x:c r="J68" s="292"/>
      <x:c r="K68" s="292"/>
      <x:c r="L68" s="292"/>
      <x:c r="M68" s="292"/>
      <x:c r="N68" s="292"/>
      <x:c r="O68" s="292"/>
      <x:c r="P68" s="292"/>
      <x:c r="Q68" s="292"/>
      <x:c r="R68" s="292"/>
      <x:c r="S68" s="292"/>
      <x:c r="T68" s="292"/>
      <x:c r="U68" s="292"/>
      <x:c r="V68" s="292"/>
      <x:c r="W68" s="292"/>
      <x:c r="X68" s="292"/>
      <x:c r="Y68" s="292"/>
      <x:c r="Z68" s="292"/>
    </x:row>
    <x:row r="69">
      <x:c r="A69" s="292"/>
      <x:c r="B69" s="292"/>
      <x:c r="C69" s="292"/>
      <x:c r="D69" s="292"/>
      <x:c r="E69" s="292"/>
      <x:c r="F69" s="292"/>
      <x:c r="G69" s="292"/>
      <x:c r="H69" s="292"/>
      <x:c r="I69" s="292"/>
      <x:c r="J69" s="292"/>
      <x:c r="K69" s="292"/>
      <x:c r="L69" s="292"/>
      <x:c r="M69" s="292"/>
      <x:c r="N69" s="292"/>
      <x:c r="O69" s="292"/>
      <x:c r="P69" s="292"/>
      <x:c r="Q69" s="292"/>
      <x:c r="R69" s="292"/>
      <x:c r="S69" s="292"/>
      <x:c r="T69" s="292"/>
      <x:c r="U69" s="292"/>
      <x:c r="V69" s="292"/>
      <x:c r="W69" s="292"/>
      <x:c r="X69" s="292"/>
      <x:c r="Y69" s="292"/>
      <x:c r="Z69" s="292"/>
    </x:row>
    <x:row r="70">
      <x:c r="A70" s="292"/>
      <x:c r="B70" s="292"/>
      <x:c r="C70" s="292"/>
      <x:c r="D70" s="292"/>
      <x:c r="E70" s="292"/>
      <x:c r="F70" s="292"/>
      <x:c r="G70" s="292"/>
      <x:c r="H70" s="292"/>
      <x:c r="I70" s="292"/>
      <x:c r="J70" s="292"/>
      <x:c r="K70" s="292"/>
      <x:c r="L70" s="292"/>
      <x:c r="M70" s="292"/>
      <x:c r="N70" s="292"/>
      <x:c r="O70" s="292"/>
      <x:c r="P70" s="292"/>
      <x:c r="Q70" s="292"/>
      <x:c r="R70" s="292"/>
      <x:c r="S70" s="292"/>
      <x:c r="T70" s="292"/>
      <x:c r="U70" s="292"/>
      <x:c r="V70" s="292"/>
      <x:c r="W70" s="292"/>
      <x:c r="X70" s="292"/>
      <x:c r="Y70" s="292"/>
      <x:c r="Z70" s="292"/>
    </x:row>
    <x:row r="71">
      <x:c r="A71" s="292"/>
      <x:c r="B71" s="292"/>
      <x:c r="C71" s="292"/>
      <x:c r="D71" s="292"/>
      <x:c r="E71" s="292"/>
      <x:c r="F71" s="292"/>
      <x:c r="G71" s="292"/>
      <x:c r="H71" s="292"/>
      <x:c r="I71" s="292"/>
      <x:c r="J71" s="292"/>
      <x:c r="K71" s="292"/>
      <x:c r="L71" s="292"/>
      <x:c r="M71" s="292"/>
      <x:c r="N71" s="292"/>
      <x:c r="O71" s="292"/>
      <x:c r="P71" s="292"/>
      <x:c r="Q71" s="292"/>
      <x:c r="R71" s="292"/>
      <x:c r="S71" s="292"/>
      <x:c r="T71" s="292"/>
      <x:c r="U71" s="292"/>
      <x:c r="V71" s="292"/>
      <x:c r="W71" s="292"/>
      <x:c r="X71" s="292"/>
      <x:c r="Y71" s="292"/>
      <x:c r="Z71" s="292"/>
    </x:row>
    <x:row r="72">
      <x:c r="A72" s="292"/>
      <x:c r="B72" s="292"/>
      <x:c r="C72" s="292"/>
      <x:c r="D72" s="292"/>
      <x:c r="E72" s="292"/>
      <x:c r="F72" s="292"/>
      <x:c r="G72" s="292"/>
      <x:c r="H72" s="292"/>
      <x:c r="I72" s="292"/>
      <x:c r="J72" s="292"/>
      <x:c r="K72" s="292"/>
      <x:c r="L72" s="292"/>
      <x:c r="M72" s="292"/>
      <x:c r="N72" s="292"/>
      <x:c r="O72" s="292"/>
      <x:c r="P72" s="292"/>
      <x:c r="Q72" s="292"/>
      <x:c r="R72" s="292"/>
      <x:c r="S72" s="292"/>
      <x:c r="T72" s="292"/>
      <x:c r="U72" s="292"/>
      <x:c r="V72" s="292"/>
      <x:c r="W72" s="292"/>
      <x:c r="X72" s="292"/>
      <x:c r="Y72" s="292"/>
      <x:c r="Z72" s="292"/>
    </x:row>
    <x:row r="73">
      <x:c r="A73" s="292"/>
      <x:c r="B73" s="292"/>
      <x:c r="C73" s="292"/>
      <x:c r="D73" s="292"/>
      <x:c r="E73" s="292"/>
      <x:c r="F73" s="292"/>
      <x:c r="G73" s="292"/>
      <x:c r="H73" s="292"/>
      <x:c r="I73" s="292"/>
      <x:c r="J73" s="292"/>
      <x:c r="K73" s="292"/>
      <x:c r="L73" s="292"/>
      <x:c r="M73" s="292"/>
      <x:c r="N73" s="292"/>
      <x:c r="O73" s="292"/>
      <x:c r="P73" s="292"/>
      <x:c r="Q73" s="292"/>
      <x:c r="R73" s="292"/>
      <x:c r="S73" s="292"/>
      <x:c r="T73" s="292"/>
      <x:c r="U73" s="292"/>
      <x:c r="V73" s="292"/>
      <x:c r="W73" s="292"/>
      <x:c r="X73" s="292"/>
      <x:c r="Y73" s="292"/>
      <x:c r="Z73" s="292"/>
    </x:row>
    <x:row r="74">
      <x:c r="A74" s="292"/>
      <x:c r="B74" s="292"/>
      <x:c r="C74" s="292"/>
      <x:c r="D74" s="292"/>
      <x:c r="E74" s="292"/>
      <x:c r="F74" s="292"/>
      <x:c r="G74" s="292"/>
      <x:c r="H74" s="292"/>
      <x:c r="I74" s="292"/>
      <x:c r="J74" s="292"/>
      <x:c r="K74" s="292"/>
      <x:c r="L74" s="292"/>
      <x:c r="M74" s="292"/>
      <x:c r="N74" s="292"/>
      <x:c r="O74" s="292"/>
      <x:c r="P74" s="292"/>
      <x:c r="Q74" s="292"/>
      <x:c r="R74" s="292"/>
      <x:c r="S74" s="292"/>
      <x:c r="T74" s="292"/>
      <x:c r="U74" s="292"/>
      <x:c r="V74" s="292"/>
      <x:c r="W74" s="292"/>
      <x:c r="X74" s="292"/>
      <x:c r="Y74" s="292"/>
      <x:c r="Z74" s="292"/>
    </x:row>
    <x:row r="75">
      <x:c r="A75" s="292"/>
      <x:c r="B75" s="292"/>
      <x:c r="C75" s="292"/>
      <x:c r="D75" s="292"/>
      <x:c r="E75" s="292"/>
      <x:c r="F75" s="292"/>
      <x:c r="G75" s="292"/>
      <x:c r="H75" s="292"/>
      <x:c r="I75" s="292"/>
      <x:c r="J75" s="292"/>
      <x:c r="K75" s="292"/>
      <x:c r="L75" s="292"/>
      <x:c r="M75" s="292"/>
      <x:c r="N75" s="292"/>
      <x:c r="O75" s="292"/>
      <x:c r="P75" s="292"/>
      <x:c r="Q75" s="292"/>
      <x:c r="R75" s="292"/>
      <x:c r="S75" s="292"/>
      <x:c r="T75" s="292"/>
      <x:c r="U75" s="292"/>
      <x:c r="V75" s="292"/>
      <x:c r="W75" s="292"/>
      <x:c r="X75" s="292"/>
      <x:c r="Y75" s="292"/>
      <x:c r="Z75" s="292"/>
    </x:row>
    <x:row r="76">
      <x:c r="A76" s="292"/>
      <x:c r="B76" s="292"/>
      <x:c r="C76" s="292"/>
      <x:c r="D76" s="292"/>
      <x:c r="E76" s="292"/>
      <x:c r="F76" s="292"/>
      <x:c r="G76" s="292"/>
      <x:c r="H76" s="292"/>
      <x:c r="I76" s="292"/>
      <x:c r="J76" s="292"/>
      <x:c r="K76" s="292"/>
      <x:c r="L76" s="292"/>
      <x:c r="M76" s="292"/>
      <x:c r="N76" s="292"/>
      <x:c r="O76" s="292"/>
      <x:c r="P76" s="292"/>
      <x:c r="Q76" s="292"/>
      <x:c r="R76" s="292"/>
      <x:c r="S76" s="292"/>
      <x:c r="T76" s="292"/>
      <x:c r="U76" s="292"/>
      <x:c r="V76" s="292"/>
      <x:c r="W76" s="292"/>
      <x:c r="X76" s="292"/>
      <x:c r="Y76" s="292"/>
      <x:c r="Z76" s="292"/>
    </x:row>
    <x:row r="77">
      <x:c r="A77" s="292"/>
      <x:c r="B77" s="292"/>
      <x:c r="C77" s="292"/>
      <x:c r="D77" s="292"/>
      <x:c r="E77" s="292"/>
      <x:c r="F77" s="292"/>
      <x:c r="G77" s="292"/>
      <x:c r="H77" s="292"/>
      <x:c r="I77" s="292"/>
      <x:c r="J77" s="292"/>
      <x:c r="K77" s="292"/>
      <x:c r="L77" s="292"/>
      <x:c r="M77" s="292"/>
      <x:c r="N77" s="292"/>
      <x:c r="O77" s="292"/>
      <x:c r="P77" s="292"/>
      <x:c r="Q77" s="292"/>
      <x:c r="R77" s="292"/>
      <x:c r="S77" s="292"/>
      <x:c r="T77" s="292"/>
      <x:c r="U77" s="292"/>
      <x:c r="V77" s="292"/>
      <x:c r="W77" s="292"/>
      <x:c r="X77" s="292"/>
      <x:c r="Y77" s="292"/>
      <x:c r="Z77" s="292"/>
    </x:row>
    <x:row r="78">
      <x:c r="A78" s="292"/>
      <x:c r="B78" s="292"/>
      <x:c r="C78" s="292"/>
      <x:c r="D78" s="292"/>
      <x:c r="E78" s="292"/>
      <x:c r="F78" s="292"/>
      <x:c r="G78" s="292"/>
      <x:c r="H78" s="292"/>
      <x:c r="I78" s="292"/>
      <x:c r="J78" s="292"/>
      <x:c r="K78" s="292"/>
      <x:c r="L78" s="292"/>
      <x:c r="M78" s="292"/>
      <x:c r="N78" s="292"/>
      <x:c r="O78" s="292"/>
      <x:c r="P78" s="292"/>
      <x:c r="Q78" s="292"/>
      <x:c r="R78" s="292"/>
      <x:c r="S78" s="292"/>
      <x:c r="T78" s="292"/>
      <x:c r="U78" s="292"/>
      <x:c r="V78" s="292"/>
      <x:c r="W78" s="292"/>
      <x:c r="X78" s="292"/>
      <x:c r="Y78" s="292"/>
      <x:c r="Z78" s="292"/>
    </x:row>
    <x:row r="79">
      <x:c r="A79" s="292"/>
      <x:c r="B79" s="292"/>
      <x:c r="C79" s="292"/>
      <x:c r="D79" s="292"/>
      <x:c r="E79" s="292"/>
      <x:c r="F79" s="292"/>
      <x:c r="G79" s="292"/>
      <x:c r="H79" s="292"/>
      <x:c r="I79" s="292"/>
      <x:c r="J79" s="292"/>
      <x:c r="K79" s="292"/>
      <x:c r="L79" s="292"/>
      <x:c r="M79" s="292"/>
      <x:c r="N79" s="292"/>
      <x:c r="O79" s="292"/>
      <x:c r="P79" s="292"/>
      <x:c r="Q79" s="292"/>
      <x:c r="R79" s="292"/>
      <x:c r="S79" s="292"/>
      <x:c r="T79" s="292"/>
      <x:c r="U79" s="292"/>
      <x:c r="V79" s="292"/>
      <x:c r="W79" s="292"/>
      <x:c r="X79" s="292"/>
      <x:c r="Y79" s="292"/>
      <x:c r="Z79" s="292"/>
    </x:row>
    <x:row r="80">
      <x:c r="A80" s="292"/>
      <x:c r="B80" s="292"/>
      <x:c r="C80" s="292"/>
      <x:c r="D80" s="292"/>
      <x:c r="E80" s="292"/>
      <x:c r="F80" s="292"/>
      <x:c r="G80" s="292"/>
      <x:c r="H80" s="292"/>
      <x:c r="I80" s="292"/>
      <x:c r="J80" s="292"/>
      <x:c r="K80" s="292"/>
      <x:c r="L80" s="292"/>
      <x:c r="M80" s="292"/>
      <x:c r="N80" s="292"/>
      <x:c r="O80" s="292"/>
      <x:c r="P80" s="292"/>
      <x:c r="Q80" s="292"/>
      <x:c r="R80" s="292"/>
      <x:c r="S80" s="292"/>
      <x:c r="T80" s="292"/>
      <x:c r="U80" s="292"/>
      <x:c r="V80" s="292"/>
      <x:c r="W80" s="292"/>
      <x:c r="X80" s="292"/>
      <x:c r="Y80" s="292"/>
      <x:c r="Z80" s="292"/>
    </x:row>
    <x:row r="81">
      <x:c r="A81" s="292"/>
      <x:c r="B81" s="292"/>
      <x:c r="C81" s="292"/>
      <x:c r="D81" s="292"/>
      <x:c r="E81" s="292"/>
      <x:c r="F81" s="292"/>
      <x:c r="G81" s="292"/>
      <x:c r="H81" s="292"/>
      <x:c r="I81" s="292"/>
      <x:c r="J81" s="292"/>
      <x:c r="K81" s="292"/>
      <x:c r="L81" s="292"/>
      <x:c r="M81" s="292"/>
      <x:c r="N81" s="292"/>
      <x:c r="O81" s="292"/>
      <x:c r="P81" s="292"/>
      <x:c r="Q81" s="292"/>
      <x:c r="R81" s="292"/>
      <x:c r="S81" s="292"/>
      <x:c r="T81" s="292"/>
      <x:c r="U81" s="292"/>
      <x:c r="V81" s="292"/>
      <x:c r="W81" s="292"/>
      <x:c r="X81" s="292"/>
      <x:c r="Y81" s="292"/>
      <x:c r="Z81" s="292"/>
    </x:row>
    <x:row r="82">
      <x:c r="A82" s="292"/>
      <x:c r="B82" s="292"/>
      <x:c r="C82" s="292"/>
      <x:c r="D82" s="292"/>
      <x:c r="E82" s="292"/>
      <x:c r="F82" s="292"/>
      <x:c r="G82" s="292"/>
      <x:c r="H82" s="292"/>
      <x:c r="I82" s="292"/>
      <x:c r="J82" s="292"/>
      <x:c r="K82" s="292"/>
      <x:c r="L82" s="292"/>
      <x:c r="M82" s="292"/>
      <x:c r="N82" s="292"/>
      <x:c r="O82" s="292"/>
      <x:c r="P82" s="292"/>
      <x:c r="Q82" s="292"/>
      <x:c r="R82" s="292"/>
      <x:c r="S82" s="292"/>
      <x:c r="T82" s="292"/>
      <x:c r="U82" s="292"/>
      <x:c r="V82" s="292"/>
      <x:c r="W82" s="292"/>
      <x:c r="X82" s="292"/>
      <x:c r="Y82" s="292"/>
      <x:c r="Z82" s="292"/>
    </x:row>
    <x:row r="83">
      <x:c r="A83" s="292"/>
      <x:c r="B83" s="292"/>
      <x:c r="C83" s="292"/>
      <x:c r="D83" s="292"/>
      <x:c r="E83" s="292"/>
      <x:c r="F83" s="292"/>
      <x:c r="G83" s="292"/>
      <x:c r="H83" s="292"/>
      <x:c r="I83" s="292"/>
      <x:c r="J83" s="292"/>
      <x:c r="K83" s="292"/>
      <x:c r="L83" s="292"/>
      <x:c r="M83" s="292"/>
      <x:c r="N83" s="292"/>
      <x:c r="O83" s="292"/>
      <x:c r="P83" s="292"/>
      <x:c r="Q83" s="292"/>
      <x:c r="R83" s="292"/>
      <x:c r="S83" s="292"/>
      <x:c r="T83" s="292"/>
      <x:c r="U83" s="292"/>
      <x:c r="V83" s="292"/>
      <x:c r="W83" s="292"/>
      <x:c r="X83" s="292"/>
      <x:c r="Y83" s="292"/>
      <x:c r="Z83" s="292"/>
    </x:row>
    <x:row r="84">
      <x:c r="A84" s="292"/>
      <x:c r="B84" s="292"/>
      <x:c r="C84" s="292"/>
      <x:c r="D84" s="292"/>
      <x:c r="E84" s="292"/>
      <x:c r="F84" s="292"/>
      <x:c r="G84" s="292"/>
      <x:c r="H84" s="292"/>
      <x:c r="I84" s="292"/>
      <x:c r="J84" s="292"/>
      <x:c r="K84" s="292"/>
      <x:c r="L84" s="292"/>
      <x:c r="M84" s="292"/>
      <x:c r="N84" s="292"/>
      <x:c r="O84" s="292"/>
      <x:c r="P84" s="292"/>
      <x:c r="Q84" s="292"/>
      <x:c r="R84" s="292"/>
      <x:c r="S84" s="292"/>
      <x:c r="T84" s="292"/>
      <x:c r="U84" s="292"/>
      <x:c r="V84" s="292"/>
      <x:c r="W84" s="292"/>
      <x:c r="X84" s="292"/>
      <x:c r="Y84" s="292"/>
      <x:c r="Z84" s="292"/>
    </x:row>
    <x:row r="85">
      <x:c r="A85" s="292"/>
      <x:c r="B85" s="292"/>
      <x:c r="C85" s="292"/>
      <x:c r="D85" s="292"/>
      <x:c r="E85" s="292"/>
      <x:c r="F85" s="292"/>
      <x:c r="G85" s="292"/>
      <x:c r="H85" s="292"/>
      <x:c r="I85" s="292"/>
      <x:c r="J85" s="292"/>
      <x:c r="K85" s="292"/>
      <x:c r="L85" s="292"/>
      <x:c r="M85" s="292"/>
      <x:c r="N85" s="292"/>
      <x:c r="O85" s="292"/>
      <x:c r="P85" s="292"/>
      <x:c r="Q85" s="292"/>
      <x:c r="R85" s="292"/>
      <x:c r="S85" s="292"/>
      <x:c r="T85" s="292"/>
      <x:c r="U85" s="292"/>
      <x:c r="V85" s="292"/>
      <x:c r="W85" s="292"/>
      <x:c r="X85" s="292"/>
      <x:c r="Y85" s="292"/>
      <x:c r="Z85" s="292"/>
    </x:row>
    <x:row r="86">
      <x:c r="A86" s="292"/>
      <x:c r="B86" s="292"/>
      <x:c r="C86" s="292"/>
      <x:c r="D86" s="292"/>
      <x:c r="E86" s="292"/>
      <x:c r="F86" s="292"/>
      <x:c r="G86" s="292"/>
      <x:c r="H86" s="292"/>
      <x:c r="I86" s="292"/>
      <x:c r="J86" s="292"/>
      <x:c r="K86" s="292"/>
      <x:c r="L86" s="292"/>
      <x:c r="M86" s="292"/>
      <x:c r="N86" s="292"/>
      <x:c r="O86" s="292"/>
      <x:c r="P86" s="292"/>
      <x:c r="Q86" s="292"/>
      <x:c r="R86" s="292"/>
      <x:c r="S86" s="292"/>
      <x:c r="T86" s="292"/>
      <x:c r="U86" s="292"/>
      <x:c r="V86" s="292"/>
      <x:c r="W86" s="292"/>
      <x:c r="X86" s="292"/>
      <x:c r="Y86" s="292"/>
      <x:c r="Z86" s="292"/>
    </x:row>
    <x:row r="87">
      <x:c r="A87" s="292"/>
      <x:c r="B87" s="292"/>
      <x:c r="C87" s="292"/>
      <x:c r="D87" s="292"/>
      <x:c r="E87" s="292"/>
      <x:c r="F87" s="292"/>
      <x:c r="G87" s="292"/>
      <x:c r="H87" s="292"/>
      <x:c r="I87" s="292"/>
      <x:c r="J87" s="292"/>
      <x:c r="K87" s="292"/>
      <x:c r="L87" s="292"/>
      <x:c r="M87" s="292"/>
      <x:c r="N87" s="292"/>
      <x:c r="O87" s="292"/>
      <x:c r="P87" s="292"/>
      <x:c r="Q87" s="292"/>
      <x:c r="R87" s="292"/>
      <x:c r="S87" s="292"/>
      <x:c r="T87" s="292"/>
      <x:c r="U87" s="292"/>
      <x:c r="V87" s="292"/>
      <x:c r="W87" s="292"/>
      <x:c r="X87" s="292"/>
      <x:c r="Y87" s="292"/>
      <x:c r="Z87" s="292"/>
    </x:row>
    <x:row r="88">
      <x:c r="A88" s="292"/>
      <x:c r="B88" s="292"/>
      <x:c r="C88" s="292"/>
      <x:c r="D88" s="292"/>
      <x:c r="E88" s="292"/>
      <x:c r="F88" s="292"/>
      <x:c r="G88" s="292"/>
      <x:c r="H88" s="292"/>
      <x:c r="I88" s="292"/>
      <x:c r="J88" s="292"/>
      <x:c r="K88" s="292"/>
      <x:c r="L88" s="292"/>
      <x:c r="M88" s="292"/>
      <x:c r="N88" s="292"/>
      <x:c r="O88" s="292"/>
      <x:c r="P88" s="292"/>
      <x:c r="Q88" s="292"/>
      <x:c r="R88" s="292"/>
      <x:c r="S88" s="292"/>
      <x:c r="T88" s="292"/>
      <x:c r="U88" s="292"/>
      <x:c r="V88" s="292"/>
      <x:c r="W88" s="292"/>
      <x:c r="X88" s="292"/>
      <x:c r="Y88" s="292"/>
      <x:c r="Z88" s="292"/>
    </x:row>
    <x:row r="89">
      <x:c r="A89" s="292"/>
      <x:c r="B89" s="292"/>
      <x:c r="C89" s="292"/>
      <x:c r="D89" s="292"/>
      <x:c r="E89" s="292"/>
      <x:c r="F89" s="292"/>
      <x:c r="G89" s="292"/>
      <x:c r="H89" s="292"/>
      <x:c r="I89" s="292"/>
      <x:c r="J89" s="292"/>
      <x:c r="K89" s="292"/>
      <x:c r="L89" s="292"/>
      <x:c r="M89" s="292"/>
      <x:c r="N89" s="292"/>
      <x:c r="O89" s="292"/>
      <x:c r="P89" s="292"/>
      <x:c r="Q89" s="292"/>
      <x:c r="R89" s="292"/>
      <x:c r="S89" s="292"/>
      <x:c r="T89" s="292"/>
      <x:c r="U89" s="292"/>
      <x:c r="V89" s="292"/>
      <x:c r="W89" s="292"/>
      <x:c r="X89" s="292"/>
      <x:c r="Y89" s="292"/>
      <x:c r="Z89" s="292"/>
    </x:row>
    <x:row r="90">
      <x:c r="A90" s="292"/>
      <x:c r="B90" s="292"/>
      <x:c r="C90" s="292"/>
      <x:c r="D90" s="292"/>
      <x:c r="E90" s="292"/>
      <x:c r="F90" s="292"/>
      <x:c r="G90" s="292"/>
      <x:c r="H90" s="292"/>
      <x:c r="I90" s="292"/>
      <x:c r="J90" s="292"/>
      <x:c r="K90" s="292"/>
      <x:c r="L90" s="292"/>
      <x:c r="M90" s="292"/>
      <x:c r="N90" s="292"/>
      <x:c r="O90" s="292"/>
      <x:c r="P90" s="292"/>
      <x:c r="Q90" s="292"/>
      <x:c r="R90" s="292"/>
      <x:c r="S90" s="292"/>
      <x:c r="T90" s="292"/>
      <x:c r="U90" s="292"/>
      <x:c r="V90" s="292"/>
      <x:c r="W90" s="292"/>
      <x:c r="X90" s="292"/>
      <x:c r="Y90" s="292"/>
      <x:c r="Z90" s="292"/>
    </x:row>
    <x:row r="91">
      <x:c r="A91" s="292"/>
      <x:c r="B91" s="292"/>
      <x:c r="C91" s="292"/>
      <x:c r="D91" s="292"/>
      <x:c r="E91" s="292"/>
      <x:c r="F91" s="292"/>
      <x:c r="G91" s="292"/>
      <x:c r="H91" s="292"/>
      <x:c r="I91" s="292"/>
      <x:c r="J91" s="292"/>
      <x:c r="K91" s="292"/>
      <x:c r="L91" s="292"/>
      <x:c r="M91" s="292"/>
      <x:c r="N91" s="292"/>
      <x:c r="O91" s="292"/>
      <x:c r="P91" s="292"/>
      <x:c r="Q91" s="292"/>
      <x:c r="R91" s="292"/>
      <x:c r="S91" s="292"/>
      <x:c r="T91" s="292"/>
      <x:c r="U91" s="292"/>
      <x:c r="V91" s="292"/>
      <x:c r="W91" s="292"/>
      <x:c r="X91" s="292"/>
      <x:c r="Y91" s="292"/>
      <x:c r="Z91" s="292"/>
    </x:row>
    <x:row r="92">
      <x:c r="A92" s="292"/>
      <x:c r="B92" s="292"/>
      <x:c r="C92" s="292"/>
      <x:c r="D92" s="292"/>
      <x:c r="E92" s="292"/>
      <x:c r="F92" s="292"/>
      <x:c r="G92" s="292"/>
      <x:c r="H92" s="292"/>
      <x:c r="I92" s="292"/>
      <x:c r="J92" s="292"/>
      <x:c r="K92" s="292"/>
      <x:c r="L92" s="292"/>
      <x:c r="M92" s="292"/>
      <x:c r="N92" s="292"/>
      <x:c r="O92" s="292"/>
      <x:c r="P92" s="292"/>
      <x:c r="Q92" s="292"/>
      <x:c r="R92" s="292"/>
      <x:c r="S92" s="292"/>
      <x:c r="T92" s="292"/>
      <x:c r="U92" s="292"/>
      <x:c r="V92" s="292"/>
      <x:c r="W92" s="292"/>
      <x:c r="X92" s="292"/>
      <x:c r="Y92" s="292"/>
      <x:c r="Z92" s="292"/>
    </x:row>
    <x:row r="93">
      <x:c r="A93" s="292"/>
      <x:c r="B93" s="292"/>
      <x:c r="C93" s="292"/>
      <x:c r="D93" s="292"/>
      <x:c r="E93" s="292"/>
      <x:c r="F93" s="292"/>
      <x:c r="G93" s="292"/>
      <x:c r="H93" s="292"/>
      <x:c r="I93" s="292"/>
      <x:c r="J93" s="292"/>
      <x:c r="K93" s="292"/>
      <x:c r="L93" s="292"/>
      <x:c r="M93" s="292"/>
      <x:c r="N93" s="292"/>
      <x:c r="O93" s="292"/>
      <x:c r="P93" s="292"/>
      <x:c r="Q93" s="292"/>
      <x:c r="R93" s="292"/>
      <x:c r="S93" s="292"/>
      <x:c r="T93" s="292"/>
      <x:c r="U93" s="292"/>
      <x:c r="V93" s="292"/>
      <x:c r="W93" s="292"/>
      <x:c r="X93" s="292"/>
      <x:c r="Y93" s="292"/>
      <x:c r="Z93" s="292"/>
    </x:row>
    <x:row r="94">
      <x:c r="A94" s="292"/>
      <x:c r="B94" s="292"/>
      <x:c r="C94" s="292"/>
      <x:c r="D94" s="292"/>
      <x:c r="E94" s="292"/>
      <x:c r="F94" s="292"/>
      <x:c r="G94" s="292"/>
      <x:c r="H94" s="292"/>
      <x:c r="I94" s="292"/>
      <x:c r="J94" s="292"/>
      <x:c r="K94" s="292"/>
      <x:c r="L94" s="292"/>
      <x:c r="M94" s="292"/>
      <x:c r="N94" s="292"/>
      <x:c r="O94" s="292"/>
      <x:c r="P94" s="292"/>
      <x:c r="Q94" s="292"/>
      <x:c r="R94" s="292"/>
      <x:c r="S94" s="292"/>
      <x:c r="T94" s="292"/>
      <x:c r="U94" s="292"/>
      <x:c r="V94" s="292"/>
      <x:c r="W94" s="292"/>
      <x:c r="X94" s="292"/>
      <x:c r="Y94" s="292"/>
      <x:c r="Z94" s="292"/>
    </x:row>
    <x:row r="95">
      <x:c r="A95" s="292"/>
      <x:c r="B95" s="292"/>
      <x:c r="C95" s="292"/>
      <x:c r="D95" s="292"/>
      <x:c r="E95" s="292"/>
      <x:c r="F95" s="292"/>
      <x:c r="G95" s="292"/>
      <x:c r="H95" s="292"/>
      <x:c r="I95" s="292"/>
      <x:c r="J95" s="292"/>
      <x:c r="K95" s="292"/>
      <x:c r="L95" s="292"/>
      <x:c r="M95" s="292"/>
      <x:c r="N95" s="292"/>
      <x:c r="O95" s="292"/>
      <x:c r="P95" s="292"/>
      <x:c r="Q95" s="292"/>
      <x:c r="R95" s="292"/>
      <x:c r="S95" s="292"/>
      <x:c r="T95" s="292"/>
      <x:c r="U95" s="292"/>
      <x:c r="V95" s="292"/>
      <x:c r="W95" s="292"/>
      <x:c r="X95" s="292"/>
      <x:c r="Y95" s="292"/>
      <x:c r="Z95" s="292"/>
    </x:row>
    <x:row r="96">
      <x:c r="A96" s="292"/>
      <x:c r="B96" s="292"/>
      <x:c r="C96" s="292"/>
      <x:c r="D96" s="292"/>
      <x:c r="E96" s="292"/>
      <x:c r="F96" s="292"/>
      <x:c r="G96" s="292"/>
      <x:c r="H96" s="292"/>
      <x:c r="I96" s="292"/>
      <x:c r="J96" s="292"/>
      <x:c r="K96" s="292"/>
      <x:c r="L96" s="292"/>
      <x:c r="M96" s="292"/>
      <x:c r="N96" s="292"/>
      <x:c r="O96" s="292"/>
      <x:c r="P96" s="292"/>
      <x:c r="Q96" s="292"/>
      <x:c r="R96" s="292"/>
      <x:c r="S96" s="292"/>
      <x:c r="T96" s="292"/>
      <x:c r="U96" s="292"/>
      <x:c r="V96" s="292"/>
      <x:c r="W96" s="292"/>
      <x:c r="X96" s="292"/>
      <x:c r="Y96" s="292"/>
      <x:c r="Z96" s="292"/>
    </x:row>
    <x:row r="97">
      <x:c r="A97" s="292"/>
      <x:c r="B97" s="292"/>
      <x:c r="C97" s="292"/>
      <x:c r="D97" s="292"/>
      <x:c r="E97" s="292"/>
      <x:c r="F97" s="292"/>
      <x:c r="G97" s="292"/>
      <x:c r="H97" s="292"/>
      <x:c r="I97" s="292"/>
      <x:c r="J97" s="292"/>
      <x:c r="K97" s="292"/>
      <x:c r="L97" s="292"/>
      <x:c r="M97" s="292"/>
      <x:c r="N97" s="292"/>
      <x:c r="O97" s="292"/>
      <x:c r="P97" s="292"/>
      <x:c r="Q97" s="292"/>
      <x:c r="R97" s="292"/>
      <x:c r="S97" s="292"/>
      <x:c r="T97" s="292"/>
      <x:c r="U97" s="292"/>
      <x:c r="V97" s="292"/>
      <x:c r="W97" s="292"/>
      <x:c r="X97" s="292"/>
      <x:c r="Y97" s="292"/>
      <x:c r="Z97" s="292"/>
    </x:row>
    <x:row r="98">
      <x:c r="A98" s="292"/>
      <x:c r="B98" s="292"/>
      <x:c r="C98" s="292"/>
      <x:c r="D98" s="292"/>
      <x:c r="E98" s="292"/>
      <x:c r="F98" s="292"/>
      <x:c r="G98" s="292"/>
      <x:c r="H98" s="292"/>
      <x:c r="I98" s="292"/>
      <x:c r="J98" s="292"/>
      <x:c r="K98" s="292"/>
      <x:c r="L98" s="292"/>
      <x:c r="M98" s="292"/>
      <x:c r="N98" s="292"/>
      <x:c r="O98" s="292"/>
      <x:c r="P98" s="292"/>
      <x:c r="Q98" s="292"/>
      <x:c r="R98" s="292"/>
      <x:c r="S98" s="292"/>
      <x:c r="T98" s="292"/>
      <x:c r="U98" s="292"/>
      <x:c r="V98" s="292"/>
      <x:c r="W98" s="292"/>
      <x:c r="X98" s="292"/>
      <x:c r="Y98" s="292"/>
      <x:c r="Z98" s="292"/>
    </x:row>
    <x:row r="99">
      <x:c r="A99" s="292"/>
      <x:c r="B99" s="292"/>
      <x:c r="C99" s="292"/>
      <x:c r="D99" s="292"/>
      <x:c r="E99" s="292"/>
      <x:c r="F99" s="292"/>
      <x:c r="G99" s="292"/>
      <x:c r="H99" s="292"/>
      <x:c r="I99" s="292"/>
      <x:c r="J99" s="292"/>
      <x:c r="K99" s="292"/>
      <x:c r="L99" s="292"/>
      <x:c r="M99" s="292"/>
      <x:c r="N99" s="292"/>
      <x:c r="O99" s="292"/>
      <x:c r="P99" s="292"/>
      <x:c r="Q99" s="292"/>
      <x:c r="R99" s="292"/>
      <x:c r="S99" s="292"/>
      <x:c r="T99" s="292"/>
      <x:c r="U99" s="292"/>
      <x:c r="V99" s="292"/>
      <x:c r="W99" s="292"/>
      <x:c r="X99" s="292"/>
      <x:c r="Y99" s="292"/>
      <x:c r="Z99" s="292"/>
    </x:row>
    <x:row r="100">
      <x:c r="A100" s="292"/>
      <x:c r="B100" s="292"/>
      <x:c r="C100" s="292"/>
      <x:c r="D100" s="292"/>
      <x:c r="E100" s="292"/>
      <x:c r="F100" s="292"/>
      <x:c r="G100" s="292"/>
      <x:c r="H100" s="292"/>
      <x:c r="I100" s="292"/>
      <x:c r="J100" s="292"/>
      <x:c r="K100" s="292"/>
      <x:c r="L100" s="292"/>
      <x:c r="M100" s="292"/>
      <x:c r="N100" s="292"/>
      <x:c r="O100" s="292"/>
      <x:c r="P100" s="292"/>
      <x:c r="Q100" s="292"/>
      <x:c r="R100" s="292"/>
      <x:c r="S100" s="292"/>
      <x:c r="T100" s="292"/>
      <x:c r="U100" s="292"/>
      <x:c r="V100" s="292"/>
      <x:c r="W100" s="292"/>
      <x:c r="X100" s="292"/>
      <x:c r="Y100" s="292"/>
      <x:c r="Z100" s="292"/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customHeight="1">
      <x:c r="A1" s="4" t="str">
        <x:v>Channel Analysis</x:v>
      </x:c>
      <x:c r="B1" s="4"/>
      <x:c r="C1" s="4"/>
      <x:c r="D1" s="4"/>
      <x:c r="E1" s="4"/>
      <x:c r="F1" s="4"/>
    </x:row>
    <x:row r="2" ht="26" customHeight="1">
      <x:c r="A2" s="8" t="str">
        <x:v>Channel mix, profitability and returns; responds to Dashboard selectors</x:v>
      </x:c>
      <x:c r="B2" s="8"/>
      <x:c r="C2" s="8"/>
      <x:c r="D2" s="8"/>
      <x:c r="E2" s="8"/>
      <x:c r="F2" s="8"/>
    </x:row>
    <x:row r="4" ht="30" customHeight="1">
      <x:c r="A4" s="69" t="str">
        <x:v>Channel</x:v>
      </x:c>
      <x:c r="B4" s="70" t="str">
        <x:v>Net_Revenue</x:v>
      </x:c>
      <x:c r="C4" s="70" t="str">
        <x:v>Profit</x:v>
      </x:c>
      <x:c r="D4" s="70" t="str">
        <x:v>Transactions</x:v>
      </x:c>
      <x:c r="E4" s="70" t="str">
        <x:v>Revenue_Share</x:v>
      </x:c>
      <x:c r="F4" s="71" t="str">
        <x:v>Return_Rate</x:v>
      </x:c>
      <x:c r="G4" s="292"/>
      <x:c r="H4" s="292"/>
      <x:c r="I4" s="292"/>
      <x:c r="J4" s="292"/>
      <x:c r="K4" s="292"/>
      <x:c r="L4" s="292"/>
      <x:c r="M4" s="292"/>
      <x:c r="N4" s="292"/>
      <x:c r="O4" s="292"/>
      <x:c r="P4" s="292"/>
      <x:c r="Q4" s="292"/>
      <x:c r="R4" s="292"/>
      <x:c r="S4" s="292"/>
      <x:c r="T4" s="292"/>
      <x:c r="U4" s="292"/>
      <x:c r="V4" s="292"/>
      <x:c r="W4" s="292"/>
      <x:c r="X4" s="292"/>
      <x:c r="Y4" s="292"/>
      <x:c r="Z4" s="292"/>
    </x:row>
    <x:row r="5">
      <x:c r="A5" s="294" t="str">
        <x:v>Online</x:v>
      </x:c>
      <x:c r="B5" s="295" t="n">
        <x:f>SUMIFS('Clean Sales'!$W$5:$W$2428,'Clean Sales'!$AH$5:$AH$2428,1,'Clean Sales'!$K$5:$K$2428,A5)</x:f>
        <x:v>135506.35000000018</x:v>
      </x:c>
      <x:c r="C5" s="295" t="n">
        <x:f>SUMIFS('Clean Sales'!$Y$5:$Y$2428,'Clean Sales'!$AH$5:$AH$2428,1,'Clean Sales'!$K$5:$K$2428,A5)</x:f>
        <x:v>61109.25000000007</x:v>
      </x:c>
      <x:c r="D5" s="296" t="n">
        <x:f>COUNTIFS('Clean Sales'!$AH$5:$AH$2428,1,'Clean Sales'!$K$5:$K$2428,A5)</x:f>
        <x:v>935</x:v>
      </x:c>
      <x:c r="E5" s="297" t="n">
        <x:f>IFERROR(B5/SUM($B$5:$B$7),0)</x:f>
        <x:v>0.375634025969094</x:v>
      </x:c>
      <x:c r="F5" s="297" t="n">
        <x:f>IFERROR(COUNTIFS('Clean Sales'!$AH$5:$AH$2428,1,'Clean Sales'!$K$5:$K$2428,A5,'Clean Sales'!$V$5:$V$2428,"Returned")/D5,0)</x:f>
        <x:v>0.058823529411764705</x:v>
      </x:c>
      <x:c r="G5" s="292"/>
      <x:c r="H5" s="292"/>
      <x:c r="I5" s="292"/>
      <x:c r="J5" s="292"/>
      <x:c r="K5" s="292"/>
      <x:c r="L5" s="292"/>
      <x:c r="M5" s="292"/>
      <x:c r="N5" s="292"/>
      <x:c r="O5" s="292"/>
      <x:c r="P5" s="292"/>
      <x:c r="Q5" s="292"/>
      <x:c r="R5" s="292"/>
      <x:c r="S5" s="292"/>
      <x:c r="T5" s="292"/>
      <x:c r="U5" s="292"/>
      <x:c r="V5" s="292"/>
      <x:c r="W5" s="292"/>
      <x:c r="X5" s="292"/>
      <x:c r="Y5" s="292"/>
      <x:c r="Z5" s="292"/>
    </x:row>
    <x:row r="6">
      <x:c r="A6" s="299" t="str">
        <x:v>Retail Store</x:v>
      </x:c>
      <x:c r="B6" s="300" t="n">
        <x:f>SUMIFS('Clean Sales'!$W$5:$W$2428,'Clean Sales'!$AH$5:$AH$2428,1,'Clean Sales'!$K$5:$K$2428,A6)</x:f>
        <x:v>141721.60000000018</x:v>
      </x:c>
      <x:c r="C6" s="300" t="n">
        <x:f>SUMIFS('Clean Sales'!$Y$5:$Y$2428,'Clean Sales'!$AH$5:$AH$2428,1,'Clean Sales'!$K$5:$K$2428,A6)</x:f>
        <x:v>63614.09999999999</x:v>
      </x:c>
      <x:c r="D6" s="301" t="n">
        <x:f>COUNTIFS('Clean Sales'!$AH$5:$AH$2428,1,'Clean Sales'!$K$5:$K$2428,A6)</x:f>
        <x:v>916</x:v>
      </x:c>
      <x:c r="E6" s="302" t="n">
        <x:f>IFERROR(B6/SUM($B$5:$B$7),0)</x:f>
        <x:v>0.39286317707459134</x:v>
      </x:c>
      <x:c r="F6" s="302" t="n">
        <x:f>IFERROR(COUNTIFS('Clean Sales'!$AH$5:$AH$2428,1,'Clean Sales'!$K$5:$K$2428,A6,'Clean Sales'!$V$5:$V$2428,"Returned")/D6,0)</x:f>
        <x:v>0.04148471615720524</x:v>
      </x:c>
      <x:c r="G6" s="292"/>
      <x:c r="H6" s="292"/>
      <x:c r="I6" s="292"/>
      <x:c r="J6" s="292"/>
      <x:c r="K6" s="292"/>
      <x:c r="L6" s="292"/>
      <x:c r="M6" s="292"/>
      <x:c r="N6" s="292"/>
      <x:c r="O6" s="292"/>
      <x:c r="P6" s="292"/>
      <x:c r="Q6" s="292"/>
      <x:c r="R6" s="292"/>
      <x:c r="S6" s="292"/>
      <x:c r="T6" s="292"/>
      <x:c r="U6" s="292"/>
      <x:c r="V6" s="292"/>
      <x:c r="W6" s="292"/>
      <x:c r="X6" s="292"/>
      <x:c r="Y6" s="292"/>
      <x:c r="Z6" s="292"/>
    </x:row>
    <x:row r="7">
      <x:c r="A7" s="304" t="str">
        <x:v>Marketplace</x:v>
      </x:c>
      <x:c r="B7" s="305" t="n">
        <x:f>SUMIFS('Clean Sales'!$W$5:$W$2428,'Clean Sales'!$AH$5:$AH$2428,1,'Clean Sales'!$K$5:$K$2428,A7)</x:f>
        <x:v>83512.4</x:v>
      </x:c>
      <x:c r="C7" s="305" t="n">
        <x:f>SUMIFS('Clean Sales'!$Y$5:$Y$2428,'Clean Sales'!$AH$5:$AH$2428,1,'Clean Sales'!$K$5:$K$2428,A7)</x:f>
        <x:v>35579.999999999985</x:v>
      </x:c>
      <x:c r="D7" s="306" t="n">
        <x:f>COUNTIFS('Clean Sales'!$AH$5:$AH$2428,1,'Clean Sales'!$K$5:$K$2428,A7)</x:f>
        <x:v>500</x:v>
      </x:c>
      <x:c r="E7" s="307" t="n">
        <x:f>IFERROR(B7/SUM($B$5:$B$7),0)</x:f>
        <x:v>0.23150279695631476</x:v>
      </x:c>
      <x:c r="F7" s="307" t="n">
        <x:f>IFERROR(COUNTIFS('Clean Sales'!$AH$5:$AH$2428,1,'Clean Sales'!$K$5:$K$2428,A7,'Clean Sales'!$V$5:$V$2428,"Returned")/D7,0)</x:f>
        <x:v>0.06</x:v>
      </x:c>
      <x:c r="G7" s="292"/>
      <x:c r="H7" s="292"/>
      <x:c r="I7" s="292"/>
      <x:c r="J7" s="292"/>
      <x:c r="K7" s="292"/>
      <x:c r="L7" s="292"/>
      <x:c r="M7" s="292"/>
      <x:c r="N7" s="292"/>
      <x:c r="O7" s="292"/>
      <x:c r="P7" s="292"/>
      <x:c r="Q7" s="292"/>
      <x:c r="R7" s="292"/>
      <x:c r="S7" s="292"/>
      <x:c r="T7" s="292"/>
      <x:c r="U7" s="292"/>
      <x:c r="V7" s="292"/>
      <x:c r="W7" s="292"/>
      <x:c r="X7" s="292"/>
      <x:c r="Y7" s="292"/>
      <x:c r="Z7" s="292"/>
    </x:row>
    <x:row r="8">
      <x:c r="A8" s="292"/>
      <x:c r="B8" s="292"/>
      <x:c r="C8" s="292"/>
      <x:c r="D8" s="292"/>
      <x:c r="E8" s="292"/>
      <x:c r="F8" s="292"/>
      <x:c r="G8" s="292"/>
      <x:c r="H8" s="292"/>
      <x:c r="I8" s="292"/>
      <x:c r="J8" s="292"/>
      <x:c r="K8" s="292"/>
      <x:c r="L8" s="292"/>
      <x:c r="M8" s="292"/>
      <x:c r="N8" s="292"/>
      <x:c r="O8" s="292"/>
      <x:c r="P8" s="292"/>
      <x:c r="Q8" s="292"/>
      <x:c r="R8" s="292"/>
      <x:c r="S8" s="292"/>
      <x:c r="T8" s="292"/>
      <x:c r="U8" s="292"/>
      <x:c r="V8" s="292"/>
      <x:c r="W8" s="292"/>
      <x:c r="X8" s="292"/>
      <x:c r="Y8" s="292"/>
      <x:c r="Z8" s="292"/>
    </x:row>
    <x:row r="9">
      <x:c r="A9" s="292"/>
      <x:c r="B9" s="292"/>
      <x:c r="C9" s="292"/>
      <x:c r="D9" s="292"/>
      <x:c r="E9" s="292"/>
      <x:c r="F9" s="292"/>
      <x:c r="G9" s="292"/>
      <x:c r="H9" s="292"/>
      <x:c r="I9" s="292"/>
      <x:c r="J9" s="292"/>
      <x:c r="K9" s="292"/>
      <x:c r="L9" s="292"/>
      <x:c r="M9" s="292"/>
      <x:c r="N9" s="292"/>
      <x:c r="O9" s="292"/>
      <x:c r="P9" s="292"/>
      <x:c r="Q9" s="292"/>
      <x:c r="R9" s="292"/>
      <x:c r="S9" s="292"/>
      <x:c r="T9" s="292"/>
      <x:c r="U9" s="292"/>
      <x:c r="V9" s="292"/>
      <x:c r="W9" s="292"/>
      <x:c r="X9" s="292"/>
      <x:c r="Y9" s="292"/>
      <x:c r="Z9" s="292"/>
    </x:row>
    <x:row r="10">
      <x:c r="A10" s="292"/>
      <x:c r="B10" s="292"/>
      <x:c r="C10" s="292"/>
      <x:c r="D10" s="292"/>
      <x:c r="E10" s="292"/>
      <x:c r="F10" s="292"/>
      <x:c r="G10" s="292"/>
      <x:c r="H10" s="292"/>
      <x:c r="I10" s="292"/>
      <x:c r="J10" s="292"/>
      <x:c r="K10" s="292"/>
      <x:c r="L10" s="292"/>
      <x:c r="M10" s="292"/>
      <x:c r="N10" s="292"/>
      <x:c r="O10" s="292"/>
      <x:c r="P10" s="292"/>
      <x:c r="Q10" s="292"/>
      <x:c r="R10" s="292"/>
      <x:c r="S10" s="292"/>
      <x:c r="T10" s="292"/>
      <x:c r="U10" s="292"/>
      <x:c r="V10" s="292"/>
      <x:c r="W10" s="292"/>
      <x:c r="X10" s="292"/>
      <x:c r="Y10" s="292"/>
      <x:c r="Z10" s="292"/>
    </x:row>
    <x:row r="11">
      <x:c r="A11" s="292"/>
      <x:c r="B11" s="292"/>
      <x:c r="C11" s="292"/>
      <x:c r="D11" s="292"/>
      <x:c r="E11" s="292"/>
      <x:c r="F11" s="292"/>
      <x:c r="G11" s="292"/>
      <x:c r="H11" s="292"/>
      <x:c r="I11" s="292"/>
      <x:c r="J11" s="292"/>
      <x:c r="K11" s="292"/>
      <x:c r="L11" s="292"/>
      <x:c r="M11" s="292"/>
      <x:c r="N11" s="292"/>
      <x:c r="O11" s="292"/>
      <x:c r="P11" s="292"/>
      <x:c r="Q11" s="292"/>
      <x:c r="R11" s="292"/>
      <x:c r="S11" s="292"/>
      <x:c r="T11" s="292"/>
      <x:c r="U11" s="292"/>
      <x:c r="V11" s="292"/>
      <x:c r="W11" s="292"/>
      <x:c r="X11" s="292"/>
      <x:c r="Y11" s="292"/>
      <x:c r="Z11" s="292"/>
    </x:row>
    <x:row r="12">
      <x:c r="A12" s="292"/>
      <x:c r="B12" s="292"/>
      <x:c r="C12" s="292"/>
      <x:c r="D12" s="292"/>
      <x:c r="E12" s="292"/>
      <x:c r="F12" s="292"/>
      <x:c r="G12" s="292"/>
      <x:c r="H12" s="292"/>
      <x:c r="I12" s="292"/>
      <x:c r="J12" s="292"/>
      <x:c r="K12" s="292"/>
      <x:c r="L12" s="292"/>
      <x:c r="M12" s="292"/>
      <x:c r="N12" s="292"/>
      <x:c r="O12" s="292"/>
      <x:c r="P12" s="292"/>
      <x:c r="Q12" s="292"/>
      <x:c r="R12" s="292"/>
      <x:c r="S12" s="292"/>
      <x:c r="T12" s="292"/>
      <x:c r="U12" s="292"/>
      <x:c r="V12" s="292"/>
      <x:c r="W12" s="292"/>
      <x:c r="X12" s="292"/>
      <x:c r="Y12" s="292"/>
      <x:c r="Z12" s="292"/>
    </x:row>
    <x:row r="13">
      <x:c r="A13" s="292"/>
      <x:c r="B13" s="292"/>
      <x:c r="C13" s="292"/>
      <x:c r="D13" s="292"/>
      <x:c r="E13" s="292"/>
      <x:c r="F13" s="292"/>
      <x:c r="G13" s="292"/>
      <x:c r="H13" s="292"/>
      <x:c r="I13" s="292"/>
      <x:c r="J13" s="292"/>
      <x:c r="K13" s="292"/>
      <x:c r="L13" s="292"/>
      <x:c r="M13" s="292"/>
      <x:c r="N13" s="292"/>
      <x:c r="O13" s="292"/>
      <x:c r="P13" s="292"/>
      <x:c r="Q13" s="292"/>
      <x:c r="R13" s="292"/>
      <x:c r="S13" s="292"/>
      <x:c r="T13" s="292"/>
      <x:c r="U13" s="292"/>
      <x:c r="V13" s="292"/>
      <x:c r="W13" s="292"/>
      <x:c r="X13" s="292"/>
      <x:c r="Y13" s="292"/>
      <x:c r="Z13" s="292"/>
    </x:row>
    <x:row r="14">
      <x:c r="A14" s="292"/>
      <x:c r="B14" s="292"/>
      <x:c r="C14" s="292"/>
      <x:c r="D14" s="292"/>
      <x:c r="E14" s="292"/>
      <x:c r="F14" s="292"/>
      <x:c r="G14" s="292"/>
      <x:c r="H14" s="292"/>
      <x:c r="I14" s="292"/>
      <x:c r="J14" s="292"/>
      <x:c r="K14" s="292"/>
      <x:c r="L14" s="292"/>
      <x:c r="M14" s="292"/>
      <x:c r="N14" s="292"/>
      <x:c r="O14" s="292"/>
      <x:c r="P14" s="292"/>
      <x:c r="Q14" s="292"/>
      <x:c r="R14" s="292"/>
      <x:c r="S14" s="292"/>
      <x:c r="T14" s="292"/>
      <x:c r="U14" s="292"/>
      <x:c r="V14" s="292"/>
      <x:c r="W14" s="292"/>
      <x:c r="X14" s="292"/>
      <x:c r="Y14" s="292"/>
      <x:c r="Z14" s="292"/>
    </x:row>
    <x:row r="15">
      <x:c r="A15" s="292"/>
      <x:c r="B15" s="292"/>
      <x:c r="C15" s="292"/>
      <x:c r="D15" s="292"/>
      <x:c r="E15" s="292"/>
      <x:c r="F15" s="292"/>
      <x:c r="G15" s="292"/>
      <x:c r="H15" s="292"/>
      <x:c r="I15" s="292"/>
      <x:c r="J15" s="292"/>
      <x:c r="K15" s="292"/>
      <x:c r="L15" s="292"/>
      <x:c r="M15" s="292"/>
      <x:c r="N15" s="292"/>
      <x:c r="O15" s="292"/>
      <x:c r="P15" s="292"/>
      <x:c r="Q15" s="292"/>
      <x:c r="R15" s="292"/>
      <x:c r="S15" s="292"/>
      <x:c r="T15" s="292"/>
      <x:c r="U15" s="292"/>
      <x:c r="V15" s="292"/>
      <x:c r="W15" s="292"/>
      <x:c r="X15" s="292"/>
      <x:c r="Y15" s="292"/>
      <x:c r="Z15" s="292"/>
    </x:row>
    <x:row r="16">
      <x:c r="A16" s="292"/>
      <x:c r="B16" s="292"/>
      <x:c r="C16" s="292"/>
      <x:c r="D16" s="292"/>
      <x:c r="E16" s="292"/>
      <x:c r="F16" s="292"/>
      <x:c r="G16" s="292"/>
      <x:c r="H16" s="292"/>
      <x:c r="I16" s="292"/>
      <x:c r="J16" s="292"/>
      <x:c r="K16" s="292"/>
      <x:c r="L16" s="292"/>
      <x:c r="M16" s="292"/>
      <x:c r="N16" s="292"/>
      <x:c r="O16" s="292"/>
      <x:c r="P16" s="292"/>
      <x:c r="Q16" s="292"/>
      <x:c r="R16" s="292"/>
      <x:c r="S16" s="292"/>
      <x:c r="T16" s="292"/>
      <x:c r="U16" s="292"/>
      <x:c r="V16" s="292"/>
      <x:c r="W16" s="292"/>
      <x:c r="X16" s="292"/>
      <x:c r="Y16" s="292"/>
      <x:c r="Z16" s="292"/>
    </x:row>
    <x:row r="17">
      <x:c r="A17" s="292"/>
      <x:c r="B17" s="292"/>
      <x:c r="C17" s="292"/>
      <x:c r="D17" s="292"/>
      <x:c r="E17" s="292"/>
      <x:c r="F17" s="292"/>
      <x:c r="G17" s="292"/>
      <x:c r="H17" s="292"/>
      <x:c r="I17" s="292"/>
      <x:c r="J17" s="292"/>
      <x:c r="K17" s="292"/>
      <x:c r="L17" s="292"/>
      <x:c r="M17" s="292"/>
      <x:c r="N17" s="292"/>
      <x:c r="O17" s="292"/>
      <x:c r="P17" s="292"/>
      <x:c r="Q17" s="292"/>
      <x:c r="R17" s="292"/>
      <x:c r="S17" s="292"/>
      <x:c r="T17" s="292"/>
      <x:c r="U17" s="292"/>
      <x:c r="V17" s="292"/>
      <x:c r="W17" s="292"/>
      <x:c r="X17" s="292"/>
      <x:c r="Y17" s="292"/>
      <x:c r="Z17" s="292"/>
    </x:row>
    <x:row r="18">
      <x:c r="A18" s="292"/>
      <x:c r="B18" s="292"/>
      <x:c r="C18" s="292"/>
      <x:c r="D18" s="292"/>
      <x:c r="E18" s="292"/>
      <x:c r="F18" s="292"/>
      <x:c r="G18" s="292"/>
      <x:c r="H18" s="292"/>
      <x:c r="I18" s="292"/>
      <x:c r="J18" s="292"/>
      <x:c r="K18" s="292"/>
      <x:c r="L18" s="292"/>
      <x:c r="M18" s="292"/>
      <x:c r="N18" s="292"/>
      <x:c r="O18" s="292"/>
      <x:c r="P18" s="292"/>
      <x:c r="Q18" s="292"/>
      <x:c r="R18" s="292"/>
      <x:c r="S18" s="292"/>
      <x:c r="T18" s="292"/>
      <x:c r="U18" s="292"/>
      <x:c r="V18" s="292"/>
      <x:c r="W18" s="292"/>
      <x:c r="X18" s="292"/>
      <x:c r="Y18" s="292"/>
      <x:c r="Z18" s="292"/>
    </x:row>
    <x:row r="19">
      <x:c r="A19" s="292"/>
      <x:c r="B19" s="292"/>
      <x:c r="C19" s="292"/>
      <x:c r="D19" s="292"/>
      <x:c r="E19" s="292"/>
      <x:c r="F19" s="292"/>
      <x:c r="G19" s="292"/>
      <x:c r="H19" s="292"/>
      <x:c r="I19" s="292"/>
      <x:c r="J19" s="292"/>
      <x:c r="K19" s="292"/>
      <x:c r="L19" s="292"/>
      <x:c r="M19" s="292"/>
      <x:c r="N19" s="292"/>
      <x:c r="O19" s="292"/>
      <x:c r="P19" s="292"/>
      <x:c r="Q19" s="292"/>
      <x:c r="R19" s="292"/>
      <x:c r="S19" s="292"/>
      <x:c r="T19" s="292"/>
      <x:c r="U19" s="292"/>
      <x:c r="V19" s="292"/>
      <x:c r="W19" s="292"/>
      <x:c r="X19" s="292"/>
      <x:c r="Y19" s="292"/>
      <x:c r="Z19" s="292"/>
    </x:row>
    <x:row r="20">
      <x:c r="A20" s="292"/>
      <x:c r="B20" s="292"/>
      <x:c r="C20" s="292"/>
      <x:c r="D20" s="292"/>
      <x:c r="E20" s="292"/>
      <x:c r="F20" s="292"/>
      <x:c r="G20" s="292"/>
      <x:c r="H20" s="292"/>
      <x:c r="I20" s="292"/>
      <x:c r="J20" s="292"/>
      <x:c r="K20" s="292"/>
      <x:c r="L20" s="292"/>
      <x:c r="M20" s="292"/>
      <x:c r="N20" s="292"/>
      <x:c r="O20" s="292"/>
      <x:c r="P20" s="292"/>
      <x:c r="Q20" s="292"/>
      <x:c r="R20" s="292"/>
      <x:c r="S20" s="292"/>
      <x:c r="T20" s="292"/>
      <x:c r="U20" s="292"/>
      <x:c r="V20" s="292"/>
      <x:c r="W20" s="292"/>
      <x:c r="X20" s="292"/>
      <x:c r="Y20" s="292"/>
      <x:c r="Z20" s="292"/>
    </x:row>
    <x:row r="21">
      <x:c r="A21" s="292"/>
      <x:c r="B21" s="292"/>
      <x:c r="C21" s="292"/>
      <x:c r="D21" s="292"/>
      <x:c r="E21" s="292"/>
      <x:c r="F21" s="292"/>
      <x:c r="G21" s="292"/>
      <x:c r="H21" s="292"/>
      <x:c r="I21" s="292"/>
      <x:c r="J21" s="292"/>
      <x:c r="K21" s="292"/>
      <x:c r="L21" s="292"/>
      <x:c r="M21" s="292"/>
      <x:c r="N21" s="292"/>
      <x:c r="O21" s="292"/>
      <x:c r="P21" s="292"/>
      <x:c r="Q21" s="292"/>
      <x:c r="R21" s="292"/>
      <x:c r="S21" s="292"/>
      <x:c r="T21" s="292"/>
      <x:c r="U21" s="292"/>
      <x:c r="V21" s="292"/>
      <x:c r="W21" s="292"/>
      <x:c r="X21" s="292"/>
      <x:c r="Y21" s="292"/>
      <x:c r="Z21" s="292"/>
    </x:row>
    <x:row r="22">
      <x:c r="A22" s="292"/>
      <x:c r="B22" s="292"/>
      <x:c r="C22" s="292"/>
      <x:c r="D22" s="292"/>
      <x:c r="E22" s="292"/>
      <x:c r="F22" s="292"/>
      <x:c r="G22" s="292"/>
      <x:c r="H22" s="292"/>
      <x:c r="I22" s="292"/>
      <x:c r="J22" s="292"/>
      <x:c r="K22" s="292"/>
      <x:c r="L22" s="292"/>
      <x:c r="M22" s="292"/>
      <x:c r="N22" s="292"/>
      <x:c r="O22" s="292"/>
      <x:c r="P22" s="292"/>
      <x:c r="Q22" s="292"/>
      <x:c r="R22" s="292"/>
      <x:c r="S22" s="292"/>
      <x:c r="T22" s="292"/>
      <x:c r="U22" s="292"/>
      <x:c r="V22" s="292"/>
      <x:c r="W22" s="292"/>
      <x:c r="X22" s="292"/>
      <x:c r="Y22" s="292"/>
      <x:c r="Z22" s="292"/>
    </x:row>
    <x:row r="23">
      <x:c r="A23" s="292"/>
      <x:c r="B23" s="292"/>
      <x:c r="C23" s="292"/>
      <x:c r="D23" s="292"/>
      <x:c r="E23" s="292"/>
      <x:c r="F23" s="292"/>
      <x:c r="G23" s="292"/>
      <x:c r="H23" s="292"/>
      <x:c r="I23" s="292"/>
      <x:c r="J23" s="292"/>
      <x:c r="K23" s="292"/>
      <x:c r="L23" s="292"/>
      <x:c r="M23" s="292"/>
      <x:c r="N23" s="292"/>
      <x:c r="O23" s="292"/>
      <x:c r="P23" s="292"/>
      <x:c r="Q23" s="292"/>
      <x:c r="R23" s="292"/>
      <x:c r="S23" s="292"/>
      <x:c r="T23" s="292"/>
      <x:c r="U23" s="292"/>
      <x:c r="V23" s="292"/>
      <x:c r="W23" s="292"/>
      <x:c r="X23" s="292"/>
      <x:c r="Y23" s="292"/>
      <x:c r="Z23" s="292"/>
    </x:row>
    <x:row r="24">
      <x:c r="A24" s="292"/>
      <x:c r="B24" s="292"/>
      <x:c r="C24" s="292"/>
      <x:c r="D24" s="292"/>
      <x:c r="E24" s="292"/>
      <x:c r="F24" s="292"/>
      <x:c r="G24" s="292"/>
      <x:c r="H24" s="292"/>
      <x:c r="I24" s="292"/>
      <x:c r="J24" s="292"/>
      <x:c r="K24" s="292"/>
      <x:c r="L24" s="292"/>
      <x:c r="M24" s="292"/>
      <x:c r="N24" s="292"/>
      <x:c r="O24" s="292"/>
      <x:c r="P24" s="292"/>
      <x:c r="Q24" s="292"/>
      <x:c r="R24" s="292"/>
      <x:c r="S24" s="292"/>
      <x:c r="T24" s="292"/>
      <x:c r="U24" s="292"/>
      <x:c r="V24" s="292"/>
      <x:c r="W24" s="292"/>
      <x:c r="X24" s="292"/>
      <x:c r="Y24" s="292"/>
      <x:c r="Z24" s="292"/>
    </x:row>
    <x:row r="25">
      <x:c r="A25" s="292"/>
      <x:c r="B25" s="292"/>
      <x:c r="C25" s="292"/>
      <x:c r="D25" s="292"/>
      <x:c r="E25" s="292"/>
      <x:c r="F25" s="292"/>
      <x:c r="G25" s="292"/>
      <x:c r="H25" s="292"/>
      <x:c r="I25" s="292"/>
      <x:c r="J25" s="292"/>
      <x:c r="K25" s="292"/>
      <x:c r="L25" s="292"/>
      <x:c r="M25" s="292"/>
      <x:c r="N25" s="292"/>
      <x:c r="O25" s="292"/>
      <x:c r="P25" s="292"/>
      <x:c r="Q25" s="292"/>
      <x:c r="R25" s="292"/>
      <x:c r="S25" s="292"/>
      <x:c r="T25" s="292"/>
      <x:c r="U25" s="292"/>
      <x:c r="V25" s="292"/>
      <x:c r="W25" s="292"/>
      <x:c r="X25" s="292"/>
      <x:c r="Y25" s="292"/>
      <x:c r="Z25" s="292"/>
    </x:row>
    <x:row r="26">
      <x:c r="A26" s="292"/>
      <x:c r="B26" s="292"/>
      <x:c r="C26" s="292"/>
      <x:c r="D26" s="292"/>
      <x:c r="E26" s="292"/>
      <x:c r="F26" s="292"/>
      <x:c r="G26" s="292"/>
      <x:c r="H26" s="292"/>
      <x:c r="I26" s="292"/>
      <x:c r="J26" s="292"/>
      <x:c r="K26" s="292"/>
      <x:c r="L26" s="292"/>
      <x:c r="M26" s="292"/>
      <x:c r="N26" s="292"/>
      <x:c r="O26" s="292"/>
      <x:c r="P26" s="292"/>
      <x:c r="Q26" s="292"/>
      <x:c r="R26" s="292"/>
      <x:c r="S26" s="292"/>
      <x:c r="T26" s="292"/>
      <x:c r="U26" s="292"/>
      <x:c r="V26" s="292"/>
      <x:c r="W26" s="292"/>
      <x:c r="X26" s="292"/>
      <x:c r="Y26" s="292"/>
      <x:c r="Z26" s="292"/>
    </x:row>
    <x:row r="27">
      <x:c r="A27" s="292"/>
      <x:c r="B27" s="292"/>
      <x:c r="C27" s="292"/>
      <x:c r="D27" s="292"/>
      <x:c r="E27" s="292"/>
      <x:c r="F27" s="292"/>
      <x:c r="G27" s="292"/>
      <x:c r="H27" s="292"/>
      <x:c r="I27" s="292"/>
      <x:c r="J27" s="292"/>
      <x:c r="K27" s="292"/>
      <x:c r="L27" s="292"/>
      <x:c r="M27" s="292"/>
      <x:c r="N27" s="292"/>
      <x:c r="O27" s="292"/>
      <x:c r="P27" s="292"/>
      <x:c r="Q27" s="292"/>
      <x:c r="R27" s="292"/>
      <x:c r="S27" s="292"/>
      <x:c r="T27" s="292"/>
      <x:c r="U27" s="292"/>
      <x:c r="V27" s="292"/>
      <x:c r="W27" s="292"/>
      <x:c r="X27" s="292"/>
      <x:c r="Y27" s="292"/>
      <x:c r="Z27" s="292"/>
    </x:row>
    <x:row r="28">
      <x:c r="A28" s="292"/>
      <x:c r="B28" s="292"/>
      <x:c r="C28" s="292"/>
      <x:c r="D28" s="292"/>
      <x:c r="E28" s="292"/>
      <x:c r="F28" s="292"/>
      <x:c r="G28" s="292"/>
      <x:c r="H28" s="292"/>
      <x:c r="I28" s="292"/>
      <x:c r="J28" s="292"/>
      <x:c r="K28" s="292"/>
      <x:c r="L28" s="292"/>
      <x:c r="M28" s="292"/>
      <x:c r="N28" s="292"/>
      <x:c r="O28" s="292"/>
      <x:c r="P28" s="292"/>
      <x:c r="Q28" s="292"/>
      <x:c r="R28" s="292"/>
      <x:c r="S28" s="292"/>
      <x:c r="T28" s="292"/>
      <x:c r="U28" s="292"/>
      <x:c r="V28" s="292"/>
      <x:c r="W28" s="292"/>
      <x:c r="X28" s="292"/>
      <x:c r="Y28" s="292"/>
      <x:c r="Z28" s="292"/>
    </x:row>
    <x:row r="29">
      <x:c r="A29" s="292"/>
      <x:c r="B29" s="292"/>
      <x:c r="C29" s="292"/>
      <x:c r="D29" s="292"/>
      <x:c r="E29" s="292"/>
      <x:c r="F29" s="292"/>
      <x:c r="G29" s="292"/>
      <x:c r="H29" s="292"/>
      <x:c r="I29" s="292"/>
      <x:c r="J29" s="292"/>
      <x:c r="K29" s="292"/>
      <x:c r="L29" s="292"/>
      <x:c r="M29" s="292"/>
      <x:c r="N29" s="292"/>
      <x:c r="O29" s="292"/>
      <x:c r="P29" s="292"/>
      <x:c r="Q29" s="292"/>
      <x:c r="R29" s="292"/>
      <x:c r="S29" s="292"/>
      <x:c r="T29" s="292"/>
      <x:c r="U29" s="292"/>
      <x:c r="V29" s="292"/>
      <x:c r="W29" s="292"/>
      <x:c r="X29" s="292"/>
      <x:c r="Y29" s="292"/>
      <x:c r="Z29" s="292"/>
    </x:row>
    <x:row r="30">
      <x:c r="A30" s="292"/>
      <x:c r="B30" s="292"/>
      <x:c r="C30" s="292"/>
      <x:c r="D30" s="292"/>
      <x:c r="E30" s="292"/>
      <x:c r="F30" s="292"/>
      <x:c r="G30" s="292"/>
      <x:c r="H30" s="292"/>
      <x:c r="I30" s="292"/>
      <x:c r="J30" s="292"/>
      <x:c r="K30" s="292"/>
      <x:c r="L30" s="292"/>
      <x:c r="M30" s="292"/>
      <x:c r="N30" s="292"/>
      <x:c r="O30" s="292"/>
      <x:c r="P30" s="292"/>
      <x:c r="Q30" s="292"/>
      <x:c r="R30" s="292"/>
      <x:c r="S30" s="292"/>
      <x:c r="T30" s="292"/>
      <x:c r="U30" s="292"/>
      <x:c r="V30" s="292"/>
      <x:c r="W30" s="292"/>
      <x:c r="X30" s="292"/>
      <x:c r="Y30" s="292"/>
      <x:c r="Z30" s="292"/>
    </x:row>
    <x:row r="31">
      <x:c r="A31" s="292"/>
      <x:c r="B31" s="292"/>
      <x:c r="C31" s="292"/>
      <x:c r="D31" s="292"/>
      <x:c r="E31" s="292"/>
      <x:c r="F31" s="292"/>
      <x:c r="G31" s="292"/>
      <x:c r="H31" s="292"/>
      <x:c r="I31" s="292"/>
      <x:c r="J31" s="292"/>
      <x:c r="K31" s="292"/>
      <x:c r="L31" s="292"/>
      <x:c r="M31" s="292"/>
      <x:c r="N31" s="292"/>
      <x:c r="O31" s="292"/>
      <x:c r="P31" s="292"/>
      <x:c r="Q31" s="292"/>
      <x:c r="R31" s="292"/>
      <x:c r="S31" s="292"/>
      <x:c r="T31" s="292"/>
      <x:c r="U31" s="292"/>
      <x:c r="V31" s="292"/>
      <x:c r="W31" s="292"/>
      <x:c r="X31" s="292"/>
      <x:c r="Y31" s="292"/>
      <x:c r="Z31" s="292"/>
    </x:row>
    <x:row r="32">
      <x:c r="A32" s="292"/>
      <x:c r="B32" s="292"/>
      <x:c r="C32" s="292"/>
      <x:c r="D32" s="292"/>
      <x:c r="E32" s="292"/>
      <x:c r="F32" s="292"/>
      <x:c r="G32" s="292"/>
      <x:c r="H32" s="292"/>
      <x:c r="I32" s="292"/>
      <x:c r="J32" s="292"/>
      <x:c r="K32" s="292"/>
      <x:c r="L32" s="292"/>
      <x:c r="M32" s="292"/>
      <x:c r="N32" s="292"/>
      <x:c r="O32" s="292"/>
      <x:c r="P32" s="292"/>
      <x:c r="Q32" s="292"/>
      <x:c r="R32" s="292"/>
      <x:c r="S32" s="292"/>
      <x:c r="T32" s="292"/>
      <x:c r="U32" s="292"/>
      <x:c r="V32" s="292"/>
      <x:c r="W32" s="292"/>
      <x:c r="X32" s="292"/>
      <x:c r="Y32" s="292"/>
      <x:c r="Z32" s="292"/>
    </x:row>
    <x:row r="33">
      <x:c r="A33" s="292"/>
      <x:c r="B33" s="292"/>
      <x:c r="C33" s="292"/>
      <x:c r="D33" s="292"/>
      <x:c r="E33" s="292"/>
      <x:c r="F33" s="292"/>
      <x:c r="G33" s="292"/>
      <x:c r="H33" s="292"/>
      <x:c r="I33" s="292"/>
      <x:c r="J33" s="292"/>
      <x:c r="K33" s="292"/>
      <x:c r="L33" s="292"/>
      <x:c r="M33" s="292"/>
      <x:c r="N33" s="292"/>
      <x:c r="O33" s="292"/>
      <x:c r="P33" s="292"/>
      <x:c r="Q33" s="292"/>
      <x:c r="R33" s="292"/>
      <x:c r="S33" s="292"/>
      <x:c r="T33" s="292"/>
      <x:c r="U33" s="292"/>
      <x:c r="V33" s="292"/>
      <x:c r="W33" s="292"/>
      <x:c r="X33" s="292"/>
      <x:c r="Y33" s="292"/>
      <x:c r="Z33" s="292"/>
    </x:row>
    <x:row r="34">
      <x:c r="A34" s="292"/>
      <x:c r="B34" s="292"/>
      <x:c r="C34" s="292"/>
      <x:c r="D34" s="292"/>
      <x:c r="E34" s="292"/>
      <x:c r="F34" s="292"/>
      <x:c r="G34" s="292"/>
      <x:c r="H34" s="292"/>
      <x:c r="I34" s="292"/>
      <x:c r="J34" s="292"/>
      <x:c r="K34" s="292"/>
      <x:c r="L34" s="292"/>
      <x:c r="M34" s="292"/>
      <x:c r="N34" s="292"/>
      <x:c r="O34" s="292"/>
      <x:c r="P34" s="292"/>
      <x:c r="Q34" s="292"/>
      <x:c r="R34" s="292"/>
      <x:c r="S34" s="292"/>
      <x:c r="T34" s="292"/>
      <x:c r="U34" s="292"/>
      <x:c r="V34" s="292"/>
      <x:c r="W34" s="292"/>
      <x:c r="X34" s="292"/>
      <x:c r="Y34" s="292"/>
      <x:c r="Z34" s="292"/>
    </x:row>
    <x:row r="35">
      <x:c r="A35" s="292"/>
      <x:c r="B35" s="292"/>
      <x:c r="C35" s="292"/>
      <x:c r="D35" s="292"/>
      <x:c r="E35" s="292"/>
      <x:c r="F35" s="292"/>
      <x:c r="G35" s="292"/>
      <x:c r="H35" s="292"/>
      <x:c r="I35" s="292"/>
      <x:c r="J35" s="292"/>
      <x:c r="K35" s="292"/>
      <x:c r="L35" s="292"/>
      <x:c r="M35" s="292"/>
      <x:c r="N35" s="292"/>
      <x:c r="O35" s="292"/>
      <x:c r="P35" s="292"/>
      <x:c r="Q35" s="292"/>
      <x:c r="R35" s="292"/>
      <x:c r="S35" s="292"/>
      <x:c r="T35" s="292"/>
      <x:c r="U35" s="292"/>
      <x:c r="V35" s="292"/>
      <x:c r="W35" s="292"/>
      <x:c r="X35" s="292"/>
      <x:c r="Y35" s="292"/>
      <x:c r="Z35" s="292"/>
    </x:row>
    <x:row r="36">
      <x:c r="A36" s="292"/>
      <x:c r="B36" s="292"/>
      <x:c r="C36" s="292"/>
      <x:c r="D36" s="292"/>
      <x:c r="E36" s="292"/>
      <x:c r="F36" s="292"/>
      <x:c r="G36" s="292"/>
      <x:c r="H36" s="292"/>
      <x:c r="I36" s="292"/>
      <x:c r="J36" s="292"/>
      <x:c r="K36" s="292"/>
      <x:c r="L36" s="292"/>
      <x:c r="M36" s="292"/>
      <x:c r="N36" s="292"/>
      <x:c r="O36" s="292"/>
      <x:c r="P36" s="292"/>
      <x:c r="Q36" s="292"/>
      <x:c r="R36" s="292"/>
      <x:c r="S36" s="292"/>
      <x:c r="T36" s="292"/>
      <x:c r="U36" s="292"/>
      <x:c r="V36" s="292"/>
      <x:c r="W36" s="292"/>
      <x:c r="X36" s="292"/>
      <x:c r="Y36" s="292"/>
      <x:c r="Z36" s="292"/>
    </x:row>
    <x:row r="37">
      <x:c r="A37" s="292"/>
      <x:c r="B37" s="292"/>
      <x:c r="C37" s="292"/>
      <x:c r="D37" s="292"/>
      <x:c r="E37" s="292"/>
      <x:c r="F37" s="292"/>
      <x:c r="G37" s="292"/>
      <x:c r="H37" s="292"/>
      <x:c r="I37" s="292"/>
      <x:c r="J37" s="292"/>
      <x:c r="K37" s="292"/>
      <x:c r="L37" s="292"/>
      <x:c r="M37" s="292"/>
      <x:c r="N37" s="292"/>
      <x:c r="O37" s="292"/>
      <x:c r="P37" s="292"/>
      <x:c r="Q37" s="292"/>
      <x:c r="R37" s="292"/>
      <x:c r="S37" s="292"/>
      <x:c r="T37" s="292"/>
      <x:c r="U37" s="292"/>
      <x:c r="V37" s="292"/>
      <x:c r="W37" s="292"/>
      <x:c r="X37" s="292"/>
      <x:c r="Y37" s="292"/>
      <x:c r="Z37" s="292"/>
    </x:row>
    <x:row r="38">
      <x:c r="A38" s="292"/>
      <x:c r="B38" s="292"/>
      <x:c r="C38" s="292"/>
      <x:c r="D38" s="292"/>
      <x:c r="E38" s="292"/>
      <x:c r="F38" s="292"/>
      <x:c r="G38" s="292"/>
      <x:c r="H38" s="292"/>
      <x:c r="I38" s="292"/>
      <x:c r="J38" s="292"/>
      <x:c r="K38" s="292"/>
      <x:c r="L38" s="292"/>
      <x:c r="M38" s="292"/>
      <x:c r="N38" s="292"/>
      <x:c r="O38" s="292"/>
      <x:c r="P38" s="292"/>
      <x:c r="Q38" s="292"/>
      <x:c r="R38" s="292"/>
      <x:c r="S38" s="292"/>
      <x:c r="T38" s="292"/>
      <x:c r="U38" s="292"/>
      <x:c r="V38" s="292"/>
      <x:c r="W38" s="292"/>
      <x:c r="X38" s="292"/>
      <x:c r="Y38" s="292"/>
      <x:c r="Z38" s="292"/>
    </x:row>
    <x:row r="39">
      <x:c r="A39" s="292"/>
      <x:c r="B39" s="292"/>
      <x:c r="C39" s="292"/>
      <x:c r="D39" s="292"/>
      <x:c r="E39" s="292"/>
      <x:c r="F39" s="292"/>
      <x:c r="G39" s="292"/>
      <x:c r="H39" s="292"/>
      <x:c r="I39" s="292"/>
      <x:c r="J39" s="292"/>
      <x:c r="K39" s="292"/>
      <x:c r="L39" s="292"/>
      <x:c r="M39" s="292"/>
      <x:c r="N39" s="292"/>
      <x:c r="O39" s="292"/>
      <x:c r="P39" s="292"/>
      <x:c r="Q39" s="292"/>
      <x:c r="R39" s="292"/>
      <x:c r="S39" s="292"/>
      <x:c r="T39" s="292"/>
      <x:c r="U39" s="292"/>
      <x:c r="V39" s="292"/>
      <x:c r="W39" s="292"/>
      <x:c r="X39" s="292"/>
      <x:c r="Y39" s="292"/>
      <x:c r="Z39" s="292"/>
    </x:row>
    <x:row r="40">
      <x:c r="A40" s="292"/>
      <x:c r="B40" s="292"/>
      <x:c r="C40" s="292"/>
      <x:c r="D40" s="292"/>
      <x:c r="E40" s="292"/>
      <x:c r="F40" s="292"/>
      <x:c r="G40" s="292"/>
      <x:c r="H40" s="292"/>
      <x:c r="I40" s="292"/>
      <x:c r="J40" s="292"/>
      <x:c r="K40" s="292"/>
      <x:c r="L40" s="292"/>
      <x:c r="M40" s="292"/>
      <x:c r="N40" s="292"/>
      <x:c r="O40" s="292"/>
      <x:c r="P40" s="292"/>
      <x:c r="Q40" s="292"/>
      <x:c r="R40" s="292"/>
      <x:c r="S40" s="292"/>
      <x:c r="T40" s="292"/>
      <x:c r="U40" s="292"/>
      <x:c r="V40" s="292"/>
      <x:c r="W40" s="292"/>
      <x:c r="X40" s="292"/>
      <x:c r="Y40" s="292"/>
      <x:c r="Z40" s="292"/>
    </x:row>
    <x:row r="41">
      <x:c r="A41" s="292"/>
      <x:c r="B41" s="292"/>
      <x:c r="C41" s="292"/>
      <x:c r="D41" s="292"/>
      <x:c r="E41" s="292"/>
      <x:c r="F41" s="292"/>
      <x:c r="G41" s="292"/>
      <x:c r="H41" s="292"/>
      <x:c r="I41" s="292"/>
      <x:c r="J41" s="292"/>
      <x:c r="K41" s="292"/>
      <x:c r="L41" s="292"/>
      <x:c r="M41" s="292"/>
      <x:c r="N41" s="292"/>
      <x:c r="O41" s="292"/>
      <x:c r="P41" s="292"/>
      <x:c r="Q41" s="292"/>
      <x:c r="R41" s="292"/>
      <x:c r="S41" s="292"/>
      <x:c r="T41" s="292"/>
      <x:c r="U41" s="292"/>
      <x:c r="V41" s="292"/>
      <x:c r="W41" s="292"/>
      <x:c r="X41" s="292"/>
      <x:c r="Y41" s="292"/>
      <x:c r="Z41" s="292"/>
    </x:row>
    <x:row r="42">
      <x:c r="A42" s="292"/>
      <x:c r="B42" s="292"/>
      <x:c r="C42" s="292"/>
      <x:c r="D42" s="292"/>
      <x:c r="E42" s="292"/>
      <x:c r="F42" s="292"/>
      <x:c r="G42" s="292"/>
      <x:c r="H42" s="292"/>
      <x:c r="I42" s="292"/>
      <x:c r="J42" s="292"/>
      <x:c r="K42" s="292"/>
      <x:c r="L42" s="292"/>
      <x:c r="M42" s="292"/>
      <x:c r="N42" s="292"/>
      <x:c r="O42" s="292"/>
      <x:c r="P42" s="292"/>
      <x:c r="Q42" s="292"/>
      <x:c r="R42" s="292"/>
      <x:c r="S42" s="292"/>
      <x:c r="T42" s="292"/>
      <x:c r="U42" s="292"/>
      <x:c r="V42" s="292"/>
      <x:c r="W42" s="292"/>
      <x:c r="X42" s="292"/>
      <x:c r="Y42" s="292"/>
      <x:c r="Z42" s="292"/>
    </x:row>
    <x:row r="43">
      <x:c r="A43" s="292"/>
      <x:c r="B43" s="292"/>
      <x:c r="C43" s="292"/>
      <x:c r="D43" s="292"/>
      <x:c r="E43" s="292"/>
      <x:c r="F43" s="292"/>
      <x:c r="G43" s="292"/>
      <x:c r="H43" s="292"/>
      <x:c r="I43" s="292"/>
      <x:c r="J43" s="292"/>
      <x:c r="K43" s="292"/>
      <x:c r="L43" s="292"/>
      <x:c r="M43" s="292"/>
      <x:c r="N43" s="292"/>
      <x:c r="O43" s="292"/>
      <x:c r="P43" s="292"/>
      <x:c r="Q43" s="292"/>
      <x:c r="R43" s="292"/>
      <x:c r="S43" s="292"/>
      <x:c r="T43" s="292"/>
      <x:c r="U43" s="292"/>
      <x:c r="V43" s="292"/>
      <x:c r="W43" s="292"/>
      <x:c r="X43" s="292"/>
      <x:c r="Y43" s="292"/>
      <x:c r="Z43" s="292"/>
    </x:row>
    <x:row r="44">
      <x:c r="A44" s="292"/>
      <x:c r="B44" s="292"/>
      <x:c r="C44" s="292"/>
      <x:c r="D44" s="292"/>
      <x:c r="E44" s="292"/>
      <x:c r="F44" s="292"/>
      <x:c r="G44" s="292"/>
      <x:c r="H44" s="292"/>
      <x:c r="I44" s="292"/>
      <x:c r="J44" s="292"/>
      <x:c r="K44" s="292"/>
      <x:c r="L44" s="292"/>
      <x:c r="M44" s="292"/>
      <x:c r="N44" s="292"/>
      <x:c r="O44" s="292"/>
      <x:c r="P44" s="292"/>
      <x:c r="Q44" s="292"/>
      <x:c r="R44" s="292"/>
      <x:c r="S44" s="292"/>
      <x:c r="T44" s="292"/>
      <x:c r="U44" s="292"/>
      <x:c r="V44" s="292"/>
      <x:c r="W44" s="292"/>
      <x:c r="X44" s="292"/>
      <x:c r="Y44" s="292"/>
      <x:c r="Z44" s="292"/>
    </x:row>
    <x:row r="45">
      <x:c r="A45" s="292"/>
      <x:c r="B45" s="292"/>
      <x:c r="C45" s="292"/>
      <x:c r="D45" s="292"/>
      <x:c r="E45" s="292"/>
      <x:c r="F45" s="292"/>
      <x:c r="G45" s="292"/>
      <x:c r="H45" s="292"/>
      <x:c r="I45" s="292"/>
      <x:c r="J45" s="292"/>
      <x:c r="K45" s="292"/>
      <x:c r="L45" s="292"/>
      <x:c r="M45" s="292"/>
      <x:c r="N45" s="292"/>
      <x:c r="O45" s="292"/>
      <x:c r="P45" s="292"/>
      <x:c r="Q45" s="292"/>
      <x:c r="R45" s="292"/>
      <x:c r="S45" s="292"/>
      <x:c r="T45" s="292"/>
      <x:c r="U45" s="292"/>
      <x:c r="V45" s="292"/>
      <x:c r="W45" s="292"/>
      <x:c r="X45" s="292"/>
      <x:c r="Y45" s="292"/>
      <x:c r="Z45" s="292"/>
    </x:row>
    <x:row r="46">
      <x:c r="A46" s="292"/>
      <x:c r="B46" s="292"/>
      <x:c r="C46" s="292"/>
      <x:c r="D46" s="292"/>
      <x:c r="E46" s="292"/>
      <x:c r="F46" s="292"/>
      <x:c r="G46" s="292"/>
      <x:c r="H46" s="292"/>
      <x:c r="I46" s="292"/>
      <x:c r="J46" s="292"/>
      <x:c r="K46" s="292"/>
      <x:c r="L46" s="292"/>
      <x:c r="M46" s="292"/>
      <x:c r="N46" s="292"/>
      <x:c r="O46" s="292"/>
      <x:c r="P46" s="292"/>
      <x:c r="Q46" s="292"/>
      <x:c r="R46" s="292"/>
      <x:c r="S46" s="292"/>
      <x:c r="T46" s="292"/>
      <x:c r="U46" s="292"/>
      <x:c r="V46" s="292"/>
      <x:c r="W46" s="292"/>
      <x:c r="X46" s="292"/>
      <x:c r="Y46" s="292"/>
      <x:c r="Z46" s="292"/>
    </x:row>
    <x:row r="47">
      <x:c r="A47" s="292"/>
      <x:c r="B47" s="292"/>
      <x:c r="C47" s="292"/>
      <x:c r="D47" s="292"/>
      <x:c r="E47" s="292"/>
      <x:c r="F47" s="292"/>
      <x:c r="G47" s="292"/>
      <x:c r="H47" s="292"/>
      <x:c r="I47" s="292"/>
      <x:c r="J47" s="292"/>
      <x:c r="K47" s="292"/>
      <x:c r="L47" s="292"/>
      <x:c r="M47" s="292"/>
      <x:c r="N47" s="292"/>
      <x:c r="O47" s="292"/>
      <x:c r="P47" s="292"/>
      <x:c r="Q47" s="292"/>
      <x:c r="R47" s="292"/>
      <x:c r="S47" s="292"/>
      <x:c r="T47" s="292"/>
      <x:c r="U47" s="292"/>
      <x:c r="V47" s="292"/>
      <x:c r="W47" s="292"/>
      <x:c r="X47" s="292"/>
      <x:c r="Y47" s="292"/>
      <x:c r="Z47" s="292"/>
    </x:row>
    <x:row r="48">
      <x:c r="A48" s="292"/>
      <x:c r="B48" s="292"/>
      <x:c r="C48" s="292"/>
      <x:c r="D48" s="292"/>
      <x:c r="E48" s="292"/>
      <x:c r="F48" s="292"/>
      <x:c r="G48" s="292"/>
      <x:c r="H48" s="292"/>
      <x:c r="I48" s="292"/>
      <x:c r="J48" s="292"/>
      <x:c r="K48" s="292"/>
      <x:c r="L48" s="292"/>
      <x:c r="M48" s="292"/>
      <x:c r="N48" s="292"/>
      <x:c r="O48" s="292"/>
      <x:c r="P48" s="292"/>
      <x:c r="Q48" s="292"/>
      <x:c r="R48" s="292"/>
      <x:c r="S48" s="292"/>
      <x:c r="T48" s="292"/>
      <x:c r="U48" s="292"/>
      <x:c r="V48" s="292"/>
      <x:c r="W48" s="292"/>
      <x:c r="X48" s="292"/>
      <x:c r="Y48" s="292"/>
      <x:c r="Z48" s="292"/>
    </x:row>
    <x:row r="49">
      <x:c r="A49" s="292"/>
      <x:c r="B49" s="292"/>
      <x:c r="C49" s="292"/>
      <x:c r="D49" s="292"/>
      <x:c r="E49" s="292"/>
      <x:c r="F49" s="292"/>
      <x:c r="G49" s="292"/>
      <x:c r="H49" s="292"/>
      <x:c r="I49" s="292"/>
      <x:c r="J49" s="292"/>
      <x:c r="K49" s="292"/>
      <x:c r="L49" s="292"/>
      <x:c r="M49" s="292"/>
      <x:c r="N49" s="292"/>
      <x:c r="O49" s="292"/>
      <x:c r="P49" s="292"/>
      <x:c r="Q49" s="292"/>
      <x:c r="R49" s="292"/>
      <x:c r="S49" s="292"/>
      <x:c r="T49" s="292"/>
      <x:c r="U49" s="292"/>
      <x:c r="V49" s="292"/>
      <x:c r="W49" s="292"/>
      <x:c r="X49" s="292"/>
      <x:c r="Y49" s="292"/>
      <x:c r="Z49" s="292"/>
    </x:row>
    <x:row r="50">
      <x:c r="A50" s="292"/>
      <x:c r="B50" s="292"/>
      <x:c r="C50" s="292"/>
      <x:c r="D50" s="292"/>
      <x:c r="E50" s="292"/>
      <x:c r="F50" s="292"/>
      <x:c r="G50" s="292"/>
      <x:c r="H50" s="292"/>
      <x:c r="I50" s="292"/>
      <x:c r="J50" s="292"/>
      <x:c r="K50" s="292"/>
      <x:c r="L50" s="292"/>
      <x:c r="M50" s="292"/>
      <x:c r="N50" s="292"/>
      <x:c r="O50" s="292"/>
      <x:c r="P50" s="292"/>
      <x:c r="Q50" s="292"/>
      <x:c r="R50" s="292"/>
      <x:c r="S50" s="292"/>
      <x:c r="T50" s="292"/>
      <x:c r="U50" s="292"/>
      <x:c r="V50" s="292"/>
      <x:c r="W50" s="292"/>
      <x:c r="X50" s="292"/>
      <x:c r="Y50" s="292"/>
      <x:c r="Z50" s="292"/>
    </x:row>
    <x:row r="51">
      <x:c r="A51" s="292"/>
      <x:c r="B51" s="292"/>
      <x:c r="C51" s="292"/>
      <x:c r="D51" s="292"/>
      <x:c r="E51" s="292"/>
      <x:c r="F51" s="292"/>
      <x:c r="G51" s="292"/>
      <x:c r="H51" s="292"/>
      <x:c r="I51" s="292"/>
      <x:c r="J51" s="292"/>
      <x:c r="K51" s="292"/>
      <x:c r="L51" s="292"/>
      <x:c r="M51" s="292"/>
      <x:c r="N51" s="292"/>
      <x:c r="O51" s="292"/>
      <x:c r="P51" s="292"/>
      <x:c r="Q51" s="292"/>
      <x:c r="R51" s="292"/>
      <x:c r="S51" s="292"/>
      <x:c r="T51" s="292"/>
      <x:c r="U51" s="292"/>
      <x:c r="V51" s="292"/>
      <x:c r="W51" s="292"/>
      <x:c r="X51" s="292"/>
      <x:c r="Y51" s="292"/>
      <x:c r="Z51" s="292"/>
    </x:row>
    <x:row r="52">
      <x:c r="A52" s="292"/>
      <x:c r="B52" s="292"/>
      <x:c r="C52" s="292"/>
      <x:c r="D52" s="292"/>
      <x:c r="E52" s="292"/>
      <x:c r="F52" s="292"/>
      <x:c r="G52" s="292"/>
      <x:c r="H52" s="292"/>
      <x:c r="I52" s="292"/>
      <x:c r="J52" s="292"/>
      <x:c r="K52" s="292"/>
      <x:c r="L52" s="292"/>
      <x:c r="M52" s="292"/>
      <x:c r="N52" s="292"/>
      <x:c r="O52" s="292"/>
      <x:c r="P52" s="292"/>
      <x:c r="Q52" s="292"/>
      <x:c r="R52" s="292"/>
      <x:c r="S52" s="292"/>
      <x:c r="T52" s="292"/>
      <x:c r="U52" s="292"/>
      <x:c r="V52" s="292"/>
      <x:c r="W52" s="292"/>
      <x:c r="X52" s="292"/>
      <x:c r="Y52" s="292"/>
      <x:c r="Z52" s="292"/>
    </x:row>
    <x:row r="53">
      <x:c r="A53" s="292"/>
      <x:c r="B53" s="292"/>
      <x:c r="C53" s="292"/>
      <x:c r="D53" s="292"/>
      <x:c r="E53" s="292"/>
      <x:c r="F53" s="292"/>
      <x:c r="G53" s="292"/>
      <x:c r="H53" s="292"/>
      <x:c r="I53" s="292"/>
      <x:c r="J53" s="292"/>
      <x:c r="K53" s="292"/>
      <x:c r="L53" s="292"/>
      <x:c r="M53" s="292"/>
      <x:c r="N53" s="292"/>
      <x:c r="O53" s="292"/>
      <x:c r="P53" s="292"/>
      <x:c r="Q53" s="292"/>
      <x:c r="R53" s="292"/>
      <x:c r="S53" s="292"/>
      <x:c r="T53" s="292"/>
      <x:c r="U53" s="292"/>
      <x:c r="V53" s="292"/>
      <x:c r="W53" s="292"/>
      <x:c r="X53" s="292"/>
      <x:c r="Y53" s="292"/>
      <x:c r="Z53" s="292"/>
    </x:row>
    <x:row r="54">
      <x:c r="A54" s="292"/>
      <x:c r="B54" s="292"/>
      <x:c r="C54" s="292"/>
      <x:c r="D54" s="292"/>
      <x:c r="E54" s="292"/>
      <x:c r="F54" s="292"/>
      <x:c r="G54" s="292"/>
      <x:c r="H54" s="292"/>
      <x:c r="I54" s="292"/>
      <x:c r="J54" s="292"/>
      <x:c r="K54" s="292"/>
      <x:c r="L54" s="292"/>
      <x:c r="M54" s="292"/>
      <x:c r="N54" s="292"/>
      <x:c r="O54" s="292"/>
      <x:c r="P54" s="292"/>
      <x:c r="Q54" s="292"/>
      <x:c r="R54" s="292"/>
      <x:c r="S54" s="292"/>
      <x:c r="T54" s="292"/>
      <x:c r="U54" s="292"/>
      <x:c r="V54" s="292"/>
      <x:c r="W54" s="292"/>
      <x:c r="X54" s="292"/>
      <x:c r="Y54" s="292"/>
      <x:c r="Z54" s="292"/>
    </x:row>
    <x:row r="55">
      <x:c r="A55" s="292"/>
      <x:c r="B55" s="292"/>
      <x:c r="C55" s="292"/>
      <x:c r="D55" s="292"/>
      <x:c r="E55" s="292"/>
      <x:c r="F55" s="292"/>
      <x:c r="G55" s="292"/>
      <x:c r="H55" s="292"/>
      <x:c r="I55" s="292"/>
      <x:c r="J55" s="292"/>
      <x:c r="K55" s="292"/>
      <x:c r="L55" s="292"/>
      <x:c r="M55" s="292"/>
      <x:c r="N55" s="292"/>
      <x:c r="O55" s="292"/>
      <x:c r="P55" s="292"/>
      <x:c r="Q55" s="292"/>
      <x:c r="R55" s="292"/>
      <x:c r="S55" s="292"/>
      <x:c r="T55" s="292"/>
      <x:c r="U55" s="292"/>
      <x:c r="V55" s="292"/>
      <x:c r="W55" s="292"/>
      <x:c r="X55" s="292"/>
      <x:c r="Y55" s="292"/>
      <x:c r="Z55" s="292"/>
    </x:row>
    <x:row r="56">
      <x:c r="A56" s="292"/>
      <x:c r="B56" s="292"/>
      <x:c r="C56" s="292"/>
      <x:c r="D56" s="292"/>
      <x:c r="E56" s="292"/>
      <x:c r="F56" s="292"/>
      <x:c r="G56" s="292"/>
      <x:c r="H56" s="292"/>
      <x:c r="I56" s="292"/>
      <x:c r="J56" s="292"/>
      <x:c r="K56" s="292"/>
      <x:c r="L56" s="292"/>
      <x:c r="M56" s="292"/>
      <x:c r="N56" s="292"/>
      <x:c r="O56" s="292"/>
      <x:c r="P56" s="292"/>
      <x:c r="Q56" s="292"/>
      <x:c r="R56" s="292"/>
      <x:c r="S56" s="292"/>
      <x:c r="T56" s="292"/>
      <x:c r="U56" s="292"/>
      <x:c r="V56" s="292"/>
      <x:c r="W56" s="292"/>
      <x:c r="X56" s="292"/>
      <x:c r="Y56" s="292"/>
      <x:c r="Z56" s="292"/>
    </x:row>
    <x:row r="57">
      <x:c r="A57" s="292"/>
      <x:c r="B57" s="292"/>
      <x:c r="C57" s="292"/>
      <x:c r="D57" s="292"/>
      <x:c r="E57" s="292"/>
      <x:c r="F57" s="292"/>
      <x:c r="G57" s="292"/>
      <x:c r="H57" s="292"/>
      <x:c r="I57" s="292"/>
      <x:c r="J57" s="292"/>
      <x:c r="K57" s="292"/>
      <x:c r="L57" s="292"/>
      <x:c r="M57" s="292"/>
      <x:c r="N57" s="292"/>
      <x:c r="O57" s="292"/>
      <x:c r="P57" s="292"/>
      <x:c r="Q57" s="292"/>
      <x:c r="R57" s="292"/>
      <x:c r="S57" s="292"/>
      <x:c r="T57" s="292"/>
      <x:c r="U57" s="292"/>
      <x:c r="V57" s="292"/>
      <x:c r="W57" s="292"/>
      <x:c r="X57" s="292"/>
      <x:c r="Y57" s="292"/>
      <x:c r="Z57" s="292"/>
    </x:row>
    <x:row r="58">
      <x:c r="A58" s="292"/>
      <x:c r="B58" s="292"/>
      <x:c r="C58" s="292"/>
      <x:c r="D58" s="292"/>
      <x:c r="E58" s="292"/>
      <x:c r="F58" s="292"/>
      <x:c r="G58" s="292"/>
      <x:c r="H58" s="292"/>
      <x:c r="I58" s="292"/>
      <x:c r="J58" s="292"/>
      <x:c r="K58" s="292"/>
      <x:c r="L58" s="292"/>
      <x:c r="M58" s="292"/>
      <x:c r="N58" s="292"/>
      <x:c r="O58" s="292"/>
      <x:c r="P58" s="292"/>
      <x:c r="Q58" s="292"/>
      <x:c r="R58" s="292"/>
      <x:c r="S58" s="292"/>
      <x:c r="T58" s="292"/>
      <x:c r="U58" s="292"/>
      <x:c r="V58" s="292"/>
      <x:c r="W58" s="292"/>
      <x:c r="X58" s="292"/>
      <x:c r="Y58" s="292"/>
      <x:c r="Z58" s="292"/>
    </x:row>
    <x:row r="59">
      <x:c r="A59" s="292"/>
      <x:c r="B59" s="292"/>
      <x:c r="C59" s="292"/>
      <x:c r="D59" s="292"/>
      <x:c r="E59" s="292"/>
      <x:c r="F59" s="292"/>
      <x:c r="G59" s="292"/>
      <x:c r="H59" s="292"/>
      <x:c r="I59" s="292"/>
      <x:c r="J59" s="292"/>
      <x:c r="K59" s="292"/>
      <x:c r="L59" s="292"/>
      <x:c r="M59" s="292"/>
      <x:c r="N59" s="292"/>
      <x:c r="O59" s="292"/>
      <x:c r="P59" s="292"/>
      <x:c r="Q59" s="292"/>
      <x:c r="R59" s="292"/>
      <x:c r="S59" s="292"/>
      <x:c r="T59" s="292"/>
      <x:c r="U59" s="292"/>
      <x:c r="V59" s="292"/>
      <x:c r="W59" s="292"/>
      <x:c r="X59" s="292"/>
      <x:c r="Y59" s="292"/>
      <x:c r="Z59" s="292"/>
    </x:row>
    <x:row r="60">
      <x:c r="A60" s="292"/>
      <x:c r="B60" s="292"/>
      <x:c r="C60" s="292"/>
      <x:c r="D60" s="292"/>
      <x:c r="E60" s="292"/>
      <x:c r="F60" s="292"/>
      <x:c r="G60" s="292"/>
      <x:c r="H60" s="292"/>
      <x:c r="I60" s="292"/>
      <x:c r="J60" s="292"/>
      <x:c r="K60" s="292"/>
      <x:c r="L60" s="292"/>
      <x:c r="M60" s="292"/>
      <x:c r="N60" s="292"/>
      <x:c r="O60" s="292"/>
      <x:c r="P60" s="292"/>
      <x:c r="Q60" s="292"/>
      <x:c r="R60" s="292"/>
      <x:c r="S60" s="292"/>
      <x:c r="T60" s="292"/>
      <x:c r="U60" s="292"/>
      <x:c r="V60" s="292"/>
      <x:c r="W60" s="292"/>
      <x:c r="X60" s="292"/>
      <x:c r="Y60" s="292"/>
      <x:c r="Z60" s="292"/>
    </x:row>
    <x:row r="61">
      <x:c r="A61" s="292"/>
      <x:c r="B61" s="292"/>
      <x:c r="C61" s="292"/>
      <x:c r="D61" s="292"/>
      <x:c r="E61" s="292"/>
      <x:c r="F61" s="292"/>
      <x:c r="G61" s="292"/>
      <x:c r="H61" s="292"/>
      <x:c r="I61" s="292"/>
      <x:c r="J61" s="292"/>
      <x:c r="K61" s="292"/>
      <x:c r="L61" s="292"/>
      <x:c r="M61" s="292"/>
      <x:c r="N61" s="292"/>
      <x:c r="O61" s="292"/>
      <x:c r="P61" s="292"/>
      <x:c r="Q61" s="292"/>
      <x:c r="R61" s="292"/>
      <x:c r="S61" s="292"/>
      <x:c r="T61" s="292"/>
      <x:c r="U61" s="292"/>
      <x:c r="V61" s="292"/>
      <x:c r="W61" s="292"/>
      <x:c r="X61" s="292"/>
      <x:c r="Y61" s="292"/>
      <x:c r="Z61" s="292"/>
    </x:row>
    <x:row r="62">
      <x:c r="A62" s="292"/>
      <x:c r="B62" s="292"/>
      <x:c r="C62" s="292"/>
      <x:c r="D62" s="292"/>
      <x:c r="E62" s="292"/>
      <x:c r="F62" s="292"/>
      <x:c r="G62" s="292"/>
      <x:c r="H62" s="292"/>
      <x:c r="I62" s="292"/>
      <x:c r="J62" s="292"/>
      <x:c r="K62" s="292"/>
      <x:c r="L62" s="292"/>
      <x:c r="M62" s="292"/>
      <x:c r="N62" s="292"/>
      <x:c r="O62" s="292"/>
      <x:c r="P62" s="292"/>
      <x:c r="Q62" s="292"/>
      <x:c r="R62" s="292"/>
      <x:c r="S62" s="292"/>
      <x:c r="T62" s="292"/>
      <x:c r="U62" s="292"/>
      <x:c r="V62" s="292"/>
      <x:c r="W62" s="292"/>
      <x:c r="X62" s="292"/>
      <x:c r="Y62" s="292"/>
      <x:c r="Z62" s="292"/>
    </x:row>
    <x:row r="63">
      <x:c r="A63" s="292"/>
      <x:c r="B63" s="292"/>
      <x:c r="C63" s="292"/>
      <x:c r="D63" s="292"/>
      <x:c r="E63" s="292"/>
      <x:c r="F63" s="292"/>
      <x:c r="G63" s="292"/>
      <x:c r="H63" s="292"/>
      <x:c r="I63" s="292"/>
      <x:c r="J63" s="292"/>
      <x:c r="K63" s="292"/>
      <x:c r="L63" s="292"/>
      <x:c r="M63" s="292"/>
      <x:c r="N63" s="292"/>
      <x:c r="O63" s="292"/>
      <x:c r="P63" s="292"/>
      <x:c r="Q63" s="292"/>
      <x:c r="R63" s="292"/>
      <x:c r="S63" s="292"/>
      <x:c r="T63" s="292"/>
      <x:c r="U63" s="292"/>
      <x:c r="V63" s="292"/>
      <x:c r="W63" s="292"/>
      <x:c r="X63" s="292"/>
      <x:c r="Y63" s="292"/>
      <x:c r="Z63" s="292"/>
    </x:row>
    <x:row r="64">
      <x:c r="A64" s="292"/>
      <x:c r="B64" s="292"/>
      <x:c r="C64" s="292"/>
      <x:c r="D64" s="292"/>
      <x:c r="E64" s="292"/>
      <x:c r="F64" s="292"/>
      <x:c r="G64" s="292"/>
      <x:c r="H64" s="292"/>
      <x:c r="I64" s="292"/>
      <x:c r="J64" s="292"/>
      <x:c r="K64" s="292"/>
      <x:c r="L64" s="292"/>
      <x:c r="M64" s="292"/>
      <x:c r="N64" s="292"/>
      <x:c r="O64" s="292"/>
      <x:c r="P64" s="292"/>
      <x:c r="Q64" s="292"/>
      <x:c r="R64" s="292"/>
      <x:c r="S64" s="292"/>
      <x:c r="T64" s="292"/>
      <x:c r="U64" s="292"/>
      <x:c r="V64" s="292"/>
      <x:c r="W64" s="292"/>
      <x:c r="X64" s="292"/>
      <x:c r="Y64" s="292"/>
      <x:c r="Z64" s="292"/>
    </x:row>
    <x:row r="65">
      <x:c r="A65" s="292"/>
      <x:c r="B65" s="292"/>
      <x:c r="C65" s="292"/>
      <x:c r="D65" s="292"/>
      <x:c r="E65" s="292"/>
      <x:c r="F65" s="292"/>
      <x:c r="G65" s="292"/>
      <x:c r="H65" s="292"/>
      <x:c r="I65" s="292"/>
      <x:c r="J65" s="292"/>
      <x:c r="K65" s="292"/>
      <x:c r="L65" s="292"/>
      <x:c r="M65" s="292"/>
      <x:c r="N65" s="292"/>
      <x:c r="O65" s="292"/>
      <x:c r="P65" s="292"/>
      <x:c r="Q65" s="292"/>
      <x:c r="R65" s="292"/>
      <x:c r="S65" s="292"/>
      <x:c r="T65" s="292"/>
      <x:c r="U65" s="292"/>
      <x:c r="V65" s="292"/>
      <x:c r="W65" s="292"/>
      <x:c r="X65" s="292"/>
      <x:c r="Y65" s="292"/>
      <x:c r="Z65" s="292"/>
    </x:row>
    <x:row r="66">
      <x:c r="A66" s="292"/>
      <x:c r="B66" s="292"/>
      <x:c r="C66" s="292"/>
      <x:c r="D66" s="292"/>
      <x:c r="E66" s="292"/>
      <x:c r="F66" s="292"/>
      <x:c r="G66" s="292"/>
      <x:c r="H66" s="292"/>
      <x:c r="I66" s="292"/>
      <x:c r="J66" s="292"/>
      <x:c r="K66" s="292"/>
      <x:c r="L66" s="292"/>
      <x:c r="M66" s="292"/>
      <x:c r="N66" s="292"/>
      <x:c r="O66" s="292"/>
      <x:c r="P66" s="292"/>
      <x:c r="Q66" s="292"/>
      <x:c r="R66" s="292"/>
      <x:c r="S66" s="292"/>
      <x:c r="T66" s="292"/>
      <x:c r="U66" s="292"/>
      <x:c r="V66" s="292"/>
      <x:c r="W66" s="292"/>
      <x:c r="X66" s="292"/>
      <x:c r="Y66" s="292"/>
      <x:c r="Z66" s="292"/>
    </x:row>
    <x:row r="67">
      <x:c r="A67" s="292"/>
      <x:c r="B67" s="292"/>
      <x:c r="C67" s="292"/>
      <x:c r="D67" s="292"/>
      <x:c r="E67" s="292"/>
      <x:c r="F67" s="292"/>
      <x:c r="G67" s="292"/>
      <x:c r="H67" s="292"/>
      <x:c r="I67" s="292"/>
      <x:c r="J67" s="292"/>
      <x:c r="K67" s="292"/>
      <x:c r="L67" s="292"/>
      <x:c r="M67" s="292"/>
      <x:c r="N67" s="292"/>
      <x:c r="O67" s="292"/>
      <x:c r="P67" s="292"/>
      <x:c r="Q67" s="292"/>
      <x:c r="R67" s="292"/>
      <x:c r="S67" s="292"/>
      <x:c r="T67" s="292"/>
      <x:c r="U67" s="292"/>
      <x:c r="V67" s="292"/>
      <x:c r="W67" s="292"/>
      <x:c r="X67" s="292"/>
      <x:c r="Y67" s="292"/>
      <x:c r="Z67" s="292"/>
    </x:row>
    <x:row r="68">
      <x:c r="A68" s="292"/>
      <x:c r="B68" s="292"/>
      <x:c r="C68" s="292"/>
      <x:c r="D68" s="292"/>
      <x:c r="E68" s="292"/>
      <x:c r="F68" s="292"/>
      <x:c r="G68" s="292"/>
      <x:c r="H68" s="292"/>
      <x:c r="I68" s="292"/>
      <x:c r="J68" s="292"/>
      <x:c r="K68" s="292"/>
      <x:c r="L68" s="292"/>
      <x:c r="M68" s="292"/>
      <x:c r="N68" s="292"/>
      <x:c r="O68" s="292"/>
      <x:c r="P68" s="292"/>
      <x:c r="Q68" s="292"/>
      <x:c r="R68" s="292"/>
      <x:c r="S68" s="292"/>
      <x:c r="T68" s="292"/>
      <x:c r="U68" s="292"/>
      <x:c r="V68" s="292"/>
      <x:c r="W68" s="292"/>
      <x:c r="X68" s="292"/>
      <x:c r="Y68" s="292"/>
      <x:c r="Z68" s="292"/>
    </x:row>
    <x:row r="69">
      <x:c r="A69" s="292"/>
      <x:c r="B69" s="292"/>
      <x:c r="C69" s="292"/>
      <x:c r="D69" s="292"/>
      <x:c r="E69" s="292"/>
      <x:c r="F69" s="292"/>
      <x:c r="G69" s="292"/>
      <x:c r="H69" s="292"/>
      <x:c r="I69" s="292"/>
      <x:c r="J69" s="292"/>
      <x:c r="K69" s="292"/>
      <x:c r="L69" s="292"/>
      <x:c r="M69" s="292"/>
      <x:c r="N69" s="292"/>
      <x:c r="O69" s="292"/>
      <x:c r="P69" s="292"/>
      <x:c r="Q69" s="292"/>
      <x:c r="R69" s="292"/>
      <x:c r="S69" s="292"/>
      <x:c r="T69" s="292"/>
      <x:c r="U69" s="292"/>
      <x:c r="V69" s="292"/>
      <x:c r="W69" s="292"/>
      <x:c r="X69" s="292"/>
      <x:c r="Y69" s="292"/>
      <x:c r="Z69" s="292"/>
    </x:row>
    <x:row r="70">
      <x:c r="A70" s="292"/>
      <x:c r="B70" s="292"/>
      <x:c r="C70" s="292"/>
      <x:c r="D70" s="292"/>
      <x:c r="E70" s="292"/>
      <x:c r="F70" s="292"/>
      <x:c r="G70" s="292"/>
      <x:c r="H70" s="292"/>
      <x:c r="I70" s="292"/>
      <x:c r="J70" s="292"/>
      <x:c r="K70" s="292"/>
      <x:c r="L70" s="292"/>
      <x:c r="M70" s="292"/>
      <x:c r="N70" s="292"/>
      <x:c r="O70" s="292"/>
      <x:c r="P70" s="292"/>
      <x:c r="Q70" s="292"/>
      <x:c r="R70" s="292"/>
      <x:c r="S70" s="292"/>
      <x:c r="T70" s="292"/>
      <x:c r="U70" s="292"/>
      <x:c r="V70" s="292"/>
      <x:c r="W70" s="292"/>
      <x:c r="X70" s="292"/>
      <x:c r="Y70" s="292"/>
      <x:c r="Z70" s="292"/>
    </x:row>
    <x:row r="71">
      <x:c r="A71" s="292"/>
      <x:c r="B71" s="292"/>
      <x:c r="C71" s="292"/>
      <x:c r="D71" s="292"/>
      <x:c r="E71" s="292"/>
      <x:c r="F71" s="292"/>
      <x:c r="G71" s="292"/>
      <x:c r="H71" s="292"/>
      <x:c r="I71" s="292"/>
      <x:c r="J71" s="292"/>
      <x:c r="K71" s="292"/>
      <x:c r="L71" s="292"/>
      <x:c r="M71" s="292"/>
      <x:c r="N71" s="292"/>
      <x:c r="O71" s="292"/>
      <x:c r="P71" s="292"/>
      <x:c r="Q71" s="292"/>
      <x:c r="R71" s="292"/>
      <x:c r="S71" s="292"/>
      <x:c r="T71" s="292"/>
      <x:c r="U71" s="292"/>
      <x:c r="V71" s="292"/>
      <x:c r="W71" s="292"/>
      <x:c r="X71" s="292"/>
      <x:c r="Y71" s="292"/>
      <x:c r="Z71" s="292"/>
    </x:row>
    <x:row r="72">
      <x:c r="A72" s="292"/>
      <x:c r="B72" s="292"/>
      <x:c r="C72" s="292"/>
      <x:c r="D72" s="292"/>
      <x:c r="E72" s="292"/>
      <x:c r="F72" s="292"/>
      <x:c r="G72" s="292"/>
      <x:c r="H72" s="292"/>
      <x:c r="I72" s="292"/>
      <x:c r="J72" s="292"/>
      <x:c r="K72" s="292"/>
      <x:c r="L72" s="292"/>
      <x:c r="M72" s="292"/>
      <x:c r="N72" s="292"/>
      <x:c r="O72" s="292"/>
      <x:c r="P72" s="292"/>
      <x:c r="Q72" s="292"/>
      <x:c r="R72" s="292"/>
      <x:c r="S72" s="292"/>
      <x:c r="T72" s="292"/>
      <x:c r="U72" s="292"/>
      <x:c r="V72" s="292"/>
      <x:c r="W72" s="292"/>
      <x:c r="X72" s="292"/>
      <x:c r="Y72" s="292"/>
      <x:c r="Z72" s="292"/>
    </x:row>
    <x:row r="73">
      <x:c r="A73" s="292"/>
      <x:c r="B73" s="292"/>
      <x:c r="C73" s="292"/>
      <x:c r="D73" s="292"/>
      <x:c r="E73" s="292"/>
      <x:c r="F73" s="292"/>
      <x:c r="G73" s="292"/>
      <x:c r="H73" s="292"/>
      <x:c r="I73" s="292"/>
      <x:c r="J73" s="292"/>
      <x:c r="K73" s="292"/>
      <x:c r="L73" s="292"/>
      <x:c r="M73" s="292"/>
      <x:c r="N73" s="292"/>
      <x:c r="O73" s="292"/>
      <x:c r="P73" s="292"/>
      <x:c r="Q73" s="292"/>
      <x:c r="R73" s="292"/>
      <x:c r="S73" s="292"/>
      <x:c r="T73" s="292"/>
      <x:c r="U73" s="292"/>
      <x:c r="V73" s="292"/>
      <x:c r="W73" s="292"/>
      <x:c r="X73" s="292"/>
      <x:c r="Y73" s="292"/>
      <x:c r="Z73" s="292"/>
    </x:row>
    <x:row r="74">
      <x:c r="A74" s="292"/>
      <x:c r="B74" s="292"/>
      <x:c r="C74" s="292"/>
      <x:c r="D74" s="292"/>
      <x:c r="E74" s="292"/>
      <x:c r="F74" s="292"/>
      <x:c r="G74" s="292"/>
      <x:c r="H74" s="292"/>
      <x:c r="I74" s="292"/>
      <x:c r="J74" s="292"/>
      <x:c r="K74" s="292"/>
      <x:c r="L74" s="292"/>
      <x:c r="M74" s="292"/>
      <x:c r="N74" s="292"/>
      <x:c r="O74" s="292"/>
      <x:c r="P74" s="292"/>
      <x:c r="Q74" s="292"/>
      <x:c r="R74" s="292"/>
      <x:c r="S74" s="292"/>
      <x:c r="T74" s="292"/>
      <x:c r="U74" s="292"/>
      <x:c r="V74" s="292"/>
      <x:c r="W74" s="292"/>
      <x:c r="X74" s="292"/>
      <x:c r="Y74" s="292"/>
      <x:c r="Z74" s="292"/>
    </x:row>
    <x:row r="75">
      <x:c r="A75" s="292"/>
      <x:c r="B75" s="292"/>
      <x:c r="C75" s="292"/>
      <x:c r="D75" s="292"/>
      <x:c r="E75" s="292"/>
      <x:c r="F75" s="292"/>
      <x:c r="G75" s="292"/>
      <x:c r="H75" s="292"/>
      <x:c r="I75" s="292"/>
      <x:c r="J75" s="292"/>
      <x:c r="K75" s="292"/>
      <x:c r="L75" s="292"/>
      <x:c r="M75" s="292"/>
      <x:c r="N75" s="292"/>
      <x:c r="O75" s="292"/>
      <x:c r="P75" s="292"/>
      <x:c r="Q75" s="292"/>
      <x:c r="R75" s="292"/>
      <x:c r="S75" s="292"/>
      <x:c r="T75" s="292"/>
      <x:c r="U75" s="292"/>
      <x:c r="V75" s="292"/>
      <x:c r="W75" s="292"/>
      <x:c r="X75" s="292"/>
      <x:c r="Y75" s="292"/>
      <x:c r="Z75" s="292"/>
    </x:row>
    <x:row r="76">
      <x:c r="A76" s="292"/>
      <x:c r="B76" s="292"/>
      <x:c r="C76" s="292"/>
      <x:c r="D76" s="292"/>
      <x:c r="E76" s="292"/>
      <x:c r="F76" s="292"/>
      <x:c r="G76" s="292"/>
      <x:c r="H76" s="292"/>
      <x:c r="I76" s="292"/>
      <x:c r="J76" s="292"/>
      <x:c r="K76" s="292"/>
      <x:c r="L76" s="292"/>
      <x:c r="M76" s="292"/>
      <x:c r="N76" s="292"/>
      <x:c r="O76" s="292"/>
      <x:c r="P76" s="292"/>
      <x:c r="Q76" s="292"/>
      <x:c r="R76" s="292"/>
      <x:c r="S76" s="292"/>
      <x:c r="T76" s="292"/>
      <x:c r="U76" s="292"/>
      <x:c r="V76" s="292"/>
      <x:c r="W76" s="292"/>
      <x:c r="X76" s="292"/>
      <x:c r="Y76" s="292"/>
      <x:c r="Z76" s="292"/>
    </x:row>
    <x:row r="77">
      <x:c r="A77" s="292"/>
      <x:c r="B77" s="292"/>
      <x:c r="C77" s="292"/>
      <x:c r="D77" s="292"/>
      <x:c r="E77" s="292"/>
      <x:c r="F77" s="292"/>
      <x:c r="G77" s="292"/>
      <x:c r="H77" s="292"/>
      <x:c r="I77" s="292"/>
      <x:c r="J77" s="292"/>
      <x:c r="K77" s="292"/>
      <x:c r="L77" s="292"/>
      <x:c r="M77" s="292"/>
      <x:c r="N77" s="292"/>
      <x:c r="O77" s="292"/>
      <x:c r="P77" s="292"/>
      <x:c r="Q77" s="292"/>
      <x:c r="R77" s="292"/>
      <x:c r="S77" s="292"/>
      <x:c r="T77" s="292"/>
      <x:c r="U77" s="292"/>
      <x:c r="V77" s="292"/>
      <x:c r="W77" s="292"/>
      <x:c r="X77" s="292"/>
      <x:c r="Y77" s="292"/>
      <x:c r="Z77" s="292"/>
    </x:row>
    <x:row r="78">
      <x:c r="A78" s="292"/>
      <x:c r="B78" s="292"/>
      <x:c r="C78" s="292"/>
      <x:c r="D78" s="292"/>
      <x:c r="E78" s="292"/>
      <x:c r="F78" s="292"/>
      <x:c r="G78" s="292"/>
      <x:c r="H78" s="292"/>
      <x:c r="I78" s="292"/>
      <x:c r="J78" s="292"/>
      <x:c r="K78" s="292"/>
      <x:c r="L78" s="292"/>
      <x:c r="M78" s="292"/>
      <x:c r="N78" s="292"/>
      <x:c r="O78" s="292"/>
      <x:c r="P78" s="292"/>
      <x:c r="Q78" s="292"/>
      <x:c r="R78" s="292"/>
      <x:c r="S78" s="292"/>
      <x:c r="T78" s="292"/>
      <x:c r="U78" s="292"/>
      <x:c r="V78" s="292"/>
      <x:c r="W78" s="292"/>
      <x:c r="X78" s="292"/>
      <x:c r="Y78" s="292"/>
      <x:c r="Z78" s="292"/>
    </x:row>
    <x:row r="79">
      <x:c r="A79" s="292"/>
      <x:c r="B79" s="292"/>
      <x:c r="C79" s="292"/>
      <x:c r="D79" s="292"/>
      <x:c r="E79" s="292"/>
      <x:c r="F79" s="292"/>
      <x:c r="G79" s="292"/>
      <x:c r="H79" s="292"/>
      <x:c r="I79" s="292"/>
      <x:c r="J79" s="292"/>
      <x:c r="K79" s="292"/>
      <x:c r="L79" s="292"/>
      <x:c r="M79" s="292"/>
      <x:c r="N79" s="292"/>
      <x:c r="O79" s="292"/>
      <x:c r="P79" s="292"/>
      <x:c r="Q79" s="292"/>
      <x:c r="R79" s="292"/>
      <x:c r="S79" s="292"/>
      <x:c r="T79" s="292"/>
      <x:c r="U79" s="292"/>
      <x:c r="V79" s="292"/>
      <x:c r="W79" s="292"/>
      <x:c r="X79" s="292"/>
      <x:c r="Y79" s="292"/>
      <x:c r="Z79" s="292"/>
    </x:row>
    <x:row r="80">
      <x:c r="A80" s="292"/>
      <x:c r="B80" s="292"/>
      <x:c r="C80" s="292"/>
      <x:c r="D80" s="292"/>
      <x:c r="E80" s="292"/>
      <x:c r="F80" s="292"/>
      <x:c r="G80" s="292"/>
      <x:c r="H80" s="292"/>
      <x:c r="I80" s="292"/>
      <x:c r="J80" s="292"/>
      <x:c r="K80" s="292"/>
      <x:c r="L80" s="292"/>
      <x:c r="M80" s="292"/>
      <x:c r="N80" s="292"/>
      <x:c r="O80" s="292"/>
      <x:c r="P80" s="292"/>
      <x:c r="Q80" s="292"/>
      <x:c r="R80" s="292"/>
      <x:c r="S80" s="292"/>
      <x:c r="T80" s="292"/>
      <x:c r="U80" s="292"/>
      <x:c r="V80" s="292"/>
      <x:c r="W80" s="292"/>
      <x:c r="X80" s="292"/>
      <x:c r="Y80" s="292"/>
      <x:c r="Z80" s="292"/>
    </x:row>
    <x:row r="81">
      <x:c r="A81" s="292"/>
      <x:c r="B81" s="292"/>
      <x:c r="C81" s="292"/>
      <x:c r="D81" s="292"/>
      <x:c r="E81" s="292"/>
      <x:c r="F81" s="292"/>
      <x:c r="G81" s="292"/>
      <x:c r="H81" s="292"/>
      <x:c r="I81" s="292"/>
      <x:c r="J81" s="292"/>
      <x:c r="K81" s="292"/>
      <x:c r="L81" s="292"/>
      <x:c r="M81" s="292"/>
      <x:c r="N81" s="292"/>
      <x:c r="O81" s="292"/>
      <x:c r="P81" s="292"/>
      <x:c r="Q81" s="292"/>
      <x:c r="R81" s="292"/>
      <x:c r="S81" s="292"/>
      <x:c r="T81" s="292"/>
      <x:c r="U81" s="292"/>
      <x:c r="V81" s="292"/>
      <x:c r="W81" s="292"/>
      <x:c r="X81" s="292"/>
      <x:c r="Y81" s="292"/>
      <x:c r="Z81" s="292"/>
    </x:row>
    <x:row r="82">
      <x:c r="A82" s="292"/>
      <x:c r="B82" s="292"/>
      <x:c r="C82" s="292"/>
      <x:c r="D82" s="292"/>
      <x:c r="E82" s="292"/>
      <x:c r="F82" s="292"/>
      <x:c r="G82" s="292"/>
      <x:c r="H82" s="292"/>
      <x:c r="I82" s="292"/>
      <x:c r="J82" s="292"/>
      <x:c r="K82" s="292"/>
      <x:c r="L82" s="292"/>
      <x:c r="M82" s="292"/>
      <x:c r="N82" s="292"/>
      <x:c r="O82" s="292"/>
      <x:c r="P82" s="292"/>
      <x:c r="Q82" s="292"/>
      <x:c r="R82" s="292"/>
      <x:c r="S82" s="292"/>
      <x:c r="T82" s="292"/>
      <x:c r="U82" s="292"/>
      <x:c r="V82" s="292"/>
      <x:c r="W82" s="292"/>
      <x:c r="X82" s="292"/>
      <x:c r="Y82" s="292"/>
      <x:c r="Z82" s="292"/>
    </x:row>
    <x:row r="83">
      <x:c r="A83" s="292"/>
      <x:c r="B83" s="292"/>
      <x:c r="C83" s="292"/>
      <x:c r="D83" s="292"/>
      <x:c r="E83" s="292"/>
      <x:c r="F83" s="292"/>
      <x:c r="G83" s="292"/>
      <x:c r="H83" s="292"/>
      <x:c r="I83" s="292"/>
      <x:c r="J83" s="292"/>
      <x:c r="K83" s="292"/>
      <x:c r="L83" s="292"/>
      <x:c r="M83" s="292"/>
      <x:c r="N83" s="292"/>
      <x:c r="O83" s="292"/>
      <x:c r="P83" s="292"/>
      <x:c r="Q83" s="292"/>
      <x:c r="R83" s="292"/>
      <x:c r="S83" s="292"/>
      <x:c r="T83" s="292"/>
      <x:c r="U83" s="292"/>
      <x:c r="V83" s="292"/>
      <x:c r="W83" s="292"/>
      <x:c r="X83" s="292"/>
      <x:c r="Y83" s="292"/>
      <x:c r="Z83" s="292"/>
    </x:row>
    <x:row r="84">
      <x:c r="A84" s="292"/>
      <x:c r="B84" s="292"/>
      <x:c r="C84" s="292"/>
      <x:c r="D84" s="292"/>
      <x:c r="E84" s="292"/>
      <x:c r="F84" s="292"/>
      <x:c r="G84" s="292"/>
      <x:c r="H84" s="292"/>
      <x:c r="I84" s="292"/>
      <x:c r="J84" s="292"/>
      <x:c r="K84" s="292"/>
      <x:c r="L84" s="292"/>
      <x:c r="M84" s="292"/>
      <x:c r="N84" s="292"/>
      <x:c r="O84" s="292"/>
      <x:c r="P84" s="292"/>
      <x:c r="Q84" s="292"/>
      <x:c r="R84" s="292"/>
      <x:c r="S84" s="292"/>
      <x:c r="T84" s="292"/>
      <x:c r="U84" s="292"/>
      <x:c r="V84" s="292"/>
      <x:c r="W84" s="292"/>
      <x:c r="X84" s="292"/>
      <x:c r="Y84" s="292"/>
      <x:c r="Z84" s="292"/>
    </x:row>
    <x:row r="85">
      <x:c r="A85" s="292"/>
      <x:c r="B85" s="292"/>
      <x:c r="C85" s="292"/>
      <x:c r="D85" s="292"/>
      <x:c r="E85" s="292"/>
      <x:c r="F85" s="292"/>
      <x:c r="G85" s="292"/>
      <x:c r="H85" s="292"/>
      <x:c r="I85" s="292"/>
      <x:c r="J85" s="292"/>
      <x:c r="K85" s="292"/>
      <x:c r="L85" s="292"/>
      <x:c r="M85" s="292"/>
      <x:c r="N85" s="292"/>
      <x:c r="O85" s="292"/>
      <x:c r="P85" s="292"/>
      <x:c r="Q85" s="292"/>
      <x:c r="R85" s="292"/>
      <x:c r="S85" s="292"/>
      <x:c r="T85" s="292"/>
      <x:c r="U85" s="292"/>
      <x:c r="V85" s="292"/>
      <x:c r="W85" s="292"/>
      <x:c r="X85" s="292"/>
      <x:c r="Y85" s="292"/>
      <x:c r="Z85" s="292"/>
    </x:row>
    <x:row r="86">
      <x:c r="A86" s="292"/>
      <x:c r="B86" s="292"/>
      <x:c r="C86" s="292"/>
      <x:c r="D86" s="292"/>
      <x:c r="E86" s="292"/>
      <x:c r="F86" s="292"/>
      <x:c r="G86" s="292"/>
      <x:c r="H86" s="292"/>
      <x:c r="I86" s="292"/>
      <x:c r="J86" s="292"/>
      <x:c r="K86" s="292"/>
      <x:c r="L86" s="292"/>
      <x:c r="M86" s="292"/>
      <x:c r="N86" s="292"/>
      <x:c r="O86" s="292"/>
      <x:c r="P86" s="292"/>
      <x:c r="Q86" s="292"/>
      <x:c r="R86" s="292"/>
      <x:c r="S86" s="292"/>
      <x:c r="T86" s="292"/>
      <x:c r="U86" s="292"/>
      <x:c r="V86" s="292"/>
      <x:c r="W86" s="292"/>
      <x:c r="X86" s="292"/>
      <x:c r="Y86" s="292"/>
      <x:c r="Z86" s="292"/>
    </x:row>
    <x:row r="87">
      <x:c r="A87" s="292"/>
      <x:c r="B87" s="292"/>
      <x:c r="C87" s="292"/>
      <x:c r="D87" s="292"/>
      <x:c r="E87" s="292"/>
      <x:c r="F87" s="292"/>
      <x:c r="G87" s="292"/>
      <x:c r="H87" s="292"/>
      <x:c r="I87" s="292"/>
      <x:c r="J87" s="292"/>
      <x:c r="K87" s="292"/>
      <x:c r="L87" s="292"/>
      <x:c r="M87" s="292"/>
      <x:c r="N87" s="292"/>
      <x:c r="O87" s="292"/>
      <x:c r="P87" s="292"/>
      <x:c r="Q87" s="292"/>
      <x:c r="R87" s="292"/>
      <x:c r="S87" s="292"/>
      <x:c r="T87" s="292"/>
      <x:c r="U87" s="292"/>
      <x:c r="V87" s="292"/>
      <x:c r="W87" s="292"/>
      <x:c r="X87" s="292"/>
      <x:c r="Y87" s="292"/>
      <x:c r="Z87" s="292"/>
    </x:row>
    <x:row r="88">
      <x:c r="A88" s="292"/>
      <x:c r="B88" s="292"/>
      <x:c r="C88" s="292"/>
      <x:c r="D88" s="292"/>
      <x:c r="E88" s="292"/>
      <x:c r="F88" s="292"/>
      <x:c r="G88" s="292"/>
      <x:c r="H88" s="292"/>
      <x:c r="I88" s="292"/>
      <x:c r="J88" s="292"/>
      <x:c r="K88" s="292"/>
      <x:c r="L88" s="292"/>
      <x:c r="M88" s="292"/>
      <x:c r="N88" s="292"/>
      <x:c r="O88" s="292"/>
      <x:c r="P88" s="292"/>
      <x:c r="Q88" s="292"/>
      <x:c r="R88" s="292"/>
      <x:c r="S88" s="292"/>
      <x:c r="T88" s="292"/>
      <x:c r="U88" s="292"/>
      <x:c r="V88" s="292"/>
      <x:c r="W88" s="292"/>
      <x:c r="X88" s="292"/>
      <x:c r="Y88" s="292"/>
      <x:c r="Z88" s="292"/>
    </x:row>
    <x:row r="89">
      <x:c r="A89" s="292"/>
      <x:c r="B89" s="292"/>
      <x:c r="C89" s="292"/>
      <x:c r="D89" s="292"/>
      <x:c r="E89" s="292"/>
      <x:c r="F89" s="292"/>
      <x:c r="G89" s="292"/>
      <x:c r="H89" s="292"/>
      <x:c r="I89" s="292"/>
      <x:c r="J89" s="292"/>
      <x:c r="K89" s="292"/>
      <x:c r="L89" s="292"/>
      <x:c r="M89" s="292"/>
      <x:c r="N89" s="292"/>
      <x:c r="O89" s="292"/>
      <x:c r="P89" s="292"/>
      <x:c r="Q89" s="292"/>
      <x:c r="R89" s="292"/>
      <x:c r="S89" s="292"/>
      <x:c r="T89" s="292"/>
      <x:c r="U89" s="292"/>
      <x:c r="V89" s="292"/>
      <x:c r="W89" s="292"/>
      <x:c r="X89" s="292"/>
      <x:c r="Y89" s="292"/>
      <x:c r="Z89" s="292"/>
    </x:row>
    <x:row r="90">
      <x:c r="A90" s="292"/>
      <x:c r="B90" s="292"/>
      <x:c r="C90" s="292"/>
      <x:c r="D90" s="292"/>
      <x:c r="E90" s="292"/>
      <x:c r="F90" s="292"/>
      <x:c r="G90" s="292"/>
      <x:c r="H90" s="292"/>
      <x:c r="I90" s="292"/>
      <x:c r="J90" s="292"/>
      <x:c r="K90" s="292"/>
      <x:c r="L90" s="292"/>
      <x:c r="M90" s="292"/>
      <x:c r="N90" s="292"/>
      <x:c r="O90" s="292"/>
      <x:c r="P90" s="292"/>
      <x:c r="Q90" s="292"/>
      <x:c r="R90" s="292"/>
      <x:c r="S90" s="292"/>
      <x:c r="T90" s="292"/>
      <x:c r="U90" s="292"/>
      <x:c r="V90" s="292"/>
      <x:c r="W90" s="292"/>
      <x:c r="X90" s="292"/>
      <x:c r="Y90" s="292"/>
      <x:c r="Z90" s="292"/>
    </x:row>
    <x:row r="91">
      <x:c r="A91" s="292"/>
      <x:c r="B91" s="292"/>
      <x:c r="C91" s="292"/>
      <x:c r="D91" s="292"/>
      <x:c r="E91" s="292"/>
      <x:c r="F91" s="292"/>
      <x:c r="G91" s="292"/>
      <x:c r="H91" s="292"/>
      <x:c r="I91" s="292"/>
      <x:c r="J91" s="292"/>
      <x:c r="K91" s="292"/>
      <x:c r="L91" s="292"/>
      <x:c r="M91" s="292"/>
      <x:c r="N91" s="292"/>
      <x:c r="O91" s="292"/>
      <x:c r="P91" s="292"/>
      <x:c r="Q91" s="292"/>
      <x:c r="R91" s="292"/>
      <x:c r="S91" s="292"/>
      <x:c r="T91" s="292"/>
      <x:c r="U91" s="292"/>
      <x:c r="V91" s="292"/>
      <x:c r="W91" s="292"/>
      <x:c r="X91" s="292"/>
      <x:c r="Y91" s="292"/>
      <x:c r="Z91" s="292"/>
    </x:row>
    <x:row r="92">
      <x:c r="A92" s="292"/>
      <x:c r="B92" s="292"/>
      <x:c r="C92" s="292"/>
      <x:c r="D92" s="292"/>
      <x:c r="E92" s="292"/>
      <x:c r="F92" s="292"/>
      <x:c r="G92" s="292"/>
      <x:c r="H92" s="292"/>
      <x:c r="I92" s="292"/>
      <x:c r="J92" s="292"/>
      <x:c r="K92" s="292"/>
      <x:c r="L92" s="292"/>
      <x:c r="M92" s="292"/>
      <x:c r="N92" s="292"/>
      <x:c r="O92" s="292"/>
      <x:c r="P92" s="292"/>
      <x:c r="Q92" s="292"/>
      <x:c r="R92" s="292"/>
      <x:c r="S92" s="292"/>
      <x:c r="T92" s="292"/>
      <x:c r="U92" s="292"/>
      <x:c r="V92" s="292"/>
      <x:c r="W92" s="292"/>
      <x:c r="X92" s="292"/>
      <x:c r="Y92" s="292"/>
      <x:c r="Z92" s="292"/>
    </x:row>
    <x:row r="93">
      <x:c r="A93" s="292"/>
      <x:c r="B93" s="292"/>
      <x:c r="C93" s="292"/>
      <x:c r="D93" s="292"/>
      <x:c r="E93" s="292"/>
      <x:c r="F93" s="292"/>
      <x:c r="G93" s="292"/>
      <x:c r="H93" s="292"/>
      <x:c r="I93" s="292"/>
      <x:c r="J93" s="292"/>
      <x:c r="K93" s="292"/>
      <x:c r="L93" s="292"/>
      <x:c r="M93" s="292"/>
      <x:c r="N93" s="292"/>
      <x:c r="O93" s="292"/>
      <x:c r="P93" s="292"/>
      <x:c r="Q93" s="292"/>
      <x:c r="R93" s="292"/>
      <x:c r="S93" s="292"/>
      <x:c r="T93" s="292"/>
      <x:c r="U93" s="292"/>
      <x:c r="V93" s="292"/>
      <x:c r="W93" s="292"/>
      <x:c r="X93" s="292"/>
      <x:c r="Y93" s="292"/>
      <x:c r="Z93" s="292"/>
    </x:row>
    <x:row r="94">
      <x:c r="A94" s="292"/>
      <x:c r="B94" s="292"/>
      <x:c r="C94" s="292"/>
      <x:c r="D94" s="292"/>
      <x:c r="E94" s="292"/>
      <x:c r="F94" s="292"/>
      <x:c r="G94" s="292"/>
      <x:c r="H94" s="292"/>
      <x:c r="I94" s="292"/>
      <x:c r="J94" s="292"/>
      <x:c r="K94" s="292"/>
      <x:c r="L94" s="292"/>
      <x:c r="M94" s="292"/>
      <x:c r="N94" s="292"/>
      <x:c r="O94" s="292"/>
      <x:c r="P94" s="292"/>
      <x:c r="Q94" s="292"/>
      <x:c r="R94" s="292"/>
      <x:c r="S94" s="292"/>
      <x:c r="T94" s="292"/>
      <x:c r="U94" s="292"/>
      <x:c r="V94" s="292"/>
      <x:c r="W94" s="292"/>
      <x:c r="X94" s="292"/>
      <x:c r="Y94" s="292"/>
      <x:c r="Z94" s="292"/>
    </x:row>
    <x:row r="95">
      <x:c r="A95" s="292"/>
      <x:c r="B95" s="292"/>
      <x:c r="C95" s="292"/>
      <x:c r="D95" s="292"/>
      <x:c r="E95" s="292"/>
      <x:c r="F95" s="292"/>
      <x:c r="G95" s="292"/>
      <x:c r="H95" s="292"/>
      <x:c r="I95" s="292"/>
      <x:c r="J95" s="292"/>
      <x:c r="K95" s="292"/>
      <x:c r="L95" s="292"/>
      <x:c r="M95" s="292"/>
      <x:c r="N95" s="292"/>
      <x:c r="O95" s="292"/>
      <x:c r="P95" s="292"/>
      <x:c r="Q95" s="292"/>
      <x:c r="R95" s="292"/>
      <x:c r="S95" s="292"/>
      <x:c r="T95" s="292"/>
      <x:c r="U95" s="292"/>
      <x:c r="V95" s="292"/>
      <x:c r="W95" s="292"/>
      <x:c r="X95" s="292"/>
      <x:c r="Y95" s="292"/>
      <x:c r="Z95" s="292"/>
    </x:row>
    <x:row r="96">
      <x:c r="A96" s="292"/>
      <x:c r="B96" s="292"/>
      <x:c r="C96" s="292"/>
      <x:c r="D96" s="292"/>
      <x:c r="E96" s="292"/>
      <x:c r="F96" s="292"/>
      <x:c r="G96" s="292"/>
      <x:c r="H96" s="292"/>
      <x:c r="I96" s="292"/>
      <x:c r="J96" s="292"/>
      <x:c r="K96" s="292"/>
      <x:c r="L96" s="292"/>
      <x:c r="M96" s="292"/>
      <x:c r="N96" s="292"/>
      <x:c r="O96" s="292"/>
      <x:c r="P96" s="292"/>
      <x:c r="Q96" s="292"/>
      <x:c r="R96" s="292"/>
      <x:c r="S96" s="292"/>
      <x:c r="T96" s="292"/>
      <x:c r="U96" s="292"/>
      <x:c r="V96" s="292"/>
      <x:c r="W96" s="292"/>
      <x:c r="X96" s="292"/>
      <x:c r="Y96" s="292"/>
      <x:c r="Z96" s="292"/>
    </x:row>
    <x:row r="97">
      <x:c r="A97" s="292"/>
      <x:c r="B97" s="292"/>
      <x:c r="C97" s="292"/>
      <x:c r="D97" s="292"/>
      <x:c r="E97" s="292"/>
      <x:c r="F97" s="292"/>
      <x:c r="G97" s="292"/>
      <x:c r="H97" s="292"/>
      <x:c r="I97" s="292"/>
      <x:c r="J97" s="292"/>
      <x:c r="K97" s="292"/>
      <x:c r="L97" s="292"/>
      <x:c r="M97" s="292"/>
      <x:c r="N97" s="292"/>
      <x:c r="O97" s="292"/>
      <x:c r="P97" s="292"/>
      <x:c r="Q97" s="292"/>
      <x:c r="R97" s="292"/>
      <x:c r="S97" s="292"/>
      <x:c r="T97" s="292"/>
      <x:c r="U97" s="292"/>
      <x:c r="V97" s="292"/>
      <x:c r="W97" s="292"/>
      <x:c r="X97" s="292"/>
      <x:c r="Y97" s="292"/>
      <x:c r="Z97" s="292"/>
    </x:row>
    <x:row r="98">
      <x:c r="A98" s="292"/>
      <x:c r="B98" s="292"/>
      <x:c r="C98" s="292"/>
      <x:c r="D98" s="292"/>
      <x:c r="E98" s="292"/>
      <x:c r="F98" s="292"/>
      <x:c r="G98" s="292"/>
      <x:c r="H98" s="292"/>
      <x:c r="I98" s="292"/>
      <x:c r="J98" s="292"/>
      <x:c r="K98" s="292"/>
      <x:c r="L98" s="292"/>
      <x:c r="M98" s="292"/>
      <x:c r="N98" s="292"/>
      <x:c r="O98" s="292"/>
      <x:c r="P98" s="292"/>
      <x:c r="Q98" s="292"/>
      <x:c r="R98" s="292"/>
      <x:c r="S98" s="292"/>
      <x:c r="T98" s="292"/>
      <x:c r="U98" s="292"/>
      <x:c r="V98" s="292"/>
      <x:c r="W98" s="292"/>
      <x:c r="X98" s="292"/>
      <x:c r="Y98" s="292"/>
      <x:c r="Z98" s="292"/>
    </x:row>
    <x:row r="99">
      <x:c r="A99" s="292"/>
      <x:c r="B99" s="292"/>
      <x:c r="C99" s="292"/>
      <x:c r="D99" s="292"/>
      <x:c r="E99" s="292"/>
      <x:c r="F99" s="292"/>
      <x:c r="G99" s="292"/>
      <x:c r="H99" s="292"/>
      <x:c r="I99" s="292"/>
      <x:c r="J99" s="292"/>
      <x:c r="K99" s="292"/>
      <x:c r="L99" s="292"/>
      <x:c r="M99" s="292"/>
      <x:c r="N99" s="292"/>
      <x:c r="O99" s="292"/>
      <x:c r="P99" s="292"/>
      <x:c r="Q99" s="292"/>
      <x:c r="R99" s="292"/>
      <x:c r="S99" s="292"/>
      <x:c r="T99" s="292"/>
      <x:c r="U99" s="292"/>
      <x:c r="V99" s="292"/>
      <x:c r="W99" s="292"/>
      <x:c r="X99" s="292"/>
      <x:c r="Y99" s="292"/>
      <x:c r="Z99" s="292"/>
    </x:row>
    <x:row r="100">
      <x:c r="A100" s="292"/>
      <x:c r="B100" s="292"/>
      <x:c r="C100" s="292"/>
      <x:c r="D100" s="292"/>
      <x:c r="E100" s="292"/>
      <x:c r="F100" s="292"/>
      <x:c r="G100" s="292"/>
      <x:c r="H100" s="292"/>
      <x:c r="I100" s="292"/>
      <x:c r="J100" s="292"/>
      <x:c r="K100" s="292"/>
      <x:c r="L100" s="292"/>
      <x:c r="M100" s="292"/>
      <x:c r="N100" s="292"/>
      <x:c r="O100" s="292"/>
      <x:c r="P100" s="292"/>
      <x:c r="Q100" s="292"/>
      <x:c r="R100" s="292"/>
      <x:c r="S100" s="292"/>
      <x:c r="T100" s="292"/>
      <x:c r="U100" s="292"/>
      <x:c r="V100" s="292"/>
      <x:c r="W100" s="292"/>
      <x:c r="X100" s="292"/>
      <x:c r="Y100" s="292"/>
      <x:c r="Z100" s="292"/>
    </x:row>
  </x:sheetData>
  <x:mergeCells>
    <x:mergeCell ref="A1:F1"/>
    <x:mergeCell ref="A2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32" customHeight="1">
      <x:c r="A1" s="4" t="str">
        <x:v>Product Analysis</x:v>
      </x:c>
      <x:c r="B1" s="4"/>
      <x:c r="C1" s="4"/>
      <x:c r="D1" s="4"/>
      <x:c r="E1" s="4"/>
      <x:c r="F1" s="4"/>
      <x:c r="G1" s="4"/>
    </x:row>
    <x:row r="2" ht="26" customHeight="1">
      <x:c r="A2" s="8" t="str">
        <x:v>Product-level ranking; responds to Dashboard selectors</x:v>
      </x:c>
      <x:c r="B2" s="8"/>
      <x:c r="C2" s="8"/>
      <x:c r="D2" s="8"/>
      <x:c r="E2" s="8"/>
      <x:c r="F2" s="8"/>
      <x:c r="G2" s="8"/>
    </x:row>
    <x:row r="4" ht="30" customHeight="1">
      <x:c r="A4" s="69" t="str">
        <x:v>Product</x:v>
      </x:c>
      <x:c r="B4" s="70" t="str">
        <x:v>Net_Revenue</x:v>
      </x:c>
      <x:c r="C4" s="70" t="str">
        <x:v>Profit</x:v>
      </x:c>
      <x:c r="D4" s="70" t="str">
        <x:v>Units</x:v>
      </x:c>
      <x:c r="E4" s="70" t="str">
        <x:v>Transactions</x:v>
      </x:c>
      <x:c r="F4" s="70" t="str">
        <x:v>Profit_Margin</x:v>
      </x:c>
      <x:c r="G4" s="71" t="str">
        <x:v>Revenue_Rank</x:v>
      </x:c>
      <x:c r="H4" s="292"/>
      <x:c r="I4" s="292"/>
      <x:c r="J4" s="292"/>
      <x:c r="K4" s="292"/>
      <x:c r="L4" s="292"/>
      <x:c r="M4" s="292"/>
      <x:c r="N4" s="292"/>
      <x:c r="O4" s="292"/>
      <x:c r="P4" s="292"/>
      <x:c r="Q4" s="292"/>
      <x:c r="R4" s="292"/>
      <x:c r="S4" s="292"/>
      <x:c r="T4" s="292"/>
      <x:c r="U4" s="292"/>
      <x:c r="V4" s="292"/>
      <x:c r="W4" s="292"/>
      <x:c r="X4" s="292"/>
      <x:c r="Y4" s="292"/>
      <x:c r="Z4" s="292"/>
    </x:row>
    <x:row r="5">
      <x:c r="A5" s="294" t="str">
        <x:v>Wireless Earbuds</x:v>
      </x:c>
      <x:c r="B5" s="295" t="n">
        <x:f>SUMIFS('Clean Sales'!$W$5:$W$2428,'Clean Sales'!$AH$5:$AH$2428,1,'Clean Sales'!$M$5:$M$2428,A5)</x:f>
        <x:v>12999.599999999995</x:v>
      </x:c>
      <x:c r="C5" s="295" t="n">
        <x:f>SUMIFS('Clean Sales'!$Y$5:$Y$2428,'Clean Sales'!$AH$5:$AH$2428,1,'Clean Sales'!$M$5:$M$2428,A5)</x:f>
        <x:v>5695.200000000001</x:v>
      </x:c>
      <x:c r="D5" s="296" t="n">
        <x:f>SUMIFS('Clean Sales'!$R$5:$R$2428,'Clean Sales'!$AH$5:$AH$2428,1,'Clean Sales'!$M$5:$M$2428,A5)</x:f>
        <x:v>211</x:v>
      </x:c>
      <x:c r="E5" s="296" t="n">
        <x:f>COUNTIFS('Clean Sales'!$AH$5:$AH$2428,1,'Clean Sales'!$M$5:$M$2428,A5)</x:f>
        <x:v>105</x:v>
      </x:c>
      <x:c r="F5" s="297" t="n">
        <x:f>IFERROR(C5/B5,0)</x:f>
        <x:v>0.4381057878703962</x:v>
      </x:c>
      <x:c r="G5" s="294" t="n">
        <x:f>RANK(B5,$B$5:$B$40,0)+COUNTIF($B$5:B5,B5)-1</x:f>
        <x:v>9</x:v>
      </x:c>
      <x:c r="H5" s="292"/>
      <x:c r="I5" s="292"/>
      <x:c r="J5" s="292"/>
      <x:c r="K5" s="292"/>
      <x:c r="L5" s="292"/>
      <x:c r="M5" s="292"/>
      <x:c r="N5" s="292"/>
      <x:c r="O5" s="292"/>
      <x:c r="P5" s="292"/>
      <x:c r="Q5" s="292"/>
      <x:c r="R5" s="292"/>
      <x:c r="S5" s="292"/>
      <x:c r="T5" s="292"/>
      <x:c r="U5" s="292"/>
      <x:c r="V5" s="292"/>
      <x:c r="W5" s="292"/>
      <x:c r="X5" s="292"/>
      <x:c r="Y5" s="292"/>
      <x:c r="Z5" s="292"/>
    </x:row>
    <x:row r="6">
      <x:c r="A6" s="299" t="str">
        <x:v>Smartwatch</x:v>
      </x:c>
      <x:c r="B6" s="300" t="n">
        <x:f>SUMIFS('Clean Sales'!$W$5:$W$2428,'Clean Sales'!$AH$5:$AH$2428,1,'Clean Sales'!$M$5:$M$2428,A6)</x:f>
        <x:v>27363.899999999998</x:v>
      </x:c>
      <x:c r="C6" s="300" t="n">
        <x:f>SUMIFS('Clean Sales'!$Y$5:$Y$2428,'Clean Sales'!$AH$5:$AH$2428,1,'Clean Sales'!$M$5:$M$2428,A6)</x:f>
        <x:v>10104.700000000003</x:v>
      </x:c>
      <x:c r="D6" s="301" t="n">
        <x:f>SUMIFS('Clean Sales'!$R$5:$R$2428,'Clean Sales'!$AH$5:$AH$2428,1,'Clean Sales'!$M$5:$M$2428,A6)</x:f>
        <x:v>193</x:v>
      </x:c>
      <x:c r="E6" s="301" t="n">
        <x:f>COUNTIFS('Clean Sales'!$AH$5:$AH$2428,1,'Clean Sales'!$M$5:$M$2428,A6)</x:f>
        <x:v>97</x:v>
      </x:c>
      <x:c r="F6" s="302" t="n">
        <x:f>IFERROR(C6/B6,0)</x:f>
        <x:v>0.3692711930682397</x:v>
      </x:c>
      <x:c r="G6" s="299" t="n">
        <x:f>RANK(B6,$B$5:$B$40,0)+COUNTIF($B$5:B6,B6)-1</x:f>
        <x:v>3</x:v>
      </x:c>
      <x:c r="H6" s="292"/>
      <x:c r="I6" s="292"/>
      <x:c r="J6" s="292"/>
      <x:c r="K6" s="292"/>
      <x:c r="L6" s="292"/>
      <x:c r="M6" s="292"/>
      <x:c r="N6" s="292"/>
      <x:c r="O6" s="292"/>
      <x:c r="P6" s="292"/>
      <x:c r="Q6" s="292"/>
      <x:c r="R6" s="292"/>
      <x:c r="S6" s="292"/>
      <x:c r="T6" s="292"/>
      <x:c r="U6" s="292"/>
      <x:c r="V6" s="292"/>
      <x:c r="W6" s="292"/>
      <x:c r="X6" s="292"/>
      <x:c r="Y6" s="292"/>
      <x:c r="Z6" s="292"/>
    </x:row>
    <x:row r="7">
      <x:c r="A7" s="299" t="str">
        <x:v>Bluetooth Speaker</x:v>
      </x:c>
      <x:c r="B7" s="300" t="n">
        <x:f>SUMIFS('Clean Sales'!$W$5:$W$2428,'Clean Sales'!$AH$5:$AH$2428,1,'Clean Sales'!$M$5:$M$2428,A7)</x:f>
        <x:v>14471.4</x:v>
      </x:c>
      <x:c r="C7" s="300" t="n">
        <x:f>SUMIFS('Clean Sales'!$Y$5:$Y$2428,'Clean Sales'!$AH$5:$AH$2428,1,'Clean Sales'!$M$5:$M$2428,A7)</x:f>
        <x:v>6617.400000000001</x:v>
      </x:c>
      <x:c r="D7" s="301" t="n">
        <x:f>SUMIFS('Clean Sales'!$R$5:$R$2428,'Clean Sales'!$AH$5:$AH$2428,1,'Clean Sales'!$M$5:$M$2428,A7)</x:f>
        <x:v>201</x:v>
      </x:c>
      <x:c r="E7" s="301" t="n">
        <x:f>COUNTIFS('Clean Sales'!$AH$5:$AH$2428,1,'Clean Sales'!$M$5:$M$2428,A7)</x:f>
        <x:v>99</x:v>
      </x:c>
      <x:c r="F7" s="302" t="n">
        <x:f>IFERROR(C7/B7,0)</x:f>
        <x:v>0.45727434802437916</x:v>
      </x:c>
      <x:c r="G7" s="299" t="n">
        <x:f>RANK(B7,$B$5:$B$40,0)+COUNTIF($B$5:B7,B7)-1</x:f>
        <x:v>7</x:v>
      </x:c>
      <x:c r="H7" s="292"/>
      <x:c r="I7" s="292"/>
      <x:c r="J7" s="292"/>
      <x:c r="K7" s="292"/>
      <x:c r="L7" s="292"/>
      <x:c r="M7" s="292"/>
      <x:c r="N7" s="292"/>
      <x:c r="O7" s="292"/>
      <x:c r="P7" s="292"/>
      <x:c r="Q7" s="292"/>
      <x:c r="R7" s="292"/>
      <x:c r="S7" s="292"/>
      <x:c r="T7" s="292"/>
      <x:c r="U7" s="292"/>
      <x:c r="V7" s="292"/>
      <x:c r="W7" s="292"/>
      <x:c r="X7" s="292"/>
      <x:c r="Y7" s="292"/>
      <x:c r="Z7" s="292"/>
    </x:row>
    <x:row r="8">
      <x:c r="A8" s="299" t="str">
        <x:v>Power Bank</x:v>
      </x:c>
      <x:c r="B8" s="300" t="n">
        <x:f>SUMIFS('Clean Sales'!$W$5:$W$2428,'Clean Sales'!$AH$5:$AH$2428,1,'Clean Sales'!$M$5:$M$2428,A8)</x:f>
        <x:v>6464.250000000003</x:v>
      </x:c>
      <x:c r="C8" s="300" t="n">
        <x:f>SUMIFS('Clean Sales'!$Y$5:$Y$2428,'Clean Sales'!$AH$5:$AH$2428,1,'Clean Sales'!$M$5:$M$2428,A8)</x:f>
        <x:v>3211.649999999999</x:v>
      </x:c>
      <x:c r="D8" s="301" t="n">
        <x:f>SUMIFS('Clean Sales'!$R$5:$R$2428,'Clean Sales'!$AH$5:$AH$2428,1,'Clean Sales'!$M$5:$M$2428,A8)</x:f>
        <x:v>187</x:v>
      </x:c>
      <x:c r="E8" s="301" t="n">
        <x:f>COUNTIFS('Clean Sales'!$AH$5:$AH$2428,1,'Clean Sales'!$M$5:$M$2428,A8)</x:f>
        <x:v>83</x:v>
      </x:c>
      <x:c r="F8" s="302" t="n">
        <x:f>IFERROR(C8/B8,0)</x:f>
        <x:v>0.49683257918552004</x:v>
      </x:c>
      <x:c r="G8" s="299" t="n">
        <x:f>RANK(B8,$B$5:$B$40,0)+COUNTIF($B$5:B8,B8)-1</x:f>
        <x:v>17</x:v>
      </x:c>
      <x:c r="H8" s="292"/>
      <x:c r="I8" s="292"/>
      <x:c r="J8" s="292"/>
      <x:c r="K8" s="292"/>
      <x:c r="L8" s="292"/>
      <x:c r="M8" s="292"/>
      <x:c r="N8" s="292"/>
      <x:c r="O8" s="292"/>
      <x:c r="P8" s="292"/>
      <x:c r="Q8" s="292"/>
      <x:c r="R8" s="292"/>
      <x:c r="S8" s="292"/>
      <x:c r="T8" s="292"/>
      <x:c r="U8" s="292"/>
      <x:c r="V8" s="292"/>
      <x:c r="W8" s="292"/>
      <x:c r="X8" s="292"/>
      <x:c r="Y8" s="292"/>
      <x:c r="Z8" s="292"/>
    </x:row>
    <x:row r="9">
      <x:c r="A9" s="299" t="str">
        <x:v>HD Webcam</x:v>
      </x:c>
      <x:c r="B9" s="300" t="n">
        <x:f>SUMIFS('Clean Sales'!$W$5:$W$2428,'Clean Sales'!$AH$5:$AH$2428,1,'Clean Sales'!$M$5:$M$2428,A9)</x:f>
        <x:v>12458.300000000001</x:v>
      </x:c>
      <x:c r="C9" s="300" t="n">
        <x:f>SUMIFS('Clean Sales'!$Y$5:$Y$2428,'Clean Sales'!$AH$5:$AH$2428,1,'Clean Sales'!$M$5:$M$2428,A9)</x:f>
        <x:v>6064.700000000002</x:v>
      </x:c>
      <x:c r="D9" s="301" t="n">
        <x:f>SUMIFS('Clean Sales'!$R$5:$R$2428,'Clean Sales'!$AH$5:$AH$2428,1,'Clean Sales'!$M$5:$M$2428,A9)</x:f>
        <x:v>189</x:v>
      </x:c>
      <x:c r="E9" s="301" t="n">
        <x:f>COUNTIFS('Clean Sales'!$AH$5:$AH$2428,1,'Clean Sales'!$M$5:$M$2428,A9)</x:f>
        <x:v>91</x:v>
      </x:c>
      <x:c r="F9" s="302" t="n">
        <x:f>IFERROR(C9/B9,0)</x:f>
        <x:v>0.48679996468217984</x:v>
      </x:c>
      <x:c r="G9" s="299" t="n">
        <x:f>RANK(B9,$B$5:$B$40,0)+COUNTIF($B$5:B9,B9)-1</x:f>
        <x:v>10</x:v>
      </x:c>
      <x:c r="H9" s="292"/>
      <x:c r="I9" s="292"/>
      <x:c r="J9" s="292"/>
      <x:c r="K9" s="292"/>
      <x:c r="L9" s="292"/>
      <x:c r="M9" s="292"/>
      <x:c r="N9" s="292"/>
      <x:c r="O9" s="292"/>
      <x:c r="P9" s="292"/>
      <x:c r="Q9" s="292"/>
      <x:c r="R9" s="292"/>
      <x:c r="S9" s="292"/>
      <x:c r="T9" s="292"/>
      <x:c r="U9" s="292"/>
      <x:c r="V9" s="292"/>
      <x:c r="W9" s="292"/>
      <x:c r="X9" s="292"/>
      <x:c r="Y9" s="292"/>
      <x:c r="Z9" s="292"/>
    </x:row>
    <x:row r="10">
      <x:c r="A10" s="299" t="str">
        <x:v>Portable SSD</x:v>
      </x:c>
      <x:c r="B10" s="300" t="n">
        <x:f>SUMIFS('Clean Sales'!$W$5:$W$2428,'Clean Sales'!$AH$5:$AH$2428,1,'Clean Sales'!$M$5:$M$2428,A10)</x:f>
        <x:v>24026.249999999996</x:v>
      </x:c>
      <x:c r="C10" s="300" t="n">
        <x:f>SUMIFS('Clean Sales'!$Y$5:$Y$2428,'Clean Sales'!$AH$5:$AH$2428,1,'Clean Sales'!$M$5:$M$2428,A10)</x:f>
        <x:v>8696.250000000005</x:v>
      </x:c>
      <x:c r="D10" s="301" t="n">
        <x:f>SUMIFS('Clean Sales'!$R$5:$R$2428,'Clean Sales'!$AH$5:$AH$2428,1,'Clean Sales'!$M$5:$M$2428,A10)</x:f>
        <x:v>226</x:v>
      </x:c>
      <x:c r="E10" s="301" t="n">
        <x:f>COUNTIFS('Clean Sales'!$AH$5:$AH$2428,1,'Clean Sales'!$M$5:$M$2428,A10)</x:f>
        <x:v>109</x:v>
      </x:c>
      <x:c r="F10" s="302" t="n">
        <x:f>IFERROR(C10/B10,0)</x:f>
        <x:v>0.3619478695177153</x:v>
      </x:c>
      <x:c r="G10" s="299" t="n">
        <x:f>RANK(B10,$B$5:$B$40,0)+COUNTIF($B$5:B10,B10)-1</x:f>
        <x:v>5</x:v>
      </x:c>
      <x:c r="H10" s="292"/>
      <x:c r="I10" s="292"/>
      <x:c r="J10" s="292"/>
      <x:c r="K10" s="292"/>
      <x:c r="L10" s="292"/>
      <x:c r="M10" s="292"/>
      <x:c r="N10" s="292"/>
      <x:c r="O10" s="292"/>
      <x:c r="P10" s="292"/>
      <x:c r="Q10" s="292"/>
      <x:c r="R10" s="292"/>
      <x:c r="S10" s="292"/>
      <x:c r="T10" s="292"/>
      <x:c r="U10" s="292"/>
      <x:c r="V10" s="292"/>
      <x:c r="W10" s="292"/>
      <x:c r="X10" s="292"/>
      <x:c r="Y10" s="292"/>
      <x:c r="Z10" s="292"/>
    </x:row>
    <x:row r="11">
      <x:c r="A11" s="299" t="str">
        <x:v>Air Fryer</x:v>
      </x:c>
      <x:c r="B11" s="300" t="n">
        <x:f>SUMIFS('Clean Sales'!$W$5:$W$2428,'Clean Sales'!$AH$5:$AH$2428,1,'Clean Sales'!$M$5:$M$2428,A11)</x:f>
        <x:v>15618.749999999998</x:v>
      </x:c>
      <x:c r="C11" s="300" t="n">
        <x:f>SUMIFS('Clean Sales'!$Y$5:$Y$2428,'Clean Sales'!$AH$5:$AH$2428,1,'Clean Sales'!$M$5:$M$2428,A11)</x:f>
        <x:v>5853.950000000003</x:v>
      </x:c>
      <x:c r="D11" s="301" t="n">
        <x:f>SUMIFS('Clean Sales'!$R$5:$R$2428,'Clean Sales'!$AH$5:$AH$2428,1,'Clean Sales'!$M$5:$M$2428,A11)</x:f>
        <x:v>149</x:v>
      </x:c>
      <x:c r="E11" s="301" t="n">
        <x:f>COUNTIFS('Clean Sales'!$AH$5:$AH$2428,1,'Clean Sales'!$M$5:$M$2428,A11)</x:f>
        <x:v>74</x:v>
      </x:c>
      <x:c r="F11" s="302" t="n">
        <x:f>IFERROR(C11/B11,0)</x:f>
        <x:v>0.3748027210884356</x:v>
      </x:c>
      <x:c r="G11" s="299" t="n">
        <x:f>RANK(B11,$B$5:$B$40,0)+COUNTIF($B$5:B11,B11)-1</x:f>
        <x:v>6</x:v>
      </x:c>
      <x:c r="H11" s="292"/>
      <x:c r="I11" s="292"/>
      <x:c r="J11" s="292"/>
      <x:c r="K11" s="292"/>
      <x:c r="L11" s="292"/>
      <x:c r="M11" s="292"/>
      <x:c r="N11" s="292"/>
      <x:c r="O11" s="292"/>
      <x:c r="P11" s="292"/>
      <x:c r="Q11" s="292"/>
      <x:c r="R11" s="292"/>
      <x:c r="S11" s="292"/>
      <x:c r="T11" s="292"/>
      <x:c r="U11" s="292"/>
      <x:c r="V11" s="292"/>
      <x:c r="W11" s="292"/>
      <x:c r="X11" s="292"/>
      <x:c r="Y11" s="292"/>
      <x:c r="Z11" s="292"/>
    </x:row>
    <x:row r="12">
      <x:c r="A12" s="299" t="str">
        <x:v>Electric Kettle</x:v>
      </x:c>
      <x:c r="B12" s="300" t="n">
        <x:f>SUMIFS('Clean Sales'!$W$5:$W$2428,'Clean Sales'!$AH$5:$AH$2428,1,'Clean Sales'!$M$5:$M$2428,A12)</x:f>
        <x:v>5338.550000000001</x:v>
      </x:c>
      <x:c r="C12" s="300" t="n">
        <x:f>SUMIFS('Clean Sales'!$Y$5:$Y$2428,'Clean Sales'!$AH$5:$AH$2428,1,'Clean Sales'!$M$5:$M$2428,A12)</x:f>
        <x:v>2688.9500000000003</x:v>
      </x:c>
      <x:c r="D12" s="301" t="n">
        <x:f>SUMIFS('Clean Sales'!$R$5:$R$2428,'Clean Sales'!$AH$5:$AH$2428,1,'Clean Sales'!$M$5:$M$2428,A12)</x:f>
        <x:v>117</x:v>
      </x:c>
      <x:c r="E12" s="301" t="n">
        <x:f>COUNTIFS('Clean Sales'!$AH$5:$AH$2428,1,'Clean Sales'!$M$5:$M$2428,A12)</x:f>
        <x:v>63</x:v>
      </x:c>
      <x:c r="F12" s="302" t="n">
        <x:f>IFERROR(C12/B12,0)</x:f>
        <x:v>0.5036854576617246</x:v>
      </x:c>
      <x:c r="G12" s="299" t="n">
        <x:f>RANK(B12,$B$5:$B$40,0)+COUNTIF($B$5:B12,B12)-1</x:f>
        <x:v>20</x:v>
      </x:c>
      <x:c r="H12" s="292"/>
      <x:c r="I12" s="292"/>
      <x:c r="J12" s="292"/>
      <x:c r="K12" s="292"/>
      <x:c r="L12" s="292"/>
      <x:c r="M12" s="292"/>
      <x:c r="N12" s="292"/>
      <x:c r="O12" s="292"/>
      <x:c r="P12" s="292"/>
      <x:c r="Q12" s="292"/>
      <x:c r="R12" s="292"/>
      <x:c r="S12" s="292"/>
      <x:c r="T12" s="292"/>
      <x:c r="U12" s="292"/>
      <x:c r="V12" s="292"/>
      <x:c r="W12" s="292"/>
      <x:c r="X12" s="292"/>
      <x:c r="Y12" s="292"/>
      <x:c r="Z12" s="292"/>
    </x:row>
    <x:row r="13">
      <x:c r="A13" s="299" t="str">
        <x:v>Countertop Blender</x:v>
      </x:c>
      <x:c r="B13" s="300" t="n">
        <x:f>SUMIFS('Clean Sales'!$W$5:$W$2428,'Clean Sales'!$AH$5:$AH$2428,1,'Clean Sales'!$M$5:$M$2428,A13)</x:f>
        <x:v>13207.599999999999</x:v>
      </x:c>
      <x:c r="C13" s="300" t="n">
        <x:f>SUMIFS('Clean Sales'!$Y$5:$Y$2428,'Clean Sales'!$AH$5:$AH$2428,1,'Clean Sales'!$M$5:$M$2428,A13)</x:f>
        <x:v>5879.800000000001</x:v>
      </x:c>
      <x:c r="D13" s="301" t="n">
        <x:f>SUMIFS('Clean Sales'!$R$5:$R$2428,'Clean Sales'!$AH$5:$AH$2428,1,'Clean Sales'!$M$5:$M$2428,A13)</x:f>
        <x:v>162</x:v>
      </x:c>
      <x:c r="E13" s="301" t="n">
        <x:f>COUNTIFS('Clean Sales'!$AH$5:$AH$2428,1,'Clean Sales'!$M$5:$M$2428,A13)</x:f>
        <x:v>85</x:v>
      </x:c>
      <x:c r="F13" s="302" t="n">
        <x:f>IFERROR(C13/B13,0)</x:f>
        <x:v>0.44518307641055166</x:v>
      </x:c>
      <x:c r="G13" s="299" t="n">
        <x:f>RANK(B13,$B$5:$B$40,0)+COUNTIF($B$5:B13,B13)-1</x:f>
        <x:v>8</x:v>
      </x:c>
      <x:c r="H13" s="292"/>
      <x:c r="I13" s="292"/>
      <x:c r="J13" s="292"/>
      <x:c r="K13" s="292"/>
      <x:c r="L13" s="292"/>
      <x:c r="M13" s="292"/>
      <x:c r="N13" s="292"/>
      <x:c r="O13" s="292"/>
      <x:c r="P13" s="292"/>
      <x:c r="Q13" s="292"/>
      <x:c r="R13" s="292"/>
      <x:c r="S13" s="292"/>
      <x:c r="T13" s="292"/>
      <x:c r="U13" s="292"/>
      <x:c r="V13" s="292"/>
      <x:c r="W13" s="292"/>
      <x:c r="X13" s="292"/>
      <x:c r="Y13" s="292"/>
      <x:c r="Z13" s="292"/>
    </x:row>
    <x:row r="14">
      <x:c r="A14" s="299" t="str">
        <x:v>Coffee Maker</x:v>
      </x:c>
      <x:c r="B14" s="300" t="n">
        <x:f>SUMIFS('Clean Sales'!$W$5:$W$2428,'Clean Sales'!$AH$5:$AH$2428,1,'Clean Sales'!$M$5:$M$2428,A14)</x:f>
        <x:v>11686.95</x:v>
      </x:c>
      <x:c r="C14" s="300" t="n">
        <x:f>SUMIFS('Clean Sales'!$Y$5:$Y$2428,'Clean Sales'!$AH$5:$AH$2428,1,'Clean Sales'!$M$5:$M$2428,A14)</x:f>
        <x:v>5189.55</x:v>
      </x:c>
      <x:c r="D14" s="301" t="n">
        <x:f>SUMIFS('Clean Sales'!$R$5:$R$2428,'Clean Sales'!$AH$5:$AH$2428,1,'Clean Sales'!$M$5:$M$2428,A14)</x:f>
        <x:v>131</x:v>
      </x:c>
      <x:c r="E14" s="301" t="n">
        <x:f>COUNTIFS('Clean Sales'!$AH$5:$AH$2428,1,'Clean Sales'!$M$5:$M$2428,A14)</x:f>
        <x:v>67</x:v>
      </x:c>
      <x:c r="F14" s="302" t="n">
        <x:f>IFERROR(C14/B14,0)</x:f>
        <x:v>0.44404656475812765</x:v>
      </x:c>
      <x:c r="G14" s="299" t="n">
        <x:f>RANK(B14,$B$5:$B$40,0)+COUNTIF($B$5:B14,B14)-1</x:f>
        <x:v>11</x:v>
      </x:c>
      <x:c r="H14" s="292"/>
      <x:c r="I14" s="292"/>
      <x:c r="J14" s="292"/>
      <x:c r="K14" s="292"/>
      <x:c r="L14" s="292"/>
      <x:c r="M14" s="292"/>
      <x:c r="N14" s="292"/>
      <x:c r="O14" s="292"/>
      <x:c r="P14" s="292"/>
      <x:c r="Q14" s="292"/>
      <x:c r="R14" s="292"/>
      <x:c r="S14" s="292"/>
      <x:c r="T14" s="292"/>
      <x:c r="U14" s="292"/>
      <x:c r="V14" s="292"/>
      <x:c r="W14" s="292"/>
      <x:c r="X14" s="292"/>
      <x:c r="Y14" s="292"/>
      <x:c r="Z14" s="292"/>
    </x:row>
    <x:row r="15">
      <x:c r="A15" s="299" t="str">
        <x:v>Cordless Vacuum</x:v>
      </x:c>
      <x:c r="B15" s="300" t="n">
        <x:f>SUMIFS('Clean Sales'!$W$5:$W$2428,'Clean Sales'!$AH$5:$AH$2428,1,'Clean Sales'!$M$5:$M$2428,A15)</x:f>
        <x:v>26178.749999999996</x:v>
      </x:c>
      <x:c r="C15" s="300" t="n">
        <x:f>SUMIFS('Clean Sales'!$Y$5:$Y$2428,'Clean Sales'!$AH$5:$AH$2428,1,'Clean Sales'!$M$5:$M$2428,A15)</x:f>
        <x:v>10134.150000000001</x:v>
      </x:c>
      <x:c r="D15" s="301" t="n">
        <x:f>SUMIFS('Clean Sales'!$R$5:$R$2428,'Clean Sales'!$AH$5:$AH$2428,1,'Clean Sales'!$M$5:$M$2428,A15)</x:f>
        <x:v>160</x:v>
      </x:c>
      <x:c r="E15" s="301" t="n">
        <x:f>COUNTIFS('Clean Sales'!$AH$5:$AH$2428,1,'Clean Sales'!$M$5:$M$2428,A15)</x:f>
        <x:v>79</x:v>
      </x:c>
      <x:c r="F15" s="302" t="n">
        <x:f>IFERROR(C15/B15,0)</x:f>
        <x:v>0.38711359404096846</x:v>
      </x:c>
      <x:c r="G15" s="299" t="n">
        <x:f>RANK(B15,$B$5:$B$40,0)+COUNTIF($B$5:B15,B15)-1</x:f>
        <x:v>4</x:v>
      </x:c>
      <x:c r="H15" s="292"/>
      <x:c r="I15" s="292"/>
      <x:c r="J15" s="292"/>
      <x:c r="K15" s="292"/>
      <x:c r="L15" s="292"/>
      <x:c r="M15" s="292"/>
      <x:c r="N15" s="292"/>
      <x:c r="O15" s="292"/>
      <x:c r="P15" s="292"/>
      <x:c r="Q15" s="292"/>
      <x:c r="R15" s="292"/>
      <x:c r="S15" s="292"/>
      <x:c r="T15" s="292"/>
      <x:c r="U15" s="292"/>
      <x:c r="V15" s="292"/>
      <x:c r="W15" s="292"/>
      <x:c r="X15" s="292"/>
      <x:c r="Y15" s="292"/>
      <x:c r="Z15" s="292"/>
    </x:row>
    <x:row r="16">
      <x:c r="A16" s="299" t="str">
        <x:v>Food Storage Set</x:v>
      </x:c>
      <x:c r="B16" s="300" t="n">
        <x:f>SUMIFS('Clean Sales'!$W$5:$W$2428,'Clean Sales'!$AH$5:$AH$2428,1,'Clean Sales'!$M$5:$M$2428,A16)</x:f>
        <x:v>4083.4</x:v>
      </x:c>
      <x:c r="C16" s="300" t="n">
        <x:f>SUMIFS('Clean Sales'!$Y$5:$Y$2428,'Clean Sales'!$AH$5:$AH$2428,1,'Clean Sales'!$M$5:$M$2428,A16)</x:f>
        <x:v>2112.4</x:v>
      </x:c>
      <x:c r="D16" s="301" t="n">
        <x:f>SUMIFS('Clean Sales'!$R$5:$R$2428,'Clean Sales'!$AH$5:$AH$2428,1,'Clean Sales'!$M$5:$M$2428,A16)</x:f>
        <x:v>144</x:v>
      </x:c>
      <x:c r="E16" s="301" t="n">
        <x:f>COUNTIFS('Clean Sales'!$AH$5:$AH$2428,1,'Clean Sales'!$M$5:$M$2428,A16)</x:f>
        <x:v>69</x:v>
      </x:c>
      <x:c r="F16" s="302" t="n">
        <x:f>IFERROR(C16/B16,0)</x:f>
        <x:v>0.5173140030366852</x:v>
      </x:c>
      <x:c r="G16" s="299" t="n">
        <x:f>RANK(B16,$B$5:$B$40,0)+COUNTIF($B$5:B16,B16)-1</x:f>
        <x:v>27</x:v>
      </x:c>
      <x:c r="H16" s="292"/>
      <x:c r="I16" s="292"/>
      <x:c r="J16" s="292"/>
      <x:c r="K16" s="292"/>
      <x:c r="L16" s="292"/>
      <x:c r="M16" s="292"/>
      <x:c r="N16" s="292"/>
      <x:c r="O16" s="292"/>
      <x:c r="P16" s="292"/>
      <x:c r="Q16" s="292"/>
      <x:c r="R16" s="292"/>
      <x:c r="S16" s="292"/>
      <x:c r="T16" s="292"/>
      <x:c r="U16" s="292"/>
      <x:c r="V16" s="292"/>
      <x:c r="W16" s="292"/>
      <x:c r="X16" s="292"/>
      <x:c r="Y16" s="292"/>
      <x:c r="Z16" s="292"/>
    </x:row>
    <x:row r="17">
      <x:c r="A17" s="299" t="str">
        <x:v>Ergonomic Chair</x:v>
      </x:c>
      <x:c r="B17" s="300" t="n">
        <x:f>SUMIFS('Clean Sales'!$W$5:$W$2428,'Clean Sales'!$AH$5:$AH$2428,1,'Clean Sales'!$M$5:$M$2428,A17)</x:f>
        <x:v>29718.149999999998</x:v>
      </x:c>
      <x:c r="C17" s="300" t="n">
        <x:f>SUMIFS('Clean Sales'!$Y$5:$Y$2428,'Clean Sales'!$AH$5:$AH$2428,1,'Clean Sales'!$M$5:$M$2428,A17)</x:f>
        <x:v>11288.650000000005</x:v>
      </x:c>
      <x:c r="D17" s="301" t="n">
        <x:f>SUMIFS('Clean Sales'!$R$5:$R$2428,'Clean Sales'!$AH$5:$AH$2428,1,'Clean Sales'!$M$5:$M$2428,A17)</x:f>
        <x:v>128</x:v>
      </x:c>
      <x:c r="E17" s="301" t="n">
        <x:f>COUNTIFS('Clean Sales'!$AH$5:$AH$2428,1,'Clean Sales'!$M$5:$M$2428,A17)</x:f>
        <x:v>62</x:v>
      </x:c>
      <x:c r="F17" s="302" t="n">
        <x:f>IFERROR(C17/B17,0)</x:f>
        <x:v>0.3798570907004644</x:v>
      </x:c>
      <x:c r="G17" s="299" t="n">
        <x:f>RANK(B17,$B$5:$B$40,0)+COUNTIF($B$5:B17,B17)-1</x:f>
        <x:v>2</x:v>
      </x:c>
      <x:c r="H17" s="292"/>
      <x:c r="I17" s="292"/>
      <x:c r="J17" s="292"/>
      <x:c r="K17" s="292"/>
      <x:c r="L17" s="292"/>
      <x:c r="M17" s="292"/>
      <x:c r="N17" s="292"/>
      <x:c r="O17" s="292"/>
      <x:c r="P17" s="292"/>
      <x:c r="Q17" s="292"/>
      <x:c r="R17" s="292"/>
      <x:c r="S17" s="292"/>
      <x:c r="T17" s="292"/>
      <x:c r="U17" s="292"/>
      <x:c r="V17" s="292"/>
      <x:c r="W17" s="292"/>
      <x:c r="X17" s="292"/>
      <x:c r="Y17" s="292"/>
      <x:c r="Z17" s="292"/>
    </x:row>
    <x:row r="18">
      <x:c r="A18" s="299" t="str">
        <x:v>Standing Desk</x:v>
      </x:c>
      <x:c r="B18" s="300" t="n">
        <x:f>SUMIFS('Clean Sales'!$W$5:$W$2428,'Clean Sales'!$AH$5:$AH$2428,1,'Clean Sales'!$M$5:$M$2428,A18)</x:f>
        <x:v>44807.7</x:v>
      </x:c>
      <x:c r="C18" s="300" t="n">
        <x:f>SUMIFS('Clean Sales'!$Y$5:$Y$2428,'Clean Sales'!$AH$5:$AH$2428,1,'Clean Sales'!$M$5:$M$2428,A18)</x:f>
        <x:v>16208.2</x:v>
      </x:c>
      <x:c r="D18" s="301" t="n">
        <x:f>SUMIFS('Clean Sales'!$R$5:$R$2428,'Clean Sales'!$AH$5:$AH$2428,1,'Clean Sales'!$M$5:$M$2428,A18)</x:f>
        <x:v>128</x:v>
      </x:c>
      <x:c r="E18" s="301" t="n">
        <x:f>COUNTIFS('Clean Sales'!$AH$5:$AH$2428,1,'Clean Sales'!$M$5:$M$2428,A18)</x:f>
        <x:v>67</x:v>
      </x:c>
      <x:c r="F18" s="302" t="n">
        <x:f>IFERROR(C18/B18,0)</x:f>
        <x:v>0.36172800657029935</x:v>
      </x:c>
      <x:c r="G18" s="299" t="n">
        <x:f>RANK(B18,$B$5:$B$40,0)+COUNTIF($B$5:B18,B18)-1</x:f>
        <x:v>1</x:v>
      </x:c>
      <x:c r="H18" s="292"/>
      <x:c r="I18" s="292"/>
      <x:c r="J18" s="292"/>
      <x:c r="K18" s="292"/>
      <x:c r="L18" s="292"/>
      <x:c r="M18" s="292"/>
      <x:c r="N18" s="292"/>
      <x:c r="O18" s="292"/>
      <x:c r="P18" s="292"/>
      <x:c r="Q18" s="292"/>
      <x:c r="R18" s="292"/>
      <x:c r="S18" s="292"/>
      <x:c r="T18" s="292"/>
      <x:c r="U18" s="292"/>
      <x:c r="V18" s="292"/>
      <x:c r="W18" s="292"/>
      <x:c r="X18" s="292"/>
      <x:c r="Y18" s="292"/>
      <x:c r="Z18" s="292"/>
    </x:row>
    <x:row r="19">
      <x:c r="A19" s="299" t="str">
        <x:v>LED Desk Lamp</x:v>
      </x:c>
      <x:c r="B19" s="300" t="n">
        <x:f>SUMIFS('Clean Sales'!$W$5:$W$2428,'Clean Sales'!$AH$5:$AH$2428,1,'Clean Sales'!$M$5:$M$2428,A19)</x:f>
        <x:v>4756.5</x:v>
      </x:c>
      <x:c r="C19" s="300" t="n">
        <x:f>SUMIFS('Clean Sales'!$Y$5:$Y$2428,'Clean Sales'!$AH$5:$AH$2428,1,'Clean Sales'!$M$5:$M$2428,A19)</x:f>
        <x:v>2512.5</x:v>
      </x:c>
      <x:c r="D19" s="301" t="n">
        <x:f>SUMIFS('Clean Sales'!$R$5:$R$2428,'Clean Sales'!$AH$5:$AH$2428,1,'Clean Sales'!$M$5:$M$2428,A19)</x:f>
        <x:v>114</x:v>
      </x:c>
      <x:c r="E19" s="301" t="n">
        <x:f>COUNTIFS('Clean Sales'!$AH$5:$AH$2428,1,'Clean Sales'!$M$5:$M$2428,A19)</x:f>
        <x:v>55</x:v>
      </x:c>
      <x:c r="F19" s="302" t="n">
        <x:f>IFERROR(C19/B19,0)</x:f>
        <x:v>0.5282245348470515</x:v>
      </x:c>
      <x:c r="G19" s="299" t="n">
        <x:f>RANK(B19,$B$5:$B$40,0)+COUNTIF($B$5:B19,B19)-1</x:f>
        <x:v>25</x:v>
      </x:c>
      <x:c r="H19" s="292"/>
      <x:c r="I19" s="292"/>
      <x:c r="J19" s="292"/>
      <x:c r="K19" s="292"/>
      <x:c r="L19" s="292"/>
      <x:c r="M19" s="292"/>
      <x:c r="N19" s="292"/>
      <x:c r="O19" s="292"/>
      <x:c r="P19" s="292"/>
      <x:c r="Q19" s="292"/>
      <x:c r="R19" s="292"/>
      <x:c r="S19" s="292"/>
      <x:c r="T19" s="292"/>
      <x:c r="U19" s="292"/>
      <x:c r="V19" s="292"/>
      <x:c r="W19" s="292"/>
      <x:c r="X19" s="292"/>
      <x:c r="Y19" s="292"/>
      <x:c r="Z19" s="292"/>
    </x:row>
    <x:row r="20">
      <x:c r="A20" s="299" t="str">
        <x:v>Premium Notebook Pack</x:v>
      </x:c>
      <x:c r="B20" s="300" t="n">
        <x:f>SUMIFS('Clean Sales'!$W$5:$W$2428,'Clean Sales'!$AH$5:$AH$2428,1,'Clean Sales'!$M$5:$M$2428,A20)</x:f>
        <x:v>2234.7</x:v>
      </x:c>
      <x:c r="C20" s="300" t="n">
        <x:f>SUMIFS('Clean Sales'!$Y$5:$Y$2428,'Clean Sales'!$AH$5:$AH$2428,1,'Clean Sales'!$M$5:$M$2428,A20)</x:f>
        <x:v>1368.9</x:v>
      </x:c>
      <x:c r="D20" s="301" t="n">
        <x:f>SUMIFS('Clean Sales'!$R$5:$R$2428,'Clean Sales'!$AH$5:$AH$2428,1,'Clean Sales'!$M$5:$M$2428,A20)</x:f>
        <x:v>135</x:v>
      </x:c>
      <x:c r="E20" s="301" t="n">
        <x:f>COUNTIFS('Clean Sales'!$AH$5:$AH$2428,1,'Clean Sales'!$M$5:$M$2428,A20)</x:f>
        <x:v>67</x:v>
      </x:c>
      <x:c r="F20" s="302" t="n">
        <x:f>IFERROR(C20/B20,0)</x:f>
        <x:v>0.612565445026178</x:v>
      </x:c>
      <x:c r="G20" s="299" t="n">
        <x:f>RANK(B20,$B$5:$B$40,0)+COUNTIF($B$5:B20,B20)-1</x:f>
        <x:v>34</x:v>
      </x:c>
      <x:c r="H20" s="292"/>
      <x:c r="I20" s="292"/>
      <x:c r="J20" s="292"/>
      <x:c r="K20" s="292"/>
      <x:c r="L20" s="292"/>
      <x:c r="M20" s="292"/>
      <x:c r="N20" s="292"/>
      <x:c r="O20" s="292"/>
      <x:c r="P20" s="292"/>
      <x:c r="Q20" s="292"/>
      <x:c r="R20" s="292"/>
      <x:c r="S20" s="292"/>
      <x:c r="T20" s="292"/>
      <x:c r="U20" s="292"/>
      <x:c r="V20" s="292"/>
      <x:c r="W20" s="292"/>
      <x:c r="X20" s="292"/>
      <x:c r="Y20" s="292"/>
      <x:c r="Z20" s="292"/>
    </x:row>
    <x:row r="21">
      <x:c r="A21" s="299" t="str">
        <x:v>Wireless Keyboard</x:v>
      </x:c>
      <x:c r="B21" s="300" t="n">
        <x:f>SUMIFS('Clean Sales'!$W$5:$W$2428,'Clean Sales'!$AH$5:$AH$2428,1,'Clean Sales'!$M$5:$M$2428,A21)</x:f>
        <x:v>8699.55</x:v>
      </x:c>
      <x:c r="C21" s="300" t="n">
        <x:f>SUMIFS('Clean Sales'!$Y$5:$Y$2428,'Clean Sales'!$AH$5:$AH$2428,1,'Clean Sales'!$M$5:$M$2428,A21)</x:f>
        <x:v>4295.150000000001</x:v>
      </x:c>
      <x:c r="D21" s="301" t="n">
        <x:f>SUMIFS('Clean Sales'!$R$5:$R$2428,'Clean Sales'!$AH$5:$AH$2428,1,'Clean Sales'!$M$5:$M$2428,A21)</x:f>
        <x:v>160</x:v>
      </x:c>
      <x:c r="E21" s="301" t="n">
        <x:f>COUNTIFS('Clean Sales'!$AH$5:$AH$2428,1,'Clean Sales'!$M$5:$M$2428,A21)</x:f>
        <x:v>62</x:v>
      </x:c>
      <x:c r="F21" s="302" t="n">
        <x:f>IFERROR(C21/B21,0)</x:f>
        <x:v>0.4937209395888294</x:v>
      </x:c>
      <x:c r="G21" s="299" t="n">
        <x:f>RANK(B21,$B$5:$B$40,0)+COUNTIF($B$5:B21,B21)-1</x:f>
        <x:v>15</x:v>
      </x:c>
      <x:c r="H21" s="292"/>
      <x:c r="I21" s="292"/>
      <x:c r="J21" s="292"/>
      <x:c r="K21" s="292"/>
      <x:c r="L21" s="292"/>
      <x:c r="M21" s="292"/>
      <x:c r="N21" s="292"/>
      <x:c r="O21" s="292"/>
      <x:c r="P21" s="292"/>
      <x:c r="Q21" s="292"/>
      <x:c r="R21" s="292"/>
      <x:c r="S21" s="292"/>
      <x:c r="T21" s="292"/>
      <x:c r="U21" s="292"/>
      <x:c r="V21" s="292"/>
      <x:c r="W21" s="292"/>
      <x:c r="X21" s="292"/>
      <x:c r="Y21" s="292"/>
      <x:c r="Z21" s="292"/>
    </x:row>
    <x:row r="22">
      <x:c r="A22" s="299" t="str">
        <x:v>Monitor Stand</x:v>
      </x:c>
      <x:c r="B22" s="300" t="n">
        <x:f>SUMIFS('Clean Sales'!$W$5:$W$2428,'Clean Sales'!$AH$5:$AH$2428,1,'Clean Sales'!$M$5:$M$2428,A22)</x:f>
        <x:v>4936.750000000001</x:v>
      </x:c>
      <x:c r="C22" s="300" t="n">
        <x:f>SUMIFS('Clean Sales'!$Y$5:$Y$2428,'Clean Sales'!$AH$5:$AH$2428,1,'Clean Sales'!$M$5:$M$2428,A22)</x:f>
        <x:v>2605.7499999999986</x:v>
      </x:c>
      <x:c r="D22" s="301" t="n">
        <x:f>SUMIFS('Clean Sales'!$R$5:$R$2428,'Clean Sales'!$AH$5:$AH$2428,1,'Clean Sales'!$M$5:$M$2428,A22)</x:f>
        <x:v>120</x:v>
      </x:c>
      <x:c r="E22" s="301" t="n">
        <x:f>COUNTIFS('Clean Sales'!$AH$5:$AH$2428,1,'Clean Sales'!$M$5:$M$2428,A22)</x:f>
        <x:v>58</x:v>
      </x:c>
      <x:c r="F22" s="302" t="n">
        <x:f>IFERROR(C22/B22,0)</x:f>
        <x:v>0.5278270116979791</x:v>
      </x:c>
      <x:c r="G22" s="299" t="n">
        <x:f>RANK(B22,$B$5:$B$40,0)+COUNTIF($B$5:B22,B22)-1</x:f>
        <x:v>23</x:v>
      </x:c>
      <x:c r="H22" s="292"/>
      <x:c r="I22" s="292"/>
      <x:c r="J22" s="292"/>
      <x:c r="K22" s="292"/>
      <x:c r="L22" s="292"/>
      <x:c r="M22" s="292"/>
      <x:c r="N22" s="292"/>
      <x:c r="O22" s="292"/>
      <x:c r="P22" s="292"/>
      <x:c r="Q22" s="292"/>
      <x:c r="R22" s="292"/>
      <x:c r="S22" s="292"/>
      <x:c r="T22" s="292"/>
      <x:c r="U22" s="292"/>
      <x:c r="V22" s="292"/>
      <x:c r="W22" s="292"/>
      <x:c r="X22" s="292"/>
      <x:c r="Y22" s="292"/>
      <x:c r="Z22" s="292"/>
    </x:row>
    <x:row r="23">
      <x:c r="A23" s="299" t="str">
        <x:v>Yoga Mat</x:v>
      </x:c>
      <x:c r="B23" s="300" t="n">
        <x:f>SUMIFS('Clean Sales'!$W$5:$W$2428,'Clean Sales'!$AH$5:$AH$2428,1,'Clean Sales'!$M$5:$M$2428,A23)</x:f>
        <x:v>2614.5</x:v>
      </x:c>
      <x:c r="C23" s="300" t="n">
        <x:f>SUMIFS('Clean Sales'!$Y$5:$Y$2428,'Clean Sales'!$AH$5:$AH$2428,1,'Clean Sales'!$M$5:$M$2428,A23)</x:f>
        <x:v>1542</x:v>
      </x:c>
      <x:c r="D23" s="301" t="n">
        <x:f>SUMIFS('Clean Sales'!$R$5:$R$2428,'Clean Sales'!$AH$5:$AH$2428,1,'Clean Sales'!$M$5:$M$2428,A23)</x:f>
        <x:v>96</x:v>
      </x:c>
      <x:c r="E23" s="301" t="n">
        <x:f>COUNTIFS('Clean Sales'!$AH$5:$AH$2428,1,'Clean Sales'!$M$5:$M$2428,A23)</x:f>
        <x:v>53</x:v>
      </x:c>
      <x:c r="F23" s="302" t="n">
        <x:f>IFERROR(C23/B23,0)</x:f>
        <x:v>0.5897877223178428</x:v>
      </x:c>
      <x:c r="G23" s="299" t="n">
        <x:f>RANK(B23,$B$5:$B$40,0)+COUNTIF($B$5:B23,B23)-1</x:f>
        <x:v>31</x:v>
      </x:c>
      <x:c r="H23" s="292"/>
      <x:c r="I23" s="292"/>
      <x:c r="J23" s="292"/>
      <x:c r="K23" s="292"/>
      <x:c r="L23" s="292"/>
      <x:c r="M23" s="292"/>
      <x:c r="N23" s="292"/>
      <x:c r="O23" s="292"/>
      <x:c r="P23" s="292"/>
      <x:c r="Q23" s="292"/>
      <x:c r="R23" s="292"/>
      <x:c r="S23" s="292"/>
      <x:c r="T23" s="292"/>
      <x:c r="U23" s="292"/>
      <x:c r="V23" s="292"/>
      <x:c r="W23" s="292"/>
      <x:c r="X23" s="292"/>
      <x:c r="Y23" s="292"/>
      <x:c r="Z23" s="292"/>
    </x:row>
    <x:row r="24">
      <x:c r="A24" s="299" t="str">
        <x:v>Adjustable Dumbbell Set</x:v>
      </x:c>
      <x:c r="B24" s="300" t="n">
        <x:f>SUMIFS('Clean Sales'!$W$5:$W$2428,'Clean Sales'!$AH$5:$AH$2428,1,'Clean Sales'!$M$5:$M$2428,A24)</x:f>
        <x:v>6430.05</x:v>
      </x:c>
      <x:c r="C24" s="300" t="n">
        <x:f>SUMIFS('Clean Sales'!$Y$5:$Y$2428,'Clean Sales'!$AH$5:$AH$2428,1,'Clean Sales'!$M$5:$M$2428,A24)</x:f>
        <x:v>2383.0499999999997</x:v>
      </x:c>
      <x:c r="D24" s="301" t="n">
        <x:f>SUMIFS('Clean Sales'!$R$5:$R$2428,'Clean Sales'!$AH$5:$AH$2428,1,'Clean Sales'!$M$5:$M$2428,A24)</x:f>
        <x:v>80</x:v>
      </x:c>
      <x:c r="E24" s="301" t="n">
        <x:f>COUNTIFS('Clean Sales'!$AH$5:$AH$2428,1,'Clean Sales'!$M$5:$M$2428,A24)</x:f>
        <x:v>45</x:v>
      </x:c>
      <x:c r="F24" s="302" t="n">
        <x:f>IFERROR(C24/B24,0)</x:f>
        <x:v>0.3706114260386777</x:v>
      </x:c>
      <x:c r="G24" s="299" t="n">
        <x:f>RANK(B24,$B$5:$B$40,0)+COUNTIF($B$5:B24,B24)-1</x:f>
        <x:v>18</x:v>
      </x:c>
      <x:c r="H24" s="292"/>
      <x:c r="I24" s="292"/>
      <x:c r="J24" s="292"/>
      <x:c r="K24" s="292"/>
      <x:c r="L24" s="292"/>
      <x:c r="M24" s="292"/>
      <x:c r="N24" s="292"/>
      <x:c r="O24" s="292"/>
      <x:c r="P24" s="292"/>
      <x:c r="Q24" s="292"/>
      <x:c r="R24" s="292"/>
      <x:c r="S24" s="292"/>
      <x:c r="T24" s="292"/>
      <x:c r="U24" s="292"/>
      <x:c r="V24" s="292"/>
      <x:c r="W24" s="292"/>
      <x:c r="X24" s="292"/>
      <x:c r="Y24" s="292"/>
      <x:c r="Z24" s="292"/>
    </x:row>
    <x:row r="25">
      <x:c r="A25" s="299" t="str">
        <x:v>Resistance Band Set</x:v>
      </x:c>
      <x:c r="B25" s="300" t="n">
        <x:f>SUMIFS('Clean Sales'!$W$5:$W$2428,'Clean Sales'!$AH$5:$AH$2428,1,'Clean Sales'!$M$5:$M$2428,A25)</x:f>
        <x:v>2334.0000000000005</x:v>
      </x:c>
      <x:c r="C25" s="300" t="n">
        <x:f>SUMIFS('Clean Sales'!$Y$5:$Y$2428,'Clean Sales'!$AH$5:$AH$2428,1,'Clean Sales'!$M$5:$M$2428,A25)</x:f>
        <x:v>1496.4</x:v>
      </x:c>
      <x:c r="D25" s="301" t="n">
        <x:f>SUMIFS('Clean Sales'!$R$5:$R$2428,'Clean Sales'!$AH$5:$AH$2428,1,'Clean Sales'!$M$5:$M$2428,A25)</x:f>
        <x:v>111</x:v>
      </x:c>
      <x:c r="E25" s="301" t="n">
        <x:f>COUNTIFS('Clean Sales'!$AH$5:$AH$2428,1,'Clean Sales'!$M$5:$M$2428,A25)</x:f>
        <x:v>52</x:v>
      </x:c>
      <x:c r="F25" s="302" t="n">
        <x:f>IFERROR(C25/B25,0)</x:f>
        <x:v>0.6411311053984575</x:v>
      </x:c>
      <x:c r="G25" s="299" t="n">
        <x:f>RANK(B25,$B$5:$B$40,0)+COUNTIF($B$5:B25,B25)-1</x:f>
        <x:v>33</x:v>
      </x:c>
      <x:c r="H25" s="292"/>
      <x:c r="I25" s="292"/>
      <x:c r="J25" s="292"/>
      <x:c r="K25" s="292"/>
      <x:c r="L25" s="292"/>
      <x:c r="M25" s="292"/>
      <x:c r="N25" s="292"/>
      <x:c r="O25" s="292"/>
      <x:c r="P25" s="292"/>
      <x:c r="Q25" s="292"/>
      <x:c r="R25" s="292"/>
      <x:c r="S25" s="292"/>
      <x:c r="T25" s="292"/>
      <x:c r="U25" s="292"/>
      <x:c r="V25" s="292"/>
      <x:c r="W25" s="292"/>
      <x:c r="X25" s="292"/>
      <x:c r="Y25" s="292"/>
      <x:c r="Z25" s="292"/>
    </x:row>
    <x:row r="26">
      <x:c r="A26" s="299" t="str">
        <x:v>Fitness Tracker</x:v>
      </x:c>
      <x:c r="B26" s="300" t="n">
        <x:f>SUMIFS('Clean Sales'!$W$5:$W$2428,'Clean Sales'!$AH$5:$AH$2428,1,'Clean Sales'!$M$5:$M$2428,A26)</x:f>
        <x:v>10461.949999999999</x:v>
      </x:c>
      <x:c r="C26" s="300" t="n">
        <x:f>SUMIFS('Clean Sales'!$Y$5:$Y$2428,'Clean Sales'!$AH$5:$AH$2428,1,'Clean Sales'!$M$5:$M$2428,A26)</x:f>
        <x:v>4957.55</x:v>
      </x:c>
      <x:c r="D26" s="301" t="n">
        <x:f>SUMIFS('Clean Sales'!$R$5:$R$2428,'Clean Sales'!$AH$5:$AH$2428,1,'Clean Sales'!$M$5:$M$2428,A26)</x:f>
        <x:v>126</x:v>
      </x:c>
      <x:c r="E26" s="301" t="n">
        <x:f>COUNTIFS('Clean Sales'!$AH$5:$AH$2428,1,'Clean Sales'!$M$5:$M$2428,A26)</x:f>
        <x:v>62</x:v>
      </x:c>
      <x:c r="F26" s="302" t="n">
        <x:f>IFERROR(C26/B26,0)</x:f>
        <x:v>0.4738648148767678</x:v>
      </x:c>
      <x:c r="G26" s="299" t="n">
        <x:f>RANK(B26,$B$5:$B$40,0)+COUNTIF($B$5:B26,B26)-1</x:f>
        <x:v>14</x:v>
      </x:c>
      <x:c r="H26" s="292"/>
      <x:c r="I26" s="292"/>
      <x:c r="J26" s="292"/>
      <x:c r="K26" s="292"/>
      <x:c r="L26" s="292"/>
      <x:c r="M26" s="292"/>
      <x:c r="N26" s="292"/>
      <x:c r="O26" s="292"/>
      <x:c r="P26" s="292"/>
      <x:c r="Q26" s="292"/>
      <x:c r="R26" s="292"/>
      <x:c r="S26" s="292"/>
      <x:c r="T26" s="292"/>
      <x:c r="U26" s="292"/>
      <x:c r="V26" s="292"/>
      <x:c r="W26" s="292"/>
      <x:c r="X26" s="292"/>
      <x:c r="Y26" s="292"/>
      <x:c r="Z26" s="292"/>
    </x:row>
    <x:row r="27">
      <x:c r="A27" s="299" t="str">
        <x:v>Sports Water Bottle</x:v>
      </x:c>
      <x:c r="B27" s="300" t="n">
        <x:f>SUMIFS('Clean Sales'!$W$5:$W$2428,'Clean Sales'!$AH$5:$AH$2428,1,'Clean Sales'!$M$5:$M$2428,A27)</x:f>
        <x:v>1706.0999999999997</x:v>
      </x:c>
      <x:c r="C27" s="300" t="n">
        <x:f>SUMIFS('Clean Sales'!$Y$5:$Y$2428,'Clean Sales'!$AH$5:$AH$2428,1,'Clean Sales'!$M$5:$M$2428,A27)</x:f>
        <x:v>1122.9999999999998</x:v>
      </x:c>
      <x:c r="D27" s="301" t="n">
        <x:f>SUMIFS('Clean Sales'!$R$5:$R$2428,'Clean Sales'!$AH$5:$AH$2428,1,'Clean Sales'!$M$5:$M$2428,A27)</x:f>
        <x:v>86</x:v>
      </x:c>
      <x:c r="E27" s="301" t="n">
        <x:f>COUNTIFS('Clean Sales'!$AH$5:$AH$2428,1,'Clean Sales'!$M$5:$M$2428,A27)</x:f>
        <x:v>51</x:v>
      </x:c>
      <x:c r="F27" s="302" t="n">
        <x:f>IFERROR(C27/B27,0)</x:f>
        <x:v>0.6582263642224957</x:v>
      </x:c>
      <x:c r="G27" s="299" t="n">
        <x:f>RANK(B27,$B$5:$B$40,0)+COUNTIF($B$5:B27,B27)-1</x:f>
        <x:v>35</x:v>
      </x:c>
      <x:c r="H27" s="292"/>
      <x:c r="I27" s="292"/>
      <x:c r="J27" s="292"/>
      <x:c r="K27" s="292"/>
      <x:c r="L27" s="292"/>
      <x:c r="M27" s="292"/>
      <x:c r="N27" s="292"/>
      <x:c r="O27" s="292"/>
      <x:c r="P27" s="292"/>
      <x:c r="Q27" s="292"/>
      <x:c r="R27" s="292"/>
      <x:c r="S27" s="292"/>
      <x:c r="T27" s="292"/>
      <x:c r="U27" s="292"/>
      <x:c r="V27" s="292"/>
      <x:c r="W27" s="292"/>
      <x:c r="X27" s="292"/>
      <x:c r="Y27" s="292"/>
      <x:c r="Z27" s="292"/>
    </x:row>
    <x:row r="28">
      <x:c r="A28" s="299" t="str">
        <x:v>Foam Roller</x:v>
      </x:c>
      <x:c r="B28" s="300" t="n">
        <x:f>SUMIFS('Clean Sales'!$W$5:$W$2428,'Clean Sales'!$AH$5:$AH$2428,1,'Clean Sales'!$M$5:$M$2428,A28)</x:f>
        <x:v>2724.9000000000005</x:v>
      </x:c>
      <x:c r="C28" s="300" t="n">
        <x:f>SUMIFS('Clean Sales'!$Y$5:$Y$2428,'Clean Sales'!$AH$5:$AH$2428,1,'Clean Sales'!$M$5:$M$2428,A28)</x:f>
        <x:v>1601.7</x:v>
      </x:c>
      <x:c r="D28" s="301" t="n">
        <x:f>SUMIFS('Clean Sales'!$R$5:$R$2428,'Clean Sales'!$AH$5:$AH$2428,1,'Clean Sales'!$M$5:$M$2428,A28)</x:f>
        <x:v>99</x:v>
      </x:c>
      <x:c r="E28" s="301" t="n">
        <x:f>COUNTIFS('Clean Sales'!$AH$5:$AH$2428,1,'Clean Sales'!$M$5:$M$2428,A28)</x:f>
        <x:v>46</x:v>
      </x:c>
      <x:c r="F28" s="302" t="n">
        <x:f>IFERROR(C28/B28,0)</x:f>
        <x:v>0.5878013872068699</x:v>
      </x:c>
      <x:c r="G28" s="299" t="n">
        <x:f>RANK(B28,$B$5:$B$40,0)+COUNTIF($B$5:B28,B28)-1</x:f>
        <x:v>30</x:v>
      </x:c>
      <x:c r="H28" s="292"/>
      <x:c r="I28" s="292"/>
      <x:c r="J28" s="292"/>
      <x:c r="K28" s="292"/>
      <x:c r="L28" s="292"/>
      <x:c r="M28" s="292"/>
      <x:c r="N28" s="292"/>
      <x:c r="O28" s="292"/>
      <x:c r="P28" s="292"/>
      <x:c r="Q28" s="292"/>
      <x:c r="R28" s="292"/>
      <x:c r="S28" s="292"/>
      <x:c r="T28" s="292"/>
      <x:c r="U28" s="292"/>
      <x:c r="V28" s="292"/>
      <x:c r="W28" s="292"/>
      <x:c r="X28" s="292"/>
      <x:c r="Y28" s="292"/>
      <x:c r="Z28" s="292"/>
    </x:row>
    <x:row r="29">
      <x:c r="A29" s="299" t="str">
        <x:v>Ionic Hair Dryer</x:v>
      </x:c>
      <x:c r="B29" s="300" t="n">
        <x:f>SUMIFS('Clean Sales'!$W$5:$W$2428,'Clean Sales'!$AH$5:$AH$2428,1,'Clean Sales'!$M$5:$M$2428,A29)</x:f>
        <x:v>6150.599999999999</x:v>
      </x:c>
      <x:c r="C29" s="300" t="n">
        <x:f>SUMIFS('Clean Sales'!$Y$5:$Y$2428,'Clean Sales'!$AH$5:$AH$2428,1,'Clean Sales'!$M$5:$M$2428,A29)</x:f>
        <x:v>3048.0999999999995</x:v>
      </x:c>
      <x:c r="D29" s="301" t="n">
        <x:f>SUMIFS('Clean Sales'!$R$5:$R$2428,'Clean Sales'!$AH$5:$AH$2428,1,'Clean Sales'!$M$5:$M$2428,A29)</x:f>
        <x:v>125</x:v>
      </x:c>
      <x:c r="E29" s="301" t="n">
        <x:f>COUNTIFS('Clean Sales'!$AH$5:$AH$2428,1,'Clean Sales'!$M$5:$M$2428,A29)</x:f>
        <x:v>58</x:v>
      </x:c>
      <x:c r="F29" s="302" t="n">
        <x:f>IFERROR(C29/B29,0)</x:f>
        <x:v>0.49557766721945823</x:v>
      </x:c>
      <x:c r="G29" s="299" t="n">
        <x:f>RANK(B29,$B$5:$B$40,0)+COUNTIF($B$5:B29,B29)-1</x:f>
        <x:v>19</x:v>
      </x:c>
      <x:c r="H29" s="292"/>
      <x:c r="I29" s="292"/>
      <x:c r="J29" s="292"/>
      <x:c r="K29" s="292"/>
      <x:c r="L29" s="292"/>
      <x:c r="M29" s="292"/>
      <x:c r="N29" s="292"/>
      <x:c r="O29" s="292"/>
      <x:c r="P29" s="292"/>
      <x:c r="Q29" s="292"/>
      <x:c r="R29" s="292"/>
      <x:c r="S29" s="292"/>
      <x:c r="T29" s="292"/>
      <x:c r="U29" s="292"/>
      <x:c r="V29" s="292"/>
      <x:c r="W29" s="292"/>
      <x:c r="X29" s="292"/>
      <x:c r="Y29" s="292"/>
      <x:c r="Z29" s="292"/>
    </x:row>
    <x:row r="30">
      <x:c r="A30" s="299" t="str">
        <x:v>Rechargeable Trimmer</x:v>
      </x:c>
      <x:c r="B30" s="300" t="n">
        <x:f>SUMIFS('Clean Sales'!$W$5:$W$2428,'Clean Sales'!$AH$5:$AH$2428,1,'Clean Sales'!$M$5:$M$2428,A30)</x:f>
        <x:v>5055.75</x:v>
      </x:c>
      <x:c r="C30" s="300" t="n">
        <x:f>SUMIFS('Clean Sales'!$Y$5:$Y$2428,'Clean Sales'!$AH$5:$AH$2428,1,'Clean Sales'!$M$5:$M$2428,A30)</x:f>
        <x:v>2781.45</x:v>
      </x:c>
      <x:c r="D30" s="301" t="n">
        <x:f>SUMIFS('Clean Sales'!$R$5:$R$2428,'Clean Sales'!$AH$5:$AH$2428,1,'Clean Sales'!$M$5:$M$2428,A30)</x:f>
        <x:v>126</x:v>
      </x:c>
      <x:c r="E30" s="301" t="n">
        <x:f>COUNTIFS('Clean Sales'!$AH$5:$AH$2428,1,'Clean Sales'!$M$5:$M$2428,A30)</x:f>
        <x:v>58</x:v>
      </x:c>
      <x:c r="F30" s="302" t="n">
        <x:f>IFERROR(C30/B30,0)</x:f>
        <x:v>0.5501557632398754</x:v>
      </x:c>
      <x:c r="G30" s="299" t="n">
        <x:f>RANK(B30,$B$5:$B$40,0)+COUNTIF($B$5:B30,B30)-1</x:f>
        <x:v>22</x:v>
      </x:c>
      <x:c r="H30" s="292"/>
      <x:c r="I30" s="292"/>
      <x:c r="J30" s="292"/>
      <x:c r="K30" s="292"/>
      <x:c r="L30" s="292"/>
      <x:c r="M30" s="292"/>
      <x:c r="N30" s="292"/>
      <x:c r="O30" s="292"/>
      <x:c r="P30" s="292"/>
      <x:c r="Q30" s="292"/>
      <x:c r="R30" s="292"/>
      <x:c r="S30" s="292"/>
      <x:c r="T30" s="292"/>
      <x:c r="U30" s="292"/>
      <x:c r="V30" s="292"/>
      <x:c r="W30" s="292"/>
      <x:c r="X30" s="292"/>
      <x:c r="Y30" s="292"/>
      <x:c r="Z30" s="292"/>
    </x:row>
    <x:row r="31">
      <x:c r="A31" s="299" t="str">
        <x:v>Facial Cleanser</x:v>
      </x:c>
      <x:c r="B31" s="300" t="n">
        <x:f>SUMIFS('Clean Sales'!$W$5:$W$2428,'Clean Sales'!$AH$5:$AH$2428,1,'Clean Sales'!$M$5:$M$2428,A31)</x:f>
        <x:v>1445.3999999999999</x:v>
      </x:c>
      <x:c r="C31" s="300" t="n">
        <x:f>SUMIFS('Clean Sales'!$Y$5:$Y$2428,'Clean Sales'!$AH$5:$AH$2428,1,'Clean Sales'!$M$5:$M$2428,A31)</x:f>
        <x:v>927.6000000000001</x:v>
      </x:c>
      <x:c r="D31" s="301" t="n">
        <x:f>SUMIFS('Clean Sales'!$R$5:$R$2428,'Clean Sales'!$AH$5:$AH$2428,1,'Clean Sales'!$M$5:$M$2428,A31)</x:f>
        <x:v>89</x:v>
      </x:c>
      <x:c r="E31" s="301" t="n">
        <x:f>COUNTIFS('Clean Sales'!$AH$5:$AH$2428,1,'Clean Sales'!$M$5:$M$2428,A31)</x:f>
        <x:v>46</x:v>
      </x:c>
      <x:c r="F31" s="302" t="n">
        <x:f>IFERROR(C31/B31,0)</x:f>
        <x:v>0.6417600664176009</x:v>
      </x:c>
      <x:c r="G31" s="299" t="n">
        <x:f>RANK(B31,$B$5:$B$40,0)+COUNTIF($B$5:B31,B31)-1</x:f>
        <x:v>36</x:v>
      </x:c>
      <x:c r="H31" s="292"/>
      <x:c r="I31" s="292"/>
      <x:c r="J31" s="292"/>
      <x:c r="K31" s="292"/>
      <x:c r="L31" s="292"/>
      <x:c r="M31" s="292"/>
      <x:c r="N31" s="292"/>
      <x:c r="O31" s="292"/>
      <x:c r="P31" s="292"/>
      <x:c r="Q31" s="292"/>
      <x:c r="R31" s="292"/>
      <x:c r="S31" s="292"/>
      <x:c r="T31" s="292"/>
      <x:c r="U31" s="292"/>
      <x:c r="V31" s="292"/>
      <x:c r="W31" s="292"/>
      <x:c r="X31" s="292"/>
      <x:c r="Y31" s="292"/>
      <x:c r="Z31" s="292"/>
    </x:row>
    <x:row r="32">
      <x:c r="A32" s="299" t="str">
        <x:v>Electric Toothbrush</x:v>
      </x:c>
      <x:c r="B32" s="300" t="n">
        <x:f>SUMIFS('Clean Sales'!$W$5:$W$2428,'Clean Sales'!$AH$5:$AH$2428,1,'Clean Sales'!$M$5:$M$2428,A32)</x:f>
        <x:v>4567.800000000001</x:v>
      </x:c>
      <x:c r="C32" s="300" t="n">
        <x:f>SUMIFS('Clean Sales'!$Y$5:$Y$2428,'Clean Sales'!$AH$5:$AH$2428,1,'Clean Sales'!$M$5:$M$2428,A32)</x:f>
        <x:v>2360.6</x:v>
      </x:c>
      <x:c r="D32" s="301" t="n">
        <x:f>SUMIFS('Clean Sales'!$R$5:$R$2428,'Clean Sales'!$AH$5:$AH$2428,1,'Clean Sales'!$M$5:$M$2428,A32)</x:f>
        <x:v>73</x:v>
      </x:c>
      <x:c r="E32" s="301" t="n">
        <x:f>COUNTIFS('Clean Sales'!$AH$5:$AH$2428,1,'Clean Sales'!$M$5:$M$2428,A32)</x:f>
        <x:v>33</x:v>
      </x:c>
      <x:c r="F32" s="302" t="n">
        <x:f>IFERROR(C32/B32,0)</x:f>
        <x:v>0.5167914532159901</x:v>
      </x:c>
      <x:c r="G32" s="299" t="n">
        <x:f>RANK(B32,$B$5:$B$40,0)+COUNTIF($B$5:B32,B32)-1</x:f>
        <x:v>26</x:v>
      </x:c>
      <x:c r="H32" s="292"/>
      <x:c r="I32" s="292"/>
      <x:c r="J32" s="292"/>
      <x:c r="K32" s="292"/>
      <x:c r="L32" s="292"/>
      <x:c r="M32" s="292"/>
      <x:c r="N32" s="292"/>
      <x:c r="O32" s="292"/>
      <x:c r="P32" s="292"/>
      <x:c r="Q32" s="292"/>
      <x:c r="R32" s="292"/>
      <x:c r="S32" s="292"/>
      <x:c r="T32" s="292"/>
      <x:c r="U32" s="292"/>
      <x:c r="V32" s="292"/>
      <x:c r="W32" s="292"/>
      <x:c r="X32" s="292"/>
      <x:c r="Y32" s="292"/>
      <x:c r="Z32" s="292"/>
    </x:row>
    <x:row r="33">
      <x:c r="A33" s="299" t="str">
        <x:v>Skin Care Starter Kit</x:v>
      </x:c>
      <x:c r="B33" s="300" t="n">
        <x:f>SUMIFS('Clean Sales'!$W$5:$W$2428,'Clean Sales'!$AH$5:$AH$2428,1,'Clean Sales'!$M$5:$M$2428,A33)</x:f>
        <x:v>2551.9999999999995</x:v>
      </x:c>
      <x:c r="C33" s="300" t="n">
        <x:f>SUMIFS('Clean Sales'!$Y$5:$Y$2428,'Clean Sales'!$AH$5:$AH$2428,1,'Clean Sales'!$M$5:$M$2428,A33)</x:f>
        <x:v>1404.8000000000002</x:v>
      </x:c>
      <x:c r="D33" s="301" t="n">
        <x:f>SUMIFS('Clean Sales'!$R$5:$R$2428,'Clean Sales'!$AH$5:$AH$2428,1,'Clean Sales'!$M$5:$M$2428,A33)</x:f>
        <x:v>55</x:v>
      </x:c>
      <x:c r="E33" s="301" t="n">
        <x:f>COUNTIFS('Clean Sales'!$AH$5:$AH$2428,1,'Clean Sales'!$M$5:$M$2428,A33)</x:f>
        <x:v>35</x:v>
      </x:c>
      <x:c r="F33" s="302" t="n">
        <x:f>IFERROR(C33/B33,0)</x:f>
        <x:v>0.5504702194357368</x:v>
      </x:c>
      <x:c r="G33" s="299" t="n">
        <x:f>RANK(B33,$B$5:$B$40,0)+COUNTIF($B$5:B33,B33)-1</x:f>
        <x:v>32</x:v>
      </x:c>
      <x:c r="H33" s="292"/>
      <x:c r="I33" s="292"/>
      <x:c r="J33" s="292"/>
      <x:c r="K33" s="292"/>
      <x:c r="L33" s="292"/>
      <x:c r="M33" s="292"/>
      <x:c r="N33" s="292"/>
      <x:c r="O33" s="292"/>
      <x:c r="P33" s="292"/>
      <x:c r="Q33" s="292"/>
      <x:c r="R33" s="292"/>
      <x:c r="S33" s="292"/>
      <x:c r="T33" s="292"/>
      <x:c r="U33" s="292"/>
      <x:c r="V33" s="292"/>
      <x:c r="W33" s="292"/>
      <x:c r="X33" s="292"/>
      <x:c r="Y33" s="292"/>
      <x:c r="Z33" s="292"/>
    </x:row>
    <x:row r="34">
      <x:c r="A34" s="299" t="str">
        <x:v>Percussion Massage Gun</x:v>
      </x:c>
      <x:c r="B34" s="300" t="n">
        <x:f>SUMIFS('Clean Sales'!$W$5:$W$2428,'Clean Sales'!$AH$5:$AH$2428,1,'Clean Sales'!$M$5:$M$2428,A34)</x:f>
        <x:v>11435.85</x:v>
      </x:c>
      <x:c r="C34" s="300" t="n">
        <x:f>SUMIFS('Clean Sales'!$Y$5:$Y$2428,'Clean Sales'!$AH$5:$AH$2428,1,'Clean Sales'!$M$5:$M$2428,A34)</x:f>
        <x:v>4708.850000000001</x:v>
      </x:c>
      <x:c r="D34" s="301" t="n">
        <x:f>SUMIFS('Clean Sales'!$R$5:$R$2428,'Clean Sales'!$AH$5:$AH$2428,1,'Clean Sales'!$M$5:$M$2428,A34)</x:f>
        <x:v>97</x:v>
      </x:c>
      <x:c r="E34" s="301" t="n">
        <x:f>COUNTIFS('Clean Sales'!$AH$5:$AH$2428,1,'Clean Sales'!$M$5:$M$2428,A34)</x:f>
        <x:v>46</x:v>
      </x:c>
      <x:c r="F34" s="302" t="n">
        <x:f>IFERROR(C34/B34,0)</x:f>
        <x:v>0.41176213399091466</x:v>
      </x:c>
      <x:c r="G34" s="299" t="n">
        <x:f>RANK(B34,$B$5:$B$40,0)+COUNTIF($B$5:B34,B34)-1</x:f>
        <x:v>12</x:v>
      </x:c>
      <x:c r="H34" s="292"/>
      <x:c r="I34" s="292"/>
      <x:c r="J34" s="292"/>
      <x:c r="K34" s="292"/>
      <x:c r="L34" s="292"/>
      <x:c r="M34" s="292"/>
      <x:c r="N34" s="292"/>
      <x:c r="O34" s="292"/>
      <x:c r="P34" s="292"/>
      <x:c r="Q34" s="292"/>
      <x:c r="R34" s="292"/>
      <x:c r="S34" s="292"/>
      <x:c r="T34" s="292"/>
      <x:c r="U34" s="292"/>
      <x:c r="V34" s="292"/>
      <x:c r="W34" s="292"/>
      <x:c r="X34" s="292"/>
      <x:c r="Y34" s="292"/>
      <x:c r="Z34" s="292"/>
    </x:row>
    <x:row r="35">
      <x:c r="A35" s="299" t="str">
        <x:v>Canvas Tote Bag</x:v>
      </x:c>
      <x:c r="B35" s="300" t="n">
        <x:f>SUMIFS('Clean Sales'!$W$5:$W$2428,'Clean Sales'!$AH$5:$AH$2428,1,'Clean Sales'!$M$5:$M$2428,A35)</x:f>
        <x:v>5085.6</x:v>
      </x:c>
      <x:c r="C35" s="300" t="n">
        <x:f>SUMIFS('Clean Sales'!$Y$5:$Y$2428,'Clean Sales'!$AH$5:$AH$2428,1,'Clean Sales'!$M$5:$M$2428,A35)</x:f>
        <x:v>3097.6</x:v>
      </x:c>
      <x:c r="D35" s="301" t="n">
        <x:f>SUMIFS('Clean Sales'!$R$5:$R$2428,'Clean Sales'!$AH$5:$AH$2428,1,'Clean Sales'!$M$5:$M$2428,A35)</x:f>
        <x:v>142</x:v>
      </x:c>
      <x:c r="E35" s="301" t="n">
        <x:f>COUNTIFS('Clean Sales'!$AH$5:$AH$2428,1,'Clean Sales'!$M$5:$M$2428,A35)</x:f>
        <x:v>69</x:v>
      </x:c>
      <x:c r="F35" s="302" t="n">
        <x:f>IFERROR(C35/B35,0)</x:f>
        <x:v>0.6090923391536888</x:v>
      </x:c>
      <x:c r="G35" s="299" t="n">
        <x:f>RANK(B35,$B$5:$B$40,0)+COUNTIF($B$5:B35,B35)-1</x:f>
        <x:v>21</x:v>
      </x:c>
      <x:c r="H35" s="292"/>
      <x:c r="I35" s="292"/>
      <x:c r="J35" s="292"/>
      <x:c r="K35" s="292"/>
      <x:c r="L35" s="292"/>
      <x:c r="M35" s="292"/>
      <x:c r="N35" s="292"/>
      <x:c r="O35" s="292"/>
      <x:c r="P35" s="292"/>
      <x:c r="Q35" s="292"/>
      <x:c r="R35" s="292"/>
      <x:c r="S35" s="292"/>
      <x:c r="T35" s="292"/>
      <x:c r="U35" s="292"/>
      <x:c r="V35" s="292"/>
      <x:c r="W35" s="292"/>
      <x:c r="X35" s="292"/>
      <x:c r="Y35" s="292"/>
      <x:c r="Z35" s="292"/>
    </x:row>
    <x:row r="36">
      <x:c r="A36" s="299" t="str">
        <x:v>Travel Backpack</x:v>
      </x:c>
      <x:c r="B36" s="300" t="n">
        <x:f>SUMIFS('Clean Sales'!$W$5:$W$2428,'Clean Sales'!$AH$5:$AH$2428,1,'Clean Sales'!$M$5:$M$2428,A36)</x:f>
        <x:v>10791.250000000002</x:v>
      </x:c>
      <x:c r="C36" s="300" t="n">
        <x:f>SUMIFS('Clean Sales'!$Y$5:$Y$2428,'Clean Sales'!$AH$5:$AH$2428,1,'Clean Sales'!$M$5:$M$2428,A36)</x:f>
        <x:v>6032.050000000001</x:v>
      </x:c>
      <x:c r="D36" s="301" t="n">
        <x:f>SUMIFS('Clean Sales'!$R$5:$R$2428,'Clean Sales'!$AH$5:$AH$2428,1,'Clean Sales'!$M$5:$M$2428,A36)</x:f>
        <x:v>143</x:v>
      </x:c>
      <x:c r="E36" s="301" t="n">
        <x:f>COUNTIFS('Clean Sales'!$AH$5:$AH$2428,1,'Clean Sales'!$M$5:$M$2428,A36)</x:f>
        <x:v>64</x:v>
      </x:c>
      <x:c r="F36" s="302" t="n">
        <x:f>IFERROR(C36/B36,0)</x:f>
        <x:v>0.5589760222402409</x:v>
      </x:c>
      <x:c r="G36" s="299" t="n">
        <x:f>RANK(B36,$B$5:$B$40,0)+COUNTIF($B$5:B36,B36)-1</x:f>
        <x:v>13</x:v>
      </x:c>
      <x:c r="H36" s="292"/>
      <x:c r="I36" s="292"/>
      <x:c r="J36" s="292"/>
      <x:c r="K36" s="292"/>
      <x:c r="L36" s="292"/>
      <x:c r="M36" s="292"/>
      <x:c r="N36" s="292"/>
      <x:c r="O36" s="292"/>
      <x:c r="P36" s="292"/>
      <x:c r="Q36" s="292"/>
      <x:c r="R36" s="292"/>
      <x:c r="S36" s="292"/>
      <x:c r="T36" s="292"/>
      <x:c r="U36" s="292"/>
      <x:c r="V36" s="292"/>
      <x:c r="W36" s="292"/>
      <x:c r="X36" s="292"/>
      <x:c r="Y36" s="292"/>
      <x:c r="Z36" s="292"/>
    </x:row>
    <x:row r="37">
      <x:c r="A37" s="299" t="str">
        <x:v>Polarized Sunglasses</x:v>
      </x:c>
      <x:c r="B37" s="300" t="n">
        <x:f>SUMIFS('Clean Sales'!$W$5:$W$2428,'Clean Sales'!$AH$5:$AH$2428,1,'Clean Sales'!$M$5:$M$2428,A37)</x:f>
        <x:v>7457.600000000002</x:v>
      </x:c>
      <x:c r="C37" s="300" t="n">
        <x:f>SUMIFS('Clean Sales'!$Y$5:$Y$2428,'Clean Sales'!$AH$5:$AH$2428,1,'Clean Sales'!$M$5:$M$2428,A37)</x:f>
        <x:v>5157.500000000003</x:v>
      </x:c>
      <x:c r="D37" s="301" t="n">
        <x:f>SUMIFS('Clean Sales'!$R$5:$R$2428,'Clean Sales'!$AH$5:$AH$2428,1,'Clean Sales'!$M$5:$M$2428,A37)</x:f>
        <x:v>138</x:v>
      </x:c>
      <x:c r="E37" s="301" t="n">
        <x:f>COUNTIFS('Clean Sales'!$AH$5:$AH$2428,1,'Clean Sales'!$M$5:$M$2428,A37)</x:f>
        <x:v>73</x:v>
      </x:c>
      <x:c r="F37" s="302" t="n">
        <x:f>IFERROR(C37/B37,0)</x:f>
        <x:v>0.6915763784595582</x:v>
      </x:c>
      <x:c r="G37" s="299" t="n">
        <x:f>RANK(B37,$B$5:$B$40,0)+COUNTIF($B$5:B37,B37)-1</x:f>
        <x:v>16</x:v>
      </x:c>
      <x:c r="H37" s="292"/>
      <x:c r="I37" s="292"/>
      <x:c r="J37" s="292"/>
      <x:c r="K37" s="292"/>
      <x:c r="L37" s="292"/>
      <x:c r="M37" s="292"/>
      <x:c r="N37" s="292"/>
      <x:c r="O37" s="292"/>
      <x:c r="P37" s="292"/>
      <x:c r="Q37" s="292"/>
      <x:c r="R37" s="292"/>
      <x:c r="S37" s="292"/>
      <x:c r="T37" s="292"/>
      <x:c r="U37" s="292"/>
      <x:c r="V37" s="292"/>
      <x:c r="W37" s="292"/>
      <x:c r="X37" s="292"/>
      <x:c r="Y37" s="292"/>
      <x:c r="Z37" s="292"/>
    </x:row>
    <x:row r="38">
      <x:c r="A38" s="299" t="str">
        <x:v>Leather Wallet</x:v>
      </x:c>
      <x:c r="B38" s="300" t="n">
        <x:f>SUMIFS('Clean Sales'!$W$5:$W$2428,'Clean Sales'!$AH$5:$AH$2428,1,'Clean Sales'!$M$5:$M$2428,A38)</x:f>
        <x:v>4833.849999999999</x:v>
      </x:c>
      <x:c r="C38" s="300" t="n">
        <x:f>SUMIFS('Clean Sales'!$Y$5:$Y$2428,'Clean Sales'!$AH$5:$AH$2428,1,'Clean Sales'!$M$5:$M$2428,A38)</x:f>
        <x:v>2918.65</x:v>
      </x:c>
      <x:c r="D38" s="301" t="n">
        <x:f>SUMIFS('Clean Sales'!$R$5:$R$2428,'Clean Sales'!$AH$5:$AH$2428,1,'Clean Sales'!$M$5:$M$2428,A38)</x:f>
        <x:v>110</x:v>
      </x:c>
      <x:c r="E38" s="301" t="n">
        <x:f>COUNTIFS('Clean Sales'!$AH$5:$AH$2428,1,'Clean Sales'!$M$5:$M$2428,A38)</x:f>
        <x:v>52</x:v>
      </x:c>
      <x:c r="F38" s="302" t="n">
        <x:f>IFERROR(C38/B38,0)</x:f>
        <x:v>0.6037940771848528</x:v>
      </x:c>
      <x:c r="G38" s="299" t="n">
        <x:f>RANK(B38,$B$5:$B$40,0)+COUNTIF($B$5:B38,B38)-1</x:f>
        <x:v>24</x:v>
      </x:c>
      <x:c r="H38" s="292"/>
      <x:c r="I38" s="292"/>
      <x:c r="J38" s="292"/>
      <x:c r="K38" s="292"/>
      <x:c r="L38" s="292"/>
      <x:c r="M38" s="292"/>
      <x:c r="N38" s="292"/>
      <x:c r="O38" s="292"/>
      <x:c r="P38" s="292"/>
      <x:c r="Q38" s="292"/>
      <x:c r="R38" s="292"/>
      <x:c r="S38" s="292"/>
      <x:c r="T38" s="292"/>
      <x:c r="U38" s="292"/>
      <x:c r="V38" s="292"/>
      <x:c r="W38" s="292"/>
      <x:c r="X38" s="292"/>
      <x:c r="Y38" s="292"/>
      <x:c r="Z38" s="292"/>
    </x:row>
    <x:row r="39">
      <x:c r="A39" s="299" t="str">
        <x:v>Protective Phone Case</x:v>
      </x:c>
      <x:c r="B39" s="300" t="n">
        <x:f>SUMIFS('Clean Sales'!$W$5:$W$2428,'Clean Sales'!$AH$5:$AH$2428,1,'Clean Sales'!$M$5:$M$2428,A39)</x:f>
        <x:v>2930.4</x:v>
      </x:c>
      <x:c r="C39" s="300" t="n">
        <x:f>SUMIFS('Clean Sales'!$Y$5:$Y$2428,'Clean Sales'!$AH$5:$AH$2428,1,'Clean Sales'!$M$5:$M$2428,A39)</x:f>
        <x:v>2282.9000000000005</x:v>
      </x:c>
      <x:c r="D39" s="301" t="n">
        <x:f>SUMIFS('Clean Sales'!$R$5:$R$2428,'Clean Sales'!$AH$5:$AH$2428,1,'Clean Sales'!$M$5:$M$2428,A39)</x:f>
        <x:v>134</x:v>
      </x:c>
      <x:c r="E39" s="301" t="n">
        <x:f>COUNTIFS('Clean Sales'!$AH$5:$AH$2428,1,'Clean Sales'!$M$5:$M$2428,A39)</x:f>
        <x:v>59</x:v>
      </x:c>
      <x:c r="F39" s="302" t="n">
        <x:f>IFERROR(C39/B39,0)</x:f>
        <x:v>0.7790404040404042</x:v>
      </x:c>
      <x:c r="G39" s="299" t="n">
        <x:f>RANK(B39,$B$5:$B$40,0)+COUNTIF($B$5:B39,B39)-1</x:f>
        <x:v>29</x:v>
      </x:c>
      <x:c r="H39" s="292"/>
      <x:c r="I39" s="292"/>
      <x:c r="J39" s="292"/>
      <x:c r="K39" s="292"/>
      <x:c r="L39" s="292"/>
      <x:c r="M39" s="292"/>
      <x:c r="N39" s="292"/>
      <x:c r="O39" s="292"/>
      <x:c r="P39" s="292"/>
      <x:c r="Q39" s="292"/>
      <x:c r="R39" s="292"/>
      <x:c r="S39" s="292"/>
      <x:c r="T39" s="292"/>
      <x:c r="U39" s="292"/>
      <x:c r="V39" s="292"/>
      <x:c r="W39" s="292"/>
      <x:c r="X39" s="292"/>
      <x:c r="Y39" s="292"/>
      <x:c r="Z39" s="292"/>
    </x:row>
    <x:row r="40">
      <x:c r="A40" s="304" t="str">
        <x:v>Insulated Lunch Bag</x:v>
      </x:c>
      <x:c r="B40" s="305" t="n">
        <x:f>SUMIFS('Clean Sales'!$W$5:$W$2428,'Clean Sales'!$AH$5:$AH$2428,1,'Clean Sales'!$M$5:$M$2428,A40)</x:f>
        <x:v>3111.7000000000003</x:v>
      </x:c>
      <x:c r="C40" s="305" t="n">
        <x:f>SUMIFS('Clean Sales'!$Y$5:$Y$2428,'Clean Sales'!$AH$5:$AH$2428,1,'Clean Sales'!$M$5:$M$2428,A40)</x:f>
        <x:v>1951.7</x:v>
      </x:c>
      <x:c r="D40" s="306" t="n">
        <x:f>SUMIFS('Clean Sales'!$R$5:$R$2428,'Clean Sales'!$AH$5:$AH$2428,1,'Clean Sales'!$M$5:$M$2428,A40)</x:f>
        <x:v>116</x:v>
      </x:c>
      <x:c r="E40" s="306" t="n">
        <x:f>COUNTIFS('Clean Sales'!$AH$5:$AH$2428,1,'Clean Sales'!$M$5:$M$2428,A40)</x:f>
        <x:v>57</x:v>
      </x:c>
      <x:c r="F40" s="307" t="n">
        <x:f>IFERROR(C40/B40,0)</x:f>
        <x:v>0.6272134203168686</x:v>
      </x:c>
      <x:c r="G40" s="304" t="n">
        <x:f>RANK(B40,$B$5:$B$40,0)+COUNTIF($B$5:B40,B40)-1</x:f>
        <x:v>28</x:v>
      </x:c>
      <x:c r="H40" s="292"/>
      <x:c r="I40" s="292"/>
      <x:c r="J40" s="292"/>
      <x:c r="K40" s="292"/>
      <x:c r="L40" s="292"/>
      <x:c r="M40" s="292"/>
      <x:c r="N40" s="292"/>
      <x:c r="O40" s="292"/>
      <x:c r="P40" s="292"/>
      <x:c r="Q40" s="292"/>
      <x:c r="R40" s="292"/>
      <x:c r="S40" s="292"/>
      <x:c r="T40" s="292"/>
      <x:c r="U40" s="292"/>
      <x:c r="V40" s="292"/>
      <x:c r="W40" s="292"/>
      <x:c r="X40" s="292"/>
      <x:c r="Y40" s="292"/>
      <x:c r="Z40" s="292"/>
    </x:row>
    <x:row r="41">
      <x:c r="A41" s="292"/>
      <x:c r="B41" s="292"/>
      <x:c r="C41" s="292"/>
      <x:c r="D41" s="292"/>
      <x:c r="E41" s="292"/>
      <x:c r="F41" s="292"/>
      <x:c r="G41" s="292"/>
      <x:c r="H41" s="292"/>
      <x:c r="I41" s="292"/>
      <x:c r="J41" s="292"/>
      <x:c r="K41" s="292"/>
      <x:c r="L41" s="292"/>
      <x:c r="M41" s="292"/>
      <x:c r="N41" s="292"/>
      <x:c r="O41" s="292"/>
      <x:c r="P41" s="292"/>
      <x:c r="Q41" s="292"/>
      <x:c r="R41" s="292"/>
      <x:c r="S41" s="292"/>
      <x:c r="T41" s="292"/>
      <x:c r="U41" s="292"/>
      <x:c r="V41" s="292"/>
      <x:c r="W41" s="292"/>
      <x:c r="X41" s="292"/>
      <x:c r="Y41" s="292"/>
      <x:c r="Z41" s="292"/>
    </x:row>
    <x:row r="42">
      <x:c r="A42" s="292"/>
      <x:c r="B42" s="292"/>
      <x:c r="C42" s="292"/>
      <x:c r="D42" s="292"/>
      <x:c r="E42" s="292"/>
      <x:c r="F42" s="292"/>
      <x:c r="G42" s="292"/>
      <x:c r="H42" s="292"/>
      <x:c r="I42" s="292"/>
      <x:c r="J42" s="292"/>
      <x:c r="K42" s="292"/>
      <x:c r="L42" s="292"/>
      <x:c r="M42" s="292"/>
      <x:c r="N42" s="292"/>
      <x:c r="O42" s="292"/>
      <x:c r="P42" s="292"/>
      <x:c r="Q42" s="292"/>
      <x:c r="R42" s="292"/>
      <x:c r="S42" s="292"/>
      <x:c r="T42" s="292"/>
      <x:c r="U42" s="292"/>
      <x:c r="V42" s="292"/>
      <x:c r="W42" s="292"/>
      <x:c r="X42" s="292"/>
      <x:c r="Y42" s="292"/>
      <x:c r="Z42" s="292"/>
    </x:row>
    <x:row r="43">
      <x:c r="A43" s="292"/>
      <x:c r="B43" s="292"/>
      <x:c r="C43" s="292"/>
      <x:c r="D43" s="292"/>
      <x:c r="E43" s="292"/>
      <x:c r="F43" s="292"/>
      <x:c r="G43" s="292"/>
      <x:c r="H43" s="292"/>
      <x:c r="I43" s="292"/>
      <x:c r="J43" s="292"/>
      <x:c r="K43" s="292"/>
      <x:c r="L43" s="292"/>
      <x:c r="M43" s="292"/>
      <x:c r="N43" s="292"/>
      <x:c r="O43" s="292"/>
      <x:c r="P43" s="292"/>
      <x:c r="Q43" s="292"/>
      <x:c r="R43" s="292"/>
      <x:c r="S43" s="292"/>
      <x:c r="T43" s="292"/>
      <x:c r="U43" s="292"/>
      <x:c r="V43" s="292"/>
      <x:c r="W43" s="292"/>
      <x:c r="X43" s="292"/>
      <x:c r="Y43" s="292"/>
      <x:c r="Z43" s="292"/>
    </x:row>
    <x:row r="44">
      <x:c r="A44" s="292"/>
      <x:c r="B44" s="292"/>
      <x:c r="C44" s="292"/>
      <x:c r="D44" s="292"/>
      <x:c r="E44" s="292"/>
      <x:c r="F44" s="292"/>
      <x:c r="G44" s="292"/>
      <x:c r="H44" s="292"/>
      <x:c r="I44" s="292"/>
      <x:c r="J44" s="292"/>
      <x:c r="K44" s="292"/>
      <x:c r="L44" s="292"/>
      <x:c r="M44" s="292"/>
      <x:c r="N44" s="292"/>
      <x:c r="O44" s="292"/>
      <x:c r="P44" s="292"/>
      <x:c r="Q44" s="292"/>
      <x:c r="R44" s="292"/>
      <x:c r="S44" s="292"/>
      <x:c r="T44" s="292"/>
      <x:c r="U44" s="292"/>
      <x:c r="V44" s="292"/>
      <x:c r="W44" s="292"/>
      <x:c r="X44" s="292"/>
      <x:c r="Y44" s="292"/>
      <x:c r="Z44" s="292"/>
    </x:row>
    <x:row r="45">
      <x:c r="A45" s="292"/>
      <x:c r="B45" s="292"/>
      <x:c r="C45" s="292"/>
      <x:c r="D45" s="292"/>
      <x:c r="E45" s="292"/>
      <x:c r="F45" s="292"/>
      <x:c r="G45" s="292"/>
      <x:c r="H45" s="292"/>
      <x:c r="I45" s="292"/>
      <x:c r="J45" s="292"/>
      <x:c r="K45" s="292"/>
      <x:c r="L45" s="292"/>
      <x:c r="M45" s="292"/>
      <x:c r="N45" s="292"/>
      <x:c r="O45" s="292"/>
      <x:c r="P45" s="292"/>
      <x:c r="Q45" s="292"/>
      <x:c r="R45" s="292"/>
      <x:c r="S45" s="292"/>
      <x:c r="T45" s="292"/>
      <x:c r="U45" s="292"/>
      <x:c r="V45" s="292"/>
      <x:c r="W45" s="292"/>
      <x:c r="X45" s="292"/>
      <x:c r="Y45" s="292"/>
      <x:c r="Z45" s="292"/>
    </x:row>
    <x:row r="46">
      <x:c r="A46" s="292"/>
      <x:c r="B46" s="292"/>
      <x:c r="C46" s="292"/>
      <x:c r="D46" s="292"/>
      <x:c r="E46" s="292"/>
      <x:c r="F46" s="292"/>
      <x:c r="G46" s="292"/>
      <x:c r="H46" s="292"/>
      <x:c r="I46" s="292"/>
      <x:c r="J46" s="292"/>
      <x:c r="K46" s="292"/>
      <x:c r="L46" s="292"/>
      <x:c r="M46" s="292"/>
      <x:c r="N46" s="292"/>
      <x:c r="O46" s="292"/>
      <x:c r="P46" s="292"/>
      <x:c r="Q46" s="292"/>
      <x:c r="R46" s="292"/>
      <x:c r="S46" s="292"/>
      <x:c r="T46" s="292"/>
      <x:c r="U46" s="292"/>
      <x:c r="V46" s="292"/>
      <x:c r="W46" s="292"/>
      <x:c r="X46" s="292"/>
      <x:c r="Y46" s="292"/>
      <x:c r="Z46" s="292"/>
    </x:row>
    <x:row r="47">
      <x:c r="A47" s="292"/>
      <x:c r="B47" s="292"/>
      <x:c r="C47" s="292"/>
      <x:c r="D47" s="292"/>
      <x:c r="E47" s="292"/>
      <x:c r="F47" s="292"/>
      <x:c r="G47" s="292"/>
      <x:c r="H47" s="292"/>
      <x:c r="I47" s="292"/>
      <x:c r="J47" s="292"/>
      <x:c r="K47" s="292"/>
      <x:c r="L47" s="292"/>
      <x:c r="M47" s="292"/>
      <x:c r="N47" s="292"/>
      <x:c r="O47" s="292"/>
      <x:c r="P47" s="292"/>
      <x:c r="Q47" s="292"/>
      <x:c r="R47" s="292"/>
      <x:c r="S47" s="292"/>
      <x:c r="T47" s="292"/>
      <x:c r="U47" s="292"/>
      <x:c r="V47" s="292"/>
      <x:c r="W47" s="292"/>
      <x:c r="X47" s="292"/>
      <x:c r="Y47" s="292"/>
      <x:c r="Z47" s="292"/>
    </x:row>
    <x:row r="48">
      <x:c r="A48" s="292"/>
      <x:c r="B48" s="292"/>
      <x:c r="C48" s="292"/>
      <x:c r="D48" s="292"/>
      <x:c r="E48" s="292"/>
      <x:c r="F48" s="292"/>
      <x:c r="G48" s="292"/>
      <x:c r="H48" s="292"/>
      <x:c r="I48" s="292"/>
      <x:c r="J48" s="292"/>
      <x:c r="K48" s="292"/>
      <x:c r="L48" s="292"/>
      <x:c r="M48" s="292"/>
      <x:c r="N48" s="292"/>
      <x:c r="O48" s="292"/>
      <x:c r="P48" s="292"/>
      <x:c r="Q48" s="292"/>
      <x:c r="R48" s="292"/>
      <x:c r="S48" s="292"/>
      <x:c r="T48" s="292"/>
      <x:c r="U48" s="292"/>
      <x:c r="V48" s="292"/>
      <x:c r="W48" s="292"/>
      <x:c r="X48" s="292"/>
      <x:c r="Y48" s="292"/>
      <x:c r="Z48" s="292"/>
    </x:row>
    <x:row r="49">
      <x:c r="A49" s="292"/>
      <x:c r="B49" s="292"/>
      <x:c r="C49" s="292"/>
      <x:c r="D49" s="292"/>
      <x:c r="E49" s="292"/>
      <x:c r="F49" s="292"/>
      <x:c r="G49" s="292"/>
      <x:c r="H49" s="292"/>
      <x:c r="I49" s="292"/>
      <x:c r="J49" s="292"/>
      <x:c r="K49" s="292"/>
      <x:c r="L49" s="292"/>
      <x:c r="M49" s="292"/>
      <x:c r="N49" s="292"/>
      <x:c r="O49" s="292"/>
      <x:c r="P49" s="292"/>
      <x:c r="Q49" s="292"/>
      <x:c r="R49" s="292"/>
      <x:c r="S49" s="292"/>
      <x:c r="T49" s="292"/>
      <x:c r="U49" s="292"/>
      <x:c r="V49" s="292"/>
      <x:c r="W49" s="292"/>
      <x:c r="X49" s="292"/>
      <x:c r="Y49" s="292"/>
      <x:c r="Z49" s="292"/>
    </x:row>
    <x:row r="50">
      <x:c r="A50" s="292"/>
      <x:c r="B50" s="292"/>
      <x:c r="C50" s="292"/>
      <x:c r="D50" s="292"/>
      <x:c r="E50" s="292"/>
      <x:c r="F50" s="292"/>
      <x:c r="G50" s="292"/>
      <x:c r="H50" s="292"/>
      <x:c r="I50" s="292"/>
      <x:c r="J50" s="292"/>
      <x:c r="K50" s="292"/>
      <x:c r="L50" s="292"/>
      <x:c r="M50" s="292"/>
      <x:c r="N50" s="292"/>
      <x:c r="O50" s="292"/>
      <x:c r="P50" s="292"/>
      <x:c r="Q50" s="292"/>
      <x:c r="R50" s="292"/>
      <x:c r="S50" s="292"/>
      <x:c r="T50" s="292"/>
      <x:c r="U50" s="292"/>
      <x:c r="V50" s="292"/>
      <x:c r="W50" s="292"/>
      <x:c r="X50" s="292"/>
      <x:c r="Y50" s="292"/>
      <x:c r="Z50" s="292"/>
    </x:row>
    <x:row r="51">
      <x:c r="A51" s="292"/>
      <x:c r="B51" s="292"/>
      <x:c r="C51" s="292"/>
      <x:c r="D51" s="292"/>
      <x:c r="E51" s="292"/>
      <x:c r="F51" s="292"/>
      <x:c r="G51" s="292"/>
      <x:c r="H51" s="292"/>
      <x:c r="I51" s="292"/>
      <x:c r="J51" s="292"/>
      <x:c r="K51" s="292"/>
      <x:c r="L51" s="292"/>
      <x:c r="M51" s="292"/>
      <x:c r="N51" s="292"/>
      <x:c r="O51" s="292"/>
      <x:c r="P51" s="292"/>
      <x:c r="Q51" s="292"/>
      <x:c r="R51" s="292"/>
      <x:c r="S51" s="292"/>
      <x:c r="T51" s="292"/>
      <x:c r="U51" s="292"/>
      <x:c r="V51" s="292"/>
      <x:c r="W51" s="292"/>
      <x:c r="X51" s="292"/>
      <x:c r="Y51" s="292"/>
      <x:c r="Z51" s="292"/>
    </x:row>
    <x:row r="52">
      <x:c r="A52" s="292"/>
      <x:c r="B52" s="292"/>
      <x:c r="C52" s="292"/>
      <x:c r="D52" s="292"/>
      <x:c r="E52" s="292"/>
      <x:c r="F52" s="292"/>
      <x:c r="G52" s="292"/>
      <x:c r="H52" s="292"/>
      <x:c r="I52" s="292"/>
      <x:c r="J52" s="292"/>
      <x:c r="K52" s="292"/>
      <x:c r="L52" s="292"/>
      <x:c r="M52" s="292"/>
      <x:c r="N52" s="292"/>
      <x:c r="O52" s="292"/>
      <x:c r="P52" s="292"/>
      <x:c r="Q52" s="292"/>
      <x:c r="R52" s="292"/>
      <x:c r="S52" s="292"/>
      <x:c r="T52" s="292"/>
      <x:c r="U52" s="292"/>
      <x:c r="V52" s="292"/>
      <x:c r="W52" s="292"/>
      <x:c r="X52" s="292"/>
      <x:c r="Y52" s="292"/>
      <x:c r="Z52" s="292"/>
    </x:row>
    <x:row r="53">
      <x:c r="A53" s="292"/>
      <x:c r="B53" s="292"/>
      <x:c r="C53" s="292"/>
      <x:c r="D53" s="292"/>
      <x:c r="E53" s="292"/>
      <x:c r="F53" s="292"/>
      <x:c r="G53" s="292"/>
      <x:c r="H53" s="292"/>
      <x:c r="I53" s="292"/>
      <x:c r="J53" s="292"/>
      <x:c r="K53" s="292"/>
      <x:c r="L53" s="292"/>
      <x:c r="M53" s="292"/>
      <x:c r="N53" s="292"/>
      <x:c r="O53" s="292"/>
      <x:c r="P53" s="292"/>
      <x:c r="Q53" s="292"/>
      <x:c r="R53" s="292"/>
      <x:c r="S53" s="292"/>
      <x:c r="T53" s="292"/>
      <x:c r="U53" s="292"/>
      <x:c r="V53" s="292"/>
      <x:c r="W53" s="292"/>
      <x:c r="X53" s="292"/>
      <x:c r="Y53" s="292"/>
      <x:c r="Z53" s="292"/>
    </x:row>
    <x:row r="54">
      <x:c r="A54" s="292"/>
      <x:c r="B54" s="292"/>
      <x:c r="C54" s="292"/>
      <x:c r="D54" s="292"/>
      <x:c r="E54" s="292"/>
      <x:c r="F54" s="292"/>
      <x:c r="G54" s="292"/>
      <x:c r="H54" s="292"/>
      <x:c r="I54" s="292"/>
      <x:c r="J54" s="292"/>
      <x:c r="K54" s="292"/>
      <x:c r="L54" s="292"/>
      <x:c r="M54" s="292"/>
      <x:c r="N54" s="292"/>
      <x:c r="O54" s="292"/>
      <x:c r="P54" s="292"/>
      <x:c r="Q54" s="292"/>
      <x:c r="R54" s="292"/>
      <x:c r="S54" s="292"/>
      <x:c r="T54" s="292"/>
      <x:c r="U54" s="292"/>
      <x:c r="V54" s="292"/>
      <x:c r="W54" s="292"/>
      <x:c r="X54" s="292"/>
      <x:c r="Y54" s="292"/>
      <x:c r="Z54" s="292"/>
    </x:row>
    <x:row r="55">
      <x:c r="A55" s="292"/>
      <x:c r="B55" s="292"/>
      <x:c r="C55" s="292"/>
      <x:c r="D55" s="292"/>
      <x:c r="E55" s="292"/>
      <x:c r="F55" s="292"/>
      <x:c r="G55" s="292"/>
      <x:c r="H55" s="292"/>
      <x:c r="I55" s="292"/>
      <x:c r="J55" s="292"/>
      <x:c r="K55" s="292"/>
      <x:c r="L55" s="292"/>
      <x:c r="M55" s="292"/>
      <x:c r="N55" s="292"/>
      <x:c r="O55" s="292"/>
      <x:c r="P55" s="292"/>
      <x:c r="Q55" s="292"/>
      <x:c r="R55" s="292"/>
      <x:c r="S55" s="292"/>
      <x:c r="T55" s="292"/>
      <x:c r="U55" s="292"/>
      <x:c r="V55" s="292"/>
      <x:c r="W55" s="292"/>
      <x:c r="X55" s="292"/>
      <x:c r="Y55" s="292"/>
      <x:c r="Z55" s="292"/>
    </x:row>
    <x:row r="56">
      <x:c r="A56" s="292"/>
      <x:c r="B56" s="292"/>
      <x:c r="C56" s="292"/>
      <x:c r="D56" s="292"/>
      <x:c r="E56" s="292"/>
      <x:c r="F56" s="292"/>
      <x:c r="G56" s="292"/>
      <x:c r="H56" s="292"/>
      <x:c r="I56" s="292"/>
      <x:c r="J56" s="292"/>
      <x:c r="K56" s="292"/>
      <x:c r="L56" s="292"/>
      <x:c r="M56" s="292"/>
      <x:c r="N56" s="292"/>
      <x:c r="O56" s="292"/>
      <x:c r="P56" s="292"/>
      <x:c r="Q56" s="292"/>
      <x:c r="R56" s="292"/>
      <x:c r="S56" s="292"/>
      <x:c r="T56" s="292"/>
      <x:c r="U56" s="292"/>
      <x:c r="V56" s="292"/>
      <x:c r="W56" s="292"/>
      <x:c r="X56" s="292"/>
      <x:c r="Y56" s="292"/>
      <x:c r="Z56" s="292"/>
    </x:row>
    <x:row r="57">
      <x:c r="A57" s="292"/>
      <x:c r="B57" s="292"/>
      <x:c r="C57" s="292"/>
      <x:c r="D57" s="292"/>
      <x:c r="E57" s="292"/>
      <x:c r="F57" s="292"/>
      <x:c r="G57" s="292"/>
      <x:c r="H57" s="292"/>
      <x:c r="I57" s="292"/>
      <x:c r="J57" s="292"/>
      <x:c r="K57" s="292"/>
      <x:c r="L57" s="292"/>
      <x:c r="M57" s="292"/>
      <x:c r="N57" s="292"/>
      <x:c r="O57" s="292"/>
      <x:c r="P57" s="292"/>
      <x:c r="Q57" s="292"/>
      <x:c r="R57" s="292"/>
      <x:c r="S57" s="292"/>
      <x:c r="T57" s="292"/>
      <x:c r="U57" s="292"/>
      <x:c r="V57" s="292"/>
      <x:c r="W57" s="292"/>
      <x:c r="X57" s="292"/>
      <x:c r="Y57" s="292"/>
      <x:c r="Z57" s="292"/>
    </x:row>
    <x:row r="58">
      <x:c r="A58" s="292"/>
      <x:c r="B58" s="292"/>
      <x:c r="C58" s="292"/>
      <x:c r="D58" s="292"/>
      <x:c r="E58" s="292"/>
      <x:c r="F58" s="292"/>
      <x:c r="G58" s="292"/>
      <x:c r="H58" s="292"/>
      <x:c r="I58" s="292"/>
      <x:c r="J58" s="292"/>
      <x:c r="K58" s="292"/>
      <x:c r="L58" s="292"/>
      <x:c r="M58" s="292"/>
      <x:c r="N58" s="292"/>
      <x:c r="O58" s="292"/>
      <x:c r="P58" s="292"/>
      <x:c r="Q58" s="292"/>
      <x:c r="R58" s="292"/>
      <x:c r="S58" s="292"/>
      <x:c r="T58" s="292"/>
      <x:c r="U58" s="292"/>
      <x:c r="V58" s="292"/>
      <x:c r="W58" s="292"/>
      <x:c r="X58" s="292"/>
      <x:c r="Y58" s="292"/>
      <x:c r="Z58" s="292"/>
    </x:row>
    <x:row r="59">
      <x:c r="A59" s="292"/>
      <x:c r="B59" s="292"/>
      <x:c r="C59" s="292"/>
      <x:c r="D59" s="292"/>
      <x:c r="E59" s="292"/>
      <x:c r="F59" s="292"/>
      <x:c r="G59" s="292"/>
      <x:c r="H59" s="292"/>
      <x:c r="I59" s="292"/>
      <x:c r="J59" s="292"/>
      <x:c r="K59" s="292"/>
      <x:c r="L59" s="292"/>
      <x:c r="M59" s="292"/>
      <x:c r="N59" s="292"/>
      <x:c r="O59" s="292"/>
      <x:c r="P59" s="292"/>
      <x:c r="Q59" s="292"/>
      <x:c r="R59" s="292"/>
      <x:c r="S59" s="292"/>
      <x:c r="T59" s="292"/>
      <x:c r="U59" s="292"/>
      <x:c r="V59" s="292"/>
      <x:c r="W59" s="292"/>
      <x:c r="X59" s="292"/>
      <x:c r="Y59" s="292"/>
      <x:c r="Z59" s="292"/>
    </x:row>
    <x:row r="60">
      <x:c r="A60" s="292"/>
      <x:c r="B60" s="292"/>
      <x:c r="C60" s="292"/>
      <x:c r="D60" s="292"/>
      <x:c r="E60" s="292"/>
      <x:c r="F60" s="292"/>
      <x:c r="G60" s="292"/>
      <x:c r="H60" s="292"/>
      <x:c r="I60" s="292"/>
      <x:c r="J60" s="292"/>
      <x:c r="K60" s="292"/>
      <x:c r="L60" s="292"/>
      <x:c r="M60" s="292"/>
      <x:c r="N60" s="292"/>
      <x:c r="O60" s="292"/>
      <x:c r="P60" s="292"/>
      <x:c r="Q60" s="292"/>
      <x:c r="R60" s="292"/>
      <x:c r="S60" s="292"/>
      <x:c r="T60" s="292"/>
      <x:c r="U60" s="292"/>
      <x:c r="V60" s="292"/>
      <x:c r="W60" s="292"/>
      <x:c r="X60" s="292"/>
      <x:c r="Y60" s="292"/>
      <x:c r="Z60" s="292"/>
    </x:row>
    <x:row r="61">
      <x:c r="A61" s="292"/>
      <x:c r="B61" s="292"/>
      <x:c r="C61" s="292"/>
      <x:c r="D61" s="292"/>
      <x:c r="E61" s="292"/>
      <x:c r="F61" s="292"/>
      <x:c r="G61" s="292"/>
      <x:c r="H61" s="292"/>
      <x:c r="I61" s="292"/>
      <x:c r="J61" s="292"/>
      <x:c r="K61" s="292"/>
      <x:c r="L61" s="292"/>
      <x:c r="M61" s="292"/>
      <x:c r="N61" s="292"/>
      <x:c r="O61" s="292"/>
      <x:c r="P61" s="292"/>
      <x:c r="Q61" s="292"/>
      <x:c r="R61" s="292"/>
      <x:c r="S61" s="292"/>
      <x:c r="T61" s="292"/>
      <x:c r="U61" s="292"/>
      <x:c r="V61" s="292"/>
      <x:c r="W61" s="292"/>
      <x:c r="X61" s="292"/>
      <x:c r="Y61" s="292"/>
      <x:c r="Z61" s="292"/>
    </x:row>
    <x:row r="62">
      <x:c r="A62" s="292"/>
      <x:c r="B62" s="292"/>
      <x:c r="C62" s="292"/>
      <x:c r="D62" s="292"/>
      <x:c r="E62" s="292"/>
      <x:c r="F62" s="292"/>
      <x:c r="G62" s="292"/>
      <x:c r="H62" s="292"/>
      <x:c r="I62" s="292"/>
      <x:c r="J62" s="292"/>
      <x:c r="K62" s="292"/>
      <x:c r="L62" s="292"/>
      <x:c r="M62" s="292"/>
      <x:c r="N62" s="292"/>
      <x:c r="O62" s="292"/>
      <x:c r="P62" s="292"/>
      <x:c r="Q62" s="292"/>
      <x:c r="R62" s="292"/>
      <x:c r="S62" s="292"/>
      <x:c r="T62" s="292"/>
      <x:c r="U62" s="292"/>
      <x:c r="V62" s="292"/>
      <x:c r="W62" s="292"/>
      <x:c r="X62" s="292"/>
      <x:c r="Y62" s="292"/>
      <x:c r="Z62" s="292"/>
    </x:row>
    <x:row r="63">
      <x:c r="A63" s="292"/>
      <x:c r="B63" s="292"/>
      <x:c r="C63" s="292"/>
      <x:c r="D63" s="292"/>
      <x:c r="E63" s="292"/>
      <x:c r="F63" s="292"/>
      <x:c r="G63" s="292"/>
      <x:c r="H63" s="292"/>
      <x:c r="I63" s="292"/>
      <x:c r="J63" s="292"/>
      <x:c r="K63" s="292"/>
      <x:c r="L63" s="292"/>
      <x:c r="M63" s="292"/>
      <x:c r="N63" s="292"/>
      <x:c r="O63" s="292"/>
      <x:c r="P63" s="292"/>
      <x:c r="Q63" s="292"/>
      <x:c r="R63" s="292"/>
      <x:c r="S63" s="292"/>
      <x:c r="T63" s="292"/>
      <x:c r="U63" s="292"/>
      <x:c r="V63" s="292"/>
      <x:c r="W63" s="292"/>
      <x:c r="X63" s="292"/>
      <x:c r="Y63" s="292"/>
      <x:c r="Z63" s="292"/>
    </x:row>
    <x:row r="64">
      <x:c r="A64" s="292"/>
      <x:c r="B64" s="292"/>
      <x:c r="C64" s="292"/>
      <x:c r="D64" s="292"/>
      <x:c r="E64" s="292"/>
      <x:c r="F64" s="292"/>
      <x:c r="G64" s="292"/>
      <x:c r="H64" s="292"/>
      <x:c r="I64" s="292"/>
      <x:c r="J64" s="292"/>
      <x:c r="K64" s="292"/>
      <x:c r="L64" s="292"/>
      <x:c r="M64" s="292"/>
      <x:c r="N64" s="292"/>
      <x:c r="O64" s="292"/>
      <x:c r="P64" s="292"/>
      <x:c r="Q64" s="292"/>
      <x:c r="R64" s="292"/>
      <x:c r="S64" s="292"/>
      <x:c r="T64" s="292"/>
      <x:c r="U64" s="292"/>
      <x:c r="V64" s="292"/>
      <x:c r="W64" s="292"/>
      <x:c r="X64" s="292"/>
      <x:c r="Y64" s="292"/>
      <x:c r="Z64" s="292"/>
    </x:row>
    <x:row r="65">
      <x:c r="A65" s="292"/>
      <x:c r="B65" s="292"/>
      <x:c r="C65" s="292"/>
      <x:c r="D65" s="292"/>
      <x:c r="E65" s="292"/>
      <x:c r="F65" s="292"/>
      <x:c r="G65" s="292"/>
      <x:c r="H65" s="292"/>
      <x:c r="I65" s="292"/>
      <x:c r="J65" s="292"/>
      <x:c r="K65" s="292"/>
      <x:c r="L65" s="292"/>
      <x:c r="M65" s="292"/>
      <x:c r="N65" s="292"/>
      <x:c r="O65" s="292"/>
      <x:c r="P65" s="292"/>
      <x:c r="Q65" s="292"/>
      <x:c r="R65" s="292"/>
      <x:c r="S65" s="292"/>
      <x:c r="T65" s="292"/>
      <x:c r="U65" s="292"/>
      <x:c r="V65" s="292"/>
      <x:c r="W65" s="292"/>
      <x:c r="X65" s="292"/>
      <x:c r="Y65" s="292"/>
      <x:c r="Z65" s="292"/>
    </x:row>
    <x:row r="66">
      <x:c r="A66" s="292"/>
      <x:c r="B66" s="292"/>
      <x:c r="C66" s="292"/>
      <x:c r="D66" s="292"/>
      <x:c r="E66" s="292"/>
      <x:c r="F66" s="292"/>
      <x:c r="G66" s="292"/>
      <x:c r="H66" s="292"/>
      <x:c r="I66" s="292"/>
      <x:c r="J66" s="292"/>
      <x:c r="K66" s="292"/>
      <x:c r="L66" s="292"/>
      <x:c r="M66" s="292"/>
      <x:c r="N66" s="292"/>
      <x:c r="O66" s="292"/>
      <x:c r="P66" s="292"/>
      <x:c r="Q66" s="292"/>
      <x:c r="R66" s="292"/>
      <x:c r="S66" s="292"/>
      <x:c r="T66" s="292"/>
      <x:c r="U66" s="292"/>
      <x:c r="V66" s="292"/>
      <x:c r="W66" s="292"/>
      <x:c r="X66" s="292"/>
      <x:c r="Y66" s="292"/>
      <x:c r="Z66" s="292"/>
    </x:row>
    <x:row r="67">
      <x:c r="A67" s="292"/>
      <x:c r="B67" s="292"/>
      <x:c r="C67" s="292"/>
      <x:c r="D67" s="292"/>
      <x:c r="E67" s="292"/>
      <x:c r="F67" s="292"/>
      <x:c r="G67" s="292"/>
      <x:c r="H67" s="292"/>
      <x:c r="I67" s="292"/>
      <x:c r="J67" s="292"/>
      <x:c r="K67" s="292"/>
      <x:c r="L67" s="292"/>
      <x:c r="M67" s="292"/>
      <x:c r="N67" s="292"/>
      <x:c r="O67" s="292"/>
      <x:c r="P67" s="292"/>
      <x:c r="Q67" s="292"/>
      <x:c r="R67" s="292"/>
      <x:c r="S67" s="292"/>
      <x:c r="T67" s="292"/>
      <x:c r="U67" s="292"/>
      <x:c r="V67" s="292"/>
      <x:c r="W67" s="292"/>
      <x:c r="X67" s="292"/>
      <x:c r="Y67" s="292"/>
      <x:c r="Z67" s="292"/>
    </x:row>
    <x:row r="68">
      <x:c r="A68" s="292"/>
      <x:c r="B68" s="292"/>
      <x:c r="C68" s="292"/>
      <x:c r="D68" s="292"/>
      <x:c r="E68" s="292"/>
      <x:c r="F68" s="292"/>
      <x:c r="G68" s="292"/>
      <x:c r="H68" s="292"/>
      <x:c r="I68" s="292"/>
      <x:c r="J68" s="292"/>
      <x:c r="K68" s="292"/>
      <x:c r="L68" s="292"/>
      <x:c r="M68" s="292"/>
      <x:c r="N68" s="292"/>
      <x:c r="O68" s="292"/>
      <x:c r="P68" s="292"/>
      <x:c r="Q68" s="292"/>
      <x:c r="R68" s="292"/>
      <x:c r="S68" s="292"/>
      <x:c r="T68" s="292"/>
      <x:c r="U68" s="292"/>
      <x:c r="V68" s="292"/>
      <x:c r="W68" s="292"/>
      <x:c r="X68" s="292"/>
      <x:c r="Y68" s="292"/>
      <x:c r="Z68" s="292"/>
    </x:row>
    <x:row r="69">
      <x:c r="A69" s="292"/>
      <x:c r="B69" s="292"/>
      <x:c r="C69" s="292"/>
      <x:c r="D69" s="292"/>
      <x:c r="E69" s="292"/>
      <x:c r="F69" s="292"/>
      <x:c r="G69" s="292"/>
      <x:c r="H69" s="292"/>
      <x:c r="I69" s="292"/>
      <x:c r="J69" s="292"/>
      <x:c r="K69" s="292"/>
      <x:c r="L69" s="292"/>
      <x:c r="M69" s="292"/>
      <x:c r="N69" s="292"/>
      <x:c r="O69" s="292"/>
      <x:c r="P69" s="292"/>
      <x:c r="Q69" s="292"/>
      <x:c r="R69" s="292"/>
      <x:c r="S69" s="292"/>
      <x:c r="T69" s="292"/>
      <x:c r="U69" s="292"/>
      <x:c r="V69" s="292"/>
      <x:c r="W69" s="292"/>
      <x:c r="X69" s="292"/>
      <x:c r="Y69" s="292"/>
      <x:c r="Z69" s="292"/>
    </x:row>
    <x:row r="70">
      <x:c r="A70" s="292"/>
      <x:c r="B70" s="292"/>
      <x:c r="C70" s="292"/>
      <x:c r="D70" s="292"/>
      <x:c r="E70" s="292"/>
      <x:c r="F70" s="292"/>
      <x:c r="G70" s="292"/>
      <x:c r="H70" s="292"/>
      <x:c r="I70" s="292"/>
      <x:c r="J70" s="292"/>
      <x:c r="K70" s="292"/>
      <x:c r="L70" s="292"/>
      <x:c r="M70" s="292"/>
      <x:c r="N70" s="292"/>
      <x:c r="O70" s="292"/>
      <x:c r="P70" s="292"/>
      <x:c r="Q70" s="292"/>
      <x:c r="R70" s="292"/>
      <x:c r="S70" s="292"/>
      <x:c r="T70" s="292"/>
      <x:c r="U70" s="292"/>
      <x:c r="V70" s="292"/>
      <x:c r="W70" s="292"/>
      <x:c r="X70" s="292"/>
      <x:c r="Y70" s="292"/>
      <x:c r="Z70" s="292"/>
    </x:row>
    <x:row r="71">
      <x:c r="A71" s="292"/>
      <x:c r="B71" s="292"/>
      <x:c r="C71" s="292"/>
      <x:c r="D71" s="292"/>
      <x:c r="E71" s="292"/>
      <x:c r="F71" s="292"/>
      <x:c r="G71" s="292"/>
      <x:c r="H71" s="292"/>
      <x:c r="I71" s="292"/>
      <x:c r="J71" s="292"/>
      <x:c r="K71" s="292"/>
      <x:c r="L71" s="292"/>
      <x:c r="M71" s="292"/>
      <x:c r="N71" s="292"/>
      <x:c r="O71" s="292"/>
      <x:c r="P71" s="292"/>
      <x:c r="Q71" s="292"/>
      <x:c r="R71" s="292"/>
      <x:c r="S71" s="292"/>
      <x:c r="T71" s="292"/>
      <x:c r="U71" s="292"/>
      <x:c r="V71" s="292"/>
      <x:c r="W71" s="292"/>
      <x:c r="X71" s="292"/>
      <x:c r="Y71" s="292"/>
      <x:c r="Z71" s="292"/>
    </x:row>
    <x:row r="72">
      <x:c r="A72" s="292"/>
      <x:c r="B72" s="292"/>
      <x:c r="C72" s="292"/>
      <x:c r="D72" s="292"/>
      <x:c r="E72" s="292"/>
      <x:c r="F72" s="292"/>
      <x:c r="G72" s="292"/>
      <x:c r="H72" s="292"/>
      <x:c r="I72" s="292"/>
      <x:c r="J72" s="292"/>
      <x:c r="K72" s="292"/>
      <x:c r="L72" s="292"/>
      <x:c r="M72" s="292"/>
      <x:c r="N72" s="292"/>
      <x:c r="O72" s="292"/>
      <x:c r="P72" s="292"/>
      <x:c r="Q72" s="292"/>
      <x:c r="R72" s="292"/>
      <x:c r="S72" s="292"/>
      <x:c r="T72" s="292"/>
      <x:c r="U72" s="292"/>
      <x:c r="V72" s="292"/>
      <x:c r="W72" s="292"/>
      <x:c r="X72" s="292"/>
      <x:c r="Y72" s="292"/>
      <x:c r="Z72" s="292"/>
    </x:row>
    <x:row r="73">
      <x:c r="A73" s="292"/>
      <x:c r="B73" s="292"/>
      <x:c r="C73" s="292"/>
      <x:c r="D73" s="292"/>
      <x:c r="E73" s="292"/>
      <x:c r="F73" s="292"/>
      <x:c r="G73" s="292"/>
      <x:c r="H73" s="292"/>
      <x:c r="I73" s="292"/>
      <x:c r="J73" s="292"/>
      <x:c r="K73" s="292"/>
      <x:c r="L73" s="292"/>
      <x:c r="M73" s="292"/>
      <x:c r="N73" s="292"/>
      <x:c r="O73" s="292"/>
      <x:c r="P73" s="292"/>
      <x:c r="Q73" s="292"/>
      <x:c r="R73" s="292"/>
      <x:c r="S73" s="292"/>
      <x:c r="T73" s="292"/>
      <x:c r="U73" s="292"/>
      <x:c r="V73" s="292"/>
      <x:c r="W73" s="292"/>
      <x:c r="X73" s="292"/>
      <x:c r="Y73" s="292"/>
      <x:c r="Z73" s="292"/>
    </x:row>
    <x:row r="74">
      <x:c r="A74" s="292"/>
      <x:c r="B74" s="292"/>
      <x:c r="C74" s="292"/>
      <x:c r="D74" s="292"/>
      <x:c r="E74" s="292"/>
      <x:c r="F74" s="292"/>
      <x:c r="G74" s="292"/>
      <x:c r="H74" s="292"/>
      <x:c r="I74" s="292"/>
      <x:c r="J74" s="292"/>
      <x:c r="K74" s="292"/>
      <x:c r="L74" s="292"/>
      <x:c r="M74" s="292"/>
      <x:c r="N74" s="292"/>
      <x:c r="O74" s="292"/>
      <x:c r="P74" s="292"/>
      <x:c r="Q74" s="292"/>
      <x:c r="R74" s="292"/>
      <x:c r="S74" s="292"/>
      <x:c r="T74" s="292"/>
      <x:c r="U74" s="292"/>
      <x:c r="V74" s="292"/>
      <x:c r="W74" s="292"/>
      <x:c r="X74" s="292"/>
      <x:c r="Y74" s="292"/>
      <x:c r="Z74" s="292"/>
    </x:row>
    <x:row r="75">
      <x:c r="A75" s="292"/>
      <x:c r="B75" s="292"/>
      <x:c r="C75" s="292"/>
      <x:c r="D75" s="292"/>
      <x:c r="E75" s="292"/>
      <x:c r="F75" s="292"/>
      <x:c r="G75" s="292"/>
      <x:c r="H75" s="292"/>
      <x:c r="I75" s="292"/>
      <x:c r="J75" s="292"/>
      <x:c r="K75" s="292"/>
      <x:c r="L75" s="292"/>
      <x:c r="M75" s="292"/>
      <x:c r="N75" s="292"/>
      <x:c r="O75" s="292"/>
      <x:c r="P75" s="292"/>
      <x:c r="Q75" s="292"/>
      <x:c r="R75" s="292"/>
      <x:c r="S75" s="292"/>
      <x:c r="T75" s="292"/>
      <x:c r="U75" s="292"/>
      <x:c r="V75" s="292"/>
      <x:c r="W75" s="292"/>
      <x:c r="X75" s="292"/>
      <x:c r="Y75" s="292"/>
      <x:c r="Z75" s="292"/>
    </x:row>
    <x:row r="76">
      <x:c r="A76" s="292"/>
      <x:c r="B76" s="292"/>
      <x:c r="C76" s="292"/>
      <x:c r="D76" s="292"/>
      <x:c r="E76" s="292"/>
      <x:c r="F76" s="292"/>
      <x:c r="G76" s="292"/>
      <x:c r="H76" s="292"/>
      <x:c r="I76" s="292"/>
      <x:c r="J76" s="292"/>
      <x:c r="K76" s="292"/>
      <x:c r="L76" s="292"/>
      <x:c r="M76" s="292"/>
      <x:c r="N76" s="292"/>
      <x:c r="O76" s="292"/>
      <x:c r="P76" s="292"/>
      <x:c r="Q76" s="292"/>
      <x:c r="R76" s="292"/>
      <x:c r="S76" s="292"/>
      <x:c r="T76" s="292"/>
      <x:c r="U76" s="292"/>
      <x:c r="V76" s="292"/>
      <x:c r="W76" s="292"/>
      <x:c r="X76" s="292"/>
      <x:c r="Y76" s="292"/>
      <x:c r="Z76" s="292"/>
    </x:row>
    <x:row r="77">
      <x:c r="A77" s="292"/>
      <x:c r="B77" s="292"/>
      <x:c r="C77" s="292"/>
      <x:c r="D77" s="292"/>
      <x:c r="E77" s="292"/>
      <x:c r="F77" s="292"/>
      <x:c r="G77" s="292"/>
      <x:c r="H77" s="292"/>
      <x:c r="I77" s="292"/>
      <x:c r="J77" s="292"/>
      <x:c r="K77" s="292"/>
      <x:c r="L77" s="292"/>
      <x:c r="M77" s="292"/>
      <x:c r="N77" s="292"/>
      <x:c r="O77" s="292"/>
      <x:c r="P77" s="292"/>
      <x:c r="Q77" s="292"/>
      <x:c r="R77" s="292"/>
      <x:c r="S77" s="292"/>
      <x:c r="T77" s="292"/>
      <x:c r="U77" s="292"/>
      <x:c r="V77" s="292"/>
      <x:c r="W77" s="292"/>
      <x:c r="X77" s="292"/>
      <x:c r="Y77" s="292"/>
      <x:c r="Z77" s="292"/>
    </x:row>
    <x:row r="78">
      <x:c r="A78" s="292"/>
      <x:c r="B78" s="292"/>
      <x:c r="C78" s="292"/>
      <x:c r="D78" s="292"/>
      <x:c r="E78" s="292"/>
      <x:c r="F78" s="292"/>
      <x:c r="G78" s="292"/>
      <x:c r="H78" s="292"/>
      <x:c r="I78" s="292"/>
      <x:c r="J78" s="292"/>
      <x:c r="K78" s="292"/>
      <x:c r="L78" s="292"/>
      <x:c r="M78" s="292"/>
      <x:c r="N78" s="292"/>
      <x:c r="O78" s="292"/>
      <x:c r="P78" s="292"/>
      <x:c r="Q78" s="292"/>
      <x:c r="R78" s="292"/>
      <x:c r="S78" s="292"/>
      <x:c r="T78" s="292"/>
      <x:c r="U78" s="292"/>
      <x:c r="V78" s="292"/>
      <x:c r="W78" s="292"/>
      <x:c r="X78" s="292"/>
      <x:c r="Y78" s="292"/>
      <x:c r="Z78" s="292"/>
    </x:row>
    <x:row r="79">
      <x:c r="A79" s="292"/>
      <x:c r="B79" s="292"/>
      <x:c r="C79" s="292"/>
      <x:c r="D79" s="292"/>
      <x:c r="E79" s="292"/>
      <x:c r="F79" s="292"/>
      <x:c r="G79" s="292"/>
      <x:c r="H79" s="292"/>
      <x:c r="I79" s="292"/>
      <x:c r="J79" s="292"/>
      <x:c r="K79" s="292"/>
      <x:c r="L79" s="292"/>
      <x:c r="M79" s="292"/>
      <x:c r="N79" s="292"/>
      <x:c r="O79" s="292"/>
      <x:c r="P79" s="292"/>
      <x:c r="Q79" s="292"/>
      <x:c r="R79" s="292"/>
      <x:c r="S79" s="292"/>
      <x:c r="T79" s="292"/>
      <x:c r="U79" s="292"/>
      <x:c r="V79" s="292"/>
      <x:c r="W79" s="292"/>
      <x:c r="X79" s="292"/>
      <x:c r="Y79" s="292"/>
      <x:c r="Z79" s="292"/>
    </x:row>
    <x:row r="80">
      <x:c r="A80" s="292"/>
      <x:c r="B80" s="292"/>
      <x:c r="C80" s="292"/>
      <x:c r="D80" s="292"/>
      <x:c r="E80" s="292"/>
      <x:c r="F80" s="292"/>
      <x:c r="G80" s="292"/>
      <x:c r="H80" s="292"/>
      <x:c r="I80" s="292"/>
      <x:c r="J80" s="292"/>
      <x:c r="K80" s="292"/>
      <x:c r="L80" s="292"/>
      <x:c r="M80" s="292"/>
      <x:c r="N80" s="292"/>
      <x:c r="O80" s="292"/>
      <x:c r="P80" s="292"/>
      <x:c r="Q80" s="292"/>
      <x:c r="R80" s="292"/>
      <x:c r="S80" s="292"/>
      <x:c r="T80" s="292"/>
      <x:c r="U80" s="292"/>
      <x:c r="V80" s="292"/>
      <x:c r="W80" s="292"/>
      <x:c r="X80" s="292"/>
      <x:c r="Y80" s="292"/>
      <x:c r="Z80" s="292"/>
    </x:row>
    <x:row r="81">
      <x:c r="A81" s="292"/>
      <x:c r="B81" s="292"/>
      <x:c r="C81" s="292"/>
      <x:c r="D81" s="292"/>
      <x:c r="E81" s="292"/>
      <x:c r="F81" s="292"/>
      <x:c r="G81" s="292"/>
      <x:c r="H81" s="292"/>
      <x:c r="I81" s="292"/>
      <x:c r="J81" s="292"/>
      <x:c r="K81" s="292"/>
      <x:c r="L81" s="292"/>
      <x:c r="M81" s="292"/>
      <x:c r="N81" s="292"/>
      <x:c r="O81" s="292"/>
      <x:c r="P81" s="292"/>
      <x:c r="Q81" s="292"/>
      <x:c r="R81" s="292"/>
      <x:c r="S81" s="292"/>
      <x:c r="T81" s="292"/>
      <x:c r="U81" s="292"/>
      <x:c r="V81" s="292"/>
      <x:c r="W81" s="292"/>
      <x:c r="X81" s="292"/>
      <x:c r="Y81" s="292"/>
      <x:c r="Z81" s="292"/>
    </x:row>
    <x:row r="82">
      <x:c r="A82" s="292"/>
      <x:c r="B82" s="292"/>
      <x:c r="C82" s="292"/>
      <x:c r="D82" s="292"/>
      <x:c r="E82" s="292"/>
      <x:c r="F82" s="292"/>
      <x:c r="G82" s="292"/>
      <x:c r="H82" s="292"/>
      <x:c r="I82" s="292"/>
      <x:c r="J82" s="292"/>
      <x:c r="K82" s="292"/>
      <x:c r="L82" s="292"/>
      <x:c r="M82" s="292"/>
      <x:c r="N82" s="292"/>
      <x:c r="O82" s="292"/>
      <x:c r="P82" s="292"/>
      <x:c r="Q82" s="292"/>
      <x:c r="R82" s="292"/>
      <x:c r="S82" s="292"/>
      <x:c r="T82" s="292"/>
      <x:c r="U82" s="292"/>
      <x:c r="V82" s="292"/>
      <x:c r="W82" s="292"/>
      <x:c r="X82" s="292"/>
      <x:c r="Y82" s="292"/>
      <x:c r="Z82" s="292"/>
    </x:row>
    <x:row r="83">
      <x:c r="A83" s="292"/>
      <x:c r="B83" s="292"/>
      <x:c r="C83" s="292"/>
      <x:c r="D83" s="292"/>
      <x:c r="E83" s="292"/>
      <x:c r="F83" s="292"/>
      <x:c r="G83" s="292"/>
      <x:c r="H83" s="292"/>
      <x:c r="I83" s="292"/>
      <x:c r="J83" s="292"/>
      <x:c r="K83" s="292"/>
      <x:c r="L83" s="292"/>
      <x:c r="M83" s="292"/>
      <x:c r="N83" s="292"/>
      <x:c r="O83" s="292"/>
      <x:c r="P83" s="292"/>
      <x:c r="Q83" s="292"/>
      <x:c r="R83" s="292"/>
      <x:c r="S83" s="292"/>
      <x:c r="T83" s="292"/>
      <x:c r="U83" s="292"/>
      <x:c r="V83" s="292"/>
      <x:c r="W83" s="292"/>
      <x:c r="X83" s="292"/>
      <x:c r="Y83" s="292"/>
      <x:c r="Z83" s="292"/>
    </x:row>
    <x:row r="84">
      <x:c r="A84" s="292"/>
      <x:c r="B84" s="292"/>
      <x:c r="C84" s="292"/>
      <x:c r="D84" s="292"/>
      <x:c r="E84" s="292"/>
      <x:c r="F84" s="292"/>
      <x:c r="G84" s="292"/>
      <x:c r="H84" s="292"/>
      <x:c r="I84" s="292"/>
      <x:c r="J84" s="292"/>
      <x:c r="K84" s="292"/>
      <x:c r="L84" s="292"/>
      <x:c r="M84" s="292"/>
      <x:c r="N84" s="292"/>
      <x:c r="O84" s="292"/>
      <x:c r="P84" s="292"/>
      <x:c r="Q84" s="292"/>
      <x:c r="R84" s="292"/>
      <x:c r="S84" s="292"/>
      <x:c r="T84" s="292"/>
      <x:c r="U84" s="292"/>
      <x:c r="V84" s="292"/>
      <x:c r="W84" s="292"/>
      <x:c r="X84" s="292"/>
      <x:c r="Y84" s="292"/>
      <x:c r="Z84" s="292"/>
    </x:row>
    <x:row r="85">
      <x:c r="A85" s="292"/>
      <x:c r="B85" s="292"/>
      <x:c r="C85" s="292"/>
      <x:c r="D85" s="292"/>
      <x:c r="E85" s="292"/>
      <x:c r="F85" s="292"/>
      <x:c r="G85" s="292"/>
      <x:c r="H85" s="292"/>
      <x:c r="I85" s="292"/>
      <x:c r="J85" s="292"/>
      <x:c r="K85" s="292"/>
      <x:c r="L85" s="292"/>
      <x:c r="M85" s="292"/>
      <x:c r="N85" s="292"/>
      <x:c r="O85" s="292"/>
      <x:c r="P85" s="292"/>
      <x:c r="Q85" s="292"/>
      <x:c r="R85" s="292"/>
      <x:c r="S85" s="292"/>
      <x:c r="T85" s="292"/>
      <x:c r="U85" s="292"/>
      <x:c r="V85" s="292"/>
      <x:c r="W85" s="292"/>
      <x:c r="X85" s="292"/>
      <x:c r="Y85" s="292"/>
      <x:c r="Z85" s="292"/>
    </x:row>
    <x:row r="86">
      <x:c r="A86" s="292"/>
      <x:c r="B86" s="292"/>
      <x:c r="C86" s="292"/>
      <x:c r="D86" s="292"/>
      <x:c r="E86" s="292"/>
      <x:c r="F86" s="292"/>
      <x:c r="G86" s="292"/>
      <x:c r="H86" s="292"/>
      <x:c r="I86" s="292"/>
      <x:c r="J86" s="292"/>
      <x:c r="K86" s="292"/>
      <x:c r="L86" s="292"/>
      <x:c r="M86" s="292"/>
      <x:c r="N86" s="292"/>
      <x:c r="O86" s="292"/>
      <x:c r="P86" s="292"/>
      <x:c r="Q86" s="292"/>
      <x:c r="R86" s="292"/>
      <x:c r="S86" s="292"/>
      <x:c r="T86" s="292"/>
      <x:c r="U86" s="292"/>
      <x:c r="V86" s="292"/>
      <x:c r="W86" s="292"/>
      <x:c r="X86" s="292"/>
      <x:c r="Y86" s="292"/>
      <x:c r="Z86" s="292"/>
    </x:row>
    <x:row r="87">
      <x:c r="A87" s="292"/>
      <x:c r="B87" s="292"/>
      <x:c r="C87" s="292"/>
      <x:c r="D87" s="292"/>
      <x:c r="E87" s="292"/>
      <x:c r="F87" s="292"/>
      <x:c r="G87" s="292"/>
      <x:c r="H87" s="292"/>
      <x:c r="I87" s="292"/>
      <x:c r="J87" s="292"/>
      <x:c r="K87" s="292"/>
      <x:c r="L87" s="292"/>
      <x:c r="M87" s="292"/>
      <x:c r="N87" s="292"/>
      <x:c r="O87" s="292"/>
      <x:c r="P87" s="292"/>
      <x:c r="Q87" s="292"/>
      <x:c r="R87" s="292"/>
      <x:c r="S87" s="292"/>
      <x:c r="T87" s="292"/>
      <x:c r="U87" s="292"/>
      <x:c r="V87" s="292"/>
      <x:c r="W87" s="292"/>
      <x:c r="X87" s="292"/>
      <x:c r="Y87" s="292"/>
      <x:c r="Z87" s="292"/>
    </x:row>
    <x:row r="88">
      <x:c r="A88" s="292"/>
      <x:c r="B88" s="292"/>
      <x:c r="C88" s="292"/>
      <x:c r="D88" s="292"/>
      <x:c r="E88" s="292"/>
      <x:c r="F88" s="292"/>
      <x:c r="G88" s="292"/>
      <x:c r="H88" s="292"/>
      <x:c r="I88" s="292"/>
      <x:c r="J88" s="292"/>
      <x:c r="K88" s="292"/>
      <x:c r="L88" s="292"/>
      <x:c r="M88" s="292"/>
      <x:c r="N88" s="292"/>
      <x:c r="O88" s="292"/>
      <x:c r="P88" s="292"/>
      <x:c r="Q88" s="292"/>
      <x:c r="R88" s="292"/>
      <x:c r="S88" s="292"/>
      <x:c r="T88" s="292"/>
      <x:c r="U88" s="292"/>
      <x:c r="V88" s="292"/>
      <x:c r="W88" s="292"/>
      <x:c r="X88" s="292"/>
      <x:c r="Y88" s="292"/>
      <x:c r="Z88" s="292"/>
    </x:row>
    <x:row r="89">
      <x:c r="A89" s="292"/>
      <x:c r="B89" s="292"/>
      <x:c r="C89" s="292"/>
      <x:c r="D89" s="292"/>
      <x:c r="E89" s="292"/>
      <x:c r="F89" s="292"/>
      <x:c r="G89" s="292"/>
      <x:c r="H89" s="292"/>
      <x:c r="I89" s="292"/>
      <x:c r="J89" s="292"/>
      <x:c r="K89" s="292"/>
      <x:c r="L89" s="292"/>
      <x:c r="M89" s="292"/>
      <x:c r="N89" s="292"/>
      <x:c r="O89" s="292"/>
      <x:c r="P89" s="292"/>
      <x:c r="Q89" s="292"/>
      <x:c r="R89" s="292"/>
      <x:c r="S89" s="292"/>
      <x:c r="T89" s="292"/>
      <x:c r="U89" s="292"/>
      <x:c r="V89" s="292"/>
      <x:c r="W89" s="292"/>
      <x:c r="X89" s="292"/>
      <x:c r="Y89" s="292"/>
      <x:c r="Z89" s="292"/>
    </x:row>
    <x:row r="90">
      <x:c r="A90" s="292"/>
      <x:c r="B90" s="292"/>
      <x:c r="C90" s="292"/>
      <x:c r="D90" s="292"/>
      <x:c r="E90" s="292"/>
      <x:c r="F90" s="292"/>
      <x:c r="G90" s="292"/>
      <x:c r="H90" s="292"/>
      <x:c r="I90" s="292"/>
      <x:c r="J90" s="292"/>
      <x:c r="K90" s="292"/>
      <x:c r="L90" s="292"/>
      <x:c r="M90" s="292"/>
      <x:c r="N90" s="292"/>
      <x:c r="O90" s="292"/>
      <x:c r="P90" s="292"/>
      <x:c r="Q90" s="292"/>
      <x:c r="R90" s="292"/>
      <x:c r="S90" s="292"/>
      <x:c r="T90" s="292"/>
      <x:c r="U90" s="292"/>
      <x:c r="V90" s="292"/>
      <x:c r="W90" s="292"/>
      <x:c r="X90" s="292"/>
      <x:c r="Y90" s="292"/>
      <x:c r="Z90" s="292"/>
    </x:row>
    <x:row r="91">
      <x:c r="A91" s="292"/>
      <x:c r="B91" s="292"/>
      <x:c r="C91" s="292"/>
      <x:c r="D91" s="292"/>
      <x:c r="E91" s="292"/>
      <x:c r="F91" s="292"/>
      <x:c r="G91" s="292"/>
      <x:c r="H91" s="292"/>
      <x:c r="I91" s="292"/>
      <x:c r="J91" s="292"/>
      <x:c r="K91" s="292"/>
      <x:c r="L91" s="292"/>
      <x:c r="M91" s="292"/>
      <x:c r="N91" s="292"/>
      <x:c r="O91" s="292"/>
      <x:c r="P91" s="292"/>
      <x:c r="Q91" s="292"/>
      <x:c r="R91" s="292"/>
      <x:c r="S91" s="292"/>
      <x:c r="T91" s="292"/>
      <x:c r="U91" s="292"/>
      <x:c r="V91" s="292"/>
      <x:c r="W91" s="292"/>
      <x:c r="X91" s="292"/>
      <x:c r="Y91" s="292"/>
      <x:c r="Z91" s="292"/>
    </x:row>
    <x:row r="92">
      <x:c r="A92" s="292"/>
      <x:c r="B92" s="292"/>
      <x:c r="C92" s="292"/>
      <x:c r="D92" s="292"/>
      <x:c r="E92" s="292"/>
      <x:c r="F92" s="292"/>
      <x:c r="G92" s="292"/>
      <x:c r="H92" s="292"/>
      <x:c r="I92" s="292"/>
      <x:c r="J92" s="292"/>
      <x:c r="K92" s="292"/>
      <x:c r="L92" s="292"/>
      <x:c r="M92" s="292"/>
      <x:c r="N92" s="292"/>
      <x:c r="O92" s="292"/>
      <x:c r="P92" s="292"/>
      <x:c r="Q92" s="292"/>
      <x:c r="R92" s="292"/>
      <x:c r="S92" s="292"/>
      <x:c r="T92" s="292"/>
      <x:c r="U92" s="292"/>
      <x:c r="V92" s="292"/>
      <x:c r="W92" s="292"/>
      <x:c r="X92" s="292"/>
      <x:c r="Y92" s="292"/>
      <x:c r="Z92" s="292"/>
    </x:row>
    <x:row r="93">
      <x:c r="A93" s="292"/>
      <x:c r="B93" s="292"/>
      <x:c r="C93" s="292"/>
      <x:c r="D93" s="292"/>
      <x:c r="E93" s="292"/>
      <x:c r="F93" s="292"/>
      <x:c r="G93" s="292"/>
      <x:c r="H93" s="292"/>
      <x:c r="I93" s="292"/>
      <x:c r="J93" s="292"/>
      <x:c r="K93" s="292"/>
      <x:c r="L93" s="292"/>
      <x:c r="M93" s="292"/>
      <x:c r="N93" s="292"/>
      <x:c r="O93" s="292"/>
      <x:c r="P93" s="292"/>
      <x:c r="Q93" s="292"/>
      <x:c r="R93" s="292"/>
      <x:c r="S93" s="292"/>
      <x:c r="T93" s="292"/>
      <x:c r="U93" s="292"/>
      <x:c r="V93" s="292"/>
      <x:c r="W93" s="292"/>
      <x:c r="X93" s="292"/>
      <x:c r="Y93" s="292"/>
      <x:c r="Z93" s="292"/>
    </x:row>
    <x:row r="94">
      <x:c r="A94" s="292"/>
      <x:c r="B94" s="292"/>
      <x:c r="C94" s="292"/>
      <x:c r="D94" s="292"/>
      <x:c r="E94" s="292"/>
      <x:c r="F94" s="292"/>
      <x:c r="G94" s="292"/>
      <x:c r="H94" s="292"/>
      <x:c r="I94" s="292"/>
      <x:c r="J94" s="292"/>
      <x:c r="K94" s="292"/>
      <x:c r="L94" s="292"/>
      <x:c r="M94" s="292"/>
      <x:c r="N94" s="292"/>
      <x:c r="O94" s="292"/>
      <x:c r="P94" s="292"/>
      <x:c r="Q94" s="292"/>
      <x:c r="R94" s="292"/>
      <x:c r="S94" s="292"/>
      <x:c r="T94" s="292"/>
      <x:c r="U94" s="292"/>
      <x:c r="V94" s="292"/>
      <x:c r="W94" s="292"/>
      <x:c r="X94" s="292"/>
      <x:c r="Y94" s="292"/>
      <x:c r="Z94" s="292"/>
    </x:row>
    <x:row r="95">
      <x:c r="A95" s="292"/>
      <x:c r="B95" s="292"/>
      <x:c r="C95" s="292"/>
      <x:c r="D95" s="292"/>
      <x:c r="E95" s="292"/>
      <x:c r="F95" s="292"/>
      <x:c r="G95" s="292"/>
      <x:c r="H95" s="292"/>
      <x:c r="I95" s="292"/>
      <x:c r="J95" s="292"/>
      <x:c r="K95" s="292"/>
      <x:c r="L95" s="292"/>
      <x:c r="M95" s="292"/>
      <x:c r="N95" s="292"/>
      <x:c r="O95" s="292"/>
      <x:c r="P95" s="292"/>
      <x:c r="Q95" s="292"/>
      <x:c r="R95" s="292"/>
      <x:c r="S95" s="292"/>
      <x:c r="T95" s="292"/>
      <x:c r="U95" s="292"/>
      <x:c r="V95" s="292"/>
      <x:c r="W95" s="292"/>
      <x:c r="X95" s="292"/>
      <x:c r="Y95" s="292"/>
      <x:c r="Z95" s="292"/>
    </x:row>
    <x:row r="96">
      <x:c r="A96" s="292"/>
      <x:c r="B96" s="292"/>
      <x:c r="C96" s="292"/>
      <x:c r="D96" s="292"/>
      <x:c r="E96" s="292"/>
      <x:c r="F96" s="292"/>
      <x:c r="G96" s="292"/>
      <x:c r="H96" s="292"/>
      <x:c r="I96" s="292"/>
      <x:c r="J96" s="292"/>
      <x:c r="K96" s="292"/>
      <x:c r="L96" s="292"/>
      <x:c r="M96" s="292"/>
      <x:c r="N96" s="292"/>
      <x:c r="O96" s="292"/>
      <x:c r="P96" s="292"/>
      <x:c r="Q96" s="292"/>
      <x:c r="R96" s="292"/>
      <x:c r="S96" s="292"/>
      <x:c r="T96" s="292"/>
      <x:c r="U96" s="292"/>
      <x:c r="V96" s="292"/>
      <x:c r="W96" s="292"/>
      <x:c r="X96" s="292"/>
      <x:c r="Y96" s="292"/>
      <x:c r="Z96" s="292"/>
    </x:row>
    <x:row r="97">
      <x:c r="A97" s="292"/>
      <x:c r="B97" s="292"/>
      <x:c r="C97" s="292"/>
      <x:c r="D97" s="292"/>
      <x:c r="E97" s="292"/>
      <x:c r="F97" s="292"/>
      <x:c r="G97" s="292"/>
      <x:c r="H97" s="292"/>
      <x:c r="I97" s="292"/>
      <x:c r="J97" s="292"/>
      <x:c r="K97" s="292"/>
      <x:c r="L97" s="292"/>
      <x:c r="M97" s="292"/>
      <x:c r="N97" s="292"/>
      <x:c r="O97" s="292"/>
      <x:c r="P97" s="292"/>
      <x:c r="Q97" s="292"/>
      <x:c r="R97" s="292"/>
      <x:c r="S97" s="292"/>
      <x:c r="T97" s="292"/>
      <x:c r="U97" s="292"/>
      <x:c r="V97" s="292"/>
      <x:c r="W97" s="292"/>
      <x:c r="X97" s="292"/>
      <x:c r="Y97" s="292"/>
      <x:c r="Z97" s="292"/>
    </x:row>
    <x:row r="98">
      <x:c r="A98" s="292"/>
      <x:c r="B98" s="292"/>
      <x:c r="C98" s="292"/>
      <x:c r="D98" s="292"/>
      <x:c r="E98" s="292"/>
      <x:c r="F98" s="292"/>
      <x:c r="G98" s="292"/>
      <x:c r="H98" s="292"/>
      <x:c r="I98" s="292"/>
      <x:c r="J98" s="292"/>
      <x:c r="K98" s="292"/>
      <x:c r="L98" s="292"/>
      <x:c r="M98" s="292"/>
      <x:c r="N98" s="292"/>
      <x:c r="O98" s="292"/>
      <x:c r="P98" s="292"/>
      <x:c r="Q98" s="292"/>
      <x:c r="R98" s="292"/>
      <x:c r="S98" s="292"/>
      <x:c r="T98" s="292"/>
      <x:c r="U98" s="292"/>
      <x:c r="V98" s="292"/>
      <x:c r="W98" s="292"/>
      <x:c r="X98" s="292"/>
      <x:c r="Y98" s="292"/>
      <x:c r="Z98" s="292"/>
    </x:row>
    <x:row r="99">
      <x:c r="A99" s="292"/>
      <x:c r="B99" s="292"/>
      <x:c r="C99" s="292"/>
      <x:c r="D99" s="292"/>
      <x:c r="E99" s="292"/>
      <x:c r="F99" s="292"/>
      <x:c r="G99" s="292"/>
      <x:c r="H99" s="292"/>
      <x:c r="I99" s="292"/>
      <x:c r="J99" s="292"/>
      <x:c r="K99" s="292"/>
      <x:c r="L99" s="292"/>
      <x:c r="M99" s="292"/>
      <x:c r="N99" s="292"/>
      <x:c r="O99" s="292"/>
      <x:c r="P99" s="292"/>
      <x:c r="Q99" s="292"/>
      <x:c r="R99" s="292"/>
      <x:c r="S99" s="292"/>
      <x:c r="T99" s="292"/>
      <x:c r="U99" s="292"/>
      <x:c r="V99" s="292"/>
      <x:c r="W99" s="292"/>
      <x:c r="X99" s="292"/>
      <x:c r="Y99" s="292"/>
      <x:c r="Z99" s="292"/>
    </x:row>
    <x:row r="100">
      <x:c r="A100" s="292"/>
      <x:c r="B100" s="292"/>
      <x:c r="C100" s="292"/>
      <x:c r="D100" s="292"/>
      <x:c r="E100" s="292"/>
      <x:c r="F100" s="292"/>
      <x:c r="G100" s="292"/>
      <x:c r="H100" s="292"/>
      <x:c r="I100" s="292"/>
      <x:c r="J100" s="292"/>
      <x:c r="K100" s="292"/>
      <x:c r="L100" s="292"/>
      <x:c r="M100" s="292"/>
      <x:c r="N100" s="292"/>
      <x:c r="O100" s="292"/>
      <x:c r="P100" s="292"/>
      <x:c r="Q100" s="292"/>
      <x:c r="R100" s="292"/>
      <x:c r="S100" s="292"/>
      <x:c r="T100" s="292"/>
      <x:c r="U100" s="292"/>
      <x:c r="V100" s="292"/>
      <x:c r="W100" s="292"/>
      <x:c r="X100" s="292"/>
      <x:c r="Y100" s="292"/>
      <x:c r="Z100" s="292"/>
    </x:row>
  </x:sheetData>
  <x:mergeCells>
    <x:mergeCell ref="A1:G1"/>
    <x:mergeCell ref="A2:G2"/>
  </x:mergeCells>
  <x:conditionalFormatting sqref="B5:B40">
    <x:cfRule type="dataBar" priority="1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{C555F0A8-D671-8443-43FB-63C132FBA73C}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555F0A8-D671-8443-43FB-63C132FBA73C}">
            <x14:dataBar gradient="1">
              <x14:cfvo type="min"/>
              <x14:cfvo type="max"/>
              <x14:fillColor rgb="FF2563EB"/>
            </x14:dataBar>
          </x14:cfRule>
          <xm:sqref>B5:B40</xm:sqref>
        </x14:conditionalFormatting>
      </x14:conditionalFormattings>
    </x:ext>
  </x:extLst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3" hidden="0" customWidth="1"/>
    <x:col min="5" max="5" width="22" hidden="0" customWidth="1"/>
    <x:col min="6" max="6" width="36" hidden="0" customWidth="1"/>
  </x:cols>
  <x:sheetData>
    <x:row r="1" ht="32" customHeight="1">
      <x:c r="A1" s="4" t="str">
        <x:v>Checks &amp; Data Quality</x:v>
      </x:c>
      <x:c r="B1" s="4"/>
      <x:c r="C1" s="4"/>
      <x:c r="D1" s="4"/>
      <x:c r="E1" s="4"/>
      <x:c r="F1" s="4"/>
    </x:row>
    <x:row r="2" ht="26" customHeight="1">
      <x:c r="A2" s="8" t="str">
        <x:v>Reconciliation controls and deliberate source-quality issues; all required controls should pass</x:v>
      </x:c>
      <x:c r="B2" s="8"/>
      <x:c r="C2" s="8"/>
      <x:c r="D2" s="8"/>
      <x:c r="E2" s="8"/>
      <x:c r="F2" s="8"/>
    </x:row>
    <x:row r="4" ht="30" customHeight="1">
      <x:c r="A4" s="69" t="str">
        <x:v>Check</x:v>
      </x:c>
      <x:c r="B4" s="70" t="str">
        <x:v>Result</x:v>
      </x:c>
      <x:c r="C4" s="70" t="str">
        <x:v>Delta</x:v>
      </x:c>
      <x:c r="D4" s="70" t="str">
        <x:v>Status</x:v>
      </x:c>
      <x:c r="E4" s="70" t="str">
        <x:v>Where to Fix</x:v>
      </x:c>
      <x:c r="F4" s="71" t="str">
        <x:v>Notes</x:v>
      </x:c>
    </x:row>
    <x:row r="5">
      <x:c r="A5" t="str">
        <x:f>"Raw row count"</x:f>
        <x:v>Raw row count</x:v>
      </x:c>
      <x:c r="B5" s="278" t="n">
        <x:f>COUNTA('Raw Sales'!$A$5:$A$2428)</x:f>
        <x:v>2424</x:v>
      </x:c>
      <x:c r="C5" s="278" t="n">
        <x:f>B5-2424</x:f>
        <x:v>0</x:v>
      </x:c>
      <x:c r="D5" t="str">
        <x:f>IF(ABS(C5)&lt;0.01,"PASS","FAIL")</x:f>
        <x:v>PASS</x:v>
      </x:c>
      <x:c r="E5" t="str">
        <x:f>"Raw Sales"</x:f>
        <x:v>Raw Sales</x:v>
      </x:c>
      <x:c r="F5" t="str">
        <x:f>"Expected imported record count"</x:f>
        <x:v>Expected imported record count</x:v>
      </x:c>
    </x:row>
    <x:row r="6">
      <x:c r="A6" t="str">
        <x:f>"Rows reconcile to valid + excluded"</x:f>
        <x:v>Rows reconcile to valid + excluded</x:v>
      </x:c>
      <x:c r="B6" s="278" t="n">
        <x:f>SUM('Clean Sales'!$AG$5:$AG$2428)+COUNTIFS('Clean Sales'!$AG$5:$AG$2428,0)</x:f>
        <x:v>2424</x:v>
      </x:c>
      <x:c r="C6" s="278" t="n">
        <x:f>B6-B5</x:f>
        <x:v>0</x:v>
      </x:c>
      <x:c r="D6" t="str">
        <x:f>IF(ABS(C6)&lt;0.01,"PASS","FAIL")</x:f>
        <x:v>PASS</x:v>
      </x:c>
      <x:c r="E6" t="str">
        <x:f>"Clean Sales"</x:f>
        <x:v>Clean Sales</x:v>
      </x:c>
      <x:c r="F6" t="str">
        <x:f>"Every source row is classified"</x:f>
        <x:v>Every source row is classified</x:v>
      </x:c>
    </x:row>
    <x:row r="7">
      <x:c r="A7" t="str">
        <x:f>"Category revenue reconciles"</x:f>
        <x:v>Category revenue reconciles</x:v>
      </x:c>
      <x:c r="B7" s="278" t="n">
        <x:f>SUM('Category Analysis'!$B$5:$B$10)</x:f>
        <x:v>360740.35000000015</x:v>
      </x:c>
      <x:c r="C7" s="278" t="n">
        <x:f>B7-'Dashboard'!$A$7</x:f>
        <x:v>1.3387762010097504e-9</x:v>
      </x:c>
      <x:c r="D7" t="str">
        <x:f>IF(ABS(C7)&lt;0.01,"PASS","FAIL")</x:f>
        <x:v>PASS</x:v>
      </x:c>
      <x:c r="E7" t="str">
        <x:f>"Category Analysis"</x:f>
        <x:v>Category Analysis</x:v>
      </x:c>
      <x:c r="F7" t="str">
        <x:f>"Must equal Dashboard net revenue"</x:f>
        <x:v>Must equal Dashboard net revenue</x:v>
      </x:c>
    </x:row>
    <x:row r="8">
      <x:c r="A8" t="str">
        <x:f>"Region revenue reconciles"</x:f>
        <x:v>Region revenue reconciles</x:v>
      </x:c>
      <x:c r="B8" s="278" t="n">
        <x:f>SUM('Region Analysis'!$B$5:$B$8)</x:f>
        <x:v>360740.3500000003</x:v>
      </x:c>
      <x:c r="C8" s="278" t="n">
        <x:f>B8-'Dashboard'!$A$7</x:f>
        <x:v>1.5133991837501526e-9</x:v>
      </x:c>
      <x:c r="D8" t="str">
        <x:f>IF(ABS(C8)&lt;0.01,"PASS","FAIL")</x:f>
        <x:v>PASS</x:v>
      </x:c>
      <x:c r="E8" t="str">
        <x:f>"Region Analysis"</x:f>
        <x:v>Region Analysis</x:v>
      </x:c>
      <x:c r="F8" t="str">
        <x:f>"Must equal Dashboard net revenue"</x:f>
        <x:v>Must equal Dashboard net revenue</x:v>
      </x:c>
    </x:row>
    <x:row r="9">
      <x:c r="A9" t="str">
        <x:f>"Channel revenue reconciles"</x:f>
        <x:v>Channel revenue reconciles</x:v>
      </x:c>
      <x:c r="B9" s="278" t="n">
        <x:f>SUM('Channel Analysis'!$B$5:$B$7)</x:f>
        <x:v>360740.3500000003</x:v>
      </x:c>
      <x:c r="C9" s="278" t="n">
        <x:f>B9-'Dashboard'!$A$7</x:f>
        <x:v>1.5133991837501526e-9</x:v>
      </x:c>
      <x:c r="D9" t="str">
        <x:f>IF(ABS(C9)&lt;0.01,"PASS","FAIL")</x:f>
        <x:v>PASS</x:v>
      </x:c>
      <x:c r="E9" t="str">
        <x:f>"Channel Analysis"</x:f>
        <x:v>Channel Analysis</x:v>
      </x:c>
      <x:c r="F9" t="str">
        <x:f>"Must equal Dashboard net revenue"</x:f>
        <x:v>Must equal Dashboard net revenue</x:v>
      </x:c>
    </x:row>
    <x:row r="10">
      <x:c r="A10" t="str">
        <x:f>"Monthly revenue reconciles"</x:f>
        <x:v>Monthly revenue reconciles</x:v>
      </x:c>
      <x:c r="B10" s="278" t="n">
        <x:f>SUM('Monthly Analysis'!$C$5:$C$28)</x:f>
        <x:v>360740.35</x:v>
      </x:c>
      <x:c r="C10" s="278" t="n">
        <x:f>B10-'Dashboard'!$A$7</x:f>
        <x:v>1.1641532182693481e-9</x:v>
      </x:c>
      <x:c r="D10" t="str">
        <x:f>IF(ABS(C10)&lt;0.01,"PASS","FAIL")</x:f>
        <x:v>PASS</x:v>
      </x:c>
      <x:c r="E10" t="str">
        <x:f>"Monthly Analysis"</x:f>
        <x:v>Monthly Analysis</x:v>
      </x:c>
      <x:c r="F10" t="str">
        <x:f>"Must equal Dashboard net revenue"</x:f>
        <x:v>Must equal Dashboard net revenue</x:v>
      </x:c>
    </x:row>
    <x:row r="11">
      <x:c r="A11" t="str">
        <x:f>"Product revenue reconciles"</x:f>
        <x:v>Product revenue reconciles</x:v>
      </x:c>
      <x:c r="B11" s="278" t="n">
        <x:f>SUM('Product Analysis'!$B$5:$B$40)</x:f>
        <x:v>360740.3499999999</x:v>
      </x:c>
      <x:c r="C11" s="278" t="n">
        <x:f>B11-'Dashboard'!$A$7</x:f>
        <x:v>1.1059455573558807e-9</x:v>
      </x:c>
      <x:c r="D11" t="str">
        <x:f>IF(ABS(C11)&lt;0.01,"PASS","FAIL")</x:f>
        <x:v>PASS</x:v>
      </x:c>
      <x:c r="E11" t="str">
        <x:f>"Product Analysis"</x:f>
        <x:v>Product Analysis</x:v>
      </x:c>
      <x:c r="F11" t="str">
        <x:f>"Must equal Dashboard net revenue"</x:f>
        <x:v>Must equal Dashboard net revenue</x:v>
      </x:c>
    </x:row>
    <x:row r="12">
      <x:c r="A12" t="str">
        <x:f>"Profit reconciles"</x:f>
        <x:v>Profit reconciles</x:v>
      </x:c>
      <x:c r="B12" s="278" t="n">
        <x:f>SUM('Category Analysis'!$C$5:$C$10)</x:f>
        <x:v>160303.3499999999</x:v>
      </x:c>
      <x:c r="C12" s="278" t="n">
        <x:f>B12-'Dashboard'!$E$7</x:f>
        <x:v>-6.402842700481415e-10</x:v>
      </x:c>
      <x:c r="D12" t="str">
        <x:f>IF(ABS(C12)&lt;0.01,"PASS","FAIL")</x:f>
        <x:v>PASS</x:v>
      </x:c>
      <x:c r="E12" t="str">
        <x:f>"Category Analysis"</x:f>
        <x:v>Category Analysis</x:v>
      </x:c>
      <x:c r="F12" t="str">
        <x:f>"Must equal Dashboard profit"</x:f>
        <x:v>Must equal Dashboard profit</x:v>
      </x:c>
    </x:row>
    <x:row r="14">
      <x:c r="A14" s="279" t="str">
        <x:v>MODEL STATUS</x:v>
      </x:c>
      <x:c r="B14" s="279"/>
      <x:c r="C14" s="279"/>
      <x:c r="D14" s="282" t="str">
        <x:f>IF(COUNTIF(D5:D12,"FAIL")=0,"PASS","FAIL")</x:f>
        <x:v>PASS</x:v>
      </x:c>
      <x:c r="E14" s="282"/>
      <x:c r="F14" s="282"/>
    </x:row>
    <x:row r="17" ht="30" customHeight="1">
      <x:c r="A17" s="69" t="str">
        <x:v>Source-quality issue</x:v>
      </x:c>
      <x:c r="B17" s="70" t="str">
        <x:v>Count</x:v>
      </x:c>
      <x:c r="C17" s="70" t="str">
        <x:v>Treatment</x:v>
      </x:c>
      <x:c r="D17" s="70"/>
      <x:c r="E17" s="70"/>
      <x:c r="F17" s="71" t="str">
        <x:v>Portfolio explanation</x:v>
      </x:c>
    </x:row>
    <x:row r="18">
      <x:c r="A18" s="28" t="str">
        <x:v>Duplicate transactions</x:v>
      </x:c>
      <x:c r="B18" s="28" t="n">
        <x:f>COUNTIFS('Clean Sales'!$AE$5:$AE$2428,"Duplicate")</x:f>
        <x:v>24</x:v>
      </x:c>
      <x:c r="C18" s="28" t="str">
        <x:v>Flagged by repeated Order_ID; excluded from analysis</x:v>
      </x:c>
      <x:c r="D18" s="28"/>
      <x:c r="E18" s="28"/>
      <x:c r="F18" s="28" t="str">
        <x:v>Demonstrates duplicate detection</x:v>
      </x:c>
    </x:row>
    <x:row r="19">
      <x:c r="A19" s="29" t="str">
        <x:v>Missing customer segment</x:v>
      </x:c>
      <x:c r="B19" s="29" t="n">
        <x:f>COUNTIFS('Clean Sales'!$H$5:$H$2428,"Unknown")</x:f>
        <x:v>39</x:v>
      </x:c>
      <x:c r="C19" s="29" t="str">
        <x:v>Standardized to Unknown; excluded pending business review</x:v>
      </x:c>
      <x:c r="D19" s="29"/>
      <x:c r="E19" s="29"/>
      <x:c r="F19" s="29" t="str">
        <x:v>Demonstrates missing-value handling</x:v>
      </x:c>
    </x:row>
    <x:row r="20">
      <x:c r="A20" s="29" t="str">
        <x:v>Invalid quantity</x:v>
      </x:c>
      <x:c r="B20" s="29" t="n">
        <x:f>COUNTIFS('Clean Sales'!$R$5:$R$2428,"&lt;=0")</x:f>
        <x:v>6</x:v>
      </x:c>
      <x:c r="C20" s="29" t="str">
        <x:v>Flagged Review; excluded from analysis</x:v>
      </x:c>
      <x:c r="D20" s="29"/>
      <x:c r="E20" s="29"/>
      <x:c r="F20" s="29" t="str">
        <x:v>Demonstrates validation rules</x:v>
      </x:c>
    </x:row>
    <x:row r="21">
      <x:c r="A21" s="29" t="str">
        <x:v>Ship date before order date</x:v>
      </x:c>
      <x:c r="B21" s="29" t="n">
        <x:f>COUNTIFS('Clean Sales'!$AD$5:$AD$2428,"&lt;0")</x:f>
        <x:v>4</x:v>
      </x:c>
      <x:c r="C21" s="29" t="str">
        <x:v>Flagged Review; excluded from analysis</x:v>
      </x:c>
      <x:c r="D21" s="29"/>
      <x:c r="E21" s="29"/>
      <x:c r="F21" s="29" t="str">
        <x:v>Demonstrates date-integrity checking</x:v>
      </x:c>
    </x:row>
    <x:row r="22">
      <x:c r="A22" s="30" t="str">
        <x:v>Returned transactions</x:v>
      </x:c>
      <x:c r="B22" s="30" t="n">
        <x:f>COUNTIFS('Clean Sales'!$V$5:$V$2428,"Returned",'Clean Sales'!$AG$5:$AG$2428,1)</x:f>
        <x:v>123</x:v>
      </x:c>
      <x:c r="C22" s="30" t="str">
        <x:v>Revenue reversed; 10% of cost retained as handling loss</x:v>
      </x:c>
      <x:c r="D22" s="30"/>
      <x:c r="E22" s="30"/>
      <x:c r="F22" s="30" t="str">
        <x:v>Demonstrates return-aware profitability</x:v>
      </x:c>
    </x:row>
  </x:sheetData>
  <x:mergeCells>
    <x:mergeCell ref="A1:F1"/>
    <x:mergeCell ref="A2:F2"/>
    <x:mergeCell ref="A14:C14"/>
    <x:mergeCell ref="D14:F14"/>
    <x:mergeCell ref="C17:E17"/>
    <x:mergeCell ref="C18:E18"/>
    <x:mergeCell ref="C19:E19"/>
    <x:mergeCell ref="C20:E20"/>
    <x:mergeCell ref="C21:E21"/>
    <x:mergeCell ref="C22:E22"/>
  </x:mergeCells>
  <x:conditionalFormatting sqref="D5:D12">
    <x:cfRule type="containsText" dxfId="3" priority="1" operator="containsText" text="PASS"/>
    <x:cfRule type="containsText" dxfId="4" priority="2" operator="containsText" text="FAIL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4" hidden="0" customWidth="1"/>
    <x:col min="3" max="3" width="15" hidden="0" customWidth="1"/>
    <x:col min="4" max="4" width="42" hidden="0" customWidth="1"/>
    <x:col min="5" max="5" width="58" hidden="0" customWidth="1"/>
  </x:cols>
  <x:sheetData>
    <x:row r="1" ht="32" customHeight="1">
      <x:c r="A1" s="4" t="str">
        <x:v>Data Dictionary</x:v>
      </x:c>
      <x:c r="B1" s="4"/>
      <x:c r="C1" s="4"/>
      <x:c r="D1" s="4"/>
      <x:c r="E1" s="4"/>
    </x:row>
    <x:row r="2" ht="26" customHeight="1">
      <x:c r="A2" s="8" t="str">
        <x:v>Definitions, data types and transformation logic for the analysis-ready dataset</x:v>
      </x:c>
      <x:c r="B2" s="8"/>
      <x:c r="C2" s="8"/>
      <x:c r="D2" s="8"/>
      <x:c r="E2" s="8"/>
    </x:row>
    <x:row r="4" ht="30" customHeight="1">
      <x:c r="A4" s="69" t="str">
        <x:v>Field</x:v>
      </x:c>
      <x:c r="B4" s="70" t="str">
        <x:v>Sheet</x:v>
      </x:c>
      <x:c r="C4" s="70" t="str">
        <x:v>Type</x:v>
      </x:c>
      <x:c r="D4" s="70" t="str">
        <x:v>Definition</x:v>
      </x:c>
      <x:c r="E4" s="71" t="str">
        <x:v>Cleaning / Calculation Logic</x:v>
      </x:c>
    </x:row>
    <x:row r="5">
      <x:c r="A5" s="283" t="str">
        <x:v>Order_ID</x:v>
      </x:c>
      <x:c r="B5" s="283" t="str">
        <x:v>Raw Sales / Clean Sales</x:v>
      </x:c>
      <x:c r="C5" s="283" t="str">
        <x:v>Text</x:v>
      </x:c>
      <x:c r="D5" s="283" t="str">
        <x:v>Unique sales transaction identifier</x:v>
      </x:c>
      <x:c r="E5" s="283" t="str">
        <x:v>Duplicate occurrences are flagged; only the first valid occurrence is analyzed</x:v>
      </x:c>
    </x:row>
    <x:row r="6">
      <x:c r="A6" s="284" t="str">
        <x:v>Order_Date</x:v>
      </x:c>
      <x:c r="B6" s="284" t="str">
        <x:v>Raw Sales / Clean Sales</x:v>
      </x:c>
      <x:c r="C6" s="284" t="str">
        <x:v>Date</x:v>
      </x:c>
      <x:c r="D6" s="284" t="str">
        <x:v>Date the transaction was placed</x:v>
      </x:c>
      <x:c r="E6" s="284" t="str">
        <x:v>Preserved as a typed date</x:v>
      </x:c>
    </x:row>
    <x:row r="7">
      <x:c r="A7" s="284" t="str">
        <x:v>Customer_Segment</x:v>
      </x:c>
      <x:c r="B7" s="284" t="str">
        <x:v>Clean Sales</x:v>
      </x:c>
      <x:c r="C7" s="284" t="str">
        <x:v>Category</x:v>
      </x:c>
      <x:c r="D7" s="284" t="str">
        <x:v>Consumer, Corporate or Small Business</x:v>
      </x:c>
      <x:c r="E7" s="284" t="str">
        <x:v>TRIM + PROPER; blanks become Unknown and are flagged for review</x:v>
      </x:c>
    </x:row>
    <x:row r="8">
      <x:c r="A8" s="284" t="str">
        <x:v>Region / City / Channel</x:v>
      </x:c>
      <x:c r="B8" s="284" t="str">
        <x:v>Clean Sales</x:v>
      </x:c>
      <x:c r="C8" s="284" t="str">
        <x:v>Category</x:v>
      </x:c>
      <x:c r="D8" s="284" t="str">
        <x:v>Clean geographic and channel dimensions</x:v>
      </x:c>
      <x:c r="E8" s="284" t="str">
        <x:v>TRIM + PROPER standardizes spacing and case</x:v>
      </x:c>
    </x:row>
    <x:row r="9">
      <x:c r="A9" s="284" t="str">
        <x:v>Product_ID</x:v>
      </x:c>
      <x:c r="B9" s="284" t="str">
        <x:v>Raw Sales / Clean Sales</x:v>
      </x:c>
      <x:c r="C9" s="284" t="str">
        <x:v>Text</x:v>
      </x:c>
      <x:c r="D9" s="284" t="str">
        <x:v>Stable product identifier</x:v>
      </x:c>
      <x:c r="E9" s="284" t="str">
        <x:v>Used to retrieve canonical product attributes</x:v>
      </x:c>
    </x:row>
    <x:row r="10">
      <x:c r="A10" s="284" t="str">
        <x:v>Product_Name / Category / Subcategory</x:v>
      </x:c>
      <x:c r="B10" s="284" t="str">
        <x:v>Clean Sales</x:v>
      </x:c>
      <x:c r="C10" s="284" t="str">
        <x:v>Category</x:v>
      </x:c>
      <x:c r="D10" s="284" t="str">
        <x:v>Canonical product dimensions</x:v>
      </x:c>
      <x:c r="E10" s="284" t="str">
        <x:v>VLOOKUP from Reference Data, avoiding inconsistent raw labels</x:v>
      </x:c>
    </x:row>
    <x:row r="11">
      <x:c r="A11" s="284" t="str">
        <x:v>Unit_Price / Unit_Cost</x:v>
      </x:c>
      <x:c r="B11" s="284" t="str">
        <x:v>Clean Sales</x:v>
      </x:c>
      <x:c r="C11" s="284" t="str">
        <x:v>Currency</x:v>
      </x:c>
      <x:c r="D11" s="284" t="str">
        <x:v>Standard list price and cost per unit</x:v>
      </x:c>
      <x:c r="E11" s="284" t="str">
        <x:v>VLOOKUP from product master</x:v>
      </x:c>
    </x:row>
    <x:row r="12">
      <x:c r="A12" s="284" t="str">
        <x:v>Quantity</x:v>
      </x:c>
      <x:c r="B12" s="284" t="str">
        <x:v>Clean Sales</x:v>
      </x:c>
      <x:c r="C12" s="284" t="str">
        <x:v>Integer</x:v>
      </x:c>
      <x:c r="D12" s="284" t="str">
        <x:v>Units in the transaction</x:v>
      </x:c>
      <x:c r="E12" s="284" t="str">
        <x:v>Values &lt;=0 are flagged Review and excluded</x:v>
      </x:c>
    </x:row>
    <x:row r="13">
      <x:c r="A13" s="284" t="str">
        <x:v>Discount_Rate</x:v>
      </x:c>
      <x:c r="B13" s="284" t="str">
        <x:v>Clean Sales</x:v>
      </x:c>
      <x:c r="C13" s="284" t="str">
        <x:v>Percentage</x:v>
      </x:c>
      <x:c r="D13" s="284" t="str">
        <x:v>Transaction discount before returns</x:v>
      </x:c>
      <x:c r="E13" s="284" t="str">
        <x:v>Preserved from source and displayed as a percentage</x:v>
      </x:c>
    </x:row>
    <x:row r="14">
      <x:c r="A14" s="284" t="str">
        <x:v>Gross_Sales</x:v>
      </x:c>
      <x:c r="B14" s="284" t="str">
        <x:v>Clean Sales</x:v>
      </x:c>
      <x:c r="C14" s="284" t="str">
        <x:v>Currency</x:v>
      </x:c>
      <x:c r="D14" s="284" t="str">
        <x:v>Revenue before discounts and returns</x:v>
      </x:c>
      <x:c r="E14" s="284" t="str">
        <x:v>Unit_Price × Quantity</x:v>
      </x:c>
    </x:row>
    <x:row r="15">
      <x:c r="A15" s="284" t="str">
        <x:v>Discount_Amount</x:v>
      </x:c>
      <x:c r="B15" s="284" t="str">
        <x:v>Clean Sales</x:v>
      </x:c>
      <x:c r="C15" s="284" t="str">
        <x:v>Currency</x:v>
      </x:c>
      <x:c r="D15" s="284" t="str">
        <x:v>Dollar value of the discount</x:v>
      </x:c>
      <x:c r="E15" s="284" t="str">
        <x:v>Gross_Sales × Discount_Rate</x:v>
      </x:c>
    </x:row>
    <x:row r="16">
      <x:c r="A16" s="284" t="str">
        <x:v>Net_Revenue</x:v>
      </x:c>
      <x:c r="B16" s="284" t="str">
        <x:v>Clean Sales</x:v>
      </x:c>
      <x:c r="C16" s="284" t="str">
        <x:v>Currency</x:v>
      </x:c>
      <x:c r="D16" s="284" t="str">
        <x:v>Recognized revenue after discount and returns</x:v>
      </x:c>
      <x:c r="E16" s="284" t="str">
        <x:v>0 when Returned; otherwise Gross_Sales − Discount_Amount</x:v>
      </x:c>
    </x:row>
    <x:row r="17">
      <x:c r="A17" s="284" t="str">
        <x:v>COGS</x:v>
      </x:c>
      <x:c r="B17" s="284" t="str">
        <x:v>Clean Sales</x:v>
      </x:c>
      <x:c r="C17" s="284" t="str">
        <x:v>Currency</x:v>
      </x:c>
      <x:c r="D17" s="284" t="str">
        <x:v>Cost recognized for the transaction</x:v>
      </x:c>
      <x:c r="E17" s="284" t="str">
        <x:v>Full unit cost for completed transactions; 10% handling loss for returns</x:v>
      </x:c>
    </x:row>
    <x:row r="18">
      <x:c r="A18" s="284" t="str">
        <x:v>Profit</x:v>
      </x:c>
      <x:c r="B18" s="284" t="str">
        <x:v>Clean Sales</x:v>
      </x:c>
      <x:c r="C18" s="284" t="str">
        <x:v>Currency</x:v>
      </x:c>
      <x:c r="D18" s="284" t="str">
        <x:v>Transaction contribution profit</x:v>
      </x:c>
      <x:c r="E18" s="284" t="str">
        <x:v>Net_Revenue − COGS</x:v>
      </x:c>
    </x:row>
    <x:row r="19">
      <x:c r="A19" s="284" t="str">
        <x:v>Profit_Margin</x:v>
      </x:c>
      <x:c r="B19" s="284" t="str">
        <x:v>Clean Sales</x:v>
      </x:c>
      <x:c r="C19" s="284" t="str">
        <x:v>Percentage</x:v>
      </x:c>
      <x:c r="D19" s="284" t="str">
        <x:v>Profit as a share of net revenue</x:v>
      </x:c>
      <x:c r="E19" s="284" t="str">
        <x:v>Profit ÷ Net_Revenue with zero-error handling</x:v>
      </x:c>
    </x:row>
    <x:row r="20">
      <x:c r="A20" s="284" t="str">
        <x:v>Fulfillment_Days</x:v>
      </x:c>
      <x:c r="B20" s="284" t="str">
        <x:v>Clean Sales</x:v>
      </x:c>
      <x:c r="C20" s="284" t="str">
        <x:v>Integer</x:v>
      </x:c>
      <x:c r="D20" s="284" t="str">
        <x:v>Days from order to shipment</x:v>
      </x:c>
      <x:c r="E20" s="284" t="str">
        <x:v>Ship_Date − Order_Date; negative values are invalid</x:v>
      </x:c>
    </x:row>
    <x:row r="21">
      <x:c r="A21" s="284" t="str">
        <x:v>Duplicate_Flag</x:v>
      </x:c>
      <x:c r="B21" s="284" t="str">
        <x:v>Clean Sales</x:v>
      </x:c>
      <x:c r="C21" s="284" t="str">
        <x:v>Text</x:v>
      </x:c>
      <x:c r="D21" s="284" t="str">
        <x:v>Keep or Duplicate classification</x:v>
      </x:c>
      <x:c r="E21" s="284" t="str">
        <x:v>Running COUNTIF on Order_ID</x:v>
      </x:c>
    </x:row>
    <x:row r="22">
      <x:c r="A22" s="284" t="str">
        <x:v>Quality_Flag</x:v>
      </x:c>
      <x:c r="B22" s="284" t="str">
        <x:v>Clean Sales</x:v>
      </x:c>
      <x:c r="C22" s="284" t="str">
        <x:v>Text</x:v>
      </x:c>
      <x:c r="D22" s="284" t="str">
        <x:v>Valid or Review classification</x:v>
      </x:c>
      <x:c r="E22" s="284" t="str">
        <x:v>Checks quantity, date order, segment completeness and product mapping</x:v>
      </x:c>
    </x:row>
    <x:row r="23">
      <x:c r="A23" s="284" t="str">
        <x:v>Analysis_Flag</x:v>
      </x:c>
      <x:c r="B23" s="284" t="str">
        <x:v>Clean Sales</x:v>
      </x:c>
      <x:c r="C23" s="284" t="str">
        <x:v>Binary</x:v>
      </x:c>
      <x:c r="D23" s="284" t="str">
        <x:v>1 for valid, unique transactions</x:v>
      </x:c>
      <x:c r="E23" s="284" t="str">
        <x:v>Duplicate_Flag=Keep AND Quality_Flag=Valid</x:v>
      </x:c>
    </x:row>
    <x:row r="24">
      <x:c r="A24" s="285" t="str">
        <x:v>Filter_Flag</x:v>
      </x:c>
      <x:c r="B24" s="285" t="str">
        <x:v>Clean Sales</x:v>
      </x:c>
      <x:c r="C24" s="285" t="str">
        <x:v>Binary</x:v>
      </x:c>
      <x:c r="D24" s="285" t="str">
        <x:v>1 when a valid row matches Dashboard selectors</x:v>
      </x:c>
      <x:c r="E24" s="285" t="str">
        <x:v>References Region, Category, Channel and Year selector cells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2" customHeight="1">
      <x:c r="A1" s="4" t="str">
        <x:v>Portfolio Copy</x:v>
      </x:c>
      <x:c r="B1" s="4"/>
      <x:c r="C1" s="4"/>
      <x:c r="D1" s="4"/>
      <x:c r="E1" s="4"/>
      <x:c r="F1" s="4"/>
      <x:c r="G1" s="4"/>
      <x:c r="H1" s="4"/>
    </x:row>
    <x:row r="2" ht="26" customHeight="1">
      <x:c r="A2" s="8" t="str">
        <x:v>Ready-to-use descriptions for Upwork and GitHub; edit your name or links before publishing</x:v>
      </x:c>
      <x:c r="B2" s="8"/>
      <x:c r="C2" s="8"/>
      <x:c r="D2" s="8"/>
      <x:c r="E2" s="8"/>
      <x:c r="F2" s="8"/>
      <x:c r="G2" s="8"/>
      <x:c r="H2" s="8"/>
    </x:row>
    <x:row r="4">
      <x:c r="A4" s="10" t="str">
        <x:v>UPWORK PORTFOLIO ITEM</x:v>
      </x:c>
      <x:c r="B4" s="10"/>
      <x:c r="C4" s="10"/>
      <x:c r="D4" s="10"/>
      <x:c r="E4" s="10"/>
      <x:c r="F4" s="10"/>
      <x:c r="G4" s="10"/>
      <x:c r="H4" s="10"/>
    </x:row>
    <x:row r="5" ht="34" customHeight="1">
      <x:c r="A5" s="286" t="str">
        <x:v>Title</x:v>
      </x:c>
      <x:c r="B5" s="286"/>
      <x:c r="C5" s="288" t="str">
        <x:v>Interactive Excel Sales &amp; Profit Dashboard</x:v>
      </x:c>
      <x:c r="D5" s="288"/>
      <x:c r="E5" s="288"/>
      <x:c r="F5" s="288"/>
      <x:c r="G5" s="288"/>
      <x:c r="H5" s="288"/>
    </x:row>
    <x:row r="6" ht="34" customHeight="1">
      <x:c r="A6" s="286" t="str">
        <x:v>Role</x:v>
      </x:c>
      <x:c r="B6" s="286"/>
      <x:c r="C6" s="288" t="str">
        <x:v>Data Analyst | Excel Dashboard Developer</x:v>
      </x:c>
      <x:c r="D6" s="288"/>
      <x:c r="E6" s="288"/>
      <x:c r="F6" s="288"/>
      <x:c r="G6" s="288"/>
      <x:c r="H6" s="288"/>
    </x:row>
    <x:row r="7" ht="58" customHeight="1">
      <x:c r="A7" s="286" t="str">
        <x:v>Overview</x:v>
      </x:c>
      <x:c r="B7" s="286"/>
      <x:c r="C7" s="288" t="str">
        <x:v>Built an end-to-end retail sales analytics workbook using realistic synthetic transaction data. I cleaned inconsistent source records, standardized product and customer dimensions, calculated revenue and profitability, created interactive selectors, and developed an executive dashboard with audit checks.</x:v>
      </x:c>
      <x:c r="D7" s="288"/>
      <x:c r="E7" s="288"/>
      <x:c r="F7" s="288"/>
      <x:c r="G7" s="288"/>
      <x:c r="H7" s="288"/>
    </x:row>
    <x:row r="8" ht="58" customHeight="1">
      <x:c r="A8" s="286" t="str">
        <x:v>Business question</x:v>
      </x:c>
      <x:c r="B8" s="286"/>
      <x:c r="C8" s="288" t="str">
        <x:v>Which products, regions, customer channels and months drive revenue and profit, and where are returns or data-quality problems reducing performance?</x:v>
      </x:c>
      <x:c r="D8" s="288"/>
      <x:c r="E8" s="288"/>
      <x:c r="F8" s="288"/>
      <x:c r="G8" s="288"/>
      <x:c r="H8" s="288"/>
    </x:row>
    <x:row r="9" ht="58" customHeight="1">
      <x:c r="A9" s="286" t="str">
        <x:v>Work completed</x:v>
      </x:c>
      <x:c r="B9" s="286"/>
      <x:c r="C9" s="288" t="str">
        <x:v>Created 2,424 messy source records; standardized text and product mappings; detected duplicates and invalid values; calculated gross sales, discounts, net revenue, COGS, profit and margin; created dynamic management analyses; designed four charts and eight KPIs; added reconciliation controls and a data dictionary.</x:v>
      </x:c>
      <x:c r="D9" s="288"/>
      <x:c r="E9" s="288"/>
      <x:c r="F9" s="288"/>
      <x:c r="G9" s="288"/>
      <x:c r="H9" s="288"/>
    </x:row>
    <x:row r="10" ht="58" customHeight="1">
      <x:c r="A10" s="286" t="str">
        <x:v>Deliverables</x:v>
      </x:c>
      <x:c r="B10" s="286"/>
      <x:c r="C10" s="288" t="str">
        <x:v>Interactive Excel dashboard, raw and cleaned datasets, formula-driven analysis tabs, product/region/channel/monthly views, quality checks, data dictionary and management insights.</x:v>
      </x:c>
      <x:c r="D10" s="288"/>
      <x:c r="E10" s="288"/>
      <x:c r="F10" s="288"/>
      <x:c r="G10" s="288"/>
      <x:c r="H10" s="288"/>
    </x:row>
    <x:row r="11" ht="34" customHeight="1">
      <x:c r="A11" s="286" t="str">
        <x:v>Skills</x:v>
      </x:c>
      <x:c r="B11" s="286"/>
      <x:c r="C11" s="288" t="str">
        <x:v>Microsoft Excel, Data Cleaning, Data Analysis, Dashboard Design, Data Visualization, Business Intelligence, Statistical Thinking, Quality Assurance</x:v>
      </x:c>
      <x:c r="D11" s="288"/>
      <x:c r="E11" s="288"/>
      <x:c r="F11" s="288"/>
      <x:c r="G11" s="288"/>
      <x:c r="H11" s="288"/>
    </x:row>
    <x:row r="12" ht="34" customHeight="1">
      <x:c r="A12" s="286" t="str">
        <x:v>Disclosure</x:v>
      </x:c>
      <x:c r="B12" s="286"/>
      <x:c r="C12" s="288" t="str">
        <x:v>Independent portfolio project using synthetic data; not represented as paid client work.</x:v>
      </x:c>
      <x:c r="D12" s="288"/>
      <x:c r="E12" s="288"/>
      <x:c r="F12" s="288"/>
      <x:c r="G12" s="288"/>
      <x:c r="H12" s="288"/>
    </x:row>
    <x:row r="15">
      <x:c r="A15" s="16" t="str">
        <x:v>GITHUB README — PROJECT SUMMARY</x:v>
      </x:c>
      <x:c r="B15" s="16"/>
      <x:c r="C15" s="16"/>
      <x:c r="D15" s="16"/>
      <x:c r="E15" s="16"/>
      <x:c r="F15" s="16"/>
      <x:c r="G15" s="16"/>
      <x:c r="H15" s="16"/>
    </x:row>
    <x:row r="16">
      <x:c r="A16" s="289" t="str">
        <x:v># Meridian Retail Sales &amp; Profit Dashboard</x:v>
      </x:c>
      <x:c r="B16" s="289"/>
      <x:c r="C16" s="289"/>
      <x:c r="D16" s="289"/>
      <x:c r="E16" s="289"/>
      <x:c r="F16" s="289"/>
      <x:c r="G16" s="289"/>
      <x:c r="H16" s="289"/>
    </x:row>
    <x:row r="17">
      <x:c r="A17" s="290" t="str">
        <x:v>## Objective</x:v>
      </x:c>
      <x:c r="B17" s="290"/>
      <x:c r="C17" s="290"/>
      <x:c r="D17" s="290"/>
      <x:c r="E17" s="290"/>
      <x:c r="F17" s="290"/>
      <x:c r="G17" s="290"/>
      <x:c r="H17" s="290"/>
    </x:row>
    <x:row r="18">
      <x:c r="A18" s="290" t="str">
        <x:v>Transform a deliberately messy retail sales extract into an auditable, decision-ready Excel dashboard.</x:v>
      </x:c>
      <x:c r="B18" s="290"/>
      <x:c r="C18" s="290"/>
      <x:c r="D18" s="290"/>
      <x:c r="E18" s="290"/>
      <x:c r="F18" s="290"/>
      <x:c r="G18" s="290"/>
      <x:c r="H18" s="290"/>
    </x:row>
    <x:row r="19">
      <x:c r="A19" s="290" t="str">
        <x:v>## Dataset</x:v>
      </x:c>
      <x:c r="B19" s="290"/>
      <x:c r="C19" s="290"/>
      <x:c r="D19" s="290"/>
      <x:c r="E19" s="290"/>
      <x:c r="F19" s="290"/>
      <x:c r="G19" s="290"/>
      <x:c r="H19" s="290"/>
    </x:row>
    <x:row r="20">
      <x:c r="A20" s="290" t="str">
        <x:v>The workbook contains 2,424 synthetic source records covering January 2024 through December 2025 across six product categories, four regions and three sales channels.</x:v>
      </x:c>
      <x:c r="B20" s="290"/>
      <x:c r="C20" s="290"/>
      <x:c r="D20" s="290"/>
      <x:c r="E20" s="290"/>
      <x:c r="F20" s="290"/>
      <x:c r="G20" s="290"/>
      <x:c r="H20" s="290"/>
    </x:row>
    <x:row r="21">
      <x:c r="A21" s="290" t="str">
        <x:v>## Workflow</x:v>
      </x:c>
      <x:c r="B21" s="290"/>
      <x:c r="C21" s="290"/>
      <x:c r="D21" s="290"/>
      <x:c r="E21" s="290"/>
      <x:c r="F21" s="290"/>
      <x:c r="G21" s="290"/>
      <x:c r="H21" s="290"/>
    </x:row>
    <x:row r="22">
      <x:c r="A22" s="290" t="str">
        <x:v>1. Audit raw data quality and identify duplicates, missing segments, invalid quantities and date inconsistencies.</x:v>
      </x:c>
      <x:c r="B22" s="290"/>
      <x:c r="C22" s="290"/>
      <x:c r="D22" s="290"/>
      <x:c r="E22" s="290"/>
      <x:c r="F22" s="290"/>
      <x:c r="G22" s="290"/>
      <x:c r="H22" s="290"/>
    </x:row>
    <x:row r="23">
      <x:c r="A23" s="290" t="str">
        <x:v>2. Standardize dimensions using formulas and a product reference table.</x:v>
      </x:c>
      <x:c r="B23" s="290"/>
      <x:c r="C23" s="290"/>
      <x:c r="D23" s="290"/>
      <x:c r="E23" s="290"/>
      <x:c r="F23" s="290"/>
      <x:c r="G23" s="290"/>
      <x:c r="H23" s="290"/>
    </x:row>
    <x:row r="24">
      <x:c r="A24" s="290" t="str">
        <x:v>3. Calculate gross sales, discounts, net revenue, COGS, profit and margin.</x:v>
      </x:c>
      <x:c r="B24" s="290"/>
      <x:c r="C24" s="290"/>
      <x:c r="D24" s="290"/>
      <x:c r="E24" s="290"/>
      <x:c r="F24" s="290"/>
      <x:c r="G24" s="290"/>
      <x:c r="H24" s="290"/>
    </x:row>
    <x:row r="25">
      <x:c r="A25" s="290" t="str">
        <x:v>4. Build dynamic monthly, category, region, channel and product analyses.</x:v>
      </x:c>
      <x:c r="B25" s="290"/>
      <x:c r="C25" s="290"/>
      <x:c r="D25" s="290"/>
      <x:c r="E25" s="290"/>
      <x:c r="F25" s="290"/>
      <x:c r="G25" s="290"/>
      <x:c r="H25" s="290"/>
    </x:row>
    <x:row r="26">
      <x:c r="A26" s="290" t="str">
        <x:v>5. Present KPIs and charts on an interactive executive dashboard.</x:v>
      </x:c>
      <x:c r="B26" s="290"/>
      <x:c r="C26" s="290"/>
      <x:c r="D26" s="290"/>
      <x:c r="E26" s="290"/>
      <x:c r="F26" s="290"/>
      <x:c r="G26" s="290"/>
      <x:c r="H26" s="290"/>
    </x:row>
    <x:row r="27">
      <x:c r="A27" s="291" t="str">
        <x:v>6. Reconcile every management cut through a dedicated Checks sheet.</x:v>
      </x:c>
      <x:c r="B27" s="291"/>
      <x:c r="C27" s="291"/>
      <x:c r="D27" s="291"/>
      <x:c r="E27" s="291"/>
      <x:c r="F27" s="291"/>
      <x:c r="G27" s="291"/>
      <x:c r="H27" s="291"/>
    </x:row>
  </x:sheetData>
  <x:mergeCells>
    <x:mergeCell ref="A1:H1"/>
    <x:mergeCell ref="A2:H2"/>
    <x:mergeCell ref="A4:H4"/>
    <x:mergeCell ref="A5:B5"/>
    <x:mergeCell ref="C5:H5"/>
    <x:mergeCell ref="A6:B6"/>
    <x:mergeCell ref="C6:H6"/>
    <x:mergeCell ref="A7:B7"/>
    <x:mergeCell ref="C7:H7"/>
    <x:mergeCell ref="A8:B8"/>
    <x:mergeCell ref="C8:H8"/>
    <x:mergeCell ref="A9:B9"/>
    <x:mergeCell ref="C9:H9"/>
    <x:mergeCell ref="A10:B10"/>
    <x:mergeCell ref="C10:H10"/>
    <x:mergeCell ref="A11:B11"/>
    <x:mergeCell ref="C11:H11"/>
    <x:mergeCell ref="A12:B12"/>
    <x:mergeCell ref="C12:H12"/>
    <x:mergeCell ref="A15:H15"/>
    <x:mergeCell ref="A16:H16"/>
    <x:mergeCell ref="A17:H17"/>
    <x:mergeCell ref="A18:H18"/>
    <x:mergeCell ref="A19:H19"/>
    <x:mergeCell ref="A20:H20"/>
    <x:mergeCell ref="A21:H21"/>
    <x:mergeCell ref="A22:H22"/>
    <x:mergeCell ref="A23:H23"/>
    <x:mergeCell ref="A24:H24"/>
    <x:mergeCell ref="A25:H25"/>
    <x:mergeCell ref="A26:H26"/>
    <x:mergeCell ref="A27:H27"/>
  </x:mergeCells>
  <x:pageMargins left="0.7" right="0.7" top="0.75" bottom="0.75" header="0.3" footer="0.3"/>
</x:worksheet>
</file>